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52E37259_BC7B_43AC_B1DB_8F52E8FD0C46_.wvu.FilterData">Data!$B$1:$E$2</definedName>
    <definedName hidden="1" localSheetId="2" name="Z_7EE89F9E_515B_4962_B7F1_2B625E15BF80_.wvu.FilterData">Data!$B$1:$E$9753</definedName>
  </definedNames>
  <calcPr/>
  <customWorkbookViews>
    <customWorkbookView activeSheetId="0" maximized="1" windowHeight="0" windowWidth="0" guid="{7EE89F9E-515B-4962-B7F1-2B625E15BF80}" name="Filter 2"/>
    <customWorkbookView activeSheetId="0" maximized="1" windowHeight="0" windowWidth="0" guid="{52E37259-BC7B-43AC-B1DB-8F52E8FD0C4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- Wine Method ABV: (OG-FG)/7.36 x 1000
</t>
      </text>
    </comment>
  </commentList>
</comments>
</file>

<file path=xl/sharedStrings.xml><?xml version="1.0" encoding="utf-8"?>
<sst xmlns="http://schemas.openxmlformats.org/spreadsheetml/2006/main" count="19541" uniqueCount="34">
  <si>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</si>
  <si>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</si>
  <si>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</si>
  <si>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</si>
  <si>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</si>
  <si>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</si>
  <si>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</si>
  <si>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</si>
  <si>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</si>
  <si>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</si>
  <si>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</si>
  <si>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</si>
  <si>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</si>
  <si>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</si>
  <si>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</si>
  <si>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</si>
  <si>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</si>
  <si>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</si>
  <si>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</si>
  <si>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</si>
  <si>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</si>
  <si>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</si>
  <si>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</si>
  <si>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</si>
  <si>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</si>
  <si>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BLACK</t>
  </si>
  <si>
    <t>Uncle Sams Cider (5/13/2022)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</si>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</sst>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1799153543"/>
        <c:axId val="1207099801"/>
      </c:lineChart>
      <c:catAx>
        <c:axId val="1799153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7099801"/>
      </c:catAx>
      <c:valAx>
        <c:axId val="1207099801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9153543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1837078578"/>
        <c:axId val="148634356"/>
      </c:lineChart>
      <c:catAx>
        <c:axId val="183707857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634356"/>
      </c:catAx>
      <c:valAx>
        <c:axId val="1486343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7078578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5.13"/>
    <col customWidth="1" min="3" max="3" width="16.0"/>
    <col customWidth="1" min="5" max="5" width="17.5"/>
    <col customWidth="1" min="6" max="7" width="19.38"/>
    <col customWidth="1" min="8" max="8" width="14.75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44694.90491</v>
      </c>
      <c r="C2" s="9">
        <f>IFERROR(__xludf.DUMMYFUNCTION("""COMPUTED_VALUE"""),44796.6246322569)</f>
        <v>44796.62463</v>
      </c>
      <c r="D2" s="10">
        <f>IFERROR(__xludf.DUMMYFUNCTION("""COMPUTED_VALUE"""),1.003)</f>
        <v>1.003</v>
      </c>
      <c r="E2" s="11">
        <f>IFERROR(__xludf.DUMMYFUNCTION("""COMPUTED_VALUE"""),69.0)</f>
        <v>69</v>
      </c>
      <c r="F2" s="12" t="str">
        <f>IFERROR(__xludf.DUMMYFUNCTION("""COMPUTED_VALUE"""),"BLACK")</f>
        <v>BLACK</v>
      </c>
      <c r="G2" t="str">
        <f>IFERROR(__xludf.DUMMYFUNCTION("""COMPUTED_VALUE"""),"Uncle Sams Cider (5/13/2022)")</f>
        <v>Uncle Sams Cider (5/13/2022)</v>
      </c>
    </row>
    <row r="3" ht="1.5" customHeight="1">
      <c r="A3" s="13" t="s">
        <v>2</v>
      </c>
      <c r="B3" s="14">
        <f>max(Data!B:B)</f>
        <v>44796.62463</v>
      </c>
      <c r="C3" s="9">
        <f>IFERROR(__xludf.DUMMYFUNCTION("""COMPUTED_VALUE"""),44796.6142101388)</f>
        <v>44796.61421</v>
      </c>
      <c r="D3" s="15">
        <f>IFERROR(__xludf.DUMMYFUNCTION("""COMPUTED_VALUE"""),1.004)</f>
        <v>1.004</v>
      </c>
      <c r="E3" s="16">
        <f>IFERROR(__xludf.DUMMYFUNCTION("""COMPUTED_VALUE"""),69.0)</f>
        <v>69</v>
      </c>
      <c r="F3" s="12" t="str">
        <f>IFERROR(__xludf.DUMMYFUNCTION("""COMPUTED_VALUE"""),"BLACK")</f>
        <v>BLACK</v>
      </c>
      <c r="G3" t="str">
        <f>IFERROR(__xludf.DUMMYFUNCTION("""COMPUTED_VALUE"""),"Uncle Sams Cider (5/13/2022)")</f>
        <v>Uncle Sams Cider (5/13/2022)</v>
      </c>
    </row>
    <row r="4">
      <c r="A4" s="17" t="s">
        <v>3</v>
      </c>
      <c r="B4" s="18" t="s">
        <v>4</v>
      </c>
      <c r="C4" s="9">
        <f>IFERROR(__xludf.DUMMYFUNCTION("""COMPUTED_VALUE"""),44796.6037645833)</f>
        <v>44796.60376</v>
      </c>
      <c r="D4" s="15">
        <f>IFERROR(__xludf.DUMMYFUNCTION("""COMPUTED_VALUE"""),1.003)</f>
        <v>1.003</v>
      </c>
      <c r="E4" s="16">
        <f>IFERROR(__xludf.DUMMYFUNCTION("""COMPUTED_VALUE"""),69.0)</f>
        <v>69</v>
      </c>
      <c r="F4" s="19" t="str">
        <f>IFERROR(__xludf.DUMMYFUNCTION("""COMPUTED_VALUE"""),"BLACK")</f>
        <v>BLACK</v>
      </c>
      <c r="G4" s="20" t="str">
        <f>IFERROR(__xludf.DUMMYFUNCTION("""COMPUTED_VALUE"""),"Uncle Sams Cider (5/13/2022)")</f>
        <v>Uncle Sams Cider (5/13/2022)</v>
      </c>
      <c r="H4" s="19"/>
    </row>
    <row r="5">
      <c r="A5" s="17" t="s">
        <v>5</v>
      </c>
      <c r="B5" s="18" t="s">
        <v>6</v>
      </c>
      <c r="C5" s="9">
        <f>IFERROR(__xludf.DUMMYFUNCTION("""COMPUTED_VALUE"""),44796.5933416435)</f>
        <v>44796.59334</v>
      </c>
      <c r="D5" s="15">
        <f>IFERROR(__xludf.DUMMYFUNCTION("""COMPUTED_VALUE"""),1.003)</f>
        <v>1.003</v>
      </c>
      <c r="E5" s="16">
        <f>IFERROR(__xludf.DUMMYFUNCTION("""COMPUTED_VALUE"""),69.0)</f>
        <v>69</v>
      </c>
      <c r="F5" s="19" t="str">
        <f>IFERROR(__xludf.DUMMYFUNCTION("""COMPUTED_VALUE"""),"BLACK")</f>
        <v>BLACK</v>
      </c>
      <c r="G5" s="20" t="str">
        <f>IFERROR(__xludf.DUMMYFUNCTION("""COMPUTED_VALUE"""),"Uncle Sams Cider (5/13/2022)")</f>
        <v>Uncle Sams Cider (5/13/2022)</v>
      </c>
      <c r="H5" s="19"/>
    </row>
    <row r="6">
      <c r="A6" s="21" t="s">
        <v>7</v>
      </c>
      <c r="B6" s="22" t="s">
        <v>8</v>
      </c>
      <c r="C6" s="9">
        <f>IFERROR(__xludf.DUMMYFUNCTION("""COMPUTED_VALUE"""),44796.582920787)</f>
        <v>44796.58292</v>
      </c>
      <c r="D6" s="15">
        <f>IFERROR(__xludf.DUMMYFUNCTION("""COMPUTED_VALUE"""),1.004)</f>
        <v>1.004</v>
      </c>
      <c r="E6" s="16">
        <f>IFERROR(__xludf.DUMMYFUNCTION("""COMPUTED_VALUE"""),69.0)</f>
        <v>69</v>
      </c>
      <c r="F6" s="19" t="str">
        <f>IFERROR(__xludf.DUMMYFUNCTION("""COMPUTED_VALUE"""),"BLACK")</f>
        <v>BLACK</v>
      </c>
      <c r="G6" s="20" t="str">
        <f>IFERROR(__xludf.DUMMYFUNCTION("""COMPUTED_VALUE"""),"Uncle Sams Cider (5/13/2022)")</f>
        <v>Uncle Sams Cider (5/13/2022)</v>
      </c>
      <c r="H6" s="19"/>
    </row>
    <row r="7">
      <c r="A7" s="23" t="str">
        <f>D1</f>
        <v>SG</v>
      </c>
      <c r="B7" s="24"/>
      <c r="C7" s="9">
        <f>IFERROR(__xludf.DUMMYFUNCTION("""COMPUTED_VALUE"""),44796.5724881828)</f>
        <v>44796.57249</v>
      </c>
      <c r="D7" s="15">
        <f>IFERROR(__xludf.DUMMYFUNCTION("""COMPUTED_VALUE"""),1.004)</f>
        <v>1.004</v>
      </c>
      <c r="E7" s="16">
        <f>IFERROR(__xludf.DUMMYFUNCTION("""COMPUTED_VALUE"""),69.0)</f>
        <v>69</v>
      </c>
      <c r="F7" s="19" t="str">
        <f>IFERROR(__xludf.DUMMYFUNCTION("""COMPUTED_VALUE"""),"BLACK")</f>
        <v>BLACK</v>
      </c>
      <c r="G7" s="20" t="str">
        <f>IFERROR(__xludf.DUMMYFUNCTION("""COMPUTED_VALUE"""),"Uncle Sams Cider (5/13/2022)")</f>
        <v>Uncle Sams Cider (5/13/2022)</v>
      </c>
      <c r="H7" s="19"/>
    </row>
    <row r="8">
      <c r="A8" s="25" t="s">
        <v>9</v>
      </c>
      <c r="B8" s="26">
        <f>D2</f>
        <v>1.003</v>
      </c>
      <c r="C8" s="9">
        <f>IFERROR(__xludf.DUMMYFUNCTION("""COMPUTED_VALUE"""),44796.5620669328)</f>
        <v>44796.56207</v>
      </c>
      <c r="D8" s="15">
        <f>IFERROR(__xludf.DUMMYFUNCTION("""COMPUTED_VALUE"""),1.004)</f>
        <v>1.004</v>
      </c>
      <c r="E8" s="16">
        <f>IFERROR(__xludf.DUMMYFUNCTION("""COMPUTED_VALUE"""),69.0)</f>
        <v>69</v>
      </c>
      <c r="F8" s="19" t="str">
        <f>IFERROR(__xludf.DUMMYFUNCTION("""COMPUTED_VALUE"""),"BLACK")</f>
        <v>BLACK</v>
      </c>
      <c r="G8" s="20" t="str">
        <f>IFERROR(__xludf.DUMMYFUNCTION("""COMPUTED_VALUE"""),"Uncle Sams Cider (5/13/2022)")</f>
        <v>Uncle Sams Cider (5/13/2022)</v>
      </c>
      <c r="H8" s="19"/>
    </row>
    <row r="9">
      <c r="A9" s="27" t="s">
        <v>10</v>
      </c>
      <c r="B9" s="26">
        <f>indirect("D"&amp; counta(D:D))</f>
        <v>1.106</v>
      </c>
      <c r="C9" s="9">
        <f>IFERROR(__xludf.DUMMYFUNCTION("""COMPUTED_VALUE"""),44796.5516472453)</f>
        <v>44796.55165</v>
      </c>
      <c r="D9" s="15">
        <f>IFERROR(__xludf.DUMMYFUNCTION("""COMPUTED_VALUE"""),1.003)</f>
        <v>1.003</v>
      </c>
      <c r="E9" s="16">
        <f>IFERROR(__xludf.DUMMYFUNCTION("""COMPUTED_VALUE"""),69.0)</f>
        <v>69</v>
      </c>
      <c r="F9" s="19" t="str">
        <f>IFERROR(__xludf.DUMMYFUNCTION("""COMPUTED_VALUE"""),"BLACK")</f>
        <v>BLACK</v>
      </c>
      <c r="G9" s="20" t="str">
        <f>IFERROR(__xludf.DUMMYFUNCTION("""COMPUTED_VALUE"""),"Uncle Sams Cider (5/13/2022)")</f>
        <v>Uncle Sams Cider (5/13/2022)</v>
      </c>
      <c r="H9" s="19"/>
    </row>
    <row r="10">
      <c r="A10" s="27" t="s">
        <v>11</v>
      </c>
      <c r="B10" s="26">
        <f>IFERROR(slope(D:D,C:C),"more data needed")</f>
        <v>-0.0004701091367</v>
      </c>
      <c r="C10" s="9">
        <f>IFERROR(__xludf.DUMMYFUNCTION("""COMPUTED_VALUE"""),44796.5412246296)</f>
        <v>44796.54122</v>
      </c>
      <c r="D10" s="15">
        <f>IFERROR(__xludf.DUMMYFUNCTION("""COMPUTED_VALUE"""),1.003)</f>
        <v>1.003</v>
      </c>
      <c r="E10" s="16">
        <f>IFERROR(__xludf.DUMMYFUNCTION("""COMPUTED_VALUE"""),69.0)</f>
        <v>69</v>
      </c>
      <c r="F10" s="19" t="str">
        <f>IFERROR(__xludf.DUMMYFUNCTION("""COMPUTED_VALUE"""),"BLACK")</f>
        <v>BLACK</v>
      </c>
      <c r="G10" s="20" t="str">
        <f>IFERROR(__xludf.DUMMYFUNCTION("""COMPUTED_VALUE"""),"Uncle Sams Cider (5/13/2022)")</f>
        <v>Uncle Sams Cider (5/13/2022)</v>
      </c>
      <c r="H10" s="19"/>
    </row>
    <row r="11">
      <c r="A11" s="25" t="s">
        <v>12</v>
      </c>
      <c r="B11" s="28">
        <f>B3-B2</f>
        <v>101.7197217</v>
      </c>
      <c r="C11" s="9">
        <f>IFERROR(__xludf.DUMMYFUNCTION("""COMPUTED_VALUE"""),44796.5308040277)</f>
        <v>44796.5308</v>
      </c>
      <c r="D11" s="15">
        <f>IFERROR(__xludf.DUMMYFUNCTION("""COMPUTED_VALUE"""),1.004)</f>
        <v>1.004</v>
      </c>
      <c r="E11" s="11">
        <f>IFERROR(__xludf.DUMMYFUNCTION("""COMPUTED_VALUE"""),69.0)</f>
        <v>69</v>
      </c>
      <c r="F11" s="12" t="str">
        <f>IFERROR(__xludf.DUMMYFUNCTION("""COMPUTED_VALUE"""),"BLACK")</f>
        <v>BLACK</v>
      </c>
      <c r="G11" s="29" t="str">
        <f>IFERROR(__xludf.DUMMYFUNCTION("""COMPUTED_VALUE"""),"Uncle Sams Cider (5/13/2022)")</f>
        <v>Uncle Sams Cider (5/13/2022)</v>
      </c>
      <c r="H11" s="12"/>
    </row>
    <row r="12">
      <c r="A12" s="25" t="s">
        <v>13</v>
      </c>
      <c r="B12" s="26">
        <f>max(D:D)</f>
        <v>1.108</v>
      </c>
      <c r="C12" s="9">
        <f>IFERROR(__xludf.DUMMYFUNCTION("""COMPUTED_VALUE"""),44796.5203805092)</f>
        <v>44796.52038</v>
      </c>
      <c r="D12" s="15">
        <f>IFERROR(__xludf.DUMMYFUNCTION("""COMPUTED_VALUE"""),1.003)</f>
        <v>1.003</v>
      </c>
      <c r="E12" s="11">
        <f>IFERROR(__xludf.DUMMYFUNCTION("""COMPUTED_VALUE"""),69.0)</f>
        <v>69</v>
      </c>
      <c r="F12" s="19" t="str">
        <f>IFERROR(__xludf.DUMMYFUNCTION("""COMPUTED_VALUE"""),"BLACK")</f>
        <v>BLACK</v>
      </c>
      <c r="G12" s="20" t="str">
        <f>IFERROR(__xludf.DUMMYFUNCTION("""COMPUTED_VALUE"""),"Uncle Sams Cider (5/13/2022)")</f>
        <v>Uncle Sams Cider (5/13/2022)</v>
      </c>
      <c r="H12" s="19"/>
    </row>
    <row r="13">
      <c r="A13" s="30" t="s">
        <v>14</v>
      </c>
      <c r="B13" s="31">
        <f>min(D:D)</f>
        <v>1.003</v>
      </c>
      <c r="C13" s="9">
        <f>IFERROR(__xludf.DUMMYFUNCTION("""COMPUTED_VALUE"""),44796.5099476041)</f>
        <v>44796.50995</v>
      </c>
      <c r="D13" s="15">
        <f>IFERROR(__xludf.DUMMYFUNCTION("""COMPUTED_VALUE"""),1.003)</f>
        <v>1.003</v>
      </c>
      <c r="E13" s="11">
        <f>IFERROR(__xludf.DUMMYFUNCTION("""COMPUTED_VALUE"""),69.0)</f>
        <v>69</v>
      </c>
      <c r="F13" s="19" t="str">
        <f>IFERROR(__xludf.DUMMYFUNCTION("""COMPUTED_VALUE"""),"BLACK")</f>
        <v>BLACK</v>
      </c>
      <c r="G13" s="20" t="str">
        <f>IFERROR(__xludf.DUMMYFUNCTION("""COMPUTED_VALUE"""),"Uncle Sams Cider (5/13/2022)")</f>
        <v>Uncle Sams Cider (5/13/2022)</v>
      </c>
      <c r="H13" s="19"/>
    </row>
    <row r="14">
      <c r="A14" s="32" t="str">
        <f>E1</f>
        <v>Temp (°F)</v>
      </c>
      <c r="B14" s="24"/>
      <c r="C14" s="9">
        <f>IFERROR(__xludf.DUMMYFUNCTION("""COMPUTED_VALUE"""),44796.4995271064)</f>
        <v>44796.49953</v>
      </c>
      <c r="D14" s="15">
        <f>IFERROR(__xludf.DUMMYFUNCTION("""COMPUTED_VALUE"""),1.003)</f>
        <v>1.003</v>
      </c>
      <c r="E14" s="16">
        <f>IFERROR(__xludf.DUMMYFUNCTION("""COMPUTED_VALUE"""),69.0)</f>
        <v>69</v>
      </c>
      <c r="F14" s="19" t="str">
        <f>IFERROR(__xludf.DUMMYFUNCTION("""COMPUTED_VALUE"""),"BLACK")</f>
        <v>BLACK</v>
      </c>
      <c r="G14" s="20" t="str">
        <f>IFERROR(__xludf.DUMMYFUNCTION("""COMPUTED_VALUE"""),"Uncle Sams Cider (5/13/2022)")</f>
        <v>Uncle Sams Cider (5/13/2022)</v>
      </c>
      <c r="H14" s="19"/>
    </row>
    <row r="15">
      <c r="A15" s="33" t="s">
        <v>9</v>
      </c>
      <c r="B15" s="34">
        <f>E2</f>
        <v>69</v>
      </c>
      <c r="C15" s="9">
        <f>IFERROR(__xludf.DUMMYFUNCTION("""COMPUTED_VALUE"""),44796.4891057638)</f>
        <v>44796.48911</v>
      </c>
      <c r="D15" s="15">
        <f>IFERROR(__xludf.DUMMYFUNCTION("""COMPUTED_VALUE"""),1.003)</f>
        <v>1.003</v>
      </c>
      <c r="E15" s="16">
        <f>IFERROR(__xludf.DUMMYFUNCTION("""COMPUTED_VALUE"""),69.0)</f>
        <v>69</v>
      </c>
      <c r="F15" s="19" t="str">
        <f>IFERROR(__xludf.DUMMYFUNCTION("""COMPUTED_VALUE"""),"BLACK")</f>
        <v>BLACK</v>
      </c>
      <c r="G15" s="20" t="str">
        <f>IFERROR(__xludf.DUMMYFUNCTION("""COMPUTED_VALUE"""),"Uncle Sams Cider (5/13/2022)")</f>
        <v>Uncle Sams Cider (5/13/2022)</v>
      </c>
      <c r="H15" s="19"/>
    </row>
    <row r="16">
      <c r="A16" s="25" t="s">
        <v>15</v>
      </c>
      <c r="B16" s="35">
        <f>average(E:E)</f>
        <v>68.06162838</v>
      </c>
      <c r="C16" s="9">
        <f>IFERROR(__xludf.DUMMYFUNCTION("""COMPUTED_VALUE"""),44796.4786602083)</f>
        <v>44796.47866</v>
      </c>
      <c r="D16" s="15">
        <f>IFERROR(__xludf.DUMMYFUNCTION("""COMPUTED_VALUE"""),1.003)</f>
        <v>1.003</v>
      </c>
      <c r="E16" s="16">
        <f>IFERROR(__xludf.DUMMYFUNCTION("""COMPUTED_VALUE"""),69.0)</f>
        <v>69</v>
      </c>
      <c r="F16" s="19" t="str">
        <f>IFERROR(__xludf.DUMMYFUNCTION("""COMPUTED_VALUE"""),"BLACK")</f>
        <v>BLACK</v>
      </c>
      <c r="G16" s="20" t="str">
        <f>IFERROR(__xludf.DUMMYFUNCTION("""COMPUTED_VALUE"""),"Uncle Sams Cider (5/13/2022)")</f>
        <v>Uncle Sams Cider (5/13/2022)</v>
      </c>
      <c r="H16" s="19"/>
    </row>
    <row r="17">
      <c r="A17" s="25" t="s">
        <v>12</v>
      </c>
      <c r="B17" s="28">
        <f>B3-B2</f>
        <v>101.7197217</v>
      </c>
      <c r="C17" s="9">
        <f>IFERROR(__xludf.DUMMYFUNCTION("""COMPUTED_VALUE"""),44796.4682396064)</f>
        <v>44796.46824</v>
      </c>
      <c r="D17" s="15">
        <f>IFERROR(__xludf.DUMMYFUNCTION("""COMPUTED_VALUE"""),1.004)</f>
        <v>1.004</v>
      </c>
      <c r="E17" s="16">
        <f>IFERROR(__xludf.DUMMYFUNCTION("""COMPUTED_VALUE"""),69.0)</f>
        <v>69</v>
      </c>
      <c r="F17" s="19" t="str">
        <f>IFERROR(__xludf.DUMMYFUNCTION("""COMPUTED_VALUE"""),"BLACK")</f>
        <v>BLACK</v>
      </c>
      <c r="G17" s="20" t="str">
        <f>IFERROR(__xludf.DUMMYFUNCTION("""COMPUTED_VALUE"""),"Uncle Sams Cider (5/13/2022)")</f>
        <v>Uncle Sams Cider (5/13/2022)</v>
      </c>
      <c r="H17" s="19"/>
    </row>
    <row r="18">
      <c r="A18" s="25" t="s">
        <v>13</v>
      </c>
      <c r="B18" s="35">
        <f>max(E:E)</f>
        <v>75</v>
      </c>
      <c r="C18" s="36">
        <f>IFERROR(__xludf.DUMMYFUNCTION("""COMPUTED_VALUE"""),44796.4578075)</f>
        <v>44796.45781</v>
      </c>
      <c r="D18" s="15">
        <f>IFERROR(__xludf.DUMMYFUNCTION("""COMPUTED_VALUE"""),1.003)</f>
        <v>1.003</v>
      </c>
      <c r="E18" s="16">
        <f>IFERROR(__xludf.DUMMYFUNCTION("""COMPUTED_VALUE"""),69.0)</f>
        <v>69</v>
      </c>
      <c r="F18" s="19" t="str">
        <f>IFERROR(__xludf.DUMMYFUNCTION("""COMPUTED_VALUE"""),"BLACK")</f>
        <v>BLACK</v>
      </c>
      <c r="G18" s="20" t="str">
        <f>IFERROR(__xludf.DUMMYFUNCTION("""COMPUTED_VALUE"""),"Uncle Sams Cider (5/13/2022)")</f>
        <v>Uncle Sams Cider (5/13/2022)</v>
      </c>
      <c r="H18" s="19"/>
    </row>
    <row r="19">
      <c r="A19" s="30" t="s">
        <v>14</v>
      </c>
      <c r="B19" s="37">
        <f>min(E:E)</f>
        <v>63</v>
      </c>
      <c r="C19" s="9">
        <f>IFERROR(__xludf.DUMMYFUNCTION("""COMPUTED_VALUE"""),44796.4473854745)</f>
        <v>44796.44739</v>
      </c>
      <c r="D19" s="15">
        <f>IFERROR(__xludf.DUMMYFUNCTION("""COMPUTED_VALUE"""),1.004)</f>
        <v>1.004</v>
      </c>
      <c r="E19" s="16">
        <f>IFERROR(__xludf.DUMMYFUNCTION("""COMPUTED_VALUE"""),69.0)</f>
        <v>69</v>
      </c>
      <c r="F19" s="19" t="str">
        <f>IFERROR(__xludf.DUMMYFUNCTION("""COMPUTED_VALUE"""),"BLACK")</f>
        <v>BLACK</v>
      </c>
      <c r="G19" s="20" t="str">
        <f>IFERROR(__xludf.DUMMYFUNCTION("""COMPUTED_VALUE"""),"Uncle Sams Cider (5/13/2022)")</f>
        <v>Uncle Sams Cider (5/13/2022)</v>
      </c>
      <c r="H19" s="19"/>
    </row>
    <row r="20">
      <c r="A20" s="38" t="s">
        <v>16</v>
      </c>
      <c r="B20" s="39"/>
      <c r="C20" s="9">
        <f>IFERROR(__xludf.DUMMYFUNCTION("""COMPUTED_VALUE"""),44796.4369648032)</f>
        <v>44796.43696</v>
      </c>
      <c r="D20" s="15">
        <f>IFERROR(__xludf.DUMMYFUNCTION("""COMPUTED_VALUE"""),1.003)</f>
        <v>1.003</v>
      </c>
      <c r="E20" s="16">
        <f>IFERROR(__xludf.DUMMYFUNCTION("""COMPUTED_VALUE"""),69.0)</f>
        <v>69</v>
      </c>
      <c r="F20" s="19" t="str">
        <f>IFERROR(__xludf.DUMMYFUNCTION("""COMPUTED_VALUE"""),"BLACK")</f>
        <v>BLACK</v>
      </c>
      <c r="G20" s="20" t="str">
        <f>IFERROR(__xludf.DUMMYFUNCTION("""COMPUTED_VALUE"""),"Uncle Sams Cider (5/13/2022)")</f>
        <v>Uncle Sams Cider (5/13/2022)</v>
      </c>
      <c r="H20" s="19"/>
    </row>
    <row r="21">
      <c r="A21" s="40" t="s">
        <v>17</v>
      </c>
      <c r="B21" s="41">
        <f>IF(D1="SG",(B9-B8)/(B9-1),(B9-B8)/(B9))
</f>
        <v>0.9716981132</v>
      </c>
      <c r="C21" s="9">
        <f>IFERROR(__xludf.DUMMYFUNCTION("""COMPUTED_VALUE"""),44796.426542824)</f>
        <v>44796.42654</v>
      </c>
      <c r="D21" s="15">
        <f>IFERROR(__xludf.DUMMYFUNCTION("""COMPUTED_VALUE"""),1.003)</f>
        <v>1.003</v>
      </c>
      <c r="E21" s="16">
        <f>IFERROR(__xludf.DUMMYFUNCTION("""COMPUTED_VALUE"""),69.0)</f>
        <v>69</v>
      </c>
      <c r="F21" s="19" t="str">
        <f>IFERROR(__xludf.DUMMYFUNCTION("""COMPUTED_VALUE"""),"BLACK")</f>
        <v>BLACK</v>
      </c>
      <c r="G21" s="20" t="str">
        <f>IFERROR(__xludf.DUMMYFUNCTION("""COMPUTED_VALUE"""),"Uncle Sams Cider (5/13/2022)")</f>
        <v>Uncle Sams Cider (5/13/2022)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SG"),A22="Wine Method ABV:",IF(B6="SG",(B9-B8)/7.36*1000/100,"Must use SG"))</f>
        <v>0.1351875</v>
      </c>
      <c r="C22" s="9">
        <f>IFERROR(__xludf.DUMMYFUNCTION("""COMPUTED_VALUE"""),44796.4161204513)</f>
        <v>44796.41612</v>
      </c>
      <c r="D22" s="15">
        <f>IFERROR(__xludf.DUMMYFUNCTION("""COMPUTED_VALUE"""),1.003)</f>
        <v>1.003</v>
      </c>
      <c r="E22" s="16">
        <f>IFERROR(__xludf.DUMMYFUNCTION("""COMPUTED_VALUE"""),69.0)</f>
        <v>69</v>
      </c>
      <c r="F22" s="19" t="str">
        <f>IFERROR(__xludf.DUMMYFUNCTION("""COMPUTED_VALUE"""),"BLACK")</f>
        <v>BLACK</v>
      </c>
      <c r="G22" s="20" t="str">
        <f>IFERROR(__xludf.DUMMYFUNCTION("""COMPUTED_VALUE"""),"Uncle Sams Cider (5/13/2022)")</f>
        <v>Uncle Sams Cider (5/13/2022)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31.22423574</v>
      </c>
      <c r="C23" s="9">
        <f>IFERROR(__xludf.DUMMYFUNCTION("""COMPUTED_VALUE"""),44796.4056876041)</f>
        <v>44796.40569</v>
      </c>
      <c r="D23" s="15">
        <f>IFERROR(__xludf.DUMMYFUNCTION("""COMPUTED_VALUE"""),1.003)</f>
        <v>1.003</v>
      </c>
      <c r="E23" s="16">
        <f>IFERROR(__xludf.DUMMYFUNCTION("""COMPUTED_VALUE"""),69.0)</f>
        <v>69</v>
      </c>
      <c r="F23" s="19" t="str">
        <f>IFERROR(__xludf.DUMMYFUNCTION("""COMPUTED_VALUE"""),"BLACK")</f>
        <v>BLACK</v>
      </c>
      <c r="G23" s="20" t="str">
        <f>IFERROR(__xludf.DUMMYFUNCTION("""COMPUTED_VALUE"""),"Uncle Sams Cider (5/13/2022)")</f>
        <v>Uncle Sams Cider (5/13/2022)</v>
      </c>
      <c r="H23" s="19"/>
    </row>
    <row r="24">
      <c r="A24" s="9"/>
      <c r="B24" s="15"/>
      <c r="C24" s="9">
        <f>IFERROR(__xludf.DUMMYFUNCTION("""COMPUTED_VALUE"""),44796.3952671527)</f>
        <v>44796.39527</v>
      </c>
      <c r="D24" s="15">
        <f>IFERROR(__xludf.DUMMYFUNCTION("""COMPUTED_VALUE"""),1.004)</f>
        <v>1.004</v>
      </c>
      <c r="E24" s="16">
        <f>IFERROR(__xludf.DUMMYFUNCTION("""COMPUTED_VALUE"""),69.0)</f>
        <v>69</v>
      </c>
      <c r="F24" s="19" t="str">
        <f>IFERROR(__xludf.DUMMYFUNCTION("""COMPUTED_VALUE"""),"BLACK")</f>
        <v>BLACK</v>
      </c>
      <c r="G24" s="20" t="str">
        <f>IFERROR(__xludf.DUMMYFUNCTION("""COMPUTED_VALUE"""),"Uncle Sams Cider (5/13/2022)")</f>
        <v>Uncle Sams Cider (5/13/2022)</v>
      </c>
      <c r="H24" s="19"/>
    </row>
    <row r="25">
      <c r="A25" s="9"/>
      <c r="B25" s="15"/>
      <c r="C25" s="9">
        <f>IFERROR(__xludf.DUMMYFUNCTION("""COMPUTED_VALUE"""),44796.3848447338)</f>
        <v>44796.38484</v>
      </c>
      <c r="D25" s="15">
        <f>IFERROR(__xludf.DUMMYFUNCTION("""COMPUTED_VALUE"""),1.003)</f>
        <v>1.003</v>
      </c>
      <c r="E25" s="16">
        <f>IFERROR(__xludf.DUMMYFUNCTION("""COMPUTED_VALUE"""),69.0)</f>
        <v>69</v>
      </c>
      <c r="F25" s="19" t="str">
        <f>IFERROR(__xludf.DUMMYFUNCTION("""COMPUTED_VALUE"""),"BLACK")</f>
        <v>BLACK</v>
      </c>
      <c r="G25" s="20" t="str">
        <f>IFERROR(__xludf.DUMMYFUNCTION("""COMPUTED_VALUE"""),"Uncle Sams Cider (5/13/2022)")</f>
        <v>Uncle Sams Cider (5/13/2022)</v>
      </c>
      <c r="H25" s="19"/>
    </row>
    <row r="26">
      <c r="A26" s="9"/>
      <c r="B26" s="15"/>
      <c r="C26" s="9">
        <f>IFERROR(__xludf.DUMMYFUNCTION("""COMPUTED_VALUE"""),44796.3744242245)</f>
        <v>44796.37442</v>
      </c>
      <c r="D26" s="15">
        <f>IFERROR(__xludf.DUMMYFUNCTION("""COMPUTED_VALUE"""),1.003)</f>
        <v>1.003</v>
      </c>
      <c r="E26" s="16">
        <f>IFERROR(__xludf.DUMMYFUNCTION("""COMPUTED_VALUE"""),69.0)</f>
        <v>69</v>
      </c>
      <c r="F26" s="19" t="str">
        <f>IFERROR(__xludf.DUMMYFUNCTION("""COMPUTED_VALUE"""),"BLACK")</f>
        <v>BLACK</v>
      </c>
      <c r="G26" s="20" t="str">
        <f>IFERROR(__xludf.DUMMYFUNCTION("""COMPUTED_VALUE"""),"Uncle Sams Cider (5/13/2022)")</f>
        <v>Uncle Sams Cider (5/13/2022)</v>
      </c>
      <c r="H26" s="19"/>
    </row>
    <row r="27">
      <c r="A27" s="9"/>
      <c r="B27" s="15"/>
      <c r="C27" s="9">
        <f>IFERROR(__xludf.DUMMYFUNCTION("""COMPUTED_VALUE"""),44796.3640042361)</f>
        <v>44796.364</v>
      </c>
      <c r="D27" s="15">
        <f>IFERROR(__xludf.DUMMYFUNCTION("""COMPUTED_VALUE"""),1.004)</f>
        <v>1.004</v>
      </c>
      <c r="E27" s="16">
        <f>IFERROR(__xludf.DUMMYFUNCTION("""COMPUTED_VALUE"""),69.0)</f>
        <v>69</v>
      </c>
      <c r="F27" s="19" t="str">
        <f>IFERROR(__xludf.DUMMYFUNCTION("""COMPUTED_VALUE"""),"BLACK")</f>
        <v>BLACK</v>
      </c>
      <c r="G27" s="20" t="str">
        <f>IFERROR(__xludf.DUMMYFUNCTION("""COMPUTED_VALUE"""),"Uncle Sams Cider (5/13/2022)")</f>
        <v>Uncle Sams Cider (5/13/2022)</v>
      </c>
      <c r="H27" s="19"/>
    </row>
    <row r="28">
      <c r="A28" s="9"/>
      <c r="B28" s="15"/>
      <c r="C28" s="9">
        <f>IFERROR(__xludf.DUMMYFUNCTION("""COMPUTED_VALUE"""),44796.3535828588)</f>
        <v>44796.35358</v>
      </c>
      <c r="D28" s="15">
        <f>IFERROR(__xludf.DUMMYFUNCTION("""COMPUTED_VALUE"""),1.004)</f>
        <v>1.004</v>
      </c>
      <c r="E28" s="16">
        <f>IFERROR(__xludf.DUMMYFUNCTION("""COMPUTED_VALUE"""),69.0)</f>
        <v>69</v>
      </c>
      <c r="F28" s="19" t="str">
        <f>IFERROR(__xludf.DUMMYFUNCTION("""COMPUTED_VALUE"""),"BLACK")</f>
        <v>BLACK</v>
      </c>
      <c r="G28" s="20" t="str">
        <f>IFERROR(__xludf.DUMMYFUNCTION("""COMPUTED_VALUE"""),"Uncle Sams Cider (5/13/2022)")</f>
        <v>Uncle Sams Cider (5/13/2022)</v>
      </c>
      <c r="H28" s="19"/>
    </row>
    <row r="29">
      <c r="A29" s="9"/>
      <c r="B29" s="15"/>
      <c r="C29" s="9">
        <f>IFERROR(__xludf.DUMMYFUNCTION("""COMPUTED_VALUE"""),44796.3431624074)</f>
        <v>44796.34316</v>
      </c>
      <c r="D29" s="15">
        <f>IFERROR(__xludf.DUMMYFUNCTION("""COMPUTED_VALUE"""),1.004)</f>
        <v>1.004</v>
      </c>
      <c r="E29" s="16">
        <f>IFERROR(__xludf.DUMMYFUNCTION("""COMPUTED_VALUE"""),68.0)</f>
        <v>68</v>
      </c>
      <c r="F29" s="19" t="str">
        <f>IFERROR(__xludf.DUMMYFUNCTION("""COMPUTED_VALUE"""),"BLACK")</f>
        <v>BLACK</v>
      </c>
      <c r="G29" s="20" t="str">
        <f>IFERROR(__xludf.DUMMYFUNCTION("""COMPUTED_VALUE"""),"Uncle Sams Cider (5/13/2022)")</f>
        <v>Uncle Sams Cider (5/13/2022)</v>
      </c>
      <c r="H29" s="19"/>
    </row>
    <row r="30">
      <c r="A30" s="9"/>
      <c r="B30" s="15"/>
      <c r="C30" s="9">
        <f>IFERROR(__xludf.DUMMYFUNCTION("""COMPUTED_VALUE"""),44796.3327408333)</f>
        <v>44796.33274</v>
      </c>
      <c r="D30" s="15">
        <f>IFERROR(__xludf.DUMMYFUNCTION("""COMPUTED_VALUE"""),1.003)</f>
        <v>1.003</v>
      </c>
      <c r="E30" s="16">
        <f>IFERROR(__xludf.DUMMYFUNCTION("""COMPUTED_VALUE"""),69.0)</f>
        <v>69</v>
      </c>
      <c r="F30" s="19" t="str">
        <f>IFERROR(__xludf.DUMMYFUNCTION("""COMPUTED_VALUE"""),"BLACK")</f>
        <v>BLACK</v>
      </c>
      <c r="G30" s="20" t="str">
        <f>IFERROR(__xludf.DUMMYFUNCTION("""COMPUTED_VALUE"""),"Uncle Sams Cider (5/13/2022)")</f>
        <v>Uncle Sams Cider (5/13/2022)</v>
      </c>
      <c r="H30" s="19"/>
    </row>
    <row r="31">
      <c r="A31" s="9"/>
      <c r="B31" s="15"/>
      <c r="C31" s="9">
        <f>IFERROR(__xludf.DUMMYFUNCTION("""COMPUTED_VALUE"""),44796.3223078356)</f>
        <v>44796.32231</v>
      </c>
      <c r="D31" s="15">
        <f>IFERROR(__xludf.DUMMYFUNCTION("""COMPUTED_VALUE"""),1.003)</f>
        <v>1.003</v>
      </c>
      <c r="E31" s="16">
        <f>IFERROR(__xludf.DUMMYFUNCTION("""COMPUTED_VALUE"""),68.0)</f>
        <v>68</v>
      </c>
      <c r="F31" s="19" t="str">
        <f>IFERROR(__xludf.DUMMYFUNCTION("""COMPUTED_VALUE"""),"BLACK")</f>
        <v>BLACK</v>
      </c>
      <c r="G31" s="20" t="str">
        <f>IFERROR(__xludf.DUMMYFUNCTION("""COMPUTED_VALUE"""),"Uncle Sams Cider (5/13/2022)")</f>
        <v>Uncle Sams Cider (5/13/2022)</v>
      </c>
      <c r="H31" s="19"/>
    </row>
    <row r="32">
      <c r="A32" s="9"/>
      <c r="B32" s="15"/>
      <c r="C32" s="9">
        <f>IFERROR(__xludf.DUMMYFUNCTION("""COMPUTED_VALUE"""),44796.3118855208)</f>
        <v>44796.31189</v>
      </c>
      <c r="D32" s="15">
        <f>IFERROR(__xludf.DUMMYFUNCTION("""COMPUTED_VALUE"""),1.004)</f>
        <v>1.004</v>
      </c>
      <c r="E32" s="16">
        <f>IFERROR(__xludf.DUMMYFUNCTION("""COMPUTED_VALUE"""),68.0)</f>
        <v>68</v>
      </c>
      <c r="F32" s="19" t="str">
        <f>IFERROR(__xludf.DUMMYFUNCTION("""COMPUTED_VALUE"""),"BLACK")</f>
        <v>BLACK</v>
      </c>
      <c r="G32" s="20" t="str">
        <f>IFERROR(__xludf.DUMMYFUNCTION("""COMPUTED_VALUE"""),"Uncle Sams Cider (5/13/2022)")</f>
        <v>Uncle Sams Cider (5/13/2022)</v>
      </c>
      <c r="H32" s="19"/>
    </row>
    <row r="33">
      <c r="A33" s="9"/>
      <c r="B33" s="15"/>
      <c r="C33" s="9">
        <f>IFERROR(__xludf.DUMMYFUNCTION("""COMPUTED_VALUE"""),44796.3014649074)</f>
        <v>44796.30146</v>
      </c>
      <c r="D33" s="15">
        <f>IFERROR(__xludf.DUMMYFUNCTION("""COMPUTED_VALUE"""),1.004)</f>
        <v>1.004</v>
      </c>
      <c r="E33" s="16">
        <f>IFERROR(__xludf.DUMMYFUNCTION("""COMPUTED_VALUE"""),68.0)</f>
        <v>68</v>
      </c>
      <c r="F33" s="19" t="str">
        <f>IFERROR(__xludf.DUMMYFUNCTION("""COMPUTED_VALUE"""),"BLACK")</f>
        <v>BLACK</v>
      </c>
      <c r="G33" s="20" t="str">
        <f>IFERROR(__xludf.DUMMYFUNCTION("""COMPUTED_VALUE"""),"Uncle Sams Cider (5/13/2022)")</f>
        <v>Uncle Sams Cider (5/13/2022)</v>
      </c>
      <c r="H33" s="19"/>
    </row>
    <row r="34">
      <c r="A34" s="9"/>
      <c r="B34" s="15"/>
      <c r="C34" s="9">
        <f>IFERROR(__xludf.DUMMYFUNCTION("""COMPUTED_VALUE"""),44796.2910419444)</f>
        <v>44796.29104</v>
      </c>
      <c r="D34" s="15">
        <f>IFERROR(__xludf.DUMMYFUNCTION("""COMPUTED_VALUE"""),1.004)</f>
        <v>1.004</v>
      </c>
      <c r="E34" s="16">
        <f>IFERROR(__xludf.DUMMYFUNCTION("""COMPUTED_VALUE"""),68.0)</f>
        <v>68</v>
      </c>
      <c r="F34" s="19" t="str">
        <f>IFERROR(__xludf.DUMMYFUNCTION("""COMPUTED_VALUE"""),"BLACK")</f>
        <v>BLACK</v>
      </c>
      <c r="G34" s="20" t="str">
        <f>IFERROR(__xludf.DUMMYFUNCTION("""COMPUTED_VALUE"""),"Uncle Sams Cider (5/13/2022)")</f>
        <v>Uncle Sams Cider (5/13/2022)</v>
      </c>
      <c r="H34" s="19"/>
    </row>
    <row r="35">
      <c r="A35" s="9"/>
      <c r="B35" s="15"/>
      <c r="C35" s="9">
        <f>IFERROR(__xludf.DUMMYFUNCTION("""COMPUTED_VALUE"""),44796.2806223611)</f>
        <v>44796.28062</v>
      </c>
      <c r="D35" s="15">
        <f>IFERROR(__xludf.DUMMYFUNCTION("""COMPUTED_VALUE"""),1.004)</f>
        <v>1.004</v>
      </c>
      <c r="E35" s="16">
        <f>IFERROR(__xludf.DUMMYFUNCTION("""COMPUTED_VALUE"""),68.0)</f>
        <v>68</v>
      </c>
      <c r="F35" s="19" t="str">
        <f>IFERROR(__xludf.DUMMYFUNCTION("""COMPUTED_VALUE"""),"BLACK")</f>
        <v>BLACK</v>
      </c>
      <c r="G35" s="20" t="str">
        <f>IFERROR(__xludf.DUMMYFUNCTION("""COMPUTED_VALUE"""),"Uncle Sams Cider (5/13/2022)")</f>
        <v>Uncle Sams Cider (5/13/2022)</v>
      </c>
      <c r="H35" s="19"/>
    </row>
    <row r="36">
      <c r="A36" s="9"/>
      <c r="B36" s="15"/>
      <c r="C36" s="9">
        <f>IFERROR(__xludf.DUMMYFUNCTION("""COMPUTED_VALUE"""),44796.2702011458)</f>
        <v>44796.2702</v>
      </c>
      <c r="D36" s="15">
        <f>IFERROR(__xludf.DUMMYFUNCTION("""COMPUTED_VALUE"""),1.004)</f>
        <v>1.004</v>
      </c>
      <c r="E36" s="16">
        <f>IFERROR(__xludf.DUMMYFUNCTION("""COMPUTED_VALUE"""),68.0)</f>
        <v>68</v>
      </c>
      <c r="F36" s="19" t="str">
        <f>IFERROR(__xludf.DUMMYFUNCTION("""COMPUTED_VALUE"""),"BLACK")</f>
        <v>BLACK</v>
      </c>
      <c r="G36" s="20" t="str">
        <f>IFERROR(__xludf.DUMMYFUNCTION("""COMPUTED_VALUE"""),"Uncle Sams Cider (5/13/2022)")</f>
        <v>Uncle Sams Cider (5/13/2022)</v>
      </c>
      <c r="H36" s="19"/>
    </row>
    <row r="37">
      <c r="A37" s="9"/>
      <c r="B37" s="15"/>
      <c r="C37" s="9">
        <f>IFERROR(__xludf.DUMMYFUNCTION("""COMPUTED_VALUE"""),44796.2597690046)</f>
        <v>44796.25977</v>
      </c>
      <c r="D37" s="15">
        <f>IFERROR(__xludf.DUMMYFUNCTION("""COMPUTED_VALUE"""),1.003)</f>
        <v>1.003</v>
      </c>
      <c r="E37" s="16">
        <f>IFERROR(__xludf.DUMMYFUNCTION("""COMPUTED_VALUE"""),68.0)</f>
        <v>68</v>
      </c>
      <c r="F37" s="19" t="str">
        <f>IFERROR(__xludf.DUMMYFUNCTION("""COMPUTED_VALUE"""),"BLACK")</f>
        <v>BLACK</v>
      </c>
      <c r="G37" s="20" t="str">
        <f>IFERROR(__xludf.DUMMYFUNCTION("""COMPUTED_VALUE"""),"Uncle Sams Cider (5/13/2022)")</f>
        <v>Uncle Sams Cider (5/13/2022)</v>
      </c>
      <c r="H37" s="19"/>
    </row>
    <row r="38">
      <c r="A38" s="9"/>
      <c r="B38" s="15"/>
      <c r="C38" s="9">
        <f>IFERROR(__xludf.DUMMYFUNCTION("""COMPUTED_VALUE"""),44796.2493363426)</f>
        <v>44796.24934</v>
      </c>
      <c r="D38" s="15">
        <f>IFERROR(__xludf.DUMMYFUNCTION("""COMPUTED_VALUE"""),1.004)</f>
        <v>1.004</v>
      </c>
      <c r="E38" s="16">
        <f>IFERROR(__xludf.DUMMYFUNCTION("""COMPUTED_VALUE"""),68.0)</f>
        <v>68</v>
      </c>
      <c r="F38" s="19" t="str">
        <f>IFERROR(__xludf.DUMMYFUNCTION("""COMPUTED_VALUE"""),"BLACK")</f>
        <v>BLACK</v>
      </c>
      <c r="G38" s="20" t="str">
        <f>IFERROR(__xludf.DUMMYFUNCTION("""COMPUTED_VALUE"""),"Uncle Sams Cider (5/13/2022)")</f>
        <v>Uncle Sams Cider (5/13/2022)</v>
      </c>
      <c r="H38" s="19"/>
    </row>
    <row r="39">
      <c r="A39" s="9"/>
      <c r="B39" s="15"/>
      <c r="C39" s="9">
        <f>IFERROR(__xludf.DUMMYFUNCTION("""COMPUTED_VALUE"""),44796.2389158564)</f>
        <v>44796.23892</v>
      </c>
      <c r="D39" s="15">
        <f>IFERROR(__xludf.DUMMYFUNCTION("""COMPUTED_VALUE"""),1.004)</f>
        <v>1.004</v>
      </c>
      <c r="E39" s="16">
        <f>IFERROR(__xludf.DUMMYFUNCTION("""COMPUTED_VALUE"""),68.0)</f>
        <v>68</v>
      </c>
      <c r="F39" s="19" t="str">
        <f>IFERROR(__xludf.DUMMYFUNCTION("""COMPUTED_VALUE"""),"BLACK")</f>
        <v>BLACK</v>
      </c>
      <c r="G39" s="20" t="str">
        <f>IFERROR(__xludf.DUMMYFUNCTION("""COMPUTED_VALUE"""),"Uncle Sams Cider (5/13/2022)")</f>
        <v>Uncle Sams Cider (5/13/2022)</v>
      </c>
      <c r="H39" s="19"/>
    </row>
    <row r="40">
      <c r="A40" s="9"/>
      <c r="B40" s="15"/>
      <c r="C40" s="9">
        <f>IFERROR(__xludf.DUMMYFUNCTION("""COMPUTED_VALUE"""),44796.2284951157)</f>
        <v>44796.2285</v>
      </c>
      <c r="D40" s="15">
        <f>IFERROR(__xludf.DUMMYFUNCTION("""COMPUTED_VALUE"""),1.003)</f>
        <v>1.003</v>
      </c>
      <c r="E40" s="16">
        <f>IFERROR(__xludf.DUMMYFUNCTION("""COMPUTED_VALUE"""),68.0)</f>
        <v>68</v>
      </c>
      <c r="F40" s="19" t="str">
        <f>IFERROR(__xludf.DUMMYFUNCTION("""COMPUTED_VALUE"""),"BLACK")</f>
        <v>BLACK</v>
      </c>
      <c r="G40" s="20" t="str">
        <f>IFERROR(__xludf.DUMMYFUNCTION("""COMPUTED_VALUE"""),"Uncle Sams Cider (5/13/2022)")</f>
        <v>Uncle Sams Cider (5/13/2022)</v>
      </c>
      <c r="H40" s="19"/>
    </row>
    <row r="41">
      <c r="A41" s="9"/>
      <c r="B41" s="15"/>
      <c r="C41" s="9">
        <f>IFERROR(__xludf.DUMMYFUNCTION("""COMPUTED_VALUE"""),44796.2180745138)</f>
        <v>44796.21807</v>
      </c>
      <c r="D41" s="15">
        <f>IFERROR(__xludf.DUMMYFUNCTION("""COMPUTED_VALUE"""),1.004)</f>
        <v>1.004</v>
      </c>
      <c r="E41" s="16">
        <f>IFERROR(__xludf.DUMMYFUNCTION("""COMPUTED_VALUE"""),68.0)</f>
        <v>68</v>
      </c>
      <c r="F41" s="19" t="str">
        <f>IFERROR(__xludf.DUMMYFUNCTION("""COMPUTED_VALUE"""),"BLACK")</f>
        <v>BLACK</v>
      </c>
      <c r="G41" s="20" t="str">
        <f>IFERROR(__xludf.DUMMYFUNCTION("""COMPUTED_VALUE"""),"Uncle Sams Cider (5/13/2022)")</f>
        <v>Uncle Sams Cider (5/13/2022)</v>
      </c>
      <c r="H41" s="19"/>
    </row>
    <row r="42">
      <c r="A42" s="9"/>
      <c r="B42" s="15"/>
      <c r="C42" s="9">
        <f>IFERROR(__xludf.DUMMYFUNCTION("""COMPUTED_VALUE"""),44796.2076407407)</f>
        <v>44796.20764</v>
      </c>
      <c r="D42" s="15">
        <f>IFERROR(__xludf.DUMMYFUNCTION("""COMPUTED_VALUE"""),1.004)</f>
        <v>1.004</v>
      </c>
      <c r="E42" s="16">
        <f>IFERROR(__xludf.DUMMYFUNCTION("""COMPUTED_VALUE"""),68.0)</f>
        <v>68</v>
      </c>
      <c r="F42" s="19" t="str">
        <f>IFERROR(__xludf.DUMMYFUNCTION("""COMPUTED_VALUE"""),"BLACK")</f>
        <v>BLACK</v>
      </c>
      <c r="G42" s="20" t="str">
        <f>IFERROR(__xludf.DUMMYFUNCTION("""COMPUTED_VALUE"""),"Uncle Sams Cider (5/13/2022)")</f>
        <v>Uncle Sams Cider (5/13/2022)</v>
      </c>
      <c r="H42" s="19"/>
    </row>
    <row r="43">
      <c r="A43" s="9"/>
      <c r="B43" s="15"/>
      <c r="C43" s="9">
        <f>IFERROR(__xludf.DUMMYFUNCTION("""COMPUTED_VALUE"""),44796.1972209027)</f>
        <v>44796.19722</v>
      </c>
      <c r="D43" s="15">
        <f>IFERROR(__xludf.DUMMYFUNCTION("""COMPUTED_VALUE"""),1.004)</f>
        <v>1.004</v>
      </c>
      <c r="E43" s="16">
        <f>IFERROR(__xludf.DUMMYFUNCTION("""COMPUTED_VALUE"""),68.0)</f>
        <v>68</v>
      </c>
      <c r="F43" s="19" t="str">
        <f>IFERROR(__xludf.DUMMYFUNCTION("""COMPUTED_VALUE"""),"BLACK")</f>
        <v>BLACK</v>
      </c>
      <c r="G43" s="20" t="str">
        <f>IFERROR(__xludf.DUMMYFUNCTION("""COMPUTED_VALUE"""),"Uncle Sams Cider (5/13/2022)")</f>
        <v>Uncle Sams Cider (5/13/2022)</v>
      </c>
      <c r="H43" s="19"/>
    </row>
    <row r="44">
      <c r="A44" s="9"/>
      <c r="B44" s="15"/>
      <c r="C44" s="9">
        <f>IFERROR(__xludf.DUMMYFUNCTION("""COMPUTED_VALUE"""),44796.1867881713)</f>
        <v>44796.18679</v>
      </c>
      <c r="D44" s="15">
        <f>IFERROR(__xludf.DUMMYFUNCTION("""COMPUTED_VALUE"""),1.004)</f>
        <v>1.004</v>
      </c>
      <c r="E44" s="16">
        <f>IFERROR(__xludf.DUMMYFUNCTION("""COMPUTED_VALUE"""),68.0)</f>
        <v>68</v>
      </c>
      <c r="F44" s="19" t="str">
        <f>IFERROR(__xludf.DUMMYFUNCTION("""COMPUTED_VALUE"""),"BLACK")</f>
        <v>BLACK</v>
      </c>
      <c r="G44" s="20" t="str">
        <f>IFERROR(__xludf.DUMMYFUNCTION("""COMPUTED_VALUE"""),"Uncle Sams Cider (5/13/2022)")</f>
        <v>Uncle Sams Cider (5/13/2022)</v>
      </c>
      <c r="H44" s="19"/>
    </row>
    <row r="45">
      <c r="A45" s="9"/>
      <c r="B45" s="15"/>
      <c r="C45" s="9">
        <f>IFERROR(__xludf.DUMMYFUNCTION("""COMPUTED_VALUE"""),44796.1763557407)</f>
        <v>44796.17636</v>
      </c>
      <c r="D45" s="15">
        <f>IFERROR(__xludf.DUMMYFUNCTION("""COMPUTED_VALUE"""),1.004)</f>
        <v>1.004</v>
      </c>
      <c r="E45" s="16">
        <f>IFERROR(__xludf.DUMMYFUNCTION("""COMPUTED_VALUE"""),68.0)</f>
        <v>68</v>
      </c>
      <c r="F45" s="19" t="str">
        <f>IFERROR(__xludf.DUMMYFUNCTION("""COMPUTED_VALUE"""),"BLACK")</f>
        <v>BLACK</v>
      </c>
      <c r="G45" s="20" t="str">
        <f>IFERROR(__xludf.DUMMYFUNCTION("""COMPUTED_VALUE"""),"Uncle Sams Cider (5/13/2022)")</f>
        <v>Uncle Sams Cider (5/13/2022)</v>
      </c>
      <c r="H45" s="19"/>
    </row>
    <row r="46">
      <c r="A46" s="9"/>
      <c r="B46" s="15"/>
      <c r="C46" s="9">
        <f>IFERROR(__xludf.DUMMYFUNCTION("""COMPUTED_VALUE"""),44796.1659362152)</f>
        <v>44796.16594</v>
      </c>
      <c r="D46" s="15">
        <f>IFERROR(__xludf.DUMMYFUNCTION("""COMPUTED_VALUE"""),1.003)</f>
        <v>1.003</v>
      </c>
      <c r="E46" s="16">
        <f>IFERROR(__xludf.DUMMYFUNCTION("""COMPUTED_VALUE"""),68.0)</f>
        <v>68</v>
      </c>
      <c r="F46" s="19" t="str">
        <f>IFERROR(__xludf.DUMMYFUNCTION("""COMPUTED_VALUE"""),"BLACK")</f>
        <v>BLACK</v>
      </c>
      <c r="G46" s="20" t="str">
        <f>IFERROR(__xludf.DUMMYFUNCTION("""COMPUTED_VALUE"""),"Uncle Sams Cider (5/13/2022)")</f>
        <v>Uncle Sams Cider (5/13/2022)</v>
      </c>
      <c r="H46" s="19"/>
    </row>
    <row r="47">
      <c r="A47" s="9"/>
      <c r="B47" s="15"/>
      <c r="C47" s="9">
        <f>IFERROR(__xludf.DUMMYFUNCTION("""COMPUTED_VALUE"""),44796.1555148958)</f>
        <v>44796.15551</v>
      </c>
      <c r="D47" s="15">
        <f>IFERROR(__xludf.DUMMYFUNCTION("""COMPUTED_VALUE"""),1.003)</f>
        <v>1.003</v>
      </c>
      <c r="E47" s="16">
        <f>IFERROR(__xludf.DUMMYFUNCTION("""COMPUTED_VALUE"""),68.0)</f>
        <v>68</v>
      </c>
      <c r="F47" s="19" t="str">
        <f>IFERROR(__xludf.DUMMYFUNCTION("""COMPUTED_VALUE"""),"BLACK")</f>
        <v>BLACK</v>
      </c>
      <c r="G47" s="20" t="str">
        <f>IFERROR(__xludf.DUMMYFUNCTION("""COMPUTED_VALUE"""),"Uncle Sams Cider (5/13/2022)")</f>
        <v>Uncle Sams Cider (5/13/2022)</v>
      </c>
      <c r="H47" s="19"/>
    </row>
    <row r="48">
      <c r="A48" s="9"/>
      <c r="B48" s="15"/>
      <c r="C48" s="9">
        <f>IFERROR(__xludf.DUMMYFUNCTION("""COMPUTED_VALUE"""),44796.1450931481)</f>
        <v>44796.14509</v>
      </c>
      <c r="D48" s="15">
        <f>IFERROR(__xludf.DUMMYFUNCTION("""COMPUTED_VALUE"""),1.004)</f>
        <v>1.004</v>
      </c>
      <c r="E48" s="16">
        <f>IFERROR(__xludf.DUMMYFUNCTION("""COMPUTED_VALUE"""),68.0)</f>
        <v>68</v>
      </c>
      <c r="F48" s="19" t="str">
        <f>IFERROR(__xludf.DUMMYFUNCTION("""COMPUTED_VALUE"""),"BLACK")</f>
        <v>BLACK</v>
      </c>
      <c r="G48" s="20" t="str">
        <f>IFERROR(__xludf.DUMMYFUNCTION("""COMPUTED_VALUE"""),"Uncle Sams Cider (5/13/2022)")</f>
        <v>Uncle Sams Cider (5/13/2022)</v>
      </c>
      <c r="H48" s="19"/>
    </row>
    <row r="49">
      <c r="A49" s="9"/>
      <c r="B49" s="15"/>
      <c r="C49" s="9">
        <f>IFERROR(__xludf.DUMMYFUNCTION("""COMPUTED_VALUE"""),44796.1346723726)</f>
        <v>44796.13467</v>
      </c>
      <c r="D49" s="15">
        <f>IFERROR(__xludf.DUMMYFUNCTION("""COMPUTED_VALUE"""),1.003)</f>
        <v>1.003</v>
      </c>
      <c r="E49" s="16">
        <f>IFERROR(__xludf.DUMMYFUNCTION("""COMPUTED_VALUE"""),68.0)</f>
        <v>68</v>
      </c>
      <c r="F49" s="19" t="str">
        <f>IFERROR(__xludf.DUMMYFUNCTION("""COMPUTED_VALUE"""),"BLACK")</f>
        <v>BLACK</v>
      </c>
      <c r="G49" s="20" t="str">
        <f>IFERROR(__xludf.DUMMYFUNCTION("""COMPUTED_VALUE"""),"Uncle Sams Cider (5/13/2022)")</f>
        <v>Uncle Sams Cider (5/13/2022)</v>
      </c>
      <c r="H49" s="19"/>
    </row>
    <row r="50">
      <c r="A50" s="9"/>
      <c r="B50" s="15"/>
      <c r="C50" s="9">
        <f>IFERROR(__xludf.DUMMYFUNCTION("""COMPUTED_VALUE"""),44796.1242513541)</f>
        <v>44796.12425</v>
      </c>
      <c r="D50" s="15">
        <f>IFERROR(__xludf.DUMMYFUNCTION("""COMPUTED_VALUE"""),1.004)</f>
        <v>1.004</v>
      </c>
      <c r="E50" s="16">
        <f>IFERROR(__xludf.DUMMYFUNCTION("""COMPUTED_VALUE"""),68.0)</f>
        <v>68</v>
      </c>
      <c r="F50" s="19" t="str">
        <f>IFERROR(__xludf.DUMMYFUNCTION("""COMPUTED_VALUE"""),"BLACK")</f>
        <v>BLACK</v>
      </c>
      <c r="G50" s="20" t="str">
        <f>IFERROR(__xludf.DUMMYFUNCTION("""COMPUTED_VALUE"""),"Uncle Sams Cider (5/13/2022)")</f>
        <v>Uncle Sams Cider (5/13/2022)</v>
      </c>
      <c r="H50" s="19"/>
    </row>
    <row r="51">
      <c r="A51" s="9"/>
      <c r="B51" s="15"/>
      <c r="C51" s="9">
        <f>IFERROR(__xludf.DUMMYFUNCTION("""COMPUTED_VALUE"""),44796.1138288889)</f>
        <v>44796.11383</v>
      </c>
      <c r="D51" s="15">
        <f>IFERROR(__xludf.DUMMYFUNCTION("""COMPUTED_VALUE"""),1.004)</f>
        <v>1.004</v>
      </c>
      <c r="E51" s="16">
        <f>IFERROR(__xludf.DUMMYFUNCTION("""COMPUTED_VALUE"""),68.0)</f>
        <v>68</v>
      </c>
      <c r="F51" s="19" t="str">
        <f>IFERROR(__xludf.DUMMYFUNCTION("""COMPUTED_VALUE"""),"BLACK")</f>
        <v>BLACK</v>
      </c>
      <c r="G51" s="20" t="str">
        <f>IFERROR(__xludf.DUMMYFUNCTION("""COMPUTED_VALUE"""),"Uncle Sams Cider (5/13/2022)")</f>
        <v>Uncle Sams Cider (5/13/2022)</v>
      </c>
      <c r="H51" s="19"/>
    </row>
    <row r="52">
      <c r="A52" s="9"/>
      <c r="B52" s="15"/>
      <c r="C52" s="9">
        <f>IFERROR(__xludf.DUMMYFUNCTION("""COMPUTED_VALUE"""),44796.1034078356)</f>
        <v>44796.10341</v>
      </c>
      <c r="D52" s="15">
        <f>IFERROR(__xludf.DUMMYFUNCTION("""COMPUTED_VALUE"""),1.004)</f>
        <v>1.004</v>
      </c>
      <c r="E52" s="16">
        <f>IFERROR(__xludf.DUMMYFUNCTION("""COMPUTED_VALUE"""),68.0)</f>
        <v>68</v>
      </c>
      <c r="F52" s="19" t="str">
        <f>IFERROR(__xludf.DUMMYFUNCTION("""COMPUTED_VALUE"""),"BLACK")</f>
        <v>BLACK</v>
      </c>
      <c r="G52" s="20" t="str">
        <f>IFERROR(__xludf.DUMMYFUNCTION("""COMPUTED_VALUE"""),"Uncle Sams Cider (5/13/2022)")</f>
        <v>Uncle Sams Cider (5/13/2022)</v>
      </c>
      <c r="H52" s="19"/>
    </row>
    <row r="53">
      <c r="A53" s="9"/>
      <c r="B53" s="15"/>
      <c r="C53" s="9">
        <f>IFERROR(__xludf.DUMMYFUNCTION("""COMPUTED_VALUE"""),44796.0929881713)</f>
        <v>44796.09299</v>
      </c>
      <c r="D53" s="15">
        <f>IFERROR(__xludf.DUMMYFUNCTION("""COMPUTED_VALUE"""),1.004)</f>
        <v>1.004</v>
      </c>
      <c r="E53" s="16">
        <f>IFERROR(__xludf.DUMMYFUNCTION("""COMPUTED_VALUE"""),68.0)</f>
        <v>68</v>
      </c>
      <c r="F53" s="19" t="str">
        <f>IFERROR(__xludf.DUMMYFUNCTION("""COMPUTED_VALUE"""),"BLACK")</f>
        <v>BLACK</v>
      </c>
      <c r="G53" s="20" t="str">
        <f>IFERROR(__xludf.DUMMYFUNCTION("""COMPUTED_VALUE"""),"Uncle Sams Cider (5/13/2022)")</f>
        <v>Uncle Sams Cider (5/13/2022)</v>
      </c>
      <c r="H53" s="19"/>
    </row>
    <row r="54">
      <c r="A54" s="9"/>
      <c r="B54" s="15"/>
      <c r="C54" s="9">
        <f>IFERROR(__xludf.DUMMYFUNCTION("""COMPUTED_VALUE"""),44796.0825654629)</f>
        <v>44796.08257</v>
      </c>
      <c r="D54" s="15">
        <f>IFERROR(__xludf.DUMMYFUNCTION("""COMPUTED_VALUE"""),1.004)</f>
        <v>1.004</v>
      </c>
      <c r="E54" s="16">
        <f>IFERROR(__xludf.DUMMYFUNCTION("""COMPUTED_VALUE"""),68.0)</f>
        <v>68</v>
      </c>
      <c r="F54" s="19" t="str">
        <f>IFERROR(__xludf.DUMMYFUNCTION("""COMPUTED_VALUE"""),"BLACK")</f>
        <v>BLACK</v>
      </c>
      <c r="G54" s="20" t="str">
        <f>IFERROR(__xludf.DUMMYFUNCTION("""COMPUTED_VALUE"""),"Uncle Sams Cider (5/13/2022)")</f>
        <v>Uncle Sams Cider (5/13/2022)</v>
      </c>
      <c r="H54" s="19"/>
    </row>
    <row r="55">
      <c r="A55" s="9"/>
      <c r="B55" s="15"/>
      <c r="C55" s="9">
        <f>IFERROR(__xludf.DUMMYFUNCTION("""COMPUTED_VALUE"""),44796.0721430439)</f>
        <v>44796.07214</v>
      </c>
      <c r="D55" s="15">
        <f>IFERROR(__xludf.DUMMYFUNCTION("""COMPUTED_VALUE"""),1.004)</f>
        <v>1.004</v>
      </c>
      <c r="E55" s="16">
        <f>IFERROR(__xludf.DUMMYFUNCTION("""COMPUTED_VALUE"""),68.0)</f>
        <v>68</v>
      </c>
      <c r="F55" s="19" t="str">
        <f>IFERROR(__xludf.DUMMYFUNCTION("""COMPUTED_VALUE"""),"BLACK")</f>
        <v>BLACK</v>
      </c>
      <c r="G55" s="20" t="str">
        <f>IFERROR(__xludf.DUMMYFUNCTION("""COMPUTED_VALUE"""),"Uncle Sams Cider (5/13/2022)")</f>
        <v>Uncle Sams Cider (5/13/2022)</v>
      </c>
      <c r="H55" s="19"/>
    </row>
    <row r="56">
      <c r="A56" s="9"/>
      <c r="B56" s="15"/>
      <c r="C56" s="9">
        <f>IFERROR(__xludf.DUMMYFUNCTION("""COMPUTED_VALUE"""),44796.0617236226)</f>
        <v>44796.06172</v>
      </c>
      <c r="D56" s="15">
        <f>IFERROR(__xludf.DUMMYFUNCTION("""COMPUTED_VALUE"""),1.004)</f>
        <v>1.004</v>
      </c>
      <c r="E56" s="16">
        <f>IFERROR(__xludf.DUMMYFUNCTION("""COMPUTED_VALUE"""),68.0)</f>
        <v>68</v>
      </c>
      <c r="F56" s="19" t="str">
        <f>IFERROR(__xludf.DUMMYFUNCTION("""COMPUTED_VALUE"""),"BLACK")</f>
        <v>BLACK</v>
      </c>
      <c r="G56" s="20" t="str">
        <f>IFERROR(__xludf.DUMMYFUNCTION("""COMPUTED_VALUE"""),"Uncle Sams Cider (5/13/2022)")</f>
        <v>Uncle Sams Cider (5/13/2022)</v>
      </c>
      <c r="H56" s="19"/>
    </row>
    <row r="57">
      <c r="A57" s="9"/>
      <c r="B57" s="15"/>
      <c r="C57" s="9">
        <f>IFERROR(__xludf.DUMMYFUNCTION("""COMPUTED_VALUE"""),44796.0512906713)</f>
        <v>44796.05129</v>
      </c>
      <c r="D57" s="15">
        <f>IFERROR(__xludf.DUMMYFUNCTION("""COMPUTED_VALUE"""),1.003)</f>
        <v>1.003</v>
      </c>
      <c r="E57" s="16">
        <f>IFERROR(__xludf.DUMMYFUNCTION("""COMPUTED_VALUE"""),68.0)</f>
        <v>68</v>
      </c>
      <c r="F57" s="19" t="str">
        <f>IFERROR(__xludf.DUMMYFUNCTION("""COMPUTED_VALUE"""),"BLACK")</f>
        <v>BLACK</v>
      </c>
      <c r="G57" s="20" t="str">
        <f>IFERROR(__xludf.DUMMYFUNCTION("""COMPUTED_VALUE"""),"Uncle Sams Cider (5/13/2022)")</f>
        <v>Uncle Sams Cider (5/13/2022)</v>
      </c>
      <c r="H57" s="19"/>
    </row>
    <row r="58">
      <c r="A58" s="9"/>
      <c r="B58" s="15"/>
      <c r="C58" s="9">
        <f>IFERROR(__xludf.DUMMYFUNCTION("""COMPUTED_VALUE"""),44796.0408692361)</f>
        <v>44796.04087</v>
      </c>
      <c r="D58" s="15">
        <f>IFERROR(__xludf.DUMMYFUNCTION("""COMPUTED_VALUE"""),1.004)</f>
        <v>1.004</v>
      </c>
      <c r="E58" s="16">
        <f>IFERROR(__xludf.DUMMYFUNCTION("""COMPUTED_VALUE"""),68.0)</f>
        <v>68</v>
      </c>
      <c r="F58" s="19" t="str">
        <f>IFERROR(__xludf.DUMMYFUNCTION("""COMPUTED_VALUE"""),"BLACK")</f>
        <v>BLACK</v>
      </c>
      <c r="G58" s="20" t="str">
        <f>IFERROR(__xludf.DUMMYFUNCTION("""COMPUTED_VALUE"""),"Uncle Sams Cider (5/13/2022)")</f>
        <v>Uncle Sams Cider (5/13/2022)</v>
      </c>
      <c r="H58" s="19"/>
    </row>
    <row r="59">
      <c r="A59" s="9"/>
      <c r="B59" s="15"/>
      <c r="C59" s="9">
        <f>IFERROR(__xludf.DUMMYFUNCTION("""COMPUTED_VALUE"""),44796.0304376851)</f>
        <v>44796.03044</v>
      </c>
      <c r="D59" s="15">
        <f>IFERROR(__xludf.DUMMYFUNCTION("""COMPUTED_VALUE"""),1.004)</f>
        <v>1.004</v>
      </c>
      <c r="E59" s="16">
        <f>IFERROR(__xludf.DUMMYFUNCTION("""COMPUTED_VALUE"""),68.0)</f>
        <v>68</v>
      </c>
      <c r="F59" s="19" t="str">
        <f>IFERROR(__xludf.DUMMYFUNCTION("""COMPUTED_VALUE"""),"BLACK")</f>
        <v>BLACK</v>
      </c>
      <c r="G59" s="20" t="str">
        <f>IFERROR(__xludf.DUMMYFUNCTION("""COMPUTED_VALUE"""),"Uncle Sams Cider (5/13/2022)")</f>
        <v>Uncle Sams Cider (5/13/2022)</v>
      </c>
      <c r="H59" s="19"/>
    </row>
    <row r="60">
      <c r="A60" s="9"/>
      <c r="B60" s="15"/>
      <c r="C60" s="9">
        <f>IFERROR(__xludf.DUMMYFUNCTION("""COMPUTED_VALUE"""),44796.0200163426)</f>
        <v>44796.02002</v>
      </c>
      <c r="D60" s="15">
        <f>IFERROR(__xludf.DUMMYFUNCTION("""COMPUTED_VALUE"""),1.003)</f>
        <v>1.003</v>
      </c>
      <c r="E60" s="16">
        <f>IFERROR(__xludf.DUMMYFUNCTION("""COMPUTED_VALUE"""),68.0)</f>
        <v>68</v>
      </c>
      <c r="F60" s="19" t="str">
        <f>IFERROR(__xludf.DUMMYFUNCTION("""COMPUTED_VALUE"""),"BLACK")</f>
        <v>BLACK</v>
      </c>
      <c r="G60" s="20" t="str">
        <f>IFERROR(__xludf.DUMMYFUNCTION("""COMPUTED_VALUE"""),"Uncle Sams Cider (5/13/2022)")</f>
        <v>Uncle Sams Cider (5/13/2022)</v>
      </c>
      <c r="H60" s="19"/>
    </row>
    <row r="61">
      <c r="A61" s="9"/>
      <c r="B61" s="15"/>
      <c r="C61" s="9">
        <f>IFERROR(__xludf.DUMMYFUNCTION("""COMPUTED_VALUE"""),44796.0095944328)</f>
        <v>44796.00959</v>
      </c>
      <c r="D61" s="15">
        <f>IFERROR(__xludf.DUMMYFUNCTION("""COMPUTED_VALUE"""),1.004)</f>
        <v>1.004</v>
      </c>
      <c r="E61" s="16">
        <f>IFERROR(__xludf.DUMMYFUNCTION("""COMPUTED_VALUE"""),68.0)</f>
        <v>68</v>
      </c>
      <c r="F61" s="19" t="str">
        <f>IFERROR(__xludf.DUMMYFUNCTION("""COMPUTED_VALUE"""),"BLACK")</f>
        <v>BLACK</v>
      </c>
      <c r="G61" s="20" t="str">
        <f>IFERROR(__xludf.DUMMYFUNCTION("""COMPUTED_VALUE"""),"Uncle Sams Cider (5/13/2022)")</f>
        <v>Uncle Sams Cider (5/13/2022)</v>
      </c>
      <c r="H61" s="19"/>
    </row>
    <row r="62">
      <c r="A62" s="9"/>
      <c r="B62" s="15"/>
      <c r="C62" s="9">
        <f>IFERROR(__xludf.DUMMYFUNCTION("""COMPUTED_VALUE"""),44795.9991709722)</f>
        <v>44795.99917</v>
      </c>
      <c r="D62" s="15">
        <f>IFERROR(__xludf.DUMMYFUNCTION("""COMPUTED_VALUE"""),1.004)</f>
        <v>1.004</v>
      </c>
      <c r="E62" s="16">
        <f>IFERROR(__xludf.DUMMYFUNCTION("""COMPUTED_VALUE"""),68.0)</f>
        <v>68</v>
      </c>
      <c r="F62" s="19" t="str">
        <f>IFERROR(__xludf.DUMMYFUNCTION("""COMPUTED_VALUE"""),"BLACK")</f>
        <v>BLACK</v>
      </c>
      <c r="G62" s="20" t="str">
        <f>IFERROR(__xludf.DUMMYFUNCTION("""COMPUTED_VALUE"""),"Uncle Sams Cider (5/13/2022)")</f>
        <v>Uncle Sams Cider (5/13/2022)</v>
      </c>
      <c r="H62" s="19"/>
    </row>
    <row r="63">
      <c r="A63" s="9"/>
      <c r="B63" s="15"/>
      <c r="C63" s="9">
        <f>IFERROR(__xludf.DUMMYFUNCTION("""COMPUTED_VALUE"""),44795.9887498958)</f>
        <v>44795.98875</v>
      </c>
      <c r="D63" s="15">
        <f>IFERROR(__xludf.DUMMYFUNCTION("""COMPUTED_VALUE"""),1.004)</f>
        <v>1.004</v>
      </c>
      <c r="E63" s="16">
        <f>IFERROR(__xludf.DUMMYFUNCTION("""COMPUTED_VALUE"""),68.0)</f>
        <v>68</v>
      </c>
      <c r="F63" s="19" t="str">
        <f>IFERROR(__xludf.DUMMYFUNCTION("""COMPUTED_VALUE"""),"BLACK")</f>
        <v>BLACK</v>
      </c>
      <c r="G63" s="20" t="str">
        <f>IFERROR(__xludf.DUMMYFUNCTION("""COMPUTED_VALUE"""),"Uncle Sams Cider (5/13/2022)")</f>
        <v>Uncle Sams Cider (5/13/2022)</v>
      </c>
      <c r="H63" s="19"/>
    </row>
    <row r="64">
      <c r="A64" s="9"/>
      <c r="B64" s="15"/>
      <c r="C64" s="9">
        <f>IFERROR(__xludf.DUMMYFUNCTION("""COMPUTED_VALUE"""),44795.9783292476)</f>
        <v>44795.97833</v>
      </c>
      <c r="D64" s="15">
        <f>IFERROR(__xludf.DUMMYFUNCTION("""COMPUTED_VALUE"""),1.004)</f>
        <v>1.004</v>
      </c>
      <c r="E64" s="16">
        <f>IFERROR(__xludf.DUMMYFUNCTION("""COMPUTED_VALUE"""),68.0)</f>
        <v>68</v>
      </c>
      <c r="F64" s="19" t="str">
        <f>IFERROR(__xludf.DUMMYFUNCTION("""COMPUTED_VALUE"""),"BLACK")</f>
        <v>BLACK</v>
      </c>
      <c r="G64" s="20" t="str">
        <f>IFERROR(__xludf.DUMMYFUNCTION("""COMPUTED_VALUE"""),"Uncle Sams Cider (5/13/2022)")</f>
        <v>Uncle Sams Cider (5/13/2022)</v>
      </c>
      <c r="H64" s="19"/>
    </row>
    <row r="65">
      <c r="A65" s="9"/>
      <c r="B65" s="15"/>
      <c r="C65" s="9">
        <f>IFERROR(__xludf.DUMMYFUNCTION("""COMPUTED_VALUE"""),44795.9679069212)</f>
        <v>44795.96791</v>
      </c>
      <c r="D65" s="15">
        <f>IFERROR(__xludf.DUMMYFUNCTION("""COMPUTED_VALUE"""),1.004)</f>
        <v>1.004</v>
      </c>
      <c r="E65" s="16">
        <f>IFERROR(__xludf.DUMMYFUNCTION("""COMPUTED_VALUE"""),68.0)</f>
        <v>68</v>
      </c>
      <c r="F65" s="19" t="str">
        <f>IFERROR(__xludf.DUMMYFUNCTION("""COMPUTED_VALUE"""),"BLACK")</f>
        <v>BLACK</v>
      </c>
      <c r="G65" s="20" t="str">
        <f>IFERROR(__xludf.DUMMYFUNCTION("""COMPUTED_VALUE"""),"Uncle Sams Cider (5/13/2022)")</f>
        <v>Uncle Sams Cider (5/13/2022)</v>
      </c>
      <c r="H65" s="19"/>
    </row>
    <row r="66">
      <c r="A66" s="9"/>
      <c r="B66" s="15"/>
      <c r="C66" s="9">
        <f>IFERROR(__xludf.DUMMYFUNCTION("""COMPUTED_VALUE"""),44795.95748478)</f>
        <v>44795.95748</v>
      </c>
      <c r="D66" s="15">
        <f>IFERROR(__xludf.DUMMYFUNCTION("""COMPUTED_VALUE"""),1.003)</f>
        <v>1.003</v>
      </c>
      <c r="E66" s="16">
        <f>IFERROR(__xludf.DUMMYFUNCTION("""COMPUTED_VALUE"""),68.0)</f>
        <v>68</v>
      </c>
      <c r="F66" s="19" t="str">
        <f>IFERROR(__xludf.DUMMYFUNCTION("""COMPUTED_VALUE"""),"BLACK")</f>
        <v>BLACK</v>
      </c>
      <c r="G66" s="20" t="str">
        <f>IFERROR(__xludf.DUMMYFUNCTION("""COMPUTED_VALUE"""),"Uncle Sams Cider (5/13/2022)")</f>
        <v>Uncle Sams Cider (5/13/2022)</v>
      </c>
      <c r="H66" s="19"/>
    </row>
    <row r="67">
      <c r="A67" s="9"/>
      <c r="B67" s="15"/>
      <c r="C67" s="9">
        <f>IFERROR(__xludf.DUMMYFUNCTION("""COMPUTED_VALUE"""),44795.9470638773)</f>
        <v>44795.94706</v>
      </c>
      <c r="D67" s="15">
        <f>IFERROR(__xludf.DUMMYFUNCTION("""COMPUTED_VALUE"""),1.003)</f>
        <v>1.003</v>
      </c>
      <c r="E67" s="16">
        <f>IFERROR(__xludf.DUMMYFUNCTION("""COMPUTED_VALUE"""),68.0)</f>
        <v>68</v>
      </c>
      <c r="F67" s="19" t="str">
        <f>IFERROR(__xludf.DUMMYFUNCTION("""COMPUTED_VALUE"""),"BLACK")</f>
        <v>BLACK</v>
      </c>
      <c r="G67" s="20" t="str">
        <f>IFERROR(__xludf.DUMMYFUNCTION("""COMPUTED_VALUE"""),"Uncle Sams Cider (5/13/2022)")</f>
        <v>Uncle Sams Cider (5/13/2022)</v>
      </c>
      <c r="H67" s="19"/>
    </row>
    <row r="68">
      <c r="A68" s="9"/>
      <c r="B68" s="15"/>
      <c r="C68" s="9">
        <f>IFERROR(__xludf.DUMMYFUNCTION("""COMPUTED_VALUE"""),44795.9366432638)</f>
        <v>44795.93664</v>
      </c>
      <c r="D68" s="15">
        <f>IFERROR(__xludf.DUMMYFUNCTION("""COMPUTED_VALUE"""),1.004)</f>
        <v>1.004</v>
      </c>
      <c r="E68" s="16">
        <f>IFERROR(__xludf.DUMMYFUNCTION("""COMPUTED_VALUE"""),68.0)</f>
        <v>68</v>
      </c>
      <c r="F68" s="19" t="str">
        <f>IFERROR(__xludf.DUMMYFUNCTION("""COMPUTED_VALUE"""),"BLACK")</f>
        <v>BLACK</v>
      </c>
      <c r="G68" s="20" t="str">
        <f>IFERROR(__xludf.DUMMYFUNCTION("""COMPUTED_VALUE"""),"Uncle Sams Cider (5/13/2022)")</f>
        <v>Uncle Sams Cider (5/13/2022)</v>
      </c>
      <c r="H68" s="19"/>
    </row>
    <row r="69">
      <c r="A69" s="9"/>
      <c r="B69" s="15"/>
      <c r="C69" s="9">
        <f>IFERROR(__xludf.DUMMYFUNCTION("""COMPUTED_VALUE"""),44795.9262210069)</f>
        <v>44795.92622</v>
      </c>
      <c r="D69" s="15">
        <f>IFERROR(__xludf.DUMMYFUNCTION("""COMPUTED_VALUE"""),1.004)</f>
        <v>1.004</v>
      </c>
      <c r="E69" s="16">
        <f>IFERROR(__xludf.DUMMYFUNCTION("""COMPUTED_VALUE"""),68.0)</f>
        <v>68</v>
      </c>
      <c r="F69" s="19" t="str">
        <f>IFERROR(__xludf.DUMMYFUNCTION("""COMPUTED_VALUE"""),"BLACK")</f>
        <v>BLACK</v>
      </c>
      <c r="G69" s="20" t="str">
        <f>IFERROR(__xludf.DUMMYFUNCTION("""COMPUTED_VALUE"""),"Uncle Sams Cider (5/13/2022)")</f>
        <v>Uncle Sams Cider (5/13/2022)</v>
      </c>
      <c r="H69" s="19"/>
    </row>
    <row r="70">
      <c r="A70" s="9"/>
      <c r="B70" s="15"/>
      <c r="C70" s="9">
        <f>IFERROR(__xludf.DUMMYFUNCTION("""COMPUTED_VALUE"""),44795.915789375)</f>
        <v>44795.91579</v>
      </c>
      <c r="D70" s="15">
        <f>IFERROR(__xludf.DUMMYFUNCTION("""COMPUTED_VALUE"""),1.004)</f>
        <v>1.004</v>
      </c>
      <c r="E70" s="16">
        <f>IFERROR(__xludf.DUMMYFUNCTION("""COMPUTED_VALUE"""),68.0)</f>
        <v>68</v>
      </c>
      <c r="F70" s="19" t="str">
        <f>IFERROR(__xludf.DUMMYFUNCTION("""COMPUTED_VALUE"""),"BLACK")</f>
        <v>BLACK</v>
      </c>
      <c r="G70" s="20" t="str">
        <f>IFERROR(__xludf.DUMMYFUNCTION("""COMPUTED_VALUE"""),"Uncle Sams Cider (5/13/2022)")</f>
        <v>Uncle Sams Cider (5/13/2022)</v>
      </c>
      <c r="H70" s="19"/>
    </row>
    <row r="71">
      <c r="A71" s="9"/>
      <c r="B71" s="15"/>
      <c r="C71" s="9">
        <f>IFERROR(__xludf.DUMMYFUNCTION("""COMPUTED_VALUE"""),44795.9053675925)</f>
        <v>44795.90537</v>
      </c>
      <c r="D71" s="15">
        <f>IFERROR(__xludf.DUMMYFUNCTION("""COMPUTED_VALUE"""),1.004)</f>
        <v>1.004</v>
      </c>
      <c r="E71" s="16">
        <f>IFERROR(__xludf.DUMMYFUNCTION("""COMPUTED_VALUE"""),68.0)</f>
        <v>68</v>
      </c>
      <c r="F71" s="19" t="str">
        <f>IFERROR(__xludf.DUMMYFUNCTION("""COMPUTED_VALUE"""),"BLACK")</f>
        <v>BLACK</v>
      </c>
      <c r="G71" s="20" t="str">
        <f>IFERROR(__xludf.DUMMYFUNCTION("""COMPUTED_VALUE"""),"Uncle Sams Cider (5/13/2022)")</f>
        <v>Uncle Sams Cider (5/13/2022)</v>
      </c>
      <c r="H71" s="19"/>
    </row>
    <row r="72">
      <c r="A72" s="9"/>
      <c r="B72" s="15"/>
      <c r="C72" s="9">
        <f>IFERROR(__xludf.DUMMYFUNCTION("""COMPUTED_VALUE"""),44795.8949465277)</f>
        <v>44795.89495</v>
      </c>
      <c r="D72" s="15">
        <f>IFERROR(__xludf.DUMMYFUNCTION("""COMPUTED_VALUE"""),1.004)</f>
        <v>1.004</v>
      </c>
      <c r="E72" s="16">
        <f>IFERROR(__xludf.DUMMYFUNCTION("""COMPUTED_VALUE"""),68.0)</f>
        <v>68</v>
      </c>
      <c r="F72" s="19" t="str">
        <f>IFERROR(__xludf.DUMMYFUNCTION("""COMPUTED_VALUE"""),"BLACK")</f>
        <v>BLACK</v>
      </c>
      <c r="G72" s="20" t="str">
        <f>IFERROR(__xludf.DUMMYFUNCTION("""COMPUTED_VALUE"""),"Uncle Sams Cider (5/13/2022)")</f>
        <v>Uncle Sams Cider (5/13/2022)</v>
      </c>
      <c r="H72" s="19"/>
    </row>
    <row r="73">
      <c r="A73" s="9"/>
      <c r="B73" s="15"/>
      <c r="C73" s="9">
        <f>IFERROR(__xludf.DUMMYFUNCTION("""COMPUTED_VALUE"""),44795.884526493)</f>
        <v>44795.88453</v>
      </c>
      <c r="D73" s="15">
        <f>IFERROR(__xludf.DUMMYFUNCTION("""COMPUTED_VALUE"""),1.004)</f>
        <v>1.004</v>
      </c>
      <c r="E73" s="16">
        <f>IFERROR(__xludf.DUMMYFUNCTION("""COMPUTED_VALUE"""),68.0)</f>
        <v>68</v>
      </c>
      <c r="F73" s="19" t="str">
        <f>IFERROR(__xludf.DUMMYFUNCTION("""COMPUTED_VALUE"""),"BLACK")</f>
        <v>BLACK</v>
      </c>
      <c r="G73" s="20" t="str">
        <f>IFERROR(__xludf.DUMMYFUNCTION("""COMPUTED_VALUE"""),"Uncle Sams Cider (5/13/2022)")</f>
        <v>Uncle Sams Cider (5/13/2022)</v>
      </c>
      <c r="H73" s="19"/>
    </row>
    <row r="74">
      <c r="A74" s="9"/>
      <c r="B74" s="15"/>
      <c r="C74" s="9">
        <f>IFERROR(__xludf.DUMMYFUNCTION("""COMPUTED_VALUE"""),44795.8741049884)</f>
        <v>44795.8741</v>
      </c>
      <c r="D74" s="15">
        <f>IFERROR(__xludf.DUMMYFUNCTION("""COMPUTED_VALUE"""),1.003)</f>
        <v>1.003</v>
      </c>
      <c r="E74" s="16">
        <f>IFERROR(__xludf.DUMMYFUNCTION("""COMPUTED_VALUE"""),68.0)</f>
        <v>68</v>
      </c>
      <c r="F74" s="19" t="str">
        <f>IFERROR(__xludf.DUMMYFUNCTION("""COMPUTED_VALUE"""),"BLACK")</f>
        <v>BLACK</v>
      </c>
      <c r="G74" s="20" t="str">
        <f>IFERROR(__xludf.DUMMYFUNCTION("""COMPUTED_VALUE"""),"Uncle Sams Cider (5/13/2022)")</f>
        <v>Uncle Sams Cider (5/13/2022)</v>
      </c>
      <c r="H74" s="19"/>
    </row>
    <row r="75">
      <c r="A75" s="9"/>
      <c r="B75" s="15"/>
      <c r="C75" s="9">
        <f>IFERROR(__xludf.DUMMYFUNCTION("""COMPUTED_VALUE"""),44795.8636720254)</f>
        <v>44795.86367</v>
      </c>
      <c r="D75" s="15">
        <f>IFERROR(__xludf.DUMMYFUNCTION("""COMPUTED_VALUE"""),1.004)</f>
        <v>1.004</v>
      </c>
      <c r="E75" s="16">
        <f>IFERROR(__xludf.DUMMYFUNCTION("""COMPUTED_VALUE"""),68.0)</f>
        <v>68</v>
      </c>
      <c r="F75" s="19" t="str">
        <f>IFERROR(__xludf.DUMMYFUNCTION("""COMPUTED_VALUE"""),"BLACK")</f>
        <v>BLACK</v>
      </c>
      <c r="G75" s="20" t="str">
        <f>IFERROR(__xludf.DUMMYFUNCTION("""COMPUTED_VALUE"""),"Uncle Sams Cider (5/13/2022)")</f>
        <v>Uncle Sams Cider (5/13/2022)</v>
      </c>
      <c r="H75" s="19"/>
    </row>
    <row r="76">
      <c r="A76" s="9"/>
      <c r="B76" s="15"/>
      <c r="C76" s="9">
        <f>IFERROR(__xludf.DUMMYFUNCTION("""COMPUTED_VALUE"""),44795.8532270949)</f>
        <v>44795.85323</v>
      </c>
      <c r="D76" s="15">
        <f>IFERROR(__xludf.DUMMYFUNCTION("""COMPUTED_VALUE"""),1.004)</f>
        <v>1.004</v>
      </c>
      <c r="E76" s="16">
        <f>IFERROR(__xludf.DUMMYFUNCTION("""COMPUTED_VALUE"""),68.0)</f>
        <v>68</v>
      </c>
      <c r="F76" s="19" t="str">
        <f>IFERROR(__xludf.DUMMYFUNCTION("""COMPUTED_VALUE"""),"BLACK")</f>
        <v>BLACK</v>
      </c>
      <c r="G76" s="20" t="str">
        <f>IFERROR(__xludf.DUMMYFUNCTION("""COMPUTED_VALUE"""),"Uncle Sams Cider (5/13/2022)")</f>
        <v>Uncle Sams Cider (5/13/2022)</v>
      </c>
      <c r="H76" s="19"/>
    </row>
    <row r="77">
      <c r="A77" s="9"/>
      <c r="B77" s="15"/>
      <c r="C77" s="9">
        <f>IFERROR(__xludf.DUMMYFUNCTION("""COMPUTED_VALUE"""),44795.8427958217)</f>
        <v>44795.8428</v>
      </c>
      <c r="D77" s="15">
        <f>IFERROR(__xludf.DUMMYFUNCTION("""COMPUTED_VALUE"""),1.004)</f>
        <v>1.004</v>
      </c>
      <c r="E77" s="16">
        <f>IFERROR(__xludf.DUMMYFUNCTION("""COMPUTED_VALUE"""),68.0)</f>
        <v>68</v>
      </c>
      <c r="F77" s="19" t="str">
        <f>IFERROR(__xludf.DUMMYFUNCTION("""COMPUTED_VALUE"""),"BLACK")</f>
        <v>BLACK</v>
      </c>
      <c r="G77" s="20" t="str">
        <f>IFERROR(__xludf.DUMMYFUNCTION("""COMPUTED_VALUE"""),"Uncle Sams Cider (5/13/2022)")</f>
        <v>Uncle Sams Cider (5/13/2022)</v>
      </c>
      <c r="H77" s="19"/>
    </row>
    <row r="78">
      <c r="A78" s="9"/>
      <c r="B78" s="15"/>
      <c r="C78" s="9">
        <f>IFERROR(__xludf.DUMMYFUNCTION("""COMPUTED_VALUE"""),44795.8323635069)</f>
        <v>44795.83236</v>
      </c>
      <c r="D78" s="15">
        <f>IFERROR(__xludf.DUMMYFUNCTION("""COMPUTED_VALUE"""),1.004)</f>
        <v>1.004</v>
      </c>
      <c r="E78" s="16">
        <f>IFERROR(__xludf.DUMMYFUNCTION("""COMPUTED_VALUE"""),68.0)</f>
        <v>68</v>
      </c>
      <c r="F78" s="19" t="str">
        <f>IFERROR(__xludf.DUMMYFUNCTION("""COMPUTED_VALUE"""),"BLACK")</f>
        <v>BLACK</v>
      </c>
      <c r="G78" s="20" t="str">
        <f>IFERROR(__xludf.DUMMYFUNCTION("""COMPUTED_VALUE"""),"Uncle Sams Cider (5/13/2022)")</f>
        <v>Uncle Sams Cider (5/13/2022)</v>
      </c>
      <c r="H78" s="19"/>
    </row>
    <row r="79">
      <c r="A79" s="9"/>
      <c r="B79" s="15"/>
      <c r="C79" s="9">
        <f>IFERROR(__xludf.DUMMYFUNCTION("""COMPUTED_VALUE"""),44795.8219320717)</f>
        <v>44795.82193</v>
      </c>
      <c r="D79" s="15">
        <f>IFERROR(__xludf.DUMMYFUNCTION("""COMPUTED_VALUE"""),1.003)</f>
        <v>1.003</v>
      </c>
      <c r="E79" s="16">
        <f>IFERROR(__xludf.DUMMYFUNCTION("""COMPUTED_VALUE"""),68.0)</f>
        <v>68</v>
      </c>
      <c r="F79" s="19" t="str">
        <f>IFERROR(__xludf.DUMMYFUNCTION("""COMPUTED_VALUE"""),"BLACK")</f>
        <v>BLACK</v>
      </c>
      <c r="G79" s="20" t="str">
        <f>IFERROR(__xludf.DUMMYFUNCTION("""COMPUTED_VALUE"""),"Uncle Sams Cider (5/13/2022)")</f>
        <v>Uncle Sams Cider (5/13/2022)</v>
      </c>
      <c r="H79" s="19"/>
    </row>
    <row r="80">
      <c r="A80" s="9"/>
      <c r="B80" s="15"/>
      <c r="C80" s="9">
        <f>IFERROR(__xludf.DUMMYFUNCTION("""COMPUTED_VALUE"""),44795.8115112152)</f>
        <v>44795.81151</v>
      </c>
      <c r="D80" s="15">
        <f>IFERROR(__xludf.DUMMYFUNCTION("""COMPUTED_VALUE"""),1.004)</f>
        <v>1.004</v>
      </c>
      <c r="E80" s="16">
        <f>IFERROR(__xludf.DUMMYFUNCTION("""COMPUTED_VALUE"""),68.0)</f>
        <v>68</v>
      </c>
      <c r="F80" s="19" t="str">
        <f>IFERROR(__xludf.DUMMYFUNCTION("""COMPUTED_VALUE"""),"BLACK")</f>
        <v>BLACK</v>
      </c>
      <c r="G80" s="20" t="str">
        <f>IFERROR(__xludf.DUMMYFUNCTION("""COMPUTED_VALUE"""),"Uncle Sams Cider (5/13/2022)")</f>
        <v>Uncle Sams Cider (5/13/2022)</v>
      </c>
      <c r="H80" s="19"/>
    </row>
    <row r="81">
      <c r="A81" s="9"/>
      <c r="B81" s="15"/>
      <c r="C81" s="9">
        <f>IFERROR(__xludf.DUMMYFUNCTION("""COMPUTED_VALUE"""),44795.8010907176)</f>
        <v>44795.80109</v>
      </c>
      <c r="D81" s="15">
        <f>IFERROR(__xludf.DUMMYFUNCTION("""COMPUTED_VALUE"""),1.004)</f>
        <v>1.004</v>
      </c>
      <c r="E81" s="16">
        <f>IFERROR(__xludf.DUMMYFUNCTION("""COMPUTED_VALUE"""),68.0)</f>
        <v>68</v>
      </c>
      <c r="F81" s="19" t="str">
        <f>IFERROR(__xludf.DUMMYFUNCTION("""COMPUTED_VALUE"""),"BLACK")</f>
        <v>BLACK</v>
      </c>
      <c r="G81" s="20" t="str">
        <f>IFERROR(__xludf.DUMMYFUNCTION("""COMPUTED_VALUE"""),"Uncle Sams Cider (5/13/2022)")</f>
        <v>Uncle Sams Cider (5/13/2022)</v>
      </c>
      <c r="H81" s="19"/>
    </row>
    <row r="82">
      <c r="A82" s="9"/>
      <c r="B82" s="15"/>
      <c r="C82" s="9">
        <f>IFERROR(__xludf.DUMMYFUNCTION("""COMPUTED_VALUE"""),44795.7906693171)</f>
        <v>44795.79067</v>
      </c>
      <c r="D82" s="15">
        <f>IFERROR(__xludf.DUMMYFUNCTION("""COMPUTED_VALUE"""),1.003)</f>
        <v>1.003</v>
      </c>
      <c r="E82" s="16">
        <f>IFERROR(__xludf.DUMMYFUNCTION("""COMPUTED_VALUE"""),68.0)</f>
        <v>68</v>
      </c>
      <c r="F82" s="19" t="str">
        <f>IFERROR(__xludf.DUMMYFUNCTION("""COMPUTED_VALUE"""),"BLACK")</f>
        <v>BLACK</v>
      </c>
      <c r="G82" s="20" t="str">
        <f>IFERROR(__xludf.DUMMYFUNCTION("""COMPUTED_VALUE"""),"Uncle Sams Cider (5/13/2022)")</f>
        <v>Uncle Sams Cider (5/13/2022)</v>
      </c>
      <c r="H82" s="19"/>
    </row>
    <row r="83">
      <c r="A83" s="9"/>
      <c r="B83" s="15"/>
      <c r="C83" s="9">
        <f>IFERROR(__xludf.DUMMYFUNCTION("""COMPUTED_VALUE"""),44795.7802492245)</f>
        <v>44795.78025</v>
      </c>
      <c r="D83" s="15">
        <f>IFERROR(__xludf.DUMMYFUNCTION("""COMPUTED_VALUE"""),1.004)</f>
        <v>1.004</v>
      </c>
      <c r="E83" s="16">
        <f>IFERROR(__xludf.DUMMYFUNCTION("""COMPUTED_VALUE"""),68.0)</f>
        <v>68</v>
      </c>
      <c r="F83" s="19" t="str">
        <f>IFERROR(__xludf.DUMMYFUNCTION("""COMPUTED_VALUE"""),"BLACK")</f>
        <v>BLACK</v>
      </c>
      <c r="G83" s="20" t="str">
        <f>IFERROR(__xludf.DUMMYFUNCTION("""COMPUTED_VALUE"""),"Uncle Sams Cider (5/13/2022)")</f>
        <v>Uncle Sams Cider (5/13/2022)</v>
      </c>
      <c r="H83" s="19"/>
    </row>
    <row r="84">
      <c r="A84" s="9"/>
      <c r="B84" s="15"/>
      <c r="C84" s="9">
        <f>IFERROR(__xludf.DUMMYFUNCTION("""COMPUTED_VALUE"""),44795.7698043634)</f>
        <v>44795.7698</v>
      </c>
      <c r="D84" s="15">
        <f>IFERROR(__xludf.DUMMYFUNCTION("""COMPUTED_VALUE"""),1.004)</f>
        <v>1.004</v>
      </c>
      <c r="E84" s="16">
        <f>IFERROR(__xludf.DUMMYFUNCTION("""COMPUTED_VALUE"""),68.0)</f>
        <v>68</v>
      </c>
      <c r="F84" s="19" t="str">
        <f>IFERROR(__xludf.DUMMYFUNCTION("""COMPUTED_VALUE"""),"BLACK")</f>
        <v>BLACK</v>
      </c>
      <c r="G84" s="20" t="str">
        <f>IFERROR(__xludf.DUMMYFUNCTION("""COMPUTED_VALUE"""),"Uncle Sams Cider (5/13/2022)")</f>
        <v>Uncle Sams Cider (5/13/2022)</v>
      </c>
      <c r="H84" s="19"/>
    </row>
    <row r="85">
      <c r="A85" s="9"/>
      <c r="B85" s="15"/>
      <c r="C85" s="9">
        <f>IFERROR(__xludf.DUMMYFUNCTION("""COMPUTED_VALUE"""),44795.7593820138)</f>
        <v>44795.75938</v>
      </c>
      <c r="D85" s="15">
        <f>IFERROR(__xludf.DUMMYFUNCTION("""COMPUTED_VALUE"""),1.003)</f>
        <v>1.003</v>
      </c>
      <c r="E85" s="16">
        <f>IFERROR(__xludf.DUMMYFUNCTION("""COMPUTED_VALUE"""),68.0)</f>
        <v>68</v>
      </c>
      <c r="F85" s="19" t="str">
        <f>IFERROR(__xludf.DUMMYFUNCTION("""COMPUTED_VALUE"""),"BLACK")</f>
        <v>BLACK</v>
      </c>
      <c r="G85" s="20" t="str">
        <f>IFERROR(__xludf.DUMMYFUNCTION("""COMPUTED_VALUE"""),"Uncle Sams Cider (5/13/2022)")</f>
        <v>Uncle Sams Cider (5/13/2022)</v>
      </c>
      <c r="H85" s="19"/>
    </row>
    <row r="86">
      <c r="A86" s="9"/>
      <c r="B86" s="15"/>
      <c r="C86" s="9">
        <f>IFERROR(__xludf.DUMMYFUNCTION("""COMPUTED_VALUE"""),44795.7489502777)</f>
        <v>44795.74895</v>
      </c>
      <c r="D86" s="15">
        <f>IFERROR(__xludf.DUMMYFUNCTION("""COMPUTED_VALUE"""),1.004)</f>
        <v>1.004</v>
      </c>
      <c r="E86" s="16">
        <f>IFERROR(__xludf.DUMMYFUNCTION("""COMPUTED_VALUE"""),68.0)</f>
        <v>68</v>
      </c>
      <c r="F86" s="19" t="str">
        <f>IFERROR(__xludf.DUMMYFUNCTION("""COMPUTED_VALUE"""),"BLACK")</f>
        <v>BLACK</v>
      </c>
      <c r="G86" s="20" t="str">
        <f>IFERROR(__xludf.DUMMYFUNCTION("""COMPUTED_VALUE"""),"Uncle Sams Cider (5/13/2022)")</f>
        <v>Uncle Sams Cider (5/13/2022)</v>
      </c>
      <c r="H86" s="19"/>
    </row>
    <row r="87">
      <c r="A87" s="9"/>
      <c r="B87" s="15"/>
      <c r="C87" s="9">
        <f>IFERROR(__xludf.DUMMYFUNCTION("""COMPUTED_VALUE"""),44795.73851478)</f>
        <v>44795.73851</v>
      </c>
      <c r="D87" s="15">
        <f>IFERROR(__xludf.DUMMYFUNCTION("""COMPUTED_VALUE"""),1.004)</f>
        <v>1.004</v>
      </c>
      <c r="E87" s="16">
        <f>IFERROR(__xludf.DUMMYFUNCTION("""COMPUTED_VALUE"""),68.0)</f>
        <v>68</v>
      </c>
      <c r="F87" s="19" t="str">
        <f>IFERROR(__xludf.DUMMYFUNCTION("""COMPUTED_VALUE"""),"BLACK")</f>
        <v>BLACK</v>
      </c>
      <c r="G87" s="20" t="str">
        <f>IFERROR(__xludf.DUMMYFUNCTION("""COMPUTED_VALUE"""),"Uncle Sams Cider (5/13/2022)")</f>
        <v>Uncle Sams Cider (5/13/2022)</v>
      </c>
      <c r="H87" s="19"/>
    </row>
    <row r="88">
      <c r="A88" s="9"/>
      <c r="B88" s="15"/>
      <c r="C88" s="9">
        <f>IFERROR(__xludf.DUMMYFUNCTION("""COMPUTED_VALUE"""),44795.7280828125)</f>
        <v>44795.72808</v>
      </c>
      <c r="D88" s="15">
        <f>IFERROR(__xludf.DUMMYFUNCTION("""COMPUTED_VALUE"""),1.003)</f>
        <v>1.003</v>
      </c>
      <c r="E88" s="16">
        <f>IFERROR(__xludf.DUMMYFUNCTION("""COMPUTED_VALUE"""),68.0)</f>
        <v>68</v>
      </c>
      <c r="F88" s="19" t="str">
        <f>IFERROR(__xludf.DUMMYFUNCTION("""COMPUTED_VALUE"""),"BLACK")</f>
        <v>BLACK</v>
      </c>
      <c r="G88" s="20" t="str">
        <f>IFERROR(__xludf.DUMMYFUNCTION("""COMPUTED_VALUE"""),"Uncle Sams Cider (5/13/2022)")</f>
        <v>Uncle Sams Cider (5/13/2022)</v>
      </c>
      <c r="H88" s="19"/>
    </row>
    <row r="89">
      <c r="A89" s="9"/>
      <c r="B89" s="15"/>
      <c r="C89" s="9">
        <f>IFERROR(__xludf.DUMMYFUNCTION("""COMPUTED_VALUE"""),44795.7176612268)</f>
        <v>44795.71766</v>
      </c>
      <c r="D89" s="15">
        <f>IFERROR(__xludf.DUMMYFUNCTION("""COMPUTED_VALUE"""),1.004)</f>
        <v>1.004</v>
      </c>
      <c r="E89" s="16">
        <f>IFERROR(__xludf.DUMMYFUNCTION("""COMPUTED_VALUE"""),68.0)</f>
        <v>68</v>
      </c>
      <c r="F89" s="19" t="str">
        <f>IFERROR(__xludf.DUMMYFUNCTION("""COMPUTED_VALUE"""),"BLACK")</f>
        <v>BLACK</v>
      </c>
      <c r="G89" s="20" t="str">
        <f>IFERROR(__xludf.DUMMYFUNCTION("""COMPUTED_VALUE"""),"Uncle Sams Cider (5/13/2022)")</f>
        <v>Uncle Sams Cider (5/13/2022)</v>
      </c>
      <c r="H89" s="19"/>
    </row>
    <row r="90">
      <c r="A90" s="9"/>
      <c r="B90" s="15"/>
      <c r="C90" s="9">
        <f>IFERROR(__xludf.DUMMYFUNCTION("""COMPUTED_VALUE"""),44795.707240243)</f>
        <v>44795.70724</v>
      </c>
      <c r="D90" s="15">
        <f>IFERROR(__xludf.DUMMYFUNCTION("""COMPUTED_VALUE"""),1.004)</f>
        <v>1.004</v>
      </c>
      <c r="E90" s="16">
        <f>IFERROR(__xludf.DUMMYFUNCTION("""COMPUTED_VALUE"""),68.0)</f>
        <v>68</v>
      </c>
      <c r="F90" s="19" t="str">
        <f>IFERROR(__xludf.DUMMYFUNCTION("""COMPUTED_VALUE"""),"BLACK")</f>
        <v>BLACK</v>
      </c>
      <c r="G90" s="20" t="str">
        <f>IFERROR(__xludf.DUMMYFUNCTION("""COMPUTED_VALUE"""),"Uncle Sams Cider (5/13/2022)")</f>
        <v>Uncle Sams Cider (5/13/2022)</v>
      </c>
      <c r="H90" s="19"/>
    </row>
    <row r="91">
      <c r="A91" s="9"/>
      <c r="B91" s="15"/>
      <c r="C91" s="9">
        <f>IFERROR(__xludf.DUMMYFUNCTION("""COMPUTED_VALUE"""),44795.696819155)</f>
        <v>44795.69682</v>
      </c>
      <c r="D91" s="15">
        <f>IFERROR(__xludf.DUMMYFUNCTION("""COMPUTED_VALUE"""),1.004)</f>
        <v>1.004</v>
      </c>
      <c r="E91" s="16">
        <f>IFERROR(__xludf.DUMMYFUNCTION("""COMPUTED_VALUE"""),68.0)</f>
        <v>68</v>
      </c>
      <c r="F91" s="19" t="str">
        <f>IFERROR(__xludf.DUMMYFUNCTION("""COMPUTED_VALUE"""),"BLACK")</f>
        <v>BLACK</v>
      </c>
      <c r="G91" s="20" t="str">
        <f>IFERROR(__xludf.DUMMYFUNCTION("""COMPUTED_VALUE"""),"Uncle Sams Cider (5/13/2022)")</f>
        <v>Uncle Sams Cider (5/13/2022)</v>
      </c>
      <c r="H91" s="19"/>
    </row>
    <row r="92">
      <c r="A92" s="9"/>
      <c r="B92" s="15"/>
      <c r="C92" s="9">
        <f>IFERROR(__xludf.DUMMYFUNCTION("""COMPUTED_VALUE"""),44795.6863867013)</f>
        <v>44795.68639</v>
      </c>
      <c r="D92" s="15">
        <f>IFERROR(__xludf.DUMMYFUNCTION("""COMPUTED_VALUE"""),1.004)</f>
        <v>1.004</v>
      </c>
      <c r="E92" s="16">
        <f>IFERROR(__xludf.DUMMYFUNCTION("""COMPUTED_VALUE"""),68.0)</f>
        <v>68</v>
      </c>
      <c r="F92" s="19" t="str">
        <f>IFERROR(__xludf.DUMMYFUNCTION("""COMPUTED_VALUE"""),"BLACK")</f>
        <v>BLACK</v>
      </c>
      <c r="G92" s="20" t="str">
        <f>IFERROR(__xludf.DUMMYFUNCTION("""COMPUTED_VALUE"""),"Uncle Sams Cider (5/13/2022)")</f>
        <v>Uncle Sams Cider (5/13/2022)</v>
      </c>
      <c r="H92" s="19"/>
    </row>
    <row r="93">
      <c r="A93" s="9"/>
      <c r="B93" s="15"/>
      <c r="C93" s="9">
        <f>IFERROR(__xludf.DUMMYFUNCTION("""COMPUTED_VALUE"""),44795.6759546759)</f>
        <v>44795.67595</v>
      </c>
      <c r="D93" s="15">
        <f>IFERROR(__xludf.DUMMYFUNCTION("""COMPUTED_VALUE"""),1.004)</f>
        <v>1.004</v>
      </c>
      <c r="E93" s="16">
        <f>IFERROR(__xludf.DUMMYFUNCTION("""COMPUTED_VALUE"""),68.0)</f>
        <v>68</v>
      </c>
      <c r="F93" s="19" t="str">
        <f>IFERROR(__xludf.DUMMYFUNCTION("""COMPUTED_VALUE"""),"BLACK")</f>
        <v>BLACK</v>
      </c>
      <c r="G93" s="20" t="str">
        <f>IFERROR(__xludf.DUMMYFUNCTION("""COMPUTED_VALUE"""),"Uncle Sams Cider (5/13/2022)")</f>
        <v>Uncle Sams Cider (5/13/2022)</v>
      </c>
      <c r="H93" s="19"/>
    </row>
    <row r="94">
      <c r="A94" s="9"/>
      <c r="B94" s="15"/>
      <c r="C94" s="9">
        <f>IFERROR(__xludf.DUMMYFUNCTION("""COMPUTED_VALUE"""),44795.6655335301)</f>
        <v>44795.66553</v>
      </c>
      <c r="D94" s="15">
        <f>IFERROR(__xludf.DUMMYFUNCTION("""COMPUTED_VALUE"""),1.004)</f>
        <v>1.004</v>
      </c>
      <c r="E94" s="16">
        <f>IFERROR(__xludf.DUMMYFUNCTION("""COMPUTED_VALUE"""),68.0)</f>
        <v>68</v>
      </c>
      <c r="F94" s="19" t="str">
        <f>IFERROR(__xludf.DUMMYFUNCTION("""COMPUTED_VALUE"""),"BLACK")</f>
        <v>BLACK</v>
      </c>
      <c r="G94" s="20" t="str">
        <f>IFERROR(__xludf.DUMMYFUNCTION("""COMPUTED_VALUE"""),"Uncle Sams Cider (5/13/2022)")</f>
        <v>Uncle Sams Cider (5/13/2022)</v>
      </c>
      <c r="H94" s="19"/>
    </row>
    <row r="95">
      <c r="A95" s="9"/>
      <c r="B95" s="15"/>
      <c r="C95" s="9">
        <f>IFERROR(__xludf.DUMMYFUNCTION("""COMPUTED_VALUE"""),44795.6551111111)</f>
        <v>44795.65511</v>
      </c>
      <c r="D95" s="15">
        <f>IFERROR(__xludf.DUMMYFUNCTION("""COMPUTED_VALUE"""),1.004)</f>
        <v>1.004</v>
      </c>
      <c r="E95" s="16">
        <f>IFERROR(__xludf.DUMMYFUNCTION("""COMPUTED_VALUE"""),68.0)</f>
        <v>68</v>
      </c>
      <c r="F95" s="19" t="str">
        <f>IFERROR(__xludf.DUMMYFUNCTION("""COMPUTED_VALUE"""),"BLACK")</f>
        <v>BLACK</v>
      </c>
      <c r="G95" s="20" t="str">
        <f>IFERROR(__xludf.DUMMYFUNCTION("""COMPUTED_VALUE"""),"Uncle Sams Cider (5/13/2022)")</f>
        <v>Uncle Sams Cider (5/13/2022)</v>
      </c>
      <c r="H95" s="19"/>
    </row>
    <row r="96">
      <c r="A96" s="9"/>
      <c r="B96" s="15"/>
      <c r="C96" s="9">
        <f>IFERROR(__xludf.DUMMYFUNCTION("""COMPUTED_VALUE"""),44795.6446874884)</f>
        <v>44795.64469</v>
      </c>
      <c r="D96" s="15">
        <f>IFERROR(__xludf.DUMMYFUNCTION("""COMPUTED_VALUE"""),1.003)</f>
        <v>1.003</v>
      </c>
      <c r="E96" s="16">
        <f>IFERROR(__xludf.DUMMYFUNCTION("""COMPUTED_VALUE"""),68.0)</f>
        <v>68</v>
      </c>
      <c r="F96" s="19" t="str">
        <f>IFERROR(__xludf.DUMMYFUNCTION("""COMPUTED_VALUE"""),"BLACK")</f>
        <v>BLACK</v>
      </c>
      <c r="G96" s="20" t="str">
        <f>IFERROR(__xludf.DUMMYFUNCTION("""COMPUTED_VALUE"""),"Uncle Sams Cider (5/13/2022)")</f>
        <v>Uncle Sams Cider (5/13/2022)</v>
      </c>
      <c r="H96" s="19"/>
    </row>
    <row r="97">
      <c r="A97" s="9"/>
      <c r="B97" s="15"/>
      <c r="C97" s="9">
        <f>IFERROR(__xludf.DUMMYFUNCTION("""COMPUTED_VALUE"""),44795.6342648379)</f>
        <v>44795.63426</v>
      </c>
      <c r="D97" s="15">
        <f>IFERROR(__xludf.DUMMYFUNCTION("""COMPUTED_VALUE"""),1.004)</f>
        <v>1.004</v>
      </c>
      <c r="E97" s="16">
        <f>IFERROR(__xludf.DUMMYFUNCTION("""COMPUTED_VALUE"""),68.0)</f>
        <v>68</v>
      </c>
      <c r="F97" s="19" t="str">
        <f>IFERROR(__xludf.DUMMYFUNCTION("""COMPUTED_VALUE"""),"BLACK")</f>
        <v>BLACK</v>
      </c>
      <c r="G97" s="20" t="str">
        <f>IFERROR(__xludf.DUMMYFUNCTION("""COMPUTED_VALUE"""),"Uncle Sams Cider (5/13/2022)")</f>
        <v>Uncle Sams Cider (5/13/2022)</v>
      </c>
      <c r="H97" s="19"/>
    </row>
    <row r="98">
      <c r="A98" s="9"/>
      <c r="B98" s="15"/>
      <c r="C98" s="9">
        <f>IFERROR(__xludf.DUMMYFUNCTION("""COMPUTED_VALUE"""),44795.6238314583)</f>
        <v>44795.62383</v>
      </c>
      <c r="D98" s="15">
        <f>IFERROR(__xludf.DUMMYFUNCTION("""COMPUTED_VALUE"""),1.004)</f>
        <v>1.004</v>
      </c>
      <c r="E98" s="16">
        <f>IFERROR(__xludf.DUMMYFUNCTION("""COMPUTED_VALUE"""),67.0)</f>
        <v>67</v>
      </c>
      <c r="F98" s="19" t="str">
        <f>IFERROR(__xludf.DUMMYFUNCTION("""COMPUTED_VALUE"""),"BLACK")</f>
        <v>BLACK</v>
      </c>
      <c r="G98" s="20" t="str">
        <f>IFERROR(__xludf.DUMMYFUNCTION("""COMPUTED_VALUE"""),"Uncle Sams Cider (5/13/2022)")</f>
        <v>Uncle Sams Cider (5/13/2022)</v>
      </c>
      <c r="H98" s="19"/>
    </row>
    <row r="99">
      <c r="A99" s="9"/>
      <c r="B99" s="15"/>
      <c r="C99" s="9">
        <f>IFERROR(__xludf.DUMMYFUNCTION("""COMPUTED_VALUE"""),44795.6134095486)</f>
        <v>44795.61341</v>
      </c>
      <c r="D99" s="15">
        <f>IFERROR(__xludf.DUMMYFUNCTION("""COMPUTED_VALUE"""),1.004)</f>
        <v>1.004</v>
      </c>
      <c r="E99" s="16">
        <f>IFERROR(__xludf.DUMMYFUNCTION("""COMPUTED_VALUE"""),68.0)</f>
        <v>68</v>
      </c>
      <c r="F99" s="19" t="str">
        <f>IFERROR(__xludf.DUMMYFUNCTION("""COMPUTED_VALUE"""),"BLACK")</f>
        <v>BLACK</v>
      </c>
      <c r="G99" s="20" t="str">
        <f>IFERROR(__xludf.DUMMYFUNCTION("""COMPUTED_VALUE"""),"Uncle Sams Cider (5/13/2022)")</f>
        <v>Uncle Sams Cider (5/13/2022)</v>
      </c>
      <c r="H99" s="19"/>
    </row>
    <row r="100">
      <c r="A100" s="9"/>
      <c r="B100" s="15"/>
      <c r="C100" s="9">
        <f>IFERROR(__xludf.DUMMYFUNCTION("""COMPUTED_VALUE"""),44795.6029770949)</f>
        <v>44795.60298</v>
      </c>
      <c r="D100" s="15">
        <f>IFERROR(__xludf.DUMMYFUNCTION("""COMPUTED_VALUE"""),1.004)</f>
        <v>1.004</v>
      </c>
      <c r="E100" s="16">
        <f>IFERROR(__xludf.DUMMYFUNCTION("""COMPUTED_VALUE"""),68.0)</f>
        <v>68</v>
      </c>
      <c r="F100" s="19" t="str">
        <f>IFERROR(__xludf.DUMMYFUNCTION("""COMPUTED_VALUE"""),"BLACK")</f>
        <v>BLACK</v>
      </c>
      <c r="G100" s="20" t="str">
        <f>IFERROR(__xludf.DUMMYFUNCTION("""COMPUTED_VALUE"""),"Uncle Sams Cider (5/13/2022)")</f>
        <v>Uncle Sams Cider (5/13/2022)</v>
      </c>
      <c r="H100" s="19"/>
    </row>
    <row r="101">
      <c r="A101" s="9"/>
      <c r="B101" s="15"/>
      <c r="C101" s="9">
        <f>IFERROR(__xludf.DUMMYFUNCTION("""COMPUTED_VALUE"""),44795.5925574652)</f>
        <v>44795.59256</v>
      </c>
      <c r="D101" s="15">
        <f>IFERROR(__xludf.DUMMYFUNCTION("""COMPUTED_VALUE"""),1.004)</f>
        <v>1.004</v>
      </c>
      <c r="E101" s="16">
        <f>IFERROR(__xludf.DUMMYFUNCTION("""COMPUTED_VALUE"""),67.0)</f>
        <v>67</v>
      </c>
      <c r="F101" s="19" t="str">
        <f>IFERROR(__xludf.DUMMYFUNCTION("""COMPUTED_VALUE"""),"BLACK")</f>
        <v>BLACK</v>
      </c>
      <c r="G101" s="20" t="str">
        <f>IFERROR(__xludf.DUMMYFUNCTION("""COMPUTED_VALUE"""),"Uncle Sams Cider (5/13/2022)")</f>
        <v>Uncle Sams Cider (5/13/2022)</v>
      </c>
      <c r="H101" s="19"/>
    </row>
    <row r="102">
      <c r="A102" s="9"/>
      <c r="B102" s="15"/>
      <c r="C102" s="9">
        <f>IFERROR(__xludf.DUMMYFUNCTION("""COMPUTED_VALUE"""),44795.5821146296)</f>
        <v>44795.58211</v>
      </c>
      <c r="D102" s="15">
        <f>IFERROR(__xludf.DUMMYFUNCTION("""COMPUTED_VALUE"""),1.004)</f>
        <v>1.004</v>
      </c>
      <c r="E102" s="16">
        <f>IFERROR(__xludf.DUMMYFUNCTION("""COMPUTED_VALUE"""),67.0)</f>
        <v>67</v>
      </c>
      <c r="F102" s="19" t="str">
        <f>IFERROR(__xludf.DUMMYFUNCTION("""COMPUTED_VALUE"""),"BLACK")</f>
        <v>BLACK</v>
      </c>
      <c r="G102" s="20" t="str">
        <f>IFERROR(__xludf.DUMMYFUNCTION("""COMPUTED_VALUE"""),"Uncle Sams Cider (5/13/2022)")</f>
        <v>Uncle Sams Cider (5/13/2022)</v>
      </c>
      <c r="H102" s="19"/>
    </row>
    <row r="103">
      <c r="A103" s="9"/>
      <c r="B103" s="15"/>
      <c r="C103" s="9">
        <f>IFERROR(__xludf.DUMMYFUNCTION("""COMPUTED_VALUE"""),44795.5716714236)</f>
        <v>44795.57167</v>
      </c>
      <c r="D103" s="15">
        <f>IFERROR(__xludf.DUMMYFUNCTION("""COMPUTED_VALUE"""),1.004)</f>
        <v>1.004</v>
      </c>
      <c r="E103" s="16">
        <f>IFERROR(__xludf.DUMMYFUNCTION("""COMPUTED_VALUE"""),67.0)</f>
        <v>67</v>
      </c>
      <c r="F103" s="19" t="str">
        <f>IFERROR(__xludf.DUMMYFUNCTION("""COMPUTED_VALUE"""),"BLACK")</f>
        <v>BLACK</v>
      </c>
      <c r="G103" s="20" t="str">
        <f>IFERROR(__xludf.DUMMYFUNCTION("""COMPUTED_VALUE"""),"Uncle Sams Cider (5/13/2022)")</f>
        <v>Uncle Sams Cider (5/13/2022)</v>
      </c>
      <c r="H103" s="19"/>
    </row>
    <row r="104">
      <c r="A104" s="9"/>
      <c r="B104" s="15"/>
      <c r="C104" s="9">
        <f>IFERROR(__xludf.DUMMYFUNCTION("""COMPUTED_VALUE"""),44795.5612501041)</f>
        <v>44795.56125</v>
      </c>
      <c r="D104" s="15">
        <f>IFERROR(__xludf.DUMMYFUNCTION("""COMPUTED_VALUE"""),1.004)</f>
        <v>1.004</v>
      </c>
      <c r="E104" s="16">
        <f>IFERROR(__xludf.DUMMYFUNCTION("""COMPUTED_VALUE"""),67.0)</f>
        <v>67</v>
      </c>
      <c r="F104" s="19" t="str">
        <f>IFERROR(__xludf.DUMMYFUNCTION("""COMPUTED_VALUE"""),"BLACK")</f>
        <v>BLACK</v>
      </c>
      <c r="G104" s="20" t="str">
        <f>IFERROR(__xludf.DUMMYFUNCTION("""COMPUTED_VALUE"""),"Uncle Sams Cider (5/13/2022)")</f>
        <v>Uncle Sams Cider (5/13/2022)</v>
      </c>
      <c r="H104" s="19"/>
    </row>
    <row r="105">
      <c r="A105" s="9"/>
      <c r="B105" s="15"/>
      <c r="C105" s="9">
        <f>IFERROR(__xludf.DUMMYFUNCTION("""COMPUTED_VALUE"""),44795.5508282175)</f>
        <v>44795.55083</v>
      </c>
      <c r="D105" s="15">
        <f>IFERROR(__xludf.DUMMYFUNCTION("""COMPUTED_VALUE"""),1.004)</f>
        <v>1.004</v>
      </c>
      <c r="E105" s="16">
        <f>IFERROR(__xludf.DUMMYFUNCTION("""COMPUTED_VALUE"""),67.0)</f>
        <v>67</v>
      </c>
      <c r="F105" s="19" t="str">
        <f>IFERROR(__xludf.DUMMYFUNCTION("""COMPUTED_VALUE"""),"BLACK")</f>
        <v>BLACK</v>
      </c>
      <c r="G105" s="20" t="str">
        <f>IFERROR(__xludf.DUMMYFUNCTION("""COMPUTED_VALUE"""),"Uncle Sams Cider (5/13/2022)")</f>
        <v>Uncle Sams Cider (5/13/2022)</v>
      </c>
      <c r="H105" s="19"/>
    </row>
    <row r="106">
      <c r="A106" s="9"/>
      <c r="B106" s="15"/>
      <c r="C106" s="9">
        <f>IFERROR(__xludf.DUMMYFUNCTION("""COMPUTED_VALUE"""),44795.5404072338)</f>
        <v>44795.54041</v>
      </c>
      <c r="D106" s="15">
        <f>IFERROR(__xludf.DUMMYFUNCTION("""COMPUTED_VALUE"""),1.004)</f>
        <v>1.004</v>
      </c>
      <c r="E106" s="16">
        <f>IFERROR(__xludf.DUMMYFUNCTION("""COMPUTED_VALUE"""),67.0)</f>
        <v>67</v>
      </c>
      <c r="F106" s="19" t="str">
        <f>IFERROR(__xludf.DUMMYFUNCTION("""COMPUTED_VALUE"""),"BLACK")</f>
        <v>BLACK</v>
      </c>
      <c r="G106" s="20" t="str">
        <f>IFERROR(__xludf.DUMMYFUNCTION("""COMPUTED_VALUE"""),"Uncle Sams Cider (5/13/2022)")</f>
        <v>Uncle Sams Cider (5/13/2022)</v>
      </c>
      <c r="H106" s="19"/>
    </row>
    <row r="107">
      <c r="A107" s="9"/>
      <c r="B107" s="15"/>
      <c r="C107" s="9">
        <f>IFERROR(__xludf.DUMMYFUNCTION("""COMPUTED_VALUE"""),44795.5299859953)</f>
        <v>44795.52999</v>
      </c>
      <c r="D107" s="15">
        <f>IFERROR(__xludf.DUMMYFUNCTION("""COMPUTED_VALUE"""),1.004)</f>
        <v>1.004</v>
      </c>
      <c r="E107" s="16">
        <f>IFERROR(__xludf.DUMMYFUNCTION("""COMPUTED_VALUE"""),67.0)</f>
        <v>67</v>
      </c>
      <c r="F107" s="19" t="str">
        <f>IFERROR(__xludf.DUMMYFUNCTION("""COMPUTED_VALUE"""),"BLACK")</f>
        <v>BLACK</v>
      </c>
      <c r="G107" s="20" t="str">
        <f>IFERROR(__xludf.DUMMYFUNCTION("""COMPUTED_VALUE"""),"Uncle Sams Cider (5/13/2022)")</f>
        <v>Uncle Sams Cider (5/13/2022)</v>
      </c>
      <c r="H107" s="19"/>
    </row>
    <row r="108">
      <c r="A108" s="9"/>
      <c r="B108" s="15"/>
      <c r="C108" s="9">
        <f>IFERROR(__xludf.DUMMYFUNCTION("""COMPUTED_VALUE"""),44795.5195648263)</f>
        <v>44795.51956</v>
      </c>
      <c r="D108" s="15">
        <f>IFERROR(__xludf.DUMMYFUNCTION("""COMPUTED_VALUE"""),1.004)</f>
        <v>1.004</v>
      </c>
      <c r="E108" s="16">
        <f>IFERROR(__xludf.DUMMYFUNCTION("""COMPUTED_VALUE"""),67.0)</f>
        <v>67</v>
      </c>
      <c r="F108" s="19" t="str">
        <f>IFERROR(__xludf.DUMMYFUNCTION("""COMPUTED_VALUE"""),"BLACK")</f>
        <v>BLACK</v>
      </c>
      <c r="G108" s="20" t="str">
        <f>IFERROR(__xludf.DUMMYFUNCTION("""COMPUTED_VALUE"""),"Uncle Sams Cider (5/13/2022)")</f>
        <v>Uncle Sams Cider (5/13/2022)</v>
      </c>
      <c r="H108" s="19"/>
    </row>
    <row r="109">
      <c r="A109" s="9"/>
      <c r="B109" s="15"/>
      <c r="C109" s="9">
        <f>IFERROR(__xludf.DUMMYFUNCTION("""COMPUTED_VALUE"""),44795.5091428819)</f>
        <v>44795.50914</v>
      </c>
      <c r="D109" s="15">
        <f>IFERROR(__xludf.DUMMYFUNCTION("""COMPUTED_VALUE"""),1.004)</f>
        <v>1.004</v>
      </c>
      <c r="E109" s="16">
        <f>IFERROR(__xludf.DUMMYFUNCTION("""COMPUTED_VALUE"""),67.0)</f>
        <v>67</v>
      </c>
      <c r="F109" s="19" t="str">
        <f>IFERROR(__xludf.DUMMYFUNCTION("""COMPUTED_VALUE"""),"BLACK")</f>
        <v>BLACK</v>
      </c>
      <c r="G109" s="20" t="str">
        <f>IFERROR(__xludf.DUMMYFUNCTION("""COMPUTED_VALUE"""),"Uncle Sams Cider (5/13/2022)")</f>
        <v>Uncle Sams Cider (5/13/2022)</v>
      </c>
      <c r="H109" s="19"/>
    </row>
    <row r="110">
      <c r="A110" s="9"/>
      <c r="B110" s="15"/>
      <c r="C110" s="9">
        <f>IFERROR(__xludf.DUMMYFUNCTION("""COMPUTED_VALUE"""),44795.4987232986)</f>
        <v>44795.49872</v>
      </c>
      <c r="D110" s="15">
        <f>IFERROR(__xludf.DUMMYFUNCTION("""COMPUTED_VALUE"""),1.003)</f>
        <v>1.003</v>
      </c>
      <c r="E110" s="16">
        <f>IFERROR(__xludf.DUMMYFUNCTION("""COMPUTED_VALUE"""),67.0)</f>
        <v>67</v>
      </c>
      <c r="F110" s="19" t="str">
        <f>IFERROR(__xludf.DUMMYFUNCTION("""COMPUTED_VALUE"""),"BLACK")</f>
        <v>BLACK</v>
      </c>
      <c r="G110" s="20" t="str">
        <f>IFERROR(__xludf.DUMMYFUNCTION("""COMPUTED_VALUE"""),"Uncle Sams Cider (5/13/2022)")</f>
        <v>Uncle Sams Cider (5/13/2022)</v>
      </c>
      <c r="H110" s="19"/>
    </row>
    <row r="111">
      <c r="A111" s="9"/>
      <c r="B111" s="15"/>
      <c r="C111" s="9">
        <f>IFERROR(__xludf.DUMMYFUNCTION("""COMPUTED_VALUE"""),44795.4882893518)</f>
        <v>44795.48829</v>
      </c>
      <c r="D111" s="15">
        <f>IFERROR(__xludf.DUMMYFUNCTION("""COMPUTED_VALUE"""),1.004)</f>
        <v>1.004</v>
      </c>
      <c r="E111" s="16">
        <f>IFERROR(__xludf.DUMMYFUNCTION("""COMPUTED_VALUE"""),67.0)</f>
        <v>67</v>
      </c>
      <c r="F111" s="19" t="str">
        <f>IFERROR(__xludf.DUMMYFUNCTION("""COMPUTED_VALUE"""),"BLACK")</f>
        <v>BLACK</v>
      </c>
      <c r="G111" s="20" t="str">
        <f>IFERROR(__xludf.DUMMYFUNCTION("""COMPUTED_VALUE"""),"Uncle Sams Cider (5/13/2022)")</f>
        <v>Uncle Sams Cider (5/13/2022)</v>
      </c>
      <c r="H111" s="19"/>
    </row>
    <row r="112">
      <c r="A112" s="9"/>
      <c r="B112" s="15"/>
      <c r="C112" s="9">
        <f>IFERROR(__xludf.DUMMYFUNCTION("""COMPUTED_VALUE"""),44795.477869699)</f>
        <v>44795.47787</v>
      </c>
      <c r="D112" s="15">
        <f>IFERROR(__xludf.DUMMYFUNCTION("""COMPUTED_VALUE"""),1.004)</f>
        <v>1.004</v>
      </c>
      <c r="E112" s="16">
        <f>IFERROR(__xludf.DUMMYFUNCTION("""COMPUTED_VALUE"""),67.0)</f>
        <v>67</v>
      </c>
      <c r="F112" s="19" t="str">
        <f>IFERROR(__xludf.DUMMYFUNCTION("""COMPUTED_VALUE"""),"BLACK")</f>
        <v>BLACK</v>
      </c>
      <c r="G112" s="20" t="str">
        <f>IFERROR(__xludf.DUMMYFUNCTION("""COMPUTED_VALUE"""),"Uncle Sams Cider (5/13/2022)")</f>
        <v>Uncle Sams Cider (5/13/2022)</v>
      </c>
      <c r="H112" s="19"/>
    </row>
    <row r="113">
      <c r="A113" s="9"/>
      <c r="B113" s="15"/>
      <c r="C113" s="9">
        <f>IFERROR(__xludf.DUMMYFUNCTION("""COMPUTED_VALUE"""),44795.4674506713)</f>
        <v>44795.46745</v>
      </c>
      <c r="D113" s="15">
        <f>IFERROR(__xludf.DUMMYFUNCTION("""COMPUTED_VALUE"""),1.004)</f>
        <v>1.004</v>
      </c>
      <c r="E113" s="16">
        <f>IFERROR(__xludf.DUMMYFUNCTION("""COMPUTED_VALUE"""),67.0)</f>
        <v>67</v>
      </c>
      <c r="F113" s="19" t="str">
        <f>IFERROR(__xludf.DUMMYFUNCTION("""COMPUTED_VALUE"""),"BLACK")</f>
        <v>BLACK</v>
      </c>
      <c r="G113" s="20" t="str">
        <f>IFERROR(__xludf.DUMMYFUNCTION("""COMPUTED_VALUE"""),"Uncle Sams Cider (5/13/2022)")</f>
        <v>Uncle Sams Cider (5/13/2022)</v>
      </c>
      <c r="H113" s="19"/>
    </row>
    <row r="114">
      <c r="A114" s="9"/>
      <c r="B114" s="15"/>
      <c r="C114" s="9">
        <f>IFERROR(__xludf.DUMMYFUNCTION("""COMPUTED_VALUE"""),44795.457030706)</f>
        <v>44795.45703</v>
      </c>
      <c r="D114" s="15">
        <f>IFERROR(__xludf.DUMMYFUNCTION("""COMPUTED_VALUE"""),1.004)</f>
        <v>1.004</v>
      </c>
      <c r="E114" s="16">
        <f>IFERROR(__xludf.DUMMYFUNCTION("""COMPUTED_VALUE"""),67.0)</f>
        <v>67</v>
      </c>
      <c r="F114" s="19" t="str">
        <f>IFERROR(__xludf.DUMMYFUNCTION("""COMPUTED_VALUE"""),"BLACK")</f>
        <v>BLACK</v>
      </c>
      <c r="G114" s="20" t="str">
        <f>IFERROR(__xludf.DUMMYFUNCTION("""COMPUTED_VALUE"""),"Uncle Sams Cider (5/13/2022)")</f>
        <v>Uncle Sams Cider (5/13/2022)</v>
      </c>
      <c r="H114" s="19"/>
    </row>
    <row r="115">
      <c r="A115" s="9"/>
      <c r="B115" s="15"/>
      <c r="C115" s="9">
        <f>IFERROR(__xludf.DUMMYFUNCTION("""COMPUTED_VALUE"""),44795.4466099884)</f>
        <v>44795.44661</v>
      </c>
      <c r="D115" s="15">
        <f>IFERROR(__xludf.DUMMYFUNCTION("""COMPUTED_VALUE"""),1.004)</f>
        <v>1.004</v>
      </c>
      <c r="E115" s="16">
        <f>IFERROR(__xludf.DUMMYFUNCTION("""COMPUTED_VALUE"""),67.0)</f>
        <v>67</v>
      </c>
      <c r="F115" s="19" t="str">
        <f>IFERROR(__xludf.DUMMYFUNCTION("""COMPUTED_VALUE"""),"BLACK")</f>
        <v>BLACK</v>
      </c>
      <c r="G115" s="20" t="str">
        <f>IFERROR(__xludf.DUMMYFUNCTION("""COMPUTED_VALUE"""),"Uncle Sams Cider (5/13/2022)")</f>
        <v>Uncle Sams Cider (5/13/2022)</v>
      </c>
      <c r="H115" s="19"/>
    </row>
    <row r="116">
      <c r="A116" s="9"/>
      <c r="B116" s="15"/>
      <c r="C116" s="9">
        <f>IFERROR(__xludf.DUMMYFUNCTION("""COMPUTED_VALUE"""),44795.4361886574)</f>
        <v>44795.43619</v>
      </c>
      <c r="D116" s="15">
        <f>IFERROR(__xludf.DUMMYFUNCTION("""COMPUTED_VALUE"""),1.004)</f>
        <v>1.004</v>
      </c>
      <c r="E116" s="16">
        <f>IFERROR(__xludf.DUMMYFUNCTION("""COMPUTED_VALUE"""),67.0)</f>
        <v>67</v>
      </c>
      <c r="F116" s="19" t="str">
        <f>IFERROR(__xludf.DUMMYFUNCTION("""COMPUTED_VALUE"""),"BLACK")</f>
        <v>BLACK</v>
      </c>
      <c r="G116" s="20" t="str">
        <f>IFERROR(__xludf.DUMMYFUNCTION("""COMPUTED_VALUE"""),"Uncle Sams Cider (5/13/2022)")</f>
        <v>Uncle Sams Cider (5/13/2022)</v>
      </c>
      <c r="H116" s="19"/>
    </row>
    <row r="117">
      <c r="A117" s="9"/>
      <c r="B117" s="15"/>
      <c r="C117" s="9">
        <f>IFERROR(__xludf.DUMMYFUNCTION("""COMPUTED_VALUE"""),44795.4257675347)</f>
        <v>44795.42577</v>
      </c>
      <c r="D117" s="15">
        <f>IFERROR(__xludf.DUMMYFUNCTION("""COMPUTED_VALUE"""),1.004)</f>
        <v>1.004</v>
      </c>
      <c r="E117" s="16">
        <f>IFERROR(__xludf.DUMMYFUNCTION("""COMPUTED_VALUE"""),67.0)</f>
        <v>67</v>
      </c>
      <c r="F117" s="19" t="str">
        <f>IFERROR(__xludf.DUMMYFUNCTION("""COMPUTED_VALUE"""),"BLACK")</f>
        <v>BLACK</v>
      </c>
      <c r="G117" s="20" t="str">
        <f>IFERROR(__xludf.DUMMYFUNCTION("""COMPUTED_VALUE"""),"Uncle Sams Cider (5/13/2022)")</f>
        <v>Uncle Sams Cider (5/13/2022)</v>
      </c>
      <c r="H117" s="19"/>
    </row>
    <row r="118">
      <c r="A118" s="9"/>
      <c r="B118" s="15"/>
      <c r="C118" s="9">
        <f>IFERROR(__xludf.DUMMYFUNCTION("""COMPUTED_VALUE"""),44795.4153471412)</f>
        <v>44795.41535</v>
      </c>
      <c r="D118" s="15">
        <f>IFERROR(__xludf.DUMMYFUNCTION("""COMPUTED_VALUE"""),1.004)</f>
        <v>1.004</v>
      </c>
      <c r="E118" s="16">
        <f>IFERROR(__xludf.DUMMYFUNCTION("""COMPUTED_VALUE"""),67.0)</f>
        <v>67</v>
      </c>
      <c r="F118" s="19" t="str">
        <f>IFERROR(__xludf.DUMMYFUNCTION("""COMPUTED_VALUE"""),"BLACK")</f>
        <v>BLACK</v>
      </c>
      <c r="G118" s="20" t="str">
        <f>IFERROR(__xludf.DUMMYFUNCTION("""COMPUTED_VALUE"""),"Uncle Sams Cider (5/13/2022)")</f>
        <v>Uncle Sams Cider (5/13/2022)</v>
      </c>
      <c r="H118" s="19"/>
    </row>
    <row r="119">
      <c r="A119" s="9"/>
      <c r="B119" s="15"/>
      <c r="C119" s="9">
        <f>IFERROR(__xludf.DUMMYFUNCTION("""COMPUTED_VALUE"""),44795.4049151967)</f>
        <v>44795.40492</v>
      </c>
      <c r="D119" s="15">
        <f>IFERROR(__xludf.DUMMYFUNCTION("""COMPUTED_VALUE"""),1.004)</f>
        <v>1.004</v>
      </c>
      <c r="E119" s="16">
        <f>IFERROR(__xludf.DUMMYFUNCTION("""COMPUTED_VALUE"""),67.0)</f>
        <v>67</v>
      </c>
      <c r="F119" s="19" t="str">
        <f>IFERROR(__xludf.DUMMYFUNCTION("""COMPUTED_VALUE"""),"BLACK")</f>
        <v>BLACK</v>
      </c>
      <c r="G119" s="20" t="str">
        <f>IFERROR(__xludf.DUMMYFUNCTION("""COMPUTED_VALUE"""),"Uncle Sams Cider (5/13/2022)")</f>
        <v>Uncle Sams Cider (5/13/2022)</v>
      </c>
      <c r="H119" s="19"/>
    </row>
    <row r="120">
      <c r="A120" s="9"/>
      <c r="B120" s="15"/>
      <c r="C120" s="9">
        <f>IFERROR(__xludf.DUMMYFUNCTION("""COMPUTED_VALUE"""),44795.3944937268)</f>
        <v>44795.39449</v>
      </c>
      <c r="D120" s="15">
        <f>IFERROR(__xludf.DUMMYFUNCTION("""COMPUTED_VALUE"""),1.004)</f>
        <v>1.004</v>
      </c>
      <c r="E120" s="16">
        <f>IFERROR(__xludf.DUMMYFUNCTION("""COMPUTED_VALUE"""),67.0)</f>
        <v>67</v>
      </c>
      <c r="F120" s="19" t="str">
        <f>IFERROR(__xludf.DUMMYFUNCTION("""COMPUTED_VALUE"""),"BLACK")</f>
        <v>BLACK</v>
      </c>
      <c r="G120" s="20" t="str">
        <f>IFERROR(__xludf.DUMMYFUNCTION("""COMPUTED_VALUE"""),"Uncle Sams Cider (5/13/2022)")</f>
        <v>Uncle Sams Cider (5/13/2022)</v>
      </c>
      <c r="H120" s="19"/>
    </row>
    <row r="121">
      <c r="A121" s="9"/>
      <c r="B121" s="15"/>
      <c r="C121" s="9">
        <f>IFERROR(__xludf.DUMMYFUNCTION("""COMPUTED_VALUE"""),44795.3840722222)</f>
        <v>44795.38407</v>
      </c>
      <c r="D121" s="15">
        <f>IFERROR(__xludf.DUMMYFUNCTION("""COMPUTED_VALUE"""),1.004)</f>
        <v>1.004</v>
      </c>
      <c r="E121" s="16">
        <f>IFERROR(__xludf.DUMMYFUNCTION("""COMPUTED_VALUE"""),67.0)</f>
        <v>67</v>
      </c>
      <c r="F121" s="19" t="str">
        <f>IFERROR(__xludf.DUMMYFUNCTION("""COMPUTED_VALUE"""),"BLACK")</f>
        <v>BLACK</v>
      </c>
      <c r="G121" s="20" t="str">
        <f>IFERROR(__xludf.DUMMYFUNCTION("""COMPUTED_VALUE"""),"Uncle Sams Cider (5/13/2022)")</f>
        <v>Uncle Sams Cider (5/13/2022)</v>
      </c>
      <c r="H121" s="19"/>
    </row>
    <row r="122">
      <c r="A122" s="9"/>
      <c r="B122" s="15"/>
      <c r="C122" s="9">
        <f>IFERROR(__xludf.DUMMYFUNCTION("""COMPUTED_VALUE"""),44795.3736280092)</f>
        <v>44795.37363</v>
      </c>
      <c r="D122" s="15">
        <f>IFERROR(__xludf.DUMMYFUNCTION("""COMPUTED_VALUE"""),1.004)</f>
        <v>1.004</v>
      </c>
      <c r="E122" s="16">
        <f>IFERROR(__xludf.DUMMYFUNCTION("""COMPUTED_VALUE"""),67.0)</f>
        <v>67</v>
      </c>
      <c r="F122" s="19" t="str">
        <f>IFERROR(__xludf.DUMMYFUNCTION("""COMPUTED_VALUE"""),"BLACK")</f>
        <v>BLACK</v>
      </c>
      <c r="G122" s="20" t="str">
        <f>IFERROR(__xludf.DUMMYFUNCTION("""COMPUTED_VALUE"""),"Uncle Sams Cider (5/13/2022)")</f>
        <v>Uncle Sams Cider (5/13/2022)</v>
      </c>
      <c r="H122" s="19"/>
    </row>
    <row r="123">
      <c r="A123" s="9"/>
      <c r="B123" s="15"/>
      <c r="C123" s="9">
        <f>IFERROR(__xludf.DUMMYFUNCTION("""COMPUTED_VALUE"""),44795.3631947569)</f>
        <v>44795.36319</v>
      </c>
      <c r="D123" s="15">
        <f>IFERROR(__xludf.DUMMYFUNCTION("""COMPUTED_VALUE"""),1.003)</f>
        <v>1.003</v>
      </c>
      <c r="E123" s="16">
        <f>IFERROR(__xludf.DUMMYFUNCTION("""COMPUTED_VALUE"""),67.0)</f>
        <v>67</v>
      </c>
      <c r="F123" s="19" t="str">
        <f>IFERROR(__xludf.DUMMYFUNCTION("""COMPUTED_VALUE"""),"BLACK")</f>
        <v>BLACK</v>
      </c>
      <c r="G123" s="20" t="str">
        <f>IFERROR(__xludf.DUMMYFUNCTION("""COMPUTED_VALUE"""),"Uncle Sams Cider (5/13/2022)")</f>
        <v>Uncle Sams Cider (5/13/2022)</v>
      </c>
      <c r="H123" s="19"/>
    </row>
    <row r="124">
      <c r="A124" s="9"/>
      <c r="B124" s="15"/>
      <c r="C124" s="9">
        <f>IFERROR(__xludf.DUMMYFUNCTION("""COMPUTED_VALUE"""),44795.3527753703)</f>
        <v>44795.35278</v>
      </c>
      <c r="D124" s="15">
        <f>IFERROR(__xludf.DUMMYFUNCTION("""COMPUTED_VALUE"""),1.004)</f>
        <v>1.004</v>
      </c>
      <c r="E124" s="16">
        <f>IFERROR(__xludf.DUMMYFUNCTION("""COMPUTED_VALUE"""),67.0)</f>
        <v>67</v>
      </c>
      <c r="F124" s="19" t="str">
        <f>IFERROR(__xludf.DUMMYFUNCTION("""COMPUTED_VALUE"""),"BLACK")</f>
        <v>BLACK</v>
      </c>
      <c r="G124" s="20" t="str">
        <f>IFERROR(__xludf.DUMMYFUNCTION("""COMPUTED_VALUE"""),"Uncle Sams Cider (5/13/2022)")</f>
        <v>Uncle Sams Cider (5/13/2022)</v>
      </c>
      <c r="H124" s="19"/>
    </row>
    <row r="125">
      <c r="A125" s="9"/>
      <c r="B125" s="15"/>
      <c r="C125" s="9">
        <f>IFERROR(__xludf.DUMMYFUNCTION("""COMPUTED_VALUE"""),44795.342353993)</f>
        <v>44795.34235</v>
      </c>
      <c r="D125" s="15">
        <f>IFERROR(__xludf.DUMMYFUNCTION("""COMPUTED_VALUE"""),1.004)</f>
        <v>1.004</v>
      </c>
      <c r="E125" s="16">
        <f>IFERROR(__xludf.DUMMYFUNCTION("""COMPUTED_VALUE"""),67.0)</f>
        <v>67</v>
      </c>
      <c r="F125" s="19" t="str">
        <f>IFERROR(__xludf.DUMMYFUNCTION("""COMPUTED_VALUE"""),"BLACK")</f>
        <v>BLACK</v>
      </c>
      <c r="G125" s="20" t="str">
        <f>IFERROR(__xludf.DUMMYFUNCTION("""COMPUTED_VALUE"""),"Uncle Sams Cider (5/13/2022)")</f>
        <v>Uncle Sams Cider (5/13/2022)</v>
      </c>
      <c r="H125" s="19"/>
    </row>
    <row r="126">
      <c r="A126" s="9"/>
      <c r="B126" s="15"/>
      <c r="C126" s="9">
        <f>IFERROR(__xludf.DUMMYFUNCTION("""COMPUTED_VALUE"""),44795.3319329861)</f>
        <v>44795.33193</v>
      </c>
      <c r="D126" s="15">
        <f>IFERROR(__xludf.DUMMYFUNCTION("""COMPUTED_VALUE"""),1.004)</f>
        <v>1.004</v>
      </c>
      <c r="E126" s="16">
        <f>IFERROR(__xludf.DUMMYFUNCTION("""COMPUTED_VALUE"""),67.0)</f>
        <v>67</v>
      </c>
      <c r="F126" s="19" t="str">
        <f>IFERROR(__xludf.DUMMYFUNCTION("""COMPUTED_VALUE"""),"BLACK")</f>
        <v>BLACK</v>
      </c>
      <c r="G126" s="20" t="str">
        <f>IFERROR(__xludf.DUMMYFUNCTION("""COMPUTED_VALUE"""),"Uncle Sams Cider (5/13/2022)")</f>
        <v>Uncle Sams Cider (5/13/2022)</v>
      </c>
      <c r="H126" s="19"/>
    </row>
    <row r="127">
      <c r="A127" s="9"/>
      <c r="B127" s="15"/>
      <c r="C127" s="9">
        <f>IFERROR(__xludf.DUMMYFUNCTION("""COMPUTED_VALUE"""),44795.3215105439)</f>
        <v>44795.32151</v>
      </c>
      <c r="D127" s="15">
        <f>IFERROR(__xludf.DUMMYFUNCTION("""COMPUTED_VALUE"""),1.004)</f>
        <v>1.004</v>
      </c>
      <c r="E127" s="16">
        <f>IFERROR(__xludf.DUMMYFUNCTION("""COMPUTED_VALUE"""),67.0)</f>
        <v>67</v>
      </c>
      <c r="F127" s="19" t="str">
        <f>IFERROR(__xludf.DUMMYFUNCTION("""COMPUTED_VALUE"""),"BLACK")</f>
        <v>BLACK</v>
      </c>
      <c r="G127" s="20" t="str">
        <f>IFERROR(__xludf.DUMMYFUNCTION("""COMPUTED_VALUE"""),"Uncle Sams Cider (5/13/2022)")</f>
        <v>Uncle Sams Cider (5/13/2022)</v>
      </c>
      <c r="H127" s="19"/>
    </row>
    <row r="128">
      <c r="A128" s="9"/>
      <c r="B128" s="15"/>
      <c r="C128" s="9">
        <f>IFERROR(__xludf.DUMMYFUNCTION("""COMPUTED_VALUE"""),44795.3110896296)</f>
        <v>44795.31109</v>
      </c>
      <c r="D128" s="15">
        <f>IFERROR(__xludf.DUMMYFUNCTION("""COMPUTED_VALUE"""),1.004)</f>
        <v>1.004</v>
      </c>
      <c r="E128" s="16">
        <f>IFERROR(__xludf.DUMMYFUNCTION("""COMPUTED_VALUE"""),67.0)</f>
        <v>67</v>
      </c>
      <c r="F128" s="19" t="str">
        <f>IFERROR(__xludf.DUMMYFUNCTION("""COMPUTED_VALUE"""),"BLACK")</f>
        <v>BLACK</v>
      </c>
      <c r="G128" s="20" t="str">
        <f>IFERROR(__xludf.DUMMYFUNCTION("""COMPUTED_VALUE"""),"Uncle Sams Cider (5/13/2022)")</f>
        <v>Uncle Sams Cider (5/13/2022)</v>
      </c>
      <c r="H128" s="19"/>
    </row>
    <row r="129">
      <c r="A129" s="9"/>
      <c r="B129" s="15"/>
      <c r="C129" s="9">
        <f>IFERROR(__xludf.DUMMYFUNCTION("""COMPUTED_VALUE"""),44795.3006683217)</f>
        <v>44795.30067</v>
      </c>
      <c r="D129" s="15">
        <f>IFERROR(__xludf.DUMMYFUNCTION("""COMPUTED_VALUE"""),1.004)</f>
        <v>1.004</v>
      </c>
      <c r="E129" s="16">
        <f>IFERROR(__xludf.DUMMYFUNCTION("""COMPUTED_VALUE"""),67.0)</f>
        <v>67</v>
      </c>
      <c r="F129" s="19" t="str">
        <f>IFERROR(__xludf.DUMMYFUNCTION("""COMPUTED_VALUE"""),"BLACK")</f>
        <v>BLACK</v>
      </c>
      <c r="G129" s="20" t="str">
        <f>IFERROR(__xludf.DUMMYFUNCTION("""COMPUTED_VALUE"""),"Uncle Sams Cider (5/13/2022)")</f>
        <v>Uncle Sams Cider (5/13/2022)</v>
      </c>
      <c r="H129" s="19"/>
    </row>
    <row r="130">
      <c r="A130" s="9"/>
      <c r="B130" s="15"/>
      <c r="C130" s="9">
        <f>IFERROR(__xludf.DUMMYFUNCTION("""COMPUTED_VALUE"""),44795.2902468865)</f>
        <v>44795.29025</v>
      </c>
      <c r="D130" s="15">
        <f>IFERROR(__xludf.DUMMYFUNCTION("""COMPUTED_VALUE"""),1.003)</f>
        <v>1.003</v>
      </c>
      <c r="E130" s="16">
        <f>IFERROR(__xludf.DUMMYFUNCTION("""COMPUTED_VALUE"""),67.0)</f>
        <v>67</v>
      </c>
      <c r="F130" s="19" t="str">
        <f>IFERROR(__xludf.DUMMYFUNCTION("""COMPUTED_VALUE"""),"BLACK")</f>
        <v>BLACK</v>
      </c>
      <c r="G130" s="20" t="str">
        <f>IFERROR(__xludf.DUMMYFUNCTION("""COMPUTED_VALUE"""),"Uncle Sams Cider (5/13/2022)")</f>
        <v>Uncle Sams Cider (5/13/2022)</v>
      </c>
      <c r="H130" s="19"/>
    </row>
    <row r="131">
      <c r="A131" s="9"/>
      <c r="B131" s="15"/>
      <c r="C131" s="9">
        <f>IFERROR(__xludf.DUMMYFUNCTION("""COMPUTED_VALUE"""),44795.2798252777)</f>
        <v>44795.27983</v>
      </c>
      <c r="D131" s="15">
        <f>IFERROR(__xludf.DUMMYFUNCTION("""COMPUTED_VALUE"""),1.003)</f>
        <v>1.003</v>
      </c>
      <c r="E131" s="16">
        <f>IFERROR(__xludf.DUMMYFUNCTION("""COMPUTED_VALUE"""),67.0)</f>
        <v>67</v>
      </c>
      <c r="F131" s="19" t="str">
        <f>IFERROR(__xludf.DUMMYFUNCTION("""COMPUTED_VALUE"""),"BLACK")</f>
        <v>BLACK</v>
      </c>
      <c r="G131" s="20" t="str">
        <f>IFERROR(__xludf.DUMMYFUNCTION("""COMPUTED_VALUE"""),"Uncle Sams Cider (5/13/2022)")</f>
        <v>Uncle Sams Cider (5/13/2022)</v>
      </c>
      <c r="H131" s="19"/>
    </row>
    <row r="132">
      <c r="A132" s="9"/>
      <c r="B132" s="15"/>
      <c r="C132" s="9">
        <f>IFERROR(__xludf.DUMMYFUNCTION("""COMPUTED_VALUE"""),44795.2694026504)</f>
        <v>44795.2694</v>
      </c>
      <c r="D132" s="15">
        <f>IFERROR(__xludf.DUMMYFUNCTION("""COMPUTED_VALUE"""),1.003)</f>
        <v>1.003</v>
      </c>
      <c r="E132" s="16">
        <f>IFERROR(__xludf.DUMMYFUNCTION("""COMPUTED_VALUE"""),67.0)</f>
        <v>67</v>
      </c>
      <c r="F132" s="19" t="str">
        <f>IFERROR(__xludf.DUMMYFUNCTION("""COMPUTED_VALUE"""),"BLACK")</f>
        <v>BLACK</v>
      </c>
      <c r="G132" s="20" t="str">
        <f>IFERROR(__xludf.DUMMYFUNCTION("""COMPUTED_VALUE"""),"Uncle Sams Cider (5/13/2022)")</f>
        <v>Uncle Sams Cider (5/13/2022)</v>
      </c>
      <c r="H132" s="19"/>
    </row>
    <row r="133">
      <c r="A133" s="9"/>
      <c r="B133" s="15"/>
      <c r="C133" s="9">
        <f>IFERROR(__xludf.DUMMYFUNCTION("""COMPUTED_VALUE"""),44795.258981574)</f>
        <v>44795.25898</v>
      </c>
      <c r="D133" s="15">
        <f>IFERROR(__xludf.DUMMYFUNCTION("""COMPUTED_VALUE"""),1.004)</f>
        <v>1.004</v>
      </c>
      <c r="E133" s="16">
        <f>IFERROR(__xludf.DUMMYFUNCTION("""COMPUTED_VALUE"""),67.0)</f>
        <v>67</v>
      </c>
      <c r="F133" s="19" t="str">
        <f>IFERROR(__xludf.DUMMYFUNCTION("""COMPUTED_VALUE"""),"BLACK")</f>
        <v>BLACK</v>
      </c>
      <c r="G133" s="20" t="str">
        <f>IFERROR(__xludf.DUMMYFUNCTION("""COMPUTED_VALUE"""),"Uncle Sams Cider (5/13/2022)")</f>
        <v>Uncle Sams Cider (5/13/2022)</v>
      </c>
      <c r="H133" s="19"/>
    </row>
    <row r="134">
      <c r="A134" s="9"/>
      <c r="B134" s="15"/>
      <c r="C134" s="9">
        <f>IFERROR(__xludf.DUMMYFUNCTION("""COMPUTED_VALUE"""),44795.2485590625)</f>
        <v>44795.24856</v>
      </c>
      <c r="D134" s="15">
        <f>IFERROR(__xludf.DUMMYFUNCTION("""COMPUTED_VALUE"""),1.004)</f>
        <v>1.004</v>
      </c>
      <c r="E134" s="16">
        <f>IFERROR(__xludf.DUMMYFUNCTION("""COMPUTED_VALUE"""),67.0)</f>
        <v>67</v>
      </c>
      <c r="F134" s="19" t="str">
        <f>IFERROR(__xludf.DUMMYFUNCTION("""COMPUTED_VALUE"""),"BLACK")</f>
        <v>BLACK</v>
      </c>
      <c r="G134" s="20" t="str">
        <f>IFERROR(__xludf.DUMMYFUNCTION("""COMPUTED_VALUE"""),"Uncle Sams Cider (5/13/2022)")</f>
        <v>Uncle Sams Cider (5/13/2022)</v>
      </c>
      <c r="H134" s="19"/>
    </row>
    <row r="135">
      <c r="A135" s="9"/>
      <c r="B135" s="15"/>
      <c r="C135" s="9">
        <f>IFERROR(__xludf.DUMMYFUNCTION("""COMPUTED_VALUE"""),44795.2381376736)</f>
        <v>44795.23814</v>
      </c>
      <c r="D135" s="15">
        <f>IFERROR(__xludf.DUMMYFUNCTION("""COMPUTED_VALUE"""),1.004)</f>
        <v>1.004</v>
      </c>
      <c r="E135" s="16">
        <f>IFERROR(__xludf.DUMMYFUNCTION("""COMPUTED_VALUE"""),67.0)</f>
        <v>67</v>
      </c>
      <c r="F135" s="19" t="str">
        <f>IFERROR(__xludf.DUMMYFUNCTION("""COMPUTED_VALUE"""),"BLACK")</f>
        <v>BLACK</v>
      </c>
      <c r="G135" s="20" t="str">
        <f>IFERROR(__xludf.DUMMYFUNCTION("""COMPUTED_VALUE"""),"Uncle Sams Cider (5/13/2022)")</f>
        <v>Uncle Sams Cider (5/13/2022)</v>
      </c>
      <c r="H135" s="19"/>
    </row>
    <row r="136">
      <c r="A136" s="9"/>
      <c r="B136" s="15"/>
      <c r="C136" s="9">
        <f>IFERROR(__xludf.DUMMYFUNCTION("""COMPUTED_VALUE"""),44795.2277171296)</f>
        <v>44795.22772</v>
      </c>
      <c r="D136" s="15">
        <f>IFERROR(__xludf.DUMMYFUNCTION("""COMPUTED_VALUE"""),1.004)</f>
        <v>1.004</v>
      </c>
      <c r="E136" s="16">
        <f>IFERROR(__xludf.DUMMYFUNCTION("""COMPUTED_VALUE"""),67.0)</f>
        <v>67</v>
      </c>
      <c r="F136" s="19" t="str">
        <f>IFERROR(__xludf.DUMMYFUNCTION("""COMPUTED_VALUE"""),"BLACK")</f>
        <v>BLACK</v>
      </c>
      <c r="G136" s="20" t="str">
        <f>IFERROR(__xludf.DUMMYFUNCTION("""COMPUTED_VALUE"""),"Uncle Sams Cider (5/13/2022)")</f>
        <v>Uncle Sams Cider (5/13/2022)</v>
      </c>
      <c r="H136" s="19"/>
    </row>
    <row r="137">
      <c r="A137" s="9"/>
      <c r="B137" s="15"/>
      <c r="C137" s="9">
        <f>IFERROR(__xludf.DUMMYFUNCTION("""COMPUTED_VALUE"""),44795.2172958333)</f>
        <v>44795.2173</v>
      </c>
      <c r="D137" s="15">
        <f>IFERROR(__xludf.DUMMYFUNCTION("""COMPUTED_VALUE"""),1.003)</f>
        <v>1.003</v>
      </c>
      <c r="E137" s="16">
        <f>IFERROR(__xludf.DUMMYFUNCTION("""COMPUTED_VALUE"""),67.0)</f>
        <v>67</v>
      </c>
      <c r="F137" s="19" t="str">
        <f>IFERROR(__xludf.DUMMYFUNCTION("""COMPUTED_VALUE"""),"BLACK")</f>
        <v>BLACK</v>
      </c>
      <c r="G137" s="20" t="str">
        <f>IFERROR(__xludf.DUMMYFUNCTION("""COMPUTED_VALUE"""),"Uncle Sams Cider (5/13/2022)")</f>
        <v>Uncle Sams Cider (5/13/2022)</v>
      </c>
      <c r="H137" s="19"/>
    </row>
    <row r="138">
      <c r="A138" s="9"/>
      <c r="B138" s="15"/>
      <c r="C138" s="9">
        <f>IFERROR(__xludf.DUMMYFUNCTION("""COMPUTED_VALUE"""),44795.2068749884)</f>
        <v>44795.20687</v>
      </c>
      <c r="D138" s="15">
        <f>IFERROR(__xludf.DUMMYFUNCTION("""COMPUTED_VALUE"""),1.004)</f>
        <v>1.004</v>
      </c>
      <c r="E138" s="16">
        <f>IFERROR(__xludf.DUMMYFUNCTION("""COMPUTED_VALUE"""),67.0)</f>
        <v>67</v>
      </c>
      <c r="F138" s="19" t="str">
        <f>IFERROR(__xludf.DUMMYFUNCTION("""COMPUTED_VALUE"""),"BLACK")</f>
        <v>BLACK</v>
      </c>
      <c r="G138" s="20" t="str">
        <f>IFERROR(__xludf.DUMMYFUNCTION("""COMPUTED_VALUE"""),"Uncle Sams Cider (5/13/2022)")</f>
        <v>Uncle Sams Cider (5/13/2022)</v>
      </c>
      <c r="H138" s="19"/>
    </row>
    <row r="139">
      <c r="A139" s="9"/>
      <c r="B139" s="15"/>
      <c r="C139" s="9">
        <f>IFERROR(__xludf.DUMMYFUNCTION("""COMPUTED_VALUE"""),44795.1964415856)</f>
        <v>44795.19644</v>
      </c>
      <c r="D139" s="15">
        <f>IFERROR(__xludf.DUMMYFUNCTION("""COMPUTED_VALUE"""),1.004)</f>
        <v>1.004</v>
      </c>
      <c r="E139" s="16">
        <f>IFERROR(__xludf.DUMMYFUNCTION("""COMPUTED_VALUE"""),67.0)</f>
        <v>67</v>
      </c>
      <c r="F139" s="19" t="str">
        <f>IFERROR(__xludf.DUMMYFUNCTION("""COMPUTED_VALUE"""),"BLACK")</f>
        <v>BLACK</v>
      </c>
      <c r="G139" s="20" t="str">
        <f>IFERROR(__xludf.DUMMYFUNCTION("""COMPUTED_VALUE"""),"Uncle Sams Cider (5/13/2022)")</f>
        <v>Uncle Sams Cider (5/13/2022)</v>
      </c>
      <c r="H139" s="19"/>
    </row>
    <row r="140">
      <c r="A140" s="9"/>
      <c r="B140" s="15"/>
      <c r="C140" s="9">
        <f>IFERROR(__xludf.DUMMYFUNCTION("""COMPUTED_VALUE"""),44795.1860208449)</f>
        <v>44795.18602</v>
      </c>
      <c r="D140" s="15">
        <f>IFERROR(__xludf.DUMMYFUNCTION("""COMPUTED_VALUE"""),1.004)</f>
        <v>1.004</v>
      </c>
      <c r="E140" s="16">
        <f>IFERROR(__xludf.DUMMYFUNCTION("""COMPUTED_VALUE"""),67.0)</f>
        <v>67</v>
      </c>
      <c r="F140" s="19" t="str">
        <f>IFERROR(__xludf.DUMMYFUNCTION("""COMPUTED_VALUE"""),"BLACK")</f>
        <v>BLACK</v>
      </c>
      <c r="G140" s="20" t="str">
        <f>IFERROR(__xludf.DUMMYFUNCTION("""COMPUTED_VALUE"""),"Uncle Sams Cider (5/13/2022)")</f>
        <v>Uncle Sams Cider (5/13/2022)</v>
      </c>
      <c r="H140" s="19"/>
    </row>
    <row r="141">
      <c r="A141" s="9"/>
      <c r="B141" s="15"/>
      <c r="C141" s="9">
        <f>IFERROR(__xludf.DUMMYFUNCTION("""COMPUTED_VALUE"""),44795.1755984606)</f>
        <v>44795.1756</v>
      </c>
      <c r="D141" s="15">
        <f>IFERROR(__xludf.DUMMYFUNCTION("""COMPUTED_VALUE"""),1.004)</f>
        <v>1.004</v>
      </c>
      <c r="E141" s="16">
        <f>IFERROR(__xludf.DUMMYFUNCTION("""COMPUTED_VALUE"""),67.0)</f>
        <v>67</v>
      </c>
      <c r="F141" s="19" t="str">
        <f>IFERROR(__xludf.DUMMYFUNCTION("""COMPUTED_VALUE"""),"BLACK")</f>
        <v>BLACK</v>
      </c>
      <c r="G141" s="20" t="str">
        <f>IFERROR(__xludf.DUMMYFUNCTION("""COMPUTED_VALUE"""),"Uncle Sams Cider (5/13/2022)")</f>
        <v>Uncle Sams Cider (5/13/2022)</v>
      </c>
      <c r="H141" s="19"/>
    </row>
    <row r="142">
      <c r="A142" s="9"/>
      <c r="B142" s="15"/>
      <c r="C142" s="9">
        <f>IFERROR(__xludf.DUMMYFUNCTION("""COMPUTED_VALUE"""),44795.1651771064)</f>
        <v>44795.16518</v>
      </c>
      <c r="D142" s="15">
        <f>IFERROR(__xludf.DUMMYFUNCTION("""COMPUTED_VALUE"""),1.004)</f>
        <v>1.004</v>
      </c>
      <c r="E142" s="16">
        <f>IFERROR(__xludf.DUMMYFUNCTION("""COMPUTED_VALUE"""),67.0)</f>
        <v>67</v>
      </c>
      <c r="F142" s="19" t="str">
        <f>IFERROR(__xludf.DUMMYFUNCTION("""COMPUTED_VALUE"""),"BLACK")</f>
        <v>BLACK</v>
      </c>
      <c r="G142" s="20" t="str">
        <f>IFERROR(__xludf.DUMMYFUNCTION("""COMPUTED_VALUE"""),"Uncle Sams Cider (5/13/2022)")</f>
        <v>Uncle Sams Cider (5/13/2022)</v>
      </c>
      <c r="H142" s="19"/>
    </row>
    <row r="143">
      <c r="A143" s="9"/>
      <c r="B143" s="15"/>
      <c r="C143" s="9">
        <f>IFERROR(__xludf.DUMMYFUNCTION("""COMPUTED_VALUE"""),44795.1547550926)</f>
        <v>44795.15476</v>
      </c>
      <c r="D143" s="15">
        <f>IFERROR(__xludf.DUMMYFUNCTION("""COMPUTED_VALUE"""),1.004)</f>
        <v>1.004</v>
      </c>
      <c r="E143" s="16">
        <f>IFERROR(__xludf.DUMMYFUNCTION("""COMPUTED_VALUE"""),67.0)</f>
        <v>67</v>
      </c>
      <c r="F143" s="19" t="str">
        <f>IFERROR(__xludf.DUMMYFUNCTION("""COMPUTED_VALUE"""),"BLACK")</f>
        <v>BLACK</v>
      </c>
      <c r="G143" s="20" t="str">
        <f>IFERROR(__xludf.DUMMYFUNCTION("""COMPUTED_VALUE"""),"Uncle Sams Cider (5/13/2022)")</f>
        <v>Uncle Sams Cider (5/13/2022)</v>
      </c>
      <c r="H143" s="19"/>
    </row>
    <row r="144">
      <c r="A144" s="9"/>
      <c r="B144" s="15"/>
      <c r="C144" s="9">
        <f>IFERROR(__xludf.DUMMYFUNCTION("""COMPUTED_VALUE"""),44795.1443354861)</f>
        <v>44795.14434</v>
      </c>
      <c r="D144" s="15">
        <f>IFERROR(__xludf.DUMMYFUNCTION("""COMPUTED_VALUE"""),1.004)</f>
        <v>1.004</v>
      </c>
      <c r="E144" s="16">
        <f>IFERROR(__xludf.DUMMYFUNCTION("""COMPUTED_VALUE"""),67.0)</f>
        <v>67</v>
      </c>
      <c r="F144" s="19" t="str">
        <f>IFERROR(__xludf.DUMMYFUNCTION("""COMPUTED_VALUE"""),"BLACK")</f>
        <v>BLACK</v>
      </c>
      <c r="G144" s="20" t="str">
        <f>IFERROR(__xludf.DUMMYFUNCTION("""COMPUTED_VALUE"""),"Uncle Sams Cider (5/13/2022)")</f>
        <v>Uncle Sams Cider (5/13/2022)</v>
      </c>
      <c r="H144" s="19"/>
    </row>
    <row r="145">
      <c r="A145" s="9"/>
      <c r="B145" s="15"/>
      <c r="C145" s="9">
        <f>IFERROR(__xludf.DUMMYFUNCTION("""COMPUTED_VALUE"""),44795.1339137499)</f>
        <v>44795.13391</v>
      </c>
      <c r="D145" s="15">
        <f>IFERROR(__xludf.DUMMYFUNCTION("""COMPUTED_VALUE"""),1.003)</f>
        <v>1.003</v>
      </c>
      <c r="E145" s="16">
        <f>IFERROR(__xludf.DUMMYFUNCTION("""COMPUTED_VALUE"""),67.0)</f>
        <v>67</v>
      </c>
      <c r="F145" s="19" t="str">
        <f>IFERROR(__xludf.DUMMYFUNCTION("""COMPUTED_VALUE"""),"BLACK")</f>
        <v>BLACK</v>
      </c>
      <c r="G145" s="20" t="str">
        <f>IFERROR(__xludf.DUMMYFUNCTION("""COMPUTED_VALUE"""),"Uncle Sams Cider (5/13/2022)")</f>
        <v>Uncle Sams Cider (5/13/2022)</v>
      </c>
      <c r="H145" s="19"/>
    </row>
    <row r="146">
      <c r="A146" s="9"/>
      <c r="B146" s="15"/>
      <c r="C146" s="9">
        <f>IFERROR(__xludf.DUMMYFUNCTION("""COMPUTED_VALUE"""),44795.1234923148)</f>
        <v>44795.12349</v>
      </c>
      <c r="D146" s="15">
        <f>IFERROR(__xludf.DUMMYFUNCTION("""COMPUTED_VALUE"""),1.003)</f>
        <v>1.003</v>
      </c>
      <c r="E146" s="16">
        <f>IFERROR(__xludf.DUMMYFUNCTION("""COMPUTED_VALUE"""),67.0)</f>
        <v>67</v>
      </c>
      <c r="F146" s="19" t="str">
        <f>IFERROR(__xludf.DUMMYFUNCTION("""COMPUTED_VALUE"""),"BLACK")</f>
        <v>BLACK</v>
      </c>
      <c r="G146" s="20" t="str">
        <f>IFERROR(__xludf.DUMMYFUNCTION("""COMPUTED_VALUE"""),"Uncle Sams Cider (5/13/2022)")</f>
        <v>Uncle Sams Cider (5/13/2022)</v>
      </c>
      <c r="H146" s="19"/>
    </row>
    <row r="147">
      <c r="A147" s="9"/>
      <c r="B147" s="15"/>
      <c r="C147" s="9">
        <f>IFERROR(__xludf.DUMMYFUNCTION("""COMPUTED_VALUE"""),44795.1130726504)</f>
        <v>44795.11307</v>
      </c>
      <c r="D147" s="15">
        <f>IFERROR(__xludf.DUMMYFUNCTION("""COMPUTED_VALUE"""),1.004)</f>
        <v>1.004</v>
      </c>
      <c r="E147" s="16">
        <f>IFERROR(__xludf.DUMMYFUNCTION("""COMPUTED_VALUE"""),67.0)</f>
        <v>67</v>
      </c>
      <c r="F147" s="19" t="str">
        <f>IFERROR(__xludf.DUMMYFUNCTION("""COMPUTED_VALUE"""),"BLACK")</f>
        <v>BLACK</v>
      </c>
      <c r="G147" s="20" t="str">
        <f>IFERROR(__xludf.DUMMYFUNCTION("""COMPUTED_VALUE"""),"Uncle Sams Cider (5/13/2022)")</f>
        <v>Uncle Sams Cider (5/13/2022)</v>
      </c>
      <c r="H147" s="19"/>
    </row>
    <row r="148">
      <c r="A148" s="9"/>
      <c r="B148" s="15"/>
      <c r="C148" s="9">
        <f>IFERROR(__xludf.DUMMYFUNCTION("""COMPUTED_VALUE"""),44795.1026387731)</f>
        <v>44795.10264</v>
      </c>
      <c r="D148" s="15">
        <f>IFERROR(__xludf.DUMMYFUNCTION("""COMPUTED_VALUE"""),1.004)</f>
        <v>1.004</v>
      </c>
      <c r="E148" s="16">
        <f>IFERROR(__xludf.DUMMYFUNCTION("""COMPUTED_VALUE"""),67.0)</f>
        <v>67</v>
      </c>
      <c r="F148" s="19" t="str">
        <f>IFERROR(__xludf.DUMMYFUNCTION("""COMPUTED_VALUE"""),"BLACK")</f>
        <v>BLACK</v>
      </c>
      <c r="G148" s="20" t="str">
        <f>IFERROR(__xludf.DUMMYFUNCTION("""COMPUTED_VALUE"""),"Uncle Sams Cider (5/13/2022)")</f>
        <v>Uncle Sams Cider (5/13/2022)</v>
      </c>
      <c r="H148" s="19"/>
    </row>
    <row r="149">
      <c r="A149" s="9"/>
      <c r="B149" s="15"/>
      <c r="C149" s="9">
        <f>IFERROR(__xludf.DUMMYFUNCTION("""COMPUTED_VALUE"""),44795.0922159375)</f>
        <v>44795.09222</v>
      </c>
      <c r="D149" s="15">
        <f>IFERROR(__xludf.DUMMYFUNCTION("""COMPUTED_VALUE"""),1.004)</f>
        <v>1.004</v>
      </c>
      <c r="E149" s="16">
        <f>IFERROR(__xludf.DUMMYFUNCTION("""COMPUTED_VALUE"""),67.0)</f>
        <v>67</v>
      </c>
      <c r="F149" s="19" t="str">
        <f>IFERROR(__xludf.DUMMYFUNCTION("""COMPUTED_VALUE"""),"BLACK")</f>
        <v>BLACK</v>
      </c>
      <c r="G149" s="20" t="str">
        <f>IFERROR(__xludf.DUMMYFUNCTION("""COMPUTED_VALUE"""),"Uncle Sams Cider (5/13/2022)")</f>
        <v>Uncle Sams Cider (5/13/2022)</v>
      </c>
      <c r="H149" s="19"/>
    </row>
    <row r="150">
      <c r="A150" s="9"/>
      <c r="B150" s="15"/>
      <c r="C150" s="9">
        <f>IFERROR(__xludf.DUMMYFUNCTION("""COMPUTED_VALUE"""),44795.0817824652)</f>
        <v>44795.08178</v>
      </c>
      <c r="D150" s="15">
        <f>IFERROR(__xludf.DUMMYFUNCTION("""COMPUTED_VALUE"""),1.003)</f>
        <v>1.003</v>
      </c>
      <c r="E150" s="16">
        <f>IFERROR(__xludf.DUMMYFUNCTION("""COMPUTED_VALUE"""),67.0)</f>
        <v>67</v>
      </c>
      <c r="F150" s="19" t="str">
        <f>IFERROR(__xludf.DUMMYFUNCTION("""COMPUTED_VALUE"""),"BLACK")</f>
        <v>BLACK</v>
      </c>
      <c r="G150" s="20" t="str">
        <f>IFERROR(__xludf.DUMMYFUNCTION("""COMPUTED_VALUE"""),"Uncle Sams Cider (5/13/2022)")</f>
        <v>Uncle Sams Cider (5/13/2022)</v>
      </c>
      <c r="H150" s="19"/>
    </row>
    <row r="151">
      <c r="A151" s="9"/>
      <c r="B151" s="15"/>
      <c r="C151" s="9">
        <f>IFERROR(__xludf.DUMMYFUNCTION("""COMPUTED_VALUE"""),44795.0713609722)</f>
        <v>44795.07136</v>
      </c>
      <c r="D151" s="15">
        <f>IFERROR(__xludf.DUMMYFUNCTION("""COMPUTED_VALUE"""),1.004)</f>
        <v>1.004</v>
      </c>
      <c r="E151" s="16">
        <f>IFERROR(__xludf.DUMMYFUNCTION("""COMPUTED_VALUE"""),67.0)</f>
        <v>67</v>
      </c>
      <c r="F151" s="19" t="str">
        <f>IFERROR(__xludf.DUMMYFUNCTION("""COMPUTED_VALUE"""),"BLACK")</f>
        <v>BLACK</v>
      </c>
      <c r="G151" s="20" t="str">
        <f>IFERROR(__xludf.DUMMYFUNCTION("""COMPUTED_VALUE"""),"Uncle Sams Cider (5/13/2022)")</f>
        <v>Uncle Sams Cider (5/13/2022)</v>
      </c>
      <c r="H151" s="19"/>
    </row>
    <row r="152">
      <c r="A152" s="9"/>
      <c r="B152" s="15"/>
      <c r="C152" s="9">
        <f>IFERROR(__xludf.DUMMYFUNCTION("""COMPUTED_VALUE"""),44795.0609395138)</f>
        <v>44795.06094</v>
      </c>
      <c r="D152" s="15">
        <f>IFERROR(__xludf.DUMMYFUNCTION("""COMPUTED_VALUE"""),1.004)</f>
        <v>1.004</v>
      </c>
      <c r="E152" s="16">
        <f>IFERROR(__xludf.DUMMYFUNCTION("""COMPUTED_VALUE"""),67.0)</f>
        <v>67</v>
      </c>
      <c r="F152" s="19" t="str">
        <f>IFERROR(__xludf.DUMMYFUNCTION("""COMPUTED_VALUE"""),"BLACK")</f>
        <v>BLACK</v>
      </c>
      <c r="G152" s="20" t="str">
        <f>IFERROR(__xludf.DUMMYFUNCTION("""COMPUTED_VALUE"""),"Uncle Sams Cider (5/13/2022)")</f>
        <v>Uncle Sams Cider (5/13/2022)</v>
      </c>
      <c r="H152" s="19"/>
    </row>
    <row r="153">
      <c r="A153" s="9"/>
      <c r="B153" s="15"/>
      <c r="C153" s="9">
        <f>IFERROR(__xludf.DUMMYFUNCTION("""COMPUTED_VALUE"""),44795.0505165277)</f>
        <v>44795.05052</v>
      </c>
      <c r="D153" s="15">
        <f>IFERROR(__xludf.DUMMYFUNCTION("""COMPUTED_VALUE"""),1.003)</f>
        <v>1.003</v>
      </c>
      <c r="E153" s="16">
        <f>IFERROR(__xludf.DUMMYFUNCTION("""COMPUTED_VALUE"""),67.0)</f>
        <v>67</v>
      </c>
      <c r="F153" s="19" t="str">
        <f>IFERROR(__xludf.DUMMYFUNCTION("""COMPUTED_VALUE"""),"BLACK")</f>
        <v>BLACK</v>
      </c>
      <c r="G153" s="20" t="str">
        <f>IFERROR(__xludf.DUMMYFUNCTION("""COMPUTED_VALUE"""),"Uncle Sams Cider (5/13/2022)")</f>
        <v>Uncle Sams Cider (5/13/2022)</v>
      </c>
      <c r="H153" s="19"/>
    </row>
    <row r="154">
      <c r="A154" s="9"/>
      <c r="B154" s="15"/>
      <c r="C154" s="9">
        <f>IFERROR(__xludf.DUMMYFUNCTION("""COMPUTED_VALUE"""),44795.0400966319)</f>
        <v>44795.0401</v>
      </c>
      <c r="D154" s="15">
        <f>IFERROR(__xludf.DUMMYFUNCTION("""COMPUTED_VALUE"""),1.004)</f>
        <v>1.004</v>
      </c>
      <c r="E154" s="16">
        <f>IFERROR(__xludf.DUMMYFUNCTION("""COMPUTED_VALUE"""),67.0)</f>
        <v>67</v>
      </c>
      <c r="F154" s="19" t="str">
        <f>IFERROR(__xludf.DUMMYFUNCTION("""COMPUTED_VALUE"""),"BLACK")</f>
        <v>BLACK</v>
      </c>
      <c r="G154" s="20" t="str">
        <f>IFERROR(__xludf.DUMMYFUNCTION("""COMPUTED_VALUE"""),"Uncle Sams Cider (5/13/2022)")</f>
        <v>Uncle Sams Cider (5/13/2022)</v>
      </c>
      <c r="H154" s="19"/>
    </row>
    <row r="155">
      <c r="A155" s="9"/>
      <c r="B155" s="15"/>
      <c r="C155" s="9">
        <f>IFERROR(__xludf.DUMMYFUNCTION("""COMPUTED_VALUE"""),44795.0296646527)</f>
        <v>44795.02966</v>
      </c>
      <c r="D155" s="15">
        <f>IFERROR(__xludf.DUMMYFUNCTION("""COMPUTED_VALUE"""),1.004)</f>
        <v>1.004</v>
      </c>
      <c r="E155" s="16">
        <f>IFERROR(__xludf.DUMMYFUNCTION("""COMPUTED_VALUE"""),66.0)</f>
        <v>66</v>
      </c>
      <c r="F155" s="19" t="str">
        <f>IFERROR(__xludf.DUMMYFUNCTION("""COMPUTED_VALUE"""),"BLACK")</f>
        <v>BLACK</v>
      </c>
      <c r="G155" s="20" t="str">
        <f>IFERROR(__xludf.DUMMYFUNCTION("""COMPUTED_VALUE"""),"Uncle Sams Cider (5/13/2022)")</f>
        <v>Uncle Sams Cider (5/13/2022)</v>
      </c>
      <c r="H155" s="19"/>
    </row>
    <row r="156">
      <c r="A156" s="9"/>
      <c r="B156" s="15"/>
      <c r="C156" s="9">
        <f>IFERROR(__xludf.DUMMYFUNCTION("""COMPUTED_VALUE"""),44795.0192323263)</f>
        <v>44795.01923</v>
      </c>
      <c r="D156" s="15">
        <f>IFERROR(__xludf.DUMMYFUNCTION("""COMPUTED_VALUE"""),1.004)</f>
        <v>1.004</v>
      </c>
      <c r="E156" s="16">
        <f>IFERROR(__xludf.DUMMYFUNCTION("""COMPUTED_VALUE"""),67.0)</f>
        <v>67</v>
      </c>
      <c r="F156" s="19" t="str">
        <f>IFERROR(__xludf.DUMMYFUNCTION("""COMPUTED_VALUE"""),"BLACK")</f>
        <v>BLACK</v>
      </c>
      <c r="G156" s="20" t="str">
        <f>IFERROR(__xludf.DUMMYFUNCTION("""COMPUTED_VALUE"""),"Uncle Sams Cider (5/13/2022)")</f>
        <v>Uncle Sams Cider (5/13/2022)</v>
      </c>
      <c r="H156" s="19"/>
    </row>
    <row r="157">
      <c r="A157" s="9"/>
      <c r="B157" s="15"/>
      <c r="C157" s="9">
        <f>IFERROR(__xludf.DUMMYFUNCTION("""COMPUTED_VALUE"""),44795.0088109722)</f>
        <v>44795.00881</v>
      </c>
      <c r="D157" s="15">
        <f>IFERROR(__xludf.DUMMYFUNCTION("""COMPUTED_VALUE"""),1.004)</f>
        <v>1.004</v>
      </c>
      <c r="E157" s="16">
        <f>IFERROR(__xludf.DUMMYFUNCTION("""COMPUTED_VALUE"""),66.0)</f>
        <v>66</v>
      </c>
      <c r="F157" s="19" t="str">
        <f>IFERROR(__xludf.DUMMYFUNCTION("""COMPUTED_VALUE"""),"BLACK")</f>
        <v>BLACK</v>
      </c>
      <c r="G157" s="20" t="str">
        <f>IFERROR(__xludf.DUMMYFUNCTION("""COMPUTED_VALUE"""),"Uncle Sams Cider (5/13/2022)")</f>
        <v>Uncle Sams Cider (5/13/2022)</v>
      </c>
      <c r="H157" s="19"/>
    </row>
    <row r="158">
      <c r="A158" s="9"/>
      <c r="B158" s="15"/>
      <c r="C158" s="9">
        <f>IFERROR(__xludf.DUMMYFUNCTION("""COMPUTED_VALUE"""),44794.9983660763)</f>
        <v>44794.99837</v>
      </c>
      <c r="D158" s="15">
        <f>IFERROR(__xludf.DUMMYFUNCTION("""COMPUTED_VALUE"""),1.004)</f>
        <v>1.004</v>
      </c>
      <c r="E158" s="16">
        <f>IFERROR(__xludf.DUMMYFUNCTION("""COMPUTED_VALUE"""),66.0)</f>
        <v>66</v>
      </c>
      <c r="F158" s="19" t="str">
        <f>IFERROR(__xludf.DUMMYFUNCTION("""COMPUTED_VALUE"""),"BLACK")</f>
        <v>BLACK</v>
      </c>
      <c r="G158" s="20" t="str">
        <f>IFERROR(__xludf.DUMMYFUNCTION("""COMPUTED_VALUE"""),"Uncle Sams Cider (5/13/2022)")</f>
        <v>Uncle Sams Cider (5/13/2022)</v>
      </c>
      <c r="H158" s="19"/>
    </row>
    <row r="159">
      <c r="A159" s="9"/>
      <c r="B159" s="15"/>
      <c r="C159" s="9">
        <f>IFERROR(__xludf.DUMMYFUNCTION("""COMPUTED_VALUE"""),44794.9879339814)</f>
        <v>44794.98793</v>
      </c>
      <c r="D159" s="15">
        <f>IFERROR(__xludf.DUMMYFUNCTION("""COMPUTED_VALUE"""),1.004)</f>
        <v>1.004</v>
      </c>
      <c r="E159" s="16">
        <f>IFERROR(__xludf.DUMMYFUNCTION("""COMPUTED_VALUE"""),66.0)</f>
        <v>66</v>
      </c>
      <c r="F159" s="19" t="str">
        <f>IFERROR(__xludf.DUMMYFUNCTION("""COMPUTED_VALUE"""),"BLACK")</f>
        <v>BLACK</v>
      </c>
      <c r="G159" s="20" t="str">
        <f>IFERROR(__xludf.DUMMYFUNCTION("""COMPUTED_VALUE"""),"Uncle Sams Cider (5/13/2022)")</f>
        <v>Uncle Sams Cider (5/13/2022)</v>
      </c>
      <c r="H159" s="19"/>
    </row>
    <row r="160">
      <c r="A160" s="9"/>
      <c r="B160" s="15"/>
      <c r="C160" s="9">
        <f>IFERROR(__xludf.DUMMYFUNCTION("""COMPUTED_VALUE"""),44794.9775022106)</f>
        <v>44794.9775</v>
      </c>
      <c r="D160" s="15">
        <f>IFERROR(__xludf.DUMMYFUNCTION("""COMPUTED_VALUE"""),1.004)</f>
        <v>1.004</v>
      </c>
      <c r="E160" s="16">
        <f>IFERROR(__xludf.DUMMYFUNCTION("""COMPUTED_VALUE"""),66.0)</f>
        <v>66</v>
      </c>
      <c r="F160" s="19" t="str">
        <f>IFERROR(__xludf.DUMMYFUNCTION("""COMPUTED_VALUE"""),"BLACK")</f>
        <v>BLACK</v>
      </c>
      <c r="G160" s="20" t="str">
        <f>IFERROR(__xludf.DUMMYFUNCTION("""COMPUTED_VALUE"""),"Uncle Sams Cider (5/13/2022)")</f>
        <v>Uncle Sams Cider (5/13/2022)</v>
      </c>
      <c r="H160" s="19"/>
    </row>
    <row r="161">
      <c r="A161" s="9"/>
      <c r="B161" s="15"/>
      <c r="C161" s="9">
        <f>IFERROR(__xludf.DUMMYFUNCTION("""COMPUTED_VALUE"""),44794.9670701504)</f>
        <v>44794.96707</v>
      </c>
      <c r="D161" s="15">
        <f>IFERROR(__xludf.DUMMYFUNCTION("""COMPUTED_VALUE"""),1.004)</f>
        <v>1.004</v>
      </c>
      <c r="E161" s="16">
        <f>IFERROR(__xludf.DUMMYFUNCTION("""COMPUTED_VALUE"""),66.0)</f>
        <v>66</v>
      </c>
      <c r="F161" s="19" t="str">
        <f>IFERROR(__xludf.DUMMYFUNCTION("""COMPUTED_VALUE"""),"BLACK")</f>
        <v>BLACK</v>
      </c>
      <c r="G161" s="20" t="str">
        <f>IFERROR(__xludf.DUMMYFUNCTION("""COMPUTED_VALUE"""),"Uncle Sams Cider (5/13/2022)")</f>
        <v>Uncle Sams Cider (5/13/2022)</v>
      </c>
      <c r="H161" s="19"/>
    </row>
    <row r="162">
      <c r="A162" s="9"/>
      <c r="B162" s="15"/>
      <c r="C162" s="9">
        <f>IFERROR(__xludf.DUMMYFUNCTION("""COMPUTED_VALUE"""),44794.9566388657)</f>
        <v>44794.95664</v>
      </c>
      <c r="D162" s="15">
        <f>IFERROR(__xludf.DUMMYFUNCTION("""COMPUTED_VALUE"""),1.004)</f>
        <v>1.004</v>
      </c>
      <c r="E162" s="16">
        <f>IFERROR(__xludf.DUMMYFUNCTION("""COMPUTED_VALUE"""),66.0)</f>
        <v>66</v>
      </c>
      <c r="F162" s="19" t="str">
        <f>IFERROR(__xludf.DUMMYFUNCTION("""COMPUTED_VALUE"""),"BLACK")</f>
        <v>BLACK</v>
      </c>
      <c r="G162" s="20" t="str">
        <f>IFERROR(__xludf.DUMMYFUNCTION("""COMPUTED_VALUE"""),"Uncle Sams Cider (5/13/2022)")</f>
        <v>Uncle Sams Cider (5/13/2022)</v>
      </c>
      <c r="H162" s="19"/>
    </row>
    <row r="163">
      <c r="A163" s="9"/>
      <c r="B163" s="15"/>
      <c r="C163" s="9">
        <f>IFERROR(__xludf.DUMMYFUNCTION("""COMPUTED_VALUE"""),44794.9462051736)</f>
        <v>44794.94621</v>
      </c>
      <c r="D163" s="15">
        <f>IFERROR(__xludf.DUMMYFUNCTION("""COMPUTED_VALUE"""),1.003)</f>
        <v>1.003</v>
      </c>
      <c r="E163" s="16">
        <f>IFERROR(__xludf.DUMMYFUNCTION("""COMPUTED_VALUE"""),66.0)</f>
        <v>66</v>
      </c>
      <c r="F163" s="19" t="str">
        <f>IFERROR(__xludf.DUMMYFUNCTION("""COMPUTED_VALUE"""),"BLACK")</f>
        <v>BLACK</v>
      </c>
      <c r="G163" s="20" t="str">
        <f>IFERROR(__xludf.DUMMYFUNCTION("""COMPUTED_VALUE"""),"Uncle Sams Cider (5/13/2022)")</f>
        <v>Uncle Sams Cider (5/13/2022)</v>
      </c>
      <c r="H163" s="19"/>
    </row>
    <row r="164">
      <c r="A164" s="9"/>
      <c r="B164" s="15"/>
      <c r="C164" s="9">
        <f>IFERROR(__xludf.DUMMYFUNCTION("""COMPUTED_VALUE"""),44794.9357730208)</f>
        <v>44794.93577</v>
      </c>
      <c r="D164" s="15">
        <f>IFERROR(__xludf.DUMMYFUNCTION("""COMPUTED_VALUE"""),1.003)</f>
        <v>1.003</v>
      </c>
      <c r="E164" s="16">
        <f>IFERROR(__xludf.DUMMYFUNCTION("""COMPUTED_VALUE"""),66.0)</f>
        <v>66</v>
      </c>
      <c r="F164" s="19" t="str">
        <f>IFERROR(__xludf.DUMMYFUNCTION("""COMPUTED_VALUE"""),"BLACK")</f>
        <v>BLACK</v>
      </c>
      <c r="G164" s="20" t="str">
        <f>IFERROR(__xludf.DUMMYFUNCTION("""COMPUTED_VALUE"""),"Uncle Sams Cider (5/13/2022)")</f>
        <v>Uncle Sams Cider (5/13/2022)</v>
      </c>
      <c r="H164" s="19"/>
    </row>
    <row r="165">
      <c r="A165" s="9"/>
      <c r="B165" s="15"/>
      <c r="C165" s="9">
        <f>IFERROR(__xludf.DUMMYFUNCTION("""COMPUTED_VALUE"""),44794.925352037)</f>
        <v>44794.92535</v>
      </c>
      <c r="D165" s="15">
        <f>IFERROR(__xludf.DUMMYFUNCTION("""COMPUTED_VALUE"""),1.004)</f>
        <v>1.004</v>
      </c>
      <c r="E165" s="16">
        <f>IFERROR(__xludf.DUMMYFUNCTION("""COMPUTED_VALUE"""),66.0)</f>
        <v>66</v>
      </c>
      <c r="F165" s="19" t="str">
        <f>IFERROR(__xludf.DUMMYFUNCTION("""COMPUTED_VALUE"""),"BLACK")</f>
        <v>BLACK</v>
      </c>
      <c r="G165" s="20" t="str">
        <f>IFERROR(__xludf.DUMMYFUNCTION("""COMPUTED_VALUE"""),"Uncle Sams Cider (5/13/2022)")</f>
        <v>Uncle Sams Cider (5/13/2022)</v>
      </c>
      <c r="H165" s="19"/>
    </row>
    <row r="166">
      <c r="A166" s="9"/>
      <c r="B166" s="15"/>
      <c r="C166" s="9">
        <f>IFERROR(__xludf.DUMMYFUNCTION("""COMPUTED_VALUE"""),44794.9149310764)</f>
        <v>44794.91493</v>
      </c>
      <c r="D166" s="15">
        <f>IFERROR(__xludf.DUMMYFUNCTION("""COMPUTED_VALUE"""),1.004)</f>
        <v>1.004</v>
      </c>
      <c r="E166" s="16">
        <f>IFERROR(__xludf.DUMMYFUNCTION("""COMPUTED_VALUE"""),66.0)</f>
        <v>66</v>
      </c>
      <c r="F166" s="19" t="str">
        <f>IFERROR(__xludf.DUMMYFUNCTION("""COMPUTED_VALUE"""),"BLACK")</f>
        <v>BLACK</v>
      </c>
      <c r="G166" s="20" t="str">
        <f>IFERROR(__xludf.DUMMYFUNCTION("""COMPUTED_VALUE"""),"Uncle Sams Cider (5/13/2022)")</f>
        <v>Uncle Sams Cider (5/13/2022)</v>
      </c>
      <c r="H166" s="19"/>
    </row>
    <row r="167">
      <c r="A167" s="9"/>
      <c r="B167" s="15"/>
      <c r="C167" s="9">
        <f>IFERROR(__xludf.DUMMYFUNCTION("""COMPUTED_VALUE"""),44794.9045127662)</f>
        <v>44794.90451</v>
      </c>
      <c r="D167" s="15">
        <f>IFERROR(__xludf.DUMMYFUNCTION("""COMPUTED_VALUE"""),1.003)</f>
        <v>1.003</v>
      </c>
      <c r="E167" s="16">
        <f>IFERROR(__xludf.DUMMYFUNCTION("""COMPUTED_VALUE"""),66.0)</f>
        <v>66</v>
      </c>
      <c r="F167" s="19" t="str">
        <f>IFERROR(__xludf.DUMMYFUNCTION("""COMPUTED_VALUE"""),"BLACK")</f>
        <v>BLACK</v>
      </c>
      <c r="G167" s="20" t="str">
        <f>IFERROR(__xludf.DUMMYFUNCTION("""COMPUTED_VALUE"""),"Uncle Sams Cider (5/13/2022)")</f>
        <v>Uncle Sams Cider (5/13/2022)</v>
      </c>
      <c r="H167" s="19"/>
    </row>
    <row r="168">
      <c r="A168" s="9"/>
      <c r="B168" s="15"/>
      <c r="C168" s="9">
        <f>IFERROR(__xludf.DUMMYFUNCTION("""COMPUTED_VALUE"""),44794.8940917939)</f>
        <v>44794.89409</v>
      </c>
      <c r="D168" s="15">
        <f>IFERROR(__xludf.DUMMYFUNCTION("""COMPUTED_VALUE"""),1.004)</f>
        <v>1.004</v>
      </c>
      <c r="E168" s="16">
        <f>IFERROR(__xludf.DUMMYFUNCTION("""COMPUTED_VALUE"""),66.0)</f>
        <v>66</v>
      </c>
      <c r="F168" s="19" t="str">
        <f>IFERROR(__xludf.DUMMYFUNCTION("""COMPUTED_VALUE"""),"BLACK")</f>
        <v>BLACK</v>
      </c>
      <c r="G168" s="20" t="str">
        <f>IFERROR(__xludf.DUMMYFUNCTION("""COMPUTED_VALUE"""),"Uncle Sams Cider (5/13/2022)")</f>
        <v>Uncle Sams Cider (5/13/2022)</v>
      </c>
      <c r="H168" s="19"/>
    </row>
    <row r="169">
      <c r="A169" s="9"/>
      <c r="B169" s="15"/>
      <c r="C169" s="9">
        <f>IFERROR(__xludf.DUMMYFUNCTION("""COMPUTED_VALUE"""),44794.8836703009)</f>
        <v>44794.88367</v>
      </c>
      <c r="D169" s="15">
        <f>IFERROR(__xludf.DUMMYFUNCTION("""COMPUTED_VALUE"""),1.004)</f>
        <v>1.004</v>
      </c>
      <c r="E169" s="16">
        <f>IFERROR(__xludf.DUMMYFUNCTION("""COMPUTED_VALUE"""),66.0)</f>
        <v>66</v>
      </c>
      <c r="F169" s="19" t="str">
        <f>IFERROR(__xludf.DUMMYFUNCTION("""COMPUTED_VALUE"""),"BLACK")</f>
        <v>BLACK</v>
      </c>
      <c r="G169" s="20" t="str">
        <f>IFERROR(__xludf.DUMMYFUNCTION("""COMPUTED_VALUE"""),"Uncle Sams Cider (5/13/2022)")</f>
        <v>Uncle Sams Cider (5/13/2022)</v>
      </c>
      <c r="H169" s="19"/>
    </row>
    <row r="170">
      <c r="A170" s="9"/>
      <c r="B170" s="15"/>
      <c r="C170" s="9">
        <f>IFERROR(__xludf.DUMMYFUNCTION("""COMPUTED_VALUE"""),44794.8732367939)</f>
        <v>44794.87324</v>
      </c>
      <c r="D170" s="15">
        <f>IFERROR(__xludf.DUMMYFUNCTION("""COMPUTED_VALUE"""),1.004)</f>
        <v>1.004</v>
      </c>
      <c r="E170" s="16">
        <f>IFERROR(__xludf.DUMMYFUNCTION("""COMPUTED_VALUE"""),66.0)</f>
        <v>66</v>
      </c>
      <c r="F170" s="19" t="str">
        <f>IFERROR(__xludf.DUMMYFUNCTION("""COMPUTED_VALUE"""),"BLACK")</f>
        <v>BLACK</v>
      </c>
      <c r="G170" s="20" t="str">
        <f>IFERROR(__xludf.DUMMYFUNCTION("""COMPUTED_VALUE"""),"Uncle Sams Cider (5/13/2022)")</f>
        <v>Uncle Sams Cider (5/13/2022)</v>
      </c>
      <c r="H170" s="19"/>
    </row>
    <row r="171">
      <c r="A171" s="9"/>
      <c r="B171" s="15"/>
      <c r="C171" s="9">
        <f>IFERROR(__xludf.DUMMYFUNCTION("""COMPUTED_VALUE"""),44794.8628162963)</f>
        <v>44794.86282</v>
      </c>
      <c r="D171" s="15">
        <f>IFERROR(__xludf.DUMMYFUNCTION("""COMPUTED_VALUE"""),1.003)</f>
        <v>1.003</v>
      </c>
      <c r="E171" s="16">
        <f>IFERROR(__xludf.DUMMYFUNCTION("""COMPUTED_VALUE"""),66.0)</f>
        <v>66</v>
      </c>
      <c r="F171" s="19" t="str">
        <f>IFERROR(__xludf.DUMMYFUNCTION("""COMPUTED_VALUE"""),"BLACK")</f>
        <v>BLACK</v>
      </c>
      <c r="G171" s="20" t="str">
        <f>IFERROR(__xludf.DUMMYFUNCTION("""COMPUTED_VALUE"""),"Uncle Sams Cider (5/13/2022)")</f>
        <v>Uncle Sams Cider (5/13/2022)</v>
      </c>
      <c r="H171" s="19"/>
    </row>
    <row r="172">
      <c r="A172" s="9"/>
      <c r="B172" s="15"/>
      <c r="C172" s="9">
        <f>IFERROR(__xludf.DUMMYFUNCTION("""COMPUTED_VALUE"""),44794.8523950694)</f>
        <v>44794.8524</v>
      </c>
      <c r="D172" s="15">
        <f>IFERROR(__xludf.DUMMYFUNCTION("""COMPUTED_VALUE"""),1.004)</f>
        <v>1.004</v>
      </c>
      <c r="E172" s="16">
        <f>IFERROR(__xludf.DUMMYFUNCTION("""COMPUTED_VALUE"""),66.0)</f>
        <v>66</v>
      </c>
      <c r="F172" s="19" t="str">
        <f>IFERROR(__xludf.DUMMYFUNCTION("""COMPUTED_VALUE"""),"BLACK")</f>
        <v>BLACK</v>
      </c>
      <c r="G172" s="20" t="str">
        <f>IFERROR(__xludf.DUMMYFUNCTION("""COMPUTED_VALUE"""),"Uncle Sams Cider (5/13/2022)")</f>
        <v>Uncle Sams Cider (5/13/2022)</v>
      </c>
      <c r="H172" s="19"/>
    </row>
    <row r="173">
      <c r="A173" s="9"/>
      <c r="B173" s="15"/>
      <c r="C173" s="9">
        <f>IFERROR(__xludf.DUMMYFUNCTION("""COMPUTED_VALUE"""),44794.8419731018)</f>
        <v>44794.84197</v>
      </c>
      <c r="D173" s="15">
        <f>IFERROR(__xludf.DUMMYFUNCTION("""COMPUTED_VALUE"""),1.004)</f>
        <v>1.004</v>
      </c>
      <c r="E173" s="16">
        <f>IFERROR(__xludf.DUMMYFUNCTION("""COMPUTED_VALUE"""),66.0)</f>
        <v>66</v>
      </c>
      <c r="F173" s="19" t="str">
        <f>IFERROR(__xludf.DUMMYFUNCTION("""COMPUTED_VALUE"""),"BLACK")</f>
        <v>BLACK</v>
      </c>
      <c r="G173" s="20" t="str">
        <f>IFERROR(__xludf.DUMMYFUNCTION("""COMPUTED_VALUE"""),"Uncle Sams Cider (5/13/2022)")</f>
        <v>Uncle Sams Cider (5/13/2022)</v>
      </c>
      <c r="H173" s="19"/>
    </row>
    <row r="174">
      <c r="A174" s="9"/>
      <c r="B174" s="15"/>
      <c r="C174" s="9">
        <f>IFERROR(__xludf.DUMMYFUNCTION("""COMPUTED_VALUE"""),44794.8315496527)</f>
        <v>44794.83155</v>
      </c>
      <c r="D174" s="15">
        <f>IFERROR(__xludf.DUMMYFUNCTION("""COMPUTED_VALUE"""),1.004)</f>
        <v>1.004</v>
      </c>
      <c r="E174" s="16">
        <f>IFERROR(__xludf.DUMMYFUNCTION("""COMPUTED_VALUE"""),66.0)</f>
        <v>66</v>
      </c>
      <c r="F174" s="19" t="str">
        <f>IFERROR(__xludf.DUMMYFUNCTION("""COMPUTED_VALUE"""),"BLACK")</f>
        <v>BLACK</v>
      </c>
      <c r="G174" s="20" t="str">
        <f>IFERROR(__xludf.DUMMYFUNCTION("""COMPUTED_VALUE"""),"Uncle Sams Cider (5/13/2022)")</f>
        <v>Uncle Sams Cider (5/13/2022)</v>
      </c>
      <c r="H174" s="19"/>
    </row>
    <row r="175">
      <c r="A175" s="9"/>
      <c r="B175" s="15"/>
      <c r="C175" s="9">
        <f>IFERROR(__xludf.DUMMYFUNCTION("""COMPUTED_VALUE"""),44794.8211288078)</f>
        <v>44794.82113</v>
      </c>
      <c r="D175" s="15">
        <f>IFERROR(__xludf.DUMMYFUNCTION("""COMPUTED_VALUE"""),1.004)</f>
        <v>1.004</v>
      </c>
      <c r="E175" s="16">
        <f>IFERROR(__xludf.DUMMYFUNCTION("""COMPUTED_VALUE"""),66.0)</f>
        <v>66</v>
      </c>
      <c r="F175" s="19" t="str">
        <f>IFERROR(__xludf.DUMMYFUNCTION("""COMPUTED_VALUE"""),"BLACK")</f>
        <v>BLACK</v>
      </c>
      <c r="G175" s="20" t="str">
        <f>IFERROR(__xludf.DUMMYFUNCTION("""COMPUTED_VALUE"""),"Uncle Sams Cider (5/13/2022)")</f>
        <v>Uncle Sams Cider (5/13/2022)</v>
      </c>
      <c r="H175" s="19"/>
    </row>
    <row r="176">
      <c r="A176" s="9"/>
      <c r="B176" s="15"/>
      <c r="C176" s="9">
        <f>IFERROR(__xludf.DUMMYFUNCTION("""COMPUTED_VALUE"""),44794.8106854166)</f>
        <v>44794.81069</v>
      </c>
      <c r="D176" s="15">
        <f>IFERROR(__xludf.DUMMYFUNCTION("""COMPUTED_VALUE"""),1.004)</f>
        <v>1.004</v>
      </c>
      <c r="E176" s="16">
        <f>IFERROR(__xludf.DUMMYFUNCTION("""COMPUTED_VALUE"""),66.0)</f>
        <v>66</v>
      </c>
      <c r="F176" s="19" t="str">
        <f>IFERROR(__xludf.DUMMYFUNCTION("""COMPUTED_VALUE"""),"BLACK")</f>
        <v>BLACK</v>
      </c>
      <c r="G176" s="20" t="str">
        <f>IFERROR(__xludf.DUMMYFUNCTION("""COMPUTED_VALUE"""),"Uncle Sams Cider (5/13/2022)")</f>
        <v>Uncle Sams Cider (5/13/2022)</v>
      </c>
      <c r="H176" s="19"/>
    </row>
    <row r="177">
      <c r="A177" s="9"/>
      <c r="B177" s="15"/>
      <c r="C177" s="9">
        <f>IFERROR(__xludf.DUMMYFUNCTION("""COMPUTED_VALUE"""),44794.8002647222)</f>
        <v>44794.80026</v>
      </c>
      <c r="D177" s="15">
        <f>IFERROR(__xludf.DUMMYFUNCTION("""COMPUTED_VALUE"""),1.003)</f>
        <v>1.003</v>
      </c>
      <c r="E177" s="16">
        <f>IFERROR(__xludf.DUMMYFUNCTION("""COMPUTED_VALUE"""),66.0)</f>
        <v>66</v>
      </c>
      <c r="F177" s="19" t="str">
        <f>IFERROR(__xludf.DUMMYFUNCTION("""COMPUTED_VALUE"""),"BLACK")</f>
        <v>BLACK</v>
      </c>
      <c r="G177" s="20" t="str">
        <f>IFERROR(__xludf.DUMMYFUNCTION("""COMPUTED_VALUE"""),"Uncle Sams Cider (5/13/2022)")</f>
        <v>Uncle Sams Cider (5/13/2022)</v>
      </c>
      <c r="H177" s="19"/>
    </row>
    <row r="178">
      <c r="A178" s="9"/>
      <c r="B178" s="15"/>
      <c r="C178" s="9">
        <f>IFERROR(__xludf.DUMMYFUNCTION("""COMPUTED_VALUE"""),44794.7898429861)</f>
        <v>44794.78984</v>
      </c>
      <c r="D178" s="15">
        <f>IFERROR(__xludf.DUMMYFUNCTION("""COMPUTED_VALUE"""),1.004)</f>
        <v>1.004</v>
      </c>
      <c r="E178" s="16">
        <f>IFERROR(__xludf.DUMMYFUNCTION("""COMPUTED_VALUE"""),66.0)</f>
        <v>66</v>
      </c>
      <c r="F178" s="19" t="str">
        <f>IFERROR(__xludf.DUMMYFUNCTION("""COMPUTED_VALUE"""),"BLACK")</f>
        <v>BLACK</v>
      </c>
      <c r="G178" s="20" t="str">
        <f>IFERROR(__xludf.DUMMYFUNCTION("""COMPUTED_VALUE"""),"Uncle Sams Cider (5/13/2022)")</f>
        <v>Uncle Sams Cider (5/13/2022)</v>
      </c>
      <c r="H178" s="19"/>
    </row>
    <row r="179">
      <c r="A179" s="9"/>
      <c r="B179" s="15"/>
      <c r="C179" s="9">
        <f>IFERROR(__xludf.DUMMYFUNCTION("""COMPUTED_VALUE"""),44794.7794219212)</f>
        <v>44794.77942</v>
      </c>
      <c r="D179" s="15">
        <f>IFERROR(__xludf.DUMMYFUNCTION("""COMPUTED_VALUE"""),1.004)</f>
        <v>1.004</v>
      </c>
      <c r="E179" s="16">
        <f>IFERROR(__xludf.DUMMYFUNCTION("""COMPUTED_VALUE"""),66.0)</f>
        <v>66</v>
      </c>
      <c r="F179" s="19" t="str">
        <f>IFERROR(__xludf.DUMMYFUNCTION("""COMPUTED_VALUE"""),"BLACK")</f>
        <v>BLACK</v>
      </c>
      <c r="G179" s="20" t="str">
        <f>IFERROR(__xludf.DUMMYFUNCTION("""COMPUTED_VALUE"""),"Uncle Sams Cider (5/13/2022)")</f>
        <v>Uncle Sams Cider (5/13/2022)</v>
      </c>
      <c r="H179" s="19"/>
    </row>
    <row r="180">
      <c r="A180" s="9"/>
      <c r="B180" s="15"/>
      <c r="C180" s="9">
        <f>IFERROR(__xludf.DUMMYFUNCTION("""COMPUTED_VALUE"""),44794.769002199)</f>
        <v>44794.769</v>
      </c>
      <c r="D180" s="15">
        <f>IFERROR(__xludf.DUMMYFUNCTION("""COMPUTED_VALUE"""),1.003)</f>
        <v>1.003</v>
      </c>
      <c r="E180" s="16">
        <f>IFERROR(__xludf.DUMMYFUNCTION("""COMPUTED_VALUE"""),66.0)</f>
        <v>66</v>
      </c>
      <c r="F180" s="19" t="str">
        <f>IFERROR(__xludf.DUMMYFUNCTION("""COMPUTED_VALUE"""),"BLACK")</f>
        <v>BLACK</v>
      </c>
      <c r="G180" s="20" t="str">
        <f>IFERROR(__xludf.DUMMYFUNCTION("""COMPUTED_VALUE"""),"Uncle Sams Cider (5/13/2022)")</f>
        <v>Uncle Sams Cider (5/13/2022)</v>
      </c>
      <c r="H180" s="19"/>
    </row>
    <row r="181">
      <c r="A181" s="9"/>
      <c r="B181" s="15"/>
      <c r="C181" s="9">
        <f>IFERROR(__xludf.DUMMYFUNCTION("""COMPUTED_VALUE"""),44794.7585800694)</f>
        <v>44794.75858</v>
      </c>
      <c r="D181" s="15">
        <f>IFERROR(__xludf.DUMMYFUNCTION("""COMPUTED_VALUE"""),1.004)</f>
        <v>1.004</v>
      </c>
      <c r="E181" s="16">
        <f>IFERROR(__xludf.DUMMYFUNCTION("""COMPUTED_VALUE"""),66.0)</f>
        <v>66</v>
      </c>
      <c r="F181" s="19" t="str">
        <f>IFERROR(__xludf.DUMMYFUNCTION("""COMPUTED_VALUE"""),"BLACK")</f>
        <v>BLACK</v>
      </c>
      <c r="G181" s="20" t="str">
        <f>IFERROR(__xludf.DUMMYFUNCTION("""COMPUTED_VALUE"""),"Uncle Sams Cider (5/13/2022)")</f>
        <v>Uncle Sams Cider (5/13/2022)</v>
      </c>
      <c r="H181" s="19"/>
    </row>
    <row r="182">
      <c r="A182" s="9"/>
      <c r="B182" s="15"/>
      <c r="C182" s="9">
        <f>IFERROR(__xludf.DUMMYFUNCTION("""COMPUTED_VALUE"""),44794.7481588657)</f>
        <v>44794.74816</v>
      </c>
      <c r="D182" s="15">
        <f>IFERROR(__xludf.DUMMYFUNCTION("""COMPUTED_VALUE"""),1.004)</f>
        <v>1.004</v>
      </c>
      <c r="E182" s="16">
        <f>IFERROR(__xludf.DUMMYFUNCTION("""COMPUTED_VALUE"""),66.0)</f>
        <v>66</v>
      </c>
      <c r="F182" s="19" t="str">
        <f>IFERROR(__xludf.DUMMYFUNCTION("""COMPUTED_VALUE"""),"BLACK")</f>
        <v>BLACK</v>
      </c>
      <c r="G182" s="20" t="str">
        <f>IFERROR(__xludf.DUMMYFUNCTION("""COMPUTED_VALUE"""),"Uncle Sams Cider (5/13/2022)")</f>
        <v>Uncle Sams Cider (5/13/2022)</v>
      </c>
      <c r="H182" s="19"/>
    </row>
    <row r="183">
      <c r="A183" s="9"/>
      <c r="B183" s="15"/>
      <c r="C183" s="9">
        <f>IFERROR(__xludf.DUMMYFUNCTION("""COMPUTED_VALUE"""),44794.7377378125)</f>
        <v>44794.73774</v>
      </c>
      <c r="D183" s="15">
        <f>IFERROR(__xludf.DUMMYFUNCTION("""COMPUTED_VALUE"""),1.003)</f>
        <v>1.003</v>
      </c>
      <c r="E183" s="16">
        <f>IFERROR(__xludf.DUMMYFUNCTION("""COMPUTED_VALUE"""),66.0)</f>
        <v>66</v>
      </c>
      <c r="F183" s="19" t="str">
        <f>IFERROR(__xludf.DUMMYFUNCTION("""COMPUTED_VALUE"""),"BLACK")</f>
        <v>BLACK</v>
      </c>
      <c r="G183" s="20" t="str">
        <f>IFERROR(__xludf.DUMMYFUNCTION("""COMPUTED_VALUE"""),"Uncle Sams Cider (5/13/2022)")</f>
        <v>Uncle Sams Cider (5/13/2022)</v>
      </c>
      <c r="H183" s="19"/>
    </row>
    <row r="184">
      <c r="A184" s="9"/>
      <c r="B184" s="15"/>
      <c r="C184" s="9">
        <f>IFERROR(__xludf.DUMMYFUNCTION("""COMPUTED_VALUE"""),44794.7273195023)</f>
        <v>44794.72732</v>
      </c>
      <c r="D184" s="15">
        <f>IFERROR(__xludf.DUMMYFUNCTION("""COMPUTED_VALUE"""),1.004)</f>
        <v>1.004</v>
      </c>
      <c r="E184" s="16">
        <f>IFERROR(__xludf.DUMMYFUNCTION("""COMPUTED_VALUE"""),66.0)</f>
        <v>66</v>
      </c>
      <c r="F184" s="19" t="str">
        <f>IFERROR(__xludf.DUMMYFUNCTION("""COMPUTED_VALUE"""),"BLACK")</f>
        <v>BLACK</v>
      </c>
      <c r="G184" s="20" t="str">
        <f>IFERROR(__xludf.DUMMYFUNCTION("""COMPUTED_VALUE"""),"Uncle Sams Cider (5/13/2022)")</f>
        <v>Uncle Sams Cider (5/13/2022)</v>
      </c>
      <c r="H184" s="19"/>
    </row>
    <row r="185">
      <c r="A185" s="9"/>
      <c r="B185" s="15"/>
      <c r="C185" s="9">
        <f>IFERROR(__xludf.DUMMYFUNCTION("""COMPUTED_VALUE"""),44794.716898449)</f>
        <v>44794.7169</v>
      </c>
      <c r="D185" s="15">
        <f>IFERROR(__xludf.DUMMYFUNCTION("""COMPUTED_VALUE"""),1.004)</f>
        <v>1.004</v>
      </c>
      <c r="E185" s="16">
        <f>IFERROR(__xludf.DUMMYFUNCTION("""COMPUTED_VALUE"""),66.0)</f>
        <v>66</v>
      </c>
      <c r="F185" s="19" t="str">
        <f>IFERROR(__xludf.DUMMYFUNCTION("""COMPUTED_VALUE"""),"BLACK")</f>
        <v>BLACK</v>
      </c>
      <c r="G185" s="20" t="str">
        <f>IFERROR(__xludf.DUMMYFUNCTION("""COMPUTED_VALUE"""),"Uncle Sams Cider (5/13/2022)")</f>
        <v>Uncle Sams Cider (5/13/2022)</v>
      </c>
      <c r="H185" s="19"/>
    </row>
    <row r="186">
      <c r="A186" s="9"/>
      <c r="B186" s="15"/>
      <c r="C186" s="9">
        <f>IFERROR(__xludf.DUMMYFUNCTION("""COMPUTED_VALUE"""),44794.7064779745)</f>
        <v>44794.70648</v>
      </c>
      <c r="D186" s="15">
        <f>IFERROR(__xludf.DUMMYFUNCTION("""COMPUTED_VALUE"""),1.004)</f>
        <v>1.004</v>
      </c>
      <c r="E186" s="16">
        <f>IFERROR(__xludf.DUMMYFUNCTION("""COMPUTED_VALUE"""),66.0)</f>
        <v>66</v>
      </c>
      <c r="F186" s="19" t="str">
        <f>IFERROR(__xludf.DUMMYFUNCTION("""COMPUTED_VALUE"""),"BLACK")</f>
        <v>BLACK</v>
      </c>
      <c r="G186" s="20" t="str">
        <f>IFERROR(__xludf.DUMMYFUNCTION("""COMPUTED_VALUE"""),"Uncle Sams Cider (5/13/2022)")</f>
        <v>Uncle Sams Cider (5/13/2022)</v>
      </c>
      <c r="H186" s="19"/>
    </row>
    <row r="187">
      <c r="A187" s="9"/>
      <c r="B187" s="15"/>
      <c r="C187" s="9">
        <f>IFERROR(__xludf.DUMMYFUNCTION("""COMPUTED_VALUE"""),44794.6960554629)</f>
        <v>44794.69606</v>
      </c>
      <c r="D187" s="15">
        <f>IFERROR(__xludf.DUMMYFUNCTION("""COMPUTED_VALUE"""),1.004)</f>
        <v>1.004</v>
      </c>
      <c r="E187" s="16">
        <f>IFERROR(__xludf.DUMMYFUNCTION("""COMPUTED_VALUE"""),66.0)</f>
        <v>66</v>
      </c>
      <c r="F187" s="19" t="str">
        <f>IFERROR(__xludf.DUMMYFUNCTION("""COMPUTED_VALUE"""),"BLACK")</f>
        <v>BLACK</v>
      </c>
      <c r="G187" s="20" t="str">
        <f>IFERROR(__xludf.DUMMYFUNCTION("""COMPUTED_VALUE"""),"Uncle Sams Cider (5/13/2022)")</f>
        <v>Uncle Sams Cider (5/13/2022)</v>
      </c>
      <c r="H187" s="19"/>
    </row>
    <row r="188">
      <c r="A188" s="9"/>
      <c r="B188" s="15"/>
      <c r="C188" s="9">
        <f>IFERROR(__xludf.DUMMYFUNCTION("""COMPUTED_VALUE"""),44794.6856345601)</f>
        <v>44794.68563</v>
      </c>
      <c r="D188" s="15">
        <f>IFERROR(__xludf.DUMMYFUNCTION("""COMPUTED_VALUE"""),1.003)</f>
        <v>1.003</v>
      </c>
      <c r="E188" s="16">
        <f>IFERROR(__xludf.DUMMYFUNCTION("""COMPUTED_VALUE"""),66.0)</f>
        <v>66</v>
      </c>
      <c r="F188" s="19" t="str">
        <f>IFERROR(__xludf.DUMMYFUNCTION("""COMPUTED_VALUE"""),"BLACK")</f>
        <v>BLACK</v>
      </c>
      <c r="G188" s="20" t="str">
        <f>IFERROR(__xludf.DUMMYFUNCTION("""COMPUTED_VALUE"""),"Uncle Sams Cider (5/13/2022)")</f>
        <v>Uncle Sams Cider (5/13/2022)</v>
      </c>
      <c r="H188" s="19"/>
    </row>
    <row r="189">
      <c r="A189" s="9"/>
      <c r="B189" s="15"/>
      <c r="C189" s="9">
        <f>IFERROR(__xludf.DUMMYFUNCTION("""COMPUTED_VALUE"""),44794.6752011458)</f>
        <v>44794.6752</v>
      </c>
      <c r="D189" s="15">
        <f>IFERROR(__xludf.DUMMYFUNCTION("""COMPUTED_VALUE"""),1.004)</f>
        <v>1.004</v>
      </c>
      <c r="E189" s="16">
        <f>IFERROR(__xludf.DUMMYFUNCTION("""COMPUTED_VALUE"""),66.0)</f>
        <v>66</v>
      </c>
      <c r="F189" s="19" t="str">
        <f>IFERROR(__xludf.DUMMYFUNCTION("""COMPUTED_VALUE"""),"BLACK")</f>
        <v>BLACK</v>
      </c>
      <c r="G189" s="20" t="str">
        <f>IFERROR(__xludf.DUMMYFUNCTION("""COMPUTED_VALUE"""),"Uncle Sams Cider (5/13/2022)")</f>
        <v>Uncle Sams Cider (5/13/2022)</v>
      </c>
      <c r="H189" s="19"/>
    </row>
    <row r="190">
      <c r="A190" s="9"/>
      <c r="B190" s="15"/>
      <c r="C190" s="9">
        <f>IFERROR(__xludf.DUMMYFUNCTION("""COMPUTED_VALUE"""),44794.6647793402)</f>
        <v>44794.66478</v>
      </c>
      <c r="D190" s="15">
        <f>IFERROR(__xludf.DUMMYFUNCTION("""COMPUTED_VALUE"""),1.003)</f>
        <v>1.003</v>
      </c>
      <c r="E190" s="16">
        <f>IFERROR(__xludf.DUMMYFUNCTION("""COMPUTED_VALUE"""),66.0)</f>
        <v>66</v>
      </c>
      <c r="F190" s="19" t="str">
        <f>IFERROR(__xludf.DUMMYFUNCTION("""COMPUTED_VALUE"""),"BLACK")</f>
        <v>BLACK</v>
      </c>
      <c r="G190" s="20" t="str">
        <f>IFERROR(__xludf.DUMMYFUNCTION("""COMPUTED_VALUE"""),"Uncle Sams Cider (5/13/2022)")</f>
        <v>Uncle Sams Cider (5/13/2022)</v>
      </c>
      <c r="H190" s="19"/>
    </row>
    <row r="191">
      <c r="A191" s="9"/>
      <c r="B191" s="15"/>
      <c r="C191" s="9">
        <f>IFERROR(__xludf.DUMMYFUNCTION("""COMPUTED_VALUE"""),44794.6543581944)</f>
        <v>44794.65436</v>
      </c>
      <c r="D191" s="15">
        <f>IFERROR(__xludf.DUMMYFUNCTION("""COMPUTED_VALUE"""),1.003)</f>
        <v>1.003</v>
      </c>
      <c r="E191" s="16">
        <f>IFERROR(__xludf.DUMMYFUNCTION("""COMPUTED_VALUE"""),66.0)</f>
        <v>66</v>
      </c>
      <c r="F191" s="19" t="str">
        <f>IFERROR(__xludf.DUMMYFUNCTION("""COMPUTED_VALUE"""),"BLACK")</f>
        <v>BLACK</v>
      </c>
      <c r="G191" s="20" t="str">
        <f>IFERROR(__xludf.DUMMYFUNCTION("""COMPUTED_VALUE"""),"Uncle Sams Cider (5/13/2022)")</f>
        <v>Uncle Sams Cider (5/13/2022)</v>
      </c>
      <c r="H191" s="19"/>
    </row>
    <row r="192">
      <c r="A192" s="9"/>
      <c r="B192" s="15"/>
      <c r="C192" s="9">
        <f>IFERROR(__xludf.DUMMYFUNCTION("""COMPUTED_VALUE"""),44794.6439373611)</f>
        <v>44794.64394</v>
      </c>
      <c r="D192" s="15">
        <f>IFERROR(__xludf.DUMMYFUNCTION("""COMPUTED_VALUE"""),1.003)</f>
        <v>1.003</v>
      </c>
      <c r="E192" s="16">
        <f>IFERROR(__xludf.DUMMYFUNCTION("""COMPUTED_VALUE"""),66.0)</f>
        <v>66</v>
      </c>
      <c r="F192" s="19" t="str">
        <f>IFERROR(__xludf.DUMMYFUNCTION("""COMPUTED_VALUE"""),"BLACK")</f>
        <v>BLACK</v>
      </c>
      <c r="G192" s="20" t="str">
        <f>IFERROR(__xludf.DUMMYFUNCTION("""COMPUTED_VALUE"""),"Uncle Sams Cider (5/13/2022)")</f>
        <v>Uncle Sams Cider (5/13/2022)</v>
      </c>
      <c r="H192" s="19"/>
    </row>
    <row r="193">
      <c r="A193" s="9"/>
      <c r="B193" s="15"/>
      <c r="C193" s="9">
        <f>IFERROR(__xludf.DUMMYFUNCTION("""COMPUTED_VALUE"""),44794.633516655)</f>
        <v>44794.63352</v>
      </c>
      <c r="D193" s="15">
        <f>IFERROR(__xludf.DUMMYFUNCTION("""COMPUTED_VALUE"""),1.003)</f>
        <v>1.003</v>
      </c>
      <c r="E193" s="16">
        <f>IFERROR(__xludf.DUMMYFUNCTION("""COMPUTED_VALUE"""),66.0)</f>
        <v>66</v>
      </c>
      <c r="F193" s="19" t="str">
        <f>IFERROR(__xludf.DUMMYFUNCTION("""COMPUTED_VALUE"""),"BLACK")</f>
        <v>BLACK</v>
      </c>
      <c r="G193" s="20" t="str">
        <f>IFERROR(__xludf.DUMMYFUNCTION("""COMPUTED_VALUE"""),"Uncle Sams Cider (5/13/2022)")</f>
        <v>Uncle Sams Cider (5/13/2022)</v>
      </c>
      <c r="H193" s="19"/>
    </row>
    <row r="194">
      <c r="A194" s="9"/>
      <c r="B194" s="15"/>
      <c r="C194" s="9">
        <f>IFERROR(__xludf.DUMMYFUNCTION("""COMPUTED_VALUE"""),44794.6230840393)</f>
        <v>44794.62308</v>
      </c>
      <c r="D194" s="15">
        <f>IFERROR(__xludf.DUMMYFUNCTION("""COMPUTED_VALUE"""),1.004)</f>
        <v>1.004</v>
      </c>
      <c r="E194" s="16">
        <f>IFERROR(__xludf.DUMMYFUNCTION("""COMPUTED_VALUE"""),66.0)</f>
        <v>66</v>
      </c>
      <c r="F194" s="19" t="str">
        <f>IFERROR(__xludf.DUMMYFUNCTION("""COMPUTED_VALUE"""),"BLACK")</f>
        <v>BLACK</v>
      </c>
      <c r="G194" s="20" t="str">
        <f>IFERROR(__xludf.DUMMYFUNCTION("""COMPUTED_VALUE"""),"Uncle Sams Cider (5/13/2022)")</f>
        <v>Uncle Sams Cider (5/13/2022)</v>
      </c>
      <c r="H194" s="19"/>
    </row>
    <row r="195">
      <c r="A195" s="9"/>
      <c r="B195" s="15"/>
      <c r="C195" s="9">
        <f>IFERROR(__xludf.DUMMYFUNCTION("""COMPUTED_VALUE"""),44794.6126636342)</f>
        <v>44794.61266</v>
      </c>
      <c r="D195" s="15">
        <f>IFERROR(__xludf.DUMMYFUNCTION("""COMPUTED_VALUE"""),1.003)</f>
        <v>1.003</v>
      </c>
      <c r="E195" s="16">
        <f>IFERROR(__xludf.DUMMYFUNCTION("""COMPUTED_VALUE"""),67.0)</f>
        <v>67</v>
      </c>
      <c r="F195" s="19" t="str">
        <f>IFERROR(__xludf.DUMMYFUNCTION("""COMPUTED_VALUE"""),"BLACK")</f>
        <v>BLACK</v>
      </c>
      <c r="G195" s="20" t="str">
        <f>IFERROR(__xludf.DUMMYFUNCTION("""COMPUTED_VALUE"""),"Uncle Sams Cider (5/13/2022)")</f>
        <v>Uncle Sams Cider (5/13/2022)</v>
      </c>
      <c r="H195" s="19"/>
    </row>
    <row r="196">
      <c r="A196" s="9"/>
      <c r="B196" s="15"/>
      <c r="C196" s="9">
        <f>IFERROR(__xludf.DUMMYFUNCTION("""COMPUTED_VALUE"""),44794.6022429861)</f>
        <v>44794.60224</v>
      </c>
      <c r="D196" s="15">
        <f>IFERROR(__xludf.DUMMYFUNCTION("""COMPUTED_VALUE"""),1.003)</f>
        <v>1.003</v>
      </c>
      <c r="E196" s="16">
        <f>IFERROR(__xludf.DUMMYFUNCTION("""COMPUTED_VALUE"""),67.0)</f>
        <v>67</v>
      </c>
      <c r="F196" s="19" t="str">
        <f>IFERROR(__xludf.DUMMYFUNCTION("""COMPUTED_VALUE"""),"BLACK")</f>
        <v>BLACK</v>
      </c>
      <c r="G196" s="20" t="str">
        <f>IFERROR(__xludf.DUMMYFUNCTION("""COMPUTED_VALUE"""),"Uncle Sams Cider (5/13/2022)")</f>
        <v>Uncle Sams Cider (5/13/2022)</v>
      </c>
      <c r="H196" s="19"/>
    </row>
    <row r="197">
      <c r="A197" s="9"/>
      <c r="B197" s="15"/>
      <c r="C197" s="9">
        <f>IFERROR(__xludf.DUMMYFUNCTION("""COMPUTED_VALUE"""),44794.5918213541)</f>
        <v>44794.59182</v>
      </c>
      <c r="D197" s="15">
        <f>IFERROR(__xludf.DUMMYFUNCTION("""COMPUTED_VALUE"""),1.003)</f>
        <v>1.003</v>
      </c>
      <c r="E197" s="16">
        <f>IFERROR(__xludf.DUMMYFUNCTION("""COMPUTED_VALUE"""),68.0)</f>
        <v>68</v>
      </c>
      <c r="F197" s="19" t="str">
        <f>IFERROR(__xludf.DUMMYFUNCTION("""COMPUTED_VALUE"""),"BLACK")</f>
        <v>BLACK</v>
      </c>
      <c r="G197" s="20" t="str">
        <f>IFERROR(__xludf.DUMMYFUNCTION("""COMPUTED_VALUE"""),"Uncle Sams Cider (5/13/2022)")</f>
        <v>Uncle Sams Cider (5/13/2022)</v>
      </c>
      <c r="H197" s="19"/>
    </row>
    <row r="198">
      <c r="A198" s="9"/>
      <c r="B198" s="15"/>
      <c r="C198" s="9">
        <f>IFERROR(__xludf.DUMMYFUNCTION("""COMPUTED_VALUE"""),44794.5814005555)</f>
        <v>44794.5814</v>
      </c>
      <c r="D198" s="15">
        <f>IFERROR(__xludf.DUMMYFUNCTION("""COMPUTED_VALUE"""),1.003)</f>
        <v>1.003</v>
      </c>
      <c r="E198" s="16">
        <f>IFERROR(__xludf.DUMMYFUNCTION("""COMPUTED_VALUE"""),69.0)</f>
        <v>69</v>
      </c>
      <c r="F198" s="19" t="str">
        <f>IFERROR(__xludf.DUMMYFUNCTION("""COMPUTED_VALUE"""),"BLACK")</f>
        <v>BLACK</v>
      </c>
      <c r="G198" s="20" t="str">
        <f>IFERROR(__xludf.DUMMYFUNCTION("""COMPUTED_VALUE"""),"Uncle Sams Cider (5/13/2022)")</f>
        <v>Uncle Sams Cider (5/13/2022)</v>
      </c>
      <c r="H198" s="19"/>
    </row>
    <row r="199">
      <c r="A199" s="9"/>
      <c r="B199" s="15"/>
      <c r="C199" s="9">
        <f>IFERROR(__xludf.DUMMYFUNCTION("""COMPUTED_VALUE"""),44794.5709792245)</f>
        <v>44794.57098</v>
      </c>
      <c r="D199" s="15">
        <f>IFERROR(__xludf.DUMMYFUNCTION("""COMPUTED_VALUE"""),1.003)</f>
        <v>1.003</v>
      </c>
      <c r="E199" s="16">
        <f>IFERROR(__xludf.DUMMYFUNCTION("""COMPUTED_VALUE"""),70.0)</f>
        <v>70</v>
      </c>
      <c r="F199" s="19" t="str">
        <f>IFERROR(__xludf.DUMMYFUNCTION("""COMPUTED_VALUE"""),"BLACK")</f>
        <v>BLACK</v>
      </c>
      <c r="G199" s="20" t="str">
        <f>IFERROR(__xludf.DUMMYFUNCTION("""COMPUTED_VALUE"""),"Uncle Sams Cider (5/13/2022)")</f>
        <v>Uncle Sams Cider (5/13/2022)</v>
      </c>
      <c r="H199" s="19"/>
    </row>
    <row r="200">
      <c r="A200" s="9"/>
      <c r="B200" s="15"/>
      <c r="C200" s="9">
        <f>IFERROR(__xludf.DUMMYFUNCTION("""COMPUTED_VALUE"""),44794.5605589004)</f>
        <v>44794.56056</v>
      </c>
      <c r="D200" s="15">
        <f>IFERROR(__xludf.DUMMYFUNCTION("""COMPUTED_VALUE"""),1.003)</f>
        <v>1.003</v>
      </c>
      <c r="E200" s="16">
        <f>IFERROR(__xludf.DUMMYFUNCTION("""COMPUTED_VALUE"""),70.0)</f>
        <v>70</v>
      </c>
      <c r="F200" s="19" t="str">
        <f>IFERROR(__xludf.DUMMYFUNCTION("""COMPUTED_VALUE"""),"BLACK")</f>
        <v>BLACK</v>
      </c>
      <c r="G200" s="20" t="str">
        <f>IFERROR(__xludf.DUMMYFUNCTION("""COMPUTED_VALUE"""),"Uncle Sams Cider (5/13/2022)")</f>
        <v>Uncle Sams Cider (5/13/2022)</v>
      </c>
      <c r="H200" s="19"/>
    </row>
    <row r="201">
      <c r="A201" s="9"/>
      <c r="B201" s="15"/>
      <c r="C201" s="9">
        <f>IFERROR(__xludf.DUMMYFUNCTION("""COMPUTED_VALUE"""),44794.5501360185)</f>
        <v>44794.55014</v>
      </c>
      <c r="D201" s="15">
        <f>IFERROR(__xludf.DUMMYFUNCTION("""COMPUTED_VALUE"""),1.003)</f>
        <v>1.003</v>
      </c>
      <c r="E201" s="16">
        <f>IFERROR(__xludf.DUMMYFUNCTION("""COMPUTED_VALUE"""),70.0)</f>
        <v>70</v>
      </c>
      <c r="F201" s="19" t="str">
        <f>IFERROR(__xludf.DUMMYFUNCTION("""COMPUTED_VALUE"""),"BLACK")</f>
        <v>BLACK</v>
      </c>
      <c r="G201" s="20" t="str">
        <f>IFERROR(__xludf.DUMMYFUNCTION("""COMPUTED_VALUE"""),"Uncle Sams Cider (5/13/2022)")</f>
        <v>Uncle Sams Cider (5/13/2022)</v>
      </c>
      <c r="H201" s="19"/>
    </row>
    <row r="202">
      <c r="A202" s="9"/>
      <c r="B202" s="15"/>
      <c r="C202" s="9">
        <f>IFERROR(__xludf.DUMMYFUNCTION("""COMPUTED_VALUE"""),44794.5397137384)</f>
        <v>44794.53971</v>
      </c>
      <c r="D202" s="15">
        <f>IFERROR(__xludf.DUMMYFUNCTION("""COMPUTED_VALUE"""),1.004)</f>
        <v>1.004</v>
      </c>
      <c r="E202" s="16">
        <f>IFERROR(__xludf.DUMMYFUNCTION("""COMPUTED_VALUE"""),70.0)</f>
        <v>70</v>
      </c>
      <c r="F202" s="19" t="str">
        <f>IFERROR(__xludf.DUMMYFUNCTION("""COMPUTED_VALUE"""),"BLACK")</f>
        <v>BLACK</v>
      </c>
      <c r="G202" s="20" t="str">
        <f>IFERROR(__xludf.DUMMYFUNCTION("""COMPUTED_VALUE"""),"Uncle Sams Cider (5/13/2022)")</f>
        <v>Uncle Sams Cider (5/13/2022)</v>
      </c>
      <c r="H202" s="19"/>
    </row>
    <row r="203">
      <c r="A203" s="9"/>
      <c r="B203" s="15"/>
      <c r="C203" s="9">
        <f>IFERROR(__xludf.DUMMYFUNCTION("""COMPUTED_VALUE"""),44794.5292820138)</f>
        <v>44794.52928</v>
      </c>
      <c r="D203" s="15">
        <f>IFERROR(__xludf.DUMMYFUNCTION("""COMPUTED_VALUE"""),1.003)</f>
        <v>1.003</v>
      </c>
      <c r="E203" s="16">
        <f>IFERROR(__xludf.DUMMYFUNCTION("""COMPUTED_VALUE"""),70.0)</f>
        <v>70</v>
      </c>
      <c r="F203" s="19" t="str">
        <f>IFERROR(__xludf.DUMMYFUNCTION("""COMPUTED_VALUE"""),"BLACK")</f>
        <v>BLACK</v>
      </c>
      <c r="G203" s="20" t="str">
        <f>IFERROR(__xludf.DUMMYFUNCTION("""COMPUTED_VALUE"""),"Uncle Sams Cider (5/13/2022)")</f>
        <v>Uncle Sams Cider (5/13/2022)</v>
      </c>
      <c r="H203" s="19"/>
    </row>
    <row r="204">
      <c r="A204" s="9"/>
      <c r="B204" s="15"/>
      <c r="C204" s="9">
        <f>IFERROR(__xludf.DUMMYFUNCTION("""COMPUTED_VALUE"""),44794.5188595486)</f>
        <v>44794.51886</v>
      </c>
      <c r="D204" s="15">
        <f>IFERROR(__xludf.DUMMYFUNCTION("""COMPUTED_VALUE"""),1.003)</f>
        <v>1.003</v>
      </c>
      <c r="E204" s="16">
        <f>IFERROR(__xludf.DUMMYFUNCTION("""COMPUTED_VALUE"""),70.0)</f>
        <v>70</v>
      </c>
      <c r="F204" s="19" t="str">
        <f>IFERROR(__xludf.DUMMYFUNCTION("""COMPUTED_VALUE"""),"BLACK")</f>
        <v>BLACK</v>
      </c>
      <c r="G204" s="20" t="str">
        <f>IFERROR(__xludf.DUMMYFUNCTION("""COMPUTED_VALUE"""),"Uncle Sams Cider (5/13/2022)")</f>
        <v>Uncle Sams Cider (5/13/2022)</v>
      </c>
      <c r="H204" s="19"/>
    </row>
    <row r="205">
      <c r="A205" s="9"/>
      <c r="B205" s="15"/>
      <c r="C205" s="9">
        <f>IFERROR(__xludf.DUMMYFUNCTION("""COMPUTED_VALUE"""),44794.5084385185)</f>
        <v>44794.50844</v>
      </c>
      <c r="D205" s="15">
        <f>IFERROR(__xludf.DUMMYFUNCTION("""COMPUTED_VALUE"""),1.004)</f>
        <v>1.004</v>
      </c>
      <c r="E205" s="16">
        <f>IFERROR(__xludf.DUMMYFUNCTION("""COMPUTED_VALUE"""),70.0)</f>
        <v>70</v>
      </c>
      <c r="F205" s="19" t="str">
        <f>IFERROR(__xludf.DUMMYFUNCTION("""COMPUTED_VALUE"""),"BLACK")</f>
        <v>BLACK</v>
      </c>
      <c r="G205" s="20" t="str">
        <f>IFERROR(__xludf.DUMMYFUNCTION("""COMPUTED_VALUE"""),"Uncle Sams Cider (5/13/2022)")</f>
        <v>Uncle Sams Cider (5/13/2022)</v>
      </c>
      <c r="H205" s="19"/>
    </row>
    <row r="206">
      <c r="A206" s="9"/>
      <c r="B206" s="15"/>
      <c r="C206" s="9">
        <f>IFERROR(__xludf.DUMMYFUNCTION("""COMPUTED_VALUE"""),44794.4980175694)</f>
        <v>44794.49802</v>
      </c>
      <c r="D206" s="15">
        <f>IFERROR(__xludf.DUMMYFUNCTION("""COMPUTED_VALUE"""),1.003)</f>
        <v>1.003</v>
      </c>
      <c r="E206" s="16">
        <f>IFERROR(__xludf.DUMMYFUNCTION("""COMPUTED_VALUE"""),70.0)</f>
        <v>70</v>
      </c>
      <c r="F206" s="19" t="str">
        <f>IFERROR(__xludf.DUMMYFUNCTION("""COMPUTED_VALUE"""),"BLACK")</f>
        <v>BLACK</v>
      </c>
      <c r="G206" s="20" t="str">
        <f>IFERROR(__xludf.DUMMYFUNCTION("""COMPUTED_VALUE"""),"Uncle Sams Cider (5/13/2022)")</f>
        <v>Uncle Sams Cider (5/13/2022)</v>
      </c>
      <c r="H206" s="19"/>
    </row>
    <row r="207">
      <c r="A207" s="9"/>
      <c r="B207" s="15"/>
      <c r="C207" s="9">
        <f>IFERROR(__xludf.DUMMYFUNCTION("""COMPUTED_VALUE"""),44794.4875843981)</f>
        <v>44794.48758</v>
      </c>
      <c r="D207" s="15">
        <f>IFERROR(__xludf.DUMMYFUNCTION("""COMPUTED_VALUE"""),1.003)</f>
        <v>1.003</v>
      </c>
      <c r="E207" s="16">
        <f>IFERROR(__xludf.DUMMYFUNCTION("""COMPUTED_VALUE"""),70.0)</f>
        <v>70</v>
      </c>
      <c r="F207" s="19" t="str">
        <f>IFERROR(__xludf.DUMMYFUNCTION("""COMPUTED_VALUE"""),"BLACK")</f>
        <v>BLACK</v>
      </c>
      <c r="G207" s="20" t="str">
        <f>IFERROR(__xludf.DUMMYFUNCTION("""COMPUTED_VALUE"""),"Uncle Sams Cider (5/13/2022)")</f>
        <v>Uncle Sams Cider (5/13/2022)</v>
      </c>
      <c r="H207" s="19"/>
    </row>
    <row r="208">
      <c r="A208" s="9"/>
      <c r="B208" s="15"/>
      <c r="C208" s="9">
        <f>IFERROR(__xludf.DUMMYFUNCTION("""COMPUTED_VALUE"""),44794.4771625694)</f>
        <v>44794.47716</v>
      </c>
      <c r="D208" s="15">
        <f>IFERROR(__xludf.DUMMYFUNCTION("""COMPUTED_VALUE"""),1.004)</f>
        <v>1.004</v>
      </c>
      <c r="E208" s="16">
        <f>IFERROR(__xludf.DUMMYFUNCTION("""COMPUTED_VALUE"""),70.0)</f>
        <v>70</v>
      </c>
      <c r="F208" s="19" t="str">
        <f>IFERROR(__xludf.DUMMYFUNCTION("""COMPUTED_VALUE"""),"BLACK")</f>
        <v>BLACK</v>
      </c>
      <c r="G208" s="20" t="str">
        <f>IFERROR(__xludf.DUMMYFUNCTION("""COMPUTED_VALUE"""),"Uncle Sams Cider (5/13/2022)")</f>
        <v>Uncle Sams Cider (5/13/2022)</v>
      </c>
      <c r="H208" s="19"/>
    </row>
    <row r="209">
      <c r="A209" s="9"/>
      <c r="B209" s="15"/>
      <c r="C209" s="9">
        <f>IFERROR(__xludf.DUMMYFUNCTION("""COMPUTED_VALUE"""),44794.4667293171)</f>
        <v>44794.46673</v>
      </c>
      <c r="D209" s="15">
        <f>IFERROR(__xludf.DUMMYFUNCTION("""COMPUTED_VALUE"""),1.004)</f>
        <v>1.004</v>
      </c>
      <c r="E209" s="16">
        <f>IFERROR(__xludf.DUMMYFUNCTION("""COMPUTED_VALUE"""),70.0)</f>
        <v>70</v>
      </c>
      <c r="F209" s="19" t="str">
        <f>IFERROR(__xludf.DUMMYFUNCTION("""COMPUTED_VALUE"""),"BLACK")</f>
        <v>BLACK</v>
      </c>
      <c r="G209" s="20" t="str">
        <f>IFERROR(__xludf.DUMMYFUNCTION("""COMPUTED_VALUE"""),"Uncle Sams Cider (5/13/2022)")</f>
        <v>Uncle Sams Cider (5/13/2022)</v>
      </c>
      <c r="H209" s="19"/>
    </row>
    <row r="210">
      <c r="A210" s="9"/>
      <c r="B210" s="15"/>
      <c r="C210" s="9">
        <f>IFERROR(__xludf.DUMMYFUNCTION("""COMPUTED_VALUE"""),44794.4562977893)</f>
        <v>44794.4563</v>
      </c>
      <c r="D210" s="15">
        <f>IFERROR(__xludf.DUMMYFUNCTION("""COMPUTED_VALUE"""),1.003)</f>
        <v>1.003</v>
      </c>
      <c r="E210" s="16">
        <f>IFERROR(__xludf.DUMMYFUNCTION("""COMPUTED_VALUE"""),70.0)</f>
        <v>70</v>
      </c>
      <c r="F210" s="19" t="str">
        <f>IFERROR(__xludf.DUMMYFUNCTION("""COMPUTED_VALUE"""),"BLACK")</f>
        <v>BLACK</v>
      </c>
      <c r="G210" s="20" t="str">
        <f>IFERROR(__xludf.DUMMYFUNCTION("""COMPUTED_VALUE"""),"Uncle Sams Cider (5/13/2022)")</f>
        <v>Uncle Sams Cider (5/13/2022)</v>
      </c>
      <c r="H210" s="19"/>
    </row>
    <row r="211">
      <c r="A211" s="9"/>
      <c r="B211" s="15"/>
      <c r="C211" s="9">
        <f>IFERROR(__xludf.DUMMYFUNCTION("""COMPUTED_VALUE"""),44794.4458768171)</f>
        <v>44794.44588</v>
      </c>
      <c r="D211" s="15">
        <f>IFERROR(__xludf.DUMMYFUNCTION("""COMPUTED_VALUE"""),1.003)</f>
        <v>1.003</v>
      </c>
      <c r="E211" s="16">
        <f>IFERROR(__xludf.DUMMYFUNCTION("""COMPUTED_VALUE"""),70.0)</f>
        <v>70</v>
      </c>
      <c r="F211" s="19" t="str">
        <f>IFERROR(__xludf.DUMMYFUNCTION("""COMPUTED_VALUE"""),"BLACK")</f>
        <v>BLACK</v>
      </c>
      <c r="G211" s="20" t="str">
        <f>IFERROR(__xludf.DUMMYFUNCTION("""COMPUTED_VALUE"""),"Uncle Sams Cider (5/13/2022)")</f>
        <v>Uncle Sams Cider (5/13/2022)</v>
      </c>
      <c r="H211" s="19"/>
    </row>
    <row r="212">
      <c r="A212" s="9"/>
      <c r="B212" s="15"/>
      <c r="C212" s="9">
        <f>IFERROR(__xludf.DUMMYFUNCTION("""COMPUTED_VALUE"""),44794.4354542014)</f>
        <v>44794.43545</v>
      </c>
      <c r="D212" s="15">
        <f>IFERROR(__xludf.DUMMYFUNCTION("""COMPUTED_VALUE"""),1.003)</f>
        <v>1.003</v>
      </c>
      <c r="E212" s="16">
        <f>IFERROR(__xludf.DUMMYFUNCTION("""COMPUTED_VALUE"""),70.0)</f>
        <v>70</v>
      </c>
      <c r="F212" s="19" t="str">
        <f>IFERROR(__xludf.DUMMYFUNCTION("""COMPUTED_VALUE"""),"BLACK")</f>
        <v>BLACK</v>
      </c>
      <c r="G212" s="20" t="str">
        <f>IFERROR(__xludf.DUMMYFUNCTION("""COMPUTED_VALUE"""),"Uncle Sams Cider (5/13/2022)")</f>
        <v>Uncle Sams Cider (5/13/2022)</v>
      </c>
      <c r="H212" s="19"/>
    </row>
    <row r="213">
      <c r="A213" s="9"/>
      <c r="B213" s="15"/>
      <c r="C213" s="9">
        <f>IFERROR(__xludf.DUMMYFUNCTION("""COMPUTED_VALUE"""),44794.4250086111)</f>
        <v>44794.42501</v>
      </c>
      <c r="D213" s="15">
        <f>IFERROR(__xludf.DUMMYFUNCTION("""COMPUTED_VALUE"""),1.003)</f>
        <v>1.003</v>
      </c>
      <c r="E213" s="16">
        <f>IFERROR(__xludf.DUMMYFUNCTION("""COMPUTED_VALUE"""),70.0)</f>
        <v>70</v>
      </c>
      <c r="F213" s="19" t="str">
        <f>IFERROR(__xludf.DUMMYFUNCTION("""COMPUTED_VALUE"""),"BLACK")</f>
        <v>BLACK</v>
      </c>
      <c r="G213" s="20" t="str">
        <f>IFERROR(__xludf.DUMMYFUNCTION("""COMPUTED_VALUE"""),"Uncle Sams Cider (5/13/2022)")</f>
        <v>Uncle Sams Cider (5/13/2022)</v>
      </c>
      <c r="H213" s="19"/>
    </row>
    <row r="214">
      <c r="A214" s="9"/>
      <c r="B214" s="15"/>
      <c r="C214" s="9">
        <f>IFERROR(__xludf.DUMMYFUNCTION("""COMPUTED_VALUE"""),44794.4145761458)</f>
        <v>44794.41458</v>
      </c>
      <c r="D214" s="15">
        <f>IFERROR(__xludf.DUMMYFUNCTION("""COMPUTED_VALUE"""),1.003)</f>
        <v>1.003</v>
      </c>
      <c r="E214" s="16">
        <f>IFERROR(__xludf.DUMMYFUNCTION("""COMPUTED_VALUE"""),70.0)</f>
        <v>70</v>
      </c>
      <c r="F214" s="19" t="str">
        <f>IFERROR(__xludf.DUMMYFUNCTION("""COMPUTED_VALUE"""),"BLACK")</f>
        <v>BLACK</v>
      </c>
      <c r="G214" s="20" t="str">
        <f>IFERROR(__xludf.DUMMYFUNCTION("""COMPUTED_VALUE"""),"Uncle Sams Cider (5/13/2022)")</f>
        <v>Uncle Sams Cider (5/13/2022)</v>
      </c>
      <c r="H214" s="19"/>
    </row>
    <row r="215">
      <c r="A215" s="9"/>
      <c r="B215" s="15"/>
      <c r="C215" s="9">
        <f>IFERROR(__xludf.DUMMYFUNCTION("""COMPUTED_VALUE"""),44794.4041537615)</f>
        <v>44794.40415</v>
      </c>
      <c r="D215" s="15">
        <f>IFERROR(__xludf.DUMMYFUNCTION("""COMPUTED_VALUE"""),1.003)</f>
        <v>1.003</v>
      </c>
      <c r="E215" s="16">
        <f>IFERROR(__xludf.DUMMYFUNCTION("""COMPUTED_VALUE"""),70.0)</f>
        <v>70</v>
      </c>
      <c r="F215" s="19" t="str">
        <f>IFERROR(__xludf.DUMMYFUNCTION("""COMPUTED_VALUE"""),"BLACK")</f>
        <v>BLACK</v>
      </c>
      <c r="G215" s="20" t="str">
        <f>IFERROR(__xludf.DUMMYFUNCTION("""COMPUTED_VALUE"""),"Uncle Sams Cider (5/13/2022)")</f>
        <v>Uncle Sams Cider (5/13/2022)</v>
      </c>
      <c r="H215" s="19"/>
    </row>
    <row r="216">
      <c r="A216" s="9"/>
      <c r="B216" s="15"/>
      <c r="C216" s="9">
        <f>IFERROR(__xludf.DUMMYFUNCTION("""COMPUTED_VALUE"""),44794.39373375)</f>
        <v>44794.39373</v>
      </c>
      <c r="D216" s="15">
        <f>IFERROR(__xludf.DUMMYFUNCTION("""COMPUTED_VALUE"""),1.003)</f>
        <v>1.003</v>
      </c>
      <c r="E216" s="16">
        <f>IFERROR(__xludf.DUMMYFUNCTION("""COMPUTED_VALUE"""),70.0)</f>
        <v>70</v>
      </c>
      <c r="F216" s="19" t="str">
        <f>IFERROR(__xludf.DUMMYFUNCTION("""COMPUTED_VALUE"""),"BLACK")</f>
        <v>BLACK</v>
      </c>
      <c r="G216" s="20" t="str">
        <f>IFERROR(__xludf.DUMMYFUNCTION("""COMPUTED_VALUE"""),"Uncle Sams Cider (5/13/2022)")</f>
        <v>Uncle Sams Cider (5/13/2022)</v>
      </c>
      <c r="H216" s="19"/>
    </row>
    <row r="217">
      <c r="A217" s="9"/>
      <c r="B217" s="15"/>
      <c r="C217" s="9">
        <f>IFERROR(__xludf.DUMMYFUNCTION("""COMPUTED_VALUE"""),44794.3833124421)</f>
        <v>44794.38331</v>
      </c>
      <c r="D217" s="15">
        <f>IFERROR(__xludf.DUMMYFUNCTION("""COMPUTED_VALUE"""),1.003)</f>
        <v>1.003</v>
      </c>
      <c r="E217" s="16">
        <f>IFERROR(__xludf.DUMMYFUNCTION("""COMPUTED_VALUE"""),70.0)</f>
        <v>70</v>
      </c>
      <c r="F217" s="19" t="str">
        <f>IFERROR(__xludf.DUMMYFUNCTION("""COMPUTED_VALUE"""),"BLACK")</f>
        <v>BLACK</v>
      </c>
      <c r="G217" s="20" t="str">
        <f>IFERROR(__xludf.DUMMYFUNCTION("""COMPUTED_VALUE"""),"Uncle Sams Cider (5/13/2022)")</f>
        <v>Uncle Sams Cider (5/13/2022)</v>
      </c>
      <c r="H217" s="19"/>
    </row>
    <row r="218">
      <c r="A218" s="9"/>
      <c r="B218" s="15"/>
      <c r="C218" s="9">
        <f>IFERROR(__xludf.DUMMYFUNCTION("""COMPUTED_VALUE"""),44794.372890787)</f>
        <v>44794.37289</v>
      </c>
      <c r="D218" s="15">
        <f>IFERROR(__xludf.DUMMYFUNCTION("""COMPUTED_VALUE"""),1.003)</f>
        <v>1.003</v>
      </c>
      <c r="E218" s="16">
        <f>IFERROR(__xludf.DUMMYFUNCTION("""COMPUTED_VALUE"""),70.0)</f>
        <v>70</v>
      </c>
      <c r="F218" s="19" t="str">
        <f>IFERROR(__xludf.DUMMYFUNCTION("""COMPUTED_VALUE"""),"BLACK")</f>
        <v>BLACK</v>
      </c>
      <c r="G218" s="20" t="str">
        <f>IFERROR(__xludf.DUMMYFUNCTION("""COMPUTED_VALUE"""),"Uncle Sams Cider (5/13/2022)")</f>
        <v>Uncle Sams Cider (5/13/2022)</v>
      </c>
      <c r="H218" s="19"/>
    </row>
    <row r="219">
      <c r="A219" s="9"/>
      <c r="B219" s="15"/>
      <c r="C219" s="9">
        <f>IFERROR(__xludf.DUMMYFUNCTION("""COMPUTED_VALUE"""),44794.3624701157)</f>
        <v>44794.36247</v>
      </c>
      <c r="D219" s="15">
        <f>IFERROR(__xludf.DUMMYFUNCTION("""COMPUTED_VALUE"""),1.003)</f>
        <v>1.003</v>
      </c>
      <c r="E219" s="16">
        <f>IFERROR(__xludf.DUMMYFUNCTION("""COMPUTED_VALUE"""),70.0)</f>
        <v>70</v>
      </c>
      <c r="F219" s="19" t="str">
        <f>IFERROR(__xludf.DUMMYFUNCTION("""COMPUTED_VALUE"""),"BLACK")</f>
        <v>BLACK</v>
      </c>
      <c r="G219" s="20" t="str">
        <f>IFERROR(__xludf.DUMMYFUNCTION("""COMPUTED_VALUE"""),"Uncle Sams Cider (5/13/2022)")</f>
        <v>Uncle Sams Cider (5/13/2022)</v>
      </c>
      <c r="H219" s="19"/>
    </row>
    <row r="220">
      <c r="A220" s="9"/>
      <c r="B220" s="15"/>
      <c r="C220" s="9">
        <f>IFERROR(__xludf.DUMMYFUNCTION("""COMPUTED_VALUE"""),44794.3520366666)</f>
        <v>44794.35204</v>
      </c>
      <c r="D220" s="15">
        <f>IFERROR(__xludf.DUMMYFUNCTION("""COMPUTED_VALUE"""),1.003)</f>
        <v>1.003</v>
      </c>
      <c r="E220" s="16">
        <f>IFERROR(__xludf.DUMMYFUNCTION("""COMPUTED_VALUE"""),70.0)</f>
        <v>70</v>
      </c>
      <c r="F220" s="19" t="str">
        <f>IFERROR(__xludf.DUMMYFUNCTION("""COMPUTED_VALUE"""),"BLACK")</f>
        <v>BLACK</v>
      </c>
      <c r="G220" s="20" t="str">
        <f>IFERROR(__xludf.DUMMYFUNCTION("""COMPUTED_VALUE"""),"Uncle Sams Cider (5/13/2022)")</f>
        <v>Uncle Sams Cider (5/13/2022)</v>
      </c>
      <c r="H220" s="19"/>
    </row>
    <row r="221">
      <c r="A221" s="9"/>
      <c r="B221" s="15"/>
      <c r="C221" s="9">
        <f>IFERROR(__xludf.DUMMYFUNCTION("""COMPUTED_VALUE"""),44794.341617118)</f>
        <v>44794.34162</v>
      </c>
      <c r="D221" s="15">
        <f>IFERROR(__xludf.DUMMYFUNCTION("""COMPUTED_VALUE"""),1.004)</f>
        <v>1.004</v>
      </c>
      <c r="E221" s="16">
        <f>IFERROR(__xludf.DUMMYFUNCTION("""COMPUTED_VALUE"""),70.0)</f>
        <v>70</v>
      </c>
      <c r="F221" s="19" t="str">
        <f>IFERROR(__xludf.DUMMYFUNCTION("""COMPUTED_VALUE"""),"BLACK")</f>
        <v>BLACK</v>
      </c>
      <c r="G221" s="20" t="str">
        <f>IFERROR(__xludf.DUMMYFUNCTION("""COMPUTED_VALUE"""),"Uncle Sams Cider (5/13/2022)")</f>
        <v>Uncle Sams Cider (5/13/2022)</v>
      </c>
      <c r="H221" s="19"/>
    </row>
    <row r="222">
      <c r="A222" s="9"/>
      <c r="B222" s="15"/>
      <c r="C222" s="9">
        <f>IFERROR(__xludf.DUMMYFUNCTION("""COMPUTED_VALUE"""),44794.3311956018)</f>
        <v>44794.3312</v>
      </c>
      <c r="D222" s="15">
        <f>IFERROR(__xludf.DUMMYFUNCTION("""COMPUTED_VALUE"""),1.003)</f>
        <v>1.003</v>
      </c>
      <c r="E222" s="16">
        <f>IFERROR(__xludf.DUMMYFUNCTION("""COMPUTED_VALUE"""),70.0)</f>
        <v>70</v>
      </c>
      <c r="F222" s="19" t="str">
        <f>IFERROR(__xludf.DUMMYFUNCTION("""COMPUTED_VALUE"""),"BLACK")</f>
        <v>BLACK</v>
      </c>
      <c r="G222" s="20" t="str">
        <f>IFERROR(__xludf.DUMMYFUNCTION("""COMPUTED_VALUE"""),"Uncle Sams Cider (5/13/2022)")</f>
        <v>Uncle Sams Cider (5/13/2022)</v>
      </c>
      <c r="H222" s="19"/>
    </row>
    <row r="223">
      <c r="A223" s="9"/>
      <c r="B223" s="15"/>
      <c r="C223" s="9">
        <f>IFERROR(__xludf.DUMMYFUNCTION("""COMPUTED_VALUE"""),44794.3207643634)</f>
        <v>44794.32076</v>
      </c>
      <c r="D223" s="15">
        <f>IFERROR(__xludf.DUMMYFUNCTION("""COMPUTED_VALUE"""),1.003)</f>
        <v>1.003</v>
      </c>
      <c r="E223" s="16">
        <f>IFERROR(__xludf.DUMMYFUNCTION("""COMPUTED_VALUE"""),70.0)</f>
        <v>70</v>
      </c>
      <c r="F223" s="19" t="str">
        <f>IFERROR(__xludf.DUMMYFUNCTION("""COMPUTED_VALUE"""),"BLACK")</f>
        <v>BLACK</v>
      </c>
      <c r="G223" s="20" t="str">
        <f>IFERROR(__xludf.DUMMYFUNCTION("""COMPUTED_VALUE"""),"Uncle Sams Cider (5/13/2022)")</f>
        <v>Uncle Sams Cider (5/13/2022)</v>
      </c>
      <c r="H223" s="19"/>
    </row>
    <row r="224">
      <c r="A224" s="9"/>
      <c r="B224" s="15"/>
      <c r="C224" s="9">
        <f>IFERROR(__xludf.DUMMYFUNCTION("""COMPUTED_VALUE"""),44794.310340868)</f>
        <v>44794.31034</v>
      </c>
      <c r="D224" s="15">
        <f>IFERROR(__xludf.DUMMYFUNCTION("""COMPUTED_VALUE"""),1.004)</f>
        <v>1.004</v>
      </c>
      <c r="E224" s="16">
        <f>IFERROR(__xludf.DUMMYFUNCTION("""COMPUTED_VALUE"""),70.0)</f>
        <v>70</v>
      </c>
      <c r="F224" s="19" t="str">
        <f>IFERROR(__xludf.DUMMYFUNCTION("""COMPUTED_VALUE"""),"BLACK")</f>
        <v>BLACK</v>
      </c>
      <c r="G224" s="20" t="str">
        <f>IFERROR(__xludf.DUMMYFUNCTION("""COMPUTED_VALUE"""),"Uncle Sams Cider (5/13/2022)")</f>
        <v>Uncle Sams Cider (5/13/2022)</v>
      </c>
      <c r="H224" s="19"/>
    </row>
    <row r="225">
      <c r="A225" s="9"/>
      <c r="B225" s="15"/>
      <c r="C225" s="9">
        <f>IFERROR(__xludf.DUMMYFUNCTION("""COMPUTED_VALUE"""),44794.2999195717)</f>
        <v>44794.29992</v>
      </c>
      <c r="D225" s="15">
        <f>IFERROR(__xludf.DUMMYFUNCTION("""COMPUTED_VALUE"""),1.003)</f>
        <v>1.003</v>
      </c>
      <c r="E225" s="16">
        <f>IFERROR(__xludf.DUMMYFUNCTION("""COMPUTED_VALUE"""),70.0)</f>
        <v>70</v>
      </c>
      <c r="F225" s="19" t="str">
        <f>IFERROR(__xludf.DUMMYFUNCTION("""COMPUTED_VALUE"""),"BLACK")</f>
        <v>BLACK</v>
      </c>
      <c r="G225" s="20" t="str">
        <f>IFERROR(__xludf.DUMMYFUNCTION("""COMPUTED_VALUE"""),"Uncle Sams Cider (5/13/2022)")</f>
        <v>Uncle Sams Cider (5/13/2022)</v>
      </c>
      <c r="H225" s="19"/>
    </row>
    <row r="226">
      <c r="A226" s="9"/>
      <c r="B226" s="15"/>
      <c r="C226" s="9">
        <f>IFERROR(__xludf.DUMMYFUNCTION("""COMPUTED_VALUE"""),44794.28948478)</f>
        <v>44794.28948</v>
      </c>
      <c r="D226" s="15">
        <f>IFERROR(__xludf.DUMMYFUNCTION("""COMPUTED_VALUE"""),1.004)</f>
        <v>1.004</v>
      </c>
      <c r="E226" s="16">
        <f>IFERROR(__xludf.DUMMYFUNCTION("""COMPUTED_VALUE"""),70.0)</f>
        <v>70</v>
      </c>
      <c r="F226" s="19" t="str">
        <f>IFERROR(__xludf.DUMMYFUNCTION("""COMPUTED_VALUE"""),"BLACK")</f>
        <v>BLACK</v>
      </c>
      <c r="G226" s="20" t="str">
        <f>IFERROR(__xludf.DUMMYFUNCTION("""COMPUTED_VALUE"""),"Uncle Sams Cider (5/13/2022)")</f>
        <v>Uncle Sams Cider (5/13/2022)</v>
      </c>
      <c r="H226" s="19"/>
    </row>
    <row r="227">
      <c r="A227" s="9"/>
      <c r="B227" s="15"/>
      <c r="C227" s="9">
        <f>IFERROR(__xludf.DUMMYFUNCTION("""COMPUTED_VALUE"""),44794.2790619675)</f>
        <v>44794.27906</v>
      </c>
      <c r="D227" s="15">
        <f>IFERROR(__xludf.DUMMYFUNCTION("""COMPUTED_VALUE"""),1.003)</f>
        <v>1.003</v>
      </c>
      <c r="E227" s="16">
        <f>IFERROR(__xludf.DUMMYFUNCTION("""COMPUTED_VALUE"""),70.0)</f>
        <v>70</v>
      </c>
      <c r="F227" s="19" t="str">
        <f>IFERROR(__xludf.DUMMYFUNCTION("""COMPUTED_VALUE"""),"BLACK")</f>
        <v>BLACK</v>
      </c>
      <c r="G227" s="20" t="str">
        <f>IFERROR(__xludf.DUMMYFUNCTION("""COMPUTED_VALUE"""),"Uncle Sams Cider (5/13/2022)")</f>
        <v>Uncle Sams Cider (5/13/2022)</v>
      </c>
      <c r="H227" s="19"/>
    </row>
    <row r="228">
      <c r="A228" s="9"/>
      <c r="B228" s="15"/>
      <c r="C228" s="9">
        <f>IFERROR(__xludf.DUMMYFUNCTION("""COMPUTED_VALUE"""),44794.2686422916)</f>
        <v>44794.26864</v>
      </c>
      <c r="D228" s="15">
        <f>IFERROR(__xludf.DUMMYFUNCTION("""COMPUTED_VALUE"""),1.004)</f>
        <v>1.004</v>
      </c>
      <c r="E228" s="16">
        <f>IFERROR(__xludf.DUMMYFUNCTION("""COMPUTED_VALUE"""),70.0)</f>
        <v>70</v>
      </c>
      <c r="F228" s="19" t="str">
        <f>IFERROR(__xludf.DUMMYFUNCTION("""COMPUTED_VALUE"""),"BLACK")</f>
        <v>BLACK</v>
      </c>
      <c r="G228" s="20" t="str">
        <f>IFERROR(__xludf.DUMMYFUNCTION("""COMPUTED_VALUE"""),"Uncle Sams Cider (5/13/2022)")</f>
        <v>Uncle Sams Cider (5/13/2022)</v>
      </c>
      <c r="H228" s="19"/>
    </row>
    <row r="229">
      <c r="A229" s="9"/>
      <c r="B229" s="15"/>
      <c r="C229" s="9">
        <f>IFERROR(__xludf.DUMMYFUNCTION("""COMPUTED_VALUE"""),44794.2582217245)</f>
        <v>44794.25822</v>
      </c>
      <c r="D229" s="15">
        <f>IFERROR(__xludf.DUMMYFUNCTION("""COMPUTED_VALUE"""),1.003)</f>
        <v>1.003</v>
      </c>
      <c r="E229" s="16">
        <f>IFERROR(__xludf.DUMMYFUNCTION("""COMPUTED_VALUE"""),70.0)</f>
        <v>70</v>
      </c>
      <c r="F229" s="19" t="str">
        <f>IFERROR(__xludf.DUMMYFUNCTION("""COMPUTED_VALUE"""),"BLACK")</f>
        <v>BLACK</v>
      </c>
      <c r="G229" s="20" t="str">
        <f>IFERROR(__xludf.DUMMYFUNCTION("""COMPUTED_VALUE"""),"Uncle Sams Cider (5/13/2022)")</f>
        <v>Uncle Sams Cider (5/13/2022)</v>
      </c>
      <c r="H229" s="19"/>
    </row>
    <row r="230">
      <c r="A230" s="9"/>
      <c r="B230" s="15"/>
      <c r="C230" s="9">
        <f>IFERROR(__xludf.DUMMYFUNCTION("""COMPUTED_VALUE"""),44794.2477663078)</f>
        <v>44794.24777</v>
      </c>
      <c r="D230" s="15">
        <f>IFERROR(__xludf.DUMMYFUNCTION("""COMPUTED_VALUE"""),1.003)</f>
        <v>1.003</v>
      </c>
      <c r="E230" s="16">
        <f>IFERROR(__xludf.DUMMYFUNCTION("""COMPUTED_VALUE"""),70.0)</f>
        <v>70</v>
      </c>
      <c r="F230" s="19" t="str">
        <f>IFERROR(__xludf.DUMMYFUNCTION("""COMPUTED_VALUE"""),"BLACK")</f>
        <v>BLACK</v>
      </c>
      <c r="G230" s="20" t="str">
        <f>IFERROR(__xludf.DUMMYFUNCTION("""COMPUTED_VALUE"""),"Uncle Sams Cider (5/13/2022)")</f>
        <v>Uncle Sams Cider (5/13/2022)</v>
      </c>
      <c r="H230" s="19"/>
    </row>
    <row r="231">
      <c r="A231" s="9"/>
      <c r="B231" s="15"/>
      <c r="C231" s="9">
        <f>IFERROR(__xludf.DUMMYFUNCTION("""COMPUTED_VALUE"""),44794.2373458449)</f>
        <v>44794.23735</v>
      </c>
      <c r="D231" s="15">
        <f>IFERROR(__xludf.DUMMYFUNCTION("""COMPUTED_VALUE"""),1.004)</f>
        <v>1.004</v>
      </c>
      <c r="E231" s="16">
        <f>IFERROR(__xludf.DUMMYFUNCTION("""COMPUTED_VALUE"""),70.0)</f>
        <v>70</v>
      </c>
      <c r="F231" s="19" t="str">
        <f>IFERROR(__xludf.DUMMYFUNCTION("""COMPUTED_VALUE"""),"BLACK")</f>
        <v>BLACK</v>
      </c>
      <c r="G231" s="20" t="str">
        <f>IFERROR(__xludf.DUMMYFUNCTION("""COMPUTED_VALUE"""),"Uncle Sams Cider (5/13/2022)")</f>
        <v>Uncle Sams Cider (5/13/2022)</v>
      </c>
      <c r="H231" s="19"/>
    </row>
    <row r="232">
      <c r="A232" s="9"/>
      <c r="B232" s="15"/>
      <c r="C232" s="9">
        <f>IFERROR(__xludf.DUMMYFUNCTION("""COMPUTED_VALUE"""),44794.2269251388)</f>
        <v>44794.22693</v>
      </c>
      <c r="D232" s="15">
        <f>IFERROR(__xludf.DUMMYFUNCTION("""COMPUTED_VALUE"""),1.004)</f>
        <v>1.004</v>
      </c>
      <c r="E232" s="16">
        <f>IFERROR(__xludf.DUMMYFUNCTION("""COMPUTED_VALUE"""),70.0)</f>
        <v>70</v>
      </c>
      <c r="F232" s="19" t="str">
        <f>IFERROR(__xludf.DUMMYFUNCTION("""COMPUTED_VALUE"""),"BLACK")</f>
        <v>BLACK</v>
      </c>
      <c r="G232" s="20" t="str">
        <f>IFERROR(__xludf.DUMMYFUNCTION("""COMPUTED_VALUE"""),"Uncle Sams Cider (5/13/2022)")</f>
        <v>Uncle Sams Cider (5/13/2022)</v>
      </c>
      <c r="H232" s="19"/>
    </row>
    <row r="233">
      <c r="A233" s="9"/>
      <c r="B233" s="15"/>
      <c r="C233" s="9">
        <f>IFERROR(__xludf.DUMMYFUNCTION("""COMPUTED_VALUE"""),44794.2165038888)</f>
        <v>44794.2165</v>
      </c>
      <c r="D233" s="15">
        <f>IFERROR(__xludf.DUMMYFUNCTION("""COMPUTED_VALUE"""),1.003)</f>
        <v>1.003</v>
      </c>
      <c r="E233" s="16">
        <f>IFERROR(__xludf.DUMMYFUNCTION("""COMPUTED_VALUE"""),70.0)</f>
        <v>70</v>
      </c>
      <c r="F233" s="19" t="str">
        <f>IFERROR(__xludf.DUMMYFUNCTION("""COMPUTED_VALUE"""),"BLACK")</f>
        <v>BLACK</v>
      </c>
      <c r="G233" s="20" t="str">
        <f>IFERROR(__xludf.DUMMYFUNCTION("""COMPUTED_VALUE"""),"Uncle Sams Cider (5/13/2022)")</f>
        <v>Uncle Sams Cider (5/13/2022)</v>
      </c>
      <c r="H233" s="19"/>
    </row>
    <row r="234">
      <c r="A234" s="9"/>
      <c r="B234" s="15"/>
      <c r="C234" s="9">
        <f>IFERROR(__xludf.DUMMYFUNCTION("""COMPUTED_VALUE"""),44794.2060846759)</f>
        <v>44794.20608</v>
      </c>
      <c r="D234" s="15">
        <f>IFERROR(__xludf.DUMMYFUNCTION("""COMPUTED_VALUE"""),1.003)</f>
        <v>1.003</v>
      </c>
      <c r="E234" s="16">
        <f>IFERROR(__xludf.DUMMYFUNCTION("""COMPUTED_VALUE"""),70.0)</f>
        <v>70</v>
      </c>
      <c r="F234" s="19" t="str">
        <f>IFERROR(__xludf.DUMMYFUNCTION("""COMPUTED_VALUE"""),"BLACK")</f>
        <v>BLACK</v>
      </c>
      <c r="G234" s="20" t="str">
        <f>IFERROR(__xludf.DUMMYFUNCTION("""COMPUTED_VALUE"""),"Uncle Sams Cider (5/13/2022)")</f>
        <v>Uncle Sams Cider (5/13/2022)</v>
      </c>
      <c r="H234" s="19"/>
    </row>
    <row r="235">
      <c r="A235" s="9"/>
      <c r="B235" s="15"/>
      <c r="C235" s="9">
        <f>IFERROR(__xludf.DUMMYFUNCTION("""COMPUTED_VALUE"""),44794.1956622569)</f>
        <v>44794.19566</v>
      </c>
      <c r="D235" s="15">
        <f>IFERROR(__xludf.DUMMYFUNCTION("""COMPUTED_VALUE"""),1.003)</f>
        <v>1.003</v>
      </c>
      <c r="E235" s="16">
        <f>IFERROR(__xludf.DUMMYFUNCTION("""COMPUTED_VALUE"""),70.0)</f>
        <v>70</v>
      </c>
      <c r="F235" s="19" t="str">
        <f>IFERROR(__xludf.DUMMYFUNCTION("""COMPUTED_VALUE"""),"BLACK")</f>
        <v>BLACK</v>
      </c>
      <c r="G235" s="20" t="str">
        <f>IFERROR(__xludf.DUMMYFUNCTION("""COMPUTED_VALUE"""),"Uncle Sams Cider (5/13/2022)")</f>
        <v>Uncle Sams Cider (5/13/2022)</v>
      </c>
      <c r="H235" s="19"/>
    </row>
    <row r="236">
      <c r="A236" s="9"/>
      <c r="B236" s="15"/>
      <c r="C236" s="9">
        <f>IFERROR(__xludf.DUMMYFUNCTION("""COMPUTED_VALUE"""),44794.1852408101)</f>
        <v>44794.18524</v>
      </c>
      <c r="D236" s="15">
        <f>IFERROR(__xludf.DUMMYFUNCTION("""COMPUTED_VALUE"""),1.004)</f>
        <v>1.004</v>
      </c>
      <c r="E236" s="16">
        <f>IFERROR(__xludf.DUMMYFUNCTION("""COMPUTED_VALUE"""),70.0)</f>
        <v>70</v>
      </c>
      <c r="F236" s="19" t="str">
        <f>IFERROR(__xludf.DUMMYFUNCTION("""COMPUTED_VALUE"""),"BLACK")</f>
        <v>BLACK</v>
      </c>
      <c r="G236" s="20" t="str">
        <f>IFERROR(__xludf.DUMMYFUNCTION("""COMPUTED_VALUE"""),"Uncle Sams Cider (5/13/2022)")</f>
        <v>Uncle Sams Cider (5/13/2022)</v>
      </c>
      <c r="H236" s="19"/>
    </row>
    <row r="237">
      <c r="A237" s="9"/>
      <c r="B237" s="15"/>
      <c r="C237" s="9">
        <f>IFERROR(__xludf.DUMMYFUNCTION("""COMPUTED_VALUE"""),44794.1748087615)</f>
        <v>44794.17481</v>
      </c>
      <c r="D237" s="15">
        <f>IFERROR(__xludf.DUMMYFUNCTION("""COMPUTED_VALUE"""),1.004)</f>
        <v>1.004</v>
      </c>
      <c r="E237" s="16">
        <f>IFERROR(__xludf.DUMMYFUNCTION("""COMPUTED_VALUE"""),70.0)</f>
        <v>70</v>
      </c>
      <c r="F237" s="19" t="str">
        <f>IFERROR(__xludf.DUMMYFUNCTION("""COMPUTED_VALUE"""),"BLACK")</f>
        <v>BLACK</v>
      </c>
      <c r="G237" s="20" t="str">
        <f>IFERROR(__xludf.DUMMYFUNCTION("""COMPUTED_VALUE"""),"Uncle Sams Cider (5/13/2022)")</f>
        <v>Uncle Sams Cider (5/13/2022)</v>
      </c>
      <c r="H237" s="19"/>
    </row>
    <row r="238">
      <c r="A238" s="9"/>
      <c r="B238" s="15"/>
      <c r="C238" s="9">
        <f>IFERROR(__xludf.DUMMYFUNCTION("""COMPUTED_VALUE"""),44794.1643863773)</f>
        <v>44794.16439</v>
      </c>
      <c r="D238" s="15">
        <f>IFERROR(__xludf.DUMMYFUNCTION("""COMPUTED_VALUE"""),1.004)</f>
        <v>1.004</v>
      </c>
      <c r="E238" s="16">
        <f>IFERROR(__xludf.DUMMYFUNCTION("""COMPUTED_VALUE"""),70.0)</f>
        <v>70</v>
      </c>
      <c r="F238" s="19" t="str">
        <f>IFERROR(__xludf.DUMMYFUNCTION("""COMPUTED_VALUE"""),"BLACK")</f>
        <v>BLACK</v>
      </c>
      <c r="G238" s="20" t="str">
        <f>IFERROR(__xludf.DUMMYFUNCTION("""COMPUTED_VALUE"""),"Uncle Sams Cider (5/13/2022)")</f>
        <v>Uncle Sams Cider (5/13/2022)</v>
      </c>
      <c r="H238" s="19"/>
    </row>
    <row r="239">
      <c r="A239" s="9"/>
      <c r="B239" s="15"/>
      <c r="C239" s="9">
        <f>IFERROR(__xludf.DUMMYFUNCTION("""COMPUTED_VALUE"""),44794.1539645138)</f>
        <v>44794.15396</v>
      </c>
      <c r="D239" s="15">
        <f>IFERROR(__xludf.DUMMYFUNCTION("""COMPUTED_VALUE"""),1.003)</f>
        <v>1.003</v>
      </c>
      <c r="E239" s="16">
        <f>IFERROR(__xludf.DUMMYFUNCTION("""COMPUTED_VALUE"""),70.0)</f>
        <v>70</v>
      </c>
      <c r="F239" s="19" t="str">
        <f>IFERROR(__xludf.DUMMYFUNCTION("""COMPUTED_VALUE"""),"BLACK")</f>
        <v>BLACK</v>
      </c>
      <c r="G239" s="20" t="str">
        <f>IFERROR(__xludf.DUMMYFUNCTION("""COMPUTED_VALUE"""),"Uncle Sams Cider (5/13/2022)")</f>
        <v>Uncle Sams Cider (5/13/2022)</v>
      </c>
      <c r="H239" s="19"/>
    </row>
    <row r="240">
      <c r="A240" s="9"/>
      <c r="B240" s="15"/>
      <c r="C240" s="9">
        <f>IFERROR(__xludf.DUMMYFUNCTION("""COMPUTED_VALUE"""),44794.1435431134)</f>
        <v>44794.14354</v>
      </c>
      <c r="D240" s="15">
        <f>IFERROR(__xludf.DUMMYFUNCTION("""COMPUTED_VALUE"""),1.003)</f>
        <v>1.003</v>
      </c>
      <c r="E240" s="16">
        <f>IFERROR(__xludf.DUMMYFUNCTION("""COMPUTED_VALUE"""),70.0)</f>
        <v>70</v>
      </c>
      <c r="F240" s="19" t="str">
        <f>IFERROR(__xludf.DUMMYFUNCTION("""COMPUTED_VALUE"""),"BLACK")</f>
        <v>BLACK</v>
      </c>
      <c r="G240" s="20" t="str">
        <f>IFERROR(__xludf.DUMMYFUNCTION("""COMPUTED_VALUE"""),"Uncle Sams Cider (5/13/2022)")</f>
        <v>Uncle Sams Cider (5/13/2022)</v>
      </c>
      <c r="H240" s="19"/>
    </row>
    <row r="241">
      <c r="A241" s="9"/>
      <c r="B241" s="15"/>
      <c r="C241" s="9">
        <f>IFERROR(__xludf.DUMMYFUNCTION("""COMPUTED_VALUE"""),44794.133121574)</f>
        <v>44794.13312</v>
      </c>
      <c r="D241" s="15">
        <f>IFERROR(__xludf.DUMMYFUNCTION("""COMPUTED_VALUE"""),1.003)</f>
        <v>1.003</v>
      </c>
      <c r="E241" s="16">
        <f>IFERROR(__xludf.DUMMYFUNCTION("""COMPUTED_VALUE"""),70.0)</f>
        <v>70</v>
      </c>
      <c r="F241" s="19" t="str">
        <f>IFERROR(__xludf.DUMMYFUNCTION("""COMPUTED_VALUE"""),"BLACK")</f>
        <v>BLACK</v>
      </c>
      <c r="G241" s="20" t="str">
        <f>IFERROR(__xludf.DUMMYFUNCTION("""COMPUTED_VALUE"""),"Uncle Sams Cider (5/13/2022)")</f>
        <v>Uncle Sams Cider (5/13/2022)</v>
      </c>
      <c r="H241" s="19"/>
    </row>
    <row r="242">
      <c r="A242" s="9"/>
      <c r="B242" s="15"/>
      <c r="C242" s="9">
        <f>IFERROR(__xludf.DUMMYFUNCTION("""COMPUTED_VALUE"""),44794.1227005439)</f>
        <v>44794.1227</v>
      </c>
      <c r="D242" s="15">
        <f>IFERROR(__xludf.DUMMYFUNCTION("""COMPUTED_VALUE"""),1.003)</f>
        <v>1.003</v>
      </c>
      <c r="E242" s="16">
        <f>IFERROR(__xludf.DUMMYFUNCTION("""COMPUTED_VALUE"""),70.0)</f>
        <v>70</v>
      </c>
      <c r="F242" s="19" t="str">
        <f>IFERROR(__xludf.DUMMYFUNCTION("""COMPUTED_VALUE"""),"BLACK")</f>
        <v>BLACK</v>
      </c>
      <c r="G242" s="20" t="str">
        <f>IFERROR(__xludf.DUMMYFUNCTION("""COMPUTED_VALUE"""),"Uncle Sams Cider (5/13/2022)")</f>
        <v>Uncle Sams Cider (5/13/2022)</v>
      </c>
      <c r="H242" s="19"/>
    </row>
    <row r="243">
      <c r="A243" s="9"/>
      <c r="B243" s="15"/>
      <c r="C243" s="9">
        <f>IFERROR(__xludf.DUMMYFUNCTION("""COMPUTED_VALUE"""),44794.1122790046)</f>
        <v>44794.11228</v>
      </c>
      <c r="D243" s="15">
        <f>IFERROR(__xludf.DUMMYFUNCTION("""COMPUTED_VALUE"""),1.003)</f>
        <v>1.003</v>
      </c>
      <c r="E243" s="16">
        <f>IFERROR(__xludf.DUMMYFUNCTION("""COMPUTED_VALUE"""),70.0)</f>
        <v>70</v>
      </c>
      <c r="F243" s="19" t="str">
        <f>IFERROR(__xludf.DUMMYFUNCTION("""COMPUTED_VALUE"""),"BLACK")</f>
        <v>BLACK</v>
      </c>
      <c r="G243" s="20" t="str">
        <f>IFERROR(__xludf.DUMMYFUNCTION("""COMPUTED_VALUE"""),"Uncle Sams Cider (5/13/2022)")</f>
        <v>Uncle Sams Cider (5/13/2022)</v>
      </c>
      <c r="H243" s="19"/>
    </row>
    <row r="244">
      <c r="A244" s="9"/>
      <c r="B244" s="15"/>
      <c r="C244" s="9">
        <f>IFERROR(__xludf.DUMMYFUNCTION("""COMPUTED_VALUE"""),44794.1018593402)</f>
        <v>44794.10186</v>
      </c>
      <c r="D244" s="15">
        <f>IFERROR(__xludf.DUMMYFUNCTION("""COMPUTED_VALUE"""),1.003)</f>
        <v>1.003</v>
      </c>
      <c r="E244" s="16">
        <f>IFERROR(__xludf.DUMMYFUNCTION("""COMPUTED_VALUE"""),70.0)</f>
        <v>70</v>
      </c>
      <c r="F244" s="19" t="str">
        <f>IFERROR(__xludf.DUMMYFUNCTION("""COMPUTED_VALUE"""),"BLACK")</f>
        <v>BLACK</v>
      </c>
      <c r="G244" s="20" t="str">
        <f>IFERROR(__xludf.DUMMYFUNCTION("""COMPUTED_VALUE"""),"Uncle Sams Cider (5/13/2022)")</f>
        <v>Uncle Sams Cider (5/13/2022)</v>
      </c>
      <c r="H244" s="19"/>
    </row>
    <row r="245">
      <c r="A245" s="9"/>
      <c r="B245" s="15"/>
      <c r="C245" s="9">
        <f>IFERROR(__xludf.DUMMYFUNCTION("""COMPUTED_VALUE"""),44794.0914039583)</f>
        <v>44794.0914</v>
      </c>
      <c r="D245" s="15">
        <f>IFERROR(__xludf.DUMMYFUNCTION("""COMPUTED_VALUE"""),1.004)</f>
        <v>1.004</v>
      </c>
      <c r="E245" s="16">
        <f>IFERROR(__xludf.DUMMYFUNCTION("""COMPUTED_VALUE"""),70.0)</f>
        <v>70</v>
      </c>
      <c r="F245" s="19" t="str">
        <f>IFERROR(__xludf.DUMMYFUNCTION("""COMPUTED_VALUE"""),"BLACK")</f>
        <v>BLACK</v>
      </c>
      <c r="G245" s="20" t="str">
        <f>IFERROR(__xludf.DUMMYFUNCTION("""COMPUTED_VALUE"""),"Uncle Sams Cider (5/13/2022)")</f>
        <v>Uncle Sams Cider (5/13/2022)</v>
      </c>
      <c r="H245" s="19"/>
    </row>
    <row r="246">
      <c r="A246" s="9"/>
      <c r="B246" s="15"/>
      <c r="C246" s="9">
        <f>IFERROR(__xludf.DUMMYFUNCTION("""COMPUTED_VALUE"""),44794.0809721759)</f>
        <v>44794.08097</v>
      </c>
      <c r="D246" s="15">
        <f>IFERROR(__xludf.DUMMYFUNCTION("""COMPUTED_VALUE"""),1.003)</f>
        <v>1.003</v>
      </c>
      <c r="E246" s="16">
        <f>IFERROR(__xludf.DUMMYFUNCTION("""COMPUTED_VALUE"""),70.0)</f>
        <v>70</v>
      </c>
      <c r="F246" s="19" t="str">
        <f>IFERROR(__xludf.DUMMYFUNCTION("""COMPUTED_VALUE"""),"BLACK")</f>
        <v>BLACK</v>
      </c>
      <c r="G246" s="20" t="str">
        <f>IFERROR(__xludf.DUMMYFUNCTION("""COMPUTED_VALUE"""),"Uncle Sams Cider (5/13/2022)")</f>
        <v>Uncle Sams Cider (5/13/2022)</v>
      </c>
      <c r="H246" s="19"/>
    </row>
    <row r="247">
      <c r="A247" s="9"/>
      <c r="B247" s="15"/>
      <c r="C247" s="9">
        <f>IFERROR(__xludf.DUMMYFUNCTION("""COMPUTED_VALUE"""),44794.0705516782)</f>
        <v>44794.07055</v>
      </c>
      <c r="D247" s="15">
        <f>IFERROR(__xludf.DUMMYFUNCTION("""COMPUTED_VALUE"""),1.004)</f>
        <v>1.004</v>
      </c>
      <c r="E247" s="16">
        <f>IFERROR(__xludf.DUMMYFUNCTION("""COMPUTED_VALUE"""),70.0)</f>
        <v>70</v>
      </c>
      <c r="F247" s="19" t="str">
        <f>IFERROR(__xludf.DUMMYFUNCTION("""COMPUTED_VALUE"""),"BLACK")</f>
        <v>BLACK</v>
      </c>
      <c r="G247" s="20" t="str">
        <f>IFERROR(__xludf.DUMMYFUNCTION("""COMPUTED_VALUE"""),"Uncle Sams Cider (5/13/2022)")</f>
        <v>Uncle Sams Cider (5/13/2022)</v>
      </c>
      <c r="H247" s="19"/>
    </row>
    <row r="248">
      <c r="A248" s="9"/>
      <c r="B248" s="15"/>
      <c r="C248" s="9">
        <f>IFERROR(__xludf.DUMMYFUNCTION("""COMPUTED_VALUE"""),44794.0601180555)</f>
        <v>44794.06012</v>
      </c>
      <c r="D248" s="15">
        <f>IFERROR(__xludf.DUMMYFUNCTION("""COMPUTED_VALUE"""),1.004)</f>
        <v>1.004</v>
      </c>
      <c r="E248" s="16">
        <f>IFERROR(__xludf.DUMMYFUNCTION("""COMPUTED_VALUE"""),70.0)</f>
        <v>70</v>
      </c>
      <c r="F248" s="19" t="str">
        <f>IFERROR(__xludf.DUMMYFUNCTION("""COMPUTED_VALUE"""),"BLACK")</f>
        <v>BLACK</v>
      </c>
      <c r="G248" s="20" t="str">
        <f>IFERROR(__xludf.DUMMYFUNCTION("""COMPUTED_VALUE"""),"Uncle Sams Cider (5/13/2022)")</f>
        <v>Uncle Sams Cider (5/13/2022)</v>
      </c>
      <c r="H248" s="19"/>
    </row>
    <row r="249">
      <c r="A249" s="9"/>
      <c r="B249" s="15"/>
      <c r="C249" s="9">
        <f>IFERROR(__xludf.DUMMYFUNCTION("""COMPUTED_VALUE"""),44794.0496985069)</f>
        <v>44794.0497</v>
      </c>
      <c r="D249" s="15">
        <f>IFERROR(__xludf.DUMMYFUNCTION("""COMPUTED_VALUE"""),1.004)</f>
        <v>1.004</v>
      </c>
      <c r="E249" s="16">
        <f>IFERROR(__xludf.DUMMYFUNCTION("""COMPUTED_VALUE"""),70.0)</f>
        <v>70</v>
      </c>
      <c r="F249" s="19" t="str">
        <f>IFERROR(__xludf.DUMMYFUNCTION("""COMPUTED_VALUE"""),"BLACK")</f>
        <v>BLACK</v>
      </c>
      <c r="G249" s="20" t="str">
        <f>IFERROR(__xludf.DUMMYFUNCTION("""COMPUTED_VALUE"""),"Uncle Sams Cider (5/13/2022)")</f>
        <v>Uncle Sams Cider (5/13/2022)</v>
      </c>
      <c r="H249" s="19"/>
    </row>
    <row r="250">
      <c r="A250" s="9"/>
      <c r="B250" s="15"/>
      <c r="C250" s="9">
        <f>IFERROR(__xludf.DUMMYFUNCTION("""COMPUTED_VALUE"""),44794.0392522453)</f>
        <v>44794.03925</v>
      </c>
      <c r="D250" s="15">
        <f>IFERROR(__xludf.DUMMYFUNCTION("""COMPUTED_VALUE"""),1.003)</f>
        <v>1.003</v>
      </c>
      <c r="E250" s="16">
        <f>IFERROR(__xludf.DUMMYFUNCTION("""COMPUTED_VALUE"""),69.0)</f>
        <v>69</v>
      </c>
      <c r="F250" s="19" t="str">
        <f>IFERROR(__xludf.DUMMYFUNCTION("""COMPUTED_VALUE"""),"BLACK")</f>
        <v>BLACK</v>
      </c>
      <c r="G250" s="20" t="str">
        <f>IFERROR(__xludf.DUMMYFUNCTION("""COMPUTED_VALUE"""),"Uncle Sams Cider (5/13/2022)")</f>
        <v>Uncle Sams Cider (5/13/2022)</v>
      </c>
      <c r="H250" s="19"/>
    </row>
    <row r="251">
      <c r="A251" s="9"/>
      <c r="B251" s="15"/>
      <c r="C251" s="9">
        <f>IFERROR(__xludf.DUMMYFUNCTION("""COMPUTED_VALUE"""),44794.0288195717)</f>
        <v>44794.02882</v>
      </c>
      <c r="D251" s="15">
        <f>IFERROR(__xludf.DUMMYFUNCTION("""COMPUTED_VALUE"""),1.004)</f>
        <v>1.004</v>
      </c>
      <c r="E251" s="16">
        <f>IFERROR(__xludf.DUMMYFUNCTION("""COMPUTED_VALUE"""),69.0)</f>
        <v>69</v>
      </c>
      <c r="F251" s="19" t="str">
        <f>IFERROR(__xludf.DUMMYFUNCTION("""COMPUTED_VALUE"""),"BLACK")</f>
        <v>BLACK</v>
      </c>
      <c r="G251" s="20" t="str">
        <f>IFERROR(__xludf.DUMMYFUNCTION("""COMPUTED_VALUE"""),"Uncle Sams Cider (5/13/2022)")</f>
        <v>Uncle Sams Cider (5/13/2022)</v>
      </c>
      <c r="H251" s="19"/>
    </row>
    <row r="252">
      <c r="A252" s="9"/>
      <c r="B252" s="15"/>
      <c r="C252" s="9">
        <f>IFERROR(__xludf.DUMMYFUNCTION("""COMPUTED_VALUE"""),44794.0183989583)</f>
        <v>44794.0184</v>
      </c>
      <c r="D252" s="15">
        <f>IFERROR(__xludf.DUMMYFUNCTION("""COMPUTED_VALUE"""),1.003)</f>
        <v>1.003</v>
      </c>
      <c r="E252" s="16">
        <f>IFERROR(__xludf.DUMMYFUNCTION("""COMPUTED_VALUE"""),70.0)</f>
        <v>70</v>
      </c>
      <c r="F252" s="19" t="str">
        <f>IFERROR(__xludf.DUMMYFUNCTION("""COMPUTED_VALUE"""),"BLACK")</f>
        <v>BLACK</v>
      </c>
      <c r="G252" s="20" t="str">
        <f>IFERROR(__xludf.DUMMYFUNCTION("""COMPUTED_VALUE"""),"Uncle Sams Cider (5/13/2022)")</f>
        <v>Uncle Sams Cider (5/13/2022)</v>
      </c>
      <c r="H252" s="19"/>
    </row>
    <row r="253">
      <c r="A253" s="9"/>
      <c r="B253" s="15"/>
      <c r="C253" s="9">
        <f>IFERROR(__xludf.DUMMYFUNCTION("""COMPUTED_VALUE"""),44794.0079664467)</f>
        <v>44794.00797</v>
      </c>
      <c r="D253" s="15">
        <f>IFERROR(__xludf.DUMMYFUNCTION("""COMPUTED_VALUE"""),1.003)</f>
        <v>1.003</v>
      </c>
      <c r="E253" s="16">
        <f>IFERROR(__xludf.DUMMYFUNCTION("""COMPUTED_VALUE"""),69.0)</f>
        <v>69</v>
      </c>
      <c r="F253" s="19" t="str">
        <f>IFERROR(__xludf.DUMMYFUNCTION("""COMPUTED_VALUE"""),"BLACK")</f>
        <v>BLACK</v>
      </c>
      <c r="G253" s="20" t="str">
        <f>IFERROR(__xludf.DUMMYFUNCTION("""COMPUTED_VALUE"""),"Uncle Sams Cider (5/13/2022)")</f>
        <v>Uncle Sams Cider (5/13/2022)</v>
      </c>
      <c r="H253" s="19"/>
    </row>
    <row r="254">
      <c r="A254" s="9"/>
      <c r="B254" s="15"/>
      <c r="C254" s="9">
        <f>IFERROR(__xludf.DUMMYFUNCTION("""COMPUTED_VALUE"""),44793.9975454629)</f>
        <v>44793.99755</v>
      </c>
      <c r="D254" s="15">
        <f>IFERROR(__xludf.DUMMYFUNCTION("""COMPUTED_VALUE"""),1.004)</f>
        <v>1.004</v>
      </c>
      <c r="E254" s="16">
        <f>IFERROR(__xludf.DUMMYFUNCTION("""COMPUTED_VALUE"""),69.0)</f>
        <v>69</v>
      </c>
      <c r="F254" s="19" t="str">
        <f>IFERROR(__xludf.DUMMYFUNCTION("""COMPUTED_VALUE"""),"BLACK")</f>
        <v>BLACK</v>
      </c>
      <c r="G254" s="20" t="str">
        <f>IFERROR(__xludf.DUMMYFUNCTION("""COMPUTED_VALUE"""),"Uncle Sams Cider (5/13/2022)")</f>
        <v>Uncle Sams Cider (5/13/2022)</v>
      </c>
      <c r="H254" s="19"/>
    </row>
    <row r="255">
      <c r="A255" s="9"/>
      <c r="B255" s="15"/>
      <c r="C255" s="9">
        <f>IFERROR(__xludf.DUMMYFUNCTION("""COMPUTED_VALUE"""),44793.9871254398)</f>
        <v>44793.98713</v>
      </c>
      <c r="D255" s="15">
        <f>IFERROR(__xludf.DUMMYFUNCTION("""COMPUTED_VALUE"""),1.004)</f>
        <v>1.004</v>
      </c>
      <c r="E255" s="16">
        <f>IFERROR(__xludf.DUMMYFUNCTION("""COMPUTED_VALUE"""),69.0)</f>
        <v>69</v>
      </c>
      <c r="F255" s="19" t="str">
        <f>IFERROR(__xludf.DUMMYFUNCTION("""COMPUTED_VALUE"""),"BLACK")</f>
        <v>BLACK</v>
      </c>
      <c r="G255" s="20" t="str">
        <f>IFERROR(__xludf.DUMMYFUNCTION("""COMPUTED_VALUE"""),"Uncle Sams Cider (5/13/2022)")</f>
        <v>Uncle Sams Cider (5/13/2022)</v>
      </c>
      <c r="H255" s="19"/>
    </row>
    <row r="256">
      <c r="A256" s="9"/>
      <c r="B256" s="15"/>
      <c r="C256" s="9">
        <f>IFERROR(__xludf.DUMMYFUNCTION("""COMPUTED_VALUE"""),44793.9767041319)</f>
        <v>44793.9767</v>
      </c>
      <c r="D256" s="15">
        <f>IFERROR(__xludf.DUMMYFUNCTION("""COMPUTED_VALUE"""),1.003)</f>
        <v>1.003</v>
      </c>
      <c r="E256" s="16">
        <f>IFERROR(__xludf.DUMMYFUNCTION("""COMPUTED_VALUE"""),69.0)</f>
        <v>69</v>
      </c>
      <c r="F256" s="19" t="str">
        <f>IFERROR(__xludf.DUMMYFUNCTION("""COMPUTED_VALUE"""),"BLACK")</f>
        <v>BLACK</v>
      </c>
      <c r="G256" s="20" t="str">
        <f>IFERROR(__xludf.DUMMYFUNCTION("""COMPUTED_VALUE"""),"Uncle Sams Cider (5/13/2022)")</f>
        <v>Uncle Sams Cider (5/13/2022)</v>
      </c>
      <c r="H256" s="19"/>
    </row>
    <row r="257">
      <c r="A257" s="9"/>
      <c r="B257" s="15"/>
      <c r="C257" s="9">
        <f>IFERROR(__xludf.DUMMYFUNCTION("""COMPUTED_VALUE"""),44793.9662719097)</f>
        <v>44793.96627</v>
      </c>
      <c r="D257" s="15">
        <f>IFERROR(__xludf.DUMMYFUNCTION("""COMPUTED_VALUE"""),1.004)</f>
        <v>1.004</v>
      </c>
      <c r="E257" s="16">
        <f>IFERROR(__xludf.DUMMYFUNCTION("""COMPUTED_VALUE"""),69.0)</f>
        <v>69</v>
      </c>
      <c r="F257" s="19" t="str">
        <f>IFERROR(__xludf.DUMMYFUNCTION("""COMPUTED_VALUE"""),"BLACK")</f>
        <v>BLACK</v>
      </c>
      <c r="G257" s="20" t="str">
        <f>IFERROR(__xludf.DUMMYFUNCTION("""COMPUTED_VALUE"""),"Uncle Sams Cider (5/13/2022)")</f>
        <v>Uncle Sams Cider (5/13/2022)</v>
      </c>
      <c r="H257" s="19"/>
    </row>
    <row r="258">
      <c r="A258" s="9"/>
      <c r="B258" s="15"/>
      <c r="C258" s="9">
        <f>IFERROR(__xludf.DUMMYFUNCTION("""COMPUTED_VALUE"""),44793.9558500347)</f>
        <v>44793.95585</v>
      </c>
      <c r="D258" s="15">
        <f>IFERROR(__xludf.DUMMYFUNCTION("""COMPUTED_VALUE"""),1.003)</f>
        <v>1.003</v>
      </c>
      <c r="E258" s="16">
        <f>IFERROR(__xludf.DUMMYFUNCTION("""COMPUTED_VALUE"""),69.0)</f>
        <v>69</v>
      </c>
      <c r="F258" s="19" t="str">
        <f>IFERROR(__xludf.DUMMYFUNCTION("""COMPUTED_VALUE"""),"BLACK")</f>
        <v>BLACK</v>
      </c>
      <c r="G258" s="20" t="str">
        <f>IFERROR(__xludf.DUMMYFUNCTION("""COMPUTED_VALUE"""),"Uncle Sams Cider (5/13/2022)")</f>
        <v>Uncle Sams Cider (5/13/2022)</v>
      </c>
      <c r="H258" s="19"/>
    </row>
    <row r="259">
      <c r="A259" s="9"/>
      <c r="B259" s="15"/>
      <c r="C259" s="9">
        <f>IFERROR(__xludf.DUMMYFUNCTION("""COMPUTED_VALUE"""),44793.9454290046)</f>
        <v>44793.94543</v>
      </c>
      <c r="D259" s="15">
        <f>IFERROR(__xludf.DUMMYFUNCTION("""COMPUTED_VALUE"""),1.004)</f>
        <v>1.004</v>
      </c>
      <c r="E259" s="16">
        <f>IFERROR(__xludf.DUMMYFUNCTION("""COMPUTED_VALUE"""),69.0)</f>
        <v>69</v>
      </c>
      <c r="F259" s="19" t="str">
        <f>IFERROR(__xludf.DUMMYFUNCTION("""COMPUTED_VALUE"""),"BLACK")</f>
        <v>BLACK</v>
      </c>
      <c r="G259" s="20" t="str">
        <f>IFERROR(__xludf.DUMMYFUNCTION("""COMPUTED_VALUE"""),"Uncle Sams Cider (5/13/2022)")</f>
        <v>Uncle Sams Cider (5/13/2022)</v>
      </c>
      <c r="H259" s="19"/>
    </row>
    <row r="260">
      <c r="A260" s="9"/>
      <c r="B260" s="15"/>
      <c r="C260" s="9">
        <f>IFERROR(__xludf.DUMMYFUNCTION("""COMPUTED_VALUE"""),44793.9350070486)</f>
        <v>44793.93501</v>
      </c>
      <c r="D260" s="15">
        <f>IFERROR(__xludf.DUMMYFUNCTION("""COMPUTED_VALUE"""),1.003)</f>
        <v>1.003</v>
      </c>
      <c r="E260" s="16">
        <f>IFERROR(__xludf.DUMMYFUNCTION("""COMPUTED_VALUE"""),69.0)</f>
        <v>69</v>
      </c>
      <c r="F260" s="19" t="str">
        <f>IFERROR(__xludf.DUMMYFUNCTION("""COMPUTED_VALUE"""),"BLACK")</f>
        <v>BLACK</v>
      </c>
      <c r="G260" s="20" t="str">
        <f>IFERROR(__xludf.DUMMYFUNCTION("""COMPUTED_VALUE"""),"Uncle Sams Cider (5/13/2022)")</f>
        <v>Uncle Sams Cider (5/13/2022)</v>
      </c>
      <c r="H260" s="19"/>
    </row>
    <row r="261">
      <c r="A261" s="9"/>
      <c r="B261" s="15"/>
      <c r="C261" s="9">
        <f>IFERROR(__xludf.DUMMYFUNCTION("""COMPUTED_VALUE"""),44793.9245837963)</f>
        <v>44793.92458</v>
      </c>
      <c r="D261" s="15">
        <f>IFERROR(__xludf.DUMMYFUNCTION("""COMPUTED_VALUE"""),1.003)</f>
        <v>1.003</v>
      </c>
      <c r="E261" s="16">
        <f>IFERROR(__xludf.DUMMYFUNCTION("""COMPUTED_VALUE"""),69.0)</f>
        <v>69</v>
      </c>
      <c r="F261" s="19" t="str">
        <f>IFERROR(__xludf.DUMMYFUNCTION("""COMPUTED_VALUE"""),"BLACK")</f>
        <v>BLACK</v>
      </c>
      <c r="G261" s="20" t="str">
        <f>IFERROR(__xludf.DUMMYFUNCTION("""COMPUTED_VALUE"""),"Uncle Sams Cider (5/13/2022)")</f>
        <v>Uncle Sams Cider (5/13/2022)</v>
      </c>
      <c r="H261" s="19"/>
    </row>
    <row r="262">
      <c r="A262" s="9"/>
      <c r="B262" s="15"/>
      <c r="C262" s="9">
        <f>IFERROR(__xludf.DUMMYFUNCTION("""COMPUTED_VALUE"""),44793.9141611574)</f>
        <v>44793.91416</v>
      </c>
      <c r="D262" s="15">
        <f>IFERROR(__xludf.DUMMYFUNCTION("""COMPUTED_VALUE"""),1.003)</f>
        <v>1.003</v>
      </c>
      <c r="E262" s="16">
        <f>IFERROR(__xludf.DUMMYFUNCTION("""COMPUTED_VALUE"""),69.0)</f>
        <v>69</v>
      </c>
      <c r="F262" s="19" t="str">
        <f>IFERROR(__xludf.DUMMYFUNCTION("""COMPUTED_VALUE"""),"BLACK")</f>
        <v>BLACK</v>
      </c>
      <c r="G262" s="20" t="str">
        <f>IFERROR(__xludf.DUMMYFUNCTION("""COMPUTED_VALUE"""),"Uncle Sams Cider (5/13/2022)")</f>
        <v>Uncle Sams Cider (5/13/2022)</v>
      </c>
      <c r="H262" s="19"/>
    </row>
    <row r="263">
      <c r="A263" s="9"/>
      <c r="B263" s="15"/>
      <c r="C263" s="9">
        <f>IFERROR(__xludf.DUMMYFUNCTION("""COMPUTED_VALUE"""),44793.903738206)</f>
        <v>44793.90374</v>
      </c>
      <c r="D263" s="15">
        <f>IFERROR(__xludf.DUMMYFUNCTION("""COMPUTED_VALUE"""),1.003)</f>
        <v>1.003</v>
      </c>
      <c r="E263" s="16">
        <f>IFERROR(__xludf.DUMMYFUNCTION("""COMPUTED_VALUE"""),69.0)</f>
        <v>69</v>
      </c>
      <c r="F263" s="19" t="str">
        <f>IFERROR(__xludf.DUMMYFUNCTION("""COMPUTED_VALUE"""),"BLACK")</f>
        <v>BLACK</v>
      </c>
      <c r="G263" s="20" t="str">
        <f>IFERROR(__xludf.DUMMYFUNCTION("""COMPUTED_VALUE"""),"Uncle Sams Cider (5/13/2022)")</f>
        <v>Uncle Sams Cider (5/13/2022)</v>
      </c>
      <c r="H263" s="19"/>
    </row>
    <row r="264">
      <c r="A264" s="9"/>
      <c r="B264" s="15"/>
      <c r="C264" s="9">
        <f>IFERROR(__xludf.DUMMYFUNCTION("""COMPUTED_VALUE"""),44793.8933162384)</f>
        <v>44793.89332</v>
      </c>
      <c r="D264" s="15">
        <f>IFERROR(__xludf.DUMMYFUNCTION("""COMPUTED_VALUE"""),1.003)</f>
        <v>1.003</v>
      </c>
      <c r="E264" s="16">
        <f>IFERROR(__xludf.DUMMYFUNCTION("""COMPUTED_VALUE"""),69.0)</f>
        <v>69</v>
      </c>
      <c r="F264" s="19" t="str">
        <f>IFERROR(__xludf.DUMMYFUNCTION("""COMPUTED_VALUE"""),"BLACK")</f>
        <v>BLACK</v>
      </c>
      <c r="G264" s="20" t="str">
        <f>IFERROR(__xludf.DUMMYFUNCTION("""COMPUTED_VALUE"""),"Uncle Sams Cider (5/13/2022)")</f>
        <v>Uncle Sams Cider (5/13/2022)</v>
      </c>
      <c r="H264" s="19"/>
    </row>
    <row r="265">
      <c r="A265" s="9"/>
      <c r="B265" s="15"/>
      <c r="C265" s="9">
        <f>IFERROR(__xludf.DUMMYFUNCTION("""COMPUTED_VALUE"""),44793.882894375)</f>
        <v>44793.88289</v>
      </c>
      <c r="D265" s="15">
        <f>IFERROR(__xludf.DUMMYFUNCTION("""COMPUTED_VALUE"""),1.003)</f>
        <v>1.003</v>
      </c>
      <c r="E265" s="16">
        <f>IFERROR(__xludf.DUMMYFUNCTION("""COMPUTED_VALUE"""),69.0)</f>
        <v>69</v>
      </c>
      <c r="F265" s="19" t="str">
        <f>IFERROR(__xludf.DUMMYFUNCTION("""COMPUTED_VALUE"""),"BLACK")</f>
        <v>BLACK</v>
      </c>
      <c r="G265" s="20" t="str">
        <f>IFERROR(__xludf.DUMMYFUNCTION("""COMPUTED_VALUE"""),"Uncle Sams Cider (5/13/2022)")</f>
        <v>Uncle Sams Cider (5/13/2022)</v>
      </c>
      <c r="H265" s="19"/>
    </row>
    <row r="266">
      <c r="A266" s="9"/>
      <c r="B266" s="15"/>
      <c r="C266" s="9">
        <f>IFERROR(__xludf.DUMMYFUNCTION("""COMPUTED_VALUE"""),44793.8724737384)</f>
        <v>44793.87247</v>
      </c>
      <c r="D266" s="15">
        <f>IFERROR(__xludf.DUMMYFUNCTION("""COMPUTED_VALUE"""),1.003)</f>
        <v>1.003</v>
      </c>
      <c r="E266" s="16">
        <f>IFERROR(__xludf.DUMMYFUNCTION("""COMPUTED_VALUE"""),69.0)</f>
        <v>69</v>
      </c>
      <c r="F266" s="19" t="str">
        <f>IFERROR(__xludf.DUMMYFUNCTION("""COMPUTED_VALUE"""),"BLACK")</f>
        <v>BLACK</v>
      </c>
      <c r="G266" s="20" t="str">
        <f>IFERROR(__xludf.DUMMYFUNCTION("""COMPUTED_VALUE"""),"Uncle Sams Cider (5/13/2022)")</f>
        <v>Uncle Sams Cider (5/13/2022)</v>
      </c>
      <c r="H266" s="19"/>
    </row>
    <row r="267">
      <c r="A267" s="9"/>
      <c r="B267" s="15"/>
      <c r="C267" s="9">
        <f>IFERROR(__xludf.DUMMYFUNCTION("""COMPUTED_VALUE"""),44793.8620543402)</f>
        <v>44793.86205</v>
      </c>
      <c r="D267" s="15">
        <f>IFERROR(__xludf.DUMMYFUNCTION("""COMPUTED_VALUE"""),1.003)</f>
        <v>1.003</v>
      </c>
      <c r="E267" s="16">
        <f>IFERROR(__xludf.DUMMYFUNCTION("""COMPUTED_VALUE"""),69.0)</f>
        <v>69</v>
      </c>
      <c r="F267" s="19" t="str">
        <f>IFERROR(__xludf.DUMMYFUNCTION("""COMPUTED_VALUE"""),"BLACK")</f>
        <v>BLACK</v>
      </c>
      <c r="G267" s="20" t="str">
        <f>IFERROR(__xludf.DUMMYFUNCTION("""COMPUTED_VALUE"""),"Uncle Sams Cider (5/13/2022)")</f>
        <v>Uncle Sams Cider (5/13/2022)</v>
      </c>
      <c r="H267" s="19"/>
    </row>
    <row r="268">
      <c r="A268" s="9"/>
      <c r="B268" s="15"/>
      <c r="C268" s="9">
        <f>IFERROR(__xludf.DUMMYFUNCTION("""COMPUTED_VALUE"""),44793.8516215625)</f>
        <v>44793.85162</v>
      </c>
      <c r="D268" s="15">
        <f>IFERROR(__xludf.DUMMYFUNCTION("""COMPUTED_VALUE"""),1.003)</f>
        <v>1.003</v>
      </c>
      <c r="E268" s="16">
        <f>IFERROR(__xludf.DUMMYFUNCTION("""COMPUTED_VALUE"""),69.0)</f>
        <v>69</v>
      </c>
      <c r="F268" s="19" t="str">
        <f>IFERROR(__xludf.DUMMYFUNCTION("""COMPUTED_VALUE"""),"BLACK")</f>
        <v>BLACK</v>
      </c>
      <c r="G268" s="20" t="str">
        <f>IFERROR(__xludf.DUMMYFUNCTION("""COMPUTED_VALUE"""),"Uncle Sams Cider (5/13/2022)")</f>
        <v>Uncle Sams Cider (5/13/2022)</v>
      </c>
      <c r="H268" s="19"/>
    </row>
    <row r="269">
      <c r="A269" s="9"/>
      <c r="B269" s="15"/>
      <c r="C269" s="9">
        <f>IFERROR(__xludf.DUMMYFUNCTION("""COMPUTED_VALUE"""),44793.8411991551)</f>
        <v>44793.8412</v>
      </c>
      <c r="D269" s="15">
        <f>IFERROR(__xludf.DUMMYFUNCTION("""COMPUTED_VALUE"""),1.004)</f>
        <v>1.004</v>
      </c>
      <c r="E269" s="16">
        <f>IFERROR(__xludf.DUMMYFUNCTION("""COMPUTED_VALUE"""),69.0)</f>
        <v>69</v>
      </c>
      <c r="F269" s="19" t="str">
        <f>IFERROR(__xludf.DUMMYFUNCTION("""COMPUTED_VALUE"""),"BLACK")</f>
        <v>BLACK</v>
      </c>
      <c r="G269" s="20" t="str">
        <f>IFERROR(__xludf.DUMMYFUNCTION("""COMPUTED_VALUE"""),"Uncle Sams Cider (5/13/2022)")</f>
        <v>Uncle Sams Cider (5/13/2022)</v>
      </c>
      <c r="H269" s="19"/>
    </row>
    <row r="270">
      <c r="A270" s="9"/>
      <c r="B270" s="15"/>
      <c r="C270" s="9">
        <f>IFERROR(__xludf.DUMMYFUNCTION("""COMPUTED_VALUE"""),44793.8307797453)</f>
        <v>44793.83078</v>
      </c>
      <c r="D270" s="15">
        <f>IFERROR(__xludf.DUMMYFUNCTION("""COMPUTED_VALUE"""),1.004)</f>
        <v>1.004</v>
      </c>
      <c r="E270" s="16">
        <f>IFERROR(__xludf.DUMMYFUNCTION("""COMPUTED_VALUE"""),69.0)</f>
        <v>69</v>
      </c>
      <c r="F270" s="19" t="str">
        <f>IFERROR(__xludf.DUMMYFUNCTION("""COMPUTED_VALUE"""),"BLACK")</f>
        <v>BLACK</v>
      </c>
      <c r="G270" s="20" t="str">
        <f>IFERROR(__xludf.DUMMYFUNCTION("""COMPUTED_VALUE"""),"Uncle Sams Cider (5/13/2022)")</f>
        <v>Uncle Sams Cider (5/13/2022)</v>
      </c>
      <c r="H270" s="19"/>
    </row>
    <row r="271">
      <c r="A271" s="9"/>
      <c r="B271" s="15"/>
      <c r="C271" s="9">
        <f>IFERROR(__xludf.DUMMYFUNCTION("""COMPUTED_VALUE"""),44793.8203582176)</f>
        <v>44793.82036</v>
      </c>
      <c r="D271" s="15">
        <f>IFERROR(__xludf.DUMMYFUNCTION("""COMPUTED_VALUE"""),1.004)</f>
        <v>1.004</v>
      </c>
      <c r="E271" s="16">
        <f>IFERROR(__xludf.DUMMYFUNCTION("""COMPUTED_VALUE"""),69.0)</f>
        <v>69</v>
      </c>
      <c r="F271" s="19" t="str">
        <f>IFERROR(__xludf.DUMMYFUNCTION("""COMPUTED_VALUE"""),"BLACK")</f>
        <v>BLACK</v>
      </c>
      <c r="G271" s="20" t="str">
        <f>IFERROR(__xludf.DUMMYFUNCTION("""COMPUTED_VALUE"""),"Uncle Sams Cider (5/13/2022)")</f>
        <v>Uncle Sams Cider (5/13/2022)</v>
      </c>
      <c r="H271" s="19"/>
    </row>
    <row r="272">
      <c r="A272" s="9"/>
      <c r="B272" s="15"/>
      <c r="C272" s="9">
        <f>IFERROR(__xludf.DUMMYFUNCTION("""COMPUTED_VALUE"""),44793.8099256134)</f>
        <v>44793.80993</v>
      </c>
      <c r="D272" s="15">
        <f>IFERROR(__xludf.DUMMYFUNCTION("""COMPUTED_VALUE"""),1.003)</f>
        <v>1.003</v>
      </c>
      <c r="E272" s="16">
        <f>IFERROR(__xludf.DUMMYFUNCTION("""COMPUTED_VALUE"""),69.0)</f>
        <v>69</v>
      </c>
      <c r="F272" s="19" t="str">
        <f>IFERROR(__xludf.DUMMYFUNCTION("""COMPUTED_VALUE"""),"BLACK")</f>
        <v>BLACK</v>
      </c>
      <c r="G272" s="20" t="str">
        <f>IFERROR(__xludf.DUMMYFUNCTION("""COMPUTED_VALUE"""),"Uncle Sams Cider (5/13/2022)")</f>
        <v>Uncle Sams Cider (5/13/2022)</v>
      </c>
      <c r="H272" s="19"/>
    </row>
    <row r="273">
      <c r="A273" s="9"/>
      <c r="B273" s="15"/>
      <c r="C273" s="9">
        <f>IFERROR(__xludf.DUMMYFUNCTION("""COMPUTED_VALUE"""),44793.7994934143)</f>
        <v>44793.79949</v>
      </c>
      <c r="D273" s="15">
        <f>IFERROR(__xludf.DUMMYFUNCTION("""COMPUTED_VALUE"""),1.004)</f>
        <v>1.004</v>
      </c>
      <c r="E273" s="16">
        <f>IFERROR(__xludf.DUMMYFUNCTION("""COMPUTED_VALUE"""),69.0)</f>
        <v>69</v>
      </c>
      <c r="F273" s="19" t="str">
        <f>IFERROR(__xludf.DUMMYFUNCTION("""COMPUTED_VALUE"""),"BLACK")</f>
        <v>BLACK</v>
      </c>
      <c r="G273" s="20" t="str">
        <f>IFERROR(__xludf.DUMMYFUNCTION("""COMPUTED_VALUE"""),"Uncle Sams Cider (5/13/2022)")</f>
        <v>Uncle Sams Cider (5/13/2022)</v>
      </c>
      <c r="H273" s="19"/>
    </row>
    <row r="274">
      <c r="A274" s="9"/>
      <c r="B274" s="15"/>
      <c r="C274" s="9">
        <f>IFERROR(__xludf.DUMMYFUNCTION("""COMPUTED_VALUE"""),44793.7890495833)</f>
        <v>44793.78905</v>
      </c>
      <c r="D274" s="15">
        <f>IFERROR(__xludf.DUMMYFUNCTION("""COMPUTED_VALUE"""),1.004)</f>
        <v>1.004</v>
      </c>
      <c r="E274" s="16">
        <f>IFERROR(__xludf.DUMMYFUNCTION("""COMPUTED_VALUE"""),69.0)</f>
        <v>69</v>
      </c>
      <c r="F274" s="19" t="str">
        <f>IFERROR(__xludf.DUMMYFUNCTION("""COMPUTED_VALUE"""),"BLACK")</f>
        <v>BLACK</v>
      </c>
      <c r="G274" s="20" t="str">
        <f>IFERROR(__xludf.DUMMYFUNCTION("""COMPUTED_VALUE"""),"Uncle Sams Cider (5/13/2022)")</f>
        <v>Uncle Sams Cider (5/13/2022)</v>
      </c>
      <c r="H274" s="19"/>
    </row>
    <row r="275">
      <c r="A275" s="9"/>
      <c r="B275" s="15"/>
      <c r="C275" s="9">
        <f>IFERROR(__xludf.DUMMYFUNCTION("""COMPUTED_VALUE"""),44793.7786174189)</f>
        <v>44793.77862</v>
      </c>
      <c r="D275" s="15">
        <f>IFERROR(__xludf.DUMMYFUNCTION("""COMPUTED_VALUE"""),1.003)</f>
        <v>1.003</v>
      </c>
      <c r="E275" s="16">
        <f>IFERROR(__xludf.DUMMYFUNCTION("""COMPUTED_VALUE"""),69.0)</f>
        <v>69</v>
      </c>
      <c r="F275" s="19" t="str">
        <f>IFERROR(__xludf.DUMMYFUNCTION("""COMPUTED_VALUE"""),"BLACK")</f>
        <v>BLACK</v>
      </c>
      <c r="G275" s="20" t="str">
        <f>IFERROR(__xludf.DUMMYFUNCTION("""COMPUTED_VALUE"""),"Uncle Sams Cider (5/13/2022)")</f>
        <v>Uncle Sams Cider (5/13/2022)</v>
      </c>
      <c r="H275" s="19"/>
    </row>
    <row r="276">
      <c r="A276" s="9"/>
      <c r="B276" s="15"/>
      <c r="C276" s="9">
        <f>IFERROR(__xludf.DUMMYFUNCTION("""COMPUTED_VALUE"""),44793.7681959143)</f>
        <v>44793.7682</v>
      </c>
      <c r="D276" s="15">
        <f>IFERROR(__xludf.DUMMYFUNCTION("""COMPUTED_VALUE"""),1.004)</f>
        <v>1.004</v>
      </c>
      <c r="E276" s="16">
        <f>IFERROR(__xludf.DUMMYFUNCTION("""COMPUTED_VALUE"""),69.0)</f>
        <v>69</v>
      </c>
      <c r="F276" s="19" t="str">
        <f>IFERROR(__xludf.DUMMYFUNCTION("""COMPUTED_VALUE"""),"BLACK")</f>
        <v>BLACK</v>
      </c>
      <c r="G276" s="20" t="str">
        <f>IFERROR(__xludf.DUMMYFUNCTION("""COMPUTED_VALUE"""),"Uncle Sams Cider (5/13/2022)")</f>
        <v>Uncle Sams Cider (5/13/2022)</v>
      </c>
      <c r="H276" s="19"/>
    </row>
    <row r="277">
      <c r="A277" s="9"/>
      <c r="B277" s="15"/>
      <c r="C277" s="9">
        <f>IFERROR(__xludf.DUMMYFUNCTION("""COMPUTED_VALUE"""),44793.7577752199)</f>
        <v>44793.75778</v>
      </c>
      <c r="D277" s="15">
        <f>IFERROR(__xludf.DUMMYFUNCTION("""COMPUTED_VALUE"""),1.003)</f>
        <v>1.003</v>
      </c>
      <c r="E277" s="16">
        <f>IFERROR(__xludf.DUMMYFUNCTION("""COMPUTED_VALUE"""),69.0)</f>
        <v>69</v>
      </c>
      <c r="F277" s="19" t="str">
        <f>IFERROR(__xludf.DUMMYFUNCTION("""COMPUTED_VALUE"""),"BLACK")</f>
        <v>BLACK</v>
      </c>
      <c r="G277" s="20" t="str">
        <f>IFERROR(__xludf.DUMMYFUNCTION("""COMPUTED_VALUE"""),"Uncle Sams Cider (5/13/2022)")</f>
        <v>Uncle Sams Cider (5/13/2022)</v>
      </c>
      <c r="H277" s="19"/>
    </row>
    <row r="278">
      <c r="A278" s="9"/>
      <c r="B278" s="15"/>
      <c r="C278" s="9">
        <f>IFERROR(__xludf.DUMMYFUNCTION("""COMPUTED_VALUE"""),44793.7473300347)</f>
        <v>44793.74733</v>
      </c>
      <c r="D278" s="15">
        <f>IFERROR(__xludf.DUMMYFUNCTION("""COMPUTED_VALUE"""),1.004)</f>
        <v>1.004</v>
      </c>
      <c r="E278" s="16">
        <f>IFERROR(__xludf.DUMMYFUNCTION("""COMPUTED_VALUE"""),69.0)</f>
        <v>69</v>
      </c>
      <c r="F278" s="19" t="str">
        <f>IFERROR(__xludf.DUMMYFUNCTION("""COMPUTED_VALUE"""),"BLACK")</f>
        <v>BLACK</v>
      </c>
      <c r="G278" s="20" t="str">
        <f>IFERROR(__xludf.DUMMYFUNCTION("""COMPUTED_VALUE"""),"Uncle Sams Cider (5/13/2022)")</f>
        <v>Uncle Sams Cider (5/13/2022)</v>
      </c>
      <c r="H278" s="19"/>
    </row>
    <row r="279">
      <c r="A279" s="9"/>
      <c r="B279" s="15"/>
      <c r="C279" s="9">
        <f>IFERROR(__xludf.DUMMYFUNCTION("""COMPUTED_VALUE"""),44793.736897824)</f>
        <v>44793.7369</v>
      </c>
      <c r="D279" s="15">
        <f>IFERROR(__xludf.DUMMYFUNCTION("""COMPUTED_VALUE"""),1.004)</f>
        <v>1.004</v>
      </c>
      <c r="E279" s="16">
        <f>IFERROR(__xludf.DUMMYFUNCTION("""COMPUTED_VALUE"""),69.0)</f>
        <v>69</v>
      </c>
      <c r="F279" s="19" t="str">
        <f>IFERROR(__xludf.DUMMYFUNCTION("""COMPUTED_VALUE"""),"BLACK")</f>
        <v>BLACK</v>
      </c>
      <c r="G279" s="20" t="str">
        <f>IFERROR(__xludf.DUMMYFUNCTION("""COMPUTED_VALUE"""),"Uncle Sams Cider (5/13/2022)")</f>
        <v>Uncle Sams Cider (5/13/2022)</v>
      </c>
      <c r="H279" s="19"/>
    </row>
    <row r="280">
      <c r="A280" s="9"/>
      <c r="B280" s="15"/>
      <c r="C280" s="9">
        <f>IFERROR(__xludf.DUMMYFUNCTION("""COMPUTED_VALUE"""),44793.7264648263)</f>
        <v>44793.72646</v>
      </c>
      <c r="D280" s="15">
        <f>IFERROR(__xludf.DUMMYFUNCTION("""COMPUTED_VALUE"""),1.003)</f>
        <v>1.003</v>
      </c>
      <c r="E280" s="16">
        <f>IFERROR(__xludf.DUMMYFUNCTION("""COMPUTED_VALUE"""),69.0)</f>
        <v>69</v>
      </c>
      <c r="F280" s="19" t="str">
        <f>IFERROR(__xludf.DUMMYFUNCTION("""COMPUTED_VALUE"""),"BLACK")</f>
        <v>BLACK</v>
      </c>
      <c r="G280" s="20" t="str">
        <f>IFERROR(__xludf.DUMMYFUNCTION("""COMPUTED_VALUE"""),"Uncle Sams Cider (5/13/2022)")</f>
        <v>Uncle Sams Cider (5/13/2022)</v>
      </c>
      <c r="H280" s="19"/>
    </row>
    <row r="281">
      <c r="A281" s="9"/>
      <c r="B281" s="15"/>
      <c r="C281" s="9">
        <f>IFERROR(__xludf.DUMMYFUNCTION("""COMPUTED_VALUE"""),44793.7160450463)</f>
        <v>44793.71605</v>
      </c>
      <c r="D281" s="15">
        <f>IFERROR(__xludf.DUMMYFUNCTION("""COMPUTED_VALUE"""),1.003)</f>
        <v>1.003</v>
      </c>
      <c r="E281" s="16">
        <f>IFERROR(__xludf.DUMMYFUNCTION("""COMPUTED_VALUE"""),69.0)</f>
        <v>69</v>
      </c>
      <c r="F281" s="19" t="str">
        <f>IFERROR(__xludf.DUMMYFUNCTION("""COMPUTED_VALUE"""),"BLACK")</f>
        <v>BLACK</v>
      </c>
      <c r="G281" s="20" t="str">
        <f>IFERROR(__xludf.DUMMYFUNCTION("""COMPUTED_VALUE"""),"Uncle Sams Cider (5/13/2022)")</f>
        <v>Uncle Sams Cider (5/13/2022)</v>
      </c>
      <c r="H281" s="19"/>
    </row>
    <row r="282">
      <c r="A282" s="9"/>
      <c r="B282" s="15"/>
      <c r="C282" s="9">
        <f>IFERROR(__xludf.DUMMYFUNCTION("""COMPUTED_VALUE"""),44793.7056246296)</f>
        <v>44793.70562</v>
      </c>
      <c r="D282" s="15">
        <f>IFERROR(__xludf.DUMMYFUNCTION("""COMPUTED_VALUE"""),1.004)</f>
        <v>1.004</v>
      </c>
      <c r="E282" s="16">
        <f>IFERROR(__xludf.DUMMYFUNCTION("""COMPUTED_VALUE"""),69.0)</f>
        <v>69</v>
      </c>
      <c r="F282" s="19" t="str">
        <f>IFERROR(__xludf.DUMMYFUNCTION("""COMPUTED_VALUE"""),"BLACK")</f>
        <v>BLACK</v>
      </c>
      <c r="G282" s="20" t="str">
        <f>IFERROR(__xludf.DUMMYFUNCTION("""COMPUTED_VALUE"""),"Uncle Sams Cider (5/13/2022)")</f>
        <v>Uncle Sams Cider (5/13/2022)</v>
      </c>
      <c r="H282" s="19"/>
    </row>
    <row r="283">
      <c r="A283" s="9"/>
      <c r="B283" s="15"/>
      <c r="C283" s="9">
        <f>IFERROR(__xludf.DUMMYFUNCTION("""COMPUTED_VALUE"""),44793.6952039814)</f>
        <v>44793.6952</v>
      </c>
      <c r="D283" s="15">
        <f>IFERROR(__xludf.DUMMYFUNCTION("""COMPUTED_VALUE"""),1.003)</f>
        <v>1.003</v>
      </c>
      <c r="E283" s="16">
        <f>IFERROR(__xludf.DUMMYFUNCTION("""COMPUTED_VALUE"""),69.0)</f>
        <v>69</v>
      </c>
      <c r="F283" s="19" t="str">
        <f>IFERROR(__xludf.DUMMYFUNCTION("""COMPUTED_VALUE"""),"BLACK")</f>
        <v>BLACK</v>
      </c>
      <c r="G283" s="20" t="str">
        <f>IFERROR(__xludf.DUMMYFUNCTION("""COMPUTED_VALUE"""),"Uncle Sams Cider (5/13/2022)")</f>
        <v>Uncle Sams Cider (5/13/2022)</v>
      </c>
      <c r="H283" s="19"/>
    </row>
    <row r="284">
      <c r="A284" s="9"/>
      <c r="B284" s="15"/>
      <c r="C284" s="9">
        <f>IFERROR(__xludf.DUMMYFUNCTION("""COMPUTED_VALUE"""),44793.6847830555)</f>
        <v>44793.68478</v>
      </c>
      <c r="D284" s="15">
        <f>IFERROR(__xludf.DUMMYFUNCTION("""COMPUTED_VALUE"""),1.004)</f>
        <v>1.004</v>
      </c>
      <c r="E284" s="16">
        <f>IFERROR(__xludf.DUMMYFUNCTION("""COMPUTED_VALUE"""),69.0)</f>
        <v>69</v>
      </c>
      <c r="F284" s="19" t="str">
        <f>IFERROR(__xludf.DUMMYFUNCTION("""COMPUTED_VALUE"""),"BLACK")</f>
        <v>BLACK</v>
      </c>
      <c r="G284" s="20" t="str">
        <f>IFERROR(__xludf.DUMMYFUNCTION("""COMPUTED_VALUE"""),"Uncle Sams Cider (5/13/2022)")</f>
        <v>Uncle Sams Cider (5/13/2022)</v>
      </c>
      <c r="H284" s="19"/>
    </row>
    <row r="285">
      <c r="A285" s="9"/>
      <c r="B285" s="15"/>
      <c r="C285" s="9">
        <f>IFERROR(__xludf.DUMMYFUNCTION("""COMPUTED_VALUE"""),44793.6743509143)</f>
        <v>44793.67435</v>
      </c>
      <c r="D285" s="15">
        <f>IFERROR(__xludf.DUMMYFUNCTION("""COMPUTED_VALUE"""),1.003)</f>
        <v>1.003</v>
      </c>
      <c r="E285" s="16">
        <f>IFERROR(__xludf.DUMMYFUNCTION("""COMPUTED_VALUE"""),69.0)</f>
        <v>69</v>
      </c>
      <c r="F285" s="19" t="str">
        <f>IFERROR(__xludf.DUMMYFUNCTION("""COMPUTED_VALUE"""),"BLACK")</f>
        <v>BLACK</v>
      </c>
      <c r="G285" s="20" t="str">
        <f>IFERROR(__xludf.DUMMYFUNCTION("""COMPUTED_VALUE"""),"Uncle Sams Cider (5/13/2022)")</f>
        <v>Uncle Sams Cider (5/13/2022)</v>
      </c>
      <c r="H285" s="19"/>
    </row>
    <row r="286">
      <c r="A286" s="9"/>
      <c r="B286" s="15"/>
      <c r="C286" s="9">
        <f>IFERROR(__xludf.DUMMYFUNCTION("""COMPUTED_VALUE"""),44793.6639199652)</f>
        <v>44793.66392</v>
      </c>
      <c r="D286" s="15">
        <f>IFERROR(__xludf.DUMMYFUNCTION("""COMPUTED_VALUE"""),1.004)</f>
        <v>1.004</v>
      </c>
      <c r="E286" s="16">
        <f>IFERROR(__xludf.DUMMYFUNCTION("""COMPUTED_VALUE"""),69.0)</f>
        <v>69</v>
      </c>
      <c r="F286" s="19" t="str">
        <f>IFERROR(__xludf.DUMMYFUNCTION("""COMPUTED_VALUE"""),"BLACK")</f>
        <v>BLACK</v>
      </c>
      <c r="G286" s="20" t="str">
        <f>IFERROR(__xludf.DUMMYFUNCTION("""COMPUTED_VALUE"""),"Uncle Sams Cider (5/13/2022)")</f>
        <v>Uncle Sams Cider (5/13/2022)</v>
      </c>
      <c r="H286" s="19"/>
    </row>
    <row r="287">
      <c r="A287" s="9"/>
      <c r="B287" s="15"/>
      <c r="C287" s="9">
        <f>IFERROR(__xludf.DUMMYFUNCTION("""COMPUTED_VALUE"""),44793.6534984375)</f>
        <v>44793.6535</v>
      </c>
      <c r="D287" s="15">
        <f>IFERROR(__xludf.DUMMYFUNCTION("""COMPUTED_VALUE"""),1.004)</f>
        <v>1.004</v>
      </c>
      <c r="E287" s="16">
        <f>IFERROR(__xludf.DUMMYFUNCTION("""COMPUTED_VALUE"""),69.0)</f>
        <v>69</v>
      </c>
      <c r="F287" s="19" t="str">
        <f>IFERROR(__xludf.DUMMYFUNCTION("""COMPUTED_VALUE"""),"BLACK")</f>
        <v>BLACK</v>
      </c>
      <c r="G287" s="20" t="str">
        <f>IFERROR(__xludf.DUMMYFUNCTION("""COMPUTED_VALUE"""),"Uncle Sams Cider (5/13/2022)")</f>
        <v>Uncle Sams Cider (5/13/2022)</v>
      </c>
      <c r="H287" s="19"/>
    </row>
    <row r="288">
      <c r="A288" s="9"/>
      <c r="B288" s="15"/>
      <c r="C288" s="9">
        <f>IFERROR(__xludf.DUMMYFUNCTION("""COMPUTED_VALUE"""),44793.6430768055)</f>
        <v>44793.64308</v>
      </c>
      <c r="D288" s="15">
        <f>IFERROR(__xludf.DUMMYFUNCTION("""COMPUTED_VALUE"""),1.004)</f>
        <v>1.004</v>
      </c>
      <c r="E288" s="16">
        <f>IFERROR(__xludf.DUMMYFUNCTION("""COMPUTED_VALUE"""),69.0)</f>
        <v>69</v>
      </c>
      <c r="F288" s="19" t="str">
        <f>IFERROR(__xludf.DUMMYFUNCTION("""COMPUTED_VALUE"""),"BLACK")</f>
        <v>BLACK</v>
      </c>
      <c r="G288" s="20" t="str">
        <f>IFERROR(__xludf.DUMMYFUNCTION("""COMPUTED_VALUE"""),"Uncle Sams Cider (5/13/2022)")</f>
        <v>Uncle Sams Cider (5/13/2022)</v>
      </c>
      <c r="H288" s="19"/>
    </row>
    <row r="289">
      <c r="A289" s="9"/>
      <c r="B289" s="15"/>
      <c r="C289" s="9">
        <f>IFERROR(__xludf.DUMMYFUNCTION("""COMPUTED_VALUE"""),44793.6326448611)</f>
        <v>44793.63264</v>
      </c>
      <c r="D289" s="15">
        <f>IFERROR(__xludf.DUMMYFUNCTION("""COMPUTED_VALUE"""),1.004)</f>
        <v>1.004</v>
      </c>
      <c r="E289" s="16">
        <f>IFERROR(__xludf.DUMMYFUNCTION("""COMPUTED_VALUE"""),69.0)</f>
        <v>69</v>
      </c>
      <c r="F289" s="19" t="str">
        <f>IFERROR(__xludf.DUMMYFUNCTION("""COMPUTED_VALUE"""),"BLACK")</f>
        <v>BLACK</v>
      </c>
      <c r="G289" s="20" t="str">
        <f>IFERROR(__xludf.DUMMYFUNCTION("""COMPUTED_VALUE"""),"Uncle Sams Cider (5/13/2022)")</f>
        <v>Uncle Sams Cider (5/13/2022)</v>
      </c>
      <c r="H289" s="19"/>
    </row>
    <row r="290">
      <c r="A290" s="9"/>
      <c r="B290" s="15"/>
      <c r="C290" s="9">
        <f>IFERROR(__xludf.DUMMYFUNCTION("""COMPUTED_VALUE"""),44793.6222229629)</f>
        <v>44793.62222</v>
      </c>
      <c r="D290" s="15">
        <f>IFERROR(__xludf.DUMMYFUNCTION("""COMPUTED_VALUE"""),1.003)</f>
        <v>1.003</v>
      </c>
      <c r="E290" s="16">
        <f>IFERROR(__xludf.DUMMYFUNCTION("""COMPUTED_VALUE"""),69.0)</f>
        <v>69</v>
      </c>
      <c r="F290" s="19" t="str">
        <f>IFERROR(__xludf.DUMMYFUNCTION("""COMPUTED_VALUE"""),"BLACK")</f>
        <v>BLACK</v>
      </c>
      <c r="G290" s="20" t="str">
        <f>IFERROR(__xludf.DUMMYFUNCTION("""COMPUTED_VALUE"""),"Uncle Sams Cider (5/13/2022)")</f>
        <v>Uncle Sams Cider (5/13/2022)</v>
      </c>
      <c r="H290" s="19"/>
    </row>
    <row r="291">
      <c r="A291" s="9"/>
      <c r="B291" s="15"/>
      <c r="C291" s="9">
        <f>IFERROR(__xludf.DUMMYFUNCTION("""COMPUTED_VALUE"""),44793.6117448263)</f>
        <v>44793.61174</v>
      </c>
      <c r="D291" s="15">
        <f>IFERROR(__xludf.DUMMYFUNCTION("""COMPUTED_VALUE"""),1.003)</f>
        <v>1.003</v>
      </c>
      <c r="E291" s="16">
        <f>IFERROR(__xludf.DUMMYFUNCTION("""COMPUTED_VALUE"""),69.0)</f>
        <v>69</v>
      </c>
      <c r="F291" s="19" t="str">
        <f>IFERROR(__xludf.DUMMYFUNCTION("""COMPUTED_VALUE"""),"BLACK")</f>
        <v>BLACK</v>
      </c>
      <c r="G291" s="20" t="str">
        <f>IFERROR(__xludf.DUMMYFUNCTION("""COMPUTED_VALUE"""),"Uncle Sams Cider (5/13/2022)")</f>
        <v>Uncle Sams Cider (5/13/2022)</v>
      </c>
      <c r="H291" s="19"/>
    </row>
    <row r="292">
      <c r="A292" s="9"/>
      <c r="B292" s="15"/>
      <c r="C292" s="9">
        <f>IFERROR(__xludf.DUMMYFUNCTION("""COMPUTED_VALUE"""),44793.6013114699)</f>
        <v>44793.60131</v>
      </c>
      <c r="D292" s="15">
        <f>IFERROR(__xludf.DUMMYFUNCTION("""COMPUTED_VALUE"""),1.003)</f>
        <v>1.003</v>
      </c>
      <c r="E292" s="16">
        <f>IFERROR(__xludf.DUMMYFUNCTION("""COMPUTED_VALUE"""),69.0)</f>
        <v>69</v>
      </c>
      <c r="F292" s="19" t="str">
        <f>IFERROR(__xludf.DUMMYFUNCTION("""COMPUTED_VALUE"""),"BLACK")</f>
        <v>BLACK</v>
      </c>
      <c r="G292" s="20" t="str">
        <f>IFERROR(__xludf.DUMMYFUNCTION("""COMPUTED_VALUE"""),"Uncle Sams Cider (5/13/2022)")</f>
        <v>Uncle Sams Cider (5/13/2022)</v>
      </c>
      <c r="H292" s="19"/>
    </row>
    <row r="293">
      <c r="A293" s="9"/>
      <c r="B293" s="15"/>
      <c r="C293" s="9">
        <f>IFERROR(__xludf.DUMMYFUNCTION("""COMPUTED_VALUE"""),44793.5908792708)</f>
        <v>44793.59088</v>
      </c>
      <c r="D293" s="15">
        <f>IFERROR(__xludf.DUMMYFUNCTION("""COMPUTED_VALUE"""),1.004)</f>
        <v>1.004</v>
      </c>
      <c r="E293" s="16">
        <f>IFERROR(__xludf.DUMMYFUNCTION("""COMPUTED_VALUE"""),69.0)</f>
        <v>69</v>
      </c>
      <c r="F293" s="19" t="str">
        <f>IFERROR(__xludf.DUMMYFUNCTION("""COMPUTED_VALUE"""),"BLACK")</f>
        <v>BLACK</v>
      </c>
      <c r="G293" s="20" t="str">
        <f>IFERROR(__xludf.DUMMYFUNCTION("""COMPUTED_VALUE"""),"Uncle Sams Cider (5/13/2022)")</f>
        <v>Uncle Sams Cider (5/13/2022)</v>
      </c>
      <c r="H293" s="19"/>
    </row>
    <row r="294">
      <c r="A294" s="9"/>
      <c r="B294" s="15"/>
      <c r="C294" s="9">
        <f>IFERROR(__xludf.DUMMYFUNCTION("""COMPUTED_VALUE"""),44793.5804584259)</f>
        <v>44793.58046</v>
      </c>
      <c r="D294" s="15">
        <f>IFERROR(__xludf.DUMMYFUNCTION("""COMPUTED_VALUE"""),1.003)</f>
        <v>1.003</v>
      </c>
      <c r="E294" s="16">
        <f>IFERROR(__xludf.DUMMYFUNCTION("""COMPUTED_VALUE"""),69.0)</f>
        <v>69</v>
      </c>
      <c r="F294" s="19" t="str">
        <f>IFERROR(__xludf.DUMMYFUNCTION("""COMPUTED_VALUE"""),"BLACK")</f>
        <v>BLACK</v>
      </c>
      <c r="G294" s="20" t="str">
        <f>IFERROR(__xludf.DUMMYFUNCTION("""COMPUTED_VALUE"""),"Uncle Sams Cider (5/13/2022)")</f>
        <v>Uncle Sams Cider (5/13/2022)</v>
      </c>
      <c r="H294" s="19"/>
    </row>
    <row r="295">
      <c r="A295" s="9"/>
      <c r="B295" s="15"/>
      <c r="C295" s="9">
        <f>IFERROR(__xludf.DUMMYFUNCTION("""COMPUTED_VALUE"""),44793.5700362847)</f>
        <v>44793.57004</v>
      </c>
      <c r="D295" s="15">
        <f>IFERROR(__xludf.DUMMYFUNCTION("""COMPUTED_VALUE"""),1.003)</f>
        <v>1.003</v>
      </c>
      <c r="E295" s="16">
        <f>IFERROR(__xludf.DUMMYFUNCTION("""COMPUTED_VALUE"""),69.0)</f>
        <v>69</v>
      </c>
      <c r="F295" s="19" t="str">
        <f>IFERROR(__xludf.DUMMYFUNCTION("""COMPUTED_VALUE"""),"BLACK")</f>
        <v>BLACK</v>
      </c>
      <c r="G295" s="20" t="str">
        <f>IFERROR(__xludf.DUMMYFUNCTION("""COMPUTED_VALUE"""),"Uncle Sams Cider (5/13/2022)")</f>
        <v>Uncle Sams Cider (5/13/2022)</v>
      </c>
      <c r="H295" s="19"/>
    </row>
    <row r="296">
      <c r="A296" s="9"/>
      <c r="B296" s="15"/>
      <c r="C296" s="9">
        <f>IFERROR(__xludf.DUMMYFUNCTION("""COMPUTED_VALUE"""),44793.5595904398)</f>
        <v>44793.55959</v>
      </c>
      <c r="D296" s="15">
        <f>IFERROR(__xludf.DUMMYFUNCTION("""COMPUTED_VALUE"""),1.003)</f>
        <v>1.003</v>
      </c>
      <c r="E296" s="16">
        <f>IFERROR(__xludf.DUMMYFUNCTION("""COMPUTED_VALUE"""),69.0)</f>
        <v>69</v>
      </c>
      <c r="F296" s="19" t="str">
        <f>IFERROR(__xludf.DUMMYFUNCTION("""COMPUTED_VALUE"""),"BLACK")</f>
        <v>BLACK</v>
      </c>
      <c r="G296" s="20" t="str">
        <f>IFERROR(__xludf.DUMMYFUNCTION("""COMPUTED_VALUE"""),"Uncle Sams Cider (5/13/2022)")</f>
        <v>Uncle Sams Cider (5/13/2022)</v>
      </c>
      <c r="H296" s="19"/>
    </row>
    <row r="297">
      <c r="A297" s="9"/>
      <c r="B297" s="15"/>
      <c r="C297" s="9">
        <f>IFERROR(__xludf.DUMMYFUNCTION("""COMPUTED_VALUE"""),44793.5491716319)</f>
        <v>44793.54917</v>
      </c>
      <c r="D297" s="15">
        <f>IFERROR(__xludf.DUMMYFUNCTION("""COMPUTED_VALUE"""),1.004)</f>
        <v>1.004</v>
      </c>
      <c r="E297" s="16">
        <f>IFERROR(__xludf.DUMMYFUNCTION("""COMPUTED_VALUE"""),69.0)</f>
        <v>69</v>
      </c>
      <c r="F297" s="19" t="str">
        <f>IFERROR(__xludf.DUMMYFUNCTION("""COMPUTED_VALUE"""),"BLACK")</f>
        <v>BLACK</v>
      </c>
      <c r="G297" s="20" t="str">
        <f>IFERROR(__xludf.DUMMYFUNCTION("""COMPUTED_VALUE"""),"Uncle Sams Cider (5/13/2022)")</f>
        <v>Uncle Sams Cider (5/13/2022)</v>
      </c>
      <c r="H297" s="19"/>
    </row>
    <row r="298">
      <c r="A298" s="9"/>
      <c r="B298" s="15"/>
      <c r="C298" s="9">
        <f>IFERROR(__xludf.DUMMYFUNCTION("""COMPUTED_VALUE"""),44793.5386928009)</f>
        <v>44793.53869</v>
      </c>
      <c r="D298" s="15">
        <f>IFERROR(__xludf.DUMMYFUNCTION("""COMPUTED_VALUE"""),1.003)</f>
        <v>1.003</v>
      </c>
      <c r="E298" s="16">
        <f>IFERROR(__xludf.DUMMYFUNCTION("""COMPUTED_VALUE"""),69.0)</f>
        <v>69</v>
      </c>
      <c r="F298" s="19" t="str">
        <f>IFERROR(__xludf.DUMMYFUNCTION("""COMPUTED_VALUE"""),"BLACK")</f>
        <v>BLACK</v>
      </c>
      <c r="G298" s="20" t="str">
        <f>IFERROR(__xludf.DUMMYFUNCTION("""COMPUTED_VALUE"""),"Uncle Sams Cider (5/13/2022)")</f>
        <v>Uncle Sams Cider (5/13/2022)</v>
      </c>
      <c r="H298" s="19"/>
    </row>
    <row r="299">
      <c r="A299" s="9"/>
      <c r="B299" s="15"/>
      <c r="C299" s="9">
        <f>IFERROR(__xludf.DUMMYFUNCTION("""COMPUTED_VALUE"""),44793.528272037)</f>
        <v>44793.52827</v>
      </c>
      <c r="D299" s="15">
        <f>IFERROR(__xludf.DUMMYFUNCTION("""COMPUTED_VALUE"""),1.003)</f>
        <v>1.003</v>
      </c>
      <c r="E299" s="16">
        <f>IFERROR(__xludf.DUMMYFUNCTION("""COMPUTED_VALUE"""),69.0)</f>
        <v>69</v>
      </c>
      <c r="F299" s="19" t="str">
        <f>IFERROR(__xludf.DUMMYFUNCTION("""COMPUTED_VALUE"""),"BLACK")</f>
        <v>BLACK</v>
      </c>
      <c r="G299" s="20" t="str">
        <f>IFERROR(__xludf.DUMMYFUNCTION("""COMPUTED_VALUE"""),"Uncle Sams Cider (5/13/2022)")</f>
        <v>Uncle Sams Cider (5/13/2022)</v>
      </c>
      <c r="H299" s="19"/>
    </row>
    <row r="300">
      <c r="A300" s="9"/>
      <c r="B300" s="15"/>
      <c r="C300" s="9">
        <f>IFERROR(__xludf.DUMMYFUNCTION("""COMPUTED_VALUE"""),44793.5178385069)</f>
        <v>44793.51784</v>
      </c>
      <c r="D300" s="15">
        <f>IFERROR(__xludf.DUMMYFUNCTION("""COMPUTED_VALUE"""),1.004)</f>
        <v>1.004</v>
      </c>
      <c r="E300" s="16">
        <f>IFERROR(__xludf.DUMMYFUNCTION("""COMPUTED_VALUE"""),69.0)</f>
        <v>69</v>
      </c>
      <c r="F300" s="19" t="str">
        <f>IFERROR(__xludf.DUMMYFUNCTION("""COMPUTED_VALUE"""),"BLACK")</f>
        <v>BLACK</v>
      </c>
      <c r="G300" s="20" t="str">
        <f>IFERROR(__xludf.DUMMYFUNCTION("""COMPUTED_VALUE"""),"Uncle Sams Cider (5/13/2022)")</f>
        <v>Uncle Sams Cider (5/13/2022)</v>
      </c>
      <c r="H300" s="19"/>
    </row>
    <row r="301">
      <c r="A301" s="9"/>
      <c r="B301" s="15"/>
      <c r="C301" s="9">
        <f>IFERROR(__xludf.DUMMYFUNCTION("""COMPUTED_VALUE"""),44793.507415706)</f>
        <v>44793.50742</v>
      </c>
      <c r="D301" s="15">
        <f>IFERROR(__xludf.DUMMYFUNCTION("""COMPUTED_VALUE"""),1.004)</f>
        <v>1.004</v>
      </c>
      <c r="E301" s="16">
        <f>IFERROR(__xludf.DUMMYFUNCTION("""COMPUTED_VALUE"""),69.0)</f>
        <v>69</v>
      </c>
      <c r="F301" s="19" t="str">
        <f>IFERROR(__xludf.DUMMYFUNCTION("""COMPUTED_VALUE"""),"BLACK")</f>
        <v>BLACK</v>
      </c>
      <c r="G301" s="20" t="str">
        <f>IFERROR(__xludf.DUMMYFUNCTION("""COMPUTED_VALUE"""),"Uncle Sams Cider (5/13/2022)")</f>
        <v>Uncle Sams Cider (5/13/2022)</v>
      </c>
      <c r="H301" s="19"/>
    </row>
    <row r="302">
      <c r="A302" s="9"/>
      <c r="B302" s="15"/>
      <c r="C302" s="9">
        <f>IFERROR(__xludf.DUMMYFUNCTION("""COMPUTED_VALUE"""),44793.4969922338)</f>
        <v>44793.49699</v>
      </c>
      <c r="D302" s="15">
        <f>IFERROR(__xludf.DUMMYFUNCTION("""COMPUTED_VALUE"""),1.003)</f>
        <v>1.003</v>
      </c>
      <c r="E302" s="16">
        <f>IFERROR(__xludf.DUMMYFUNCTION("""COMPUTED_VALUE"""),69.0)</f>
        <v>69</v>
      </c>
      <c r="F302" s="19" t="str">
        <f>IFERROR(__xludf.DUMMYFUNCTION("""COMPUTED_VALUE"""),"BLACK")</f>
        <v>BLACK</v>
      </c>
      <c r="G302" s="20" t="str">
        <f>IFERROR(__xludf.DUMMYFUNCTION("""COMPUTED_VALUE"""),"Uncle Sams Cider (5/13/2022)")</f>
        <v>Uncle Sams Cider (5/13/2022)</v>
      </c>
      <c r="H302" s="19"/>
    </row>
    <row r="303">
      <c r="A303" s="9"/>
      <c r="B303" s="15"/>
      <c r="C303" s="9">
        <f>IFERROR(__xludf.DUMMYFUNCTION("""COMPUTED_VALUE"""),44793.4865695254)</f>
        <v>44793.48657</v>
      </c>
      <c r="D303" s="15">
        <f>IFERROR(__xludf.DUMMYFUNCTION("""COMPUTED_VALUE"""),1.004)</f>
        <v>1.004</v>
      </c>
      <c r="E303" s="16">
        <f>IFERROR(__xludf.DUMMYFUNCTION("""COMPUTED_VALUE"""),69.0)</f>
        <v>69</v>
      </c>
      <c r="F303" s="19" t="str">
        <f>IFERROR(__xludf.DUMMYFUNCTION("""COMPUTED_VALUE"""),"BLACK")</f>
        <v>BLACK</v>
      </c>
      <c r="G303" s="20" t="str">
        <f>IFERROR(__xludf.DUMMYFUNCTION("""COMPUTED_VALUE"""),"Uncle Sams Cider (5/13/2022)")</f>
        <v>Uncle Sams Cider (5/13/2022)</v>
      </c>
      <c r="H303" s="19"/>
    </row>
    <row r="304">
      <c r="A304" s="9"/>
      <c r="B304" s="15"/>
      <c r="C304" s="9">
        <f>IFERROR(__xludf.DUMMYFUNCTION("""COMPUTED_VALUE"""),44793.4761499537)</f>
        <v>44793.47615</v>
      </c>
      <c r="D304" s="15">
        <f>IFERROR(__xludf.DUMMYFUNCTION("""COMPUTED_VALUE"""),1.003)</f>
        <v>1.003</v>
      </c>
      <c r="E304" s="16">
        <f>IFERROR(__xludf.DUMMYFUNCTION("""COMPUTED_VALUE"""),69.0)</f>
        <v>69</v>
      </c>
      <c r="F304" s="19" t="str">
        <f>IFERROR(__xludf.DUMMYFUNCTION("""COMPUTED_VALUE"""),"BLACK")</f>
        <v>BLACK</v>
      </c>
      <c r="G304" s="20" t="str">
        <f>IFERROR(__xludf.DUMMYFUNCTION("""COMPUTED_VALUE"""),"Uncle Sams Cider (5/13/2022)")</f>
        <v>Uncle Sams Cider (5/13/2022)</v>
      </c>
      <c r="H304" s="19"/>
    </row>
    <row r="305">
      <c r="A305" s="9"/>
      <c r="B305" s="15"/>
      <c r="C305" s="9">
        <f>IFERROR(__xludf.DUMMYFUNCTION("""COMPUTED_VALUE"""),44793.465729375)</f>
        <v>44793.46573</v>
      </c>
      <c r="D305" s="15">
        <f>IFERROR(__xludf.DUMMYFUNCTION("""COMPUTED_VALUE"""),1.004)</f>
        <v>1.004</v>
      </c>
      <c r="E305" s="16">
        <f>IFERROR(__xludf.DUMMYFUNCTION("""COMPUTED_VALUE"""),69.0)</f>
        <v>69</v>
      </c>
      <c r="F305" s="19" t="str">
        <f>IFERROR(__xludf.DUMMYFUNCTION("""COMPUTED_VALUE"""),"BLACK")</f>
        <v>BLACK</v>
      </c>
      <c r="G305" s="20" t="str">
        <f>IFERROR(__xludf.DUMMYFUNCTION("""COMPUTED_VALUE"""),"Uncle Sams Cider (5/13/2022)")</f>
        <v>Uncle Sams Cider (5/13/2022)</v>
      </c>
      <c r="H305" s="19"/>
    </row>
    <row r="306">
      <c r="A306" s="9"/>
      <c r="B306" s="15"/>
      <c r="C306" s="9">
        <f>IFERROR(__xludf.DUMMYFUNCTION("""COMPUTED_VALUE"""),44793.455308993)</f>
        <v>44793.45531</v>
      </c>
      <c r="D306" s="15">
        <f>IFERROR(__xludf.DUMMYFUNCTION("""COMPUTED_VALUE"""),1.003)</f>
        <v>1.003</v>
      </c>
      <c r="E306" s="16">
        <f>IFERROR(__xludf.DUMMYFUNCTION("""COMPUTED_VALUE"""),69.0)</f>
        <v>69</v>
      </c>
      <c r="F306" s="19" t="str">
        <f>IFERROR(__xludf.DUMMYFUNCTION("""COMPUTED_VALUE"""),"BLACK")</f>
        <v>BLACK</v>
      </c>
      <c r="G306" s="20" t="str">
        <f>IFERROR(__xludf.DUMMYFUNCTION("""COMPUTED_VALUE"""),"Uncle Sams Cider (5/13/2022)")</f>
        <v>Uncle Sams Cider (5/13/2022)</v>
      </c>
      <c r="H306" s="19"/>
    </row>
    <row r="307">
      <c r="A307" s="9"/>
      <c r="B307" s="15"/>
      <c r="C307" s="9">
        <f>IFERROR(__xludf.DUMMYFUNCTION("""COMPUTED_VALUE"""),44793.4448874768)</f>
        <v>44793.44489</v>
      </c>
      <c r="D307" s="15">
        <f>IFERROR(__xludf.DUMMYFUNCTION("""COMPUTED_VALUE"""),1.003)</f>
        <v>1.003</v>
      </c>
      <c r="E307" s="16">
        <f>IFERROR(__xludf.DUMMYFUNCTION("""COMPUTED_VALUE"""),69.0)</f>
        <v>69</v>
      </c>
      <c r="F307" s="19" t="str">
        <f>IFERROR(__xludf.DUMMYFUNCTION("""COMPUTED_VALUE"""),"BLACK")</f>
        <v>BLACK</v>
      </c>
      <c r="G307" s="20" t="str">
        <f>IFERROR(__xludf.DUMMYFUNCTION("""COMPUTED_VALUE"""),"Uncle Sams Cider (5/13/2022)")</f>
        <v>Uncle Sams Cider (5/13/2022)</v>
      </c>
      <c r="H307" s="19"/>
    </row>
    <row r="308">
      <c r="A308" s="9"/>
      <c r="B308" s="15"/>
      <c r="C308" s="9">
        <f>IFERROR(__xludf.DUMMYFUNCTION("""COMPUTED_VALUE"""),44793.4344658217)</f>
        <v>44793.43447</v>
      </c>
      <c r="D308" s="15">
        <f>IFERROR(__xludf.DUMMYFUNCTION("""COMPUTED_VALUE"""),1.004)</f>
        <v>1.004</v>
      </c>
      <c r="E308" s="16">
        <f>IFERROR(__xludf.DUMMYFUNCTION("""COMPUTED_VALUE"""),69.0)</f>
        <v>69</v>
      </c>
      <c r="F308" s="19" t="str">
        <f>IFERROR(__xludf.DUMMYFUNCTION("""COMPUTED_VALUE"""),"BLACK")</f>
        <v>BLACK</v>
      </c>
      <c r="G308" s="20" t="str">
        <f>IFERROR(__xludf.DUMMYFUNCTION("""COMPUTED_VALUE"""),"Uncle Sams Cider (5/13/2022)")</f>
        <v>Uncle Sams Cider (5/13/2022)</v>
      </c>
      <c r="H308" s="19"/>
    </row>
    <row r="309">
      <c r="A309" s="9"/>
      <c r="B309" s="15"/>
      <c r="C309" s="9">
        <f>IFERROR(__xludf.DUMMYFUNCTION("""COMPUTED_VALUE"""),44793.4240443287)</f>
        <v>44793.42404</v>
      </c>
      <c r="D309" s="15">
        <f>IFERROR(__xludf.DUMMYFUNCTION("""COMPUTED_VALUE"""),1.003)</f>
        <v>1.003</v>
      </c>
      <c r="E309" s="16">
        <f>IFERROR(__xludf.DUMMYFUNCTION("""COMPUTED_VALUE"""),69.0)</f>
        <v>69</v>
      </c>
      <c r="F309" s="19" t="str">
        <f>IFERROR(__xludf.DUMMYFUNCTION("""COMPUTED_VALUE"""),"BLACK")</f>
        <v>BLACK</v>
      </c>
      <c r="G309" s="20" t="str">
        <f>IFERROR(__xludf.DUMMYFUNCTION("""COMPUTED_VALUE"""),"Uncle Sams Cider (5/13/2022)")</f>
        <v>Uncle Sams Cider (5/13/2022)</v>
      </c>
      <c r="H309" s="19"/>
    </row>
    <row r="310">
      <c r="A310" s="9"/>
      <c r="B310" s="15"/>
      <c r="C310" s="9">
        <f>IFERROR(__xludf.DUMMYFUNCTION("""COMPUTED_VALUE"""),44793.4136223032)</f>
        <v>44793.41362</v>
      </c>
      <c r="D310" s="15">
        <f>IFERROR(__xludf.DUMMYFUNCTION("""COMPUTED_VALUE"""),1.004)</f>
        <v>1.004</v>
      </c>
      <c r="E310" s="16">
        <f>IFERROR(__xludf.DUMMYFUNCTION("""COMPUTED_VALUE"""),69.0)</f>
        <v>69</v>
      </c>
      <c r="F310" s="19" t="str">
        <f>IFERROR(__xludf.DUMMYFUNCTION("""COMPUTED_VALUE"""),"BLACK")</f>
        <v>BLACK</v>
      </c>
      <c r="G310" s="20" t="str">
        <f>IFERROR(__xludf.DUMMYFUNCTION("""COMPUTED_VALUE"""),"Uncle Sams Cider (5/13/2022)")</f>
        <v>Uncle Sams Cider (5/13/2022)</v>
      </c>
      <c r="H310" s="19"/>
    </row>
    <row r="311">
      <c r="A311" s="9"/>
      <c r="B311" s="15"/>
      <c r="C311" s="9">
        <f>IFERROR(__xludf.DUMMYFUNCTION("""COMPUTED_VALUE"""),44793.4031781018)</f>
        <v>44793.40318</v>
      </c>
      <c r="D311" s="15">
        <f>IFERROR(__xludf.DUMMYFUNCTION("""COMPUTED_VALUE"""),1.003)</f>
        <v>1.003</v>
      </c>
      <c r="E311" s="16">
        <f>IFERROR(__xludf.DUMMYFUNCTION("""COMPUTED_VALUE"""),69.0)</f>
        <v>69</v>
      </c>
      <c r="F311" s="19" t="str">
        <f>IFERROR(__xludf.DUMMYFUNCTION("""COMPUTED_VALUE"""),"BLACK")</f>
        <v>BLACK</v>
      </c>
      <c r="G311" s="20" t="str">
        <f>IFERROR(__xludf.DUMMYFUNCTION("""COMPUTED_VALUE"""),"Uncle Sams Cider (5/13/2022)")</f>
        <v>Uncle Sams Cider (5/13/2022)</v>
      </c>
      <c r="H311" s="19"/>
    </row>
    <row r="312">
      <c r="A312" s="9"/>
      <c r="B312" s="15"/>
      <c r="C312" s="9">
        <f>IFERROR(__xludf.DUMMYFUNCTION("""COMPUTED_VALUE"""),44793.3927581481)</f>
        <v>44793.39276</v>
      </c>
      <c r="D312" s="15">
        <f>IFERROR(__xludf.DUMMYFUNCTION("""COMPUTED_VALUE"""),1.004)</f>
        <v>1.004</v>
      </c>
      <c r="E312" s="16">
        <f>IFERROR(__xludf.DUMMYFUNCTION("""COMPUTED_VALUE"""),69.0)</f>
        <v>69</v>
      </c>
      <c r="F312" s="19" t="str">
        <f>IFERROR(__xludf.DUMMYFUNCTION("""COMPUTED_VALUE"""),"BLACK")</f>
        <v>BLACK</v>
      </c>
      <c r="G312" s="20" t="str">
        <f>IFERROR(__xludf.DUMMYFUNCTION("""COMPUTED_VALUE"""),"Uncle Sams Cider (5/13/2022)")</f>
        <v>Uncle Sams Cider (5/13/2022)</v>
      </c>
      <c r="H312" s="19"/>
    </row>
    <row r="313">
      <c r="A313" s="9"/>
      <c r="B313" s="15"/>
      <c r="C313" s="9">
        <f>IFERROR(__xludf.DUMMYFUNCTION("""COMPUTED_VALUE"""),44793.3823367476)</f>
        <v>44793.38234</v>
      </c>
      <c r="D313" s="15">
        <f>IFERROR(__xludf.DUMMYFUNCTION("""COMPUTED_VALUE"""),1.004)</f>
        <v>1.004</v>
      </c>
      <c r="E313" s="16">
        <f>IFERROR(__xludf.DUMMYFUNCTION("""COMPUTED_VALUE"""),69.0)</f>
        <v>69</v>
      </c>
      <c r="F313" s="19" t="str">
        <f>IFERROR(__xludf.DUMMYFUNCTION("""COMPUTED_VALUE"""),"BLACK")</f>
        <v>BLACK</v>
      </c>
      <c r="G313" s="20" t="str">
        <f>IFERROR(__xludf.DUMMYFUNCTION("""COMPUTED_VALUE"""),"Uncle Sams Cider (5/13/2022)")</f>
        <v>Uncle Sams Cider (5/13/2022)</v>
      </c>
      <c r="H313" s="19"/>
    </row>
    <row r="314">
      <c r="A314" s="9"/>
      <c r="B314" s="15"/>
      <c r="C314" s="9">
        <f>IFERROR(__xludf.DUMMYFUNCTION("""COMPUTED_VALUE"""),44793.3719149189)</f>
        <v>44793.37191</v>
      </c>
      <c r="D314" s="15">
        <f>IFERROR(__xludf.DUMMYFUNCTION("""COMPUTED_VALUE"""),1.003)</f>
        <v>1.003</v>
      </c>
      <c r="E314" s="16">
        <f>IFERROR(__xludf.DUMMYFUNCTION("""COMPUTED_VALUE"""),69.0)</f>
        <v>69</v>
      </c>
      <c r="F314" s="19" t="str">
        <f>IFERROR(__xludf.DUMMYFUNCTION("""COMPUTED_VALUE"""),"BLACK")</f>
        <v>BLACK</v>
      </c>
      <c r="G314" s="20" t="str">
        <f>IFERROR(__xludf.DUMMYFUNCTION("""COMPUTED_VALUE"""),"Uncle Sams Cider (5/13/2022)")</f>
        <v>Uncle Sams Cider (5/13/2022)</v>
      </c>
      <c r="H314" s="19"/>
    </row>
    <row r="315">
      <c r="A315" s="9"/>
      <c r="B315" s="15"/>
      <c r="C315" s="9">
        <f>IFERROR(__xludf.DUMMYFUNCTION("""COMPUTED_VALUE"""),44793.3614935532)</f>
        <v>44793.36149</v>
      </c>
      <c r="D315" s="15">
        <f>IFERROR(__xludf.DUMMYFUNCTION("""COMPUTED_VALUE"""),1.003)</f>
        <v>1.003</v>
      </c>
      <c r="E315" s="16">
        <f>IFERROR(__xludf.DUMMYFUNCTION("""COMPUTED_VALUE"""),69.0)</f>
        <v>69</v>
      </c>
      <c r="F315" s="19" t="str">
        <f>IFERROR(__xludf.DUMMYFUNCTION("""COMPUTED_VALUE"""),"BLACK")</f>
        <v>BLACK</v>
      </c>
      <c r="G315" s="20" t="str">
        <f>IFERROR(__xludf.DUMMYFUNCTION("""COMPUTED_VALUE"""),"Uncle Sams Cider (5/13/2022)")</f>
        <v>Uncle Sams Cider (5/13/2022)</v>
      </c>
      <c r="H315" s="19"/>
    </row>
    <row r="316">
      <c r="A316" s="9"/>
      <c r="B316" s="15"/>
      <c r="C316" s="9">
        <f>IFERROR(__xludf.DUMMYFUNCTION("""COMPUTED_VALUE"""),44793.3510601967)</f>
        <v>44793.35106</v>
      </c>
      <c r="D316" s="15">
        <f>IFERROR(__xludf.DUMMYFUNCTION("""COMPUTED_VALUE"""),1.004)</f>
        <v>1.004</v>
      </c>
      <c r="E316" s="16">
        <f>IFERROR(__xludf.DUMMYFUNCTION("""COMPUTED_VALUE"""),69.0)</f>
        <v>69</v>
      </c>
      <c r="F316" s="19" t="str">
        <f>IFERROR(__xludf.DUMMYFUNCTION("""COMPUTED_VALUE"""),"BLACK")</f>
        <v>BLACK</v>
      </c>
      <c r="G316" s="20" t="str">
        <f>IFERROR(__xludf.DUMMYFUNCTION("""COMPUTED_VALUE"""),"Uncle Sams Cider (5/13/2022)")</f>
        <v>Uncle Sams Cider (5/13/2022)</v>
      </c>
      <c r="H316" s="19"/>
    </row>
    <row r="317">
      <c r="A317" s="9"/>
      <c r="B317" s="15"/>
      <c r="C317" s="9">
        <f>IFERROR(__xludf.DUMMYFUNCTION("""COMPUTED_VALUE"""),44793.340639618)</f>
        <v>44793.34064</v>
      </c>
      <c r="D317" s="15">
        <f>IFERROR(__xludf.DUMMYFUNCTION("""COMPUTED_VALUE"""),1.003)</f>
        <v>1.003</v>
      </c>
      <c r="E317" s="16">
        <f>IFERROR(__xludf.DUMMYFUNCTION("""COMPUTED_VALUE"""),69.0)</f>
        <v>69</v>
      </c>
      <c r="F317" s="19" t="str">
        <f>IFERROR(__xludf.DUMMYFUNCTION("""COMPUTED_VALUE"""),"BLACK")</f>
        <v>BLACK</v>
      </c>
      <c r="G317" s="20" t="str">
        <f>IFERROR(__xludf.DUMMYFUNCTION("""COMPUTED_VALUE"""),"Uncle Sams Cider (5/13/2022)")</f>
        <v>Uncle Sams Cider (5/13/2022)</v>
      </c>
      <c r="H317" s="19"/>
    </row>
    <row r="318">
      <c r="A318" s="9"/>
      <c r="B318" s="15"/>
      <c r="C318" s="9">
        <f>IFERROR(__xludf.DUMMYFUNCTION("""COMPUTED_VALUE"""),44793.3302209953)</f>
        <v>44793.33022</v>
      </c>
      <c r="D318" s="15">
        <f>IFERROR(__xludf.DUMMYFUNCTION("""COMPUTED_VALUE"""),1.004)</f>
        <v>1.004</v>
      </c>
      <c r="E318" s="16">
        <f>IFERROR(__xludf.DUMMYFUNCTION("""COMPUTED_VALUE"""),69.0)</f>
        <v>69</v>
      </c>
      <c r="F318" s="19" t="str">
        <f>IFERROR(__xludf.DUMMYFUNCTION("""COMPUTED_VALUE"""),"BLACK")</f>
        <v>BLACK</v>
      </c>
      <c r="G318" s="20" t="str">
        <f>IFERROR(__xludf.DUMMYFUNCTION("""COMPUTED_VALUE"""),"Uncle Sams Cider (5/13/2022)")</f>
        <v>Uncle Sams Cider (5/13/2022)</v>
      </c>
      <c r="H318" s="19"/>
    </row>
    <row r="319">
      <c r="A319" s="9"/>
      <c r="B319" s="15"/>
      <c r="C319" s="9">
        <f>IFERROR(__xludf.DUMMYFUNCTION("""COMPUTED_VALUE"""),44793.3198009027)</f>
        <v>44793.3198</v>
      </c>
      <c r="D319" s="15">
        <f>IFERROR(__xludf.DUMMYFUNCTION("""COMPUTED_VALUE"""),1.004)</f>
        <v>1.004</v>
      </c>
      <c r="E319" s="16">
        <f>IFERROR(__xludf.DUMMYFUNCTION("""COMPUTED_VALUE"""),69.0)</f>
        <v>69</v>
      </c>
      <c r="F319" s="19" t="str">
        <f>IFERROR(__xludf.DUMMYFUNCTION("""COMPUTED_VALUE"""),"BLACK")</f>
        <v>BLACK</v>
      </c>
      <c r="G319" s="20" t="str">
        <f>IFERROR(__xludf.DUMMYFUNCTION("""COMPUTED_VALUE"""),"Uncle Sams Cider (5/13/2022)")</f>
        <v>Uncle Sams Cider (5/13/2022)</v>
      </c>
      <c r="H319" s="19"/>
    </row>
    <row r="320">
      <c r="A320" s="9"/>
      <c r="B320" s="15"/>
      <c r="C320" s="9">
        <f>IFERROR(__xludf.DUMMYFUNCTION("""COMPUTED_VALUE"""),44793.3093796759)</f>
        <v>44793.30938</v>
      </c>
      <c r="D320" s="15">
        <f>IFERROR(__xludf.DUMMYFUNCTION("""COMPUTED_VALUE"""),1.004)</f>
        <v>1.004</v>
      </c>
      <c r="E320" s="16">
        <f>IFERROR(__xludf.DUMMYFUNCTION("""COMPUTED_VALUE"""),69.0)</f>
        <v>69</v>
      </c>
      <c r="F320" s="19" t="str">
        <f>IFERROR(__xludf.DUMMYFUNCTION("""COMPUTED_VALUE"""),"BLACK")</f>
        <v>BLACK</v>
      </c>
      <c r="G320" s="20" t="str">
        <f>IFERROR(__xludf.DUMMYFUNCTION("""COMPUTED_VALUE"""),"Uncle Sams Cider (5/13/2022)")</f>
        <v>Uncle Sams Cider (5/13/2022)</v>
      </c>
      <c r="H320" s="19"/>
    </row>
    <row r="321">
      <c r="A321" s="9"/>
      <c r="B321" s="15"/>
      <c r="C321" s="9">
        <f>IFERROR(__xludf.DUMMYFUNCTION("""COMPUTED_VALUE"""),44793.2989357407)</f>
        <v>44793.29894</v>
      </c>
      <c r="D321" s="15">
        <f>IFERROR(__xludf.DUMMYFUNCTION("""COMPUTED_VALUE"""),1.004)</f>
        <v>1.004</v>
      </c>
      <c r="E321" s="16">
        <f>IFERROR(__xludf.DUMMYFUNCTION("""COMPUTED_VALUE"""),69.0)</f>
        <v>69</v>
      </c>
      <c r="F321" s="19" t="str">
        <f>IFERROR(__xludf.DUMMYFUNCTION("""COMPUTED_VALUE"""),"BLACK")</f>
        <v>BLACK</v>
      </c>
      <c r="G321" s="20" t="str">
        <f>IFERROR(__xludf.DUMMYFUNCTION("""COMPUTED_VALUE"""),"Uncle Sams Cider (5/13/2022)")</f>
        <v>Uncle Sams Cider (5/13/2022)</v>
      </c>
      <c r="H321" s="19"/>
    </row>
    <row r="322">
      <c r="A322" s="9"/>
      <c r="B322" s="15"/>
      <c r="C322" s="9">
        <f>IFERROR(__xludf.DUMMYFUNCTION("""COMPUTED_VALUE"""),44793.2885137731)</f>
        <v>44793.28851</v>
      </c>
      <c r="D322" s="15">
        <f>IFERROR(__xludf.DUMMYFUNCTION("""COMPUTED_VALUE"""),1.003)</f>
        <v>1.003</v>
      </c>
      <c r="E322" s="16">
        <f>IFERROR(__xludf.DUMMYFUNCTION("""COMPUTED_VALUE"""),69.0)</f>
        <v>69</v>
      </c>
      <c r="F322" s="19" t="str">
        <f>IFERROR(__xludf.DUMMYFUNCTION("""COMPUTED_VALUE"""),"BLACK")</f>
        <v>BLACK</v>
      </c>
      <c r="G322" s="20" t="str">
        <f>IFERROR(__xludf.DUMMYFUNCTION("""COMPUTED_VALUE"""),"Uncle Sams Cider (5/13/2022)")</f>
        <v>Uncle Sams Cider (5/13/2022)</v>
      </c>
      <c r="H322" s="19"/>
    </row>
    <row r="323">
      <c r="A323" s="9"/>
      <c r="B323" s="15"/>
      <c r="C323" s="9">
        <f>IFERROR(__xludf.DUMMYFUNCTION("""COMPUTED_VALUE"""),44793.2780922453)</f>
        <v>44793.27809</v>
      </c>
      <c r="D323" s="15">
        <f>IFERROR(__xludf.DUMMYFUNCTION("""COMPUTED_VALUE"""),1.004)</f>
        <v>1.004</v>
      </c>
      <c r="E323" s="16">
        <f>IFERROR(__xludf.DUMMYFUNCTION("""COMPUTED_VALUE"""),69.0)</f>
        <v>69</v>
      </c>
      <c r="F323" s="19" t="str">
        <f>IFERROR(__xludf.DUMMYFUNCTION("""COMPUTED_VALUE"""),"BLACK")</f>
        <v>BLACK</v>
      </c>
      <c r="G323" s="20" t="str">
        <f>IFERROR(__xludf.DUMMYFUNCTION("""COMPUTED_VALUE"""),"Uncle Sams Cider (5/13/2022)")</f>
        <v>Uncle Sams Cider (5/13/2022)</v>
      </c>
      <c r="H323" s="19"/>
    </row>
    <row r="324">
      <c r="A324" s="9"/>
      <c r="B324" s="15"/>
      <c r="C324" s="9">
        <f>IFERROR(__xludf.DUMMYFUNCTION("""COMPUTED_VALUE"""),44793.2676713426)</f>
        <v>44793.26767</v>
      </c>
      <c r="D324" s="15">
        <f>IFERROR(__xludf.DUMMYFUNCTION("""COMPUTED_VALUE"""),1.003)</f>
        <v>1.003</v>
      </c>
      <c r="E324" s="16">
        <f>IFERROR(__xludf.DUMMYFUNCTION("""COMPUTED_VALUE"""),69.0)</f>
        <v>69</v>
      </c>
      <c r="F324" s="19" t="str">
        <f>IFERROR(__xludf.DUMMYFUNCTION("""COMPUTED_VALUE"""),"BLACK")</f>
        <v>BLACK</v>
      </c>
      <c r="G324" s="20" t="str">
        <f>IFERROR(__xludf.DUMMYFUNCTION("""COMPUTED_VALUE"""),"Uncle Sams Cider (5/13/2022)")</f>
        <v>Uncle Sams Cider (5/13/2022)</v>
      </c>
      <c r="H324" s="19"/>
    </row>
    <row r="325">
      <c r="A325" s="9"/>
      <c r="B325" s="15"/>
      <c r="C325" s="9">
        <f>IFERROR(__xludf.DUMMYFUNCTION("""COMPUTED_VALUE"""),44793.2572509722)</f>
        <v>44793.25725</v>
      </c>
      <c r="D325" s="15">
        <f>IFERROR(__xludf.DUMMYFUNCTION("""COMPUTED_VALUE"""),1.003)</f>
        <v>1.003</v>
      </c>
      <c r="E325" s="16">
        <f>IFERROR(__xludf.DUMMYFUNCTION("""COMPUTED_VALUE"""),69.0)</f>
        <v>69</v>
      </c>
      <c r="F325" s="19" t="str">
        <f>IFERROR(__xludf.DUMMYFUNCTION("""COMPUTED_VALUE"""),"BLACK")</f>
        <v>BLACK</v>
      </c>
      <c r="G325" s="20" t="str">
        <f>IFERROR(__xludf.DUMMYFUNCTION("""COMPUTED_VALUE"""),"Uncle Sams Cider (5/13/2022)")</f>
        <v>Uncle Sams Cider (5/13/2022)</v>
      </c>
      <c r="H325" s="19"/>
    </row>
    <row r="326">
      <c r="A326" s="9"/>
      <c r="B326" s="15"/>
      <c r="C326" s="9">
        <f>IFERROR(__xludf.DUMMYFUNCTION("""COMPUTED_VALUE"""),44793.2468306365)</f>
        <v>44793.24683</v>
      </c>
      <c r="D326" s="15">
        <f>IFERROR(__xludf.DUMMYFUNCTION("""COMPUTED_VALUE"""),1.004)</f>
        <v>1.004</v>
      </c>
      <c r="E326" s="16">
        <f>IFERROR(__xludf.DUMMYFUNCTION("""COMPUTED_VALUE"""),69.0)</f>
        <v>69</v>
      </c>
      <c r="F326" s="19" t="str">
        <f>IFERROR(__xludf.DUMMYFUNCTION("""COMPUTED_VALUE"""),"BLACK")</f>
        <v>BLACK</v>
      </c>
      <c r="G326" s="20" t="str">
        <f>IFERROR(__xludf.DUMMYFUNCTION("""COMPUTED_VALUE"""),"Uncle Sams Cider (5/13/2022)")</f>
        <v>Uncle Sams Cider (5/13/2022)</v>
      </c>
      <c r="H326" s="19"/>
    </row>
    <row r="327">
      <c r="A327" s="9"/>
      <c r="B327" s="15"/>
      <c r="C327" s="9">
        <f>IFERROR(__xludf.DUMMYFUNCTION("""COMPUTED_VALUE"""),44793.2364090046)</f>
        <v>44793.23641</v>
      </c>
      <c r="D327" s="15">
        <f>IFERROR(__xludf.DUMMYFUNCTION("""COMPUTED_VALUE"""),1.004)</f>
        <v>1.004</v>
      </c>
      <c r="E327" s="16">
        <f>IFERROR(__xludf.DUMMYFUNCTION("""COMPUTED_VALUE"""),69.0)</f>
        <v>69</v>
      </c>
      <c r="F327" s="19" t="str">
        <f>IFERROR(__xludf.DUMMYFUNCTION("""COMPUTED_VALUE"""),"BLACK")</f>
        <v>BLACK</v>
      </c>
      <c r="G327" s="20" t="str">
        <f>IFERROR(__xludf.DUMMYFUNCTION("""COMPUTED_VALUE"""),"Uncle Sams Cider (5/13/2022)")</f>
        <v>Uncle Sams Cider (5/13/2022)</v>
      </c>
      <c r="H327" s="19"/>
    </row>
    <row r="328">
      <c r="A328" s="9"/>
      <c r="B328" s="15"/>
      <c r="C328" s="9">
        <f>IFERROR(__xludf.DUMMYFUNCTION("""COMPUTED_VALUE"""),44793.2259880787)</f>
        <v>44793.22599</v>
      </c>
      <c r="D328" s="15">
        <f>IFERROR(__xludf.DUMMYFUNCTION("""COMPUTED_VALUE"""),1.003)</f>
        <v>1.003</v>
      </c>
      <c r="E328" s="16">
        <f>IFERROR(__xludf.DUMMYFUNCTION("""COMPUTED_VALUE"""),69.0)</f>
        <v>69</v>
      </c>
      <c r="F328" s="19" t="str">
        <f>IFERROR(__xludf.DUMMYFUNCTION("""COMPUTED_VALUE"""),"BLACK")</f>
        <v>BLACK</v>
      </c>
      <c r="G328" s="20" t="str">
        <f>IFERROR(__xludf.DUMMYFUNCTION("""COMPUTED_VALUE"""),"Uncle Sams Cider (5/13/2022)")</f>
        <v>Uncle Sams Cider (5/13/2022)</v>
      </c>
      <c r="H328" s="19"/>
    </row>
    <row r="329">
      <c r="A329" s="9"/>
      <c r="B329" s="15"/>
      <c r="C329" s="9">
        <f>IFERROR(__xludf.DUMMYFUNCTION("""COMPUTED_VALUE"""),44793.2155671412)</f>
        <v>44793.21557</v>
      </c>
      <c r="D329" s="15">
        <f>IFERROR(__xludf.DUMMYFUNCTION("""COMPUTED_VALUE"""),1.003)</f>
        <v>1.003</v>
      </c>
      <c r="E329" s="16">
        <f>IFERROR(__xludf.DUMMYFUNCTION("""COMPUTED_VALUE"""),69.0)</f>
        <v>69</v>
      </c>
      <c r="F329" s="19" t="str">
        <f>IFERROR(__xludf.DUMMYFUNCTION("""COMPUTED_VALUE"""),"BLACK")</f>
        <v>BLACK</v>
      </c>
      <c r="G329" s="20" t="str">
        <f>IFERROR(__xludf.DUMMYFUNCTION("""COMPUTED_VALUE"""),"Uncle Sams Cider (5/13/2022)")</f>
        <v>Uncle Sams Cider (5/13/2022)</v>
      </c>
      <c r="H329" s="19"/>
    </row>
    <row r="330">
      <c r="A330" s="9"/>
      <c r="B330" s="15"/>
      <c r="C330" s="9">
        <f>IFERROR(__xludf.DUMMYFUNCTION("""COMPUTED_VALUE"""),44793.2051428356)</f>
        <v>44793.20514</v>
      </c>
      <c r="D330" s="15">
        <f>IFERROR(__xludf.DUMMYFUNCTION("""COMPUTED_VALUE"""),1.003)</f>
        <v>1.003</v>
      </c>
      <c r="E330" s="16">
        <f>IFERROR(__xludf.DUMMYFUNCTION("""COMPUTED_VALUE"""),69.0)</f>
        <v>69</v>
      </c>
      <c r="F330" s="19" t="str">
        <f>IFERROR(__xludf.DUMMYFUNCTION("""COMPUTED_VALUE"""),"BLACK")</f>
        <v>BLACK</v>
      </c>
      <c r="G330" s="20" t="str">
        <f>IFERROR(__xludf.DUMMYFUNCTION("""COMPUTED_VALUE"""),"Uncle Sams Cider (5/13/2022)")</f>
        <v>Uncle Sams Cider (5/13/2022)</v>
      </c>
      <c r="H330" s="19"/>
    </row>
    <row r="331">
      <c r="A331" s="9"/>
      <c r="B331" s="15"/>
      <c r="C331" s="9">
        <f>IFERROR(__xludf.DUMMYFUNCTION("""COMPUTED_VALUE"""),44793.1947223379)</f>
        <v>44793.19472</v>
      </c>
      <c r="D331" s="15">
        <f>IFERROR(__xludf.DUMMYFUNCTION("""COMPUTED_VALUE"""),1.003)</f>
        <v>1.003</v>
      </c>
      <c r="E331" s="16">
        <f>IFERROR(__xludf.DUMMYFUNCTION("""COMPUTED_VALUE"""),69.0)</f>
        <v>69</v>
      </c>
      <c r="F331" s="19" t="str">
        <f>IFERROR(__xludf.DUMMYFUNCTION("""COMPUTED_VALUE"""),"BLACK")</f>
        <v>BLACK</v>
      </c>
      <c r="G331" s="20" t="str">
        <f>IFERROR(__xludf.DUMMYFUNCTION("""COMPUTED_VALUE"""),"Uncle Sams Cider (5/13/2022)")</f>
        <v>Uncle Sams Cider (5/13/2022)</v>
      </c>
      <c r="H331" s="19"/>
    </row>
    <row r="332">
      <c r="A332" s="9"/>
      <c r="B332" s="15"/>
      <c r="C332" s="9">
        <f>IFERROR(__xludf.DUMMYFUNCTION("""COMPUTED_VALUE"""),44793.1843020949)</f>
        <v>44793.1843</v>
      </c>
      <c r="D332" s="15">
        <f>IFERROR(__xludf.DUMMYFUNCTION("""COMPUTED_VALUE"""),1.003)</f>
        <v>1.003</v>
      </c>
      <c r="E332" s="16">
        <f>IFERROR(__xludf.DUMMYFUNCTION("""COMPUTED_VALUE"""),69.0)</f>
        <v>69</v>
      </c>
      <c r="F332" s="19" t="str">
        <f>IFERROR(__xludf.DUMMYFUNCTION("""COMPUTED_VALUE"""),"BLACK")</f>
        <v>BLACK</v>
      </c>
      <c r="G332" s="20" t="str">
        <f>IFERROR(__xludf.DUMMYFUNCTION("""COMPUTED_VALUE"""),"Uncle Sams Cider (5/13/2022)")</f>
        <v>Uncle Sams Cider (5/13/2022)</v>
      </c>
      <c r="H332" s="19"/>
    </row>
    <row r="333">
      <c r="A333" s="9"/>
      <c r="B333" s="15"/>
      <c r="C333" s="9">
        <f>IFERROR(__xludf.DUMMYFUNCTION("""COMPUTED_VALUE"""),44793.1738815972)</f>
        <v>44793.17388</v>
      </c>
      <c r="D333" s="15">
        <f>IFERROR(__xludf.DUMMYFUNCTION("""COMPUTED_VALUE"""),1.004)</f>
        <v>1.004</v>
      </c>
      <c r="E333" s="16">
        <f>IFERROR(__xludf.DUMMYFUNCTION("""COMPUTED_VALUE"""),69.0)</f>
        <v>69</v>
      </c>
      <c r="F333" s="19" t="str">
        <f>IFERROR(__xludf.DUMMYFUNCTION("""COMPUTED_VALUE"""),"BLACK")</f>
        <v>BLACK</v>
      </c>
      <c r="G333" s="20" t="str">
        <f>IFERROR(__xludf.DUMMYFUNCTION("""COMPUTED_VALUE"""),"Uncle Sams Cider (5/13/2022)")</f>
        <v>Uncle Sams Cider (5/13/2022)</v>
      </c>
      <c r="H333" s="19"/>
    </row>
    <row r="334">
      <c r="A334" s="9"/>
      <c r="B334" s="15"/>
      <c r="C334" s="9">
        <f>IFERROR(__xludf.DUMMYFUNCTION("""COMPUTED_VALUE"""),44793.1634599537)</f>
        <v>44793.16346</v>
      </c>
      <c r="D334" s="15">
        <f>IFERROR(__xludf.DUMMYFUNCTION("""COMPUTED_VALUE"""),1.004)</f>
        <v>1.004</v>
      </c>
      <c r="E334" s="16">
        <f>IFERROR(__xludf.DUMMYFUNCTION("""COMPUTED_VALUE"""),69.0)</f>
        <v>69</v>
      </c>
      <c r="F334" s="19" t="str">
        <f>IFERROR(__xludf.DUMMYFUNCTION("""COMPUTED_VALUE"""),"BLACK")</f>
        <v>BLACK</v>
      </c>
      <c r="G334" s="20" t="str">
        <f>IFERROR(__xludf.DUMMYFUNCTION("""COMPUTED_VALUE"""),"Uncle Sams Cider (5/13/2022)")</f>
        <v>Uncle Sams Cider (5/13/2022)</v>
      </c>
      <c r="H334" s="19"/>
    </row>
    <row r="335">
      <c r="A335" s="9"/>
      <c r="B335" s="15"/>
      <c r="C335" s="9">
        <f>IFERROR(__xludf.DUMMYFUNCTION("""COMPUTED_VALUE"""),44793.153039618)</f>
        <v>44793.15304</v>
      </c>
      <c r="D335" s="15">
        <f>IFERROR(__xludf.DUMMYFUNCTION("""COMPUTED_VALUE"""),1.003)</f>
        <v>1.003</v>
      </c>
      <c r="E335" s="16">
        <f>IFERROR(__xludf.DUMMYFUNCTION("""COMPUTED_VALUE"""),69.0)</f>
        <v>69</v>
      </c>
      <c r="F335" s="19" t="str">
        <f>IFERROR(__xludf.DUMMYFUNCTION("""COMPUTED_VALUE"""),"BLACK")</f>
        <v>BLACK</v>
      </c>
      <c r="G335" s="20" t="str">
        <f>IFERROR(__xludf.DUMMYFUNCTION("""COMPUTED_VALUE"""),"Uncle Sams Cider (5/13/2022)")</f>
        <v>Uncle Sams Cider (5/13/2022)</v>
      </c>
      <c r="H335" s="19"/>
    </row>
    <row r="336">
      <c r="A336" s="9"/>
      <c r="B336" s="15"/>
      <c r="C336" s="9">
        <f>IFERROR(__xludf.DUMMYFUNCTION("""COMPUTED_VALUE"""),44793.1426082176)</f>
        <v>44793.14261</v>
      </c>
      <c r="D336" s="15">
        <f>IFERROR(__xludf.DUMMYFUNCTION("""COMPUTED_VALUE"""),1.004)</f>
        <v>1.004</v>
      </c>
      <c r="E336" s="16">
        <f>IFERROR(__xludf.DUMMYFUNCTION("""COMPUTED_VALUE"""),69.0)</f>
        <v>69</v>
      </c>
      <c r="F336" s="19" t="str">
        <f>IFERROR(__xludf.DUMMYFUNCTION("""COMPUTED_VALUE"""),"BLACK")</f>
        <v>BLACK</v>
      </c>
      <c r="G336" s="20" t="str">
        <f>IFERROR(__xludf.DUMMYFUNCTION("""COMPUTED_VALUE"""),"Uncle Sams Cider (5/13/2022)")</f>
        <v>Uncle Sams Cider (5/13/2022)</v>
      </c>
      <c r="H336" s="19"/>
    </row>
    <row r="337">
      <c r="A337" s="9"/>
      <c r="B337" s="15"/>
      <c r="C337" s="9">
        <f>IFERROR(__xludf.DUMMYFUNCTION("""COMPUTED_VALUE"""),44793.1321852314)</f>
        <v>44793.13219</v>
      </c>
      <c r="D337" s="15">
        <f>IFERROR(__xludf.DUMMYFUNCTION("""COMPUTED_VALUE"""),1.004)</f>
        <v>1.004</v>
      </c>
      <c r="E337" s="16">
        <f>IFERROR(__xludf.DUMMYFUNCTION("""COMPUTED_VALUE"""),69.0)</f>
        <v>69</v>
      </c>
      <c r="F337" s="19" t="str">
        <f>IFERROR(__xludf.DUMMYFUNCTION("""COMPUTED_VALUE"""),"BLACK")</f>
        <v>BLACK</v>
      </c>
      <c r="G337" s="20" t="str">
        <f>IFERROR(__xludf.DUMMYFUNCTION("""COMPUTED_VALUE"""),"Uncle Sams Cider (5/13/2022)")</f>
        <v>Uncle Sams Cider (5/13/2022)</v>
      </c>
      <c r="H337" s="19"/>
    </row>
    <row r="338">
      <c r="A338" s="9"/>
      <c r="B338" s="15"/>
      <c r="C338" s="9">
        <f>IFERROR(__xludf.DUMMYFUNCTION("""COMPUTED_VALUE"""),44793.1217637384)</f>
        <v>44793.12176</v>
      </c>
      <c r="D338" s="15">
        <f>IFERROR(__xludf.DUMMYFUNCTION("""COMPUTED_VALUE"""),1.003)</f>
        <v>1.003</v>
      </c>
      <c r="E338" s="16">
        <f>IFERROR(__xludf.DUMMYFUNCTION("""COMPUTED_VALUE"""),69.0)</f>
        <v>69</v>
      </c>
      <c r="F338" s="19" t="str">
        <f>IFERROR(__xludf.DUMMYFUNCTION("""COMPUTED_VALUE"""),"BLACK")</f>
        <v>BLACK</v>
      </c>
      <c r="G338" s="20" t="str">
        <f>IFERROR(__xludf.DUMMYFUNCTION("""COMPUTED_VALUE"""),"Uncle Sams Cider (5/13/2022)")</f>
        <v>Uncle Sams Cider (5/13/2022)</v>
      </c>
      <c r="H338" s="19"/>
    </row>
    <row r="339">
      <c r="A339" s="9"/>
      <c r="B339" s="15"/>
      <c r="C339" s="9">
        <f>IFERROR(__xludf.DUMMYFUNCTION("""COMPUTED_VALUE"""),44793.1113418287)</f>
        <v>44793.11134</v>
      </c>
      <c r="D339" s="15">
        <f>IFERROR(__xludf.DUMMYFUNCTION("""COMPUTED_VALUE"""),1.003)</f>
        <v>1.003</v>
      </c>
      <c r="E339" s="16">
        <f>IFERROR(__xludf.DUMMYFUNCTION("""COMPUTED_VALUE"""),69.0)</f>
        <v>69</v>
      </c>
      <c r="F339" s="19" t="str">
        <f>IFERROR(__xludf.DUMMYFUNCTION("""COMPUTED_VALUE"""),"BLACK")</f>
        <v>BLACK</v>
      </c>
      <c r="G339" s="20" t="str">
        <f>IFERROR(__xludf.DUMMYFUNCTION("""COMPUTED_VALUE"""),"Uncle Sams Cider (5/13/2022)")</f>
        <v>Uncle Sams Cider (5/13/2022)</v>
      </c>
      <c r="H339" s="19"/>
    </row>
    <row r="340">
      <c r="A340" s="9"/>
      <c r="B340" s="15"/>
      <c r="C340" s="9">
        <f>IFERROR(__xludf.DUMMYFUNCTION("""COMPUTED_VALUE"""),44793.1009211342)</f>
        <v>44793.10092</v>
      </c>
      <c r="D340" s="15">
        <f>IFERROR(__xludf.DUMMYFUNCTION("""COMPUTED_VALUE"""),1.004)</f>
        <v>1.004</v>
      </c>
      <c r="E340" s="16">
        <f>IFERROR(__xludf.DUMMYFUNCTION("""COMPUTED_VALUE"""),69.0)</f>
        <v>69</v>
      </c>
      <c r="F340" s="19" t="str">
        <f>IFERROR(__xludf.DUMMYFUNCTION("""COMPUTED_VALUE"""),"BLACK")</f>
        <v>BLACK</v>
      </c>
      <c r="G340" s="20" t="str">
        <f>IFERROR(__xludf.DUMMYFUNCTION("""COMPUTED_VALUE"""),"Uncle Sams Cider (5/13/2022)")</f>
        <v>Uncle Sams Cider (5/13/2022)</v>
      </c>
      <c r="H340" s="19"/>
    </row>
    <row r="341">
      <c r="A341" s="9"/>
      <c r="B341" s="15"/>
      <c r="C341" s="9">
        <f>IFERROR(__xludf.DUMMYFUNCTION("""COMPUTED_VALUE"""),44793.0904996759)</f>
        <v>44793.0905</v>
      </c>
      <c r="D341" s="15">
        <f>IFERROR(__xludf.DUMMYFUNCTION("""COMPUTED_VALUE"""),1.003)</f>
        <v>1.003</v>
      </c>
      <c r="E341" s="16">
        <f>IFERROR(__xludf.DUMMYFUNCTION("""COMPUTED_VALUE"""),69.0)</f>
        <v>69</v>
      </c>
      <c r="F341" s="19" t="str">
        <f>IFERROR(__xludf.DUMMYFUNCTION("""COMPUTED_VALUE"""),"BLACK")</f>
        <v>BLACK</v>
      </c>
      <c r="G341" s="20" t="str">
        <f>IFERROR(__xludf.DUMMYFUNCTION("""COMPUTED_VALUE"""),"Uncle Sams Cider (5/13/2022)")</f>
        <v>Uncle Sams Cider (5/13/2022)</v>
      </c>
      <c r="H341" s="19"/>
    </row>
    <row r="342">
      <c r="A342" s="9"/>
      <c r="B342" s="15"/>
      <c r="C342" s="9">
        <f>IFERROR(__xludf.DUMMYFUNCTION("""COMPUTED_VALUE"""),44793.0800670601)</f>
        <v>44793.08007</v>
      </c>
      <c r="D342" s="15">
        <f>IFERROR(__xludf.DUMMYFUNCTION("""COMPUTED_VALUE"""),1.004)</f>
        <v>1.004</v>
      </c>
      <c r="E342" s="16">
        <f>IFERROR(__xludf.DUMMYFUNCTION("""COMPUTED_VALUE"""),69.0)</f>
        <v>69</v>
      </c>
      <c r="F342" s="19" t="str">
        <f>IFERROR(__xludf.DUMMYFUNCTION("""COMPUTED_VALUE"""),"BLACK")</f>
        <v>BLACK</v>
      </c>
      <c r="G342" s="20" t="str">
        <f>IFERROR(__xludf.DUMMYFUNCTION("""COMPUTED_VALUE"""),"Uncle Sams Cider (5/13/2022)")</f>
        <v>Uncle Sams Cider (5/13/2022)</v>
      </c>
      <c r="H342" s="19"/>
    </row>
    <row r="343">
      <c r="A343" s="9"/>
      <c r="B343" s="15"/>
      <c r="C343" s="9">
        <f>IFERROR(__xludf.DUMMYFUNCTION("""COMPUTED_VALUE"""),44793.0696468865)</f>
        <v>44793.06965</v>
      </c>
      <c r="D343" s="15">
        <f>IFERROR(__xludf.DUMMYFUNCTION("""COMPUTED_VALUE"""),1.004)</f>
        <v>1.004</v>
      </c>
      <c r="E343" s="16">
        <f>IFERROR(__xludf.DUMMYFUNCTION("""COMPUTED_VALUE"""),69.0)</f>
        <v>69</v>
      </c>
      <c r="F343" s="19" t="str">
        <f>IFERROR(__xludf.DUMMYFUNCTION("""COMPUTED_VALUE"""),"BLACK")</f>
        <v>BLACK</v>
      </c>
      <c r="G343" s="20" t="str">
        <f>IFERROR(__xludf.DUMMYFUNCTION("""COMPUTED_VALUE"""),"Uncle Sams Cider (5/13/2022)")</f>
        <v>Uncle Sams Cider (5/13/2022)</v>
      </c>
      <c r="H343" s="19"/>
    </row>
    <row r="344">
      <c r="A344" s="9"/>
      <c r="B344" s="15"/>
      <c r="C344" s="9">
        <f>IFERROR(__xludf.DUMMYFUNCTION("""COMPUTED_VALUE"""),44793.0592152777)</f>
        <v>44793.05922</v>
      </c>
      <c r="D344" s="15">
        <f>IFERROR(__xludf.DUMMYFUNCTION("""COMPUTED_VALUE"""),1.004)</f>
        <v>1.004</v>
      </c>
      <c r="E344" s="16">
        <f>IFERROR(__xludf.DUMMYFUNCTION("""COMPUTED_VALUE"""),69.0)</f>
        <v>69</v>
      </c>
      <c r="F344" s="19" t="str">
        <f>IFERROR(__xludf.DUMMYFUNCTION("""COMPUTED_VALUE"""),"BLACK")</f>
        <v>BLACK</v>
      </c>
      <c r="G344" s="20" t="str">
        <f>IFERROR(__xludf.DUMMYFUNCTION("""COMPUTED_VALUE"""),"Uncle Sams Cider (5/13/2022)")</f>
        <v>Uncle Sams Cider (5/13/2022)</v>
      </c>
      <c r="H344" s="19"/>
    </row>
    <row r="345">
      <c r="A345" s="9"/>
      <c r="B345" s="15"/>
      <c r="C345" s="9">
        <f>IFERROR(__xludf.DUMMYFUNCTION("""COMPUTED_VALUE"""),44793.0487933796)</f>
        <v>44793.04879</v>
      </c>
      <c r="D345" s="15">
        <f>IFERROR(__xludf.DUMMYFUNCTION("""COMPUTED_VALUE"""),1.003)</f>
        <v>1.003</v>
      </c>
      <c r="E345" s="16">
        <f>IFERROR(__xludf.DUMMYFUNCTION("""COMPUTED_VALUE"""),69.0)</f>
        <v>69</v>
      </c>
      <c r="F345" s="19" t="str">
        <f>IFERROR(__xludf.DUMMYFUNCTION("""COMPUTED_VALUE"""),"BLACK")</f>
        <v>BLACK</v>
      </c>
      <c r="G345" s="20" t="str">
        <f>IFERROR(__xludf.DUMMYFUNCTION("""COMPUTED_VALUE"""),"Uncle Sams Cider (5/13/2022)")</f>
        <v>Uncle Sams Cider (5/13/2022)</v>
      </c>
      <c r="H345" s="19"/>
    </row>
    <row r="346">
      <c r="A346" s="9"/>
      <c r="B346" s="15"/>
      <c r="C346" s="9">
        <f>IFERROR(__xludf.DUMMYFUNCTION("""COMPUTED_VALUE"""),44793.0383713194)</f>
        <v>44793.03837</v>
      </c>
      <c r="D346" s="15">
        <f>IFERROR(__xludf.DUMMYFUNCTION("""COMPUTED_VALUE"""),1.003)</f>
        <v>1.003</v>
      </c>
      <c r="E346" s="16">
        <f>IFERROR(__xludf.DUMMYFUNCTION("""COMPUTED_VALUE"""),69.0)</f>
        <v>69</v>
      </c>
      <c r="F346" s="19" t="str">
        <f>IFERROR(__xludf.DUMMYFUNCTION("""COMPUTED_VALUE"""),"BLACK")</f>
        <v>BLACK</v>
      </c>
      <c r="G346" s="20" t="str">
        <f>IFERROR(__xludf.DUMMYFUNCTION("""COMPUTED_VALUE"""),"Uncle Sams Cider (5/13/2022)")</f>
        <v>Uncle Sams Cider (5/13/2022)</v>
      </c>
      <c r="H346" s="19"/>
    </row>
    <row r="347">
      <c r="A347" s="9"/>
      <c r="B347" s="15"/>
      <c r="C347" s="9">
        <f>IFERROR(__xludf.DUMMYFUNCTION("""COMPUTED_VALUE"""),44793.0279525347)</f>
        <v>44793.02795</v>
      </c>
      <c r="D347" s="15">
        <f>IFERROR(__xludf.DUMMYFUNCTION("""COMPUTED_VALUE"""),1.003)</f>
        <v>1.003</v>
      </c>
      <c r="E347" s="16">
        <f>IFERROR(__xludf.DUMMYFUNCTION("""COMPUTED_VALUE"""),69.0)</f>
        <v>69</v>
      </c>
      <c r="F347" s="19" t="str">
        <f>IFERROR(__xludf.DUMMYFUNCTION("""COMPUTED_VALUE"""),"BLACK")</f>
        <v>BLACK</v>
      </c>
      <c r="G347" s="20" t="str">
        <f>IFERROR(__xludf.DUMMYFUNCTION("""COMPUTED_VALUE"""),"Uncle Sams Cider (5/13/2022)")</f>
        <v>Uncle Sams Cider (5/13/2022)</v>
      </c>
      <c r="H347" s="19"/>
    </row>
    <row r="348">
      <c r="A348" s="9"/>
      <c r="B348" s="15"/>
      <c r="C348" s="9">
        <f>IFERROR(__xludf.DUMMYFUNCTION("""COMPUTED_VALUE"""),44793.0175312731)</f>
        <v>44793.01753</v>
      </c>
      <c r="D348" s="15">
        <f>IFERROR(__xludf.DUMMYFUNCTION("""COMPUTED_VALUE"""),1.003)</f>
        <v>1.003</v>
      </c>
      <c r="E348" s="16">
        <f>IFERROR(__xludf.DUMMYFUNCTION("""COMPUTED_VALUE"""),69.0)</f>
        <v>69</v>
      </c>
      <c r="F348" s="19" t="str">
        <f>IFERROR(__xludf.DUMMYFUNCTION("""COMPUTED_VALUE"""),"BLACK")</f>
        <v>BLACK</v>
      </c>
      <c r="G348" s="20" t="str">
        <f>IFERROR(__xludf.DUMMYFUNCTION("""COMPUTED_VALUE"""),"Uncle Sams Cider (5/13/2022)")</f>
        <v>Uncle Sams Cider (5/13/2022)</v>
      </c>
      <c r="H348" s="19"/>
    </row>
    <row r="349">
      <c r="A349" s="9"/>
      <c r="B349" s="15"/>
      <c r="C349" s="9">
        <f>IFERROR(__xludf.DUMMYFUNCTION("""COMPUTED_VALUE"""),44793.007110081)</f>
        <v>44793.00711</v>
      </c>
      <c r="D349" s="15">
        <f>IFERROR(__xludf.DUMMYFUNCTION("""COMPUTED_VALUE"""),1.004)</f>
        <v>1.004</v>
      </c>
      <c r="E349" s="16">
        <f>IFERROR(__xludf.DUMMYFUNCTION("""COMPUTED_VALUE"""),69.0)</f>
        <v>69</v>
      </c>
      <c r="F349" s="19" t="str">
        <f>IFERROR(__xludf.DUMMYFUNCTION("""COMPUTED_VALUE"""),"BLACK")</f>
        <v>BLACK</v>
      </c>
      <c r="G349" s="20" t="str">
        <f>IFERROR(__xludf.DUMMYFUNCTION("""COMPUTED_VALUE"""),"Uncle Sams Cider (5/13/2022)")</f>
        <v>Uncle Sams Cider (5/13/2022)</v>
      </c>
      <c r="H349" s="19"/>
    </row>
    <row r="350">
      <c r="A350" s="9"/>
      <c r="B350" s="15"/>
      <c r="C350" s="9">
        <f>IFERROR(__xludf.DUMMYFUNCTION("""COMPUTED_VALUE"""),44792.9966782176)</f>
        <v>44792.99668</v>
      </c>
      <c r="D350" s="15">
        <f>IFERROR(__xludf.DUMMYFUNCTION("""COMPUTED_VALUE"""),1.004)</f>
        <v>1.004</v>
      </c>
      <c r="E350" s="16">
        <f>IFERROR(__xludf.DUMMYFUNCTION("""COMPUTED_VALUE"""),69.0)</f>
        <v>69</v>
      </c>
      <c r="F350" s="19" t="str">
        <f>IFERROR(__xludf.DUMMYFUNCTION("""COMPUTED_VALUE"""),"BLACK")</f>
        <v>BLACK</v>
      </c>
      <c r="G350" s="20" t="str">
        <f>IFERROR(__xludf.DUMMYFUNCTION("""COMPUTED_VALUE"""),"Uncle Sams Cider (5/13/2022)")</f>
        <v>Uncle Sams Cider (5/13/2022)</v>
      </c>
      <c r="H350" s="19"/>
    </row>
    <row r="351">
      <c r="A351" s="9"/>
      <c r="B351" s="15"/>
      <c r="C351" s="9">
        <f>IFERROR(__xludf.DUMMYFUNCTION("""COMPUTED_VALUE"""),44792.9862568981)</f>
        <v>44792.98626</v>
      </c>
      <c r="D351" s="15">
        <f>IFERROR(__xludf.DUMMYFUNCTION("""COMPUTED_VALUE"""),1.003)</f>
        <v>1.003</v>
      </c>
      <c r="E351" s="16">
        <f>IFERROR(__xludf.DUMMYFUNCTION("""COMPUTED_VALUE"""),69.0)</f>
        <v>69</v>
      </c>
      <c r="F351" s="19" t="str">
        <f>IFERROR(__xludf.DUMMYFUNCTION("""COMPUTED_VALUE"""),"BLACK")</f>
        <v>BLACK</v>
      </c>
      <c r="G351" s="20" t="str">
        <f>IFERROR(__xludf.DUMMYFUNCTION("""COMPUTED_VALUE"""),"Uncle Sams Cider (5/13/2022)")</f>
        <v>Uncle Sams Cider (5/13/2022)</v>
      </c>
      <c r="H351" s="19"/>
    </row>
    <row r="352">
      <c r="A352" s="9"/>
      <c r="B352" s="15"/>
      <c r="C352" s="9">
        <f>IFERROR(__xludf.DUMMYFUNCTION("""COMPUTED_VALUE"""),44792.9758353009)</f>
        <v>44792.97584</v>
      </c>
      <c r="D352" s="15">
        <f>IFERROR(__xludf.DUMMYFUNCTION("""COMPUTED_VALUE"""),1.004)</f>
        <v>1.004</v>
      </c>
      <c r="E352" s="16">
        <f>IFERROR(__xludf.DUMMYFUNCTION("""COMPUTED_VALUE"""),69.0)</f>
        <v>69</v>
      </c>
      <c r="F352" s="19" t="str">
        <f>IFERROR(__xludf.DUMMYFUNCTION("""COMPUTED_VALUE"""),"BLACK")</f>
        <v>BLACK</v>
      </c>
      <c r="G352" s="20" t="str">
        <f>IFERROR(__xludf.DUMMYFUNCTION("""COMPUTED_VALUE"""),"Uncle Sams Cider (5/13/2022)")</f>
        <v>Uncle Sams Cider (5/13/2022)</v>
      </c>
      <c r="H352" s="19"/>
    </row>
    <row r="353">
      <c r="A353" s="9"/>
      <c r="B353" s="15"/>
      <c r="C353" s="9">
        <f>IFERROR(__xludf.DUMMYFUNCTION("""COMPUTED_VALUE"""),44792.9654136921)</f>
        <v>44792.96541</v>
      </c>
      <c r="D353" s="15">
        <f>IFERROR(__xludf.DUMMYFUNCTION("""COMPUTED_VALUE"""),1.003)</f>
        <v>1.003</v>
      </c>
      <c r="E353" s="16">
        <f>IFERROR(__xludf.DUMMYFUNCTION("""COMPUTED_VALUE"""),69.0)</f>
        <v>69</v>
      </c>
      <c r="F353" s="19" t="str">
        <f>IFERROR(__xludf.DUMMYFUNCTION("""COMPUTED_VALUE"""),"BLACK")</f>
        <v>BLACK</v>
      </c>
      <c r="G353" s="20" t="str">
        <f>IFERROR(__xludf.DUMMYFUNCTION("""COMPUTED_VALUE"""),"Uncle Sams Cider (5/13/2022)")</f>
        <v>Uncle Sams Cider (5/13/2022)</v>
      </c>
      <c r="H353" s="19"/>
    </row>
    <row r="354">
      <c r="A354" s="9"/>
      <c r="B354" s="15"/>
      <c r="C354" s="9">
        <f>IFERROR(__xludf.DUMMYFUNCTION("""COMPUTED_VALUE"""),44792.9549926851)</f>
        <v>44792.95499</v>
      </c>
      <c r="D354" s="15">
        <f>IFERROR(__xludf.DUMMYFUNCTION("""COMPUTED_VALUE"""),1.003)</f>
        <v>1.003</v>
      </c>
      <c r="E354" s="16">
        <f>IFERROR(__xludf.DUMMYFUNCTION("""COMPUTED_VALUE"""),69.0)</f>
        <v>69</v>
      </c>
      <c r="F354" s="19" t="str">
        <f>IFERROR(__xludf.DUMMYFUNCTION("""COMPUTED_VALUE"""),"BLACK")</f>
        <v>BLACK</v>
      </c>
      <c r="G354" s="20" t="str">
        <f>IFERROR(__xludf.DUMMYFUNCTION("""COMPUTED_VALUE"""),"Uncle Sams Cider (5/13/2022)")</f>
        <v>Uncle Sams Cider (5/13/2022)</v>
      </c>
      <c r="H354" s="19"/>
    </row>
    <row r="355">
      <c r="A355" s="9"/>
      <c r="B355" s="15"/>
      <c r="C355" s="9">
        <f>IFERROR(__xludf.DUMMYFUNCTION("""COMPUTED_VALUE"""),44792.9445737384)</f>
        <v>44792.94457</v>
      </c>
      <c r="D355" s="15">
        <f>IFERROR(__xludf.DUMMYFUNCTION("""COMPUTED_VALUE"""),1.003)</f>
        <v>1.003</v>
      </c>
      <c r="E355" s="16">
        <f>IFERROR(__xludf.DUMMYFUNCTION("""COMPUTED_VALUE"""),69.0)</f>
        <v>69</v>
      </c>
      <c r="F355" s="19" t="str">
        <f>IFERROR(__xludf.DUMMYFUNCTION("""COMPUTED_VALUE"""),"BLACK")</f>
        <v>BLACK</v>
      </c>
      <c r="G355" s="20" t="str">
        <f>IFERROR(__xludf.DUMMYFUNCTION("""COMPUTED_VALUE"""),"Uncle Sams Cider (5/13/2022)")</f>
        <v>Uncle Sams Cider (5/13/2022)</v>
      </c>
      <c r="H355" s="19"/>
    </row>
    <row r="356">
      <c r="A356" s="9"/>
      <c r="B356" s="15"/>
      <c r="C356" s="9">
        <f>IFERROR(__xludf.DUMMYFUNCTION("""COMPUTED_VALUE"""),44792.9341409027)</f>
        <v>44792.93414</v>
      </c>
      <c r="D356" s="15">
        <f>IFERROR(__xludf.DUMMYFUNCTION("""COMPUTED_VALUE"""),1.003)</f>
        <v>1.003</v>
      </c>
      <c r="E356" s="16">
        <f>IFERROR(__xludf.DUMMYFUNCTION("""COMPUTED_VALUE"""),68.0)</f>
        <v>68</v>
      </c>
      <c r="F356" s="19" t="str">
        <f>IFERROR(__xludf.DUMMYFUNCTION("""COMPUTED_VALUE"""),"BLACK")</f>
        <v>BLACK</v>
      </c>
      <c r="G356" s="20" t="str">
        <f>IFERROR(__xludf.DUMMYFUNCTION("""COMPUTED_VALUE"""),"Uncle Sams Cider (5/13/2022)")</f>
        <v>Uncle Sams Cider (5/13/2022)</v>
      </c>
      <c r="H356" s="19"/>
    </row>
    <row r="357">
      <c r="A357" s="9"/>
      <c r="B357" s="15"/>
      <c r="C357" s="9">
        <f>IFERROR(__xludf.DUMMYFUNCTION("""COMPUTED_VALUE"""),44792.9237185185)</f>
        <v>44792.92372</v>
      </c>
      <c r="D357" s="15">
        <f>IFERROR(__xludf.DUMMYFUNCTION("""COMPUTED_VALUE"""),1.004)</f>
        <v>1.004</v>
      </c>
      <c r="E357" s="16">
        <f>IFERROR(__xludf.DUMMYFUNCTION("""COMPUTED_VALUE"""),68.0)</f>
        <v>68</v>
      </c>
      <c r="F357" s="19" t="str">
        <f>IFERROR(__xludf.DUMMYFUNCTION("""COMPUTED_VALUE"""),"BLACK")</f>
        <v>BLACK</v>
      </c>
      <c r="G357" s="20" t="str">
        <f>IFERROR(__xludf.DUMMYFUNCTION("""COMPUTED_VALUE"""),"Uncle Sams Cider (5/13/2022)")</f>
        <v>Uncle Sams Cider (5/13/2022)</v>
      </c>
      <c r="H357" s="19"/>
    </row>
    <row r="358">
      <c r="A358" s="9"/>
      <c r="B358" s="15"/>
      <c r="C358" s="9">
        <f>IFERROR(__xludf.DUMMYFUNCTION("""COMPUTED_VALUE"""),44792.9132964699)</f>
        <v>44792.9133</v>
      </c>
      <c r="D358" s="15">
        <f>IFERROR(__xludf.DUMMYFUNCTION("""COMPUTED_VALUE"""),1.004)</f>
        <v>1.004</v>
      </c>
      <c r="E358" s="16">
        <f>IFERROR(__xludf.DUMMYFUNCTION("""COMPUTED_VALUE"""),69.0)</f>
        <v>69</v>
      </c>
      <c r="F358" s="19" t="str">
        <f>IFERROR(__xludf.DUMMYFUNCTION("""COMPUTED_VALUE"""),"BLACK")</f>
        <v>BLACK</v>
      </c>
      <c r="G358" s="20" t="str">
        <f>IFERROR(__xludf.DUMMYFUNCTION("""COMPUTED_VALUE"""),"Uncle Sams Cider (5/13/2022)")</f>
        <v>Uncle Sams Cider (5/13/2022)</v>
      </c>
      <c r="H358" s="19"/>
    </row>
    <row r="359">
      <c r="A359" s="9"/>
      <c r="B359" s="15"/>
      <c r="C359" s="9">
        <f>IFERROR(__xludf.DUMMYFUNCTION("""COMPUTED_VALUE"""),44792.9028741319)</f>
        <v>44792.90287</v>
      </c>
      <c r="D359" s="15">
        <f>IFERROR(__xludf.DUMMYFUNCTION("""COMPUTED_VALUE"""),1.004)</f>
        <v>1.004</v>
      </c>
      <c r="E359" s="16">
        <f>IFERROR(__xludf.DUMMYFUNCTION("""COMPUTED_VALUE"""),69.0)</f>
        <v>69</v>
      </c>
      <c r="F359" s="19" t="str">
        <f>IFERROR(__xludf.DUMMYFUNCTION("""COMPUTED_VALUE"""),"BLACK")</f>
        <v>BLACK</v>
      </c>
      <c r="G359" s="20" t="str">
        <f>IFERROR(__xludf.DUMMYFUNCTION("""COMPUTED_VALUE"""),"Uncle Sams Cider (5/13/2022)")</f>
        <v>Uncle Sams Cider (5/13/2022)</v>
      </c>
      <c r="H359" s="19"/>
    </row>
    <row r="360">
      <c r="A360" s="9"/>
      <c r="B360" s="15"/>
      <c r="C360" s="9">
        <f>IFERROR(__xludf.DUMMYFUNCTION("""COMPUTED_VALUE"""),44792.8924531018)</f>
        <v>44792.89245</v>
      </c>
      <c r="D360" s="15">
        <f>IFERROR(__xludf.DUMMYFUNCTION("""COMPUTED_VALUE"""),1.004)</f>
        <v>1.004</v>
      </c>
      <c r="E360" s="16">
        <f>IFERROR(__xludf.DUMMYFUNCTION("""COMPUTED_VALUE"""),68.0)</f>
        <v>68</v>
      </c>
      <c r="F360" s="19" t="str">
        <f>IFERROR(__xludf.DUMMYFUNCTION("""COMPUTED_VALUE"""),"BLACK")</f>
        <v>BLACK</v>
      </c>
      <c r="G360" s="20" t="str">
        <f>IFERROR(__xludf.DUMMYFUNCTION("""COMPUTED_VALUE"""),"Uncle Sams Cider (5/13/2022)")</f>
        <v>Uncle Sams Cider (5/13/2022)</v>
      </c>
      <c r="H360" s="19"/>
    </row>
    <row r="361">
      <c r="A361" s="9"/>
      <c r="B361" s="15"/>
      <c r="C361" s="9">
        <f>IFERROR(__xludf.DUMMYFUNCTION("""COMPUTED_VALUE"""),44792.8820311574)</f>
        <v>44792.88203</v>
      </c>
      <c r="D361" s="15">
        <f>IFERROR(__xludf.DUMMYFUNCTION("""COMPUTED_VALUE"""),1.004)</f>
        <v>1.004</v>
      </c>
      <c r="E361" s="16">
        <f>IFERROR(__xludf.DUMMYFUNCTION("""COMPUTED_VALUE"""),68.0)</f>
        <v>68</v>
      </c>
      <c r="F361" s="19" t="str">
        <f>IFERROR(__xludf.DUMMYFUNCTION("""COMPUTED_VALUE"""),"BLACK")</f>
        <v>BLACK</v>
      </c>
      <c r="G361" s="20" t="str">
        <f>IFERROR(__xludf.DUMMYFUNCTION("""COMPUTED_VALUE"""),"Uncle Sams Cider (5/13/2022)")</f>
        <v>Uncle Sams Cider (5/13/2022)</v>
      </c>
      <c r="H361" s="19"/>
    </row>
    <row r="362">
      <c r="A362" s="9"/>
      <c r="B362" s="15"/>
      <c r="C362" s="9">
        <f>IFERROR(__xludf.DUMMYFUNCTION("""COMPUTED_VALUE"""),44792.871574074)</f>
        <v>44792.87157</v>
      </c>
      <c r="D362" s="15">
        <f>IFERROR(__xludf.DUMMYFUNCTION("""COMPUTED_VALUE"""),1.003)</f>
        <v>1.003</v>
      </c>
      <c r="E362" s="16">
        <f>IFERROR(__xludf.DUMMYFUNCTION("""COMPUTED_VALUE"""),68.0)</f>
        <v>68</v>
      </c>
      <c r="F362" s="19" t="str">
        <f>IFERROR(__xludf.DUMMYFUNCTION("""COMPUTED_VALUE"""),"BLACK")</f>
        <v>BLACK</v>
      </c>
      <c r="G362" s="20" t="str">
        <f>IFERROR(__xludf.DUMMYFUNCTION("""COMPUTED_VALUE"""),"Uncle Sams Cider (5/13/2022)")</f>
        <v>Uncle Sams Cider (5/13/2022)</v>
      </c>
      <c r="H362" s="19"/>
    </row>
    <row r="363">
      <c r="A363" s="9"/>
      <c r="B363" s="15"/>
      <c r="C363" s="9">
        <f>IFERROR(__xludf.DUMMYFUNCTION("""COMPUTED_VALUE"""),44792.8611530439)</f>
        <v>44792.86115</v>
      </c>
      <c r="D363" s="15">
        <f>IFERROR(__xludf.DUMMYFUNCTION("""COMPUTED_VALUE"""),1.004)</f>
        <v>1.004</v>
      </c>
      <c r="E363" s="16">
        <f>IFERROR(__xludf.DUMMYFUNCTION("""COMPUTED_VALUE"""),68.0)</f>
        <v>68</v>
      </c>
      <c r="F363" s="19" t="str">
        <f>IFERROR(__xludf.DUMMYFUNCTION("""COMPUTED_VALUE"""),"BLACK")</f>
        <v>BLACK</v>
      </c>
      <c r="G363" s="20" t="str">
        <f>IFERROR(__xludf.DUMMYFUNCTION("""COMPUTED_VALUE"""),"Uncle Sams Cider (5/13/2022)")</f>
        <v>Uncle Sams Cider (5/13/2022)</v>
      </c>
      <c r="H363" s="19"/>
    </row>
    <row r="364">
      <c r="A364" s="9"/>
      <c r="B364" s="15"/>
      <c r="C364" s="9">
        <f>IFERROR(__xludf.DUMMYFUNCTION("""COMPUTED_VALUE"""),44792.8507320833)</f>
        <v>44792.85073</v>
      </c>
      <c r="D364" s="15">
        <f>IFERROR(__xludf.DUMMYFUNCTION("""COMPUTED_VALUE"""),1.003)</f>
        <v>1.003</v>
      </c>
      <c r="E364" s="16">
        <f>IFERROR(__xludf.DUMMYFUNCTION("""COMPUTED_VALUE"""),68.0)</f>
        <v>68</v>
      </c>
      <c r="F364" s="19" t="str">
        <f>IFERROR(__xludf.DUMMYFUNCTION("""COMPUTED_VALUE"""),"BLACK")</f>
        <v>BLACK</v>
      </c>
      <c r="G364" s="20" t="str">
        <f>IFERROR(__xludf.DUMMYFUNCTION("""COMPUTED_VALUE"""),"Uncle Sams Cider (5/13/2022)")</f>
        <v>Uncle Sams Cider (5/13/2022)</v>
      </c>
      <c r="H364" s="19"/>
    </row>
    <row r="365">
      <c r="A365" s="9"/>
      <c r="B365" s="15"/>
      <c r="C365" s="9">
        <f>IFERROR(__xludf.DUMMYFUNCTION("""COMPUTED_VALUE"""),44792.8403110185)</f>
        <v>44792.84031</v>
      </c>
      <c r="D365" s="15">
        <f>IFERROR(__xludf.DUMMYFUNCTION("""COMPUTED_VALUE"""),1.004)</f>
        <v>1.004</v>
      </c>
      <c r="E365" s="16">
        <f>IFERROR(__xludf.DUMMYFUNCTION("""COMPUTED_VALUE"""),68.0)</f>
        <v>68</v>
      </c>
      <c r="F365" s="19" t="str">
        <f>IFERROR(__xludf.DUMMYFUNCTION("""COMPUTED_VALUE"""),"BLACK")</f>
        <v>BLACK</v>
      </c>
      <c r="G365" s="20" t="str">
        <f>IFERROR(__xludf.DUMMYFUNCTION("""COMPUTED_VALUE"""),"Uncle Sams Cider (5/13/2022)")</f>
        <v>Uncle Sams Cider (5/13/2022)</v>
      </c>
      <c r="H365" s="19"/>
    </row>
    <row r="366">
      <c r="A366" s="9"/>
      <c r="B366" s="15"/>
      <c r="C366" s="9">
        <f>IFERROR(__xludf.DUMMYFUNCTION("""COMPUTED_VALUE"""),44792.8298895717)</f>
        <v>44792.82989</v>
      </c>
      <c r="D366" s="15">
        <f>IFERROR(__xludf.DUMMYFUNCTION("""COMPUTED_VALUE"""),1.004)</f>
        <v>1.004</v>
      </c>
      <c r="E366" s="16">
        <f>IFERROR(__xludf.DUMMYFUNCTION("""COMPUTED_VALUE"""),68.0)</f>
        <v>68</v>
      </c>
      <c r="F366" s="19" t="str">
        <f>IFERROR(__xludf.DUMMYFUNCTION("""COMPUTED_VALUE"""),"BLACK")</f>
        <v>BLACK</v>
      </c>
      <c r="G366" s="20" t="str">
        <f>IFERROR(__xludf.DUMMYFUNCTION("""COMPUTED_VALUE"""),"Uncle Sams Cider (5/13/2022)")</f>
        <v>Uncle Sams Cider (5/13/2022)</v>
      </c>
      <c r="H366" s="19"/>
    </row>
    <row r="367">
      <c r="A367" s="9"/>
      <c r="B367" s="15"/>
      <c r="C367" s="9">
        <f>IFERROR(__xludf.DUMMYFUNCTION("""COMPUTED_VALUE"""),44792.8194685648)</f>
        <v>44792.81947</v>
      </c>
      <c r="D367" s="15">
        <f>IFERROR(__xludf.DUMMYFUNCTION("""COMPUTED_VALUE"""),1.004)</f>
        <v>1.004</v>
      </c>
      <c r="E367" s="16">
        <f>IFERROR(__xludf.DUMMYFUNCTION("""COMPUTED_VALUE"""),68.0)</f>
        <v>68</v>
      </c>
      <c r="F367" s="19" t="str">
        <f>IFERROR(__xludf.DUMMYFUNCTION("""COMPUTED_VALUE"""),"BLACK")</f>
        <v>BLACK</v>
      </c>
      <c r="G367" s="20" t="str">
        <f>IFERROR(__xludf.DUMMYFUNCTION("""COMPUTED_VALUE"""),"Uncle Sams Cider (5/13/2022)")</f>
        <v>Uncle Sams Cider (5/13/2022)</v>
      </c>
      <c r="H367" s="19"/>
    </row>
    <row r="368">
      <c r="A368" s="9"/>
      <c r="B368" s="15"/>
      <c r="C368" s="9">
        <f>IFERROR(__xludf.DUMMYFUNCTION("""COMPUTED_VALUE"""),44792.8090478588)</f>
        <v>44792.80905</v>
      </c>
      <c r="D368" s="15">
        <f>IFERROR(__xludf.DUMMYFUNCTION("""COMPUTED_VALUE"""),1.004)</f>
        <v>1.004</v>
      </c>
      <c r="E368" s="16">
        <f>IFERROR(__xludf.DUMMYFUNCTION("""COMPUTED_VALUE"""),68.0)</f>
        <v>68</v>
      </c>
      <c r="F368" s="19" t="str">
        <f>IFERROR(__xludf.DUMMYFUNCTION("""COMPUTED_VALUE"""),"BLACK")</f>
        <v>BLACK</v>
      </c>
      <c r="G368" s="20" t="str">
        <f>IFERROR(__xludf.DUMMYFUNCTION("""COMPUTED_VALUE"""),"Uncle Sams Cider (5/13/2022)")</f>
        <v>Uncle Sams Cider (5/13/2022)</v>
      </c>
      <c r="H368" s="19"/>
    </row>
    <row r="369">
      <c r="A369" s="9"/>
      <c r="B369" s="15"/>
      <c r="C369" s="9">
        <f>IFERROR(__xludf.DUMMYFUNCTION("""COMPUTED_VALUE"""),44792.7986151273)</f>
        <v>44792.79862</v>
      </c>
      <c r="D369" s="15">
        <f>IFERROR(__xludf.DUMMYFUNCTION("""COMPUTED_VALUE"""),1.004)</f>
        <v>1.004</v>
      </c>
      <c r="E369" s="16">
        <f>IFERROR(__xludf.DUMMYFUNCTION("""COMPUTED_VALUE"""),68.0)</f>
        <v>68</v>
      </c>
      <c r="F369" s="19" t="str">
        <f>IFERROR(__xludf.DUMMYFUNCTION("""COMPUTED_VALUE"""),"BLACK")</f>
        <v>BLACK</v>
      </c>
      <c r="G369" s="20" t="str">
        <f>IFERROR(__xludf.DUMMYFUNCTION("""COMPUTED_VALUE"""),"Uncle Sams Cider (5/13/2022)")</f>
        <v>Uncle Sams Cider (5/13/2022)</v>
      </c>
      <c r="H369" s="19"/>
    </row>
    <row r="370">
      <c r="A370" s="9"/>
      <c r="B370" s="15"/>
      <c r="C370" s="9">
        <f>IFERROR(__xludf.DUMMYFUNCTION("""COMPUTED_VALUE"""),44792.7881961805)</f>
        <v>44792.7882</v>
      </c>
      <c r="D370" s="15">
        <f>IFERROR(__xludf.DUMMYFUNCTION("""COMPUTED_VALUE"""),1.004)</f>
        <v>1.004</v>
      </c>
      <c r="E370" s="16">
        <f>IFERROR(__xludf.DUMMYFUNCTION("""COMPUTED_VALUE"""),68.0)</f>
        <v>68</v>
      </c>
      <c r="F370" s="19" t="str">
        <f>IFERROR(__xludf.DUMMYFUNCTION("""COMPUTED_VALUE"""),"BLACK")</f>
        <v>BLACK</v>
      </c>
      <c r="G370" s="20" t="str">
        <f>IFERROR(__xludf.DUMMYFUNCTION("""COMPUTED_VALUE"""),"Uncle Sams Cider (5/13/2022)")</f>
        <v>Uncle Sams Cider (5/13/2022)</v>
      </c>
      <c r="H370" s="19"/>
    </row>
    <row r="371">
      <c r="A371" s="9"/>
      <c r="B371" s="15"/>
      <c r="C371" s="9">
        <f>IFERROR(__xludf.DUMMYFUNCTION("""COMPUTED_VALUE"""),44792.7777755671)</f>
        <v>44792.77778</v>
      </c>
      <c r="D371" s="15">
        <f>IFERROR(__xludf.DUMMYFUNCTION("""COMPUTED_VALUE"""),1.004)</f>
        <v>1.004</v>
      </c>
      <c r="E371" s="16">
        <f>IFERROR(__xludf.DUMMYFUNCTION("""COMPUTED_VALUE"""),68.0)</f>
        <v>68</v>
      </c>
      <c r="F371" s="19" t="str">
        <f>IFERROR(__xludf.DUMMYFUNCTION("""COMPUTED_VALUE"""),"BLACK")</f>
        <v>BLACK</v>
      </c>
      <c r="G371" s="20" t="str">
        <f>IFERROR(__xludf.DUMMYFUNCTION("""COMPUTED_VALUE"""),"Uncle Sams Cider (5/13/2022)")</f>
        <v>Uncle Sams Cider (5/13/2022)</v>
      </c>
      <c r="H371" s="19"/>
    </row>
    <row r="372">
      <c r="A372" s="9"/>
      <c r="B372" s="15"/>
      <c r="C372" s="9">
        <f>IFERROR(__xludf.DUMMYFUNCTION("""COMPUTED_VALUE"""),44792.7673537152)</f>
        <v>44792.76735</v>
      </c>
      <c r="D372" s="15">
        <f>IFERROR(__xludf.DUMMYFUNCTION("""COMPUTED_VALUE"""),1.004)</f>
        <v>1.004</v>
      </c>
      <c r="E372" s="16">
        <f>IFERROR(__xludf.DUMMYFUNCTION("""COMPUTED_VALUE"""),68.0)</f>
        <v>68</v>
      </c>
      <c r="F372" s="19" t="str">
        <f>IFERROR(__xludf.DUMMYFUNCTION("""COMPUTED_VALUE"""),"BLACK")</f>
        <v>BLACK</v>
      </c>
      <c r="G372" s="20" t="str">
        <f>IFERROR(__xludf.DUMMYFUNCTION("""COMPUTED_VALUE"""),"Uncle Sams Cider (5/13/2022)")</f>
        <v>Uncle Sams Cider (5/13/2022)</v>
      </c>
      <c r="H372" s="19"/>
    </row>
    <row r="373">
      <c r="A373" s="9"/>
      <c r="B373" s="15"/>
      <c r="C373" s="9">
        <f>IFERROR(__xludf.DUMMYFUNCTION("""COMPUTED_VALUE"""),44792.7569347453)</f>
        <v>44792.75693</v>
      </c>
      <c r="D373" s="15">
        <f>IFERROR(__xludf.DUMMYFUNCTION("""COMPUTED_VALUE"""),1.004)</f>
        <v>1.004</v>
      </c>
      <c r="E373" s="16">
        <f>IFERROR(__xludf.DUMMYFUNCTION("""COMPUTED_VALUE"""),68.0)</f>
        <v>68</v>
      </c>
      <c r="F373" s="19" t="str">
        <f>IFERROR(__xludf.DUMMYFUNCTION("""COMPUTED_VALUE"""),"BLACK")</f>
        <v>BLACK</v>
      </c>
      <c r="G373" s="20" t="str">
        <f>IFERROR(__xludf.DUMMYFUNCTION("""COMPUTED_VALUE"""),"Uncle Sams Cider (5/13/2022)")</f>
        <v>Uncle Sams Cider (5/13/2022)</v>
      </c>
      <c r="H373" s="19"/>
    </row>
    <row r="374">
      <c r="A374" s="9"/>
      <c r="B374" s="15"/>
      <c r="C374" s="9">
        <f>IFERROR(__xludf.DUMMYFUNCTION("""COMPUTED_VALUE"""),44792.746514375)</f>
        <v>44792.74651</v>
      </c>
      <c r="D374" s="15">
        <f>IFERROR(__xludf.DUMMYFUNCTION("""COMPUTED_VALUE"""),1.003)</f>
        <v>1.003</v>
      </c>
      <c r="E374" s="16">
        <f>IFERROR(__xludf.DUMMYFUNCTION("""COMPUTED_VALUE"""),68.0)</f>
        <v>68</v>
      </c>
      <c r="F374" s="19" t="str">
        <f>IFERROR(__xludf.DUMMYFUNCTION("""COMPUTED_VALUE"""),"BLACK")</f>
        <v>BLACK</v>
      </c>
      <c r="G374" s="20" t="str">
        <f>IFERROR(__xludf.DUMMYFUNCTION("""COMPUTED_VALUE"""),"Uncle Sams Cider (5/13/2022)")</f>
        <v>Uncle Sams Cider (5/13/2022)</v>
      </c>
      <c r="H374" s="19"/>
    </row>
    <row r="375">
      <c r="A375" s="9"/>
      <c r="B375" s="15"/>
      <c r="C375" s="9">
        <f>IFERROR(__xludf.DUMMYFUNCTION("""COMPUTED_VALUE"""),44792.7360930208)</f>
        <v>44792.73609</v>
      </c>
      <c r="D375" s="15">
        <f>IFERROR(__xludf.DUMMYFUNCTION("""COMPUTED_VALUE"""),1.004)</f>
        <v>1.004</v>
      </c>
      <c r="E375" s="16">
        <f>IFERROR(__xludf.DUMMYFUNCTION("""COMPUTED_VALUE"""),68.0)</f>
        <v>68</v>
      </c>
      <c r="F375" s="19" t="str">
        <f>IFERROR(__xludf.DUMMYFUNCTION("""COMPUTED_VALUE"""),"BLACK")</f>
        <v>BLACK</v>
      </c>
      <c r="G375" s="20" t="str">
        <f>IFERROR(__xludf.DUMMYFUNCTION("""COMPUTED_VALUE"""),"Uncle Sams Cider (5/13/2022)")</f>
        <v>Uncle Sams Cider (5/13/2022)</v>
      </c>
      <c r="H375" s="19"/>
    </row>
    <row r="376">
      <c r="A376" s="9"/>
      <c r="B376" s="15"/>
      <c r="C376" s="9">
        <f>IFERROR(__xludf.DUMMYFUNCTION("""COMPUTED_VALUE"""),44792.7256717129)</f>
        <v>44792.72567</v>
      </c>
      <c r="D376" s="15">
        <f>IFERROR(__xludf.DUMMYFUNCTION("""COMPUTED_VALUE"""),1.004)</f>
        <v>1.004</v>
      </c>
      <c r="E376" s="16">
        <f>IFERROR(__xludf.DUMMYFUNCTION("""COMPUTED_VALUE"""),68.0)</f>
        <v>68</v>
      </c>
      <c r="F376" s="19" t="str">
        <f>IFERROR(__xludf.DUMMYFUNCTION("""COMPUTED_VALUE"""),"BLACK")</f>
        <v>BLACK</v>
      </c>
      <c r="G376" s="20" t="str">
        <f>IFERROR(__xludf.DUMMYFUNCTION("""COMPUTED_VALUE"""),"Uncle Sams Cider (5/13/2022)")</f>
        <v>Uncle Sams Cider (5/13/2022)</v>
      </c>
      <c r="H376" s="19"/>
    </row>
    <row r="377">
      <c r="A377" s="9"/>
      <c r="B377" s="15"/>
      <c r="C377" s="9">
        <f>IFERROR(__xludf.DUMMYFUNCTION("""COMPUTED_VALUE"""),44792.7152515162)</f>
        <v>44792.71525</v>
      </c>
      <c r="D377" s="15">
        <f>IFERROR(__xludf.DUMMYFUNCTION("""COMPUTED_VALUE"""),1.004)</f>
        <v>1.004</v>
      </c>
      <c r="E377" s="16">
        <f>IFERROR(__xludf.DUMMYFUNCTION("""COMPUTED_VALUE"""),68.0)</f>
        <v>68</v>
      </c>
      <c r="F377" s="19" t="str">
        <f>IFERROR(__xludf.DUMMYFUNCTION("""COMPUTED_VALUE"""),"BLACK")</f>
        <v>BLACK</v>
      </c>
      <c r="G377" s="20" t="str">
        <f>IFERROR(__xludf.DUMMYFUNCTION("""COMPUTED_VALUE"""),"Uncle Sams Cider (5/13/2022)")</f>
        <v>Uncle Sams Cider (5/13/2022)</v>
      </c>
      <c r="H377" s="19"/>
    </row>
    <row r="378">
      <c r="A378" s="9"/>
      <c r="B378" s="15"/>
      <c r="C378" s="9">
        <f>IFERROR(__xludf.DUMMYFUNCTION("""COMPUTED_VALUE"""),44792.7048306365)</f>
        <v>44792.70483</v>
      </c>
      <c r="D378" s="15">
        <f>IFERROR(__xludf.DUMMYFUNCTION("""COMPUTED_VALUE"""),1.003)</f>
        <v>1.003</v>
      </c>
      <c r="E378" s="16">
        <f>IFERROR(__xludf.DUMMYFUNCTION("""COMPUTED_VALUE"""),68.0)</f>
        <v>68</v>
      </c>
      <c r="F378" s="19" t="str">
        <f>IFERROR(__xludf.DUMMYFUNCTION("""COMPUTED_VALUE"""),"BLACK")</f>
        <v>BLACK</v>
      </c>
      <c r="G378" s="20" t="str">
        <f>IFERROR(__xludf.DUMMYFUNCTION("""COMPUTED_VALUE"""),"Uncle Sams Cider (5/13/2022)")</f>
        <v>Uncle Sams Cider (5/13/2022)</v>
      </c>
      <c r="H378" s="19"/>
    </row>
    <row r="379">
      <c r="A379" s="9"/>
      <c r="B379" s="15"/>
      <c r="C379" s="9">
        <f>IFERROR(__xludf.DUMMYFUNCTION("""COMPUTED_VALUE"""),44792.6944106828)</f>
        <v>44792.69441</v>
      </c>
      <c r="D379" s="15">
        <f>IFERROR(__xludf.DUMMYFUNCTION("""COMPUTED_VALUE"""),1.004)</f>
        <v>1.004</v>
      </c>
      <c r="E379" s="16">
        <f>IFERROR(__xludf.DUMMYFUNCTION("""COMPUTED_VALUE"""),68.0)</f>
        <v>68</v>
      </c>
      <c r="F379" s="19" t="str">
        <f>IFERROR(__xludf.DUMMYFUNCTION("""COMPUTED_VALUE"""),"BLACK")</f>
        <v>BLACK</v>
      </c>
      <c r="G379" s="20" t="str">
        <f>IFERROR(__xludf.DUMMYFUNCTION("""COMPUTED_VALUE"""),"Uncle Sams Cider (5/13/2022)")</f>
        <v>Uncle Sams Cider (5/13/2022)</v>
      </c>
      <c r="H379" s="19"/>
    </row>
    <row r="380">
      <c r="A380" s="9"/>
      <c r="B380" s="15"/>
      <c r="C380" s="9">
        <f>IFERROR(__xludf.DUMMYFUNCTION("""COMPUTED_VALUE"""),44792.6839909143)</f>
        <v>44792.68399</v>
      </c>
      <c r="D380" s="15">
        <f>IFERROR(__xludf.DUMMYFUNCTION("""COMPUTED_VALUE"""),1.004)</f>
        <v>1.004</v>
      </c>
      <c r="E380" s="16">
        <f>IFERROR(__xludf.DUMMYFUNCTION("""COMPUTED_VALUE"""),68.0)</f>
        <v>68</v>
      </c>
      <c r="F380" s="19" t="str">
        <f>IFERROR(__xludf.DUMMYFUNCTION("""COMPUTED_VALUE"""),"BLACK")</f>
        <v>BLACK</v>
      </c>
      <c r="G380" s="20" t="str">
        <f>IFERROR(__xludf.DUMMYFUNCTION("""COMPUTED_VALUE"""),"Uncle Sams Cider (5/13/2022)")</f>
        <v>Uncle Sams Cider (5/13/2022)</v>
      </c>
      <c r="H380" s="19"/>
    </row>
    <row r="381">
      <c r="A381" s="9"/>
      <c r="B381" s="15"/>
      <c r="C381" s="9">
        <f>IFERROR(__xludf.DUMMYFUNCTION("""COMPUTED_VALUE"""),44792.6735693518)</f>
        <v>44792.67357</v>
      </c>
      <c r="D381" s="15">
        <f>IFERROR(__xludf.DUMMYFUNCTION("""COMPUTED_VALUE"""),1.004)</f>
        <v>1.004</v>
      </c>
      <c r="E381" s="16">
        <f>IFERROR(__xludf.DUMMYFUNCTION("""COMPUTED_VALUE"""),68.0)</f>
        <v>68</v>
      </c>
      <c r="F381" s="19" t="str">
        <f>IFERROR(__xludf.DUMMYFUNCTION("""COMPUTED_VALUE"""),"BLACK")</f>
        <v>BLACK</v>
      </c>
      <c r="G381" s="20" t="str">
        <f>IFERROR(__xludf.DUMMYFUNCTION("""COMPUTED_VALUE"""),"Uncle Sams Cider (5/13/2022)")</f>
        <v>Uncle Sams Cider (5/13/2022)</v>
      </c>
      <c r="H381" s="19"/>
    </row>
    <row r="382">
      <c r="A382" s="9"/>
      <c r="B382" s="15"/>
      <c r="C382" s="9">
        <f>IFERROR(__xludf.DUMMYFUNCTION("""COMPUTED_VALUE"""),44792.6631248263)</f>
        <v>44792.66312</v>
      </c>
      <c r="D382" s="15">
        <f>IFERROR(__xludf.DUMMYFUNCTION("""COMPUTED_VALUE"""),1.004)</f>
        <v>1.004</v>
      </c>
      <c r="E382" s="16">
        <f>IFERROR(__xludf.DUMMYFUNCTION("""COMPUTED_VALUE"""),68.0)</f>
        <v>68</v>
      </c>
      <c r="F382" s="19" t="str">
        <f>IFERROR(__xludf.DUMMYFUNCTION("""COMPUTED_VALUE"""),"BLACK")</f>
        <v>BLACK</v>
      </c>
      <c r="G382" s="20" t="str">
        <f>IFERROR(__xludf.DUMMYFUNCTION("""COMPUTED_VALUE"""),"Uncle Sams Cider (5/13/2022)")</f>
        <v>Uncle Sams Cider (5/13/2022)</v>
      </c>
      <c r="H382" s="19"/>
    </row>
    <row r="383">
      <c r="A383" s="9"/>
      <c r="B383" s="15"/>
      <c r="C383" s="9">
        <f>IFERROR(__xludf.DUMMYFUNCTION("""COMPUTED_VALUE"""),44792.6526909143)</f>
        <v>44792.65269</v>
      </c>
      <c r="D383" s="15">
        <f>IFERROR(__xludf.DUMMYFUNCTION("""COMPUTED_VALUE"""),1.004)</f>
        <v>1.004</v>
      </c>
      <c r="E383" s="16">
        <f>IFERROR(__xludf.DUMMYFUNCTION("""COMPUTED_VALUE"""),68.0)</f>
        <v>68</v>
      </c>
      <c r="F383" s="19" t="str">
        <f>IFERROR(__xludf.DUMMYFUNCTION("""COMPUTED_VALUE"""),"BLACK")</f>
        <v>BLACK</v>
      </c>
      <c r="G383" s="20" t="str">
        <f>IFERROR(__xludf.DUMMYFUNCTION("""COMPUTED_VALUE"""),"Uncle Sams Cider (5/13/2022)")</f>
        <v>Uncle Sams Cider (5/13/2022)</v>
      </c>
      <c r="H383" s="19"/>
    </row>
    <row r="384">
      <c r="A384" s="9"/>
      <c r="B384" s="15"/>
      <c r="C384" s="9">
        <f>IFERROR(__xludf.DUMMYFUNCTION("""COMPUTED_VALUE"""),44792.6422571296)</f>
        <v>44792.64226</v>
      </c>
      <c r="D384" s="15">
        <f>IFERROR(__xludf.DUMMYFUNCTION("""COMPUTED_VALUE"""),1.004)</f>
        <v>1.004</v>
      </c>
      <c r="E384" s="16">
        <f>IFERROR(__xludf.DUMMYFUNCTION("""COMPUTED_VALUE"""),68.0)</f>
        <v>68</v>
      </c>
      <c r="F384" s="19" t="str">
        <f>IFERROR(__xludf.DUMMYFUNCTION("""COMPUTED_VALUE"""),"BLACK")</f>
        <v>BLACK</v>
      </c>
      <c r="G384" s="20" t="str">
        <f>IFERROR(__xludf.DUMMYFUNCTION("""COMPUTED_VALUE"""),"Uncle Sams Cider (5/13/2022)")</f>
        <v>Uncle Sams Cider (5/13/2022)</v>
      </c>
      <c r="H384" s="19"/>
    </row>
    <row r="385">
      <c r="A385" s="9"/>
      <c r="B385" s="15"/>
      <c r="C385" s="9">
        <f>IFERROR(__xludf.DUMMYFUNCTION("""COMPUTED_VALUE"""),44792.6318374768)</f>
        <v>44792.63184</v>
      </c>
      <c r="D385" s="15">
        <f>IFERROR(__xludf.DUMMYFUNCTION("""COMPUTED_VALUE"""),1.004)</f>
        <v>1.004</v>
      </c>
      <c r="E385" s="16">
        <f>IFERROR(__xludf.DUMMYFUNCTION("""COMPUTED_VALUE"""),68.0)</f>
        <v>68</v>
      </c>
      <c r="F385" s="19" t="str">
        <f>IFERROR(__xludf.DUMMYFUNCTION("""COMPUTED_VALUE"""),"BLACK")</f>
        <v>BLACK</v>
      </c>
      <c r="G385" s="20" t="str">
        <f>IFERROR(__xludf.DUMMYFUNCTION("""COMPUTED_VALUE"""),"Uncle Sams Cider (5/13/2022)")</f>
        <v>Uncle Sams Cider (5/13/2022)</v>
      </c>
      <c r="H385" s="19"/>
    </row>
    <row r="386">
      <c r="A386" s="9"/>
      <c r="B386" s="15"/>
      <c r="C386" s="9">
        <f>IFERROR(__xludf.DUMMYFUNCTION("""COMPUTED_VALUE"""),44792.6214162847)</f>
        <v>44792.62142</v>
      </c>
      <c r="D386" s="15">
        <f>IFERROR(__xludf.DUMMYFUNCTION("""COMPUTED_VALUE"""),1.003)</f>
        <v>1.003</v>
      </c>
      <c r="E386" s="16">
        <f>IFERROR(__xludf.DUMMYFUNCTION("""COMPUTED_VALUE"""),68.0)</f>
        <v>68</v>
      </c>
      <c r="F386" s="19" t="str">
        <f>IFERROR(__xludf.DUMMYFUNCTION("""COMPUTED_VALUE"""),"BLACK")</f>
        <v>BLACK</v>
      </c>
      <c r="G386" s="20" t="str">
        <f>IFERROR(__xludf.DUMMYFUNCTION("""COMPUTED_VALUE"""),"Uncle Sams Cider (5/13/2022)")</f>
        <v>Uncle Sams Cider (5/13/2022)</v>
      </c>
      <c r="H386" s="19"/>
    </row>
    <row r="387">
      <c r="A387" s="9"/>
      <c r="B387" s="15"/>
      <c r="C387" s="9">
        <f>IFERROR(__xludf.DUMMYFUNCTION("""COMPUTED_VALUE"""),44792.6109595601)</f>
        <v>44792.61096</v>
      </c>
      <c r="D387" s="15">
        <f>IFERROR(__xludf.DUMMYFUNCTION("""COMPUTED_VALUE"""),1.004)</f>
        <v>1.004</v>
      </c>
      <c r="E387" s="16">
        <f>IFERROR(__xludf.DUMMYFUNCTION("""COMPUTED_VALUE"""),68.0)</f>
        <v>68</v>
      </c>
      <c r="F387" s="19" t="str">
        <f>IFERROR(__xludf.DUMMYFUNCTION("""COMPUTED_VALUE"""),"BLACK")</f>
        <v>BLACK</v>
      </c>
      <c r="G387" s="20" t="str">
        <f>IFERROR(__xludf.DUMMYFUNCTION("""COMPUTED_VALUE"""),"Uncle Sams Cider (5/13/2022)")</f>
        <v>Uncle Sams Cider (5/13/2022)</v>
      </c>
      <c r="H387" s="19"/>
    </row>
    <row r="388">
      <c r="A388" s="9"/>
      <c r="B388" s="15"/>
      <c r="C388" s="9">
        <f>IFERROR(__xludf.DUMMYFUNCTION("""COMPUTED_VALUE"""),44792.6005376041)</f>
        <v>44792.60054</v>
      </c>
      <c r="D388" s="15">
        <f>IFERROR(__xludf.DUMMYFUNCTION("""COMPUTED_VALUE"""),1.004)</f>
        <v>1.004</v>
      </c>
      <c r="E388" s="16">
        <f>IFERROR(__xludf.DUMMYFUNCTION("""COMPUTED_VALUE"""),68.0)</f>
        <v>68</v>
      </c>
      <c r="F388" s="19" t="str">
        <f>IFERROR(__xludf.DUMMYFUNCTION("""COMPUTED_VALUE"""),"BLACK")</f>
        <v>BLACK</v>
      </c>
      <c r="G388" s="20" t="str">
        <f>IFERROR(__xludf.DUMMYFUNCTION("""COMPUTED_VALUE"""),"Uncle Sams Cider (5/13/2022)")</f>
        <v>Uncle Sams Cider (5/13/2022)</v>
      </c>
      <c r="H388" s="19"/>
    </row>
    <row r="389">
      <c r="A389" s="9"/>
      <c r="B389" s="15"/>
      <c r="C389" s="9">
        <f>IFERROR(__xludf.DUMMYFUNCTION("""COMPUTED_VALUE"""),44792.5901167476)</f>
        <v>44792.59012</v>
      </c>
      <c r="D389" s="15">
        <f>IFERROR(__xludf.DUMMYFUNCTION("""COMPUTED_VALUE"""),1.004)</f>
        <v>1.004</v>
      </c>
      <c r="E389" s="16">
        <f>IFERROR(__xludf.DUMMYFUNCTION("""COMPUTED_VALUE"""),68.0)</f>
        <v>68</v>
      </c>
      <c r="F389" s="19" t="str">
        <f>IFERROR(__xludf.DUMMYFUNCTION("""COMPUTED_VALUE"""),"BLACK")</f>
        <v>BLACK</v>
      </c>
      <c r="G389" s="20" t="str">
        <f>IFERROR(__xludf.DUMMYFUNCTION("""COMPUTED_VALUE"""),"Uncle Sams Cider (5/13/2022)")</f>
        <v>Uncle Sams Cider (5/13/2022)</v>
      </c>
      <c r="H389" s="19"/>
    </row>
    <row r="390">
      <c r="A390" s="9"/>
      <c r="B390" s="15"/>
      <c r="C390" s="9">
        <f>IFERROR(__xludf.DUMMYFUNCTION("""COMPUTED_VALUE"""),44792.5796846412)</f>
        <v>44792.57968</v>
      </c>
      <c r="D390" s="15">
        <f>IFERROR(__xludf.DUMMYFUNCTION("""COMPUTED_VALUE"""),1.004)</f>
        <v>1.004</v>
      </c>
      <c r="E390" s="16">
        <f>IFERROR(__xludf.DUMMYFUNCTION("""COMPUTED_VALUE"""),68.0)</f>
        <v>68</v>
      </c>
      <c r="F390" s="19" t="str">
        <f>IFERROR(__xludf.DUMMYFUNCTION("""COMPUTED_VALUE"""),"BLACK")</f>
        <v>BLACK</v>
      </c>
      <c r="G390" s="20" t="str">
        <f>IFERROR(__xludf.DUMMYFUNCTION("""COMPUTED_VALUE"""),"Uncle Sams Cider (5/13/2022)")</f>
        <v>Uncle Sams Cider (5/13/2022)</v>
      </c>
      <c r="H390" s="19"/>
    </row>
    <row r="391">
      <c r="A391" s="9"/>
      <c r="B391" s="15"/>
      <c r="C391" s="9">
        <f>IFERROR(__xludf.DUMMYFUNCTION("""COMPUTED_VALUE"""),44792.5692390277)</f>
        <v>44792.56924</v>
      </c>
      <c r="D391" s="15">
        <f>IFERROR(__xludf.DUMMYFUNCTION("""COMPUTED_VALUE"""),1.004)</f>
        <v>1.004</v>
      </c>
      <c r="E391" s="16">
        <f>IFERROR(__xludf.DUMMYFUNCTION("""COMPUTED_VALUE"""),68.0)</f>
        <v>68</v>
      </c>
      <c r="F391" s="19" t="str">
        <f>IFERROR(__xludf.DUMMYFUNCTION("""COMPUTED_VALUE"""),"BLACK")</f>
        <v>BLACK</v>
      </c>
      <c r="G391" s="20" t="str">
        <f>IFERROR(__xludf.DUMMYFUNCTION("""COMPUTED_VALUE"""),"Uncle Sams Cider (5/13/2022)")</f>
        <v>Uncle Sams Cider (5/13/2022)</v>
      </c>
      <c r="H391" s="19"/>
    </row>
    <row r="392">
      <c r="A392" s="9"/>
      <c r="B392" s="15"/>
      <c r="C392" s="9">
        <f>IFERROR(__xludf.DUMMYFUNCTION("""COMPUTED_VALUE"""),44792.5588061805)</f>
        <v>44792.55881</v>
      </c>
      <c r="D392" s="15">
        <f>IFERROR(__xludf.DUMMYFUNCTION("""COMPUTED_VALUE"""),1.004)</f>
        <v>1.004</v>
      </c>
      <c r="E392" s="16">
        <f>IFERROR(__xludf.DUMMYFUNCTION("""COMPUTED_VALUE"""),68.0)</f>
        <v>68</v>
      </c>
      <c r="F392" s="19" t="str">
        <f>IFERROR(__xludf.DUMMYFUNCTION("""COMPUTED_VALUE"""),"BLACK")</f>
        <v>BLACK</v>
      </c>
      <c r="G392" s="20" t="str">
        <f>IFERROR(__xludf.DUMMYFUNCTION("""COMPUTED_VALUE"""),"Uncle Sams Cider (5/13/2022)")</f>
        <v>Uncle Sams Cider (5/13/2022)</v>
      </c>
      <c r="H392" s="19"/>
    </row>
    <row r="393">
      <c r="A393" s="9"/>
      <c r="B393" s="15"/>
      <c r="C393" s="9">
        <f>IFERROR(__xludf.DUMMYFUNCTION("""COMPUTED_VALUE"""),44792.5483827546)</f>
        <v>44792.54838</v>
      </c>
      <c r="D393" s="15">
        <f>IFERROR(__xludf.DUMMYFUNCTION("""COMPUTED_VALUE"""),1.004)</f>
        <v>1.004</v>
      </c>
      <c r="E393" s="16">
        <f>IFERROR(__xludf.DUMMYFUNCTION("""COMPUTED_VALUE"""),68.0)</f>
        <v>68</v>
      </c>
      <c r="F393" s="19" t="str">
        <f>IFERROR(__xludf.DUMMYFUNCTION("""COMPUTED_VALUE"""),"BLACK")</f>
        <v>BLACK</v>
      </c>
      <c r="G393" s="20" t="str">
        <f>IFERROR(__xludf.DUMMYFUNCTION("""COMPUTED_VALUE"""),"Uncle Sams Cider (5/13/2022)")</f>
        <v>Uncle Sams Cider (5/13/2022)</v>
      </c>
      <c r="H393" s="19"/>
    </row>
    <row r="394">
      <c r="A394" s="9"/>
      <c r="B394" s="15"/>
      <c r="C394" s="9">
        <f>IFERROR(__xludf.DUMMYFUNCTION("""COMPUTED_VALUE"""),44792.5379605671)</f>
        <v>44792.53796</v>
      </c>
      <c r="D394" s="15">
        <f>IFERROR(__xludf.DUMMYFUNCTION("""COMPUTED_VALUE"""),1.004)</f>
        <v>1.004</v>
      </c>
      <c r="E394" s="16">
        <f>IFERROR(__xludf.DUMMYFUNCTION("""COMPUTED_VALUE"""),68.0)</f>
        <v>68</v>
      </c>
      <c r="F394" s="19" t="str">
        <f>IFERROR(__xludf.DUMMYFUNCTION("""COMPUTED_VALUE"""),"BLACK")</f>
        <v>BLACK</v>
      </c>
      <c r="G394" s="20" t="str">
        <f>IFERROR(__xludf.DUMMYFUNCTION("""COMPUTED_VALUE"""),"Uncle Sams Cider (5/13/2022)")</f>
        <v>Uncle Sams Cider (5/13/2022)</v>
      </c>
      <c r="H394" s="19"/>
    </row>
    <row r="395">
      <c r="A395" s="9"/>
      <c r="B395" s="15"/>
      <c r="C395" s="9">
        <f>IFERROR(__xludf.DUMMYFUNCTION("""COMPUTED_VALUE"""),44792.5275369097)</f>
        <v>44792.52754</v>
      </c>
      <c r="D395" s="15">
        <f>IFERROR(__xludf.DUMMYFUNCTION("""COMPUTED_VALUE"""),1.003)</f>
        <v>1.003</v>
      </c>
      <c r="E395" s="16">
        <f>IFERROR(__xludf.DUMMYFUNCTION("""COMPUTED_VALUE"""),68.0)</f>
        <v>68</v>
      </c>
      <c r="F395" s="19" t="str">
        <f>IFERROR(__xludf.DUMMYFUNCTION("""COMPUTED_VALUE"""),"BLACK")</f>
        <v>BLACK</v>
      </c>
      <c r="G395" s="20" t="str">
        <f>IFERROR(__xludf.DUMMYFUNCTION("""COMPUTED_VALUE"""),"Uncle Sams Cider (5/13/2022)")</f>
        <v>Uncle Sams Cider (5/13/2022)</v>
      </c>
      <c r="H395" s="19"/>
    </row>
    <row r="396">
      <c r="A396" s="9"/>
      <c r="B396" s="15"/>
      <c r="C396" s="9">
        <f>IFERROR(__xludf.DUMMYFUNCTION("""COMPUTED_VALUE"""),44792.517116655)</f>
        <v>44792.51712</v>
      </c>
      <c r="D396" s="15">
        <f>IFERROR(__xludf.DUMMYFUNCTION("""COMPUTED_VALUE"""),1.004)</f>
        <v>1.004</v>
      </c>
      <c r="E396" s="16">
        <f>IFERROR(__xludf.DUMMYFUNCTION("""COMPUTED_VALUE"""),68.0)</f>
        <v>68</v>
      </c>
      <c r="F396" s="19" t="str">
        <f>IFERROR(__xludf.DUMMYFUNCTION("""COMPUTED_VALUE"""),"BLACK")</f>
        <v>BLACK</v>
      </c>
      <c r="G396" s="20" t="str">
        <f>IFERROR(__xludf.DUMMYFUNCTION("""COMPUTED_VALUE"""),"Uncle Sams Cider (5/13/2022)")</f>
        <v>Uncle Sams Cider (5/13/2022)</v>
      </c>
      <c r="H396" s="19"/>
    </row>
    <row r="397">
      <c r="A397" s="9"/>
      <c r="B397" s="15"/>
      <c r="C397" s="9">
        <f>IFERROR(__xludf.DUMMYFUNCTION("""COMPUTED_VALUE"""),44792.5066845486)</f>
        <v>44792.50668</v>
      </c>
      <c r="D397" s="15">
        <f>IFERROR(__xludf.DUMMYFUNCTION("""COMPUTED_VALUE"""),1.004)</f>
        <v>1.004</v>
      </c>
      <c r="E397" s="16">
        <f>IFERROR(__xludf.DUMMYFUNCTION("""COMPUTED_VALUE"""),68.0)</f>
        <v>68</v>
      </c>
      <c r="F397" s="19" t="str">
        <f>IFERROR(__xludf.DUMMYFUNCTION("""COMPUTED_VALUE"""),"BLACK")</f>
        <v>BLACK</v>
      </c>
      <c r="G397" s="20" t="str">
        <f>IFERROR(__xludf.DUMMYFUNCTION("""COMPUTED_VALUE"""),"Uncle Sams Cider (5/13/2022)")</f>
        <v>Uncle Sams Cider (5/13/2022)</v>
      </c>
      <c r="H397" s="19"/>
    </row>
    <row r="398">
      <c r="A398" s="9"/>
      <c r="B398" s="15"/>
      <c r="C398" s="9">
        <f>IFERROR(__xludf.DUMMYFUNCTION("""COMPUTED_VALUE"""),44792.496262662)</f>
        <v>44792.49626</v>
      </c>
      <c r="D398" s="15">
        <f>IFERROR(__xludf.DUMMYFUNCTION("""COMPUTED_VALUE"""),1.004)</f>
        <v>1.004</v>
      </c>
      <c r="E398" s="16">
        <f>IFERROR(__xludf.DUMMYFUNCTION("""COMPUTED_VALUE"""),68.0)</f>
        <v>68</v>
      </c>
      <c r="F398" s="19" t="str">
        <f>IFERROR(__xludf.DUMMYFUNCTION("""COMPUTED_VALUE"""),"BLACK")</f>
        <v>BLACK</v>
      </c>
      <c r="G398" s="20" t="str">
        <f>IFERROR(__xludf.DUMMYFUNCTION("""COMPUTED_VALUE"""),"Uncle Sams Cider (5/13/2022)")</f>
        <v>Uncle Sams Cider (5/13/2022)</v>
      </c>
      <c r="H398" s="19"/>
    </row>
    <row r="399">
      <c r="A399" s="9"/>
      <c r="B399" s="15"/>
      <c r="C399" s="9">
        <f>IFERROR(__xludf.DUMMYFUNCTION("""COMPUTED_VALUE"""),44792.4858282986)</f>
        <v>44792.48583</v>
      </c>
      <c r="D399" s="15">
        <f>IFERROR(__xludf.DUMMYFUNCTION("""COMPUTED_VALUE"""),1.003)</f>
        <v>1.003</v>
      </c>
      <c r="E399" s="16">
        <f>IFERROR(__xludf.DUMMYFUNCTION("""COMPUTED_VALUE"""),68.0)</f>
        <v>68</v>
      </c>
      <c r="F399" s="19" t="str">
        <f>IFERROR(__xludf.DUMMYFUNCTION("""COMPUTED_VALUE"""),"BLACK")</f>
        <v>BLACK</v>
      </c>
      <c r="G399" s="20" t="str">
        <f>IFERROR(__xludf.DUMMYFUNCTION("""COMPUTED_VALUE"""),"Uncle Sams Cider (5/13/2022)")</f>
        <v>Uncle Sams Cider (5/13/2022)</v>
      </c>
      <c r="H399" s="19"/>
    </row>
    <row r="400">
      <c r="A400" s="9"/>
      <c r="B400" s="15"/>
      <c r="C400" s="9">
        <f>IFERROR(__xludf.DUMMYFUNCTION("""COMPUTED_VALUE"""),44792.4754072569)</f>
        <v>44792.47541</v>
      </c>
      <c r="D400" s="15">
        <f>IFERROR(__xludf.DUMMYFUNCTION("""COMPUTED_VALUE"""),1.003)</f>
        <v>1.003</v>
      </c>
      <c r="E400" s="16">
        <f>IFERROR(__xludf.DUMMYFUNCTION("""COMPUTED_VALUE"""),68.0)</f>
        <v>68</v>
      </c>
      <c r="F400" s="19" t="str">
        <f>IFERROR(__xludf.DUMMYFUNCTION("""COMPUTED_VALUE"""),"BLACK")</f>
        <v>BLACK</v>
      </c>
      <c r="G400" s="20" t="str">
        <f>IFERROR(__xludf.DUMMYFUNCTION("""COMPUTED_VALUE"""),"Uncle Sams Cider (5/13/2022)")</f>
        <v>Uncle Sams Cider (5/13/2022)</v>
      </c>
      <c r="H400" s="19"/>
    </row>
    <row r="401">
      <c r="A401" s="9"/>
      <c r="B401" s="15"/>
      <c r="C401" s="9">
        <f>IFERROR(__xludf.DUMMYFUNCTION("""COMPUTED_VALUE"""),44792.4649741088)</f>
        <v>44792.46497</v>
      </c>
      <c r="D401" s="15">
        <f>IFERROR(__xludf.DUMMYFUNCTION("""COMPUTED_VALUE"""),1.004)</f>
        <v>1.004</v>
      </c>
      <c r="E401" s="16">
        <f>IFERROR(__xludf.DUMMYFUNCTION("""COMPUTED_VALUE"""),68.0)</f>
        <v>68</v>
      </c>
      <c r="F401" s="19" t="str">
        <f>IFERROR(__xludf.DUMMYFUNCTION("""COMPUTED_VALUE"""),"BLACK")</f>
        <v>BLACK</v>
      </c>
      <c r="G401" s="20" t="str">
        <f>IFERROR(__xludf.DUMMYFUNCTION("""COMPUTED_VALUE"""),"Uncle Sams Cider (5/13/2022)")</f>
        <v>Uncle Sams Cider (5/13/2022)</v>
      </c>
      <c r="H401" s="19"/>
    </row>
    <row r="402">
      <c r="A402" s="9"/>
      <c r="B402" s="15"/>
      <c r="C402" s="9">
        <f>IFERROR(__xludf.DUMMYFUNCTION("""COMPUTED_VALUE"""),44792.4545437268)</f>
        <v>44792.45454</v>
      </c>
      <c r="D402" s="15">
        <f>IFERROR(__xludf.DUMMYFUNCTION("""COMPUTED_VALUE"""),1.004)</f>
        <v>1.004</v>
      </c>
      <c r="E402" s="16">
        <f>IFERROR(__xludf.DUMMYFUNCTION("""COMPUTED_VALUE"""),68.0)</f>
        <v>68</v>
      </c>
      <c r="F402" s="19" t="str">
        <f>IFERROR(__xludf.DUMMYFUNCTION("""COMPUTED_VALUE"""),"BLACK")</f>
        <v>BLACK</v>
      </c>
      <c r="G402" s="20" t="str">
        <f>IFERROR(__xludf.DUMMYFUNCTION("""COMPUTED_VALUE"""),"Uncle Sams Cider (5/13/2022)")</f>
        <v>Uncle Sams Cider (5/13/2022)</v>
      </c>
      <c r="H402" s="19"/>
    </row>
    <row r="403">
      <c r="A403" s="9"/>
      <c r="B403" s="15"/>
      <c r="C403" s="9">
        <f>IFERROR(__xludf.DUMMYFUNCTION("""COMPUTED_VALUE"""),44792.4441106134)</f>
        <v>44792.44411</v>
      </c>
      <c r="D403" s="15">
        <f>IFERROR(__xludf.DUMMYFUNCTION("""COMPUTED_VALUE"""),1.004)</f>
        <v>1.004</v>
      </c>
      <c r="E403" s="16">
        <f>IFERROR(__xludf.DUMMYFUNCTION("""COMPUTED_VALUE"""),68.0)</f>
        <v>68</v>
      </c>
      <c r="F403" s="19" t="str">
        <f>IFERROR(__xludf.DUMMYFUNCTION("""COMPUTED_VALUE"""),"BLACK")</f>
        <v>BLACK</v>
      </c>
      <c r="G403" s="20" t="str">
        <f>IFERROR(__xludf.DUMMYFUNCTION("""COMPUTED_VALUE"""),"Uncle Sams Cider (5/13/2022)")</f>
        <v>Uncle Sams Cider (5/13/2022)</v>
      </c>
      <c r="H403" s="19"/>
    </row>
    <row r="404">
      <c r="A404" s="9"/>
      <c r="B404" s="15"/>
      <c r="C404" s="9">
        <f>IFERROR(__xludf.DUMMYFUNCTION("""COMPUTED_VALUE"""),44792.4336768287)</f>
        <v>44792.43368</v>
      </c>
      <c r="D404" s="15">
        <f>IFERROR(__xludf.DUMMYFUNCTION("""COMPUTED_VALUE"""),1.004)</f>
        <v>1.004</v>
      </c>
      <c r="E404" s="16">
        <f>IFERROR(__xludf.DUMMYFUNCTION("""COMPUTED_VALUE"""),68.0)</f>
        <v>68</v>
      </c>
      <c r="F404" s="19" t="str">
        <f>IFERROR(__xludf.DUMMYFUNCTION("""COMPUTED_VALUE"""),"BLACK")</f>
        <v>BLACK</v>
      </c>
      <c r="G404" s="20" t="str">
        <f>IFERROR(__xludf.DUMMYFUNCTION("""COMPUTED_VALUE"""),"Uncle Sams Cider (5/13/2022)")</f>
        <v>Uncle Sams Cider (5/13/2022)</v>
      </c>
      <c r="H404" s="19"/>
    </row>
    <row r="405">
      <c r="A405" s="9"/>
      <c r="B405" s="15"/>
      <c r="C405" s="9">
        <f>IFERROR(__xludf.DUMMYFUNCTION("""COMPUTED_VALUE"""),44792.4232560763)</f>
        <v>44792.42326</v>
      </c>
      <c r="D405" s="15">
        <f>IFERROR(__xludf.DUMMYFUNCTION("""COMPUTED_VALUE"""),1.004)</f>
        <v>1.004</v>
      </c>
      <c r="E405" s="16">
        <f>IFERROR(__xludf.DUMMYFUNCTION("""COMPUTED_VALUE"""),68.0)</f>
        <v>68</v>
      </c>
      <c r="F405" s="19" t="str">
        <f>IFERROR(__xludf.DUMMYFUNCTION("""COMPUTED_VALUE"""),"BLACK")</f>
        <v>BLACK</v>
      </c>
      <c r="G405" s="20" t="str">
        <f>IFERROR(__xludf.DUMMYFUNCTION("""COMPUTED_VALUE"""),"Uncle Sams Cider (5/13/2022)")</f>
        <v>Uncle Sams Cider (5/13/2022)</v>
      </c>
      <c r="H405" s="19"/>
    </row>
    <row r="406">
      <c r="A406" s="9"/>
      <c r="B406" s="15"/>
      <c r="C406" s="9">
        <f>IFERROR(__xludf.DUMMYFUNCTION("""COMPUTED_VALUE"""),44792.4128352893)</f>
        <v>44792.41284</v>
      </c>
      <c r="D406" s="15">
        <f>IFERROR(__xludf.DUMMYFUNCTION("""COMPUTED_VALUE"""),1.004)</f>
        <v>1.004</v>
      </c>
      <c r="E406" s="16">
        <f>IFERROR(__xludf.DUMMYFUNCTION("""COMPUTED_VALUE"""),68.0)</f>
        <v>68</v>
      </c>
      <c r="F406" s="19" t="str">
        <f>IFERROR(__xludf.DUMMYFUNCTION("""COMPUTED_VALUE"""),"BLACK")</f>
        <v>BLACK</v>
      </c>
      <c r="G406" s="20" t="str">
        <f>IFERROR(__xludf.DUMMYFUNCTION("""COMPUTED_VALUE"""),"Uncle Sams Cider (5/13/2022)")</f>
        <v>Uncle Sams Cider (5/13/2022)</v>
      </c>
      <c r="H406" s="19"/>
    </row>
    <row r="407">
      <c r="A407" s="9"/>
      <c r="B407" s="15"/>
      <c r="C407" s="9">
        <f>IFERROR(__xludf.DUMMYFUNCTION("""COMPUTED_VALUE"""),44792.4024141666)</f>
        <v>44792.40241</v>
      </c>
      <c r="D407" s="15">
        <f>IFERROR(__xludf.DUMMYFUNCTION("""COMPUTED_VALUE"""),1.003)</f>
        <v>1.003</v>
      </c>
      <c r="E407" s="16">
        <f>IFERROR(__xludf.DUMMYFUNCTION("""COMPUTED_VALUE"""),68.0)</f>
        <v>68</v>
      </c>
      <c r="F407" s="19" t="str">
        <f>IFERROR(__xludf.DUMMYFUNCTION("""COMPUTED_VALUE"""),"BLACK")</f>
        <v>BLACK</v>
      </c>
      <c r="G407" s="20" t="str">
        <f>IFERROR(__xludf.DUMMYFUNCTION("""COMPUTED_VALUE"""),"Uncle Sams Cider (5/13/2022)")</f>
        <v>Uncle Sams Cider (5/13/2022)</v>
      </c>
      <c r="H407" s="19"/>
    </row>
    <row r="408">
      <c r="A408" s="9"/>
      <c r="B408" s="15"/>
      <c r="C408" s="9">
        <f>IFERROR(__xludf.DUMMYFUNCTION("""COMPUTED_VALUE"""),44792.391991875)</f>
        <v>44792.39199</v>
      </c>
      <c r="D408" s="15">
        <f>IFERROR(__xludf.DUMMYFUNCTION("""COMPUTED_VALUE"""),1.004)</f>
        <v>1.004</v>
      </c>
      <c r="E408" s="16">
        <f>IFERROR(__xludf.DUMMYFUNCTION("""COMPUTED_VALUE"""),68.0)</f>
        <v>68</v>
      </c>
      <c r="F408" s="19" t="str">
        <f>IFERROR(__xludf.DUMMYFUNCTION("""COMPUTED_VALUE"""),"BLACK")</f>
        <v>BLACK</v>
      </c>
      <c r="G408" s="20" t="str">
        <f>IFERROR(__xludf.DUMMYFUNCTION("""COMPUTED_VALUE"""),"Uncle Sams Cider (5/13/2022)")</f>
        <v>Uncle Sams Cider (5/13/2022)</v>
      </c>
      <c r="H408" s="19"/>
    </row>
    <row r="409">
      <c r="A409" s="9"/>
      <c r="B409" s="15"/>
      <c r="C409" s="9">
        <f>IFERROR(__xludf.DUMMYFUNCTION("""COMPUTED_VALUE"""),44792.3815699884)</f>
        <v>44792.38157</v>
      </c>
      <c r="D409" s="15">
        <f>IFERROR(__xludf.DUMMYFUNCTION("""COMPUTED_VALUE"""),1.004)</f>
        <v>1.004</v>
      </c>
      <c r="E409" s="16">
        <f>IFERROR(__xludf.DUMMYFUNCTION("""COMPUTED_VALUE"""),68.0)</f>
        <v>68</v>
      </c>
      <c r="F409" s="19" t="str">
        <f>IFERROR(__xludf.DUMMYFUNCTION("""COMPUTED_VALUE"""),"BLACK")</f>
        <v>BLACK</v>
      </c>
      <c r="G409" s="20" t="str">
        <f>IFERROR(__xludf.DUMMYFUNCTION("""COMPUTED_VALUE"""),"Uncle Sams Cider (5/13/2022)")</f>
        <v>Uncle Sams Cider (5/13/2022)</v>
      </c>
      <c r="H409" s="19"/>
    </row>
    <row r="410">
      <c r="A410" s="9"/>
      <c r="B410" s="15"/>
      <c r="C410" s="9">
        <f>IFERROR(__xludf.DUMMYFUNCTION("""COMPUTED_VALUE"""),44792.3711486921)</f>
        <v>44792.37115</v>
      </c>
      <c r="D410" s="15">
        <f>IFERROR(__xludf.DUMMYFUNCTION("""COMPUTED_VALUE"""),1.004)</f>
        <v>1.004</v>
      </c>
      <c r="E410" s="16">
        <f>IFERROR(__xludf.DUMMYFUNCTION("""COMPUTED_VALUE"""),68.0)</f>
        <v>68</v>
      </c>
      <c r="F410" s="19" t="str">
        <f>IFERROR(__xludf.DUMMYFUNCTION("""COMPUTED_VALUE"""),"BLACK")</f>
        <v>BLACK</v>
      </c>
      <c r="G410" s="20" t="str">
        <f>IFERROR(__xludf.DUMMYFUNCTION("""COMPUTED_VALUE"""),"Uncle Sams Cider (5/13/2022)")</f>
        <v>Uncle Sams Cider (5/13/2022)</v>
      </c>
      <c r="H410" s="19"/>
    </row>
    <row r="411">
      <c r="A411" s="9"/>
      <c r="B411" s="15"/>
      <c r="C411" s="9">
        <f>IFERROR(__xludf.DUMMYFUNCTION("""COMPUTED_VALUE"""),44792.3607279513)</f>
        <v>44792.36073</v>
      </c>
      <c r="D411" s="15">
        <f>IFERROR(__xludf.DUMMYFUNCTION("""COMPUTED_VALUE"""),1.004)</f>
        <v>1.004</v>
      </c>
      <c r="E411" s="16">
        <f>IFERROR(__xludf.DUMMYFUNCTION("""COMPUTED_VALUE"""),68.0)</f>
        <v>68</v>
      </c>
      <c r="F411" s="19" t="str">
        <f>IFERROR(__xludf.DUMMYFUNCTION("""COMPUTED_VALUE"""),"BLACK")</f>
        <v>BLACK</v>
      </c>
      <c r="G411" s="20" t="str">
        <f>IFERROR(__xludf.DUMMYFUNCTION("""COMPUTED_VALUE"""),"Uncle Sams Cider (5/13/2022)")</f>
        <v>Uncle Sams Cider (5/13/2022)</v>
      </c>
      <c r="H411" s="19"/>
    </row>
    <row r="412">
      <c r="A412" s="9"/>
      <c r="B412" s="15"/>
      <c r="C412" s="9">
        <f>IFERROR(__xludf.DUMMYFUNCTION("""COMPUTED_VALUE"""),44792.3502944213)</f>
        <v>44792.35029</v>
      </c>
      <c r="D412" s="15">
        <f>IFERROR(__xludf.DUMMYFUNCTION("""COMPUTED_VALUE"""),1.003)</f>
        <v>1.003</v>
      </c>
      <c r="E412" s="16">
        <f>IFERROR(__xludf.DUMMYFUNCTION("""COMPUTED_VALUE"""),68.0)</f>
        <v>68</v>
      </c>
      <c r="F412" s="19" t="str">
        <f>IFERROR(__xludf.DUMMYFUNCTION("""COMPUTED_VALUE"""),"BLACK")</f>
        <v>BLACK</v>
      </c>
      <c r="G412" s="20" t="str">
        <f>IFERROR(__xludf.DUMMYFUNCTION("""COMPUTED_VALUE"""),"Uncle Sams Cider (5/13/2022)")</f>
        <v>Uncle Sams Cider (5/13/2022)</v>
      </c>
      <c r="H412" s="19"/>
    </row>
    <row r="413">
      <c r="A413" s="9"/>
      <c r="B413" s="15"/>
      <c r="C413" s="9">
        <f>IFERROR(__xludf.DUMMYFUNCTION("""COMPUTED_VALUE"""),44792.3398623958)</f>
        <v>44792.33986</v>
      </c>
      <c r="D413" s="15">
        <f>IFERROR(__xludf.DUMMYFUNCTION("""COMPUTED_VALUE"""),1.003)</f>
        <v>1.003</v>
      </c>
      <c r="E413" s="16">
        <f>IFERROR(__xludf.DUMMYFUNCTION("""COMPUTED_VALUE"""),68.0)</f>
        <v>68</v>
      </c>
      <c r="F413" s="19" t="str">
        <f>IFERROR(__xludf.DUMMYFUNCTION("""COMPUTED_VALUE"""),"BLACK")</f>
        <v>BLACK</v>
      </c>
      <c r="G413" s="20" t="str">
        <f>IFERROR(__xludf.DUMMYFUNCTION("""COMPUTED_VALUE"""),"Uncle Sams Cider (5/13/2022)")</f>
        <v>Uncle Sams Cider (5/13/2022)</v>
      </c>
      <c r="H413" s="19"/>
    </row>
    <row r="414">
      <c r="A414" s="9"/>
      <c r="B414" s="15"/>
      <c r="C414" s="9">
        <f>IFERROR(__xludf.DUMMYFUNCTION("""COMPUTED_VALUE"""),44792.3294415856)</f>
        <v>44792.32944</v>
      </c>
      <c r="D414" s="15">
        <f>IFERROR(__xludf.DUMMYFUNCTION("""COMPUTED_VALUE"""),1.004)</f>
        <v>1.004</v>
      </c>
      <c r="E414" s="16">
        <f>IFERROR(__xludf.DUMMYFUNCTION("""COMPUTED_VALUE"""),68.0)</f>
        <v>68</v>
      </c>
      <c r="F414" s="19" t="str">
        <f>IFERROR(__xludf.DUMMYFUNCTION("""COMPUTED_VALUE"""),"BLACK")</f>
        <v>BLACK</v>
      </c>
      <c r="G414" s="20" t="str">
        <f>IFERROR(__xludf.DUMMYFUNCTION("""COMPUTED_VALUE"""),"Uncle Sams Cider (5/13/2022)")</f>
        <v>Uncle Sams Cider (5/13/2022)</v>
      </c>
      <c r="H414" s="19"/>
    </row>
    <row r="415">
      <c r="A415" s="9"/>
      <c r="B415" s="15"/>
      <c r="C415" s="9">
        <f>IFERROR(__xludf.DUMMYFUNCTION("""COMPUTED_VALUE"""),44792.3190215046)</f>
        <v>44792.31902</v>
      </c>
      <c r="D415" s="15">
        <f>IFERROR(__xludf.DUMMYFUNCTION("""COMPUTED_VALUE"""),1.003)</f>
        <v>1.003</v>
      </c>
      <c r="E415" s="16">
        <f>IFERROR(__xludf.DUMMYFUNCTION("""COMPUTED_VALUE"""),68.0)</f>
        <v>68</v>
      </c>
      <c r="F415" s="19" t="str">
        <f>IFERROR(__xludf.DUMMYFUNCTION("""COMPUTED_VALUE"""),"BLACK")</f>
        <v>BLACK</v>
      </c>
      <c r="G415" s="20" t="str">
        <f>IFERROR(__xludf.DUMMYFUNCTION("""COMPUTED_VALUE"""),"Uncle Sams Cider (5/13/2022)")</f>
        <v>Uncle Sams Cider (5/13/2022)</v>
      </c>
      <c r="H415" s="19"/>
    </row>
    <row r="416">
      <c r="A416" s="9"/>
      <c r="B416" s="15"/>
      <c r="C416" s="9">
        <f>IFERROR(__xludf.DUMMYFUNCTION("""COMPUTED_VALUE"""),44792.3086027314)</f>
        <v>44792.3086</v>
      </c>
      <c r="D416" s="15">
        <f>IFERROR(__xludf.DUMMYFUNCTION("""COMPUTED_VALUE"""),1.004)</f>
        <v>1.004</v>
      </c>
      <c r="E416" s="16">
        <f>IFERROR(__xludf.DUMMYFUNCTION("""COMPUTED_VALUE"""),68.0)</f>
        <v>68</v>
      </c>
      <c r="F416" s="19" t="str">
        <f>IFERROR(__xludf.DUMMYFUNCTION("""COMPUTED_VALUE"""),"BLACK")</f>
        <v>BLACK</v>
      </c>
      <c r="G416" s="20" t="str">
        <f>IFERROR(__xludf.DUMMYFUNCTION("""COMPUTED_VALUE"""),"Uncle Sams Cider (5/13/2022)")</f>
        <v>Uncle Sams Cider (5/13/2022)</v>
      </c>
      <c r="H416" s="19"/>
    </row>
    <row r="417">
      <c r="A417" s="9"/>
      <c r="B417" s="15"/>
      <c r="C417" s="9">
        <f>IFERROR(__xludf.DUMMYFUNCTION("""COMPUTED_VALUE"""),44792.2981820601)</f>
        <v>44792.29818</v>
      </c>
      <c r="D417" s="15">
        <f>IFERROR(__xludf.DUMMYFUNCTION("""COMPUTED_VALUE"""),1.004)</f>
        <v>1.004</v>
      </c>
      <c r="E417" s="16">
        <f>IFERROR(__xludf.DUMMYFUNCTION("""COMPUTED_VALUE"""),68.0)</f>
        <v>68</v>
      </c>
      <c r="F417" s="19" t="str">
        <f>IFERROR(__xludf.DUMMYFUNCTION("""COMPUTED_VALUE"""),"BLACK")</f>
        <v>BLACK</v>
      </c>
      <c r="G417" s="20" t="str">
        <f>IFERROR(__xludf.DUMMYFUNCTION("""COMPUTED_VALUE"""),"Uncle Sams Cider (5/13/2022)")</f>
        <v>Uncle Sams Cider (5/13/2022)</v>
      </c>
      <c r="H417" s="19"/>
    </row>
    <row r="418">
      <c r="A418" s="9"/>
      <c r="B418" s="15"/>
      <c r="C418" s="9">
        <f>IFERROR(__xludf.DUMMYFUNCTION("""COMPUTED_VALUE"""),44792.2877368171)</f>
        <v>44792.28774</v>
      </c>
      <c r="D418" s="15">
        <f>IFERROR(__xludf.DUMMYFUNCTION("""COMPUTED_VALUE"""),1.004)</f>
        <v>1.004</v>
      </c>
      <c r="E418" s="16">
        <f>IFERROR(__xludf.DUMMYFUNCTION("""COMPUTED_VALUE"""),68.0)</f>
        <v>68</v>
      </c>
      <c r="F418" s="19" t="str">
        <f>IFERROR(__xludf.DUMMYFUNCTION("""COMPUTED_VALUE"""),"BLACK")</f>
        <v>BLACK</v>
      </c>
      <c r="G418" s="20" t="str">
        <f>IFERROR(__xludf.DUMMYFUNCTION("""COMPUTED_VALUE"""),"Uncle Sams Cider (5/13/2022)")</f>
        <v>Uncle Sams Cider (5/13/2022)</v>
      </c>
      <c r="H418" s="19"/>
    </row>
    <row r="419">
      <c r="A419" s="9"/>
      <c r="B419" s="15"/>
      <c r="C419" s="9">
        <f>IFERROR(__xludf.DUMMYFUNCTION("""COMPUTED_VALUE"""),44792.2773035185)</f>
        <v>44792.2773</v>
      </c>
      <c r="D419" s="15">
        <f>IFERROR(__xludf.DUMMYFUNCTION("""COMPUTED_VALUE"""),1.003)</f>
        <v>1.003</v>
      </c>
      <c r="E419" s="16">
        <f>IFERROR(__xludf.DUMMYFUNCTION("""COMPUTED_VALUE"""),68.0)</f>
        <v>68</v>
      </c>
      <c r="F419" s="19" t="str">
        <f>IFERROR(__xludf.DUMMYFUNCTION("""COMPUTED_VALUE"""),"BLACK")</f>
        <v>BLACK</v>
      </c>
      <c r="G419" s="20" t="str">
        <f>IFERROR(__xludf.DUMMYFUNCTION("""COMPUTED_VALUE"""),"Uncle Sams Cider (5/13/2022)")</f>
        <v>Uncle Sams Cider (5/13/2022)</v>
      </c>
      <c r="H419" s="19"/>
    </row>
    <row r="420">
      <c r="A420" s="9"/>
      <c r="B420" s="15"/>
      <c r="C420" s="9">
        <f>IFERROR(__xludf.DUMMYFUNCTION("""COMPUTED_VALUE"""),44792.2668820486)</f>
        <v>44792.26688</v>
      </c>
      <c r="D420" s="15">
        <f>IFERROR(__xludf.DUMMYFUNCTION("""COMPUTED_VALUE"""),1.003)</f>
        <v>1.003</v>
      </c>
      <c r="E420" s="16">
        <f>IFERROR(__xludf.DUMMYFUNCTION("""COMPUTED_VALUE"""),68.0)</f>
        <v>68</v>
      </c>
      <c r="F420" s="19" t="str">
        <f>IFERROR(__xludf.DUMMYFUNCTION("""COMPUTED_VALUE"""),"BLACK")</f>
        <v>BLACK</v>
      </c>
      <c r="G420" s="20" t="str">
        <f>IFERROR(__xludf.DUMMYFUNCTION("""COMPUTED_VALUE"""),"Uncle Sams Cider (5/13/2022)")</f>
        <v>Uncle Sams Cider (5/13/2022)</v>
      </c>
      <c r="H420" s="19"/>
    </row>
    <row r="421">
      <c r="A421" s="9"/>
      <c r="B421" s="15"/>
      <c r="C421" s="9">
        <f>IFERROR(__xludf.DUMMYFUNCTION("""COMPUTED_VALUE"""),44792.2564619791)</f>
        <v>44792.25646</v>
      </c>
      <c r="D421" s="15">
        <f>IFERROR(__xludf.DUMMYFUNCTION("""COMPUTED_VALUE"""),1.004)</f>
        <v>1.004</v>
      </c>
      <c r="E421" s="16">
        <f>IFERROR(__xludf.DUMMYFUNCTION("""COMPUTED_VALUE"""),68.0)</f>
        <v>68</v>
      </c>
      <c r="F421" s="19" t="str">
        <f>IFERROR(__xludf.DUMMYFUNCTION("""COMPUTED_VALUE"""),"BLACK")</f>
        <v>BLACK</v>
      </c>
      <c r="G421" s="20" t="str">
        <f>IFERROR(__xludf.DUMMYFUNCTION("""COMPUTED_VALUE"""),"Uncle Sams Cider (5/13/2022)")</f>
        <v>Uncle Sams Cider (5/13/2022)</v>
      </c>
      <c r="H421" s="19"/>
    </row>
    <row r="422">
      <c r="A422" s="9"/>
      <c r="B422" s="15"/>
      <c r="C422" s="9">
        <f>IFERROR(__xludf.DUMMYFUNCTION("""COMPUTED_VALUE"""),44792.2460421643)</f>
        <v>44792.24604</v>
      </c>
      <c r="D422" s="15">
        <f>IFERROR(__xludf.DUMMYFUNCTION("""COMPUTED_VALUE"""),1.004)</f>
        <v>1.004</v>
      </c>
      <c r="E422" s="16">
        <f>IFERROR(__xludf.DUMMYFUNCTION("""COMPUTED_VALUE"""),68.0)</f>
        <v>68</v>
      </c>
      <c r="F422" s="19" t="str">
        <f>IFERROR(__xludf.DUMMYFUNCTION("""COMPUTED_VALUE"""),"BLACK")</f>
        <v>BLACK</v>
      </c>
      <c r="G422" s="20" t="str">
        <f>IFERROR(__xludf.DUMMYFUNCTION("""COMPUTED_VALUE"""),"Uncle Sams Cider (5/13/2022)")</f>
        <v>Uncle Sams Cider (5/13/2022)</v>
      </c>
      <c r="H422" s="19"/>
    </row>
    <row r="423">
      <c r="A423" s="9"/>
      <c r="B423" s="15"/>
      <c r="C423" s="9">
        <f>IFERROR(__xludf.DUMMYFUNCTION("""COMPUTED_VALUE"""),44792.2356182291)</f>
        <v>44792.23562</v>
      </c>
      <c r="D423" s="15">
        <f>IFERROR(__xludf.DUMMYFUNCTION("""COMPUTED_VALUE"""),1.004)</f>
        <v>1.004</v>
      </c>
      <c r="E423" s="16">
        <f>IFERROR(__xludf.DUMMYFUNCTION("""COMPUTED_VALUE"""),68.0)</f>
        <v>68</v>
      </c>
      <c r="F423" s="19" t="str">
        <f>IFERROR(__xludf.DUMMYFUNCTION("""COMPUTED_VALUE"""),"BLACK")</f>
        <v>BLACK</v>
      </c>
      <c r="G423" s="20" t="str">
        <f>IFERROR(__xludf.DUMMYFUNCTION("""COMPUTED_VALUE"""),"Uncle Sams Cider (5/13/2022)")</f>
        <v>Uncle Sams Cider (5/13/2022)</v>
      </c>
      <c r="H423" s="19"/>
    </row>
    <row r="424">
      <c r="A424" s="9"/>
      <c r="B424" s="15"/>
      <c r="C424" s="9">
        <f>IFERROR(__xludf.DUMMYFUNCTION("""COMPUTED_VALUE"""),44792.2251996759)</f>
        <v>44792.2252</v>
      </c>
      <c r="D424" s="15">
        <f>IFERROR(__xludf.DUMMYFUNCTION("""COMPUTED_VALUE"""),1.004)</f>
        <v>1.004</v>
      </c>
      <c r="E424" s="16">
        <f>IFERROR(__xludf.DUMMYFUNCTION("""COMPUTED_VALUE"""),68.0)</f>
        <v>68</v>
      </c>
      <c r="F424" s="19" t="str">
        <f>IFERROR(__xludf.DUMMYFUNCTION("""COMPUTED_VALUE"""),"BLACK")</f>
        <v>BLACK</v>
      </c>
      <c r="G424" s="20" t="str">
        <f>IFERROR(__xludf.DUMMYFUNCTION("""COMPUTED_VALUE"""),"Uncle Sams Cider (5/13/2022)")</f>
        <v>Uncle Sams Cider (5/13/2022)</v>
      </c>
      <c r="H424" s="19"/>
    </row>
    <row r="425">
      <c r="A425" s="9"/>
      <c r="B425" s="15"/>
      <c r="C425" s="9">
        <f>IFERROR(__xludf.DUMMYFUNCTION("""COMPUTED_VALUE"""),44792.214778125)</f>
        <v>44792.21478</v>
      </c>
      <c r="D425" s="15">
        <f>IFERROR(__xludf.DUMMYFUNCTION("""COMPUTED_VALUE"""),1.003)</f>
        <v>1.003</v>
      </c>
      <c r="E425" s="16">
        <f>IFERROR(__xludf.DUMMYFUNCTION("""COMPUTED_VALUE"""),68.0)</f>
        <v>68</v>
      </c>
      <c r="F425" s="19" t="str">
        <f>IFERROR(__xludf.DUMMYFUNCTION("""COMPUTED_VALUE"""),"BLACK")</f>
        <v>BLACK</v>
      </c>
      <c r="G425" s="20" t="str">
        <f>IFERROR(__xludf.DUMMYFUNCTION("""COMPUTED_VALUE"""),"Uncle Sams Cider (5/13/2022)")</f>
        <v>Uncle Sams Cider (5/13/2022)</v>
      </c>
      <c r="H425" s="19"/>
    </row>
    <row r="426">
      <c r="A426" s="9"/>
      <c r="B426" s="15"/>
      <c r="C426" s="9">
        <f>IFERROR(__xludf.DUMMYFUNCTION("""COMPUTED_VALUE"""),44792.2043568402)</f>
        <v>44792.20436</v>
      </c>
      <c r="D426" s="15">
        <f>IFERROR(__xludf.DUMMYFUNCTION("""COMPUTED_VALUE"""),1.004)</f>
        <v>1.004</v>
      </c>
      <c r="E426" s="16">
        <f>IFERROR(__xludf.DUMMYFUNCTION("""COMPUTED_VALUE"""),68.0)</f>
        <v>68</v>
      </c>
      <c r="F426" s="19" t="str">
        <f>IFERROR(__xludf.DUMMYFUNCTION("""COMPUTED_VALUE"""),"BLACK")</f>
        <v>BLACK</v>
      </c>
      <c r="G426" s="20" t="str">
        <f>IFERROR(__xludf.DUMMYFUNCTION("""COMPUTED_VALUE"""),"Uncle Sams Cider (5/13/2022)")</f>
        <v>Uncle Sams Cider (5/13/2022)</v>
      </c>
      <c r="H426" s="19"/>
    </row>
    <row r="427">
      <c r="A427" s="9"/>
      <c r="B427" s="15"/>
      <c r="C427" s="9">
        <f>IFERROR(__xludf.DUMMYFUNCTION("""COMPUTED_VALUE"""),44792.1939353935)</f>
        <v>44792.19394</v>
      </c>
      <c r="D427" s="15">
        <f>IFERROR(__xludf.DUMMYFUNCTION("""COMPUTED_VALUE"""),1.003)</f>
        <v>1.003</v>
      </c>
      <c r="E427" s="16">
        <f>IFERROR(__xludf.DUMMYFUNCTION("""COMPUTED_VALUE"""),68.0)</f>
        <v>68</v>
      </c>
      <c r="F427" s="19" t="str">
        <f>IFERROR(__xludf.DUMMYFUNCTION("""COMPUTED_VALUE"""),"BLACK")</f>
        <v>BLACK</v>
      </c>
      <c r="G427" s="20" t="str">
        <f>IFERROR(__xludf.DUMMYFUNCTION("""COMPUTED_VALUE"""),"Uncle Sams Cider (5/13/2022)")</f>
        <v>Uncle Sams Cider (5/13/2022)</v>
      </c>
      <c r="H427" s="19"/>
    </row>
    <row r="428">
      <c r="A428" s="9"/>
      <c r="B428" s="15"/>
      <c r="C428" s="9">
        <f>IFERROR(__xludf.DUMMYFUNCTION("""COMPUTED_VALUE"""),44792.1730926157)</f>
        <v>44792.17309</v>
      </c>
      <c r="D428" s="15">
        <f>IFERROR(__xludf.DUMMYFUNCTION("""COMPUTED_VALUE"""),1.003)</f>
        <v>1.003</v>
      </c>
      <c r="E428" s="16">
        <f>IFERROR(__xludf.DUMMYFUNCTION("""COMPUTED_VALUE"""),68.0)</f>
        <v>68</v>
      </c>
      <c r="F428" s="19" t="str">
        <f>IFERROR(__xludf.DUMMYFUNCTION("""COMPUTED_VALUE"""),"BLACK")</f>
        <v>BLACK</v>
      </c>
      <c r="G428" s="20" t="str">
        <f>IFERROR(__xludf.DUMMYFUNCTION("""COMPUTED_VALUE"""),"Uncle Sams Cider (5/13/2022)")</f>
        <v>Uncle Sams Cider (5/13/2022)</v>
      </c>
      <c r="H428" s="19"/>
    </row>
    <row r="429">
      <c r="A429" s="9"/>
      <c r="B429" s="15"/>
      <c r="C429" s="9">
        <f>IFERROR(__xludf.DUMMYFUNCTION("""COMPUTED_VALUE"""),44792.1626713888)</f>
        <v>44792.16267</v>
      </c>
      <c r="D429" s="15">
        <f>IFERROR(__xludf.DUMMYFUNCTION("""COMPUTED_VALUE"""),1.004)</f>
        <v>1.004</v>
      </c>
      <c r="E429" s="16">
        <f>IFERROR(__xludf.DUMMYFUNCTION("""COMPUTED_VALUE"""),68.0)</f>
        <v>68</v>
      </c>
      <c r="F429" s="19" t="str">
        <f>IFERROR(__xludf.DUMMYFUNCTION("""COMPUTED_VALUE"""),"BLACK")</f>
        <v>BLACK</v>
      </c>
      <c r="G429" s="20" t="str">
        <f>IFERROR(__xludf.DUMMYFUNCTION("""COMPUTED_VALUE"""),"Uncle Sams Cider (5/13/2022)")</f>
        <v>Uncle Sams Cider (5/13/2022)</v>
      </c>
      <c r="H429" s="19"/>
    </row>
    <row r="430">
      <c r="A430" s="9"/>
      <c r="B430" s="15"/>
      <c r="C430" s="9">
        <f>IFERROR(__xludf.DUMMYFUNCTION("""COMPUTED_VALUE"""),44792.1522510995)</f>
        <v>44792.15225</v>
      </c>
      <c r="D430" s="15">
        <f>IFERROR(__xludf.DUMMYFUNCTION("""COMPUTED_VALUE"""),1.004)</f>
        <v>1.004</v>
      </c>
      <c r="E430" s="16">
        <f>IFERROR(__xludf.DUMMYFUNCTION("""COMPUTED_VALUE"""),68.0)</f>
        <v>68</v>
      </c>
      <c r="F430" s="19" t="str">
        <f>IFERROR(__xludf.DUMMYFUNCTION("""COMPUTED_VALUE"""),"BLACK")</f>
        <v>BLACK</v>
      </c>
      <c r="G430" s="20" t="str">
        <f>IFERROR(__xludf.DUMMYFUNCTION("""COMPUTED_VALUE"""),"Uncle Sams Cider (5/13/2022)")</f>
        <v>Uncle Sams Cider (5/13/2022)</v>
      </c>
      <c r="H430" s="19"/>
    </row>
    <row r="431">
      <c r="A431" s="9"/>
      <c r="B431" s="15"/>
      <c r="C431" s="9">
        <f>IFERROR(__xludf.DUMMYFUNCTION("""COMPUTED_VALUE"""),44792.1418285185)</f>
        <v>44792.14183</v>
      </c>
      <c r="D431" s="15">
        <f>IFERROR(__xludf.DUMMYFUNCTION("""COMPUTED_VALUE"""),1.004)</f>
        <v>1.004</v>
      </c>
      <c r="E431" s="16">
        <f>IFERROR(__xludf.DUMMYFUNCTION("""COMPUTED_VALUE"""),68.0)</f>
        <v>68</v>
      </c>
      <c r="F431" s="19" t="str">
        <f>IFERROR(__xludf.DUMMYFUNCTION("""COMPUTED_VALUE"""),"BLACK")</f>
        <v>BLACK</v>
      </c>
      <c r="G431" s="20" t="str">
        <f>IFERROR(__xludf.DUMMYFUNCTION("""COMPUTED_VALUE"""),"Uncle Sams Cider (5/13/2022)")</f>
        <v>Uncle Sams Cider (5/13/2022)</v>
      </c>
      <c r="H431" s="19"/>
    </row>
    <row r="432">
      <c r="A432" s="9"/>
      <c r="B432" s="15"/>
      <c r="C432" s="9">
        <f>IFERROR(__xludf.DUMMYFUNCTION("""COMPUTED_VALUE"""),44792.1313966203)</f>
        <v>44792.1314</v>
      </c>
      <c r="D432" s="15">
        <f>IFERROR(__xludf.DUMMYFUNCTION("""COMPUTED_VALUE"""),1.004)</f>
        <v>1.004</v>
      </c>
      <c r="E432" s="16">
        <f>IFERROR(__xludf.DUMMYFUNCTION("""COMPUTED_VALUE"""),68.0)</f>
        <v>68</v>
      </c>
      <c r="F432" s="19" t="str">
        <f>IFERROR(__xludf.DUMMYFUNCTION("""COMPUTED_VALUE"""),"BLACK")</f>
        <v>BLACK</v>
      </c>
      <c r="G432" s="20" t="str">
        <f>IFERROR(__xludf.DUMMYFUNCTION("""COMPUTED_VALUE"""),"Uncle Sams Cider (5/13/2022)")</f>
        <v>Uncle Sams Cider (5/13/2022)</v>
      </c>
      <c r="H432" s="19"/>
    </row>
    <row r="433">
      <c r="A433" s="9"/>
      <c r="B433" s="15"/>
      <c r="C433" s="9">
        <f>IFERROR(__xludf.DUMMYFUNCTION("""COMPUTED_VALUE"""),44792.1209766435)</f>
        <v>44792.12098</v>
      </c>
      <c r="D433" s="15">
        <f>IFERROR(__xludf.DUMMYFUNCTION("""COMPUTED_VALUE"""),1.004)</f>
        <v>1.004</v>
      </c>
      <c r="E433" s="16">
        <f>IFERROR(__xludf.DUMMYFUNCTION("""COMPUTED_VALUE"""),67.0)</f>
        <v>67</v>
      </c>
      <c r="F433" s="19" t="str">
        <f>IFERROR(__xludf.DUMMYFUNCTION("""COMPUTED_VALUE"""),"BLACK")</f>
        <v>BLACK</v>
      </c>
      <c r="G433" s="20" t="str">
        <f>IFERROR(__xludf.DUMMYFUNCTION("""COMPUTED_VALUE"""),"Uncle Sams Cider (5/13/2022)")</f>
        <v>Uncle Sams Cider (5/13/2022)</v>
      </c>
      <c r="H433" s="19"/>
    </row>
    <row r="434">
      <c r="A434" s="9"/>
      <c r="B434" s="15"/>
      <c r="C434" s="9">
        <f>IFERROR(__xludf.DUMMYFUNCTION("""COMPUTED_VALUE"""),44792.1105448726)</f>
        <v>44792.11054</v>
      </c>
      <c r="D434" s="15">
        <f>IFERROR(__xludf.DUMMYFUNCTION("""COMPUTED_VALUE"""),1.003)</f>
        <v>1.003</v>
      </c>
      <c r="E434" s="16">
        <f>IFERROR(__xludf.DUMMYFUNCTION("""COMPUTED_VALUE"""),67.0)</f>
        <v>67</v>
      </c>
      <c r="F434" s="19" t="str">
        <f>IFERROR(__xludf.DUMMYFUNCTION("""COMPUTED_VALUE"""),"BLACK")</f>
        <v>BLACK</v>
      </c>
      <c r="G434" s="20" t="str">
        <f>IFERROR(__xludf.DUMMYFUNCTION("""COMPUTED_VALUE"""),"Uncle Sams Cider (5/13/2022)")</f>
        <v>Uncle Sams Cider (5/13/2022)</v>
      </c>
      <c r="H434" s="19"/>
    </row>
    <row r="435">
      <c r="A435" s="9"/>
      <c r="B435" s="15"/>
      <c r="C435" s="9">
        <f>IFERROR(__xludf.DUMMYFUNCTION("""COMPUTED_VALUE"""),44792.1001258333)</f>
        <v>44792.10013</v>
      </c>
      <c r="D435" s="15">
        <f>IFERROR(__xludf.DUMMYFUNCTION("""COMPUTED_VALUE"""),1.004)</f>
        <v>1.004</v>
      </c>
      <c r="E435" s="16">
        <f>IFERROR(__xludf.DUMMYFUNCTION("""COMPUTED_VALUE"""),67.0)</f>
        <v>67</v>
      </c>
      <c r="F435" s="19" t="str">
        <f>IFERROR(__xludf.DUMMYFUNCTION("""COMPUTED_VALUE"""),"BLACK")</f>
        <v>BLACK</v>
      </c>
      <c r="G435" s="20" t="str">
        <f>IFERROR(__xludf.DUMMYFUNCTION("""COMPUTED_VALUE"""),"Uncle Sams Cider (5/13/2022)")</f>
        <v>Uncle Sams Cider (5/13/2022)</v>
      </c>
      <c r="H435" s="19"/>
    </row>
    <row r="436">
      <c r="A436" s="9"/>
      <c r="B436" s="15"/>
      <c r="C436" s="9">
        <f>IFERROR(__xludf.DUMMYFUNCTION("""COMPUTED_VALUE"""),44792.0897047685)</f>
        <v>44792.0897</v>
      </c>
      <c r="D436" s="15">
        <f>IFERROR(__xludf.DUMMYFUNCTION("""COMPUTED_VALUE"""),1.004)</f>
        <v>1.004</v>
      </c>
      <c r="E436" s="16">
        <f>IFERROR(__xludf.DUMMYFUNCTION("""COMPUTED_VALUE"""),67.0)</f>
        <v>67</v>
      </c>
      <c r="F436" s="19" t="str">
        <f>IFERROR(__xludf.DUMMYFUNCTION("""COMPUTED_VALUE"""),"BLACK")</f>
        <v>BLACK</v>
      </c>
      <c r="G436" s="20" t="str">
        <f>IFERROR(__xludf.DUMMYFUNCTION("""COMPUTED_VALUE"""),"Uncle Sams Cider (5/13/2022)")</f>
        <v>Uncle Sams Cider (5/13/2022)</v>
      </c>
      <c r="H436" s="19"/>
    </row>
    <row r="437">
      <c r="A437" s="9"/>
      <c r="B437" s="15"/>
      <c r="C437" s="9">
        <f>IFERROR(__xludf.DUMMYFUNCTION("""COMPUTED_VALUE"""),44792.0792591319)</f>
        <v>44792.07926</v>
      </c>
      <c r="D437" s="15">
        <f>IFERROR(__xludf.DUMMYFUNCTION("""COMPUTED_VALUE"""),1.004)</f>
        <v>1.004</v>
      </c>
      <c r="E437" s="16">
        <f>IFERROR(__xludf.DUMMYFUNCTION("""COMPUTED_VALUE"""),67.0)</f>
        <v>67</v>
      </c>
      <c r="F437" s="19" t="str">
        <f>IFERROR(__xludf.DUMMYFUNCTION("""COMPUTED_VALUE"""),"BLACK")</f>
        <v>BLACK</v>
      </c>
      <c r="G437" s="20" t="str">
        <f>IFERROR(__xludf.DUMMYFUNCTION("""COMPUTED_VALUE"""),"Uncle Sams Cider (5/13/2022)")</f>
        <v>Uncle Sams Cider (5/13/2022)</v>
      </c>
      <c r="H437" s="19"/>
    </row>
    <row r="438">
      <c r="A438" s="9"/>
      <c r="B438" s="15"/>
      <c r="C438" s="9">
        <f>IFERROR(__xludf.DUMMYFUNCTION("""COMPUTED_VALUE"""),44792.0688389583)</f>
        <v>44792.06884</v>
      </c>
      <c r="D438" s="15">
        <f>IFERROR(__xludf.DUMMYFUNCTION("""COMPUTED_VALUE"""),1.003)</f>
        <v>1.003</v>
      </c>
      <c r="E438" s="16">
        <f>IFERROR(__xludf.DUMMYFUNCTION("""COMPUTED_VALUE"""),67.0)</f>
        <v>67</v>
      </c>
      <c r="F438" s="19" t="str">
        <f>IFERROR(__xludf.DUMMYFUNCTION("""COMPUTED_VALUE"""),"BLACK")</f>
        <v>BLACK</v>
      </c>
      <c r="G438" s="20" t="str">
        <f>IFERROR(__xludf.DUMMYFUNCTION("""COMPUTED_VALUE"""),"Uncle Sams Cider (5/13/2022)")</f>
        <v>Uncle Sams Cider (5/13/2022)</v>
      </c>
      <c r="H438" s="19"/>
    </row>
    <row r="439">
      <c r="A439" s="9"/>
      <c r="B439" s="15"/>
      <c r="C439" s="9">
        <f>IFERROR(__xludf.DUMMYFUNCTION("""COMPUTED_VALUE"""),44792.0584154398)</f>
        <v>44792.05842</v>
      </c>
      <c r="D439" s="15">
        <f>IFERROR(__xludf.DUMMYFUNCTION("""COMPUTED_VALUE"""),1.004)</f>
        <v>1.004</v>
      </c>
      <c r="E439" s="16">
        <f>IFERROR(__xludf.DUMMYFUNCTION("""COMPUTED_VALUE"""),67.0)</f>
        <v>67</v>
      </c>
      <c r="F439" s="19" t="str">
        <f>IFERROR(__xludf.DUMMYFUNCTION("""COMPUTED_VALUE"""),"BLACK")</f>
        <v>BLACK</v>
      </c>
      <c r="G439" s="20" t="str">
        <f>IFERROR(__xludf.DUMMYFUNCTION("""COMPUTED_VALUE"""),"Uncle Sams Cider (5/13/2022)")</f>
        <v>Uncle Sams Cider (5/13/2022)</v>
      </c>
      <c r="H439" s="19"/>
    </row>
    <row r="440">
      <c r="A440" s="9"/>
      <c r="B440" s="15"/>
      <c r="C440" s="9">
        <f>IFERROR(__xludf.DUMMYFUNCTION("""COMPUTED_VALUE"""),44792.0479941435)</f>
        <v>44792.04799</v>
      </c>
      <c r="D440" s="15">
        <f>IFERROR(__xludf.DUMMYFUNCTION("""COMPUTED_VALUE"""),1.004)</f>
        <v>1.004</v>
      </c>
      <c r="E440" s="16">
        <f>IFERROR(__xludf.DUMMYFUNCTION("""COMPUTED_VALUE"""),67.0)</f>
        <v>67</v>
      </c>
      <c r="F440" s="19" t="str">
        <f>IFERROR(__xludf.DUMMYFUNCTION("""COMPUTED_VALUE"""),"BLACK")</f>
        <v>BLACK</v>
      </c>
      <c r="G440" s="20" t="str">
        <f>IFERROR(__xludf.DUMMYFUNCTION("""COMPUTED_VALUE"""),"Uncle Sams Cider (5/13/2022)")</f>
        <v>Uncle Sams Cider (5/13/2022)</v>
      </c>
      <c r="H440" s="19"/>
    </row>
    <row r="441">
      <c r="A441" s="9"/>
      <c r="B441" s="15"/>
      <c r="C441" s="9">
        <f>IFERROR(__xludf.DUMMYFUNCTION("""COMPUTED_VALUE"""),44792.0375605092)</f>
        <v>44792.03756</v>
      </c>
      <c r="D441" s="15">
        <f>IFERROR(__xludf.DUMMYFUNCTION("""COMPUTED_VALUE"""),1.004)</f>
        <v>1.004</v>
      </c>
      <c r="E441" s="16">
        <f>IFERROR(__xludf.DUMMYFUNCTION("""COMPUTED_VALUE"""),67.0)</f>
        <v>67</v>
      </c>
      <c r="F441" s="19" t="str">
        <f>IFERROR(__xludf.DUMMYFUNCTION("""COMPUTED_VALUE"""),"BLACK")</f>
        <v>BLACK</v>
      </c>
      <c r="G441" s="20" t="str">
        <f>IFERROR(__xludf.DUMMYFUNCTION("""COMPUTED_VALUE"""),"Uncle Sams Cider (5/13/2022)")</f>
        <v>Uncle Sams Cider (5/13/2022)</v>
      </c>
      <c r="H441" s="19"/>
    </row>
    <row r="442">
      <c r="A442" s="9"/>
      <c r="B442" s="15"/>
      <c r="C442" s="9">
        <f>IFERROR(__xludf.DUMMYFUNCTION("""COMPUTED_VALUE"""),44792.027139375)</f>
        <v>44792.02714</v>
      </c>
      <c r="D442" s="15">
        <f>IFERROR(__xludf.DUMMYFUNCTION("""COMPUTED_VALUE"""),1.004)</f>
        <v>1.004</v>
      </c>
      <c r="E442" s="16">
        <f>IFERROR(__xludf.DUMMYFUNCTION("""COMPUTED_VALUE"""),67.0)</f>
        <v>67</v>
      </c>
      <c r="F442" s="19" t="str">
        <f>IFERROR(__xludf.DUMMYFUNCTION("""COMPUTED_VALUE"""),"BLACK")</f>
        <v>BLACK</v>
      </c>
      <c r="G442" s="20" t="str">
        <f>IFERROR(__xludf.DUMMYFUNCTION("""COMPUTED_VALUE"""),"Uncle Sams Cider (5/13/2022)")</f>
        <v>Uncle Sams Cider (5/13/2022)</v>
      </c>
      <c r="H442" s="19"/>
    </row>
    <row r="443">
      <c r="A443" s="9"/>
      <c r="B443" s="15"/>
      <c r="C443" s="9">
        <f>IFERROR(__xludf.DUMMYFUNCTION("""COMPUTED_VALUE"""),44792.0167183912)</f>
        <v>44792.01672</v>
      </c>
      <c r="D443" s="15">
        <f>IFERROR(__xludf.DUMMYFUNCTION("""COMPUTED_VALUE"""),1.004)</f>
        <v>1.004</v>
      </c>
      <c r="E443" s="16">
        <f>IFERROR(__xludf.DUMMYFUNCTION("""COMPUTED_VALUE"""),67.0)</f>
        <v>67</v>
      </c>
      <c r="F443" s="19" t="str">
        <f>IFERROR(__xludf.DUMMYFUNCTION("""COMPUTED_VALUE"""),"BLACK")</f>
        <v>BLACK</v>
      </c>
      <c r="G443" s="20" t="str">
        <f>IFERROR(__xludf.DUMMYFUNCTION("""COMPUTED_VALUE"""),"Uncle Sams Cider (5/13/2022)")</f>
        <v>Uncle Sams Cider (5/13/2022)</v>
      </c>
      <c r="H443" s="19"/>
    </row>
    <row r="444">
      <c r="A444" s="9"/>
      <c r="B444" s="15"/>
      <c r="C444" s="9">
        <f>IFERROR(__xludf.DUMMYFUNCTION("""COMPUTED_VALUE"""),44792.0062974768)</f>
        <v>44792.0063</v>
      </c>
      <c r="D444" s="15">
        <f>IFERROR(__xludf.DUMMYFUNCTION("""COMPUTED_VALUE"""),1.004)</f>
        <v>1.004</v>
      </c>
      <c r="E444" s="16">
        <f>IFERROR(__xludf.DUMMYFUNCTION("""COMPUTED_VALUE"""),67.0)</f>
        <v>67</v>
      </c>
      <c r="F444" s="19" t="str">
        <f>IFERROR(__xludf.DUMMYFUNCTION("""COMPUTED_VALUE"""),"BLACK")</f>
        <v>BLACK</v>
      </c>
      <c r="G444" s="20" t="str">
        <f>IFERROR(__xludf.DUMMYFUNCTION("""COMPUTED_VALUE"""),"Uncle Sams Cider (5/13/2022)")</f>
        <v>Uncle Sams Cider (5/13/2022)</v>
      </c>
      <c r="H444" s="19"/>
    </row>
    <row r="445">
      <c r="A445" s="9"/>
      <c r="B445" s="15"/>
      <c r="C445" s="9">
        <f>IFERROR(__xludf.DUMMYFUNCTION("""COMPUTED_VALUE"""),44791.9958751157)</f>
        <v>44791.99588</v>
      </c>
      <c r="D445" s="15">
        <f>IFERROR(__xludf.DUMMYFUNCTION("""COMPUTED_VALUE"""),1.004)</f>
        <v>1.004</v>
      </c>
      <c r="E445" s="16">
        <f>IFERROR(__xludf.DUMMYFUNCTION("""COMPUTED_VALUE"""),67.0)</f>
        <v>67</v>
      </c>
      <c r="F445" s="19" t="str">
        <f>IFERROR(__xludf.DUMMYFUNCTION("""COMPUTED_VALUE"""),"BLACK")</f>
        <v>BLACK</v>
      </c>
      <c r="G445" s="20" t="str">
        <f>IFERROR(__xludf.DUMMYFUNCTION("""COMPUTED_VALUE"""),"Uncle Sams Cider (5/13/2022)")</f>
        <v>Uncle Sams Cider (5/13/2022)</v>
      </c>
      <c r="H445" s="19"/>
    </row>
    <row r="446">
      <c r="A446" s="9"/>
      <c r="B446" s="15"/>
      <c r="C446" s="9">
        <f>IFERROR(__xludf.DUMMYFUNCTION("""COMPUTED_VALUE"""),44791.9854551273)</f>
        <v>44791.98546</v>
      </c>
      <c r="D446" s="15">
        <f>IFERROR(__xludf.DUMMYFUNCTION("""COMPUTED_VALUE"""),1.004)</f>
        <v>1.004</v>
      </c>
      <c r="E446" s="16">
        <f>IFERROR(__xludf.DUMMYFUNCTION("""COMPUTED_VALUE"""),67.0)</f>
        <v>67</v>
      </c>
      <c r="F446" s="19" t="str">
        <f>IFERROR(__xludf.DUMMYFUNCTION("""COMPUTED_VALUE"""),"BLACK")</f>
        <v>BLACK</v>
      </c>
      <c r="G446" s="20" t="str">
        <f>IFERROR(__xludf.DUMMYFUNCTION("""COMPUTED_VALUE"""),"Uncle Sams Cider (5/13/2022)")</f>
        <v>Uncle Sams Cider (5/13/2022)</v>
      </c>
      <c r="H446" s="19"/>
    </row>
    <row r="447">
      <c r="A447" s="9"/>
      <c r="B447" s="15"/>
      <c r="C447" s="9">
        <f>IFERROR(__xludf.DUMMYFUNCTION("""COMPUTED_VALUE"""),44791.9750360648)</f>
        <v>44791.97504</v>
      </c>
      <c r="D447" s="15">
        <f>IFERROR(__xludf.DUMMYFUNCTION("""COMPUTED_VALUE"""),1.004)</f>
        <v>1.004</v>
      </c>
      <c r="E447" s="16">
        <f>IFERROR(__xludf.DUMMYFUNCTION("""COMPUTED_VALUE"""),67.0)</f>
        <v>67</v>
      </c>
      <c r="F447" s="19" t="str">
        <f>IFERROR(__xludf.DUMMYFUNCTION("""COMPUTED_VALUE"""),"BLACK")</f>
        <v>BLACK</v>
      </c>
      <c r="G447" s="20" t="str">
        <f>IFERROR(__xludf.DUMMYFUNCTION("""COMPUTED_VALUE"""),"Uncle Sams Cider (5/13/2022)")</f>
        <v>Uncle Sams Cider (5/13/2022)</v>
      </c>
      <c r="H447" s="19"/>
    </row>
    <row r="448">
      <c r="A448" s="9"/>
      <c r="B448" s="15"/>
      <c r="C448" s="9">
        <f>IFERROR(__xludf.DUMMYFUNCTION("""COMPUTED_VALUE"""),44791.9646137037)</f>
        <v>44791.96461</v>
      </c>
      <c r="D448" s="15">
        <f>IFERROR(__xludf.DUMMYFUNCTION("""COMPUTED_VALUE"""),1.004)</f>
        <v>1.004</v>
      </c>
      <c r="E448" s="16">
        <f>IFERROR(__xludf.DUMMYFUNCTION("""COMPUTED_VALUE"""),67.0)</f>
        <v>67</v>
      </c>
      <c r="F448" s="19" t="str">
        <f>IFERROR(__xludf.DUMMYFUNCTION("""COMPUTED_VALUE"""),"BLACK")</f>
        <v>BLACK</v>
      </c>
      <c r="G448" s="20" t="str">
        <f>IFERROR(__xludf.DUMMYFUNCTION("""COMPUTED_VALUE"""),"Uncle Sams Cider (5/13/2022)")</f>
        <v>Uncle Sams Cider (5/13/2022)</v>
      </c>
      <c r="H448" s="19"/>
    </row>
    <row r="449">
      <c r="A449" s="9"/>
      <c r="B449" s="15"/>
      <c r="C449" s="9">
        <f>IFERROR(__xludf.DUMMYFUNCTION("""COMPUTED_VALUE"""),44791.9541704861)</f>
        <v>44791.95417</v>
      </c>
      <c r="D449" s="15">
        <f>IFERROR(__xludf.DUMMYFUNCTION("""COMPUTED_VALUE"""),1.004)</f>
        <v>1.004</v>
      </c>
      <c r="E449" s="16">
        <f>IFERROR(__xludf.DUMMYFUNCTION("""COMPUTED_VALUE"""),67.0)</f>
        <v>67</v>
      </c>
      <c r="F449" s="19" t="str">
        <f>IFERROR(__xludf.DUMMYFUNCTION("""COMPUTED_VALUE"""),"BLACK")</f>
        <v>BLACK</v>
      </c>
      <c r="G449" s="20" t="str">
        <f>IFERROR(__xludf.DUMMYFUNCTION("""COMPUTED_VALUE"""),"Uncle Sams Cider (5/13/2022)")</f>
        <v>Uncle Sams Cider (5/13/2022)</v>
      </c>
      <c r="H449" s="19"/>
    </row>
    <row r="450">
      <c r="A450" s="9"/>
      <c r="B450" s="15"/>
      <c r="C450" s="9">
        <f>IFERROR(__xludf.DUMMYFUNCTION("""COMPUTED_VALUE"""),44791.9437501157)</f>
        <v>44791.94375</v>
      </c>
      <c r="D450" s="15">
        <f>IFERROR(__xludf.DUMMYFUNCTION("""COMPUTED_VALUE"""),1.004)</f>
        <v>1.004</v>
      </c>
      <c r="E450" s="16">
        <f>IFERROR(__xludf.DUMMYFUNCTION("""COMPUTED_VALUE"""),67.0)</f>
        <v>67</v>
      </c>
      <c r="F450" s="19" t="str">
        <f>IFERROR(__xludf.DUMMYFUNCTION("""COMPUTED_VALUE"""),"BLACK")</f>
        <v>BLACK</v>
      </c>
      <c r="G450" s="20" t="str">
        <f>IFERROR(__xludf.DUMMYFUNCTION("""COMPUTED_VALUE"""),"Uncle Sams Cider (5/13/2022)")</f>
        <v>Uncle Sams Cider (5/13/2022)</v>
      </c>
      <c r="H450" s="19"/>
    </row>
    <row r="451">
      <c r="A451" s="9"/>
      <c r="B451" s="15"/>
      <c r="C451" s="9">
        <f>IFERROR(__xludf.DUMMYFUNCTION("""COMPUTED_VALUE"""),44791.9333291435)</f>
        <v>44791.93333</v>
      </c>
      <c r="D451" s="15">
        <f>IFERROR(__xludf.DUMMYFUNCTION("""COMPUTED_VALUE"""),1.004)</f>
        <v>1.004</v>
      </c>
      <c r="E451" s="16">
        <f>IFERROR(__xludf.DUMMYFUNCTION("""COMPUTED_VALUE"""),67.0)</f>
        <v>67</v>
      </c>
      <c r="F451" s="19" t="str">
        <f>IFERROR(__xludf.DUMMYFUNCTION("""COMPUTED_VALUE"""),"BLACK")</f>
        <v>BLACK</v>
      </c>
      <c r="G451" s="20" t="str">
        <f>IFERROR(__xludf.DUMMYFUNCTION("""COMPUTED_VALUE"""),"Uncle Sams Cider (5/13/2022)")</f>
        <v>Uncle Sams Cider (5/13/2022)</v>
      </c>
      <c r="H451" s="19"/>
    </row>
    <row r="452">
      <c r="A452" s="9"/>
      <c r="B452" s="15"/>
      <c r="C452" s="9">
        <f>IFERROR(__xludf.DUMMYFUNCTION("""COMPUTED_VALUE"""),44791.9228945254)</f>
        <v>44791.92289</v>
      </c>
      <c r="D452" s="15">
        <f>IFERROR(__xludf.DUMMYFUNCTION("""COMPUTED_VALUE"""),1.004)</f>
        <v>1.004</v>
      </c>
      <c r="E452" s="16">
        <f>IFERROR(__xludf.DUMMYFUNCTION("""COMPUTED_VALUE"""),67.0)</f>
        <v>67</v>
      </c>
      <c r="F452" s="19" t="str">
        <f>IFERROR(__xludf.DUMMYFUNCTION("""COMPUTED_VALUE"""),"BLACK")</f>
        <v>BLACK</v>
      </c>
      <c r="G452" s="20" t="str">
        <f>IFERROR(__xludf.DUMMYFUNCTION("""COMPUTED_VALUE"""),"Uncle Sams Cider (5/13/2022)")</f>
        <v>Uncle Sams Cider (5/13/2022)</v>
      </c>
      <c r="H452" s="19"/>
    </row>
    <row r="453">
      <c r="A453" s="9"/>
      <c r="B453" s="15"/>
      <c r="C453" s="9">
        <f>IFERROR(__xludf.DUMMYFUNCTION("""COMPUTED_VALUE"""),44791.9124733333)</f>
        <v>44791.91247</v>
      </c>
      <c r="D453" s="15">
        <f>IFERROR(__xludf.DUMMYFUNCTION("""COMPUTED_VALUE"""),1.004)</f>
        <v>1.004</v>
      </c>
      <c r="E453" s="16">
        <f>IFERROR(__xludf.DUMMYFUNCTION("""COMPUTED_VALUE"""),67.0)</f>
        <v>67</v>
      </c>
      <c r="F453" s="19" t="str">
        <f>IFERROR(__xludf.DUMMYFUNCTION("""COMPUTED_VALUE"""),"BLACK")</f>
        <v>BLACK</v>
      </c>
      <c r="G453" s="20" t="str">
        <f>IFERROR(__xludf.DUMMYFUNCTION("""COMPUTED_VALUE"""),"Uncle Sams Cider (5/13/2022)")</f>
        <v>Uncle Sams Cider (5/13/2022)</v>
      </c>
      <c r="H453" s="19"/>
    </row>
    <row r="454">
      <c r="A454" s="9"/>
      <c r="B454" s="15"/>
      <c r="C454" s="9">
        <f>IFERROR(__xludf.DUMMYFUNCTION("""COMPUTED_VALUE"""),44791.9020528472)</f>
        <v>44791.90205</v>
      </c>
      <c r="D454" s="15">
        <f>IFERROR(__xludf.DUMMYFUNCTION("""COMPUTED_VALUE"""),1.004)</f>
        <v>1.004</v>
      </c>
      <c r="E454" s="16">
        <f>IFERROR(__xludf.DUMMYFUNCTION("""COMPUTED_VALUE"""),67.0)</f>
        <v>67</v>
      </c>
      <c r="F454" s="19" t="str">
        <f>IFERROR(__xludf.DUMMYFUNCTION("""COMPUTED_VALUE"""),"BLACK")</f>
        <v>BLACK</v>
      </c>
      <c r="G454" s="20" t="str">
        <f>IFERROR(__xludf.DUMMYFUNCTION("""COMPUTED_VALUE"""),"Uncle Sams Cider (5/13/2022)")</f>
        <v>Uncle Sams Cider (5/13/2022)</v>
      </c>
      <c r="H454" s="19"/>
    </row>
    <row r="455">
      <c r="A455" s="9"/>
      <c r="B455" s="15"/>
      <c r="C455" s="9">
        <f>IFERROR(__xludf.DUMMYFUNCTION("""COMPUTED_VALUE"""),44791.8916304166)</f>
        <v>44791.89163</v>
      </c>
      <c r="D455" s="15">
        <f>IFERROR(__xludf.DUMMYFUNCTION("""COMPUTED_VALUE"""),1.004)</f>
        <v>1.004</v>
      </c>
      <c r="E455" s="16">
        <f>IFERROR(__xludf.DUMMYFUNCTION("""COMPUTED_VALUE"""),67.0)</f>
        <v>67</v>
      </c>
      <c r="F455" s="19" t="str">
        <f>IFERROR(__xludf.DUMMYFUNCTION("""COMPUTED_VALUE"""),"BLACK")</f>
        <v>BLACK</v>
      </c>
      <c r="G455" s="20" t="str">
        <f>IFERROR(__xludf.DUMMYFUNCTION("""COMPUTED_VALUE"""),"Uncle Sams Cider (5/13/2022)")</f>
        <v>Uncle Sams Cider (5/13/2022)</v>
      </c>
      <c r="H455" s="19"/>
    </row>
    <row r="456">
      <c r="A456" s="9"/>
      <c r="B456" s="15"/>
      <c r="C456" s="9">
        <f>IFERROR(__xludf.DUMMYFUNCTION("""COMPUTED_VALUE"""),44791.8812094097)</f>
        <v>44791.88121</v>
      </c>
      <c r="D456" s="15">
        <f>IFERROR(__xludf.DUMMYFUNCTION("""COMPUTED_VALUE"""),1.003)</f>
        <v>1.003</v>
      </c>
      <c r="E456" s="16">
        <f>IFERROR(__xludf.DUMMYFUNCTION("""COMPUTED_VALUE"""),67.0)</f>
        <v>67</v>
      </c>
      <c r="F456" s="19" t="str">
        <f>IFERROR(__xludf.DUMMYFUNCTION("""COMPUTED_VALUE"""),"BLACK")</f>
        <v>BLACK</v>
      </c>
      <c r="G456" s="20" t="str">
        <f>IFERROR(__xludf.DUMMYFUNCTION("""COMPUTED_VALUE"""),"Uncle Sams Cider (5/13/2022)")</f>
        <v>Uncle Sams Cider (5/13/2022)</v>
      </c>
      <c r="H456" s="19"/>
    </row>
    <row r="457">
      <c r="A457" s="9"/>
      <c r="B457" s="15"/>
      <c r="C457" s="9">
        <f>IFERROR(__xludf.DUMMYFUNCTION("""COMPUTED_VALUE"""),44791.8707771064)</f>
        <v>44791.87078</v>
      </c>
      <c r="D457" s="15">
        <f>IFERROR(__xludf.DUMMYFUNCTION("""COMPUTED_VALUE"""),1.004)</f>
        <v>1.004</v>
      </c>
      <c r="E457" s="16">
        <f>IFERROR(__xludf.DUMMYFUNCTION("""COMPUTED_VALUE"""),67.0)</f>
        <v>67</v>
      </c>
      <c r="F457" s="19" t="str">
        <f>IFERROR(__xludf.DUMMYFUNCTION("""COMPUTED_VALUE"""),"BLACK")</f>
        <v>BLACK</v>
      </c>
      <c r="G457" s="20" t="str">
        <f>IFERROR(__xludf.DUMMYFUNCTION("""COMPUTED_VALUE"""),"Uncle Sams Cider (5/13/2022)")</f>
        <v>Uncle Sams Cider (5/13/2022)</v>
      </c>
      <c r="H457" s="19"/>
    </row>
    <row r="458">
      <c r="A458" s="9"/>
      <c r="B458" s="15"/>
      <c r="C458" s="9">
        <f>IFERROR(__xludf.DUMMYFUNCTION("""COMPUTED_VALUE"""),44791.8603564583)</f>
        <v>44791.86036</v>
      </c>
      <c r="D458" s="15">
        <f>IFERROR(__xludf.DUMMYFUNCTION("""COMPUTED_VALUE"""),1.004)</f>
        <v>1.004</v>
      </c>
      <c r="E458" s="16">
        <f>IFERROR(__xludf.DUMMYFUNCTION("""COMPUTED_VALUE"""),67.0)</f>
        <v>67</v>
      </c>
      <c r="F458" s="19" t="str">
        <f>IFERROR(__xludf.DUMMYFUNCTION("""COMPUTED_VALUE"""),"BLACK")</f>
        <v>BLACK</v>
      </c>
      <c r="G458" s="20" t="str">
        <f>IFERROR(__xludf.DUMMYFUNCTION("""COMPUTED_VALUE"""),"Uncle Sams Cider (5/13/2022)")</f>
        <v>Uncle Sams Cider (5/13/2022)</v>
      </c>
      <c r="H458" s="19"/>
    </row>
    <row r="459">
      <c r="A459" s="9"/>
      <c r="B459" s="15"/>
      <c r="C459" s="9">
        <f>IFERROR(__xludf.DUMMYFUNCTION("""COMPUTED_VALUE"""),44791.8499238773)</f>
        <v>44791.84992</v>
      </c>
      <c r="D459" s="15">
        <f>IFERROR(__xludf.DUMMYFUNCTION("""COMPUTED_VALUE"""),1.003)</f>
        <v>1.003</v>
      </c>
      <c r="E459" s="16">
        <f>IFERROR(__xludf.DUMMYFUNCTION("""COMPUTED_VALUE"""),67.0)</f>
        <v>67</v>
      </c>
      <c r="F459" s="19" t="str">
        <f>IFERROR(__xludf.DUMMYFUNCTION("""COMPUTED_VALUE"""),"BLACK")</f>
        <v>BLACK</v>
      </c>
      <c r="G459" s="20" t="str">
        <f>IFERROR(__xludf.DUMMYFUNCTION("""COMPUTED_VALUE"""),"Uncle Sams Cider (5/13/2022)")</f>
        <v>Uncle Sams Cider (5/13/2022)</v>
      </c>
      <c r="H459" s="19"/>
    </row>
    <row r="460">
      <c r="A460" s="9"/>
      <c r="B460" s="15"/>
      <c r="C460" s="9">
        <f>IFERROR(__xludf.DUMMYFUNCTION("""COMPUTED_VALUE"""),44791.8394917592)</f>
        <v>44791.83949</v>
      </c>
      <c r="D460" s="15">
        <f>IFERROR(__xludf.DUMMYFUNCTION("""COMPUTED_VALUE"""),1.004)</f>
        <v>1.004</v>
      </c>
      <c r="E460" s="16">
        <f>IFERROR(__xludf.DUMMYFUNCTION("""COMPUTED_VALUE"""),67.0)</f>
        <v>67</v>
      </c>
      <c r="F460" s="19" t="str">
        <f>IFERROR(__xludf.DUMMYFUNCTION("""COMPUTED_VALUE"""),"BLACK")</f>
        <v>BLACK</v>
      </c>
      <c r="G460" s="20" t="str">
        <f>IFERROR(__xludf.DUMMYFUNCTION("""COMPUTED_VALUE"""),"Uncle Sams Cider (5/13/2022)")</f>
        <v>Uncle Sams Cider (5/13/2022)</v>
      </c>
      <c r="H460" s="19"/>
    </row>
    <row r="461">
      <c r="A461" s="9"/>
      <c r="B461" s="15"/>
      <c r="C461" s="9">
        <f>IFERROR(__xludf.DUMMYFUNCTION("""COMPUTED_VALUE"""),44791.8290699884)</f>
        <v>44791.82907</v>
      </c>
      <c r="D461" s="15">
        <f>IFERROR(__xludf.DUMMYFUNCTION("""COMPUTED_VALUE"""),1.004)</f>
        <v>1.004</v>
      </c>
      <c r="E461" s="16">
        <f>IFERROR(__xludf.DUMMYFUNCTION("""COMPUTED_VALUE"""),67.0)</f>
        <v>67</v>
      </c>
      <c r="F461" s="19" t="str">
        <f>IFERROR(__xludf.DUMMYFUNCTION("""COMPUTED_VALUE"""),"BLACK")</f>
        <v>BLACK</v>
      </c>
      <c r="G461" s="20" t="str">
        <f>IFERROR(__xludf.DUMMYFUNCTION("""COMPUTED_VALUE"""),"Uncle Sams Cider (5/13/2022)")</f>
        <v>Uncle Sams Cider (5/13/2022)</v>
      </c>
      <c r="H461" s="19"/>
    </row>
    <row r="462">
      <c r="A462" s="9"/>
      <c r="B462" s="15"/>
      <c r="C462" s="9">
        <f>IFERROR(__xludf.DUMMYFUNCTION("""COMPUTED_VALUE"""),44791.8186473726)</f>
        <v>44791.81865</v>
      </c>
      <c r="D462" s="15">
        <f>IFERROR(__xludf.DUMMYFUNCTION("""COMPUTED_VALUE"""),1.004)</f>
        <v>1.004</v>
      </c>
      <c r="E462" s="16">
        <f>IFERROR(__xludf.DUMMYFUNCTION("""COMPUTED_VALUE"""),67.0)</f>
        <v>67</v>
      </c>
      <c r="F462" s="19" t="str">
        <f>IFERROR(__xludf.DUMMYFUNCTION("""COMPUTED_VALUE"""),"BLACK")</f>
        <v>BLACK</v>
      </c>
      <c r="G462" s="20" t="str">
        <f>IFERROR(__xludf.DUMMYFUNCTION("""COMPUTED_VALUE"""),"Uncle Sams Cider (5/13/2022)")</f>
        <v>Uncle Sams Cider (5/13/2022)</v>
      </c>
      <c r="H462" s="19"/>
    </row>
    <row r="463">
      <c r="A463" s="9"/>
      <c r="B463" s="15"/>
      <c r="C463" s="9">
        <f>IFERROR(__xludf.DUMMYFUNCTION("""COMPUTED_VALUE"""),44791.8082256365)</f>
        <v>44791.80823</v>
      </c>
      <c r="D463" s="15">
        <f>IFERROR(__xludf.DUMMYFUNCTION("""COMPUTED_VALUE"""),1.004)</f>
        <v>1.004</v>
      </c>
      <c r="E463" s="16">
        <f>IFERROR(__xludf.DUMMYFUNCTION("""COMPUTED_VALUE"""),67.0)</f>
        <v>67</v>
      </c>
      <c r="F463" s="19" t="str">
        <f>IFERROR(__xludf.DUMMYFUNCTION("""COMPUTED_VALUE"""),"BLACK")</f>
        <v>BLACK</v>
      </c>
      <c r="G463" s="20" t="str">
        <f>IFERROR(__xludf.DUMMYFUNCTION("""COMPUTED_VALUE"""),"Uncle Sams Cider (5/13/2022)")</f>
        <v>Uncle Sams Cider (5/13/2022)</v>
      </c>
      <c r="H463" s="19"/>
    </row>
    <row r="464">
      <c r="A464" s="9"/>
      <c r="B464" s="15"/>
      <c r="C464" s="9">
        <f>IFERROR(__xludf.DUMMYFUNCTION("""COMPUTED_VALUE"""),44791.7978039467)</f>
        <v>44791.7978</v>
      </c>
      <c r="D464" s="15">
        <f>IFERROR(__xludf.DUMMYFUNCTION("""COMPUTED_VALUE"""),1.004)</f>
        <v>1.004</v>
      </c>
      <c r="E464" s="16">
        <f>IFERROR(__xludf.DUMMYFUNCTION("""COMPUTED_VALUE"""),67.0)</f>
        <v>67</v>
      </c>
      <c r="F464" s="19" t="str">
        <f>IFERROR(__xludf.DUMMYFUNCTION("""COMPUTED_VALUE"""),"BLACK")</f>
        <v>BLACK</v>
      </c>
      <c r="G464" s="20" t="str">
        <f>IFERROR(__xludf.DUMMYFUNCTION("""COMPUTED_VALUE"""),"Uncle Sams Cider (5/13/2022)")</f>
        <v>Uncle Sams Cider (5/13/2022)</v>
      </c>
      <c r="H464" s="19"/>
    </row>
    <row r="465">
      <c r="A465" s="9"/>
      <c r="B465" s="15"/>
      <c r="C465" s="9">
        <f>IFERROR(__xludf.DUMMYFUNCTION("""COMPUTED_VALUE"""),44791.7873826736)</f>
        <v>44791.78738</v>
      </c>
      <c r="D465" s="15">
        <f>IFERROR(__xludf.DUMMYFUNCTION("""COMPUTED_VALUE"""),1.003)</f>
        <v>1.003</v>
      </c>
      <c r="E465" s="16">
        <f>IFERROR(__xludf.DUMMYFUNCTION("""COMPUTED_VALUE"""),67.0)</f>
        <v>67</v>
      </c>
      <c r="F465" s="19" t="str">
        <f>IFERROR(__xludf.DUMMYFUNCTION("""COMPUTED_VALUE"""),"BLACK")</f>
        <v>BLACK</v>
      </c>
      <c r="G465" s="20" t="str">
        <f>IFERROR(__xludf.DUMMYFUNCTION("""COMPUTED_VALUE"""),"Uncle Sams Cider (5/13/2022)")</f>
        <v>Uncle Sams Cider (5/13/2022)</v>
      </c>
      <c r="H465" s="19"/>
    </row>
    <row r="466">
      <c r="A466" s="9"/>
      <c r="B466" s="15"/>
      <c r="C466" s="9">
        <f>IFERROR(__xludf.DUMMYFUNCTION("""COMPUTED_VALUE"""),44791.7769609722)</f>
        <v>44791.77696</v>
      </c>
      <c r="D466" s="15">
        <f>IFERROR(__xludf.DUMMYFUNCTION("""COMPUTED_VALUE"""),1.004)</f>
        <v>1.004</v>
      </c>
      <c r="E466" s="16">
        <f>IFERROR(__xludf.DUMMYFUNCTION("""COMPUTED_VALUE"""),67.0)</f>
        <v>67</v>
      </c>
      <c r="F466" s="19" t="str">
        <f>IFERROR(__xludf.DUMMYFUNCTION("""COMPUTED_VALUE"""),"BLACK")</f>
        <v>BLACK</v>
      </c>
      <c r="G466" s="20" t="str">
        <f>IFERROR(__xludf.DUMMYFUNCTION("""COMPUTED_VALUE"""),"Uncle Sams Cider (5/13/2022)")</f>
        <v>Uncle Sams Cider (5/13/2022)</v>
      </c>
      <c r="H466" s="19"/>
    </row>
    <row r="467">
      <c r="A467" s="9"/>
      <c r="B467" s="15"/>
      <c r="C467" s="9">
        <f>IFERROR(__xludf.DUMMYFUNCTION("""COMPUTED_VALUE"""),44791.7665388078)</f>
        <v>44791.76654</v>
      </c>
      <c r="D467" s="15">
        <f>IFERROR(__xludf.DUMMYFUNCTION("""COMPUTED_VALUE"""),1.004)</f>
        <v>1.004</v>
      </c>
      <c r="E467" s="16">
        <f>IFERROR(__xludf.DUMMYFUNCTION("""COMPUTED_VALUE"""),67.0)</f>
        <v>67</v>
      </c>
      <c r="F467" s="19" t="str">
        <f>IFERROR(__xludf.DUMMYFUNCTION("""COMPUTED_VALUE"""),"BLACK")</f>
        <v>BLACK</v>
      </c>
      <c r="G467" s="20" t="str">
        <f>IFERROR(__xludf.DUMMYFUNCTION("""COMPUTED_VALUE"""),"Uncle Sams Cider (5/13/2022)")</f>
        <v>Uncle Sams Cider (5/13/2022)</v>
      </c>
      <c r="H467" s="19"/>
    </row>
    <row r="468">
      <c r="A468" s="9"/>
      <c r="B468" s="15"/>
      <c r="C468" s="9">
        <f>IFERROR(__xludf.DUMMYFUNCTION("""COMPUTED_VALUE"""),44791.7561168634)</f>
        <v>44791.75612</v>
      </c>
      <c r="D468" s="15">
        <f>IFERROR(__xludf.DUMMYFUNCTION("""COMPUTED_VALUE"""),1.004)</f>
        <v>1.004</v>
      </c>
      <c r="E468" s="16">
        <f>IFERROR(__xludf.DUMMYFUNCTION("""COMPUTED_VALUE"""),67.0)</f>
        <v>67</v>
      </c>
      <c r="F468" s="19" t="str">
        <f>IFERROR(__xludf.DUMMYFUNCTION("""COMPUTED_VALUE"""),"BLACK")</f>
        <v>BLACK</v>
      </c>
      <c r="G468" s="20" t="str">
        <f>IFERROR(__xludf.DUMMYFUNCTION("""COMPUTED_VALUE"""),"Uncle Sams Cider (5/13/2022)")</f>
        <v>Uncle Sams Cider (5/13/2022)</v>
      </c>
      <c r="H468" s="19"/>
    </row>
    <row r="469">
      <c r="A469" s="9"/>
      <c r="B469" s="15"/>
      <c r="C469" s="9">
        <f>IFERROR(__xludf.DUMMYFUNCTION("""COMPUTED_VALUE"""),44791.7456964814)</f>
        <v>44791.7457</v>
      </c>
      <c r="D469" s="15">
        <f>IFERROR(__xludf.DUMMYFUNCTION("""COMPUTED_VALUE"""),1.004)</f>
        <v>1.004</v>
      </c>
      <c r="E469" s="16">
        <f>IFERROR(__xludf.DUMMYFUNCTION("""COMPUTED_VALUE"""),67.0)</f>
        <v>67</v>
      </c>
      <c r="F469" s="19" t="str">
        <f>IFERROR(__xludf.DUMMYFUNCTION("""COMPUTED_VALUE"""),"BLACK")</f>
        <v>BLACK</v>
      </c>
      <c r="G469" s="20" t="str">
        <f>IFERROR(__xludf.DUMMYFUNCTION("""COMPUTED_VALUE"""),"Uncle Sams Cider (5/13/2022)")</f>
        <v>Uncle Sams Cider (5/13/2022)</v>
      </c>
      <c r="H469" s="19"/>
    </row>
    <row r="470">
      <c r="A470" s="9"/>
      <c r="B470" s="15"/>
      <c r="C470" s="9">
        <f>IFERROR(__xludf.DUMMYFUNCTION("""COMPUTED_VALUE"""),44791.7352763194)</f>
        <v>44791.73528</v>
      </c>
      <c r="D470" s="15">
        <f>IFERROR(__xludf.DUMMYFUNCTION("""COMPUTED_VALUE"""),1.003)</f>
        <v>1.003</v>
      </c>
      <c r="E470" s="16">
        <f>IFERROR(__xludf.DUMMYFUNCTION("""COMPUTED_VALUE"""),67.0)</f>
        <v>67</v>
      </c>
      <c r="F470" s="19" t="str">
        <f>IFERROR(__xludf.DUMMYFUNCTION("""COMPUTED_VALUE"""),"BLACK")</f>
        <v>BLACK</v>
      </c>
      <c r="G470" s="20" t="str">
        <f>IFERROR(__xludf.DUMMYFUNCTION("""COMPUTED_VALUE"""),"Uncle Sams Cider (5/13/2022)")</f>
        <v>Uncle Sams Cider (5/13/2022)</v>
      </c>
      <c r="H470" s="19"/>
    </row>
    <row r="471">
      <c r="A471" s="9"/>
      <c r="B471" s="15"/>
      <c r="C471" s="9">
        <f>IFERROR(__xludf.DUMMYFUNCTION("""COMPUTED_VALUE"""),44791.7248430324)</f>
        <v>44791.72484</v>
      </c>
      <c r="D471" s="15">
        <f>IFERROR(__xludf.DUMMYFUNCTION("""COMPUTED_VALUE"""),1.004)</f>
        <v>1.004</v>
      </c>
      <c r="E471" s="16">
        <f>IFERROR(__xludf.DUMMYFUNCTION("""COMPUTED_VALUE"""),67.0)</f>
        <v>67</v>
      </c>
      <c r="F471" s="19" t="str">
        <f>IFERROR(__xludf.DUMMYFUNCTION("""COMPUTED_VALUE"""),"BLACK")</f>
        <v>BLACK</v>
      </c>
      <c r="G471" s="20" t="str">
        <f>IFERROR(__xludf.DUMMYFUNCTION("""COMPUTED_VALUE"""),"Uncle Sams Cider (5/13/2022)")</f>
        <v>Uncle Sams Cider (5/13/2022)</v>
      </c>
      <c r="H471" s="19"/>
    </row>
    <row r="472">
      <c r="A472" s="9"/>
      <c r="B472" s="15"/>
      <c r="C472" s="9">
        <f>IFERROR(__xludf.DUMMYFUNCTION("""COMPUTED_VALUE"""),44791.7144212962)</f>
        <v>44791.71442</v>
      </c>
      <c r="D472" s="15">
        <f>IFERROR(__xludf.DUMMYFUNCTION("""COMPUTED_VALUE"""),1.004)</f>
        <v>1.004</v>
      </c>
      <c r="E472" s="16">
        <f>IFERROR(__xludf.DUMMYFUNCTION("""COMPUTED_VALUE"""),67.0)</f>
        <v>67</v>
      </c>
      <c r="F472" s="19" t="str">
        <f>IFERROR(__xludf.DUMMYFUNCTION("""COMPUTED_VALUE"""),"BLACK")</f>
        <v>BLACK</v>
      </c>
      <c r="G472" s="20" t="str">
        <f>IFERROR(__xludf.DUMMYFUNCTION("""COMPUTED_VALUE"""),"Uncle Sams Cider (5/13/2022)")</f>
        <v>Uncle Sams Cider (5/13/2022)</v>
      </c>
      <c r="H472" s="19"/>
    </row>
    <row r="473">
      <c r="A473" s="9"/>
      <c r="B473" s="15"/>
      <c r="C473" s="9">
        <f>IFERROR(__xludf.DUMMYFUNCTION("""COMPUTED_VALUE"""),44791.7040015856)</f>
        <v>44791.704</v>
      </c>
      <c r="D473" s="15">
        <f>IFERROR(__xludf.DUMMYFUNCTION("""COMPUTED_VALUE"""),1.003)</f>
        <v>1.003</v>
      </c>
      <c r="E473" s="16">
        <f>IFERROR(__xludf.DUMMYFUNCTION("""COMPUTED_VALUE"""),67.0)</f>
        <v>67</v>
      </c>
      <c r="F473" s="19" t="str">
        <f>IFERROR(__xludf.DUMMYFUNCTION("""COMPUTED_VALUE"""),"BLACK")</f>
        <v>BLACK</v>
      </c>
      <c r="G473" s="20" t="str">
        <f>IFERROR(__xludf.DUMMYFUNCTION("""COMPUTED_VALUE"""),"Uncle Sams Cider (5/13/2022)")</f>
        <v>Uncle Sams Cider (5/13/2022)</v>
      </c>
      <c r="H473" s="19"/>
    </row>
    <row r="474">
      <c r="A474" s="9"/>
      <c r="B474" s="15"/>
      <c r="C474" s="9">
        <f>IFERROR(__xludf.DUMMYFUNCTION("""COMPUTED_VALUE"""),44791.6935819097)</f>
        <v>44791.69358</v>
      </c>
      <c r="D474" s="15">
        <f>IFERROR(__xludf.DUMMYFUNCTION("""COMPUTED_VALUE"""),1.004)</f>
        <v>1.004</v>
      </c>
      <c r="E474" s="16">
        <f>IFERROR(__xludf.DUMMYFUNCTION("""COMPUTED_VALUE"""),67.0)</f>
        <v>67</v>
      </c>
      <c r="F474" s="19" t="str">
        <f>IFERROR(__xludf.DUMMYFUNCTION("""COMPUTED_VALUE"""),"BLACK")</f>
        <v>BLACK</v>
      </c>
      <c r="G474" s="20" t="str">
        <f>IFERROR(__xludf.DUMMYFUNCTION("""COMPUTED_VALUE"""),"Uncle Sams Cider (5/13/2022)")</f>
        <v>Uncle Sams Cider (5/13/2022)</v>
      </c>
      <c r="H474" s="19"/>
    </row>
    <row r="475">
      <c r="A475" s="9"/>
      <c r="B475" s="15"/>
      <c r="C475" s="9">
        <f>IFERROR(__xludf.DUMMYFUNCTION("""COMPUTED_VALUE"""),44791.6831615856)</f>
        <v>44791.68316</v>
      </c>
      <c r="D475" s="15">
        <f>IFERROR(__xludf.DUMMYFUNCTION("""COMPUTED_VALUE"""),1.003)</f>
        <v>1.003</v>
      </c>
      <c r="E475" s="16">
        <f>IFERROR(__xludf.DUMMYFUNCTION("""COMPUTED_VALUE"""),67.0)</f>
        <v>67</v>
      </c>
      <c r="F475" s="19" t="str">
        <f>IFERROR(__xludf.DUMMYFUNCTION("""COMPUTED_VALUE"""),"BLACK")</f>
        <v>BLACK</v>
      </c>
      <c r="G475" s="20" t="str">
        <f>IFERROR(__xludf.DUMMYFUNCTION("""COMPUTED_VALUE"""),"Uncle Sams Cider (5/13/2022)")</f>
        <v>Uncle Sams Cider (5/13/2022)</v>
      </c>
      <c r="H475" s="19"/>
    </row>
    <row r="476">
      <c r="A476" s="9"/>
      <c r="B476" s="15"/>
      <c r="C476" s="9">
        <f>IFERROR(__xludf.DUMMYFUNCTION("""COMPUTED_VALUE"""),44791.6727405555)</f>
        <v>44791.67274</v>
      </c>
      <c r="D476" s="15">
        <f>IFERROR(__xludf.DUMMYFUNCTION("""COMPUTED_VALUE"""),1.003)</f>
        <v>1.003</v>
      </c>
      <c r="E476" s="16">
        <f>IFERROR(__xludf.DUMMYFUNCTION("""COMPUTED_VALUE"""),67.0)</f>
        <v>67</v>
      </c>
      <c r="F476" s="19" t="str">
        <f>IFERROR(__xludf.DUMMYFUNCTION("""COMPUTED_VALUE"""),"BLACK")</f>
        <v>BLACK</v>
      </c>
      <c r="G476" s="20" t="str">
        <f>IFERROR(__xludf.DUMMYFUNCTION("""COMPUTED_VALUE"""),"Uncle Sams Cider (5/13/2022)")</f>
        <v>Uncle Sams Cider (5/13/2022)</v>
      </c>
      <c r="H476" s="19"/>
    </row>
    <row r="477">
      <c r="A477" s="9"/>
      <c r="B477" s="15"/>
      <c r="C477" s="9">
        <f>IFERROR(__xludf.DUMMYFUNCTION("""COMPUTED_VALUE"""),44791.6623082986)</f>
        <v>44791.66231</v>
      </c>
      <c r="D477" s="15">
        <f>IFERROR(__xludf.DUMMYFUNCTION("""COMPUTED_VALUE"""),1.004)</f>
        <v>1.004</v>
      </c>
      <c r="E477" s="16">
        <f>IFERROR(__xludf.DUMMYFUNCTION("""COMPUTED_VALUE"""),67.0)</f>
        <v>67</v>
      </c>
      <c r="F477" s="19" t="str">
        <f>IFERROR(__xludf.DUMMYFUNCTION("""COMPUTED_VALUE"""),"BLACK")</f>
        <v>BLACK</v>
      </c>
      <c r="G477" s="20" t="str">
        <f>IFERROR(__xludf.DUMMYFUNCTION("""COMPUTED_VALUE"""),"Uncle Sams Cider (5/13/2022)")</f>
        <v>Uncle Sams Cider (5/13/2022)</v>
      </c>
      <c r="H477" s="19"/>
    </row>
    <row r="478">
      <c r="A478" s="9"/>
      <c r="B478" s="15"/>
      <c r="C478" s="9">
        <f>IFERROR(__xludf.DUMMYFUNCTION("""COMPUTED_VALUE"""),44791.6518881828)</f>
        <v>44791.65189</v>
      </c>
      <c r="D478" s="15">
        <f>IFERROR(__xludf.DUMMYFUNCTION("""COMPUTED_VALUE"""),1.004)</f>
        <v>1.004</v>
      </c>
      <c r="E478" s="16">
        <f>IFERROR(__xludf.DUMMYFUNCTION("""COMPUTED_VALUE"""),67.0)</f>
        <v>67</v>
      </c>
      <c r="F478" s="19" t="str">
        <f>IFERROR(__xludf.DUMMYFUNCTION("""COMPUTED_VALUE"""),"BLACK")</f>
        <v>BLACK</v>
      </c>
      <c r="G478" s="20" t="str">
        <f>IFERROR(__xludf.DUMMYFUNCTION("""COMPUTED_VALUE"""),"Uncle Sams Cider (5/13/2022)")</f>
        <v>Uncle Sams Cider (5/13/2022)</v>
      </c>
      <c r="H478" s="19"/>
    </row>
    <row r="479">
      <c r="A479" s="9"/>
      <c r="B479" s="15"/>
      <c r="C479" s="9">
        <f>IFERROR(__xludf.DUMMYFUNCTION("""COMPUTED_VALUE"""),44791.6414666898)</f>
        <v>44791.64147</v>
      </c>
      <c r="D479" s="15">
        <f>IFERROR(__xludf.DUMMYFUNCTION("""COMPUTED_VALUE"""),1.004)</f>
        <v>1.004</v>
      </c>
      <c r="E479" s="16">
        <f>IFERROR(__xludf.DUMMYFUNCTION("""COMPUTED_VALUE"""),67.0)</f>
        <v>67</v>
      </c>
      <c r="F479" s="19" t="str">
        <f>IFERROR(__xludf.DUMMYFUNCTION("""COMPUTED_VALUE"""),"BLACK")</f>
        <v>BLACK</v>
      </c>
      <c r="G479" s="20" t="str">
        <f>IFERROR(__xludf.DUMMYFUNCTION("""COMPUTED_VALUE"""),"Uncle Sams Cider (5/13/2022)")</f>
        <v>Uncle Sams Cider (5/13/2022)</v>
      </c>
      <c r="H479" s="19"/>
    </row>
    <row r="480">
      <c r="A480" s="9"/>
      <c r="B480" s="15"/>
      <c r="C480" s="9">
        <f>IFERROR(__xludf.DUMMYFUNCTION("""COMPUTED_VALUE"""),44791.6310454861)</f>
        <v>44791.63105</v>
      </c>
      <c r="D480" s="15">
        <f>IFERROR(__xludf.DUMMYFUNCTION("""COMPUTED_VALUE"""),1.004)</f>
        <v>1.004</v>
      </c>
      <c r="E480" s="16">
        <f>IFERROR(__xludf.DUMMYFUNCTION("""COMPUTED_VALUE"""),67.0)</f>
        <v>67</v>
      </c>
      <c r="F480" s="19" t="str">
        <f>IFERROR(__xludf.DUMMYFUNCTION("""COMPUTED_VALUE"""),"BLACK")</f>
        <v>BLACK</v>
      </c>
      <c r="G480" s="20" t="str">
        <f>IFERROR(__xludf.DUMMYFUNCTION("""COMPUTED_VALUE"""),"Uncle Sams Cider (5/13/2022)")</f>
        <v>Uncle Sams Cider (5/13/2022)</v>
      </c>
      <c r="H480" s="19"/>
    </row>
    <row r="481">
      <c r="A481" s="9"/>
      <c r="B481" s="15"/>
      <c r="C481" s="9">
        <f>IFERROR(__xludf.DUMMYFUNCTION("""COMPUTED_VALUE"""),44791.620623993)</f>
        <v>44791.62062</v>
      </c>
      <c r="D481" s="15">
        <f>IFERROR(__xludf.DUMMYFUNCTION("""COMPUTED_VALUE"""),1.004)</f>
        <v>1.004</v>
      </c>
      <c r="E481" s="16">
        <f>IFERROR(__xludf.DUMMYFUNCTION("""COMPUTED_VALUE"""),67.0)</f>
        <v>67</v>
      </c>
      <c r="F481" s="19" t="str">
        <f>IFERROR(__xludf.DUMMYFUNCTION("""COMPUTED_VALUE"""),"BLACK")</f>
        <v>BLACK</v>
      </c>
      <c r="G481" s="20" t="str">
        <f>IFERROR(__xludf.DUMMYFUNCTION("""COMPUTED_VALUE"""),"Uncle Sams Cider (5/13/2022)")</f>
        <v>Uncle Sams Cider (5/13/2022)</v>
      </c>
      <c r="H481" s="19"/>
    </row>
    <row r="482">
      <c r="A482" s="9"/>
      <c r="B482" s="15"/>
      <c r="C482" s="9">
        <f>IFERROR(__xludf.DUMMYFUNCTION("""COMPUTED_VALUE"""),44791.6102032291)</f>
        <v>44791.6102</v>
      </c>
      <c r="D482" s="15">
        <f>IFERROR(__xludf.DUMMYFUNCTION("""COMPUTED_VALUE"""),1.004)</f>
        <v>1.004</v>
      </c>
      <c r="E482" s="16">
        <f>IFERROR(__xludf.DUMMYFUNCTION("""COMPUTED_VALUE"""),67.0)</f>
        <v>67</v>
      </c>
      <c r="F482" s="19" t="str">
        <f>IFERROR(__xludf.DUMMYFUNCTION("""COMPUTED_VALUE"""),"BLACK")</f>
        <v>BLACK</v>
      </c>
      <c r="G482" s="20" t="str">
        <f>IFERROR(__xludf.DUMMYFUNCTION("""COMPUTED_VALUE"""),"Uncle Sams Cider (5/13/2022)")</f>
        <v>Uncle Sams Cider (5/13/2022)</v>
      </c>
      <c r="H482" s="19"/>
    </row>
    <row r="483">
      <c r="A483" s="9"/>
      <c r="B483" s="15"/>
      <c r="C483" s="9">
        <f>IFERROR(__xludf.DUMMYFUNCTION("""COMPUTED_VALUE"""),44791.5997802314)</f>
        <v>44791.59978</v>
      </c>
      <c r="D483" s="15">
        <f>IFERROR(__xludf.DUMMYFUNCTION("""COMPUTED_VALUE"""),1.004)</f>
        <v>1.004</v>
      </c>
      <c r="E483" s="16">
        <f>IFERROR(__xludf.DUMMYFUNCTION("""COMPUTED_VALUE"""),67.0)</f>
        <v>67</v>
      </c>
      <c r="F483" s="19" t="str">
        <f>IFERROR(__xludf.DUMMYFUNCTION("""COMPUTED_VALUE"""),"BLACK")</f>
        <v>BLACK</v>
      </c>
      <c r="G483" s="20" t="str">
        <f>IFERROR(__xludf.DUMMYFUNCTION("""COMPUTED_VALUE"""),"Uncle Sams Cider (5/13/2022)")</f>
        <v>Uncle Sams Cider (5/13/2022)</v>
      </c>
      <c r="H483" s="19"/>
    </row>
    <row r="484">
      <c r="A484" s="9"/>
      <c r="B484" s="15"/>
      <c r="C484" s="9">
        <f>IFERROR(__xludf.DUMMYFUNCTION("""COMPUTED_VALUE"""),44791.5893585532)</f>
        <v>44791.58936</v>
      </c>
      <c r="D484" s="15">
        <f>IFERROR(__xludf.DUMMYFUNCTION("""COMPUTED_VALUE"""),1.003)</f>
        <v>1.003</v>
      </c>
      <c r="E484" s="16">
        <f>IFERROR(__xludf.DUMMYFUNCTION("""COMPUTED_VALUE"""),67.0)</f>
        <v>67</v>
      </c>
      <c r="F484" s="19" t="str">
        <f>IFERROR(__xludf.DUMMYFUNCTION("""COMPUTED_VALUE"""),"BLACK")</f>
        <v>BLACK</v>
      </c>
      <c r="G484" s="20" t="str">
        <f>IFERROR(__xludf.DUMMYFUNCTION("""COMPUTED_VALUE"""),"Uncle Sams Cider (5/13/2022)")</f>
        <v>Uncle Sams Cider (5/13/2022)</v>
      </c>
      <c r="H484" s="19"/>
    </row>
    <row r="485">
      <c r="A485" s="9"/>
      <c r="B485" s="15"/>
      <c r="C485" s="9">
        <f>IFERROR(__xludf.DUMMYFUNCTION("""COMPUTED_VALUE"""),44791.578937118)</f>
        <v>44791.57894</v>
      </c>
      <c r="D485" s="15">
        <f>IFERROR(__xludf.DUMMYFUNCTION("""COMPUTED_VALUE"""),1.003)</f>
        <v>1.003</v>
      </c>
      <c r="E485" s="16">
        <f>IFERROR(__xludf.DUMMYFUNCTION("""COMPUTED_VALUE"""),66.0)</f>
        <v>66</v>
      </c>
      <c r="F485" s="19" t="str">
        <f>IFERROR(__xludf.DUMMYFUNCTION("""COMPUTED_VALUE"""),"BLACK")</f>
        <v>BLACK</v>
      </c>
      <c r="G485" s="20" t="str">
        <f>IFERROR(__xludf.DUMMYFUNCTION("""COMPUTED_VALUE"""),"Uncle Sams Cider (5/13/2022)")</f>
        <v>Uncle Sams Cider (5/13/2022)</v>
      </c>
      <c r="H485" s="19"/>
    </row>
    <row r="486">
      <c r="A486" s="9"/>
      <c r="B486" s="15"/>
      <c r="C486" s="9">
        <f>IFERROR(__xludf.DUMMYFUNCTION("""COMPUTED_VALUE"""),44791.5685156134)</f>
        <v>44791.56852</v>
      </c>
      <c r="D486" s="15">
        <f>IFERROR(__xludf.DUMMYFUNCTION("""COMPUTED_VALUE"""),1.004)</f>
        <v>1.004</v>
      </c>
      <c r="E486" s="16">
        <f>IFERROR(__xludf.DUMMYFUNCTION("""COMPUTED_VALUE"""),66.0)</f>
        <v>66</v>
      </c>
      <c r="F486" s="19" t="str">
        <f>IFERROR(__xludf.DUMMYFUNCTION("""COMPUTED_VALUE"""),"BLACK")</f>
        <v>BLACK</v>
      </c>
      <c r="G486" s="20" t="str">
        <f>IFERROR(__xludf.DUMMYFUNCTION("""COMPUTED_VALUE"""),"Uncle Sams Cider (5/13/2022)")</f>
        <v>Uncle Sams Cider (5/13/2022)</v>
      </c>
      <c r="H486" s="19"/>
    </row>
    <row r="487">
      <c r="A487" s="9"/>
      <c r="B487" s="15"/>
      <c r="C487" s="9">
        <f>IFERROR(__xludf.DUMMYFUNCTION("""COMPUTED_VALUE"""),44791.5580958101)</f>
        <v>44791.5581</v>
      </c>
      <c r="D487" s="15">
        <f>IFERROR(__xludf.DUMMYFUNCTION("""COMPUTED_VALUE"""),1.004)</f>
        <v>1.004</v>
      </c>
      <c r="E487" s="16">
        <f>IFERROR(__xludf.DUMMYFUNCTION("""COMPUTED_VALUE"""),67.0)</f>
        <v>67</v>
      </c>
      <c r="F487" s="19" t="str">
        <f>IFERROR(__xludf.DUMMYFUNCTION("""COMPUTED_VALUE"""),"BLACK")</f>
        <v>BLACK</v>
      </c>
      <c r="G487" s="20" t="str">
        <f>IFERROR(__xludf.DUMMYFUNCTION("""COMPUTED_VALUE"""),"Uncle Sams Cider (5/13/2022)")</f>
        <v>Uncle Sams Cider (5/13/2022)</v>
      </c>
      <c r="H487" s="19"/>
    </row>
    <row r="488">
      <c r="A488" s="9"/>
      <c r="B488" s="15"/>
      <c r="C488" s="9">
        <f>IFERROR(__xludf.DUMMYFUNCTION("""COMPUTED_VALUE"""),44791.5476763773)</f>
        <v>44791.54768</v>
      </c>
      <c r="D488" s="15">
        <f>IFERROR(__xludf.DUMMYFUNCTION("""COMPUTED_VALUE"""),1.004)</f>
        <v>1.004</v>
      </c>
      <c r="E488" s="16">
        <f>IFERROR(__xludf.DUMMYFUNCTION("""COMPUTED_VALUE"""),67.0)</f>
        <v>67</v>
      </c>
      <c r="F488" s="19" t="str">
        <f>IFERROR(__xludf.DUMMYFUNCTION("""COMPUTED_VALUE"""),"BLACK")</f>
        <v>BLACK</v>
      </c>
      <c r="G488" s="20" t="str">
        <f>IFERROR(__xludf.DUMMYFUNCTION("""COMPUTED_VALUE"""),"Uncle Sams Cider (5/13/2022)")</f>
        <v>Uncle Sams Cider (5/13/2022)</v>
      </c>
      <c r="H488" s="19"/>
    </row>
    <row r="489">
      <c r="A489" s="9"/>
      <c r="B489" s="15"/>
      <c r="C489" s="9">
        <f>IFERROR(__xludf.DUMMYFUNCTION("""COMPUTED_VALUE"""),44791.5372550231)</f>
        <v>44791.53726</v>
      </c>
      <c r="D489" s="15">
        <f>IFERROR(__xludf.DUMMYFUNCTION("""COMPUTED_VALUE"""),1.003)</f>
        <v>1.003</v>
      </c>
      <c r="E489" s="16">
        <f>IFERROR(__xludf.DUMMYFUNCTION("""COMPUTED_VALUE"""),66.0)</f>
        <v>66</v>
      </c>
      <c r="F489" s="19" t="str">
        <f>IFERROR(__xludf.DUMMYFUNCTION("""COMPUTED_VALUE"""),"BLACK")</f>
        <v>BLACK</v>
      </c>
      <c r="G489" s="20" t="str">
        <f>IFERROR(__xludf.DUMMYFUNCTION("""COMPUTED_VALUE"""),"Uncle Sams Cider (5/13/2022)")</f>
        <v>Uncle Sams Cider (5/13/2022)</v>
      </c>
      <c r="H489" s="19"/>
    </row>
    <row r="490">
      <c r="A490" s="9"/>
      <c r="B490" s="15"/>
      <c r="C490" s="9">
        <f>IFERROR(__xludf.DUMMYFUNCTION("""COMPUTED_VALUE"""),44791.5268345717)</f>
        <v>44791.52683</v>
      </c>
      <c r="D490" s="15">
        <f>IFERROR(__xludf.DUMMYFUNCTION("""COMPUTED_VALUE"""),1.004)</f>
        <v>1.004</v>
      </c>
      <c r="E490" s="16">
        <f>IFERROR(__xludf.DUMMYFUNCTION("""COMPUTED_VALUE"""),66.0)</f>
        <v>66</v>
      </c>
      <c r="F490" s="19" t="str">
        <f>IFERROR(__xludf.DUMMYFUNCTION("""COMPUTED_VALUE"""),"BLACK")</f>
        <v>BLACK</v>
      </c>
      <c r="G490" s="20" t="str">
        <f>IFERROR(__xludf.DUMMYFUNCTION("""COMPUTED_VALUE"""),"Uncle Sams Cider (5/13/2022)")</f>
        <v>Uncle Sams Cider (5/13/2022)</v>
      </c>
      <c r="H490" s="19"/>
    </row>
    <row r="491">
      <c r="A491" s="9"/>
      <c r="B491" s="15"/>
      <c r="C491" s="9">
        <f>IFERROR(__xludf.DUMMYFUNCTION("""COMPUTED_VALUE"""),44791.5164125926)</f>
        <v>44791.51641</v>
      </c>
      <c r="D491" s="15">
        <f>IFERROR(__xludf.DUMMYFUNCTION("""COMPUTED_VALUE"""),1.003)</f>
        <v>1.003</v>
      </c>
      <c r="E491" s="16">
        <f>IFERROR(__xludf.DUMMYFUNCTION("""COMPUTED_VALUE"""),66.0)</f>
        <v>66</v>
      </c>
      <c r="F491" s="19" t="str">
        <f>IFERROR(__xludf.DUMMYFUNCTION("""COMPUTED_VALUE"""),"BLACK")</f>
        <v>BLACK</v>
      </c>
      <c r="G491" s="20" t="str">
        <f>IFERROR(__xludf.DUMMYFUNCTION("""COMPUTED_VALUE"""),"Uncle Sams Cider (5/13/2022)")</f>
        <v>Uncle Sams Cider (5/13/2022)</v>
      </c>
      <c r="H491" s="19"/>
    </row>
    <row r="492">
      <c r="A492" s="9"/>
      <c r="B492" s="15"/>
      <c r="C492" s="9">
        <f>IFERROR(__xludf.DUMMYFUNCTION("""COMPUTED_VALUE"""),44791.5059933217)</f>
        <v>44791.50599</v>
      </c>
      <c r="D492" s="15">
        <f>IFERROR(__xludf.DUMMYFUNCTION("""COMPUTED_VALUE"""),1.004)</f>
        <v>1.004</v>
      </c>
      <c r="E492" s="16">
        <f>IFERROR(__xludf.DUMMYFUNCTION("""COMPUTED_VALUE"""),66.0)</f>
        <v>66</v>
      </c>
      <c r="F492" s="19" t="str">
        <f>IFERROR(__xludf.DUMMYFUNCTION("""COMPUTED_VALUE"""),"BLACK")</f>
        <v>BLACK</v>
      </c>
      <c r="G492" s="20" t="str">
        <f>IFERROR(__xludf.DUMMYFUNCTION("""COMPUTED_VALUE"""),"Uncle Sams Cider (5/13/2022)")</f>
        <v>Uncle Sams Cider (5/13/2022)</v>
      </c>
      <c r="H492" s="19"/>
    </row>
    <row r="493">
      <c r="A493" s="9"/>
      <c r="B493" s="15"/>
      <c r="C493" s="9">
        <f>IFERROR(__xludf.DUMMYFUNCTION("""COMPUTED_VALUE"""),44791.4955737268)</f>
        <v>44791.49557</v>
      </c>
      <c r="D493" s="15">
        <f>IFERROR(__xludf.DUMMYFUNCTION("""COMPUTED_VALUE"""),1.004)</f>
        <v>1.004</v>
      </c>
      <c r="E493" s="16">
        <f>IFERROR(__xludf.DUMMYFUNCTION("""COMPUTED_VALUE"""),66.0)</f>
        <v>66</v>
      </c>
      <c r="F493" s="19" t="str">
        <f>IFERROR(__xludf.DUMMYFUNCTION("""COMPUTED_VALUE"""),"BLACK")</f>
        <v>BLACK</v>
      </c>
      <c r="G493" s="20" t="str">
        <f>IFERROR(__xludf.DUMMYFUNCTION("""COMPUTED_VALUE"""),"Uncle Sams Cider (5/13/2022)")</f>
        <v>Uncle Sams Cider (5/13/2022)</v>
      </c>
      <c r="H493" s="19"/>
    </row>
    <row r="494">
      <c r="A494" s="9"/>
      <c r="B494" s="15"/>
      <c r="C494" s="9">
        <f>IFERROR(__xludf.DUMMYFUNCTION("""COMPUTED_VALUE"""),44791.4851539699)</f>
        <v>44791.48515</v>
      </c>
      <c r="D494" s="15">
        <f>IFERROR(__xludf.DUMMYFUNCTION("""COMPUTED_VALUE"""),1.003)</f>
        <v>1.003</v>
      </c>
      <c r="E494" s="16">
        <f>IFERROR(__xludf.DUMMYFUNCTION("""COMPUTED_VALUE"""),66.0)</f>
        <v>66</v>
      </c>
      <c r="F494" s="19" t="str">
        <f>IFERROR(__xludf.DUMMYFUNCTION("""COMPUTED_VALUE"""),"BLACK")</f>
        <v>BLACK</v>
      </c>
      <c r="G494" s="20" t="str">
        <f>IFERROR(__xludf.DUMMYFUNCTION("""COMPUTED_VALUE"""),"Uncle Sams Cider (5/13/2022)")</f>
        <v>Uncle Sams Cider (5/13/2022)</v>
      </c>
      <c r="H494" s="19"/>
    </row>
    <row r="495">
      <c r="A495" s="9"/>
      <c r="B495" s="15"/>
      <c r="C495" s="9">
        <f>IFERROR(__xludf.DUMMYFUNCTION("""COMPUTED_VALUE"""),44791.4747332176)</f>
        <v>44791.47473</v>
      </c>
      <c r="D495" s="15">
        <f>IFERROR(__xludf.DUMMYFUNCTION("""COMPUTED_VALUE"""),1.004)</f>
        <v>1.004</v>
      </c>
      <c r="E495" s="16">
        <f>IFERROR(__xludf.DUMMYFUNCTION("""COMPUTED_VALUE"""),66.0)</f>
        <v>66</v>
      </c>
      <c r="F495" s="19" t="str">
        <f>IFERROR(__xludf.DUMMYFUNCTION("""COMPUTED_VALUE"""),"BLACK")</f>
        <v>BLACK</v>
      </c>
      <c r="G495" s="20" t="str">
        <f>IFERROR(__xludf.DUMMYFUNCTION("""COMPUTED_VALUE"""),"Uncle Sams Cider (5/13/2022)")</f>
        <v>Uncle Sams Cider (5/13/2022)</v>
      </c>
      <c r="H495" s="19"/>
    </row>
    <row r="496">
      <c r="A496" s="9"/>
      <c r="B496" s="15"/>
      <c r="C496" s="9">
        <f>IFERROR(__xludf.DUMMYFUNCTION("""COMPUTED_VALUE"""),44791.4643013657)</f>
        <v>44791.4643</v>
      </c>
      <c r="D496" s="15">
        <f>IFERROR(__xludf.DUMMYFUNCTION("""COMPUTED_VALUE"""),1.004)</f>
        <v>1.004</v>
      </c>
      <c r="E496" s="16">
        <f>IFERROR(__xludf.DUMMYFUNCTION("""COMPUTED_VALUE"""),66.0)</f>
        <v>66</v>
      </c>
      <c r="F496" s="19" t="str">
        <f>IFERROR(__xludf.DUMMYFUNCTION("""COMPUTED_VALUE"""),"BLACK")</f>
        <v>BLACK</v>
      </c>
      <c r="G496" s="20" t="str">
        <f>IFERROR(__xludf.DUMMYFUNCTION("""COMPUTED_VALUE"""),"Uncle Sams Cider (5/13/2022)")</f>
        <v>Uncle Sams Cider (5/13/2022)</v>
      </c>
      <c r="H496" s="19"/>
    </row>
    <row r="497">
      <c r="A497" s="9"/>
      <c r="B497" s="15"/>
      <c r="C497" s="9">
        <f>IFERROR(__xludf.DUMMYFUNCTION("""COMPUTED_VALUE"""),44791.4538806944)</f>
        <v>44791.45388</v>
      </c>
      <c r="D497" s="15">
        <f>IFERROR(__xludf.DUMMYFUNCTION("""COMPUTED_VALUE"""),1.004)</f>
        <v>1.004</v>
      </c>
      <c r="E497" s="16">
        <f>IFERROR(__xludf.DUMMYFUNCTION("""COMPUTED_VALUE"""),66.0)</f>
        <v>66</v>
      </c>
      <c r="F497" s="19" t="str">
        <f>IFERROR(__xludf.DUMMYFUNCTION("""COMPUTED_VALUE"""),"BLACK")</f>
        <v>BLACK</v>
      </c>
      <c r="G497" s="20" t="str">
        <f>IFERROR(__xludf.DUMMYFUNCTION("""COMPUTED_VALUE"""),"Uncle Sams Cider (5/13/2022)")</f>
        <v>Uncle Sams Cider (5/13/2022)</v>
      </c>
      <c r="H497" s="19"/>
    </row>
    <row r="498">
      <c r="A498" s="9"/>
      <c r="B498" s="15"/>
      <c r="C498" s="9">
        <f>IFERROR(__xludf.DUMMYFUNCTION("""COMPUTED_VALUE"""),44791.4434589004)</f>
        <v>44791.44346</v>
      </c>
      <c r="D498" s="15">
        <f>IFERROR(__xludf.DUMMYFUNCTION("""COMPUTED_VALUE"""),1.003)</f>
        <v>1.003</v>
      </c>
      <c r="E498" s="16">
        <f>IFERROR(__xludf.DUMMYFUNCTION("""COMPUTED_VALUE"""),66.0)</f>
        <v>66</v>
      </c>
      <c r="F498" s="19" t="str">
        <f>IFERROR(__xludf.DUMMYFUNCTION("""COMPUTED_VALUE"""),"BLACK")</f>
        <v>BLACK</v>
      </c>
      <c r="G498" s="20" t="str">
        <f>IFERROR(__xludf.DUMMYFUNCTION("""COMPUTED_VALUE"""),"Uncle Sams Cider (5/13/2022)")</f>
        <v>Uncle Sams Cider (5/13/2022)</v>
      </c>
      <c r="H498" s="19"/>
    </row>
    <row r="499">
      <c r="A499" s="9"/>
      <c r="B499" s="15"/>
      <c r="C499" s="9">
        <f>IFERROR(__xludf.DUMMYFUNCTION("""COMPUTED_VALUE"""),44791.433038449)</f>
        <v>44791.43304</v>
      </c>
      <c r="D499" s="15">
        <f>IFERROR(__xludf.DUMMYFUNCTION("""COMPUTED_VALUE"""),1.003)</f>
        <v>1.003</v>
      </c>
      <c r="E499" s="16">
        <f>IFERROR(__xludf.DUMMYFUNCTION("""COMPUTED_VALUE"""),66.0)</f>
        <v>66</v>
      </c>
      <c r="F499" s="19" t="str">
        <f>IFERROR(__xludf.DUMMYFUNCTION("""COMPUTED_VALUE"""),"BLACK")</f>
        <v>BLACK</v>
      </c>
      <c r="G499" s="20" t="str">
        <f>IFERROR(__xludf.DUMMYFUNCTION("""COMPUTED_VALUE"""),"Uncle Sams Cider (5/13/2022)")</f>
        <v>Uncle Sams Cider (5/13/2022)</v>
      </c>
      <c r="H499" s="19"/>
    </row>
    <row r="500">
      <c r="A500" s="9"/>
      <c r="B500" s="15"/>
      <c r="C500" s="9">
        <f>IFERROR(__xludf.DUMMYFUNCTION("""COMPUTED_VALUE"""),44791.4226181018)</f>
        <v>44791.42262</v>
      </c>
      <c r="D500" s="15">
        <f>IFERROR(__xludf.DUMMYFUNCTION("""COMPUTED_VALUE"""),1.003)</f>
        <v>1.003</v>
      </c>
      <c r="E500" s="16">
        <f>IFERROR(__xludf.DUMMYFUNCTION("""COMPUTED_VALUE"""),66.0)</f>
        <v>66</v>
      </c>
      <c r="F500" s="19" t="str">
        <f>IFERROR(__xludf.DUMMYFUNCTION("""COMPUTED_VALUE"""),"BLACK")</f>
        <v>BLACK</v>
      </c>
      <c r="G500" s="20" t="str">
        <f>IFERROR(__xludf.DUMMYFUNCTION("""COMPUTED_VALUE"""),"Uncle Sams Cider (5/13/2022)")</f>
        <v>Uncle Sams Cider (5/13/2022)</v>
      </c>
      <c r="H500" s="19"/>
    </row>
    <row r="501">
      <c r="A501" s="9"/>
      <c r="B501" s="15"/>
      <c r="C501" s="9">
        <f>IFERROR(__xludf.DUMMYFUNCTION("""COMPUTED_VALUE"""),44791.4121977546)</f>
        <v>44791.4122</v>
      </c>
      <c r="D501" s="15">
        <f>IFERROR(__xludf.DUMMYFUNCTION("""COMPUTED_VALUE"""),1.004)</f>
        <v>1.004</v>
      </c>
      <c r="E501" s="16">
        <f>IFERROR(__xludf.DUMMYFUNCTION("""COMPUTED_VALUE"""),66.0)</f>
        <v>66</v>
      </c>
      <c r="F501" s="19" t="str">
        <f>IFERROR(__xludf.DUMMYFUNCTION("""COMPUTED_VALUE"""),"BLACK")</f>
        <v>BLACK</v>
      </c>
      <c r="G501" s="20" t="str">
        <f>IFERROR(__xludf.DUMMYFUNCTION("""COMPUTED_VALUE"""),"Uncle Sams Cider (5/13/2022)")</f>
        <v>Uncle Sams Cider (5/13/2022)</v>
      </c>
      <c r="H501" s="19"/>
    </row>
    <row r="502">
      <c r="A502" s="9"/>
      <c r="B502" s="15"/>
      <c r="C502" s="9">
        <f>IFERROR(__xludf.DUMMYFUNCTION("""COMPUTED_VALUE"""),44791.4017654282)</f>
        <v>44791.40177</v>
      </c>
      <c r="D502" s="15">
        <f>IFERROR(__xludf.DUMMYFUNCTION("""COMPUTED_VALUE"""),1.003)</f>
        <v>1.003</v>
      </c>
      <c r="E502" s="16">
        <f>IFERROR(__xludf.DUMMYFUNCTION("""COMPUTED_VALUE"""),66.0)</f>
        <v>66</v>
      </c>
      <c r="F502" s="19" t="str">
        <f>IFERROR(__xludf.DUMMYFUNCTION("""COMPUTED_VALUE"""),"BLACK")</f>
        <v>BLACK</v>
      </c>
      <c r="G502" s="20" t="str">
        <f>IFERROR(__xludf.DUMMYFUNCTION("""COMPUTED_VALUE"""),"Uncle Sams Cider (5/13/2022)")</f>
        <v>Uncle Sams Cider (5/13/2022)</v>
      </c>
      <c r="H502" s="19"/>
    </row>
    <row r="503">
      <c r="A503" s="9"/>
      <c r="B503" s="15"/>
      <c r="C503" s="9">
        <f>IFERROR(__xludf.DUMMYFUNCTION("""COMPUTED_VALUE"""),44791.3913436458)</f>
        <v>44791.39134</v>
      </c>
      <c r="D503" s="15">
        <f>IFERROR(__xludf.DUMMYFUNCTION("""COMPUTED_VALUE"""),1.003)</f>
        <v>1.003</v>
      </c>
      <c r="E503" s="16">
        <f>IFERROR(__xludf.DUMMYFUNCTION("""COMPUTED_VALUE"""),66.0)</f>
        <v>66</v>
      </c>
      <c r="F503" s="19" t="str">
        <f>IFERROR(__xludf.DUMMYFUNCTION("""COMPUTED_VALUE"""),"BLACK")</f>
        <v>BLACK</v>
      </c>
      <c r="G503" s="20" t="str">
        <f>IFERROR(__xludf.DUMMYFUNCTION("""COMPUTED_VALUE"""),"Uncle Sams Cider (5/13/2022)")</f>
        <v>Uncle Sams Cider (5/13/2022)</v>
      </c>
      <c r="H503" s="19"/>
    </row>
    <row r="504">
      <c r="A504" s="9"/>
      <c r="B504" s="15"/>
      <c r="C504" s="9">
        <f>IFERROR(__xludf.DUMMYFUNCTION("""COMPUTED_VALUE"""),44791.3809229976)</f>
        <v>44791.38092</v>
      </c>
      <c r="D504" s="15">
        <f>IFERROR(__xludf.DUMMYFUNCTION("""COMPUTED_VALUE"""),1.003)</f>
        <v>1.003</v>
      </c>
      <c r="E504" s="16">
        <f>IFERROR(__xludf.DUMMYFUNCTION("""COMPUTED_VALUE"""),66.0)</f>
        <v>66</v>
      </c>
      <c r="F504" s="19" t="str">
        <f>IFERROR(__xludf.DUMMYFUNCTION("""COMPUTED_VALUE"""),"BLACK")</f>
        <v>BLACK</v>
      </c>
      <c r="G504" s="20" t="str">
        <f>IFERROR(__xludf.DUMMYFUNCTION("""COMPUTED_VALUE"""),"Uncle Sams Cider (5/13/2022)")</f>
        <v>Uncle Sams Cider (5/13/2022)</v>
      </c>
      <c r="H504" s="19"/>
    </row>
    <row r="505">
      <c r="A505" s="9"/>
      <c r="B505" s="15"/>
      <c r="C505" s="9">
        <f>IFERROR(__xludf.DUMMYFUNCTION("""COMPUTED_VALUE"""),44791.3705007638)</f>
        <v>44791.3705</v>
      </c>
      <c r="D505" s="15">
        <f>IFERROR(__xludf.DUMMYFUNCTION("""COMPUTED_VALUE"""),1.004)</f>
        <v>1.004</v>
      </c>
      <c r="E505" s="16">
        <f>IFERROR(__xludf.DUMMYFUNCTION("""COMPUTED_VALUE"""),66.0)</f>
        <v>66</v>
      </c>
      <c r="F505" s="19" t="str">
        <f>IFERROR(__xludf.DUMMYFUNCTION("""COMPUTED_VALUE"""),"BLACK")</f>
        <v>BLACK</v>
      </c>
      <c r="G505" s="20" t="str">
        <f>IFERROR(__xludf.DUMMYFUNCTION("""COMPUTED_VALUE"""),"Uncle Sams Cider (5/13/2022)")</f>
        <v>Uncle Sams Cider (5/13/2022)</v>
      </c>
      <c r="H505" s="19"/>
    </row>
    <row r="506">
      <c r="A506" s="9"/>
      <c r="B506" s="15"/>
      <c r="C506" s="9">
        <f>IFERROR(__xludf.DUMMYFUNCTION("""COMPUTED_VALUE"""),44791.3600774421)</f>
        <v>44791.36008</v>
      </c>
      <c r="D506" s="15">
        <f>IFERROR(__xludf.DUMMYFUNCTION("""COMPUTED_VALUE"""),1.003)</f>
        <v>1.003</v>
      </c>
      <c r="E506" s="16">
        <f>IFERROR(__xludf.DUMMYFUNCTION("""COMPUTED_VALUE"""),66.0)</f>
        <v>66</v>
      </c>
      <c r="F506" s="19" t="str">
        <f>IFERROR(__xludf.DUMMYFUNCTION("""COMPUTED_VALUE"""),"BLACK")</f>
        <v>BLACK</v>
      </c>
      <c r="G506" s="20" t="str">
        <f>IFERROR(__xludf.DUMMYFUNCTION("""COMPUTED_VALUE"""),"Uncle Sams Cider (5/13/2022)")</f>
        <v>Uncle Sams Cider (5/13/2022)</v>
      </c>
      <c r="H506" s="19"/>
    </row>
    <row r="507">
      <c r="A507" s="9"/>
      <c r="B507" s="15"/>
      <c r="C507" s="9">
        <f>IFERROR(__xludf.DUMMYFUNCTION("""COMPUTED_VALUE"""),44791.3496562615)</f>
        <v>44791.34966</v>
      </c>
      <c r="D507" s="15">
        <f>IFERROR(__xludf.DUMMYFUNCTION("""COMPUTED_VALUE"""),1.003)</f>
        <v>1.003</v>
      </c>
      <c r="E507" s="16">
        <f>IFERROR(__xludf.DUMMYFUNCTION("""COMPUTED_VALUE"""),66.0)</f>
        <v>66</v>
      </c>
      <c r="F507" s="19" t="str">
        <f>IFERROR(__xludf.DUMMYFUNCTION("""COMPUTED_VALUE"""),"BLACK")</f>
        <v>BLACK</v>
      </c>
      <c r="G507" s="20" t="str">
        <f>IFERROR(__xludf.DUMMYFUNCTION("""COMPUTED_VALUE"""),"Uncle Sams Cider (5/13/2022)")</f>
        <v>Uncle Sams Cider (5/13/2022)</v>
      </c>
      <c r="H507" s="19"/>
    </row>
    <row r="508">
      <c r="A508" s="9"/>
      <c r="B508" s="15"/>
      <c r="C508" s="9">
        <f>IFERROR(__xludf.DUMMYFUNCTION("""COMPUTED_VALUE"""),44791.3392361458)</f>
        <v>44791.33924</v>
      </c>
      <c r="D508" s="15">
        <f>IFERROR(__xludf.DUMMYFUNCTION("""COMPUTED_VALUE"""),1.004)</f>
        <v>1.004</v>
      </c>
      <c r="E508" s="16">
        <f>IFERROR(__xludf.DUMMYFUNCTION("""COMPUTED_VALUE"""),66.0)</f>
        <v>66</v>
      </c>
      <c r="F508" s="19" t="str">
        <f>IFERROR(__xludf.DUMMYFUNCTION("""COMPUTED_VALUE"""),"BLACK")</f>
        <v>BLACK</v>
      </c>
      <c r="G508" s="20" t="str">
        <f>IFERROR(__xludf.DUMMYFUNCTION("""COMPUTED_VALUE"""),"Uncle Sams Cider (5/13/2022)")</f>
        <v>Uncle Sams Cider (5/13/2022)</v>
      </c>
      <c r="H508" s="19"/>
    </row>
    <row r="509">
      <c r="A509" s="9"/>
      <c r="B509" s="15"/>
      <c r="C509" s="9">
        <f>IFERROR(__xludf.DUMMYFUNCTION("""COMPUTED_VALUE"""),44791.3288145601)</f>
        <v>44791.32881</v>
      </c>
      <c r="D509" s="15">
        <f>IFERROR(__xludf.DUMMYFUNCTION("""COMPUTED_VALUE"""),1.004)</f>
        <v>1.004</v>
      </c>
      <c r="E509" s="16">
        <f>IFERROR(__xludf.DUMMYFUNCTION("""COMPUTED_VALUE"""),66.0)</f>
        <v>66</v>
      </c>
      <c r="F509" s="19" t="str">
        <f>IFERROR(__xludf.DUMMYFUNCTION("""COMPUTED_VALUE"""),"BLACK")</f>
        <v>BLACK</v>
      </c>
      <c r="G509" s="20" t="str">
        <f>IFERROR(__xludf.DUMMYFUNCTION("""COMPUTED_VALUE"""),"Uncle Sams Cider (5/13/2022)")</f>
        <v>Uncle Sams Cider (5/13/2022)</v>
      </c>
      <c r="H509" s="19"/>
    </row>
    <row r="510">
      <c r="A510" s="9"/>
      <c r="B510" s="15"/>
      <c r="C510" s="9">
        <f>IFERROR(__xludf.DUMMYFUNCTION("""COMPUTED_VALUE"""),44791.3183817129)</f>
        <v>44791.31838</v>
      </c>
      <c r="D510" s="15">
        <f>IFERROR(__xludf.DUMMYFUNCTION("""COMPUTED_VALUE"""),1.004)</f>
        <v>1.004</v>
      </c>
      <c r="E510" s="16">
        <f>IFERROR(__xludf.DUMMYFUNCTION("""COMPUTED_VALUE"""),66.0)</f>
        <v>66</v>
      </c>
      <c r="F510" s="19" t="str">
        <f>IFERROR(__xludf.DUMMYFUNCTION("""COMPUTED_VALUE"""),"BLACK")</f>
        <v>BLACK</v>
      </c>
      <c r="G510" s="20" t="str">
        <f>IFERROR(__xludf.DUMMYFUNCTION("""COMPUTED_VALUE"""),"Uncle Sams Cider (5/13/2022)")</f>
        <v>Uncle Sams Cider (5/13/2022)</v>
      </c>
      <c r="H510" s="19"/>
    </row>
    <row r="511">
      <c r="A511" s="9"/>
      <c r="B511" s="15"/>
      <c r="C511" s="9">
        <f>IFERROR(__xludf.DUMMYFUNCTION("""COMPUTED_VALUE"""),44791.3079605902)</f>
        <v>44791.30796</v>
      </c>
      <c r="D511" s="15">
        <f>IFERROR(__xludf.DUMMYFUNCTION("""COMPUTED_VALUE"""),1.003)</f>
        <v>1.003</v>
      </c>
      <c r="E511" s="16">
        <f>IFERROR(__xludf.DUMMYFUNCTION("""COMPUTED_VALUE"""),66.0)</f>
        <v>66</v>
      </c>
      <c r="F511" s="19" t="str">
        <f>IFERROR(__xludf.DUMMYFUNCTION("""COMPUTED_VALUE"""),"BLACK")</f>
        <v>BLACK</v>
      </c>
      <c r="G511" s="20" t="str">
        <f>IFERROR(__xludf.DUMMYFUNCTION("""COMPUTED_VALUE"""),"Uncle Sams Cider (5/13/2022)")</f>
        <v>Uncle Sams Cider (5/13/2022)</v>
      </c>
      <c r="H511" s="19"/>
    </row>
    <row r="512">
      <c r="A512" s="9"/>
      <c r="B512" s="15"/>
      <c r="C512" s="9">
        <f>IFERROR(__xludf.DUMMYFUNCTION("""COMPUTED_VALUE"""),44791.2975387847)</f>
        <v>44791.29754</v>
      </c>
      <c r="D512" s="15">
        <f>IFERROR(__xludf.DUMMYFUNCTION("""COMPUTED_VALUE"""),1.003)</f>
        <v>1.003</v>
      </c>
      <c r="E512" s="16">
        <f>IFERROR(__xludf.DUMMYFUNCTION("""COMPUTED_VALUE"""),66.0)</f>
        <v>66</v>
      </c>
      <c r="F512" s="19" t="str">
        <f>IFERROR(__xludf.DUMMYFUNCTION("""COMPUTED_VALUE"""),"BLACK")</f>
        <v>BLACK</v>
      </c>
      <c r="G512" s="20" t="str">
        <f>IFERROR(__xludf.DUMMYFUNCTION("""COMPUTED_VALUE"""),"Uncle Sams Cider (5/13/2022)")</f>
        <v>Uncle Sams Cider (5/13/2022)</v>
      </c>
      <c r="H512" s="19"/>
    </row>
    <row r="513">
      <c r="A513" s="9"/>
      <c r="B513" s="15"/>
      <c r="C513" s="9">
        <f>IFERROR(__xludf.DUMMYFUNCTION("""COMPUTED_VALUE"""),44791.2871184027)</f>
        <v>44791.28712</v>
      </c>
      <c r="D513" s="15">
        <f>IFERROR(__xludf.DUMMYFUNCTION("""COMPUTED_VALUE"""),1.003)</f>
        <v>1.003</v>
      </c>
      <c r="E513" s="16">
        <f>IFERROR(__xludf.DUMMYFUNCTION("""COMPUTED_VALUE"""),66.0)</f>
        <v>66</v>
      </c>
      <c r="F513" s="19" t="str">
        <f>IFERROR(__xludf.DUMMYFUNCTION("""COMPUTED_VALUE"""),"BLACK")</f>
        <v>BLACK</v>
      </c>
      <c r="G513" s="20" t="str">
        <f>IFERROR(__xludf.DUMMYFUNCTION("""COMPUTED_VALUE"""),"Uncle Sams Cider (5/13/2022)")</f>
        <v>Uncle Sams Cider (5/13/2022)</v>
      </c>
      <c r="H513" s="19"/>
    </row>
    <row r="514">
      <c r="A514" s="9"/>
      <c r="B514" s="15"/>
      <c r="C514" s="9">
        <f>IFERROR(__xludf.DUMMYFUNCTION("""COMPUTED_VALUE"""),44791.2766959027)</f>
        <v>44791.2767</v>
      </c>
      <c r="D514" s="15">
        <f>IFERROR(__xludf.DUMMYFUNCTION("""COMPUTED_VALUE"""),1.003)</f>
        <v>1.003</v>
      </c>
      <c r="E514" s="16">
        <f>IFERROR(__xludf.DUMMYFUNCTION("""COMPUTED_VALUE"""),66.0)</f>
        <v>66</v>
      </c>
      <c r="F514" s="19" t="str">
        <f>IFERROR(__xludf.DUMMYFUNCTION("""COMPUTED_VALUE"""),"BLACK")</f>
        <v>BLACK</v>
      </c>
      <c r="G514" s="20" t="str">
        <f>IFERROR(__xludf.DUMMYFUNCTION("""COMPUTED_VALUE"""),"Uncle Sams Cider (5/13/2022)")</f>
        <v>Uncle Sams Cider (5/13/2022)</v>
      </c>
      <c r="H514" s="19"/>
    </row>
    <row r="515">
      <c r="A515" s="9"/>
      <c r="B515" s="15"/>
      <c r="C515" s="9">
        <f>IFERROR(__xludf.DUMMYFUNCTION("""COMPUTED_VALUE"""),44791.2662749421)</f>
        <v>44791.26627</v>
      </c>
      <c r="D515" s="15">
        <f>IFERROR(__xludf.DUMMYFUNCTION("""COMPUTED_VALUE"""),1.003)</f>
        <v>1.003</v>
      </c>
      <c r="E515" s="16">
        <f>IFERROR(__xludf.DUMMYFUNCTION("""COMPUTED_VALUE"""),66.0)</f>
        <v>66</v>
      </c>
      <c r="F515" s="19" t="str">
        <f>IFERROR(__xludf.DUMMYFUNCTION("""COMPUTED_VALUE"""),"BLACK")</f>
        <v>BLACK</v>
      </c>
      <c r="G515" s="20" t="str">
        <f>IFERROR(__xludf.DUMMYFUNCTION("""COMPUTED_VALUE"""),"Uncle Sams Cider (5/13/2022)")</f>
        <v>Uncle Sams Cider (5/13/2022)</v>
      </c>
      <c r="H515" s="19"/>
    </row>
    <row r="516">
      <c r="A516" s="9"/>
      <c r="B516" s="15"/>
      <c r="C516" s="9">
        <f>IFERROR(__xludf.DUMMYFUNCTION("""COMPUTED_VALUE"""),44791.2558528588)</f>
        <v>44791.25585</v>
      </c>
      <c r="D516" s="15">
        <f>IFERROR(__xludf.DUMMYFUNCTION("""COMPUTED_VALUE"""),1.003)</f>
        <v>1.003</v>
      </c>
      <c r="E516" s="16">
        <f>IFERROR(__xludf.DUMMYFUNCTION("""COMPUTED_VALUE"""),66.0)</f>
        <v>66</v>
      </c>
      <c r="F516" s="19" t="str">
        <f>IFERROR(__xludf.DUMMYFUNCTION("""COMPUTED_VALUE"""),"BLACK")</f>
        <v>BLACK</v>
      </c>
      <c r="G516" s="20" t="str">
        <f>IFERROR(__xludf.DUMMYFUNCTION("""COMPUTED_VALUE"""),"Uncle Sams Cider (5/13/2022)")</f>
        <v>Uncle Sams Cider (5/13/2022)</v>
      </c>
      <c r="H516" s="19"/>
    </row>
    <row r="517">
      <c r="A517" s="9"/>
      <c r="B517" s="15"/>
      <c r="C517" s="9">
        <f>IFERROR(__xludf.DUMMYFUNCTION("""COMPUTED_VALUE"""),44791.2454336689)</f>
        <v>44791.24543</v>
      </c>
      <c r="D517" s="15">
        <f>IFERROR(__xludf.DUMMYFUNCTION("""COMPUTED_VALUE"""),1.004)</f>
        <v>1.004</v>
      </c>
      <c r="E517" s="16">
        <f>IFERROR(__xludf.DUMMYFUNCTION("""COMPUTED_VALUE"""),66.0)</f>
        <v>66</v>
      </c>
      <c r="F517" s="19" t="str">
        <f>IFERROR(__xludf.DUMMYFUNCTION("""COMPUTED_VALUE"""),"BLACK")</f>
        <v>BLACK</v>
      </c>
      <c r="G517" s="20" t="str">
        <f>IFERROR(__xludf.DUMMYFUNCTION("""COMPUTED_VALUE"""),"Uncle Sams Cider (5/13/2022)")</f>
        <v>Uncle Sams Cider (5/13/2022)</v>
      </c>
      <c r="H517" s="19"/>
    </row>
    <row r="518">
      <c r="A518" s="9"/>
      <c r="B518" s="15"/>
      <c r="C518" s="9">
        <f>IFERROR(__xludf.DUMMYFUNCTION("""COMPUTED_VALUE"""),44791.2350128356)</f>
        <v>44791.23501</v>
      </c>
      <c r="D518" s="15">
        <f>IFERROR(__xludf.DUMMYFUNCTION("""COMPUTED_VALUE"""),1.004)</f>
        <v>1.004</v>
      </c>
      <c r="E518" s="16">
        <f>IFERROR(__xludf.DUMMYFUNCTION("""COMPUTED_VALUE"""),66.0)</f>
        <v>66</v>
      </c>
      <c r="F518" s="19" t="str">
        <f>IFERROR(__xludf.DUMMYFUNCTION("""COMPUTED_VALUE"""),"BLACK")</f>
        <v>BLACK</v>
      </c>
      <c r="G518" s="20" t="str">
        <f>IFERROR(__xludf.DUMMYFUNCTION("""COMPUTED_VALUE"""),"Uncle Sams Cider (5/13/2022)")</f>
        <v>Uncle Sams Cider (5/13/2022)</v>
      </c>
      <c r="H518" s="19"/>
    </row>
    <row r="519">
      <c r="A519" s="9"/>
      <c r="B519" s="15"/>
      <c r="C519" s="9">
        <f>IFERROR(__xludf.DUMMYFUNCTION("""COMPUTED_VALUE"""),44791.224591574)</f>
        <v>44791.22459</v>
      </c>
      <c r="D519" s="15">
        <f>IFERROR(__xludf.DUMMYFUNCTION("""COMPUTED_VALUE"""),1.003)</f>
        <v>1.003</v>
      </c>
      <c r="E519" s="16">
        <f>IFERROR(__xludf.DUMMYFUNCTION("""COMPUTED_VALUE"""),66.0)</f>
        <v>66</v>
      </c>
      <c r="F519" s="19" t="str">
        <f>IFERROR(__xludf.DUMMYFUNCTION("""COMPUTED_VALUE"""),"BLACK")</f>
        <v>BLACK</v>
      </c>
      <c r="G519" s="20" t="str">
        <f>IFERROR(__xludf.DUMMYFUNCTION("""COMPUTED_VALUE"""),"Uncle Sams Cider (5/13/2022)")</f>
        <v>Uncle Sams Cider (5/13/2022)</v>
      </c>
      <c r="H519" s="19"/>
    </row>
    <row r="520">
      <c r="A520" s="9"/>
      <c r="B520" s="15"/>
      <c r="C520" s="9">
        <f>IFERROR(__xludf.DUMMYFUNCTION("""COMPUTED_VALUE"""),44791.2141717824)</f>
        <v>44791.21417</v>
      </c>
      <c r="D520" s="15">
        <f>IFERROR(__xludf.DUMMYFUNCTION("""COMPUTED_VALUE"""),1.004)</f>
        <v>1.004</v>
      </c>
      <c r="E520" s="11">
        <f>IFERROR(__xludf.DUMMYFUNCTION("""COMPUTED_VALUE"""),66.0)</f>
        <v>66</v>
      </c>
      <c r="F520" s="12" t="str">
        <f>IFERROR(__xludf.DUMMYFUNCTION("""COMPUTED_VALUE"""),"BLACK")</f>
        <v>BLACK</v>
      </c>
      <c r="G520" s="20" t="str">
        <f>IFERROR(__xludf.DUMMYFUNCTION("""COMPUTED_VALUE"""),"Uncle Sams Cider (5/13/2022)")</f>
        <v>Uncle Sams Cider (5/13/2022)</v>
      </c>
      <c r="H520" s="19"/>
    </row>
    <row r="521">
      <c r="A521" s="9"/>
      <c r="B521" s="15"/>
      <c r="C521" s="9">
        <f>IFERROR(__xludf.DUMMYFUNCTION("""COMPUTED_VALUE"""),44791.2037393171)</f>
        <v>44791.20374</v>
      </c>
      <c r="D521" s="15">
        <f>IFERROR(__xludf.DUMMYFUNCTION("""COMPUTED_VALUE"""),1.004)</f>
        <v>1.004</v>
      </c>
      <c r="E521" s="16">
        <f>IFERROR(__xludf.DUMMYFUNCTION("""COMPUTED_VALUE"""),66.0)</f>
        <v>66</v>
      </c>
      <c r="F521" s="19" t="str">
        <f>IFERROR(__xludf.DUMMYFUNCTION("""COMPUTED_VALUE"""),"BLACK")</f>
        <v>BLACK</v>
      </c>
      <c r="G521" s="20" t="str">
        <f>IFERROR(__xludf.DUMMYFUNCTION("""COMPUTED_VALUE"""),"Uncle Sams Cider (5/13/2022)")</f>
        <v>Uncle Sams Cider (5/13/2022)</v>
      </c>
      <c r="H521" s="19"/>
    </row>
    <row r="522">
      <c r="A522" s="9"/>
      <c r="B522" s="15"/>
      <c r="C522" s="9">
        <f>IFERROR(__xludf.DUMMYFUNCTION("""COMPUTED_VALUE"""),44791.1933181713)</f>
        <v>44791.19332</v>
      </c>
      <c r="D522" s="15">
        <f>IFERROR(__xludf.DUMMYFUNCTION("""COMPUTED_VALUE"""),1.003)</f>
        <v>1.003</v>
      </c>
      <c r="E522" s="16">
        <f>IFERROR(__xludf.DUMMYFUNCTION("""COMPUTED_VALUE"""),66.0)</f>
        <v>66</v>
      </c>
      <c r="F522" s="19" t="str">
        <f>IFERROR(__xludf.DUMMYFUNCTION("""COMPUTED_VALUE"""),"BLACK")</f>
        <v>BLACK</v>
      </c>
      <c r="G522" s="20" t="str">
        <f>IFERROR(__xludf.DUMMYFUNCTION("""COMPUTED_VALUE"""),"Uncle Sams Cider (5/13/2022)")</f>
        <v>Uncle Sams Cider (5/13/2022)</v>
      </c>
      <c r="H522" s="19"/>
    </row>
    <row r="523">
      <c r="A523" s="9"/>
      <c r="B523" s="15"/>
      <c r="C523" s="9">
        <f>IFERROR(__xludf.DUMMYFUNCTION("""COMPUTED_VALUE"""),44791.1828950578)</f>
        <v>44791.1829</v>
      </c>
      <c r="D523" s="15">
        <f>IFERROR(__xludf.DUMMYFUNCTION("""COMPUTED_VALUE"""),1.004)</f>
        <v>1.004</v>
      </c>
      <c r="E523" s="16">
        <f>IFERROR(__xludf.DUMMYFUNCTION("""COMPUTED_VALUE"""),66.0)</f>
        <v>66</v>
      </c>
      <c r="F523" s="19" t="str">
        <f>IFERROR(__xludf.DUMMYFUNCTION("""COMPUTED_VALUE"""),"BLACK")</f>
        <v>BLACK</v>
      </c>
      <c r="G523" s="20" t="str">
        <f>IFERROR(__xludf.DUMMYFUNCTION("""COMPUTED_VALUE"""),"Uncle Sams Cider (5/13/2022)")</f>
        <v>Uncle Sams Cider (5/13/2022)</v>
      </c>
      <c r="H523" s="19"/>
    </row>
    <row r="524">
      <c r="A524" s="9"/>
      <c r="B524" s="15"/>
      <c r="C524" s="9">
        <f>IFERROR(__xludf.DUMMYFUNCTION("""COMPUTED_VALUE"""),44791.1724741782)</f>
        <v>44791.17247</v>
      </c>
      <c r="D524" s="15">
        <f>IFERROR(__xludf.DUMMYFUNCTION("""COMPUTED_VALUE"""),1.003)</f>
        <v>1.003</v>
      </c>
      <c r="E524" s="16">
        <f>IFERROR(__xludf.DUMMYFUNCTION("""COMPUTED_VALUE"""),66.0)</f>
        <v>66</v>
      </c>
      <c r="F524" s="19" t="str">
        <f>IFERROR(__xludf.DUMMYFUNCTION("""COMPUTED_VALUE"""),"BLACK")</f>
        <v>BLACK</v>
      </c>
      <c r="G524" s="20" t="str">
        <f>IFERROR(__xludf.DUMMYFUNCTION("""COMPUTED_VALUE"""),"Uncle Sams Cider (5/13/2022)")</f>
        <v>Uncle Sams Cider (5/13/2022)</v>
      </c>
      <c r="H524" s="19"/>
    </row>
    <row r="525">
      <c r="A525" s="9"/>
      <c r="B525" s="15"/>
      <c r="C525" s="9">
        <f>IFERROR(__xludf.DUMMYFUNCTION("""COMPUTED_VALUE"""),44791.1620527662)</f>
        <v>44791.16205</v>
      </c>
      <c r="D525" s="15">
        <f>IFERROR(__xludf.DUMMYFUNCTION("""COMPUTED_VALUE"""),1.003)</f>
        <v>1.003</v>
      </c>
      <c r="E525" s="16">
        <f>IFERROR(__xludf.DUMMYFUNCTION("""COMPUTED_VALUE"""),66.0)</f>
        <v>66</v>
      </c>
      <c r="F525" s="19" t="str">
        <f>IFERROR(__xludf.DUMMYFUNCTION("""COMPUTED_VALUE"""),"BLACK")</f>
        <v>BLACK</v>
      </c>
      <c r="G525" s="20" t="str">
        <f>IFERROR(__xludf.DUMMYFUNCTION("""COMPUTED_VALUE"""),"Uncle Sams Cider (5/13/2022)")</f>
        <v>Uncle Sams Cider (5/13/2022)</v>
      </c>
      <c r="H525" s="19"/>
    </row>
    <row r="526">
      <c r="A526" s="9"/>
      <c r="B526" s="15"/>
      <c r="C526" s="9">
        <f>IFERROR(__xludf.DUMMYFUNCTION("""COMPUTED_VALUE"""),44791.1516206597)</f>
        <v>44791.15162</v>
      </c>
      <c r="D526" s="15">
        <f>IFERROR(__xludf.DUMMYFUNCTION("""COMPUTED_VALUE"""),1.003)</f>
        <v>1.003</v>
      </c>
      <c r="E526" s="16">
        <f>IFERROR(__xludf.DUMMYFUNCTION("""COMPUTED_VALUE"""),67.0)</f>
        <v>67</v>
      </c>
      <c r="F526" s="19" t="str">
        <f>IFERROR(__xludf.DUMMYFUNCTION("""COMPUTED_VALUE"""),"BLACK")</f>
        <v>BLACK</v>
      </c>
      <c r="G526" s="20" t="str">
        <f>IFERROR(__xludf.DUMMYFUNCTION("""COMPUTED_VALUE"""),"Uncle Sams Cider (5/13/2022)")</f>
        <v>Uncle Sams Cider (5/13/2022)</v>
      </c>
      <c r="H526" s="19"/>
    </row>
    <row r="527">
      <c r="A527" s="9"/>
      <c r="B527" s="15"/>
      <c r="C527" s="9">
        <f>IFERROR(__xludf.DUMMYFUNCTION("""COMPUTED_VALUE"""),44791.1411992476)</f>
        <v>44791.1412</v>
      </c>
      <c r="D527" s="15">
        <f>IFERROR(__xludf.DUMMYFUNCTION("""COMPUTED_VALUE"""),1.003)</f>
        <v>1.003</v>
      </c>
      <c r="E527" s="16">
        <f>IFERROR(__xludf.DUMMYFUNCTION("""COMPUTED_VALUE"""),68.0)</f>
        <v>68</v>
      </c>
      <c r="F527" s="19" t="str">
        <f>IFERROR(__xludf.DUMMYFUNCTION("""COMPUTED_VALUE"""),"BLACK")</f>
        <v>BLACK</v>
      </c>
      <c r="G527" s="20" t="str">
        <f>IFERROR(__xludf.DUMMYFUNCTION("""COMPUTED_VALUE"""),"Uncle Sams Cider (5/13/2022)")</f>
        <v>Uncle Sams Cider (5/13/2022)</v>
      </c>
      <c r="H527" s="19"/>
    </row>
    <row r="528">
      <c r="A528" s="9"/>
      <c r="B528" s="15"/>
      <c r="C528" s="9">
        <f>IFERROR(__xludf.DUMMYFUNCTION("""COMPUTED_VALUE"""),44791.1307777199)</f>
        <v>44791.13078</v>
      </c>
      <c r="D528" s="15">
        <f>IFERROR(__xludf.DUMMYFUNCTION("""COMPUTED_VALUE"""),1.003)</f>
        <v>1.003</v>
      </c>
      <c r="E528" s="16">
        <f>IFERROR(__xludf.DUMMYFUNCTION("""COMPUTED_VALUE"""),68.0)</f>
        <v>68</v>
      </c>
      <c r="F528" s="19" t="str">
        <f>IFERROR(__xludf.DUMMYFUNCTION("""COMPUTED_VALUE"""),"BLACK")</f>
        <v>BLACK</v>
      </c>
      <c r="G528" s="20" t="str">
        <f>IFERROR(__xludf.DUMMYFUNCTION("""COMPUTED_VALUE"""),"Uncle Sams Cider (5/13/2022)")</f>
        <v>Uncle Sams Cider (5/13/2022)</v>
      </c>
      <c r="H528" s="19"/>
    </row>
    <row r="529">
      <c r="A529" s="9"/>
      <c r="B529" s="15"/>
      <c r="C529" s="9">
        <f>IFERROR(__xludf.DUMMYFUNCTION("""COMPUTED_VALUE"""),44791.1203571759)</f>
        <v>44791.12036</v>
      </c>
      <c r="D529" s="15">
        <f>IFERROR(__xludf.DUMMYFUNCTION("""COMPUTED_VALUE"""),1.003)</f>
        <v>1.003</v>
      </c>
      <c r="E529" s="16">
        <f>IFERROR(__xludf.DUMMYFUNCTION("""COMPUTED_VALUE"""),69.0)</f>
        <v>69</v>
      </c>
      <c r="F529" s="19" t="str">
        <f>IFERROR(__xludf.DUMMYFUNCTION("""COMPUTED_VALUE"""),"BLACK")</f>
        <v>BLACK</v>
      </c>
      <c r="G529" s="20" t="str">
        <f>IFERROR(__xludf.DUMMYFUNCTION("""COMPUTED_VALUE"""),"Uncle Sams Cider (5/13/2022)")</f>
        <v>Uncle Sams Cider (5/13/2022)</v>
      </c>
      <c r="H529" s="19"/>
    </row>
    <row r="530">
      <c r="A530" s="9"/>
      <c r="B530" s="15"/>
      <c r="C530" s="9">
        <f>IFERROR(__xludf.DUMMYFUNCTION("""COMPUTED_VALUE"""),44791.1099343865)</f>
        <v>44791.10993</v>
      </c>
      <c r="D530" s="15">
        <f>IFERROR(__xludf.DUMMYFUNCTION("""COMPUTED_VALUE"""),1.003)</f>
        <v>1.003</v>
      </c>
      <c r="E530" s="16">
        <f>IFERROR(__xludf.DUMMYFUNCTION("""COMPUTED_VALUE"""),70.0)</f>
        <v>70</v>
      </c>
      <c r="F530" s="19" t="str">
        <f>IFERROR(__xludf.DUMMYFUNCTION("""COMPUTED_VALUE"""),"BLACK")</f>
        <v>BLACK</v>
      </c>
      <c r="G530" s="20" t="str">
        <f>IFERROR(__xludf.DUMMYFUNCTION("""COMPUTED_VALUE"""),"Uncle Sams Cider (5/13/2022)")</f>
        <v>Uncle Sams Cider (5/13/2022)</v>
      </c>
      <c r="H530" s="19"/>
    </row>
    <row r="531">
      <c r="A531" s="9"/>
      <c r="B531" s="15"/>
      <c r="C531" s="9">
        <f>IFERROR(__xludf.DUMMYFUNCTION("""COMPUTED_VALUE"""),44791.0995129745)</f>
        <v>44791.09951</v>
      </c>
      <c r="D531" s="15">
        <f>IFERROR(__xludf.DUMMYFUNCTION("""COMPUTED_VALUE"""),1.004)</f>
        <v>1.004</v>
      </c>
      <c r="E531" s="16">
        <f>IFERROR(__xludf.DUMMYFUNCTION("""COMPUTED_VALUE"""),70.0)</f>
        <v>70</v>
      </c>
      <c r="F531" s="19" t="str">
        <f>IFERROR(__xludf.DUMMYFUNCTION("""COMPUTED_VALUE"""),"BLACK")</f>
        <v>BLACK</v>
      </c>
      <c r="G531" s="20" t="str">
        <f>IFERROR(__xludf.DUMMYFUNCTION("""COMPUTED_VALUE"""),"Uncle Sams Cider (5/13/2022)")</f>
        <v>Uncle Sams Cider (5/13/2022)</v>
      </c>
      <c r="H531" s="19"/>
    </row>
    <row r="532">
      <c r="A532" s="9"/>
      <c r="B532" s="15"/>
      <c r="C532" s="9">
        <f>IFERROR(__xludf.DUMMYFUNCTION("""COMPUTED_VALUE"""),44791.0890913194)</f>
        <v>44791.08909</v>
      </c>
      <c r="D532" s="15">
        <f>IFERROR(__xludf.DUMMYFUNCTION("""COMPUTED_VALUE"""),1.004)</f>
        <v>1.004</v>
      </c>
      <c r="E532" s="16">
        <f>IFERROR(__xludf.DUMMYFUNCTION("""COMPUTED_VALUE"""),70.0)</f>
        <v>70</v>
      </c>
      <c r="F532" s="19" t="str">
        <f>IFERROR(__xludf.DUMMYFUNCTION("""COMPUTED_VALUE"""),"BLACK")</f>
        <v>BLACK</v>
      </c>
      <c r="G532" s="20" t="str">
        <f>IFERROR(__xludf.DUMMYFUNCTION("""COMPUTED_VALUE"""),"Uncle Sams Cider (5/13/2022)")</f>
        <v>Uncle Sams Cider (5/13/2022)</v>
      </c>
      <c r="H532" s="19"/>
    </row>
    <row r="533">
      <c r="A533" s="9"/>
      <c r="B533" s="15"/>
      <c r="C533" s="9">
        <f>IFERROR(__xludf.DUMMYFUNCTION("""COMPUTED_VALUE"""),44791.0786697338)</f>
        <v>44791.07867</v>
      </c>
      <c r="D533" s="15">
        <f>IFERROR(__xludf.DUMMYFUNCTION("""COMPUTED_VALUE"""),1.003)</f>
        <v>1.003</v>
      </c>
      <c r="E533" s="16">
        <f>IFERROR(__xludf.DUMMYFUNCTION("""COMPUTED_VALUE"""),70.0)</f>
        <v>70</v>
      </c>
      <c r="F533" s="19" t="str">
        <f>IFERROR(__xludf.DUMMYFUNCTION("""COMPUTED_VALUE"""),"BLACK")</f>
        <v>BLACK</v>
      </c>
      <c r="G533" s="20" t="str">
        <f>IFERROR(__xludf.DUMMYFUNCTION("""COMPUTED_VALUE"""),"Uncle Sams Cider (5/13/2022)")</f>
        <v>Uncle Sams Cider (5/13/2022)</v>
      </c>
      <c r="H533" s="19"/>
    </row>
    <row r="534">
      <c r="A534" s="9"/>
      <c r="B534" s="15"/>
      <c r="C534" s="9">
        <f>IFERROR(__xludf.DUMMYFUNCTION("""COMPUTED_VALUE"""),44791.0682482986)</f>
        <v>44791.06825</v>
      </c>
      <c r="D534" s="15">
        <f>IFERROR(__xludf.DUMMYFUNCTION("""COMPUTED_VALUE"""),1.004)</f>
        <v>1.004</v>
      </c>
      <c r="E534" s="16">
        <f>IFERROR(__xludf.DUMMYFUNCTION("""COMPUTED_VALUE"""),70.0)</f>
        <v>70</v>
      </c>
      <c r="F534" s="19" t="str">
        <f>IFERROR(__xludf.DUMMYFUNCTION("""COMPUTED_VALUE"""),"BLACK")</f>
        <v>BLACK</v>
      </c>
      <c r="G534" s="20" t="str">
        <f>IFERROR(__xludf.DUMMYFUNCTION("""COMPUTED_VALUE"""),"Uncle Sams Cider (5/13/2022)")</f>
        <v>Uncle Sams Cider (5/13/2022)</v>
      </c>
      <c r="H534" s="19"/>
    </row>
    <row r="535">
      <c r="A535" s="9"/>
      <c r="B535" s="15"/>
      <c r="C535" s="9">
        <f>IFERROR(__xludf.DUMMYFUNCTION("""COMPUTED_VALUE"""),44791.0578287962)</f>
        <v>44791.05783</v>
      </c>
      <c r="D535" s="15">
        <f>IFERROR(__xludf.DUMMYFUNCTION("""COMPUTED_VALUE"""),1.004)</f>
        <v>1.004</v>
      </c>
      <c r="E535" s="16">
        <f>IFERROR(__xludf.DUMMYFUNCTION("""COMPUTED_VALUE"""),70.0)</f>
        <v>70</v>
      </c>
      <c r="F535" s="19" t="str">
        <f>IFERROR(__xludf.DUMMYFUNCTION("""COMPUTED_VALUE"""),"BLACK")</f>
        <v>BLACK</v>
      </c>
      <c r="G535" s="20" t="str">
        <f>IFERROR(__xludf.DUMMYFUNCTION("""COMPUTED_VALUE"""),"Uncle Sams Cider (5/13/2022)")</f>
        <v>Uncle Sams Cider (5/13/2022)</v>
      </c>
      <c r="H535" s="19"/>
    </row>
    <row r="536">
      <c r="A536" s="9"/>
      <c r="B536" s="15"/>
      <c r="C536" s="9">
        <f>IFERROR(__xludf.DUMMYFUNCTION("""COMPUTED_VALUE"""),44791.0474076967)</f>
        <v>44791.04741</v>
      </c>
      <c r="D536" s="15">
        <f>IFERROR(__xludf.DUMMYFUNCTION("""COMPUTED_VALUE"""),1.004)</f>
        <v>1.004</v>
      </c>
      <c r="E536" s="16">
        <f>IFERROR(__xludf.DUMMYFUNCTION("""COMPUTED_VALUE"""),70.0)</f>
        <v>70</v>
      </c>
      <c r="F536" s="19" t="str">
        <f>IFERROR(__xludf.DUMMYFUNCTION("""COMPUTED_VALUE"""),"BLACK")</f>
        <v>BLACK</v>
      </c>
      <c r="G536" s="20" t="str">
        <f>IFERROR(__xludf.DUMMYFUNCTION("""COMPUTED_VALUE"""),"Uncle Sams Cider (5/13/2022)")</f>
        <v>Uncle Sams Cider (5/13/2022)</v>
      </c>
      <c r="H536" s="19"/>
    </row>
    <row r="537">
      <c r="A537" s="9"/>
      <c r="B537" s="15"/>
      <c r="C537" s="9">
        <f>IFERROR(__xludf.DUMMYFUNCTION("""COMPUTED_VALUE"""),44791.0369850115)</f>
        <v>44791.03699</v>
      </c>
      <c r="D537" s="15">
        <f>IFERROR(__xludf.DUMMYFUNCTION("""COMPUTED_VALUE"""),1.003)</f>
        <v>1.003</v>
      </c>
      <c r="E537" s="16">
        <f>IFERROR(__xludf.DUMMYFUNCTION("""COMPUTED_VALUE"""),70.0)</f>
        <v>70</v>
      </c>
      <c r="F537" s="19" t="str">
        <f>IFERROR(__xludf.DUMMYFUNCTION("""COMPUTED_VALUE"""),"BLACK")</f>
        <v>BLACK</v>
      </c>
      <c r="G537" s="20" t="str">
        <f>IFERROR(__xludf.DUMMYFUNCTION("""COMPUTED_VALUE"""),"Uncle Sams Cider (5/13/2022)")</f>
        <v>Uncle Sams Cider (5/13/2022)</v>
      </c>
      <c r="H537" s="19"/>
    </row>
    <row r="538">
      <c r="A538" s="9"/>
      <c r="B538" s="15"/>
      <c r="C538" s="9">
        <f>IFERROR(__xludf.DUMMYFUNCTION("""COMPUTED_VALUE"""),44791.0265654282)</f>
        <v>44791.02657</v>
      </c>
      <c r="D538" s="15">
        <f>IFERROR(__xludf.DUMMYFUNCTION("""COMPUTED_VALUE"""),1.004)</f>
        <v>1.004</v>
      </c>
      <c r="E538" s="16">
        <f>IFERROR(__xludf.DUMMYFUNCTION("""COMPUTED_VALUE"""),70.0)</f>
        <v>70</v>
      </c>
      <c r="F538" s="19" t="str">
        <f>IFERROR(__xludf.DUMMYFUNCTION("""COMPUTED_VALUE"""),"BLACK")</f>
        <v>BLACK</v>
      </c>
      <c r="G538" s="20" t="str">
        <f>IFERROR(__xludf.DUMMYFUNCTION("""COMPUTED_VALUE"""),"Uncle Sams Cider (5/13/2022)")</f>
        <v>Uncle Sams Cider (5/13/2022)</v>
      </c>
      <c r="H538" s="19"/>
    </row>
    <row r="539">
      <c r="A539" s="9"/>
      <c r="B539" s="15"/>
      <c r="C539" s="9">
        <f>IFERROR(__xludf.DUMMYFUNCTION("""COMPUTED_VALUE"""),44791.0161452662)</f>
        <v>44791.01615</v>
      </c>
      <c r="D539" s="15">
        <f>IFERROR(__xludf.DUMMYFUNCTION("""COMPUTED_VALUE"""),1.003)</f>
        <v>1.003</v>
      </c>
      <c r="E539" s="16">
        <f>IFERROR(__xludf.DUMMYFUNCTION("""COMPUTED_VALUE"""),70.0)</f>
        <v>70</v>
      </c>
      <c r="F539" s="19" t="str">
        <f>IFERROR(__xludf.DUMMYFUNCTION("""COMPUTED_VALUE"""),"BLACK")</f>
        <v>BLACK</v>
      </c>
      <c r="G539" s="20" t="str">
        <f>IFERROR(__xludf.DUMMYFUNCTION("""COMPUTED_VALUE"""),"Uncle Sams Cider (5/13/2022)")</f>
        <v>Uncle Sams Cider (5/13/2022)</v>
      </c>
      <c r="H539" s="19"/>
    </row>
    <row r="540">
      <c r="A540" s="9"/>
      <c r="B540" s="15"/>
      <c r="C540" s="9">
        <f>IFERROR(__xludf.DUMMYFUNCTION("""COMPUTED_VALUE"""),44791.0057248379)</f>
        <v>44791.00572</v>
      </c>
      <c r="D540" s="15">
        <f>IFERROR(__xludf.DUMMYFUNCTION("""COMPUTED_VALUE"""),1.003)</f>
        <v>1.003</v>
      </c>
      <c r="E540" s="16">
        <f>IFERROR(__xludf.DUMMYFUNCTION("""COMPUTED_VALUE"""),70.0)</f>
        <v>70</v>
      </c>
      <c r="F540" s="19" t="str">
        <f>IFERROR(__xludf.DUMMYFUNCTION("""COMPUTED_VALUE"""),"BLACK")</f>
        <v>BLACK</v>
      </c>
      <c r="G540" s="20" t="str">
        <f>IFERROR(__xludf.DUMMYFUNCTION("""COMPUTED_VALUE"""),"Uncle Sams Cider (5/13/2022)")</f>
        <v>Uncle Sams Cider (5/13/2022)</v>
      </c>
      <c r="H540" s="19"/>
    </row>
    <row r="541">
      <c r="A541" s="9"/>
      <c r="B541" s="15"/>
      <c r="C541" s="9">
        <f>IFERROR(__xludf.DUMMYFUNCTION("""COMPUTED_VALUE"""),44790.9953055208)</f>
        <v>44790.99531</v>
      </c>
      <c r="D541" s="15">
        <f>IFERROR(__xludf.DUMMYFUNCTION("""COMPUTED_VALUE"""),1.003)</f>
        <v>1.003</v>
      </c>
      <c r="E541" s="16">
        <f>IFERROR(__xludf.DUMMYFUNCTION("""COMPUTED_VALUE"""),70.0)</f>
        <v>70</v>
      </c>
      <c r="F541" s="19" t="str">
        <f>IFERROR(__xludf.DUMMYFUNCTION("""COMPUTED_VALUE"""),"BLACK")</f>
        <v>BLACK</v>
      </c>
      <c r="G541" s="20" t="str">
        <f>IFERROR(__xludf.DUMMYFUNCTION("""COMPUTED_VALUE"""),"Uncle Sams Cider (5/13/2022)")</f>
        <v>Uncle Sams Cider (5/13/2022)</v>
      </c>
      <c r="H541" s="19"/>
    </row>
    <row r="542">
      <c r="A542" s="9"/>
      <c r="B542" s="15"/>
      <c r="C542" s="9">
        <f>IFERROR(__xludf.DUMMYFUNCTION("""COMPUTED_VALUE"""),44790.9848837037)</f>
        <v>44790.98488</v>
      </c>
      <c r="D542" s="15">
        <f>IFERROR(__xludf.DUMMYFUNCTION("""COMPUTED_VALUE"""),1.004)</f>
        <v>1.004</v>
      </c>
      <c r="E542" s="16">
        <f>IFERROR(__xludf.DUMMYFUNCTION("""COMPUTED_VALUE"""),70.0)</f>
        <v>70</v>
      </c>
      <c r="F542" s="19" t="str">
        <f>IFERROR(__xludf.DUMMYFUNCTION("""COMPUTED_VALUE"""),"BLACK")</f>
        <v>BLACK</v>
      </c>
      <c r="G542" s="20" t="str">
        <f>IFERROR(__xludf.DUMMYFUNCTION("""COMPUTED_VALUE"""),"Uncle Sams Cider (5/13/2022)")</f>
        <v>Uncle Sams Cider (5/13/2022)</v>
      </c>
      <c r="H542" s="19"/>
    </row>
    <row r="543">
      <c r="A543" s="9"/>
      <c r="B543" s="15"/>
      <c r="C543" s="9">
        <f>IFERROR(__xludf.DUMMYFUNCTION("""COMPUTED_VALUE"""),44790.9744622338)</f>
        <v>44790.97446</v>
      </c>
      <c r="D543" s="15">
        <f>IFERROR(__xludf.DUMMYFUNCTION("""COMPUTED_VALUE"""),1.003)</f>
        <v>1.003</v>
      </c>
      <c r="E543" s="16">
        <f>IFERROR(__xludf.DUMMYFUNCTION("""COMPUTED_VALUE"""),70.0)</f>
        <v>70</v>
      </c>
      <c r="F543" s="19" t="str">
        <f>IFERROR(__xludf.DUMMYFUNCTION("""COMPUTED_VALUE"""),"BLACK")</f>
        <v>BLACK</v>
      </c>
      <c r="G543" s="20" t="str">
        <f>IFERROR(__xludf.DUMMYFUNCTION("""COMPUTED_VALUE"""),"Uncle Sams Cider (5/13/2022)")</f>
        <v>Uncle Sams Cider (5/13/2022)</v>
      </c>
      <c r="H543" s="19"/>
    </row>
    <row r="544">
      <c r="A544" s="9"/>
      <c r="B544" s="15"/>
      <c r="C544" s="9">
        <f>IFERROR(__xludf.DUMMYFUNCTION("""COMPUTED_VALUE"""),44790.9640174537)</f>
        <v>44790.96402</v>
      </c>
      <c r="D544" s="15">
        <f>IFERROR(__xludf.DUMMYFUNCTION("""COMPUTED_VALUE"""),1.003)</f>
        <v>1.003</v>
      </c>
      <c r="E544" s="16">
        <f>IFERROR(__xludf.DUMMYFUNCTION("""COMPUTED_VALUE"""),70.0)</f>
        <v>70</v>
      </c>
      <c r="F544" s="19" t="str">
        <f>IFERROR(__xludf.DUMMYFUNCTION("""COMPUTED_VALUE"""),"BLACK")</f>
        <v>BLACK</v>
      </c>
      <c r="G544" s="20" t="str">
        <f>IFERROR(__xludf.DUMMYFUNCTION("""COMPUTED_VALUE"""),"Uncle Sams Cider (5/13/2022)")</f>
        <v>Uncle Sams Cider (5/13/2022)</v>
      </c>
      <c r="H544" s="19"/>
    </row>
    <row r="545">
      <c r="A545" s="9"/>
      <c r="B545" s="15"/>
      <c r="C545" s="9">
        <f>IFERROR(__xludf.DUMMYFUNCTION("""COMPUTED_VALUE"""),44790.9535840856)</f>
        <v>44790.95358</v>
      </c>
      <c r="D545" s="15">
        <f>IFERROR(__xludf.DUMMYFUNCTION("""COMPUTED_VALUE"""),1.004)</f>
        <v>1.004</v>
      </c>
      <c r="E545" s="16">
        <f>IFERROR(__xludf.DUMMYFUNCTION("""COMPUTED_VALUE"""),70.0)</f>
        <v>70</v>
      </c>
      <c r="F545" s="19" t="str">
        <f>IFERROR(__xludf.DUMMYFUNCTION("""COMPUTED_VALUE"""),"BLACK")</f>
        <v>BLACK</v>
      </c>
      <c r="G545" s="20" t="str">
        <f>IFERROR(__xludf.DUMMYFUNCTION("""COMPUTED_VALUE"""),"Uncle Sams Cider (5/13/2022)")</f>
        <v>Uncle Sams Cider (5/13/2022)</v>
      </c>
      <c r="H545" s="19"/>
    </row>
    <row r="546">
      <c r="A546" s="9"/>
      <c r="B546" s="15"/>
      <c r="C546" s="9">
        <f>IFERROR(__xludf.DUMMYFUNCTION("""COMPUTED_VALUE"""),44790.9431630671)</f>
        <v>44790.94316</v>
      </c>
      <c r="D546" s="15">
        <f>IFERROR(__xludf.DUMMYFUNCTION("""COMPUTED_VALUE"""),1.004)</f>
        <v>1.004</v>
      </c>
      <c r="E546" s="16">
        <f>IFERROR(__xludf.DUMMYFUNCTION("""COMPUTED_VALUE"""),70.0)</f>
        <v>70</v>
      </c>
      <c r="F546" s="19" t="str">
        <f>IFERROR(__xludf.DUMMYFUNCTION("""COMPUTED_VALUE"""),"BLACK")</f>
        <v>BLACK</v>
      </c>
      <c r="G546" s="20" t="str">
        <f>IFERROR(__xludf.DUMMYFUNCTION("""COMPUTED_VALUE"""),"Uncle Sams Cider (5/13/2022)")</f>
        <v>Uncle Sams Cider (5/13/2022)</v>
      </c>
      <c r="H546" s="19"/>
    </row>
    <row r="547">
      <c r="A547" s="9"/>
      <c r="B547" s="15"/>
      <c r="C547" s="9">
        <f>IFERROR(__xludf.DUMMYFUNCTION("""COMPUTED_VALUE"""),44790.9327415393)</f>
        <v>44790.93274</v>
      </c>
      <c r="D547" s="15">
        <f>IFERROR(__xludf.DUMMYFUNCTION("""COMPUTED_VALUE"""),1.003)</f>
        <v>1.003</v>
      </c>
      <c r="E547" s="16">
        <f>IFERROR(__xludf.DUMMYFUNCTION("""COMPUTED_VALUE"""),70.0)</f>
        <v>70</v>
      </c>
      <c r="F547" s="19" t="str">
        <f>IFERROR(__xludf.DUMMYFUNCTION("""COMPUTED_VALUE"""),"BLACK")</f>
        <v>BLACK</v>
      </c>
      <c r="G547" s="20" t="str">
        <f>IFERROR(__xludf.DUMMYFUNCTION("""COMPUTED_VALUE"""),"Uncle Sams Cider (5/13/2022)")</f>
        <v>Uncle Sams Cider (5/13/2022)</v>
      </c>
      <c r="H547" s="19"/>
    </row>
    <row r="548">
      <c r="A548" s="9"/>
      <c r="B548" s="15"/>
      <c r="C548" s="9">
        <f>IFERROR(__xludf.DUMMYFUNCTION("""COMPUTED_VALUE"""),44790.9223088657)</f>
        <v>44790.92231</v>
      </c>
      <c r="D548" s="15">
        <f>IFERROR(__xludf.DUMMYFUNCTION("""COMPUTED_VALUE"""),1.004)</f>
        <v>1.004</v>
      </c>
      <c r="E548" s="16">
        <f>IFERROR(__xludf.DUMMYFUNCTION("""COMPUTED_VALUE"""),70.0)</f>
        <v>70</v>
      </c>
      <c r="F548" s="19" t="str">
        <f>IFERROR(__xludf.DUMMYFUNCTION("""COMPUTED_VALUE"""),"BLACK")</f>
        <v>BLACK</v>
      </c>
      <c r="G548" s="20" t="str">
        <f>IFERROR(__xludf.DUMMYFUNCTION("""COMPUTED_VALUE"""),"Uncle Sams Cider (5/13/2022)")</f>
        <v>Uncle Sams Cider (5/13/2022)</v>
      </c>
      <c r="H548" s="19"/>
    </row>
    <row r="549">
      <c r="A549" s="9"/>
      <c r="B549" s="15"/>
      <c r="C549" s="9">
        <f>IFERROR(__xludf.DUMMYFUNCTION("""COMPUTED_VALUE"""),44790.9118870717)</f>
        <v>44790.91189</v>
      </c>
      <c r="D549" s="15">
        <f>IFERROR(__xludf.DUMMYFUNCTION("""COMPUTED_VALUE"""),1.003)</f>
        <v>1.003</v>
      </c>
      <c r="E549" s="16">
        <f>IFERROR(__xludf.DUMMYFUNCTION("""COMPUTED_VALUE"""),70.0)</f>
        <v>70</v>
      </c>
      <c r="F549" s="19" t="str">
        <f>IFERROR(__xludf.DUMMYFUNCTION("""COMPUTED_VALUE"""),"BLACK")</f>
        <v>BLACK</v>
      </c>
      <c r="G549" s="20" t="str">
        <f>IFERROR(__xludf.DUMMYFUNCTION("""COMPUTED_VALUE"""),"Uncle Sams Cider (5/13/2022)")</f>
        <v>Uncle Sams Cider (5/13/2022)</v>
      </c>
      <c r="H549" s="19"/>
    </row>
    <row r="550">
      <c r="A550" s="9"/>
      <c r="B550" s="15"/>
      <c r="C550" s="9">
        <f>IFERROR(__xludf.DUMMYFUNCTION("""COMPUTED_VALUE"""),44790.9014678125)</f>
        <v>44790.90147</v>
      </c>
      <c r="D550" s="15">
        <f>IFERROR(__xludf.DUMMYFUNCTION("""COMPUTED_VALUE"""),1.003)</f>
        <v>1.003</v>
      </c>
      <c r="E550" s="16">
        <f>IFERROR(__xludf.DUMMYFUNCTION("""COMPUTED_VALUE"""),70.0)</f>
        <v>70</v>
      </c>
      <c r="F550" s="19" t="str">
        <f>IFERROR(__xludf.DUMMYFUNCTION("""COMPUTED_VALUE"""),"BLACK")</f>
        <v>BLACK</v>
      </c>
      <c r="G550" s="20" t="str">
        <f>IFERROR(__xludf.DUMMYFUNCTION("""COMPUTED_VALUE"""),"Uncle Sams Cider (5/13/2022)")</f>
        <v>Uncle Sams Cider (5/13/2022)</v>
      </c>
      <c r="H550" s="19"/>
    </row>
    <row r="551">
      <c r="A551" s="9"/>
      <c r="B551" s="15"/>
      <c r="C551" s="9">
        <f>IFERROR(__xludf.DUMMYFUNCTION("""COMPUTED_VALUE"""),44790.8910349652)</f>
        <v>44790.89103</v>
      </c>
      <c r="D551" s="15">
        <f>IFERROR(__xludf.DUMMYFUNCTION("""COMPUTED_VALUE"""),1.004)</f>
        <v>1.004</v>
      </c>
      <c r="E551" s="16">
        <f>IFERROR(__xludf.DUMMYFUNCTION("""COMPUTED_VALUE"""),70.0)</f>
        <v>70</v>
      </c>
      <c r="F551" s="19" t="str">
        <f>IFERROR(__xludf.DUMMYFUNCTION("""COMPUTED_VALUE"""),"BLACK")</f>
        <v>BLACK</v>
      </c>
      <c r="G551" s="20" t="str">
        <f>IFERROR(__xludf.DUMMYFUNCTION("""COMPUTED_VALUE"""),"Uncle Sams Cider (5/13/2022)")</f>
        <v>Uncle Sams Cider (5/13/2022)</v>
      </c>
      <c r="H551" s="19"/>
    </row>
    <row r="552">
      <c r="A552" s="9"/>
      <c r="B552" s="15"/>
      <c r="C552" s="9">
        <f>IFERROR(__xludf.DUMMYFUNCTION("""COMPUTED_VALUE"""),44790.8806147685)</f>
        <v>44790.88061</v>
      </c>
      <c r="D552" s="15">
        <f>IFERROR(__xludf.DUMMYFUNCTION("""COMPUTED_VALUE"""),1.004)</f>
        <v>1.004</v>
      </c>
      <c r="E552" s="16">
        <f>IFERROR(__xludf.DUMMYFUNCTION("""COMPUTED_VALUE"""),70.0)</f>
        <v>70</v>
      </c>
      <c r="F552" s="19" t="str">
        <f>IFERROR(__xludf.DUMMYFUNCTION("""COMPUTED_VALUE"""),"BLACK")</f>
        <v>BLACK</v>
      </c>
      <c r="G552" s="20" t="str">
        <f>IFERROR(__xludf.DUMMYFUNCTION("""COMPUTED_VALUE"""),"Uncle Sams Cider (5/13/2022)")</f>
        <v>Uncle Sams Cider (5/13/2022)</v>
      </c>
      <c r="H552" s="19"/>
    </row>
    <row r="553">
      <c r="A553" s="9"/>
      <c r="B553" s="15"/>
      <c r="C553" s="9">
        <f>IFERROR(__xludf.DUMMYFUNCTION("""COMPUTED_VALUE"""),44790.8701718287)</f>
        <v>44790.87017</v>
      </c>
      <c r="D553" s="15">
        <f>IFERROR(__xludf.DUMMYFUNCTION("""COMPUTED_VALUE"""),1.004)</f>
        <v>1.004</v>
      </c>
      <c r="E553" s="16">
        <f>IFERROR(__xludf.DUMMYFUNCTION("""COMPUTED_VALUE"""),70.0)</f>
        <v>70</v>
      </c>
      <c r="F553" s="19" t="str">
        <f>IFERROR(__xludf.DUMMYFUNCTION("""COMPUTED_VALUE"""),"BLACK")</f>
        <v>BLACK</v>
      </c>
      <c r="G553" s="20" t="str">
        <f>IFERROR(__xludf.DUMMYFUNCTION("""COMPUTED_VALUE"""),"Uncle Sams Cider (5/13/2022)")</f>
        <v>Uncle Sams Cider (5/13/2022)</v>
      </c>
      <c r="H553" s="19"/>
    </row>
    <row r="554">
      <c r="A554" s="9"/>
      <c r="B554" s="15"/>
      <c r="C554" s="9">
        <f>IFERROR(__xludf.DUMMYFUNCTION("""COMPUTED_VALUE"""),44790.8597397222)</f>
        <v>44790.85974</v>
      </c>
      <c r="D554" s="15">
        <f>IFERROR(__xludf.DUMMYFUNCTION("""COMPUTED_VALUE"""),1.004)</f>
        <v>1.004</v>
      </c>
      <c r="E554" s="16">
        <f>IFERROR(__xludf.DUMMYFUNCTION("""COMPUTED_VALUE"""),70.0)</f>
        <v>70</v>
      </c>
      <c r="F554" s="19" t="str">
        <f>IFERROR(__xludf.DUMMYFUNCTION("""COMPUTED_VALUE"""),"BLACK")</f>
        <v>BLACK</v>
      </c>
      <c r="G554" s="20" t="str">
        <f>IFERROR(__xludf.DUMMYFUNCTION("""COMPUTED_VALUE"""),"Uncle Sams Cider (5/13/2022)")</f>
        <v>Uncle Sams Cider (5/13/2022)</v>
      </c>
      <c r="H554" s="19"/>
    </row>
    <row r="555">
      <c r="A555" s="9"/>
      <c r="B555" s="15"/>
      <c r="C555" s="9">
        <f>IFERROR(__xludf.DUMMYFUNCTION("""COMPUTED_VALUE"""),44790.8493075926)</f>
        <v>44790.84931</v>
      </c>
      <c r="D555" s="15">
        <f>IFERROR(__xludf.DUMMYFUNCTION("""COMPUTED_VALUE"""),1.003)</f>
        <v>1.003</v>
      </c>
      <c r="E555" s="16">
        <f>IFERROR(__xludf.DUMMYFUNCTION("""COMPUTED_VALUE"""),70.0)</f>
        <v>70</v>
      </c>
      <c r="F555" s="19" t="str">
        <f>IFERROR(__xludf.DUMMYFUNCTION("""COMPUTED_VALUE"""),"BLACK")</f>
        <v>BLACK</v>
      </c>
      <c r="G555" s="20" t="str">
        <f>IFERROR(__xludf.DUMMYFUNCTION("""COMPUTED_VALUE"""),"Uncle Sams Cider (5/13/2022)")</f>
        <v>Uncle Sams Cider (5/13/2022)</v>
      </c>
      <c r="H555" s="19"/>
    </row>
    <row r="556">
      <c r="A556" s="9"/>
      <c r="B556" s="15"/>
      <c r="C556" s="9">
        <f>IFERROR(__xludf.DUMMYFUNCTION("""COMPUTED_VALUE"""),44790.8388864467)</f>
        <v>44790.83889</v>
      </c>
      <c r="D556" s="15">
        <f>IFERROR(__xludf.DUMMYFUNCTION("""COMPUTED_VALUE"""),1.004)</f>
        <v>1.004</v>
      </c>
      <c r="E556" s="16">
        <f>IFERROR(__xludf.DUMMYFUNCTION("""COMPUTED_VALUE"""),70.0)</f>
        <v>70</v>
      </c>
      <c r="F556" s="19" t="str">
        <f>IFERROR(__xludf.DUMMYFUNCTION("""COMPUTED_VALUE"""),"BLACK")</f>
        <v>BLACK</v>
      </c>
      <c r="G556" s="20" t="str">
        <f>IFERROR(__xludf.DUMMYFUNCTION("""COMPUTED_VALUE"""),"Uncle Sams Cider (5/13/2022)")</f>
        <v>Uncle Sams Cider (5/13/2022)</v>
      </c>
      <c r="H556" s="19"/>
    </row>
    <row r="557">
      <c r="A557" s="9"/>
      <c r="B557" s="15"/>
      <c r="C557" s="9">
        <f>IFERROR(__xludf.DUMMYFUNCTION("""COMPUTED_VALUE"""),44790.828465243)</f>
        <v>44790.82847</v>
      </c>
      <c r="D557" s="15">
        <f>IFERROR(__xludf.DUMMYFUNCTION("""COMPUTED_VALUE"""),1.004)</f>
        <v>1.004</v>
      </c>
      <c r="E557" s="16">
        <f>IFERROR(__xludf.DUMMYFUNCTION("""COMPUTED_VALUE"""),70.0)</f>
        <v>70</v>
      </c>
      <c r="F557" s="19" t="str">
        <f>IFERROR(__xludf.DUMMYFUNCTION("""COMPUTED_VALUE"""),"BLACK")</f>
        <v>BLACK</v>
      </c>
      <c r="G557" s="20" t="str">
        <f>IFERROR(__xludf.DUMMYFUNCTION("""COMPUTED_VALUE"""),"Uncle Sams Cider (5/13/2022)")</f>
        <v>Uncle Sams Cider (5/13/2022)</v>
      </c>
      <c r="H557" s="19"/>
    </row>
    <row r="558">
      <c r="A558" s="9"/>
      <c r="B558" s="15"/>
      <c r="C558" s="9">
        <f>IFERROR(__xludf.DUMMYFUNCTION("""COMPUTED_VALUE"""),44790.8180443634)</f>
        <v>44790.81804</v>
      </c>
      <c r="D558" s="15">
        <f>IFERROR(__xludf.DUMMYFUNCTION("""COMPUTED_VALUE"""),1.003)</f>
        <v>1.003</v>
      </c>
      <c r="E558" s="16">
        <f>IFERROR(__xludf.DUMMYFUNCTION("""COMPUTED_VALUE"""),70.0)</f>
        <v>70</v>
      </c>
      <c r="F558" s="19" t="str">
        <f>IFERROR(__xludf.DUMMYFUNCTION("""COMPUTED_VALUE"""),"BLACK")</f>
        <v>BLACK</v>
      </c>
      <c r="G558" s="20" t="str">
        <f>IFERROR(__xludf.DUMMYFUNCTION("""COMPUTED_VALUE"""),"Uncle Sams Cider (5/13/2022)")</f>
        <v>Uncle Sams Cider (5/13/2022)</v>
      </c>
      <c r="H558" s="19"/>
    </row>
    <row r="559">
      <c r="A559" s="9"/>
      <c r="B559" s="15"/>
      <c r="C559" s="9">
        <f>IFERROR(__xludf.DUMMYFUNCTION("""COMPUTED_VALUE"""),44790.8076233101)</f>
        <v>44790.80762</v>
      </c>
      <c r="D559" s="15">
        <f>IFERROR(__xludf.DUMMYFUNCTION("""COMPUTED_VALUE"""),1.004)</f>
        <v>1.004</v>
      </c>
      <c r="E559" s="16">
        <f>IFERROR(__xludf.DUMMYFUNCTION("""COMPUTED_VALUE"""),70.0)</f>
        <v>70</v>
      </c>
      <c r="F559" s="19" t="str">
        <f>IFERROR(__xludf.DUMMYFUNCTION("""COMPUTED_VALUE"""),"BLACK")</f>
        <v>BLACK</v>
      </c>
      <c r="G559" s="20" t="str">
        <f>IFERROR(__xludf.DUMMYFUNCTION("""COMPUTED_VALUE"""),"Uncle Sams Cider (5/13/2022)")</f>
        <v>Uncle Sams Cider (5/13/2022)</v>
      </c>
      <c r="H559" s="19"/>
    </row>
    <row r="560">
      <c r="A560" s="9"/>
      <c r="B560" s="15"/>
      <c r="C560" s="9">
        <f>IFERROR(__xludf.DUMMYFUNCTION("""COMPUTED_VALUE"""),44790.7971909259)</f>
        <v>44790.79719</v>
      </c>
      <c r="D560" s="15">
        <f>IFERROR(__xludf.DUMMYFUNCTION("""COMPUTED_VALUE"""),1.003)</f>
        <v>1.003</v>
      </c>
      <c r="E560" s="16">
        <f>IFERROR(__xludf.DUMMYFUNCTION("""COMPUTED_VALUE"""),70.0)</f>
        <v>70</v>
      </c>
      <c r="F560" s="19" t="str">
        <f>IFERROR(__xludf.DUMMYFUNCTION("""COMPUTED_VALUE"""),"BLACK")</f>
        <v>BLACK</v>
      </c>
      <c r="G560" s="20" t="str">
        <f>IFERROR(__xludf.DUMMYFUNCTION("""COMPUTED_VALUE"""),"Uncle Sams Cider (5/13/2022)")</f>
        <v>Uncle Sams Cider (5/13/2022)</v>
      </c>
      <c r="H560" s="19"/>
    </row>
    <row r="561">
      <c r="A561" s="9"/>
      <c r="B561" s="15"/>
      <c r="C561" s="9">
        <f>IFERROR(__xludf.DUMMYFUNCTION("""COMPUTED_VALUE"""),44790.7867691782)</f>
        <v>44790.78677</v>
      </c>
      <c r="D561" s="15">
        <f>IFERROR(__xludf.DUMMYFUNCTION("""COMPUTED_VALUE"""),1.003)</f>
        <v>1.003</v>
      </c>
      <c r="E561" s="16">
        <f>IFERROR(__xludf.DUMMYFUNCTION("""COMPUTED_VALUE"""),70.0)</f>
        <v>70</v>
      </c>
      <c r="F561" s="19" t="str">
        <f>IFERROR(__xludf.DUMMYFUNCTION("""COMPUTED_VALUE"""),"BLACK")</f>
        <v>BLACK</v>
      </c>
      <c r="G561" s="20" t="str">
        <f>IFERROR(__xludf.DUMMYFUNCTION("""COMPUTED_VALUE"""),"Uncle Sams Cider (5/13/2022)")</f>
        <v>Uncle Sams Cider (5/13/2022)</v>
      </c>
      <c r="H561" s="19"/>
    </row>
    <row r="562">
      <c r="A562" s="9"/>
      <c r="B562" s="15"/>
      <c r="C562" s="9">
        <f>IFERROR(__xludf.DUMMYFUNCTION("""COMPUTED_VALUE"""),44790.7763461689)</f>
        <v>44790.77635</v>
      </c>
      <c r="D562" s="15">
        <f>IFERROR(__xludf.DUMMYFUNCTION("""COMPUTED_VALUE"""),1.004)</f>
        <v>1.004</v>
      </c>
      <c r="E562" s="16">
        <f>IFERROR(__xludf.DUMMYFUNCTION("""COMPUTED_VALUE"""),70.0)</f>
        <v>70</v>
      </c>
      <c r="F562" s="19" t="str">
        <f>IFERROR(__xludf.DUMMYFUNCTION("""COMPUTED_VALUE"""),"BLACK")</f>
        <v>BLACK</v>
      </c>
      <c r="G562" s="20" t="str">
        <f>IFERROR(__xludf.DUMMYFUNCTION("""COMPUTED_VALUE"""),"Uncle Sams Cider (5/13/2022)")</f>
        <v>Uncle Sams Cider (5/13/2022)</v>
      </c>
      <c r="H562" s="19"/>
    </row>
    <row r="563">
      <c r="A563" s="9"/>
      <c r="B563" s="15"/>
      <c r="C563" s="9">
        <f>IFERROR(__xludf.DUMMYFUNCTION("""COMPUTED_VALUE"""),44790.7659249305)</f>
        <v>44790.76592</v>
      </c>
      <c r="D563" s="15">
        <f>IFERROR(__xludf.DUMMYFUNCTION("""COMPUTED_VALUE"""),1.004)</f>
        <v>1.004</v>
      </c>
      <c r="E563" s="16">
        <f>IFERROR(__xludf.DUMMYFUNCTION("""COMPUTED_VALUE"""),70.0)</f>
        <v>70</v>
      </c>
      <c r="F563" s="19" t="str">
        <f>IFERROR(__xludf.DUMMYFUNCTION("""COMPUTED_VALUE"""),"BLACK")</f>
        <v>BLACK</v>
      </c>
      <c r="G563" s="20" t="str">
        <f>IFERROR(__xludf.DUMMYFUNCTION("""COMPUTED_VALUE"""),"Uncle Sams Cider (5/13/2022)")</f>
        <v>Uncle Sams Cider (5/13/2022)</v>
      </c>
      <c r="H563" s="19"/>
    </row>
    <row r="564">
      <c r="A564" s="9"/>
      <c r="B564" s="15"/>
      <c r="C564" s="9">
        <f>IFERROR(__xludf.DUMMYFUNCTION("""COMPUTED_VALUE"""),44790.7554808912)</f>
        <v>44790.75548</v>
      </c>
      <c r="D564" s="15">
        <f>IFERROR(__xludf.DUMMYFUNCTION("""COMPUTED_VALUE"""),1.003)</f>
        <v>1.003</v>
      </c>
      <c r="E564" s="16">
        <f>IFERROR(__xludf.DUMMYFUNCTION("""COMPUTED_VALUE"""),70.0)</f>
        <v>70</v>
      </c>
      <c r="F564" s="19" t="str">
        <f>IFERROR(__xludf.DUMMYFUNCTION("""COMPUTED_VALUE"""),"BLACK")</f>
        <v>BLACK</v>
      </c>
      <c r="G564" s="20" t="str">
        <f>IFERROR(__xludf.DUMMYFUNCTION("""COMPUTED_VALUE"""),"Uncle Sams Cider (5/13/2022)")</f>
        <v>Uncle Sams Cider (5/13/2022)</v>
      </c>
      <c r="H564" s="19"/>
    </row>
    <row r="565">
      <c r="A565" s="9"/>
      <c r="B565" s="15"/>
      <c r="C565" s="9">
        <f>IFERROR(__xludf.DUMMYFUNCTION("""COMPUTED_VALUE"""),44790.7450606365)</f>
        <v>44790.74506</v>
      </c>
      <c r="D565" s="15">
        <f>IFERROR(__xludf.DUMMYFUNCTION("""COMPUTED_VALUE"""),1.004)</f>
        <v>1.004</v>
      </c>
      <c r="E565" s="16">
        <f>IFERROR(__xludf.DUMMYFUNCTION("""COMPUTED_VALUE"""),70.0)</f>
        <v>70</v>
      </c>
      <c r="F565" s="19" t="str">
        <f>IFERROR(__xludf.DUMMYFUNCTION("""COMPUTED_VALUE"""),"BLACK")</f>
        <v>BLACK</v>
      </c>
      <c r="G565" s="20" t="str">
        <f>IFERROR(__xludf.DUMMYFUNCTION("""COMPUTED_VALUE"""),"Uncle Sams Cider (5/13/2022)")</f>
        <v>Uncle Sams Cider (5/13/2022)</v>
      </c>
      <c r="H565" s="19"/>
    </row>
    <row r="566">
      <c r="A566" s="9"/>
      <c r="B566" s="15"/>
      <c r="C566" s="9">
        <f>IFERROR(__xludf.DUMMYFUNCTION("""COMPUTED_VALUE"""),44790.734628912)</f>
        <v>44790.73463</v>
      </c>
      <c r="D566" s="15">
        <f>IFERROR(__xludf.DUMMYFUNCTION("""COMPUTED_VALUE"""),1.004)</f>
        <v>1.004</v>
      </c>
      <c r="E566" s="16">
        <f>IFERROR(__xludf.DUMMYFUNCTION("""COMPUTED_VALUE"""),70.0)</f>
        <v>70</v>
      </c>
      <c r="F566" s="19" t="str">
        <f>IFERROR(__xludf.DUMMYFUNCTION("""COMPUTED_VALUE"""),"BLACK")</f>
        <v>BLACK</v>
      </c>
      <c r="G566" s="20" t="str">
        <f>IFERROR(__xludf.DUMMYFUNCTION("""COMPUTED_VALUE"""),"Uncle Sams Cider (5/13/2022)")</f>
        <v>Uncle Sams Cider (5/13/2022)</v>
      </c>
      <c r="H566" s="19"/>
    </row>
    <row r="567">
      <c r="A567" s="9"/>
      <c r="B567" s="15"/>
      <c r="C567" s="9">
        <f>IFERROR(__xludf.DUMMYFUNCTION("""COMPUTED_VALUE"""),44790.7241967824)</f>
        <v>44790.7242</v>
      </c>
      <c r="D567" s="15">
        <f>IFERROR(__xludf.DUMMYFUNCTION("""COMPUTED_VALUE"""),1.004)</f>
        <v>1.004</v>
      </c>
      <c r="E567" s="16">
        <f>IFERROR(__xludf.DUMMYFUNCTION("""COMPUTED_VALUE"""),70.0)</f>
        <v>70</v>
      </c>
      <c r="F567" s="19" t="str">
        <f>IFERROR(__xludf.DUMMYFUNCTION("""COMPUTED_VALUE"""),"BLACK")</f>
        <v>BLACK</v>
      </c>
      <c r="G567" s="20" t="str">
        <f>IFERROR(__xludf.DUMMYFUNCTION("""COMPUTED_VALUE"""),"Uncle Sams Cider (5/13/2022)")</f>
        <v>Uncle Sams Cider (5/13/2022)</v>
      </c>
      <c r="H567" s="19"/>
    </row>
    <row r="568">
      <c r="A568" s="9"/>
      <c r="B568" s="15"/>
      <c r="C568" s="9">
        <f>IFERROR(__xludf.DUMMYFUNCTION("""COMPUTED_VALUE"""),44790.7137744907)</f>
        <v>44790.71377</v>
      </c>
      <c r="D568" s="15">
        <f>IFERROR(__xludf.DUMMYFUNCTION("""COMPUTED_VALUE"""),1.004)</f>
        <v>1.004</v>
      </c>
      <c r="E568" s="16">
        <f>IFERROR(__xludf.DUMMYFUNCTION("""COMPUTED_VALUE"""),70.0)</f>
        <v>70</v>
      </c>
      <c r="F568" s="19" t="str">
        <f>IFERROR(__xludf.DUMMYFUNCTION("""COMPUTED_VALUE"""),"BLACK")</f>
        <v>BLACK</v>
      </c>
      <c r="G568" s="20" t="str">
        <f>IFERROR(__xludf.DUMMYFUNCTION("""COMPUTED_VALUE"""),"Uncle Sams Cider (5/13/2022)")</f>
        <v>Uncle Sams Cider (5/13/2022)</v>
      </c>
      <c r="H568" s="19"/>
    </row>
    <row r="569">
      <c r="A569" s="9"/>
      <c r="B569" s="15"/>
      <c r="C569" s="9">
        <f>IFERROR(__xludf.DUMMYFUNCTION("""COMPUTED_VALUE"""),44790.7033526157)</f>
        <v>44790.70335</v>
      </c>
      <c r="D569" s="15">
        <f>IFERROR(__xludf.DUMMYFUNCTION("""COMPUTED_VALUE"""),1.004)</f>
        <v>1.004</v>
      </c>
      <c r="E569" s="16">
        <f>IFERROR(__xludf.DUMMYFUNCTION("""COMPUTED_VALUE"""),70.0)</f>
        <v>70</v>
      </c>
      <c r="F569" s="19" t="str">
        <f>IFERROR(__xludf.DUMMYFUNCTION("""COMPUTED_VALUE"""),"BLACK")</f>
        <v>BLACK</v>
      </c>
      <c r="G569" s="20" t="str">
        <f>IFERROR(__xludf.DUMMYFUNCTION("""COMPUTED_VALUE"""),"Uncle Sams Cider (5/13/2022)")</f>
        <v>Uncle Sams Cider (5/13/2022)</v>
      </c>
      <c r="H569" s="19"/>
    </row>
    <row r="570">
      <c r="A570" s="9"/>
      <c r="B570" s="15"/>
      <c r="C570" s="9">
        <f>IFERROR(__xludf.DUMMYFUNCTION("""COMPUTED_VALUE"""),44790.6929206713)</f>
        <v>44790.69292</v>
      </c>
      <c r="D570" s="15">
        <f>IFERROR(__xludf.DUMMYFUNCTION("""COMPUTED_VALUE"""),1.004)</f>
        <v>1.004</v>
      </c>
      <c r="E570" s="16">
        <f>IFERROR(__xludf.DUMMYFUNCTION("""COMPUTED_VALUE"""),70.0)</f>
        <v>70</v>
      </c>
      <c r="F570" s="19" t="str">
        <f>IFERROR(__xludf.DUMMYFUNCTION("""COMPUTED_VALUE"""),"BLACK")</f>
        <v>BLACK</v>
      </c>
      <c r="G570" s="20" t="str">
        <f>IFERROR(__xludf.DUMMYFUNCTION("""COMPUTED_VALUE"""),"Uncle Sams Cider (5/13/2022)")</f>
        <v>Uncle Sams Cider (5/13/2022)</v>
      </c>
      <c r="H570" s="19"/>
    </row>
    <row r="571">
      <c r="A571" s="9"/>
      <c r="B571" s="15"/>
      <c r="C571" s="9">
        <f>IFERROR(__xludf.DUMMYFUNCTION("""COMPUTED_VALUE"""),44790.6824994097)</f>
        <v>44790.6825</v>
      </c>
      <c r="D571" s="15">
        <f>IFERROR(__xludf.DUMMYFUNCTION("""COMPUTED_VALUE"""),1.003)</f>
        <v>1.003</v>
      </c>
      <c r="E571" s="16">
        <f>IFERROR(__xludf.DUMMYFUNCTION("""COMPUTED_VALUE"""),70.0)</f>
        <v>70</v>
      </c>
      <c r="F571" s="19" t="str">
        <f>IFERROR(__xludf.DUMMYFUNCTION("""COMPUTED_VALUE"""),"BLACK")</f>
        <v>BLACK</v>
      </c>
      <c r="G571" s="20" t="str">
        <f>IFERROR(__xludf.DUMMYFUNCTION("""COMPUTED_VALUE"""),"Uncle Sams Cider (5/13/2022)")</f>
        <v>Uncle Sams Cider (5/13/2022)</v>
      </c>
      <c r="H571" s="19"/>
    </row>
    <row r="572">
      <c r="A572" s="9"/>
      <c r="B572" s="15"/>
      <c r="C572" s="9">
        <f>IFERROR(__xludf.DUMMYFUNCTION("""COMPUTED_VALUE"""),44790.6720768171)</f>
        <v>44790.67208</v>
      </c>
      <c r="D572" s="15">
        <f>IFERROR(__xludf.DUMMYFUNCTION("""COMPUTED_VALUE"""),1.004)</f>
        <v>1.004</v>
      </c>
      <c r="E572" s="16">
        <f>IFERROR(__xludf.DUMMYFUNCTION("""COMPUTED_VALUE"""),70.0)</f>
        <v>70</v>
      </c>
      <c r="F572" s="19" t="str">
        <f>IFERROR(__xludf.DUMMYFUNCTION("""COMPUTED_VALUE"""),"BLACK")</f>
        <v>BLACK</v>
      </c>
      <c r="G572" s="20" t="str">
        <f>IFERROR(__xludf.DUMMYFUNCTION("""COMPUTED_VALUE"""),"Uncle Sams Cider (5/13/2022)")</f>
        <v>Uncle Sams Cider (5/13/2022)</v>
      </c>
      <c r="H572" s="19"/>
    </row>
    <row r="573">
      <c r="A573" s="9"/>
      <c r="B573" s="15"/>
      <c r="C573" s="9">
        <f>IFERROR(__xludf.DUMMYFUNCTION("""COMPUTED_VALUE"""),44790.661632581)</f>
        <v>44790.66163</v>
      </c>
      <c r="D573" s="15">
        <f>IFERROR(__xludf.DUMMYFUNCTION("""COMPUTED_VALUE"""),1.003)</f>
        <v>1.003</v>
      </c>
      <c r="E573" s="16">
        <f>IFERROR(__xludf.DUMMYFUNCTION("""COMPUTED_VALUE"""),70.0)</f>
        <v>70</v>
      </c>
      <c r="F573" s="19" t="str">
        <f>IFERROR(__xludf.DUMMYFUNCTION("""COMPUTED_VALUE"""),"BLACK")</f>
        <v>BLACK</v>
      </c>
      <c r="G573" s="20" t="str">
        <f>IFERROR(__xludf.DUMMYFUNCTION("""COMPUTED_VALUE"""),"Uncle Sams Cider (5/13/2022)")</f>
        <v>Uncle Sams Cider (5/13/2022)</v>
      </c>
      <c r="H573" s="19"/>
    </row>
    <row r="574">
      <c r="A574" s="9"/>
      <c r="B574" s="15"/>
      <c r="C574" s="9">
        <f>IFERROR(__xludf.DUMMYFUNCTION("""COMPUTED_VALUE"""),44790.6511988773)</f>
        <v>44790.6512</v>
      </c>
      <c r="D574" s="15">
        <f>IFERROR(__xludf.DUMMYFUNCTION("""COMPUTED_VALUE"""),1.004)</f>
        <v>1.004</v>
      </c>
      <c r="E574" s="16">
        <f>IFERROR(__xludf.DUMMYFUNCTION("""COMPUTED_VALUE"""),70.0)</f>
        <v>70</v>
      </c>
      <c r="F574" s="19" t="str">
        <f>IFERROR(__xludf.DUMMYFUNCTION("""COMPUTED_VALUE"""),"BLACK")</f>
        <v>BLACK</v>
      </c>
      <c r="G574" s="20" t="str">
        <f>IFERROR(__xludf.DUMMYFUNCTION("""COMPUTED_VALUE"""),"Uncle Sams Cider (5/13/2022)")</f>
        <v>Uncle Sams Cider (5/13/2022)</v>
      </c>
      <c r="H574" s="19"/>
    </row>
    <row r="575">
      <c r="A575" s="9"/>
      <c r="B575" s="15"/>
      <c r="C575" s="9">
        <f>IFERROR(__xludf.DUMMYFUNCTION("""COMPUTED_VALUE"""),44790.6407773726)</f>
        <v>44790.64078</v>
      </c>
      <c r="D575" s="15">
        <f>IFERROR(__xludf.DUMMYFUNCTION("""COMPUTED_VALUE"""),1.004)</f>
        <v>1.004</v>
      </c>
      <c r="E575" s="16">
        <f>IFERROR(__xludf.DUMMYFUNCTION("""COMPUTED_VALUE"""),70.0)</f>
        <v>70</v>
      </c>
      <c r="F575" s="19" t="str">
        <f>IFERROR(__xludf.DUMMYFUNCTION("""COMPUTED_VALUE"""),"BLACK")</f>
        <v>BLACK</v>
      </c>
      <c r="G575" s="20" t="str">
        <f>IFERROR(__xludf.DUMMYFUNCTION("""COMPUTED_VALUE"""),"Uncle Sams Cider (5/13/2022)")</f>
        <v>Uncle Sams Cider (5/13/2022)</v>
      </c>
      <c r="H575" s="19"/>
    </row>
    <row r="576">
      <c r="A576" s="9"/>
      <c r="B576" s="15"/>
      <c r="C576" s="9">
        <f>IFERROR(__xludf.DUMMYFUNCTION("""COMPUTED_VALUE"""),44790.6303592592)</f>
        <v>44790.63036</v>
      </c>
      <c r="D576" s="15">
        <f>IFERROR(__xludf.DUMMYFUNCTION("""COMPUTED_VALUE"""),1.004)</f>
        <v>1.004</v>
      </c>
      <c r="E576" s="16">
        <f>IFERROR(__xludf.DUMMYFUNCTION("""COMPUTED_VALUE"""),69.0)</f>
        <v>69</v>
      </c>
      <c r="F576" s="19" t="str">
        <f>IFERROR(__xludf.DUMMYFUNCTION("""COMPUTED_VALUE"""),"BLACK")</f>
        <v>BLACK</v>
      </c>
      <c r="G576" s="20" t="str">
        <f>IFERROR(__xludf.DUMMYFUNCTION("""COMPUTED_VALUE"""),"Uncle Sams Cider (5/13/2022)")</f>
        <v>Uncle Sams Cider (5/13/2022)</v>
      </c>
      <c r="H576" s="19"/>
    </row>
    <row r="577">
      <c r="A577" s="9"/>
      <c r="B577" s="15"/>
      <c r="C577" s="9">
        <f>IFERROR(__xludf.DUMMYFUNCTION("""COMPUTED_VALUE"""),44790.6199383217)</f>
        <v>44790.61994</v>
      </c>
      <c r="D577" s="15">
        <f>IFERROR(__xludf.DUMMYFUNCTION("""COMPUTED_VALUE"""),1.004)</f>
        <v>1.004</v>
      </c>
      <c r="E577" s="16">
        <f>IFERROR(__xludf.DUMMYFUNCTION("""COMPUTED_VALUE"""),69.0)</f>
        <v>69</v>
      </c>
      <c r="F577" s="19" t="str">
        <f>IFERROR(__xludf.DUMMYFUNCTION("""COMPUTED_VALUE"""),"BLACK")</f>
        <v>BLACK</v>
      </c>
      <c r="G577" s="20" t="str">
        <f>IFERROR(__xludf.DUMMYFUNCTION("""COMPUTED_VALUE"""),"Uncle Sams Cider (5/13/2022)")</f>
        <v>Uncle Sams Cider (5/13/2022)</v>
      </c>
      <c r="H577" s="19"/>
    </row>
    <row r="578">
      <c r="A578" s="9"/>
      <c r="B578" s="15"/>
      <c r="C578" s="9">
        <f>IFERROR(__xludf.DUMMYFUNCTION("""COMPUTED_VALUE"""),44790.6095048958)</f>
        <v>44790.6095</v>
      </c>
      <c r="D578" s="15">
        <f>IFERROR(__xludf.DUMMYFUNCTION("""COMPUTED_VALUE"""),1.003)</f>
        <v>1.003</v>
      </c>
      <c r="E578" s="16">
        <f>IFERROR(__xludf.DUMMYFUNCTION("""COMPUTED_VALUE"""),70.0)</f>
        <v>70</v>
      </c>
      <c r="F578" s="19" t="str">
        <f>IFERROR(__xludf.DUMMYFUNCTION("""COMPUTED_VALUE"""),"BLACK")</f>
        <v>BLACK</v>
      </c>
      <c r="G578" s="20" t="str">
        <f>IFERROR(__xludf.DUMMYFUNCTION("""COMPUTED_VALUE"""),"Uncle Sams Cider (5/13/2022)")</f>
        <v>Uncle Sams Cider (5/13/2022)</v>
      </c>
      <c r="H578" s="19"/>
    </row>
    <row r="579">
      <c r="A579" s="9"/>
      <c r="B579" s="15"/>
      <c r="C579" s="9">
        <f>IFERROR(__xludf.DUMMYFUNCTION("""COMPUTED_VALUE"""),44790.5990714583)</f>
        <v>44790.59907</v>
      </c>
      <c r="D579" s="15">
        <f>IFERROR(__xludf.DUMMYFUNCTION("""COMPUTED_VALUE"""),1.004)</f>
        <v>1.004</v>
      </c>
      <c r="E579" s="16">
        <f>IFERROR(__xludf.DUMMYFUNCTION("""COMPUTED_VALUE"""),69.0)</f>
        <v>69</v>
      </c>
      <c r="F579" s="19" t="str">
        <f>IFERROR(__xludf.DUMMYFUNCTION("""COMPUTED_VALUE"""),"BLACK")</f>
        <v>BLACK</v>
      </c>
      <c r="G579" s="20" t="str">
        <f>IFERROR(__xludf.DUMMYFUNCTION("""COMPUTED_VALUE"""),"Uncle Sams Cider (5/13/2022)")</f>
        <v>Uncle Sams Cider (5/13/2022)</v>
      </c>
      <c r="H579" s="19"/>
    </row>
    <row r="580">
      <c r="A580" s="9"/>
      <c r="B580" s="15"/>
      <c r="C580" s="9">
        <f>IFERROR(__xludf.DUMMYFUNCTION("""COMPUTED_VALUE"""),44790.5886513773)</f>
        <v>44790.58865</v>
      </c>
      <c r="D580" s="15">
        <f>IFERROR(__xludf.DUMMYFUNCTION("""COMPUTED_VALUE"""),1.004)</f>
        <v>1.004</v>
      </c>
      <c r="E580" s="16">
        <f>IFERROR(__xludf.DUMMYFUNCTION("""COMPUTED_VALUE"""),70.0)</f>
        <v>70</v>
      </c>
      <c r="F580" s="19" t="str">
        <f>IFERROR(__xludf.DUMMYFUNCTION("""COMPUTED_VALUE"""),"BLACK")</f>
        <v>BLACK</v>
      </c>
      <c r="G580" s="20" t="str">
        <f>IFERROR(__xludf.DUMMYFUNCTION("""COMPUTED_VALUE"""),"Uncle Sams Cider (5/13/2022)")</f>
        <v>Uncle Sams Cider (5/13/2022)</v>
      </c>
      <c r="H580" s="19"/>
    </row>
    <row r="581">
      <c r="A581" s="9"/>
      <c r="B581" s="15"/>
      <c r="C581" s="9">
        <f>IFERROR(__xludf.DUMMYFUNCTION("""COMPUTED_VALUE"""),44790.5782307176)</f>
        <v>44790.57823</v>
      </c>
      <c r="D581" s="15">
        <f>IFERROR(__xludf.DUMMYFUNCTION("""COMPUTED_VALUE"""),1.004)</f>
        <v>1.004</v>
      </c>
      <c r="E581" s="16">
        <f>IFERROR(__xludf.DUMMYFUNCTION("""COMPUTED_VALUE"""),69.0)</f>
        <v>69</v>
      </c>
      <c r="F581" s="19" t="str">
        <f>IFERROR(__xludf.DUMMYFUNCTION("""COMPUTED_VALUE"""),"BLACK")</f>
        <v>BLACK</v>
      </c>
      <c r="G581" s="20" t="str">
        <f>IFERROR(__xludf.DUMMYFUNCTION("""COMPUTED_VALUE"""),"Uncle Sams Cider (5/13/2022)")</f>
        <v>Uncle Sams Cider (5/13/2022)</v>
      </c>
      <c r="H581" s="19"/>
    </row>
    <row r="582">
      <c r="A582" s="9"/>
      <c r="B582" s="15"/>
      <c r="C582" s="9">
        <f>IFERROR(__xludf.DUMMYFUNCTION("""COMPUTED_VALUE"""),44790.5678099652)</f>
        <v>44790.56781</v>
      </c>
      <c r="D582" s="15">
        <f>IFERROR(__xludf.DUMMYFUNCTION("""COMPUTED_VALUE"""),1.004)</f>
        <v>1.004</v>
      </c>
      <c r="E582" s="16">
        <f>IFERROR(__xludf.DUMMYFUNCTION("""COMPUTED_VALUE"""),70.0)</f>
        <v>70</v>
      </c>
      <c r="F582" s="19" t="str">
        <f>IFERROR(__xludf.DUMMYFUNCTION("""COMPUTED_VALUE"""),"BLACK")</f>
        <v>BLACK</v>
      </c>
      <c r="G582" s="20" t="str">
        <f>IFERROR(__xludf.DUMMYFUNCTION("""COMPUTED_VALUE"""),"Uncle Sams Cider (5/13/2022)")</f>
        <v>Uncle Sams Cider (5/13/2022)</v>
      </c>
      <c r="H582" s="19"/>
    </row>
    <row r="583">
      <c r="A583" s="9"/>
      <c r="B583" s="15"/>
      <c r="C583" s="9">
        <f>IFERROR(__xludf.DUMMYFUNCTION("""COMPUTED_VALUE"""),44790.5573776273)</f>
        <v>44790.55738</v>
      </c>
      <c r="D583" s="15">
        <f>IFERROR(__xludf.DUMMYFUNCTION("""COMPUTED_VALUE"""),1.003)</f>
        <v>1.003</v>
      </c>
      <c r="E583" s="16">
        <f>IFERROR(__xludf.DUMMYFUNCTION("""COMPUTED_VALUE"""),69.0)</f>
        <v>69</v>
      </c>
      <c r="F583" s="19" t="str">
        <f>IFERROR(__xludf.DUMMYFUNCTION("""COMPUTED_VALUE"""),"BLACK")</f>
        <v>BLACK</v>
      </c>
      <c r="G583" s="20" t="str">
        <f>IFERROR(__xludf.DUMMYFUNCTION("""COMPUTED_VALUE"""),"Uncle Sams Cider (5/13/2022)")</f>
        <v>Uncle Sams Cider (5/13/2022)</v>
      </c>
      <c r="H583" s="19"/>
    </row>
    <row r="584">
      <c r="A584" s="9"/>
      <c r="B584" s="15"/>
      <c r="C584" s="9">
        <f>IFERROR(__xludf.DUMMYFUNCTION("""COMPUTED_VALUE"""),44790.5469565509)</f>
        <v>44790.54696</v>
      </c>
      <c r="D584" s="15">
        <f>IFERROR(__xludf.DUMMYFUNCTION("""COMPUTED_VALUE"""),1.003)</f>
        <v>1.003</v>
      </c>
      <c r="E584" s="16">
        <f>IFERROR(__xludf.DUMMYFUNCTION("""COMPUTED_VALUE"""),69.0)</f>
        <v>69</v>
      </c>
      <c r="F584" s="19" t="str">
        <f>IFERROR(__xludf.DUMMYFUNCTION("""COMPUTED_VALUE"""),"BLACK")</f>
        <v>BLACK</v>
      </c>
      <c r="G584" s="20" t="str">
        <f>IFERROR(__xludf.DUMMYFUNCTION("""COMPUTED_VALUE"""),"Uncle Sams Cider (5/13/2022)")</f>
        <v>Uncle Sams Cider (5/13/2022)</v>
      </c>
      <c r="H584" s="19"/>
    </row>
    <row r="585">
      <c r="A585" s="9"/>
      <c r="B585" s="15"/>
      <c r="C585" s="9">
        <f>IFERROR(__xludf.DUMMYFUNCTION("""COMPUTED_VALUE"""),44790.5365328125)</f>
        <v>44790.53653</v>
      </c>
      <c r="D585" s="15">
        <f>IFERROR(__xludf.DUMMYFUNCTION("""COMPUTED_VALUE"""),1.004)</f>
        <v>1.004</v>
      </c>
      <c r="E585" s="16">
        <f>IFERROR(__xludf.DUMMYFUNCTION("""COMPUTED_VALUE"""),69.0)</f>
        <v>69</v>
      </c>
      <c r="F585" s="19" t="str">
        <f>IFERROR(__xludf.DUMMYFUNCTION("""COMPUTED_VALUE"""),"BLACK")</f>
        <v>BLACK</v>
      </c>
      <c r="G585" s="20" t="str">
        <f>IFERROR(__xludf.DUMMYFUNCTION("""COMPUTED_VALUE"""),"Uncle Sams Cider (5/13/2022)")</f>
        <v>Uncle Sams Cider (5/13/2022)</v>
      </c>
      <c r="H585" s="19"/>
    </row>
    <row r="586">
      <c r="A586" s="9"/>
      <c r="B586" s="15"/>
      <c r="C586" s="9">
        <f>IFERROR(__xludf.DUMMYFUNCTION("""COMPUTED_VALUE"""),44790.5260888657)</f>
        <v>44790.52609</v>
      </c>
      <c r="D586" s="15">
        <f>IFERROR(__xludf.DUMMYFUNCTION("""COMPUTED_VALUE"""),1.004)</f>
        <v>1.004</v>
      </c>
      <c r="E586" s="16">
        <f>IFERROR(__xludf.DUMMYFUNCTION("""COMPUTED_VALUE"""),69.0)</f>
        <v>69</v>
      </c>
      <c r="F586" s="19" t="str">
        <f>IFERROR(__xludf.DUMMYFUNCTION("""COMPUTED_VALUE"""),"BLACK")</f>
        <v>BLACK</v>
      </c>
      <c r="G586" s="20" t="str">
        <f>IFERROR(__xludf.DUMMYFUNCTION("""COMPUTED_VALUE"""),"Uncle Sams Cider (5/13/2022)")</f>
        <v>Uncle Sams Cider (5/13/2022)</v>
      </c>
      <c r="H586" s="19"/>
    </row>
    <row r="587">
      <c r="A587" s="9"/>
      <c r="B587" s="15"/>
      <c r="C587" s="9">
        <f>IFERROR(__xludf.DUMMYFUNCTION("""COMPUTED_VALUE"""),44790.515667037)</f>
        <v>44790.51567</v>
      </c>
      <c r="D587" s="15">
        <f>IFERROR(__xludf.DUMMYFUNCTION("""COMPUTED_VALUE"""),1.004)</f>
        <v>1.004</v>
      </c>
      <c r="E587" s="16">
        <f>IFERROR(__xludf.DUMMYFUNCTION("""COMPUTED_VALUE"""),69.0)</f>
        <v>69</v>
      </c>
      <c r="F587" s="19" t="str">
        <f>IFERROR(__xludf.DUMMYFUNCTION("""COMPUTED_VALUE"""),"BLACK")</f>
        <v>BLACK</v>
      </c>
      <c r="G587" s="20" t="str">
        <f>IFERROR(__xludf.DUMMYFUNCTION("""COMPUTED_VALUE"""),"Uncle Sams Cider (5/13/2022)")</f>
        <v>Uncle Sams Cider (5/13/2022)</v>
      </c>
      <c r="H587" s="19"/>
    </row>
    <row r="588">
      <c r="A588" s="9"/>
      <c r="B588" s="15"/>
      <c r="C588" s="9">
        <f>IFERROR(__xludf.DUMMYFUNCTION("""COMPUTED_VALUE"""),44790.5052347338)</f>
        <v>44790.50523</v>
      </c>
      <c r="D588" s="15">
        <f>IFERROR(__xludf.DUMMYFUNCTION("""COMPUTED_VALUE"""),1.004)</f>
        <v>1.004</v>
      </c>
      <c r="E588" s="16">
        <f>IFERROR(__xludf.DUMMYFUNCTION("""COMPUTED_VALUE"""),69.0)</f>
        <v>69</v>
      </c>
      <c r="F588" s="19" t="str">
        <f>IFERROR(__xludf.DUMMYFUNCTION("""COMPUTED_VALUE"""),"BLACK")</f>
        <v>BLACK</v>
      </c>
      <c r="G588" s="20" t="str">
        <f>IFERROR(__xludf.DUMMYFUNCTION("""COMPUTED_VALUE"""),"Uncle Sams Cider (5/13/2022)")</f>
        <v>Uncle Sams Cider (5/13/2022)</v>
      </c>
      <c r="H588" s="19"/>
    </row>
    <row r="589">
      <c r="A589" s="9"/>
      <c r="B589" s="15"/>
      <c r="C589" s="9">
        <f>IFERROR(__xludf.DUMMYFUNCTION("""COMPUTED_VALUE"""),44790.4948023495)</f>
        <v>44790.4948</v>
      </c>
      <c r="D589" s="15">
        <f>IFERROR(__xludf.DUMMYFUNCTION("""COMPUTED_VALUE"""),1.004)</f>
        <v>1.004</v>
      </c>
      <c r="E589" s="16">
        <f>IFERROR(__xludf.DUMMYFUNCTION("""COMPUTED_VALUE"""),69.0)</f>
        <v>69</v>
      </c>
      <c r="F589" s="19" t="str">
        <f>IFERROR(__xludf.DUMMYFUNCTION("""COMPUTED_VALUE"""),"BLACK")</f>
        <v>BLACK</v>
      </c>
      <c r="G589" s="20" t="str">
        <f>IFERROR(__xludf.DUMMYFUNCTION("""COMPUTED_VALUE"""),"Uncle Sams Cider (5/13/2022)")</f>
        <v>Uncle Sams Cider (5/13/2022)</v>
      </c>
      <c r="H589" s="19"/>
    </row>
    <row r="590">
      <c r="A590" s="9"/>
      <c r="B590" s="15"/>
      <c r="C590" s="9">
        <f>IFERROR(__xludf.DUMMYFUNCTION("""COMPUTED_VALUE"""),44790.4843817592)</f>
        <v>44790.48438</v>
      </c>
      <c r="D590" s="15">
        <f>IFERROR(__xludf.DUMMYFUNCTION("""COMPUTED_VALUE"""),1.004)</f>
        <v>1.004</v>
      </c>
      <c r="E590" s="16">
        <f>IFERROR(__xludf.DUMMYFUNCTION("""COMPUTED_VALUE"""),69.0)</f>
        <v>69</v>
      </c>
      <c r="F590" s="19" t="str">
        <f>IFERROR(__xludf.DUMMYFUNCTION("""COMPUTED_VALUE"""),"BLACK")</f>
        <v>BLACK</v>
      </c>
      <c r="G590" s="20" t="str">
        <f>IFERROR(__xludf.DUMMYFUNCTION("""COMPUTED_VALUE"""),"Uncle Sams Cider (5/13/2022)")</f>
        <v>Uncle Sams Cider (5/13/2022)</v>
      </c>
      <c r="H590" s="19"/>
    </row>
    <row r="591">
      <c r="A591" s="9"/>
      <c r="B591" s="15"/>
      <c r="C591" s="9">
        <f>IFERROR(__xludf.DUMMYFUNCTION("""COMPUTED_VALUE"""),44790.4739597685)</f>
        <v>44790.47396</v>
      </c>
      <c r="D591" s="15">
        <f>IFERROR(__xludf.DUMMYFUNCTION("""COMPUTED_VALUE"""),1.004)</f>
        <v>1.004</v>
      </c>
      <c r="E591" s="16">
        <f>IFERROR(__xludf.DUMMYFUNCTION("""COMPUTED_VALUE"""),69.0)</f>
        <v>69</v>
      </c>
      <c r="F591" s="19" t="str">
        <f>IFERROR(__xludf.DUMMYFUNCTION("""COMPUTED_VALUE"""),"BLACK")</f>
        <v>BLACK</v>
      </c>
      <c r="G591" s="20" t="str">
        <f>IFERROR(__xludf.DUMMYFUNCTION("""COMPUTED_VALUE"""),"Uncle Sams Cider (5/13/2022)")</f>
        <v>Uncle Sams Cider (5/13/2022)</v>
      </c>
      <c r="H591" s="19"/>
    </row>
    <row r="592">
      <c r="A592" s="9"/>
      <c r="B592" s="15"/>
      <c r="C592" s="9">
        <f>IFERROR(__xludf.DUMMYFUNCTION("""COMPUTED_VALUE"""),44790.4635375578)</f>
        <v>44790.46354</v>
      </c>
      <c r="D592" s="15">
        <f>IFERROR(__xludf.DUMMYFUNCTION("""COMPUTED_VALUE"""),1.004)</f>
        <v>1.004</v>
      </c>
      <c r="E592" s="16">
        <f>IFERROR(__xludf.DUMMYFUNCTION("""COMPUTED_VALUE"""),69.0)</f>
        <v>69</v>
      </c>
      <c r="F592" s="19" t="str">
        <f>IFERROR(__xludf.DUMMYFUNCTION("""COMPUTED_VALUE"""),"BLACK")</f>
        <v>BLACK</v>
      </c>
      <c r="G592" s="20" t="str">
        <f>IFERROR(__xludf.DUMMYFUNCTION("""COMPUTED_VALUE"""),"Uncle Sams Cider (5/13/2022)")</f>
        <v>Uncle Sams Cider (5/13/2022)</v>
      </c>
      <c r="H592" s="19"/>
    </row>
    <row r="593">
      <c r="A593" s="9"/>
      <c r="B593" s="15"/>
      <c r="C593" s="9">
        <f>IFERROR(__xludf.DUMMYFUNCTION("""COMPUTED_VALUE"""),44790.4531199537)</f>
        <v>44790.45312</v>
      </c>
      <c r="D593" s="15">
        <f>IFERROR(__xludf.DUMMYFUNCTION("""COMPUTED_VALUE"""),1.004)</f>
        <v>1.004</v>
      </c>
      <c r="E593" s="16">
        <f>IFERROR(__xludf.DUMMYFUNCTION("""COMPUTED_VALUE"""),69.0)</f>
        <v>69</v>
      </c>
      <c r="F593" s="19" t="str">
        <f>IFERROR(__xludf.DUMMYFUNCTION("""COMPUTED_VALUE"""),"BLACK")</f>
        <v>BLACK</v>
      </c>
      <c r="G593" s="20" t="str">
        <f>IFERROR(__xludf.DUMMYFUNCTION("""COMPUTED_VALUE"""),"Uncle Sams Cider (5/13/2022)")</f>
        <v>Uncle Sams Cider (5/13/2022)</v>
      </c>
      <c r="H593" s="19"/>
    </row>
    <row r="594">
      <c r="A594" s="9"/>
      <c r="B594" s="15"/>
      <c r="C594" s="9">
        <f>IFERROR(__xludf.DUMMYFUNCTION("""COMPUTED_VALUE"""),44790.4426982638)</f>
        <v>44790.4427</v>
      </c>
      <c r="D594" s="15">
        <f>IFERROR(__xludf.DUMMYFUNCTION("""COMPUTED_VALUE"""),1.004)</f>
        <v>1.004</v>
      </c>
      <c r="E594" s="16">
        <f>IFERROR(__xludf.DUMMYFUNCTION("""COMPUTED_VALUE"""),69.0)</f>
        <v>69</v>
      </c>
      <c r="F594" s="19" t="str">
        <f>IFERROR(__xludf.DUMMYFUNCTION("""COMPUTED_VALUE"""),"BLACK")</f>
        <v>BLACK</v>
      </c>
      <c r="G594" s="20" t="str">
        <f>IFERROR(__xludf.DUMMYFUNCTION("""COMPUTED_VALUE"""),"Uncle Sams Cider (5/13/2022)")</f>
        <v>Uncle Sams Cider (5/13/2022)</v>
      </c>
      <c r="H594" s="19"/>
    </row>
    <row r="595">
      <c r="A595" s="9"/>
      <c r="B595" s="15"/>
      <c r="C595" s="9">
        <f>IFERROR(__xludf.DUMMYFUNCTION("""COMPUTED_VALUE"""),44790.4322788194)</f>
        <v>44790.43228</v>
      </c>
      <c r="D595" s="15">
        <f>IFERROR(__xludf.DUMMYFUNCTION("""COMPUTED_VALUE"""),1.004)</f>
        <v>1.004</v>
      </c>
      <c r="E595" s="16">
        <f>IFERROR(__xludf.DUMMYFUNCTION("""COMPUTED_VALUE"""),69.0)</f>
        <v>69</v>
      </c>
      <c r="F595" s="19" t="str">
        <f>IFERROR(__xludf.DUMMYFUNCTION("""COMPUTED_VALUE"""),"BLACK")</f>
        <v>BLACK</v>
      </c>
      <c r="G595" s="20" t="str">
        <f>IFERROR(__xludf.DUMMYFUNCTION("""COMPUTED_VALUE"""),"Uncle Sams Cider (5/13/2022)")</f>
        <v>Uncle Sams Cider (5/13/2022)</v>
      </c>
      <c r="H595" s="19"/>
    </row>
    <row r="596">
      <c r="A596" s="9"/>
      <c r="B596" s="15"/>
      <c r="C596" s="9">
        <f>IFERROR(__xludf.DUMMYFUNCTION("""COMPUTED_VALUE"""),44790.4218582523)</f>
        <v>44790.42186</v>
      </c>
      <c r="D596" s="15">
        <f>IFERROR(__xludf.DUMMYFUNCTION("""COMPUTED_VALUE"""),1.003)</f>
        <v>1.003</v>
      </c>
      <c r="E596" s="16">
        <f>IFERROR(__xludf.DUMMYFUNCTION("""COMPUTED_VALUE"""),69.0)</f>
        <v>69</v>
      </c>
      <c r="F596" s="19" t="str">
        <f>IFERROR(__xludf.DUMMYFUNCTION("""COMPUTED_VALUE"""),"BLACK")</f>
        <v>BLACK</v>
      </c>
      <c r="G596" s="20" t="str">
        <f>IFERROR(__xludf.DUMMYFUNCTION("""COMPUTED_VALUE"""),"Uncle Sams Cider (5/13/2022)")</f>
        <v>Uncle Sams Cider (5/13/2022)</v>
      </c>
      <c r="H596" s="19"/>
    </row>
    <row r="597">
      <c r="A597" s="9"/>
      <c r="B597" s="15"/>
      <c r="C597" s="9">
        <f>IFERROR(__xludf.DUMMYFUNCTION("""COMPUTED_VALUE"""),44790.4114238888)</f>
        <v>44790.41142</v>
      </c>
      <c r="D597" s="15">
        <f>IFERROR(__xludf.DUMMYFUNCTION("""COMPUTED_VALUE"""),1.004)</f>
        <v>1.004</v>
      </c>
      <c r="E597" s="16">
        <f>IFERROR(__xludf.DUMMYFUNCTION("""COMPUTED_VALUE"""),69.0)</f>
        <v>69</v>
      </c>
      <c r="F597" s="19" t="str">
        <f>IFERROR(__xludf.DUMMYFUNCTION("""COMPUTED_VALUE"""),"BLACK")</f>
        <v>BLACK</v>
      </c>
      <c r="G597" s="20" t="str">
        <f>IFERROR(__xludf.DUMMYFUNCTION("""COMPUTED_VALUE"""),"Uncle Sams Cider (5/13/2022)")</f>
        <v>Uncle Sams Cider (5/13/2022)</v>
      </c>
      <c r="H597" s="19"/>
    </row>
    <row r="598">
      <c r="A598" s="9"/>
      <c r="B598" s="15"/>
      <c r="C598" s="9">
        <f>IFERROR(__xludf.DUMMYFUNCTION("""COMPUTED_VALUE"""),44790.4010032638)</f>
        <v>44790.401</v>
      </c>
      <c r="D598" s="15">
        <f>IFERROR(__xludf.DUMMYFUNCTION("""COMPUTED_VALUE"""),1.003)</f>
        <v>1.003</v>
      </c>
      <c r="E598" s="16">
        <f>IFERROR(__xludf.DUMMYFUNCTION("""COMPUTED_VALUE"""),69.0)</f>
        <v>69</v>
      </c>
      <c r="F598" s="19" t="str">
        <f>IFERROR(__xludf.DUMMYFUNCTION("""COMPUTED_VALUE"""),"BLACK")</f>
        <v>BLACK</v>
      </c>
      <c r="G598" s="20" t="str">
        <f>IFERROR(__xludf.DUMMYFUNCTION("""COMPUTED_VALUE"""),"Uncle Sams Cider (5/13/2022)")</f>
        <v>Uncle Sams Cider (5/13/2022)</v>
      </c>
      <c r="H598" s="19"/>
    </row>
    <row r="599">
      <c r="A599" s="9"/>
      <c r="B599" s="15"/>
      <c r="C599" s="9">
        <f>IFERROR(__xludf.DUMMYFUNCTION("""COMPUTED_VALUE"""),44790.3905832176)</f>
        <v>44790.39058</v>
      </c>
      <c r="D599" s="15">
        <f>IFERROR(__xludf.DUMMYFUNCTION("""COMPUTED_VALUE"""),1.003)</f>
        <v>1.003</v>
      </c>
      <c r="E599" s="16">
        <f>IFERROR(__xludf.DUMMYFUNCTION("""COMPUTED_VALUE"""),69.0)</f>
        <v>69</v>
      </c>
      <c r="F599" s="19" t="str">
        <f>IFERROR(__xludf.DUMMYFUNCTION("""COMPUTED_VALUE"""),"BLACK")</f>
        <v>BLACK</v>
      </c>
      <c r="G599" s="20" t="str">
        <f>IFERROR(__xludf.DUMMYFUNCTION("""COMPUTED_VALUE"""),"Uncle Sams Cider (5/13/2022)")</f>
        <v>Uncle Sams Cider (5/13/2022)</v>
      </c>
      <c r="H599" s="19"/>
    </row>
    <row r="600">
      <c r="A600" s="9"/>
      <c r="B600" s="15"/>
      <c r="C600" s="9">
        <f>IFERROR(__xludf.DUMMYFUNCTION("""COMPUTED_VALUE"""),44790.3801494213)</f>
        <v>44790.38015</v>
      </c>
      <c r="D600" s="15">
        <f>IFERROR(__xludf.DUMMYFUNCTION("""COMPUTED_VALUE"""),1.003)</f>
        <v>1.003</v>
      </c>
      <c r="E600" s="16">
        <f>IFERROR(__xludf.DUMMYFUNCTION("""COMPUTED_VALUE"""),69.0)</f>
        <v>69</v>
      </c>
      <c r="F600" s="19" t="str">
        <f>IFERROR(__xludf.DUMMYFUNCTION("""COMPUTED_VALUE"""),"BLACK")</f>
        <v>BLACK</v>
      </c>
      <c r="G600" s="20" t="str">
        <f>IFERROR(__xludf.DUMMYFUNCTION("""COMPUTED_VALUE"""),"Uncle Sams Cider (5/13/2022)")</f>
        <v>Uncle Sams Cider (5/13/2022)</v>
      </c>
      <c r="H600" s="19"/>
    </row>
    <row r="601">
      <c r="A601" s="9"/>
      <c r="B601" s="15"/>
      <c r="C601" s="9">
        <f>IFERROR(__xludf.DUMMYFUNCTION("""COMPUTED_VALUE"""),44790.3697286921)</f>
        <v>44790.36973</v>
      </c>
      <c r="D601" s="15">
        <f>IFERROR(__xludf.DUMMYFUNCTION("""COMPUTED_VALUE"""),1.004)</f>
        <v>1.004</v>
      </c>
      <c r="E601" s="16">
        <f>IFERROR(__xludf.DUMMYFUNCTION("""COMPUTED_VALUE"""),69.0)</f>
        <v>69</v>
      </c>
      <c r="F601" s="19" t="str">
        <f>IFERROR(__xludf.DUMMYFUNCTION("""COMPUTED_VALUE"""),"BLACK")</f>
        <v>BLACK</v>
      </c>
      <c r="G601" s="20" t="str">
        <f>IFERROR(__xludf.DUMMYFUNCTION("""COMPUTED_VALUE"""),"Uncle Sams Cider (5/13/2022)")</f>
        <v>Uncle Sams Cider (5/13/2022)</v>
      </c>
      <c r="H601" s="19"/>
    </row>
    <row r="602">
      <c r="A602" s="9"/>
      <c r="B602" s="15"/>
      <c r="C602" s="9">
        <f>IFERROR(__xludf.DUMMYFUNCTION("""COMPUTED_VALUE"""),44790.3593061111)</f>
        <v>44790.35931</v>
      </c>
      <c r="D602" s="15">
        <f>IFERROR(__xludf.DUMMYFUNCTION("""COMPUTED_VALUE"""),1.003)</f>
        <v>1.003</v>
      </c>
      <c r="E602" s="16">
        <f>IFERROR(__xludf.DUMMYFUNCTION("""COMPUTED_VALUE"""),69.0)</f>
        <v>69</v>
      </c>
      <c r="F602" s="19" t="str">
        <f>IFERROR(__xludf.DUMMYFUNCTION("""COMPUTED_VALUE"""),"BLACK")</f>
        <v>BLACK</v>
      </c>
      <c r="G602" s="20" t="str">
        <f>IFERROR(__xludf.DUMMYFUNCTION("""COMPUTED_VALUE"""),"Uncle Sams Cider (5/13/2022)")</f>
        <v>Uncle Sams Cider (5/13/2022)</v>
      </c>
      <c r="H602" s="19"/>
    </row>
    <row r="603">
      <c r="A603" s="9"/>
      <c r="B603" s="15"/>
      <c r="C603" s="9">
        <f>IFERROR(__xludf.DUMMYFUNCTION("""COMPUTED_VALUE"""),44790.3488723032)</f>
        <v>44790.34887</v>
      </c>
      <c r="D603" s="15">
        <f>IFERROR(__xludf.DUMMYFUNCTION("""COMPUTED_VALUE"""),1.004)</f>
        <v>1.004</v>
      </c>
      <c r="E603" s="16">
        <f>IFERROR(__xludf.DUMMYFUNCTION("""COMPUTED_VALUE"""),69.0)</f>
        <v>69</v>
      </c>
      <c r="F603" s="19" t="str">
        <f>IFERROR(__xludf.DUMMYFUNCTION("""COMPUTED_VALUE"""),"BLACK")</f>
        <v>BLACK</v>
      </c>
      <c r="G603" s="20" t="str">
        <f>IFERROR(__xludf.DUMMYFUNCTION("""COMPUTED_VALUE"""),"Uncle Sams Cider (5/13/2022)")</f>
        <v>Uncle Sams Cider (5/13/2022)</v>
      </c>
      <c r="H603" s="19"/>
    </row>
    <row r="604">
      <c r="A604" s="9"/>
      <c r="B604" s="15"/>
      <c r="C604" s="9">
        <f>IFERROR(__xludf.DUMMYFUNCTION("""COMPUTED_VALUE"""),44790.3384493287)</f>
        <v>44790.33845</v>
      </c>
      <c r="D604" s="15">
        <f>IFERROR(__xludf.DUMMYFUNCTION("""COMPUTED_VALUE"""),1.004)</f>
        <v>1.004</v>
      </c>
      <c r="E604" s="16">
        <f>IFERROR(__xludf.DUMMYFUNCTION("""COMPUTED_VALUE"""),69.0)</f>
        <v>69</v>
      </c>
      <c r="F604" s="19" t="str">
        <f>IFERROR(__xludf.DUMMYFUNCTION("""COMPUTED_VALUE"""),"BLACK")</f>
        <v>BLACK</v>
      </c>
      <c r="G604" s="20" t="str">
        <f>IFERROR(__xludf.DUMMYFUNCTION("""COMPUTED_VALUE"""),"Uncle Sams Cider (5/13/2022)")</f>
        <v>Uncle Sams Cider (5/13/2022)</v>
      </c>
      <c r="H604" s="19"/>
    </row>
    <row r="605">
      <c r="A605" s="9"/>
      <c r="B605" s="15"/>
      <c r="C605" s="9">
        <f>IFERROR(__xludf.DUMMYFUNCTION("""COMPUTED_VALUE"""),44790.3280290972)</f>
        <v>44790.32803</v>
      </c>
      <c r="D605" s="15">
        <f>IFERROR(__xludf.DUMMYFUNCTION("""COMPUTED_VALUE"""),1.004)</f>
        <v>1.004</v>
      </c>
      <c r="E605" s="16">
        <f>IFERROR(__xludf.DUMMYFUNCTION("""COMPUTED_VALUE"""),69.0)</f>
        <v>69</v>
      </c>
      <c r="F605" s="19" t="str">
        <f>IFERROR(__xludf.DUMMYFUNCTION("""COMPUTED_VALUE"""),"BLACK")</f>
        <v>BLACK</v>
      </c>
      <c r="G605" s="20" t="str">
        <f>IFERROR(__xludf.DUMMYFUNCTION("""COMPUTED_VALUE"""),"Uncle Sams Cider (5/13/2022)")</f>
        <v>Uncle Sams Cider (5/13/2022)</v>
      </c>
      <c r="H605" s="19"/>
    </row>
    <row r="606">
      <c r="A606" s="9"/>
      <c r="B606" s="15"/>
      <c r="C606" s="9">
        <f>IFERROR(__xludf.DUMMYFUNCTION("""COMPUTED_VALUE"""),44790.3176069097)</f>
        <v>44790.31761</v>
      </c>
      <c r="D606" s="15">
        <f>IFERROR(__xludf.DUMMYFUNCTION("""COMPUTED_VALUE"""),1.004)</f>
        <v>1.004</v>
      </c>
      <c r="E606" s="16">
        <f>IFERROR(__xludf.DUMMYFUNCTION("""COMPUTED_VALUE"""),69.0)</f>
        <v>69</v>
      </c>
      <c r="F606" s="19" t="str">
        <f>IFERROR(__xludf.DUMMYFUNCTION("""COMPUTED_VALUE"""),"BLACK")</f>
        <v>BLACK</v>
      </c>
      <c r="G606" s="20" t="str">
        <f>IFERROR(__xludf.DUMMYFUNCTION("""COMPUTED_VALUE"""),"Uncle Sams Cider (5/13/2022)")</f>
        <v>Uncle Sams Cider (5/13/2022)</v>
      </c>
      <c r="H606" s="19"/>
    </row>
    <row r="607">
      <c r="A607" s="9"/>
      <c r="B607" s="15"/>
      <c r="C607" s="9">
        <f>IFERROR(__xludf.DUMMYFUNCTION("""COMPUTED_VALUE"""),44790.3071742592)</f>
        <v>44790.30717</v>
      </c>
      <c r="D607" s="15">
        <f>IFERROR(__xludf.DUMMYFUNCTION("""COMPUTED_VALUE"""),1.004)</f>
        <v>1.004</v>
      </c>
      <c r="E607" s="16">
        <f>IFERROR(__xludf.DUMMYFUNCTION("""COMPUTED_VALUE"""),69.0)</f>
        <v>69</v>
      </c>
      <c r="F607" s="19" t="str">
        <f>IFERROR(__xludf.DUMMYFUNCTION("""COMPUTED_VALUE"""),"BLACK")</f>
        <v>BLACK</v>
      </c>
      <c r="G607" s="20" t="str">
        <f>IFERROR(__xludf.DUMMYFUNCTION("""COMPUTED_VALUE"""),"Uncle Sams Cider (5/13/2022)")</f>
        <v>Uncle Sams Cider (5/13/2022)</v>
      </c>
      <c r="H607" s="19"/>
    </row>
    <row r="608">
      <c r="A608" s="9"/>
      <c r="B608" s="15"/>
      <c r="C608" s="9">
        <f>IFERROR(__xludf.DUMMYFUNCTION("""COMPUTED_VALUE"""),44790.2967502777)</f>
        <v>44790.29675</v>
      </c>
      <c r="D608" s="15">
        <f>IFERROR(__xludf.DUMMYFUNCTION("""COMPUTED_VALUE"""),1.004)</f>
        <v>1.004</v>
      </c>
      <c r="E608" s="16">
        <f>IFERROR(__xludf.DUMMYFUNCTION("""COMPUTED_VALUE"""),69.0)</f>
        <v>69</v>
      </c>
      <c r="F608" s="19" t="str">
        <f>IFERROR(__xludf.DUMMYFUNCTION("""COMPUTED_VALUE"""),"BLACK")</f>
        <v>BLACK</v>
      </c>
      <c r="G608" s="20" t="str">
        <f>IFERROR(__xludf.DUMMYFUNCTION("""COMPUTED_VALUE"""),"Uncle Sams Cider (5/13/2022)")</f>
        <v>Uncle Sams Cider (5/13/2022)</v>
      </c>
      <c r="H608" s="19"/>
    </row>
    <row r="609">
      <c r="A609" s="9"/>
      <c r="B609" s="15"/>
      <c r="C609" s="9">
        <f>IFERROR(__xludf.DUMMYFUNCTION("""COMPUTED_VALUE"""),44790.286328831)</f>
        <v>44790.28633</v>
      </c>
      <c r="D609" s="15">
        <f>IFERROR(__xludf.DUMMYFUNCTION("""COMPUTED_VALUE"""),1.003)</f>
        <v>1.003</v>
      </c>
      <c r="E609" s="16">
        <f>IFERROR(__xludf.DUMMYFUNCTION("""COMPUTED_VALUE"""),69.0)</f>
        <v>69</v>
      </c>
      <c r="F609" s="19" t="str">
        <f>IFERROR(__xludf.DUMMYFUNCTION("""COMPUTED_VALUE"""),"BLACK")</f>
        <v>BLACK</v>
      </c>
      <c r="G609" s="20" t="str">
        <f>IFERROR(__xludf.DUMMYFUNCTION("""COMPUTED_VALUE"""),"Uncle Sams Cider (5/13/2022)")</f>
        <v>Uncle Sams Cider (5/13/2022)</v>
      </c>
      <c r="H609" s="19"/>
    </row>
    <row r="610">
      <c r="A610" s="9"/>
      <c r="B610" s="15"/>
      <c r="C610" s="9">
        <f>IFERROR(__xludf.DUMMYFUNCTION("""COMPUTED_VALUE"""),44790.2759069328)</f>
        <v>44790.27591</v>
      </c>
      <c r="D610" s="15">
        <f>IFERROR(__xludf.DUMMYFUNCTION("""COMPUTED_VALUE"""),1.004)</f>
        <v>1.004</v>
      </c>
      <c r="E610" s="16">
        <f>IFERROR(__xludf.DUMMYFUNCTION("""COMPUTED_VALUE"""),69.0)</f>
        <v>69</v>
      </c>
      <c r="F610" s="19" t="str">
        <f>IFERROR(__xludf.DUMMYFUNCTION("""COMPUTED_VALUE"""),"BLACK")</f>
        <v>BLACK</v>
      </c>
      <c r="G610" s="20" t="str">
        <f>IFERROR(__xludf.DUMMYFUNCTION("""COMPUTED_VALUE"""),"Uncle Sams Cider (5/13/2022)")</f>
        <v>Uncle Sams Cider (5/13/2022)</v>
      </c>
      <c r="H610" s="19"/>
    </row>
    <row r="611">
      <c r="A611" s="9"/>
      <c r="B611" s="15"/>
      <c r="C611" s="9">
        <f>IFERROR(__xludf.DUMMYFUNCTION("""COMPUTED_VALUE"""),44790.2654753703)</f>
        <v>44790.26548</v>
      </c>
      <c r="D611" s="15">
        <f>IFERROR(__xludf.DUMMYFUNCTION("""COMPUTED_VALUE"""),1.004)</f>
        <v>1.004</v>
      </c>
      <c r="E611" s="16">
        <f>IFERROR(__xludf.DUMMYFUNCTION("""COMPUTED_VALUE"""),69.0)</f>
        <v>69</v>
      </c>
      <c r="F611" s="19" t="str">
        <f>IFERROR(__xludf.DUMMYFUNCTION("""COMPUTED_VALUE"""),"BLACK")</f>
        <v>BLACK</v>
      </c>
      <c r="G611" s="20" t="str">
        <f>IFERROR(__xludf.DUMMYFUNCTION("""COMPUTED_VALUE"""),"Uncle Sams Cider (5/13/2022)")</f>
        <v>Uncle Sams Cider (5/13/2022)</v>
      </c>
      <c r="H611" s="19"/>
    </row>
    <row r="612">
      <c r="A612" s="9"/>
      <c r="B612" s="15"/>
      <c r="C612" s="9">
        <f>IFERROR(__xludf.DUMMYFUNCTION("""COMPUTED_VALUE"""),44790.2550432638)</f>
        <v>44790.25504</v>
      </c>
      <c r="D612" s="15">
        <f>IFERROR(__xludf.DUMMYFUNCTION("""COMPUTED_VALUE"""),1.004)</f>
        <v>1.004</v>
      </c>
      <c r="E612" s="16">
        <f>IFERROR(__xludf.DUMMYFUNCTION("""COMPUTED_VALUE"""),69.0)</f>
        <v>69</v>
      </c>
      <c r="F612" s="19" t="str">
        <f>IFERROR(__xludf.DUMMYFUNCTION("""COMPUTED_VALUE"""),"BLACK")</f>
        <v>BLACK</v>
      </c>
      <c r="G612" s="20" t="str">
        <f>IFERROR(__xludf.DUMMYFUNCTION("""COMPUTED_VALUE"""),"Uncle Sams Cider (5/13/2022)")</f>
        <v>Uncle Sams Cider (5/13/2022)</v>
      </c>
      <c r="H612" s="19"/>
    </row>
    <row r="613">
      <c r="A613" s="9"/>
      <c r="B613" s="15"/>
      <c r="C613" s="9">
        <f>IFERROR(__xludf.DUMMYFUNCTION("""COMPUTED_VALUE"""),44790.2446218981)</f>
        <v>44790.24462</v>
      </c>
      <c r="D613" s="15">
        <f>IFERROR(__xludf.DUMMYFUNCTION("""COMPUTED_VALUE"""),1.004)</f>
        <v>1.004</v>
      </c>
      <c r="E613" s="16">
        <f>IFERROR(__xludf.DUMMYFUNCTION("""COMPUTED_VALUE"""),69.0)</f>
        <v>69</v>
      </c>
      <c r="F613" s="19" t="str">
        <f>IFERROR(__xludf.DUMMYFUNCTION("""COMPUTED_VALUE"""),"BLACK")</f>
        <v>BLACK</v>
      </c>
      <c r="G613" s="20" t="str">
        <f>IFERROR(__xludf.DUMMYFUNCTION("""COMPUTED_VALUE"""),"Uncle Sams Cider (5/13/2022)")</f>
        <v>Uncle Sams Cider (5/13/2022)</v>
      </c>
      <c r="H613" s="19"/>
    </row>
    <row r="614">
      <c r="A614" s="9"/>
      <c r="B614" s="15"/>
      <c r="C614" s="9">
        <f>IFERROR(__xludf.DUMMYFUNCTION("""COMPUTED_VALUE"""),44790.2342013194)</f>
        <v>44790.2342</v>
      </c>
      <c r="D614" s="15">
        <f>IFERROR(__xludf.DUMMYFUNCTION("""COMPUTED_VALUE"""),1.003)</f>
        <v>1.003</v>
      </c>
      <c r="E614" s="16">
        <f>IFERROR(__xludf.DUMMYFUNCTION("""COMPUTED_VALUE"""),69.0)</f>
        <v>69</v>
      </c>
      <c r="F614" s="19" t="str">
        <f>IFERROR(__xludf.DUMMYFUNCTION("""COMPUTED_VALUE"""),"BLACK")</f>
        <v>BLACK</v>
      </c>
      <c r="G614" s="20" t="str">
        <f>IFERROR(__xludf.DUMMYFUNCTION("""COMPUTED_VALUE"""),"Uncle Sams Cider (5/13/2022)")</f>
        <v>Uncle Sams Cider (5/13/2022)</v>
      </c>
      <c r="H614" s="19"/>
    </row>
    <row r="615">
      <c r="A615" s="9"/>
      <c r="B615" s="15"/>
      <c r="C615" s="9">
        <f>IFERROR(__xludf.DUMMYFUNCTION("""COMPUTED_VALUE"""),44790.2237805439)</f>
        <v>44790.22378</v>
      </c>
      <c r="D615" s="15">
        <f>IFERROR(__xludf.DUMMYFUNCTION("""COMPUTED_VALUE"""),1.004)</f>
        <v>1.004</v>
      </c>
      <c r="E615" s="16">
        <f>IFERROR(__xludf.DUMMYFUNCTION("""COMPUTED_VALUE"""),69.0)</f>
        <v>69</v>
      </c>
      <c r="F615" s="19" t="str">
        <f>IFERROR(__xludf.DUMMYFUNCTION("""COMPUTED_VALUE"""),"BLACK")</f>
        <v>BLACK</v>
      </c>
      <c r="G615" s="20" t="str">
        <f>IFERROR(__xludf.DUMMYFUNCTION("""COMPUTED_VALUE"""),"Uncle Sams Cider (5/13/2022)")</f>
        <v>Uncle Sams Cider (5/13/2022)</v>
      </c>
      <c r="H615" s="19"/>
    </row>
    <row r="616">
      <c r="A616" s="9"/>
      <c r="B616" s="15"/>
      <c r="C616" s="9">
        <f>IFERROR(__xludf.DUMMYFUNCTION("""COMPUTED_VALUE"""),44790.2133609259)</f>
        <v>44790.21336</v>
      </c>
      <c r="D616" s="15">
        <f>IFERROR(__xludf.DUMMYFUNCTION("""COMPUTED_VALUE"""),1.004)</f>
        <v>1.004</v>
      </c>
      <c r="E616" s="16">
        <f>IFERROR(__xludf.DUMMYFUNCTION("""COMPUTED_VALUE"""),69.0)</f>
        <v>69</v>
      </c>
      <c r="F616" s="19" t="str">
        <f>IFERROR(__xludf.DUMMYFUNCTION("""COMPUTED_VALUE"""),"BLACK")</f>
        <v>BLACK</v>
      </c>
      <c r="G616" s="20" t="str">
        <f>IFERROR(__xludf.DUMMYFUNCTION("""COMPUTED_VALUE"""),"Uncle Sams Cider (5/13/2022)")</f>
        <v>Uncle Sams Cider (5/13/2022)</v>
      </c>
      <c r="H616" s="19"/>
    </row>
    <row r="617">
      <c r="A617" s="9"/>
      <c r="B617" s="15"/>
      <c r="C617" s="9">
        <f>IFERROR(__xludf.DUMMYFUNCTION("""COMPUTED_VALUE"""),44790.2029401736)</f>
        <v>44790.20294</v>
      </c>
      <c r="D617" s="15">
        <f>IFERROR(__xludf.DUMMYFUNCTION("""COMPUTED_VALUE"""),1.003)</f>
        <v>1.003</v>
      </c>
      <c r="E617" s="16">
        <f>IFERROR(__xludf.DUMMYFUNCTION("""COMPUTED_VALUE"""),69.0)</f>
        <v>69</v>
      </c>
      <c r="F617" s="19" t="str">
        <f>IFERROR(__xludf.DUMMYFUNCTION("""COMPUTED_VALUE"""),"BLACK")</f>
        <v>BLACK</v>
      </c>
      <c r="G617" s="20" t="str">
        <f>IFERROR(__xludf.DUMMYFUNCTION("""COMPUTED_VALUE"""),"Uncle Sams Cider (5/13/2022)")</f>
        <v>Uncle Sams Cider (5/13/2022)</v>
      </c>
      <c r="H617" s="19"/>
    </row>
    <row r="618">
      <c r="A618" s="9"/>
      <c r="B618" s="15"/>
      <c r="C618" s="9">
        <f>IFERROR(__xludf.DUMMYFUNCTION("""COMPUTED_VALUE"""),44790.1924969097)</f>
        <v>44790.1925</v>
      </c>
      <c r="D618" s="15">
        <f>IFERROR(__xludf.DUMMYFUNCTION("""COMPUTED_VALUE"""),1.003)</f>
        <v>1.003</v>
      </c>
      <c r="E618" s="16">
        <f>IFERROR(__xludf.DUMMYFUNCTION("""COMPUTED_VALUE"""),69.0)</f>
        <v>69</v>
      </c>
      <c r="F618" s="19" t="str">
        <f>IFERROR(__xludf.DUMMYFUNCTION("""COMPUTED_VALUE"""),"BLACK")</f>
        <v>BLACK</v>
      </c>
      <c r="G618" s="20" t="str">
        <f>IFERROR(__xludf.DUMMYFUNCTION("""COMPUTED_VALUE"""),"Uncle Sams Cider (5/13/2022)")</f>
        <v>Uncle Sams Cider (5/13/2022)</v>
      </c>
      <c r="H618" s="19"/>
    </row>
    <row r="619">
      <c r="A619" s="9"/>
      <c r="B619" s="15"/>
      <c r="C619" s="9">
        <f>IFERROR(__xludf.DUMMYFUNCTION("""COMPUTED_VALUE"""),44790.182065162)</f>
        <v>44790.18207</v>
      </c>
      <c r="D619" s="15">
        <f>IFERROR(__xludf.DUMMYFUNCTION("""COMPUTED_VALUE"""),1.004)</f>
        <v>1.004</v>
      </c>
      <c r="E619" s="16">
        <f>IFERROR(__xludf.DUMMYFUNCTION("""COMPUTED_VALUE"""),69.0)</f>
        <v>69</v>
      </c>
      <c r="F619" s="19" t="str">
        <f>IFERROR(__xludf.DUMMYFUNCTION("""COMPUTED_VALUE"""),"BLACK")</f>
        <v>BLACK</v>
      </c>
      <c r="G619" s="20" t="str">
        <f>IFERROR(__xludf.DUMMYFUNCTION("""COMPUTED_VALUE"""),"Uncle Sams Cider (5/13/2022)")</f>
        <v>Uncle Sams Cider (5/13/2022)</v>
      </c>
      <c r="H619" s="19"/>
    </row>
    <row r="620">
      <c r="A620" s="9"/>
      <c r="B620" s="15"/>
      <c r="C620" s="9">
        <f>IFERROR(__xludf.DUMMYFUNCTION("""COMPUTED_VALUE"""),44790.171644618)</f>
        <v>44790.17164</v>
      </c>
      <c r="D620" s="15">
        <f>IFERROR(__xludf.DUMMYFUNCTION("""COMPUTED_VALUE"""),1.003)</f>
        <v>1.003</v>
      </c>
      <c r="E620" s="16">
        <f>IFERROR(__xludf.DUMMYFUNCTION("""COMPUTED_VALUE"""),69.0)</f>
        <v>69</v>
      </c>
      <c r="F620" s="19" t="str">
        <f>IFERROR(__xludf.DUMMYFUNCTION("""COMPUTED_VALUE"""),"BLACK")</f>
        <v>BLACK</v>
      </c>
      <c r="G620" s="20" t="str">
        <f>IFERROR(__xludf.DUMMYFUNCTION("""COMPUTED_VALUE"""),"Uncle Sams Cider (5/13/2022)")</f>
        <v>Uncle Sams Cider (5/13/2022)</v>
      </c>
      <c r="H620" s="19"/>
    </row>
    <row r="621">
      <c r="A621" s="9"/>
      <c r="B621" s="15"/>
      <c r="C621" s="9">
        <f>IFERROR(__xludf.DUMMYFUNCTION("""COMPUTED_VALUE"""),44790.1612123842)</f>
        <v>44790.16121</v>
      </c>
      <c r="D621" s="15">
        <f>IFERROR(__xludf.DUMMYFUNCTION("""COMPUTED_VALUE"""),1.004)</f>
        <v>1.004</v>
      </c>
      <c r="E621" s="16">
        <f>IFERROR(__xludf.DUMMYFUNCTION("""COMPUTED_VALUE"""),69.0)</f>
        <v>69</v>
      </c>
      <c r="F621" s="19" t="str">
        <f>IFERROR(__xludf.DUMMYFUNCTION("""COMPUTED_VALUE"""),"BLACK")</f>
        <v>BLACK</v>
      </c>
      <c r="G621" s="20" t="str">
        <f>IFERROR(__xludf.DUMMYFUNCTION("""COMPUTED_VALUE"""),"Uncle Sams Cider (5/13/2022)")</f>
        <v>Uncle Sams Cider (5/13/2022)</v>
      </c>
      <c r="H621" s="19"/>
    </row>
    <row r="622">
      <c r="A622" s="9"/>
      <c r="B622" s="15"/>
      <c r="C622" s="9">
        <f>IFERROR(__xludf.DUMMYFUNCTION("""COMPUTED_VALUE"""),44790.1507919444)</f>
        <v>44790.15079</v>
      </c>
      <c r="D622" s="15">
        <f>IFERROR(__xludf.DUMMYFUNCTION("""COMPUTED_VALUE"""),1.004)</f>
        <v>1.004</v>
      </c>
      <c r="E622" s="16">
        <f>IFERROR(__xludf.DUMMYFUNCTION("""COMPUTED_VALUE"""),69.0)</f>
        <v>69</v>
      </c>
      <c r="F622" s="19" t="str">
        <f>IFERROR(__xludf.DUMMYFUNCTION("""COMPUTED_VALUE"""),"BLACK")</f>
        <v>BLACK</v>
      </c>
      <c r="G622" s="20" t="str">
        <f>IFERROR(__xludf.DUMMYFUNCTION("""COMPUTED_VALUE"""),"Uncle Sams Cider (5/13/2022)")</f>
        <v>Uncle Sams Cider (5/13/2022)</v>
      </c>
      <c r="H622" s="19"/>
    </row>
    <row r="623">
      <c r="A623" s="9"/>
      <c r="B623" s="15"/>
      <c r="C623" s="9">
        <f>IFERROR(__xludf.DUMMYFUNCTION("""COMPUTED_VALUE"""),44790.1403475231)</f>
        <v>44790.14035</v>
      </c>
      <c r="D623" s="15">
        <f>IFERROR(__xludf.DUMMYFUNCTION("""COMPUTED_VALUE"""),1.004)</f>
        <v>1.004</v>
      </c>
      <c r="E623" s="16">
        <f>IFERROR(__xludf.DUMMYFUNCTION("""COMPUTED_VALUE"""),69.0)</f>
        <v>69</v>
      </c>
      <c r="F623" s="19" t="str">
        <f>IFERROR(__xludf.DUMMYFUNCTION("""COMPUTED_VALUE"""),"BLACK")</f>
        <v>BLACK</v>
      </c>
      <c r="G623" s="20" t="str">
        <f>IFERROR(__xludf.DUMMYFUNCTION("""COMPUTED_VALUE"""),"Uncle Sams Cider (5/13/2022)")</f>
        <v>Uncle Sams Cider (5/13/2022)</v>
      </c>
      <c r="H623" s="19"/>
    </row>
    <row r="624">
      <c r="A624" s="9"/>
      <c r="B624" s="15"/>
      <c r="C624" s="9">
        <f>IFERROR(__xludf.DUMMYFUNCTION("""COMPUTED_VALUE"""),44790.1299132407)</f>
        <v>44790.12991</v>
      </c>
      <c r="D624" s="15">
        <f>IFERROR(__xludf.DUMMYFUNCTION("""COMPUTED_VALUE"""),1.003)</f>
        <v>1.003</v>
      </c>
      <c r="E624" s="16">
        <f>IFERROR(__xludf.DUMMYFUNCTION("""COMPUTED_VALUE"""),69.0)</f>
        <v>69</v>
      </c>
      <c r="F624" s="19" t="str">
        <f>IFERROR(__xludf.DUMMYFUNCTION("""COMPUTED_VALUE"""),"BLACK")</f>
        <v>BLACK</v>
      </c>
      <c r="G624" s="20" t="str">
        <f>IFERROR(__xludf.DUMMYFUNCTION("""COMPUTED_VALUE"""),"Uncle Sams Cider (5/13/2022)")</f>
        <v>Uncle Sams Cider (5/13/2022)</v>
      </c>
      <c r="H624" s="19"/>
    </row>
    <row r="625">
      <c r="A625" s="9"/>
      <c r="B625" s="15"/>
      <c r="C625" s="9">
        <f>IFERROR(__xludf.DUMMYFUNCTION("""COMPUTED_VALUE"""),44790.1194930324)</f>
        <v>44790.11949</v>
      </c>
      <c r="D625" s="15">
        <f>IFERROR(__xludf.DUMMYFUNCTION("""COMPUTED_VALUE"""),1.003)</f>
        <v>1.003</v>
      </c>
      <c r="E625" s="16">
        <f>IFERROR(__xludf.DUMMYFUNCTION("""COMPUTED_VALUE"""),69.0)</f>
        <v>69</v>
      </c>
      <c r="F625" s="19" t="str">
        <f>IFERROR(__xludf.DUMMYFUNCTION("""COMPUTED_VALUE"""),"BLACK")</f>
        <v>BLACK</v>
      </c>
      <c r="G625" s="20" t="str">
        <f>IFERROR(__xludf.DUMMYFUNCTION("""COMPUTED_VALUE"""),"Uncle Sams Cider (5/13/2022)")</f>
        <v>Uncle Sams Cider (5/13/2022)</v>
      </c>
      <c r="H625" s="19"/>
    </row>
    <row r="626">
      <c r="A626" s="9"/>
      <c r="B626" s="15"/>
      <c r="C626" s="9">
        <f>IFERROR(__xludf.DUMMYFUNCTION("""COMPUTED_VALUE"""),44790.1090717245)</f>
        <v>44790.10907</v>
      </c>
      <c r="D626" s="15">
        <f>IFERROR(__xludf.DUMMYFUNCTION("""COMPUTED_VALUE"""),1.003)</f>
        <v>1.003</v>
      </c>
      <c r="E626" s="16">
        <f>IFERROR(__xludf.DUMMYFUNCTION("""COMPUTED_VALUE"""),69.0)</f>
        <v>69</v>
      </c>
      <c r="F626" s="19" t="str">
        <f>IFERROR(__xludf.DUMMYFUNCTION("""COMPUTED_VALUE"""),"BLACK")</f>
        <v>BLACK</v>
      </c>
      <c r="G626" s="20" t="str">
        <f>IFERROR(__xludf.DUMMYFUNCTION("""COMPUTED_VALUE"""),"Uncle Sams Cider (5/13/2022)")</f>
        <v>Uncle Sams Cider (5/13/2022)</v>
      </c>
      <c r="H626" s="19"/>
    </row>
    <row r="627">
      <c r="A627" s="9"/>
      <c r="B627" s="15"/>
      <c r="C627" s="9">
        <f>IFERROR(__xludf.DUMMYFUNCTION("""COMPUTED_VALUE"""),44790.0986505324)</f>
        <v>44790.09865</v>
      </c>
      <c r="D627" s="15">
        <f>IFERROR(__xludf.DUMMYFUNCTION("""COMPUTED_VALUE"""),1.003)</f>
        <v>1.003</v>
      </c>
      <c r="E627" s="16">
        <f>IFERROR(__xludf.DUMMYFUNCTION("""COMPUTED_VALUE"""),69.0)</f>
        <v>69</v>
      </c>
      <c r="F627" s="19" t="str">
        <f>IFERROR(__xludf.DUMMYFUNCTION("""COMPUTED_VALUE"""),"BLACK")</f>
        <v>BLACK</v>
      </c>
      <c r="G627" s="20" t="str">
        <f>IFERROR(__xludf.DUMMYFUNCTION("""COMPUTED_VALUE"""),"Uncle Sams Cider (5/13/2022)")</f>
        <v>Uncle Sams Cider (5/13/2022)</v>
      </c>
      <c r="H627" s="19"/>
    </row>
    <row r="628">
      <c r="A628" s="9"/>
      <c r="B628" s="15"/>
      <c r="C628" s="9">
        <f>IFERROR(__xludf.DUMMYFUNCTION("""COMPUTED_VALUE"""),44790.0882298842)</f>
        <v>44790.08823</v>
      </c>
      <c r="D628" s="15">
        <f>IFERROR(__xludf.DUMMYFUNCTION("""COMPUTED_VALUE"""),1.004)</f>
        <v>1.004</v>
      </c>
      <c r="E628" s="16">
        <f>IFERROR(__xludf.DUMMYFUNCTION("""COMPUTED_VALUE"""),69.0)</f>
        <v>69</v>
      </c>
      <c r="F628" s="19" t="str">
        <f>IFERROR(__xludf.DUMMYFUNCTION("""COMPUTED_VALUE"""),"BLACK")</f>
        <v>BLACK</v>
      </c>
      <c r="G628" s="20" t="str">
        <f>IFERROR(__xludf.DUMMYFUNCTION("""COMPUTED_VALUE"""),"Uncle Sams Cider (5/13/2022)")</f>
        <v>Uncle Sams Cider (5/13/2022)</v>
      </c>
      <c r="H628" s="19"/>
    </row>
    <row r="629">
      <c r="A629" s="9"/>
      <c r="B629" s="15"/>
      <c r="C629" s="9">
        <f>IFERROR(__xludf.DUMMYFUNCTION("""COMPUTED_VALUE"""),44790.0778075462)</f>
        <v>44790.07781</v>
      </c>
      <c r="D629" s="15">
        <f>IFERROR(__xludf.DUMMYFUNCTION("""COMPUTED_VALUE"""),1.004)</f>
        <v>1.004</v>
      </c>
      <c r="E629" s="16">
        <f>IFERROR(__xludf.DUMMYFUNCTION("""COMPUTED_VALUE"""),69.0)</f>
        <v>69</v>
      </c>
      <c r="F629" s="19" t="str">
        <f>IFERROR(__xludf.DUMMYFUNCTION("""COMPUTED_VALUE"""),"BLACK")</f>
        <v>BLACK</v>
      </c>
      <c r="G629" s="20" t="str">
        <f>IFERROR(__xludf.DUMMYFUNCTION("""COMPUTED_VALUE"""),"Uncle Sams Cider (5/13/2022)")</f>
        <v>Uncle Sams Cider (5/13/2022)</v>
      </c>
      <c r="H629" s="19"/>
    </row>
    <row r="630">
      <c r="A630" s="9"/>
      <c r="B630" s="15"/>
      <c r="C630" s="9">
        <f>IFERROR(__xludf.DUMMYFUNCTION("""COMPUTED_VALUE"""),44790.0673858564)</f>
        <v>44790.06739</v>
      </c>
      <c r="D630" s="15">
        <f>IFERROR(__xludf.DUMMYFUNCTION("""COMPUTED_VALUE"""),1.004)</f>
        <v>1.004</v>
      </c>
      <c r="E630" s="16">
        <f>IFERROR(__xludf.DUMMYFUNCTION("""COMPUTED_VALUE"""),69.0)</f>
        <v>69</v>
      </c>
      <c r="F630" s="19" t="str">
        <f>IFERROR(__xludf.DUMMYFUNCTION("""COMPUTED_VALUE"""),"BLACK")</f>
        <v>BLACK</v>
      </c>
      <c r="G630" s="20" t="str">
        <f>IFERROR(__xludf.DUMMYFUNCTION("""COMPUTED_VALUE"""),"Uncle Sams Cider (5/13/2022)")</f>
        <v>Uncle Sams Cider (5/13/2022)</v>
      </c>
      <c r="H630" s="19"/>
    </row>
    <row r="631">
      <c r="A631" s="9"/>
      <c r="B631" s="15"/>
      <c r="C631" s="9">
        <f>IFERROR(__xludf.DUMMYFUNCTION("""COMPUTED_VALUE"""),44790.0569633101)</f>
        <v>44790.05696</v>
      </c>
      <c r="D631" s="15">
        <f>IFERROR(__xludf.DUMMYFUNCTION("""COMPUTED_VALUE"""),1.004)</f>
        <v>1.004</v>
      </c>
      <c r="E631" s="16">
        <f>IFERROR(__xludf.DUMMYFUNCTION("""COMPUTED_VALUE"""),69.0)</f>
        <v>69</v>
      </c>
      <c r="F631" s="19" t="str">
        <f>IFERROR(__xludf.DUMMYFUNCTION("""COMPUTED_VALUE"""),"BLACK")</f>
        <v>BLACK</v>
      </c>
      <c r="G631" s="20" t="str">
        <f>IFERROR(__xludf.DUMMYFUNCTION("""COMPUTED_VALUE"""),"Uncle Sams Cider (5/13/2022)")</f>
        <v>Uncle Sams Cider (5/13/2022)</v>
      </c>
      <c r="H631" s="19"/>
    </row>
    <row r="632">
      <c r="A632" s="9"/>
      <c r="B632" s="15"/>
      <c r="C632" s="9">
        <f>IFERROR(__xludf.DUMMYFUNCTION("""COMPUTED_VALUE"""),44790.0465440162)</f>
        <v>44790.04654</v>
      </c>
      <c r="D632" s="15">
        <f>IFERROR(__xludf.DUMMYFUNCTION("""COMPUTED_VALUE"""),1.004)</f>
        <v>1.004</v>
      </c>
      <c r="E632" s="16">
        <f>IFERROR(__xludf.DUMMYFUNCTION("""COMPUTED_VALUE"""),69.0)</f>
        <v>69</v>
      </c>
      <c r="F632" s="19" t="str">
        <f>IFERROR(__xludf.DUMMYFUNCTION("""COMPUTED_VALUE"""),"BLACK")</f>
        <v>BLACK</v>
      </c>
      <c r="G632" s="20" t="str">
        <f>IFERROR(__xludf.DUMMYFUNCTION("""COMPUTED_VALUE"""),"Uncle Sams Cider (5/13/2022)")</f>
        <v>Uncle Sams Cider (5/13/2022)</v>
      </c>
      <c r="H632" s="19"/>
    </row>
    <row r="633">
      <c r="A633" s="9"/>
      <c r="B633" s="15"/>
      <c r="C633" s="9">
        <f>IFERROR(__xludf.DUMMYFUNCTION("""COMPUTED_VALUE"""),44790.0361223611)</f>
        <v>44790.03612</v>
      </c>
      <c r="D633" s="15">
        <f>IFERROR(__xludf.DUMMYFUNCTION("""COMPUTED_VALUE"""),1.004)</f>
        <v>1.004</v>
      </c>
      <c r="E633" s="16">
        <f>IFERROR(__xludf.DUMMYFUNCTION("""COMPUTED_VALUE"""),69.0)</f>
        <v>69</v>
      </c>
      <c r="F633" s="19" t="str">
        <f>IFERROR(__xludf.DUMMYFUNCTION("""COMPUTED_VALUE"""),"BLACK")</f>
        <v>BLACK</v>
      </c>
      <c r="G633" s="20" t="str">
        <f>IFERROR(__xludf.DUMMYFUNCTION("""COMPUTED_VALUE"""),"Uncle Sams Cider (5/13/2022)")</f>
        <v>Uncle Sams Cider (5/13/2022)</v>
      </c>
      <c r="H633" s="19"/>
    </row>
    <row r="634">
      <c r="A634" s="9"/>
      <c r="B634" s="15"/>
      <c r="C634" s="9">
        <f>IFERROR(__xludf.DUMMYFUNCTION("""COMPUTED_VALUE"""),44790.025700324)</f>
        <v>44790.0257</v>
      </c>
      <c r="D634" s="15">
        <f>IFERROR(__xludf.DUMMYFUNCTION("""COMPUTED_VALUE"""),1.004)</f>
        <v>1.004</v>
      </c>
      <c r="E634" s="16">
        <f>IFERROR(__xludf.DUMMYFUNCTION("""COMPUTED_VALUE"""),69.0)</f>
        <v>69</v>
      </c>
      <c r="F634" s="19" t="str">
        <f>IFERROR(__xludf.DUMMYFUNCTION("""COMPUTED_VALUE"""),"BLACK")</f>
        <v>BLACK</v>
      </c>
      <c r="G634" s="20" t="str">
        <f>IFERROR(__xludf.DUMMYFUNCTION("""COMPUTED_VALUE"""),"Uncle Sams Cider (5/13/2022)")</f>
        <v>Uncle Sams Cider (5/13/2022)</v>
      </c>
      <c r="H634" s="19"/>
    </row>
    <row r="635">
      <c r="A635" s="9"/>
      <c r="B635" s="15"/>
      <c r="C635" s="9">
        <f>IFERROR(__xludf.DUMMYFUNCTION("""COMPUTED_VALUE"""),44790.0152787731)</f>
        <v>44790.01528</v>
      </c>
      <c r="D635" s="15">
        <f>IFERROR(__xludf.DUMMYFUNCTION("""COMPUTED_VALUE"""),1.004)</f>
        <v>1.004</v>
      </c>
      <c r="E635" s="16">
        <f>IFERROR(__xludf.DUMMYFUNCTION("""COMPUTED_VALUE"""),69.0)</f>
        <v>69</v>
      </c>
      <c r="F635" s="19" t="str">
        <f>IFERROR(__xludf.DUMMYFUNCTION("""COMPUTED_VALUE"""),"BLACK")</f>
        <v>BLACK</v>
      </c>
      <c r="G635" s="20" t="str">
        <f>IFERROR(__xludf.DUMMYFUNCTION("""COMPUTED_VALUE"""),"Uncle Sams Cider (5/13/2022)")</f>
        <v>Uncle Sams Cider (5/13/2022)</v>
      </c>
      <c r="H635" s="19"/>
    </row>
    <row r="636">
      <c r="A636" s="9"/>
      <c r="B636" s="15"/>
      <c r="C636" s="9">
        <f>IFERROR(__xludf.DUMMYFUNCTION("""COMPUTED_VALUE"""),44790.0048568518)</f>
        <v>44790.00486</v>
      </c>
      <c r="D636" s="15">
        <f>IFERROR(__xludf.DUMMYFUNCTION("""COMPUTED_VALUE"""),1.004)</f>
        <v>1.004</v>
      </c>
      <c r="E636" s="16">
        <f>IFERROR(__xludf.DUMMYFUNCTION("""COMPUTED_VALUE"""),69.0)</f>
        <v>69</v>
      </c>
      <c r="F636" s="19" t="str">
        <f>IFERROR(__xludf.DUMMYFUNCTION("""COMPUTED_VALUE"""),"BLACK")</f>
        <v>BLACK</v>
      </c>
      <c r="G636" s="20" t="str">
        <f>IFERROR(__xludf.DUMMYFUNCTION("""COMPUTED_VALUE"""),"Uncle Sams Cider (5/13/2022)")</f>
        <v>Uncle Sams Cider (5/13/2022)</v>
      </c>
      <c r="H636" s="19"/>
    </row>
    <row r="637">
      <c r="A637" s="9"/>
      <c r="B637" s="15"/>
      <c r="C637" s="9">
        <f>IFERROR(__xludf.DUMMYFUNCTION("""COMPUTED_VALUE"""),44789.9944365856)</f>
        <v>44789.99444</v>
      </c>
      <c r="D637" s="15">
        <f>IFERROR(__xludf.DUMMYFUNCTION("""COMPUTED_VALUE"""),1.004)</f>
        <v>1.004</v>
      </c>
      <c r="E637" s="16">
        <f>IFERROR(__xludf.DUMMYFUNCTION("""COMPUTED_VALUE"""),69.0)</f>
        <v>69</v>
      </c>
      <c r="F637" s="19" t="str">
        <f>IFERROR(__xludf.DUMMYFUNCTION("""COMPUTED_VALUE"""),"BLACK")</f>
        <v>BLACK</v>
      </c>
      <c r="G637" s="20" t="str">
        <f>IFERROR(__xludf.DUMMYFUNCTION("""COMPUTED_VALUE"""),"Uncle Sams Cider (5/13/2022)")</f>
        <v>Uncle Sams Cider (5/13/2022)</v>
      </c>
      <c r="H637" s="19"/>
    </row>
    <row r="638">
      <c r="A638" s="9"/>
      <c r="B638" s="15"/>
      <c r="C638" s="9">
        <f>IFERROR(__xludf.DUMMYFUNCTION("""COMPUTED_VALUE"""),44789.9840147569)</f>
        <v>44789.98401</v>
      </c>
      <c r="D638" s="15">
        <f>IFERROR(__xludf.DUMMYFUNCTION("""COMPUTED_VALUE"""),1.004)</f>
        <v>1.004</v>
      </c>
      <c r="E638" s="16">
        <f>IFERROR(__xludf.DUMMYFUNCTION("""COMPUTED_VALUE"""),69.0)</f>
        <v>69</v>
      </c>
      <c r="F638" s="19" t="str">
        <f>IFERROR(__xludf.DUMMYFUNCTION("""COMPUTED_VALUE"""),"BLACK")</f>
        <v>BLACK</v>
      </c>
      <c r="G638" s="20" t="str">
        <f>IFERROR(__xludf.DUMMYFUNCTION("""COMPUTED_VALUE"""),"Uncle Sams Cider (5/13/2022)")</f>
        <v>Uncle Sams Cider (5/13/2022)</v>
      </c>
      <c r="H638" s="19"/>
    </row>
    <row r="639">
      <c r="A639" s="9"/>
      <c r="B639" s="15"/>
      <c r="C639" s="9">
        <f>IFERROR(__xludf.DUMMYFUNCTION("""COMPUTED_VALUE"""),44789.9735826736)</f>
        <v>44789.97358</v>
      </c>
      <c r="D639" s="15">
        <f>IFERROR(__xludf.DUMMYFUNCTION("""COMPUTED_VALUE"""),1.004)</f>
        <v>1.004</v>
      </c>
      <c r="E639" s="16">
        <f>IFERROR(__xludf.DUMMYFUNCTION("""COMPUTED_VALUE"""),69.0)</f>
        <v>69</v>
      </c>
      <c r="F639" s="19" t="str">
        <f>IFERROR(__xludf.DUMMYFUNCTION("""COMPUTED_VALUE"""),"BLACK")</f>
        <v>BLACK</v>
      </c>
      <c r="G639" s="20" t="str">
        <f>IFERROR(__xludf.DUMMYFUNCTION("""COMPUTED_VALUE"""),"Uncle Sams Cider (5/13/2022)")</f>
        <v>Uncle Sams Cider (5/13/2022)</v>
      </c>
      <c r="H639" s="19"/>
    </row>
    <row r="640">
      <c r="A640" s="9"/>
      <c r="B640" s="15"/>
      <c r="C640" s="9">
        <f>IFERROR(__xludf.DUMMYFUNCTION("""COMPUTED_VALUE"""),44789.9631618981)</f>
        <v>44789.96316</v>
      </c>
      <c r="D640" s="15">
        <f>IFERROR(__xludf.DUMMYFUNCTION("""COMPUTED_VALUE"""),1.004)</f>
        <v>1.004</v>
      </c>
      <c r="E640" s="16">
        <f>IFERROR(__xludf.DUMMYFUNCTION("""COMPUTED_VALUE"""),69.0)</f>
        <v>69</v>
      </c>
      <c r="F640" s="19" t="str">
        <f>IFERROR(__xludf.DUMMYFUNCTION("""COMPUTED_VALUE"""),"BLACK")</f>
        <v>BLACK</v>
      </c>
      <c r="G640" s="20" t="str">
        <f>IFERROR(__xludf.DUMMYFUNCTION("""COMPUTED_VALUE"""),"Uncle Sams Cider (5/13/2022)")</f>
        <v>Uncle Sams Cider (5/13/2022)</v>
      </c>
      <c r="H640" s="19"/>
    </row>
    <row r="641">
      <c r="A641" s="9"/>
      <c r="B641" s="15"/>
      <c r="C641" s="9">
        <f>IFERROR(__xludf.DUMMYFUNCTION("""COMPUTED_VALUE"""),44789.9527393865)</f>
        <v>44789.95274</v>
      </c>
      <c r="D641" s="15">
        <f>IFERROR(__xludf.DUMMYFUNCTION("""COMPUTED_VALUE"""),1.004)</f>
        <v>1.004</v>
      </c>
      <c r="E641" s="16">
        <f>IFERROR(__xludf.DUMMYFUNCTION("""COMPUTED_VALUE"""),69.0)</f>
        <v>69</v>
      </c>
      <c r="F641" s="19" t="str">
        <f>IFERROR(__xludf.DUMMYFUNCTION("""COMPUTED_VALUE"""),"BLACK")</f>
        <v>BLACK</v>
      </c>
      <c r="G641" s="20" t="str">
        <f>IFERROR(__xludf.DUMMYFUNCTION("""COMPUTED_VALUE"""),"Uncle Sams Cider (5/13/2022)")</f>
        <v>Uncle Sams Cider (5/13/2022)</v>
      </c>
      <c r="H641" s="19"/>
    </row>
    <row r="642">
      <c r="A642" s="9"/>
      <c r="B642" s="15"/>
      <c r="C642" s="9">
        <f>IFERROR(__xludf.DUMMYFUNCTION("""COMPUTED_VALUE"""),44789.9423177314)</f>
        <v>44789.94232</v>
      </c>
      <c r="D642" s="15">
        <f>IFERROR(__xludf.DUMMYFUNCTION("""COMPUTED_VALUE"""),1.004)</f>
        <v>1.004</v>
      </c>
      <c r="E642" s="16">
        <f>IFERROR(__xludf.DUMMYFUNCTION("""COMPUTED_VALUE"""),69.0)</f>
        <v>69</v>
      </c>
      <c r="F642" s="19" t="str">
        <f>IFERROR(__xludf.DUMMYFUNCTION("""COMPUTED_VALUE"""),"BLACK")</f>
        <v>BLACK</v>
      </c>
      <c r="G642" s="20" t="str">
        <f>IFERROR(__xludf.DUMMYFUNCTION("""COMPUTED_VALUE"""),"Uncle Sams Cider (5/13/2022)")</f>
        <v>Uncle Sams Cider (5/13/2022)</v>
      </c>
      <c r="H642" s="19"/>
    </row>
    <row r="643">
      <c r="A643" s="9"/>
      <c r="B643" s="15"/>
      <c r="C643" s="9">
        <f>IFERROR(__xludf.DUMMYFUNCTION("""COMPUTED_VALUE"""),44789.9318966203)</f>
        <v>44789.9319</v>
      </c>
      <c r="D643" s="15">
        <f>IFERROR(__xludf.DUMMYFUNCTION("""COMPUTED_VALUE"""),1.004)</f>
        <v>1.004</v>
      </c>
      <c r="E643" s="16">
        <f>IFERROR(__xludf.DUMMYFUNCTION("""COMPUTED_VALUE"""),69.0)</f>
        <v>69</v>
      </c>
      <c r="F643" s="19" t="str">
        <f>IFERROR(__xludf.DUMMYFUNCTION("""COMPUTED_VALUE"""),"BLACK")</f>
        <v>BLACK</v>
      </c>
      <c r="G643" s="20" t="str">
        <f>IFERROR(__xludf.DUMMYFUNCTION("""COMPUTED_VALUE"""),"Uncle Sams Cider (5/13/2022)")</f>
        <v>Uncle Sams Cider (5/13/2022)</v>
      </c>
      <c r="H643" s="19"/>
    </row>
    <row r="644">
      <c r="A644" s="9"/>
      <c r="B644" s="15"/>
      <c r="C644" s="9">
        <f>IFERROR(__xludf.DUMMYFUNCTION("""COMPUTED_VALUE"""),44789.9214639467)</f>
        <v>44789.92146</v>
      </c>
      <c r="D644" s="15">
        <f>IFERROR(__xludf.DUMMYFUNCTION("""COMPUTED_VALUE"""),1.004)</f>
        <v>1.004</v>
      </c>
      <c r="E644" s="16">
        <f>IFERROR(__xludf.DUMMYFUNCTION("""COMPUTED_VALUE"""),69.0)</f>
        <v>69</v>
      </c>
      <c r="F644" s="19" t="str">
        <f>IFERROR(__xludf.DUMMYFUNCTION("""COMPUTED_VALUE"""),"BLACK")</f>
        <v>BLACK</v>
      </c>
      <c r="G644" s="20" t="str">
        <f>IFERROR(__xludf.DUMMYFUNCTION("""COMPUTED_VALUE"""),"Uncle Sams Cider (5/13/2022)")</f>
        <v>Uncle Sams Cider (5/13/2022)</v>
      </c>
      <c r="H644" s="19"/>
    </row>
    <row r="645">
      <c r="A645" s="9"/>
      <c r="B645" s="15"/>
      <c r="C645" s="9">
        <f>IFERROR(__xludf.DUMMYFUNCTION("""COMPUTED_VALUE"""),44789.9110446412)</f>
        <v>44789.91104</v>
      </c>
      <c r="D645" s="15">
        <f>IFERROR(__xludf.DUMMYFUNCTION("""COMPUTED_VALUE"""),1.003)</f>
        <v>1.003</v>
      </c>
      <c r="E645" s="16">
        <f>IFERROR(__xludf.DUMMYFUNCTION("""COMPUTED_VALUE"""),69.0)</f>
        <v>69</v>
      </c>
      <c r="F645" s="19" t="str">
        <f>IFERROR(__xludf.DUMMYFUNCTION("""COMPUTED_VALUE"""),"BLACK")</f>
        <v>BLACK</v>
      </c>
      <c r="G645" s="20" t="str">
        <f>IFERROR(__xludf.DUMMYFUNCTION("""COMPUTED_VALUE"""),"Uncle Sams Cider (5/13/2022)")</f>
        <v>Uncle Sams Cider (5/13/2022)</v>
      </c>
      <c r="H645" s="19"/>
    </row>
    <row r="646">
      <c r="A646" s="9"/>
      <c r="B646" s="15"/>
      <c r="C646" s="9">
        <f>IFERROR(__xludf.DUMMYFUNCTION("""COMPUTED_VALUE"""),44789.9006253703)</f>
        <v>44789.90063</v>
      </c>
      <c r="D646" s="15">
        <f>IFERROR(__xludf.DUMMYFUNCTION("""COMPUTED_VALUE"""),1.003)</f>
        <v>1.003</v>
      </c>
      <c r="E646" s="16">
        <f>IFERROR(__xludf.DUMMYFUNCTION("""COMPUTED_VALUE"""),69.0)</f>
        <v>69</v>
      </c>
      <c r="F646" s="19" t="str">
        <f>IFERROR(__xludf.DUMMYFUNCTION("""COMPUTED_VALUE"""),"BLACK")</f>
        <v>BLACK</v>
      </c>
      <c r="G646" s="20" t="str">
        <f>IFERROR(__xludf.DUMMYFUNCTION("""COMPUTED_VALUE"""),"Uncle Sams Cider (5/13/2022)")</f>
        <v>Uncle Sams Cider (5/13/2022)</v>
      </c>
      <c r="H646" s="19"/>
    </row>
    <row r="647">
      <c r="A647" s="9"/>
      <c r="B647" s="15"/>
      <c r="C647" s="9">
        <f>IFERROR(__xludf.DUMMYFUNCTION("""COMPUTED_VALUE"""),44789.8902059722)</f>
        <v>44789.89021</v>
      </c>
      <c r="D647" s="15">
        <f>IFERROR(__xludf.DUMMYFUNCTION("""COMPUTED_VALUE"""),1.004)</f>
        <v>1.004</v>
      </c>
      <c r="E647" s="16">
        <f>IFERROR(__xludf.DUMMYFUNCTION("""COMPUTED_VALUE"""),69.0)</f>
        <v>69</v>
      </c>
      <c r="F647" s="19" t="str">
        <f>IFERROR(__xludf.DUMMYFUNCTION("""COMPUTED_VALUE"""),"BLACK")</f>
        <v>BLACK</v>
      </c>
      <c r="G647" s="20" t="str">
        <f>IFERROR(__xludf.DUMMYFUNCTION("""COMPUTED_VALUE"""),"Uncle Sams Cider (5/13/2022)")</f>
        <v>Uncle Sams Cider (5/13/2022)</v>
      </c>
      <c r="H647" s="19"/>
    </row>
    <row r="648">
      <c r="A648" s="9"/>
      <c r="B648" s="15"/>
      <c r="C648" s="9">
        <f>IFERROR(__xludf.DUMMYFUNCTION("""COMPUTED_VALUE"""),44789.8797755324)</f>
        <v>44789.87978</v>
      </c>
      <c r="D648" s="15">
        <f>IFERROR(__xludf.DUMMYFUNCTION("""COMPUTED_VALUE"""),1.004)</f>
        <v>1.004</v>
      </c>
      <c r="E648" s="16">
        <f>IFERROR(__xludf.DUMMYFUNCTION("""COMPUTED_VALUE"""),69.0)</f>
        <v>69</v>
      </c>
      <c r="F648" s="19" t="str">
        <f>IFERROR(__xludf.DUMMYFUNCTION("""COMPUTED_VALUE"""),"BLACK")</f>
        <v>BLACK</v>
      </c>
      <c r="G648" s="20" t="str">
        <f>IFERROR(__xludf.DUMMYFUNCTION("""COMPUTED_VALUE"""),"Uncle Sams Cider (5/13/2022)")</f>
        <v>Uncle Sams Cider (5/13/2022)</v>
      </c>
      <c r="H648" s="19"/>
    </row>
    <row r="649">
      <c r="A649" s="9"/>
      <c r="B649" s="15"/>
      <c r="C649" s="9">
        <f>IFERROR(__xludf.DUMMYFUNCTION("""COMPUTED_VALUE"""),44789.8693537847)</f>
        <v>44789.86935</v>
      </c>
      <c r="D649" s="15">
        <f>IFERROR(__xludf.DUMMYFUNCTION("""COMPUTED_VALUE"""),1.004)</f>
        <v>1.004</v>
      </c>
      <c r="E649" s="16">
        <f>IFERROR(__xludf.DUMMYFUNCTION("""COMPUTED_VALUE"""),69.0)</f>
        <v>69</v>
      </c>
      <c r="F649" s="19" t="str">
        <f>IFERROR(__xludf.DUMMYFUNCTION("""COMPUTED_VALUE"""),"BLACK")</f>
        <v>BLACK</v>
      </c>
      <c r="G649" s="20" t="str">
        <f>IFERROR(__xludf.DUMMYFUNCTION("""COMPUTED_VALUE"""),"Uncle Sams Cider (5/13/2022)")</f>
        <v>Uncle Sams Cider (5/13/2022)</v>
      </c>
      <c r="H649" s="19"/>
    </row>
    <row r="650">
      <c r="A650" s="9"/>
      <c r="B650" s="15"/>
      <c r="C650" s="9">
        <f>IFERROR(__xludf.DUMMYFUNCTION("""COMPUTED_VALUE"""),44789.8589311574)</f>
        <v>44789.85893</v>
      </c>
      <c r="D650" s="15">
        <f>IFERROR(__xludf.DUMMYFUNCTION("""COMPUTED_VALUE"""),1.003)</f>
        <v>1.003</v>
      </c>
      <c r="E650" s="16">
        <f>IFERROR(__xludf.DUMMYFUNCTION("""COMPUTED_VALUE"""),69.0)</f>
        <v>69</v>
      </c>
      <c r="F650" s="19" t="str">
        <f>IFERROR(__xludf.DUMMYFUNCTION("""COMPUTED_VALUE"""),"BLACK")</f>
        <v>BLACK</v>
      </c>
      <c r="G650" s="20" t="str">
        <f>IFERROR(__xludf.DUMMYFUNCTION("""COMPUTED_VALUE"""),"Uncle Sams Cider (5/13/2022)")</f>
        <v>Uncle Sams Cider (5/13/2022)</v>
      </c>
      <c r="H650" s="19"/>
    </row>
    <row r="651">
      <c r="A651" s="9"/>
      <c r="B651" s="15"/>
      <c r="C651" s="9">
        <f>IFERROR(__xludf.DUMMYFUNCTION("""COMPUTED_VALUE"""),44789.8484993518)</f>
        <v>44789.8485</v>
      </c>
      <c r="D651" s="15">
        <f>IFERROR(__xludf.DUMMYFUNCTION("""COMPUTED_VALUE"""),1.004)</f>
        <v>1.004</v>
      </c>
      <c r="E651" s="16">
        <f>IFERROR(__xludf.DUMMYFUNCTION("""COMPUTED_VALUE"""),69.0)</f>
        <v>69</v>
      </c>
      <c r="F651" s="19" t="str">
        <f>IFERROR(__xludf.DUMMYFUNCTION("""COMPUTED_VALUE"""),"BLACK")</f>
        <v>BLACK</v>
      </c>
      <c r="G651" s="20" t="str">
        <f>IFERROR(__xludf.DUMMYFUNCTION("""COMPUTED_VALUE"""),"Uncle Sams Cider (5/13/2022)")</f>
        <v>Uncle Sams Cider (5/13/2022)</v>
      </c>
      <c r="H651" s="19"/>
    </row>
    <row r="652">
      <c r="A652" s="9"/>
      <c r="B652" s="15"/>
      <c r="C652" s="9">
        <f>IFERROR(__xludf.DUMMYFUNCTION("""COMPUTED_VALUE"""),44789.8380769791)</f>
        <v>44789.83808</v>
      </c>
      <c r="D652" s="15">
        <f>IFERROR(__xludf.DUMMYFUNCTION("""COMPUTED_VALUE"""),1.003)</f>
        <v>1.003</v>
      </c>
      <c r="E652" s="16">
        <f>IFERROR(__xludf.DUMMYFUNCTION("""COMPUTED_VALUE"""),69.0)</f>
        <v>69</v>
      </c>
      <c r="F652" s="19" t="str">
        <f>IFERROR(__xludf.DUMMYFUNCTION("""COMPUTED_VALUE"""),"BLACK")</f>
        <v>BLACK</v>
      </c>
      <c r="G652" s="20" t="str">
        <f>IFERROR(__xludf.DUMMYFUNCTION("""COMPUTED_VALUE"""),"Uncle Sams Cider (5/13/2022)")</f>
        <v>Uncle Sams Cider (5/13/2022)</v>
      </c>
      <c r="H652" s="19"/>
    </row>
    <row r="653">
      <c r="A653" s="9"/>
      <c r="B653" s="15"/>
      <c r="C653" s="9">
        <f>IFERROR(__xludf.DUMMYFUNCTION("""COMPUTED_VALUE"""),44789.8276564004)</f>
        <v>44789.82766</v>
      </c>
      <c r="D653" s="15">
        <f>IFERROR(__xludf.DUMMYFUNCTION("""COMPUTED_VALUE"""),1.004)</f>
        <v>1.004</v>
      </c>
      <c r="E653" s="16">
        <f>IFERROR(__xludf.DUMMYFUNCTION("""COMPUTED_VALUE"""),69.0)</f>
        <v>69</v>
      </c>
      <c r="F653" s="19" t="str">
        <f>IFERROR(__xludf.DUMMYFUNCTION("""COMPUTED_VALUE"""),"BLACK")</f>
        <v>BLACK</v>
      </c>
      <c r="G653" s="20" t="str">
        <f>IFERROR(__xludf.DUMMYFUNCTION("""COMPUTED_VALUE"""),"Uncle Sams Cider (5/13/2022)")</f>
        <v>Uncle Sams Cider (5/13/2022)</v>
      </c>
      <c r="H653" s="19"/>
    </row>
    <row r="654">
      <c r="A654" s="9"/>
      <c r="B654" s="15"/>
      <c r="C654" s="9">
        <f>IFERROR(__xludf.DUMMYFUNCTION("""COMPUTED_VALUE"""),44789.8172349421)</f>
        <v>44789.81723</v>
      </c>
      <c r="D654" s="15">
        <f>IFERROR(__xludf.DUMMYFUNCTION("""COMPUTED_VALUE"""),1.004)</f>
        <v>1.004</v>
      </c>
      <c r="E654" s="16">
        <f>IFERROR(__xludf.DUMMYFUNCTION("""COMPUTED_VALUE"""),69.0)</f>
        <v>69</v>
      </c>
      <c r="F654" s="19" t="str">
        <f>IFERROR(__xludf.DUMMYFUNCTION("""COMPUTED_VALUE"""),"BLACK")</f>
        <v>BLACK</v>
      </c>
      <c r="G654" s="20" t="str">
        <f>IFERROR(__xludf.DUMMYFUNCTION("""COMPUTED_VALUE"""),"Uncle Sams Cider (5/13/2022)")</f>
        <v>Uncle Sams Cider (5/13/2022)</v>
      </c>
      <c r="H654" s="19"/>
    </row>
    <row r="655">
      <c r="A655" s="9"/>
      <c r="B655" s="15"/>
      <c r="C655" s="9">
        <f>IFERROR(__xludf.DUMMYFUNCTION("""COMPUTED_VALUE"""),44789.8068034953)</f>
        <v>44789.8068</v>
      </c>
      <c r="D655" s="15">
        <f>IFERROR(__xludf.DUMMYFUNCTION("""COMPUTED_VALUE"""),1.004)</f>
        <v>1.004</v>
      </c>
      <c r="E655" s="16">
        <f>IFERROR(__xludf.DUMMYFUNCTION("""COMPUTED_VALUE"""),69.0)</f>
        <v>69</v>
      </c>
      <c r="F655" s="19" t="str">
        <f>IFERROR(__xludf.DUMMYFUNCTION("""COMPUTED_VALUE"""),"BLACK")</f>
        <v>BLACK</v>
      </c>
      <c r="G655" s="20" t="str">
        <f>IFERROR(__xludf.DUMMYFUNCTION("""COMPUTED_VALUE"""),"Uncle Sams Cider (5/13/2022)")</f>
        <v>Uncle Sams Cider (5/13/2022)</v>
      </c>
      <c r="H655" s="19"/>
    </row>
    <row r="656">
      <c r="A656" s="9"/>
      <c r="B656" s="15"/>
      <c r="C656" s="9">
        <f>IFERROR(__xludf.DUMMYFUNCTION("""COMPUTED_VALUE"""),44789.7963365972)</f>
        <v>44789.79634</v>
      </c>
      <c r="D656" s="15">
        <f>IFERROR(__xludf.DUMMYFUNCTION("""COMPUTED_VALUE"""),1.004)</f>
        <v>1.004</v>
      </c>
      <c r="E656" s="16">
        <f>IFERROR(__xludf.DUMMYFUNCTION("""COMPUTED_VALUE"""),69.0)</f>
        <v>69</v>
      </c>
      <c r="F656" s="19" t="str">
        <f>IFERROR(__xludf.DUMMYFUNCTION("""COMPUTED_VALUE"""),"BLACK")</f>
        <v>BLACK</v>
      </c>
      <c r="G656" s="20" t="str">
        <f>IFERROR(__xludf.DUMMYFUNCTION("""COMPUTED_VALUE"""),"Uncle Sams Cider (5/13/2022)")</f>
        <v>Uncle Sams Cider (5/13/2022)</v>
      </c>
      <c r="H656" s="19"/>
    </row>
    <row r="657">
      <c r="A657" s="9"/>
      <c r="B657" s="15"/>
      <c r="C657" s="9">
        <f>IFERROR(__xludf.DUMMYFUNCTION("""COMPUTED_VALUE"""),44789.7859161458)</f>
        <v>44789.78592</v>
      </c>
      <c r="D657" s="15">
        <f>IFERROR(__xludf.DUMMYFUNCTION("""COMPUTED_VALUE"""),1.004)</f>
        <v>1.004</v>
      </c>
      <c r="E657" s="16">
        <f>IFERROR(__xludf.DUMMYFUNCTION("""COMPUTED_VALUE"""),69.0)</f>
        <v>69</v>
      </c>
      <c r="F657" s="19" t="str">
        <f>IFERROR(__xludf.DUMMYFUNCTION("""COMPUTED_VALUE"""),"BLACK")</f>
        <v>BLACK</v>
      </c>
      <c r="G657" s="20" t="str">
        <f>IFERROR(__xludf.DUMMYFUNCTION("""COMPUTED_VALUE"""),"Uncle Sams Cider (5/13/2022)")</f>
        <v>Uncle Sams Cider (5/13/2022)</v>
      </c>
      <c r="H657" s="19"/>
    </row>
    <row r="658">
      <c r="A658" s="9"/>
      <c r="B658" s="15"/>
      <c r="C658" s="9">
        <f>IFERROR(__xludf.DUMMYFUNCTION("""COMPUTED_VALUE"""),44789.775496655)</f>
        <v>44789.7755</v>
      </c>
      <c r="D658" s="15">
        <f>IFERROR(__xludf.DUMMYFUNCTION("""COMPUTED_VALUE"""),1.004)</f>
        <v>1.004</v>
      </c>
      <c r="E658" s="16">
        <f>IFERROR(__xludf.DUMMYFUNCTION("""COMPUTED_VALUE"""),69.0)</f>
        <v>69</v>
      </c>
      <c r="F658" s="19" t="str">
        <f>IFERROR(__xludf.DUMMYFUNCTION("""COMPUTED_VALUE"""),"BLACK")</f>
        <v>BLACK</v>
      </c>
      <c r="G658" s="20" t="str">
        <f>IFERROR(__xludf.DUMMYFUNCTION("""COMPUTED_VALUE"""),"Uncle Sams Cider (5/13/2022)")</f>
        <v>Uncle Sams Cider (5/13/2022)</v>
      </c>
      <c r="H658" s="19"/>
    </row>
    <row r="659">
      <c r="A659" s="9"/>
      <c r="B659" s="15"/>
      <c r="C659" s="9">
        <f>IFERROR(__xludf.DUMMYFUNCTION("""COMPUTED_VALUE"""),44789.7650756365)</f>
        <v>44789.76508</v>
      </c>
      <c r="D659" s="15">
        <f>IFERROR(__xludf.DUMMYFUNCTION("""COMPUTED_VALUE"""),1.004)</f>
        <v>1.004</v>
      </c>
      <c r="E659" s="16">
        <f>IFERROR(__xludf.DUMMYFUNCTION("""COMPUTED_VALUE"""),69.0)</f>
        <v>69</v>
      </c>
      <c r="F659" s="19" t="str">
        <f>IFERROR(__xludf.DUMMYFUNCTION("""COMPUTED_VALUE"""),"BLACK")</f>
        <v>BLACK</v>
      </c>
      <c r="G659" s="20" t="str">
        <f>IFERROR(__xludf.DUMMYFUNCTION("""COMPUTED_VALUE"""),"Uncle Sams Cider (5/13/2022)")</f>
        <v>Uncle Sams Cider (5/13/2022)</v>
      </c>
      <c r="H659" s="19"/>
    </row>
    <row r="660">
      <c r="A660" s="9"/>
      <c r="B660" s="15"/>
      <c r="C660" s="9">
        <f>IFERROR(__xludf.DUMMYFUNCTION("""COMPUTED_VALUE"""),44789.754653912)</f>
        <v>44789.75465</v>
      </c>
      <c r="D660" s="15">
        <f>IFERROR(__xludf.DUMMYFUNCTION("""COMPUTED_VALUE"""),1.004)</f>
        <v>1.004</v>
      </c>
      <c r="E660" s="16">
        <f>IFERROR(__xludf.DUMMYFUNCTION("""COMPUTED_VALUE"""),69.0)</f>
        <v>69</v>
      </c>
      <c r="F660" s="19" t="str">
        <f>IFERROR(__xludf.DUMMYFUNCTION("""COMPUTED_VALUE"""),"BLACK")</f>
        <v>BLACK</v>
      </c>
      <c r="G660" s="20" t="str">
        <f>IFERROR(__xludf.DUMMYFUNCTION("""COMPUTED_VALUE"""),"Uncle Sams Cider (5/13/2022)")</f>
        <v>Uncle Sams Cider (5/13/2022)</v>
      </c>
      <c r="H660" s="19"/>
    </row>
    <row r="661">
      <c r="A661" s="9"/>
      <c r="B661" s="15"/>
      <c r="C661" s="9">
        <f>IFERROR(__xludf.DUMMYFUNCTION("""COMPUTED_VALUE"""),44789.7442204166)</f>
        <v>44789.74422</v>
      </c>
      <c r="D661" s="15">
        <f>IFERROR(__xludf.DUMMYFUNCTION("""COMPUTED_VALUE"""),1.004)</f>
        <v>1.004</v>
      </c>
      <c r="E661" s="16">
        <f>IFERROR(__xludf.DUMMYFUNCTION("""COMPUTED_VALUE"""),69.0)</f>
        <v>69</v>
      </c>
      <c r="F661" s="19" t="str">
        <f>IFERROR(__xludf.DUMMYFUNCTION("""COMPUTED_VALUE"""),"BLACK")</f>
        <v>BLACK</v>
      </c>
      <c r="G661" s="20" t="str">
        <f>IFERROR(__xludf.DUMMYFUNCTION("""COMPUTED_VALUE"""),"Uncle Sams Cider (5/13/2022)")</f>
        <v>Uncle Sams Cider (5/13/2022)</v>
      </c>
      <c r="H661" s="19"/>
    </row>
    <row r="662">
      <c r="A662" s="9"/>
      <c r="B662" s="15"/>
      <c r="C662" s="9">
        <f>IFERROR(__xludf.DUMMYFUNCTION("""COMPUTED_VALUE"""),44789.7338007291)</f>
        <v>44789.7338</v>
      </c>
      <c r="D662" s="15">
        <f>IFERROR(__xludf.DUMMYFUNCTION("""COMPUTED_VALUE"""),1.004)</f>
        <v>1.004</v>
      </c>
      <c r="E662" s="16">
        <f>IFERROR(__xludf.DUMMYFUNCTION("""COMPUTED_VALUE"""),69.0)</f>
        <v>69</v>
      </c>
      <c r="F662" s="19" t="str">
        <f>IFERROR(__xludf.DUMMYFUNCTION("""COMPUTED_VALUE"""),"BLACK")</f>
        <v>BLACK</v>
      </c>
      <c r="G662" s="20" t="str">
        <f>IFERROR(__xludf.DUMMYFUNCTION("""COMPUTED_VALUE"""),"Uncle Sams Cider (5/13/2022)")</f>
        <v>Uncle Sams Cider (5/13/2022)</v>
      </c>
      <c r="H662" s="19"/>
    </row>
    <row r="663">
      <c r="A663" s="9"/>
      <c r="B663" s="15"/>
      <c r="C663" s="9">
        <f>IFERROR(__xludf.DUMMYFUNCTION("""COMPUTED_VALUE"""),44789.7233824074)</f>
        <v>44789.72338</v>
      </c>
      <c r="D663" s="15">
        <f>IFERROR(__xludf.DUMMYFUNCTION("""COMPUTED_VALUE"""),1.004)</f>
        <v>1.004</v>
      </c>
      <c r="E663" s="16">
        <f>IFERROR(__xludf.DUMMYFUNCTION("""COMPUTED_VALUE"""),69.0)</f>
        <v>69</v>
      </c>
      <c r="F663" s="19" t="str">
        <f>IFERROR(__xludf.DUMMYFUNCTION("""COMPUTED_VALUE"""),"BLACK")</f>
        <v>BLACK</v>
      </c>
      <c r="G663" s="20" t="str">
        <f>IFERROR(__xludf.DUMMYFUNCTION("""COMPUTED_VALUE"""),"Uncle Sams Cider (5/13/2022)")</f>
        <v>Uncle Sams Cider (5/13/2022)</v>
      </c>
      <c r="H663" s="19"/>
    </row>
    <row r="664">
      <c r="A664" s="9"/>
      <c r="B664" s="15"/>
      <c r="C664" s="9">
        <f>IFERROR(__xludf.DUMMYFUNCTION("""COMPUTED_VALUE"""),44789.7129613078)</f>
        <v>44789.71296</v>
      </c>
      <c r="D664" s="15">
        <f>IFERROR(__xludf.DUMMYFUNCTION("""COMPUTED_VALUE"""),1.003)</f>
        <v>1.003</v>
      </c>
      <c r="E664" s="16">
        <f>IFERROR(__xludf.DUMMYFUNCTION("""COMPUTED_VALUE"""),69.0)</f>
        <v>69</v>
      </c>
      <c r="F664" s="19" t="str">
        <f>IFERROR(__xludf.DUMMYFUNCTION("""COMPUTED_VALUE"""),"BLACK")</f>
        <v>BLACK</v>
      </c>
      <c r="G664" s="20" t="str">
        <f>IFERROR(__xludf.DUMMYFUNCTION("""COMPUTED_VALUE"""),"Uncle Sams Cider (5/13/2022)")</f>
        <v>Uncle Sams Cider (5/13/2022)</v>
      </c>
      <c r="H664" s="19"/>
    </row>
    <row r="665">
      <c r="A665" s="9"/>
      <c r="B665" s="15"/>
      <c r="C665" s="9">
        <f>IFERROR(__xludf.DUMMYFUNCTION("""COMPUTED_VALUE"""),44789.7025280555)</f>
        <v>44789.70253</v>
      </c>
      <c r="D665" s="15">
        <f>IFERROR(__xludf.DUMMYFUNCTION("""COMPUTED_VALUE"""),1.004)</f>
        <v>1.004</v>
      </c>
      <c r="E665" s="16">
        <f>IFERROR(__xludf.DUMMYFUNCTION("""COMPUTED_VALUE"""),68.0)</f>
        <v>68</v>
      </c>
      <c r="F665" s="19" t="str">
        <f>IFERROR(__xludf.DUMMYFUNCTION("""COMPUTED_VALUE"""),"BLACK")</f>
        <v>BLACK</v>
      </c>
      <c r="G665" s="20" t="str">
        <f>IFERROR(__xludf.DUMMYFUNCTION("""COMPUTED_VALUE"""),"Uncle Sams Cider (5/13/2022)")</f>
        <v>Uncle Sams Cider (5/13/2022)</v>
      </c>
      <c r="H665" s="19"/>
    </row>
    <row r="666">
      <c r="A666" s="9"/>
      <c r="B666" s="15"/>
      <c r="C666" s="9">
        <f>IFERROR(__xludf.DUMMYFUNCTION("""COMPUTED_VALUE"""),44789.6921054166)</f>
        <v>44789.69211</v>
      </c>
      <c r="D666" s="15">
        <f>IFERROR(__xludf.DUMMYFUNCTION("""COMPUTED_VALUE"""),1.004)</f>
        <v>1.004</v>
      </c>
      <c r="E666" s="16">
        <f>IFERROR(__xludf.DUMMYFUNCTION("""COMPUTED_VALUE"""),68.0)</f>
        <v>68</v>
      </c>
      <c r="F666" s="19" t="str">
        <f>IFERROR(__xludf.DUMMYFUNCTION("""COMPUTED_VALUE"""),"BLACK")</f>
        <v>BLACK</v>
      </c>
      <c r="G666" s="20" t="str">
        <f>IFERROR(__xludf.DUMMYFUNCTION("""COMPUTED_VALUE"""),"Uncle Sams Cider (5/13/2022)")</f>
        <v>Uncle Sams Cider (5/13/2022)</v>
      </c>
      <c r="H666" s="19"/>
    </row>
    <row r="667">
      <c r="A667" s="9"/>
      <c r="B667" s="15"/>
      <c r="C667" s="9">
        <f>IFERROR(__xludf.DUMMYFUNCTION("""COMPUTED_VALUE"""),44789.6816841782)</f>
        <v>44789.68168</v>
      </c>
      <c r="D667" s="15">
        <f>IFERROR(__xludf.DUMMYFUNCTION("""COMPUTED_VALUE"""),1.004)</f>
        <v>1.004</v>
      </c>
      <c r="E667" s="16">
        <f>IFERROR(__xludf.DUMMYFUNCTION("""COMPUTED_VALUE"""),68.0)</f>
        <v>68</v>
      </c>
      <c r="F667" s="19" t="str">
        <f>IFERROR(__xludf.DUMMYFUNCTION("""COMPUTED_VALUE"""),"BLACK")</f>
        <v>BLACK</v>
      </c>
      <c r="G667" s="20" t="str">
        <f>IFERROR(__xludf.DUMMYFUNCTION("""COMPUTED_VALUE"""),"Uncle Sams Cider (5/13/2022)")</f>
        <v>Uncle Sams Cider (5/13/2022)</v>
      </c>
      <c r="H667" s="19"/>
    </row>
    <row r="668">
      <c r="A668" s="9"/>
      <c r="B668" s="15"/>
      <c r="C668" s="9">
        <f>IFERROR(__xludf.DUMMYFUNCTION("""COMPUTED_VALUE"""),44789.6712515509)</f>
        <v>44789.67125</v>
      </c>
      <c r="D668" s="15">
        <f>IFERROR(__xludf.DUMMYFUNCTION("""COMPUTED_VALUE"""),1.004)</f>
        <v>1.004</v>
      </c>
      <c r="E668" s="16">
        <f>IFERROR(__xludf.DUMMYFUNCTION("""COMPUTED_VALUE"""),69.0)</f>
        <v>69</v>
      </c>
      <c r="F668" s="19" t="str">
        <f>IFERROR(__xludf.DUMMYFUNCTION("""COMPUTED_VALUE"""),"BLACK")</f>
        <v>BLACK</v>
      </c>
      <c r="G668" s="20" t="str">
        <f>IFERROR(__xludf.DUMMYFUNCTION("""COMPUTED_VALUE"""),"Uncle Sams Cider (5/13/2022)")</f>
        <v>Uncle Sams Cider (5/13/2022)</v>
      </c>
      <c r="H668" s="19"/>
    </row>
    <row r="669">
      <c r="A669" s="9"/>
      <c r="B669" s="15"/>
      <c r="C669" s="9">
        <f>IFERROR(__xludf.DUMMYFUNCTION("""COMPUTED_VALUE"""),44789.6608165625)</f>
        <v>44789.66082</v>
      </c>
      <c r="D669" s="15">
        <f>IFERROR(__xludf.DUMMYFUNCTION("""COMPUTED_VALUE"""),1.004)</f>
        <v>1.004</v>
      </c>
      <c r="E669" s="16">
        <f>IFERROR(__xludf.DUMMYFUNCTION("""COMPUTED_VALUE"""),69.0)</f>
        <v>69</v>
      </c>
      <c r="F669" s="19" t="str">
        <f>IFERROR(__xludf.DUMMYFUNCTION("""COMPUTED_VALUE"""),"BLACK")</f>
        <v>BLACK</v>
      </c>
      <c r="G669" s="20" t="str">
        <f>IFERROR(__xludf.DUMMYFUNCTION("""COMPUTED_VALUE"""),"Uncle Sams Cider (5/13/2022)")</f>
        <v>Uncle Sams Cider (5/13/2022)</v>
      </c>
      <c r="H669" s="19"/>
    </row>
    <row r="670">
      <c r="A670" s="9"/>
      <c r="B670" s="15"/>
      <c r="C670" s="9">
        <f>IFERROR(__xludf.DUMMYFUNCTION("""COMPUTED_VALUE"""),44789.6503947685)</f>
        <v>44789.65039</v>
      </c>
      <c r="D670" s="15">
        <f>IFERROR(__xludf.DUMMYFUNCTION("""COMPUTED_VALUE"""),1.004)</f>
        <v>1.004</v>
      </c>
      <c r="E670" s="16">
        <f>IFERROR(__xludf.DUMMYFUNCTION("""COMPUTED_VALUE"""),68.0)</f>
        <v>68</v>
      </c>
      <c r="F670" s="19" t="str">
        <f>IFERROR(__xludf.DUMMYFUNCTION("""COMPUTED_VALUE"""),"BLACK")</f>
        <v>BLACK</v>
      </c>
      <c r="G670" s="20" t="str">
        <f>IFERROR(__xludf.DUMMYFUNCTION("""COMPUTED_VALUE"""),"Uncle Sams Cider (5/13/2022)")</f>
        <v>Uncle Sams Cider (5/13/2022)</v>
      </c>
      <c r="H670" s="19"/>
    </row>
    <row r="671">
      <c r="A671" s="9"/>
      <c r="B671" s="15"/>
      <c r="C671" s="9">
        <f>IFERROR(__xludf.DUMMYFUNCTION("""COMPUTED_VALUE"""),44789.6399625347)</f>
        <v>44789.63996</v>
      </c>
      <c r="D671" s="15">
        <f>IFERROR(__xludf.DUMMYFUNCTION("""COMPUTED_VALUE"""),1.004)</f>
        <v>1.004</v>
      </c>
      <c r="E671" s="16">
        <f>IFERROR(__xludf.DUMMYFUNCTION("""COMPUTED_VALUE"""),68.0)</f>
        <v>68</v>
      </c>
      <c r="F671" s="19" t="str">
        <f>IFERROR(__xludf.DUMMYFUNCTION("""COMPUTED_VALUE"""),"BLACK")</f>
        <v>BLACK</v>
      </c>
      <c r="G671" s="20" t="str">
        <f>IFERROR(__xludf.DUMMYFUNCTION("""COMPUTED_VALUE"""),"Uncle Sams Cider (5/13/2022)")</f>
        <v>Uncle Sams Cider (5/13/2022)</v>
      </c>
      <c r="H671" s="19"/>
    </row>
    <row r="672">
      <c r="A672" s="9"/>
      <c r="B672" s="15"/>
      <c r="C672" s="9">
        <f>IFERROR(__xludf.DUMMYFUNCTION("""COMPUTED_VALUE"""),44789.6295306944)</f>
        <v>44789.62953</v>
      </c>
      <c r="D672" s="15">
        <f>IFERROR(__xludf.DUMMYFUNCTION("""COMPUTED_VALUE"""),1.003)</f>
        <v>1.003</v>
      </c>
      <c r="E672" s="16">
        <f>IFERROR(__xludf.DUMMYFUNCTION("""COMPUTED_VALUE"""),68.0)</f>
        <v>68</v>
      </c>
      <c r="F672" s="19" t="str">
        <f>IFERROR(__xludf.DUMMYFUNCTION("""COMPUTED_VALUE"""),"BLACK")</f>
        <v>BLACK</v>
      </c>
      <c r="G672" s="20" t="str">
        <f>IFERROR(__xludf.DUMMYFUNCTION("""COMPUTED_VALUE"""),"Uncle Sams Cider (5/13/2022)")</f>
        <v>Uncle Sams Cider (5/13/2022)</v>
      </c>
      <c r="H672" s="19"/>
    </row>
    <row r="673">
      <c r="A673" s="9"/>
      <c r="B673" s="15"/>
      <c r="C673" s="9">
        <f>IFERROR(__xludf.DUMMYFUNCTION("""COMPUTED_VALUE"""),44789.6190969791)</f>
        <v>44789.6191</v>
      </c>
      <c r="D673" s="15">
        <f>IFERROR(__xludf.DUMMYFUNCTION("""COMPUTED_VALUE"""),1.004)</f>
        <v>1.004</v>
      </c>
      <c r="E673" s="16">
        <f>IFERROR(__xludf.DUMMYFUNCTION("""COMPUTED_VALUE"""),68.0)</f>
        <v>68</v>
      </c>
      <c r="F673" s="19" t="str">
        <f>IFERROR(__xludf.DUMMYFUNCTION("""COMPUTED_VALUE"""),"BLACK")</f>
        <v>BLACK</v>
      </c>
      <c r="G673" s="20" t="str">
        <f>IFERROR(__xludf.DUMMYFUNCTION("""COMPUTED_VALUE"""),"Uncle Sams Cider (5/13/2022)")</f>
        <v>Uncle Sams Cider (5/13/2022)</v>
      </c>
      <c r="H673" s="19"/>
    </row>
    <row r="674">
      <c r="A674" s="9"/>
      <c r="B674" s="15"/>
      <c r="C674" s="9">
        <f>IFERROR(__xludf.DUMMYFUNCTION("""COMPUTED_VALUE"""),44789.6086652083)</f>
        <v>44789.60867</v>
      </c>
      <c r="D674" s="15">
        <f>IFERROR(__xludf.DUMMYFUNCTION("""COMPUTED_VALUE"""),1.004)</f>
        <v>1.004</v>
      </c>
      <c r="E674" s="16">
        <f>IFERROR(__xludf.DUMMYFUNCTION("""COMPUTED_VALUE"""),68.0)</f>
        <v>68</v>
      </c>
      <c r="F674" s="19" t="str">
        <f>IFERROR(__xludf.DUMMYFUNCTION("""COMPUTED_VALUE"""),"BLACK")</f>
        <v>BLACK</v>
      </c>
      <c r="G674" s="20" t="str">
        <f>IFERROR(__xludf.DUMMYFUNCTION("""COMPUTED_VALUE"""),"Uncle Sams Cider (5/13/2022)")</f>
        <v>Uncle Sams Cider (5/13/2022)</v>
      </c>
      <c r="H674" s="19"/>
    </row>
    <row r="675">
      <c r="A675" s="9"/>
      <c r="B675" s="15"/>
      <c r="C675" s="9">
        <f>IFERROR(__xludf.DUMMYFUNCTION("""COMPUTED_VALUE"""),44789.5982448148)</f>
        <v>44789.59824</v>
      </c>
      <c r="D675" s="15">
        <f>IFERROR(__xludf.DUMMYFUNCTION("""COMPUTED_VALUE"""),1.004)</f>
        <v>1.004</v>
      </c>
      <c r="E675" s="16">
        <f>IFERROR(__xludf.DUMMYFUNCTION("""COMPUTED_VALUE"""),68.0)</f>
        <v>68</v>
      </c>
      <c r="F675" s="19" t="str">
        <f>IFERROR(__xludf.DUMMYFUNCTION("""COMPUTED_VALUE"""),"BLACK")</f>
        <v>BLACK</v>
      </c>
      <c r="G675" s="20" t="str">
        <f>IFERROR(__xludf.DUMMYFUNCTION("""COMPUTED_VALUE"""),"Uncle Sams Cider (5/13/2022)")</f>
        <v>Uncle Sams Cider (5/13/2022)</v>
      </c>
      <c r="H675" s="19"/>
    </row>
    <row r="676">
      <c r="A676" s="9"/>
      <c r="B676" s="15"/>
      <c r="C676" s="9">
        <f>IFERROR(__xludf.DUMMYFUNCTION("""COMPUTED_VALUE"""),44789.5878241203)</f>
        <v>44789.58782</v>
      </c>
      <c r="D676" s="15">
        <f>IFERROR(__xludf.DUMMYFUNCTION("""COMPUTED_VALUE"""),1.004)</f>
        <v>1.004</v>
      </c>
      <c r="E676" s="16">
        <f>IFERROR(__xludf.DUMMYFUNCTION("""COMPUTED_VALUE"""),68.0)</f>
        <v>68</v>
      </c>
      <c r="F676" s="19" t="str">
        <f>IFERROR(__xludf.DUMMYFUNCTION("""COMPUTED_VALUE"""),"BLACK")</f>
        <v>BLACK</v>
      </c>
      <c r="G676" s="20" t="str">
        <f>IFERROR(__xludf.DUMMYFUNCTION("""COMPUTED_VALUE"""),"Uncle Sams Cider (5/13/2022)")</f>
        <v>Uncle Sams Cider (5/13/2022)</v>
      </c>
      <c r="H676" s="19"/>
    </row>
    <row r="677">
      <c r="A677" s="9"/>
      <c r="B677" s="15"/>
      <c r="C677" s="9">
        <f>IFERROR(__xludf.DUMMYFUNCTION("""COMPUTED_VALUE"""),44789.5774040162)</f>
        <v>44789.5774</v>
      </c>
      <c r="D677" s="15">
        <f>IFERROR(__xludf.DUMMYFUNCTION("""COMPUTED_VALUE"""),1.003)</f>
        <v>1.003</v>
      </c>
      <c r="E677" s="16">
        <f>IFERROR(__xludf.DUMMYFUNCTION("""COMPUTED_VALUE"""),68.0)</f>
        <v>68</v>
      </c>
      <c r="F677" s="19" t="str">
        <f>IFERROR(__xludf.DUMMYFUNCTION("""COMPUTED_VALUE"""),"BLACK")</f>
        <v>BLACK</v>
      </c>
      <c r="G677" s="20" t="str">
        <f>IFERROR(__xludf.DUMMYFUNCTION("""COMPUTED_VALUE"""),"Uncle Sams Cider (5/13/2022)")</f>
        <v>Uncle Sams Cider (5/13/2022)</v>
      </c>
      <c r="H677" s="19"/>
    </row>
    <row r="678">
      <c r="A678" s="9"/>
      <c r="B678" s="15"/>
      <c r="C678" s="9">
        <f>IFERROR(__xludf.DUMMYFUNCTION("""COMPUTED_VALUE"""),44789.5669838773)</f>
        <v>44789.56698</v>
      </c>
      <c r="D678" s="15">
        <f>IFERROR(__xludf.DUMMYFUNCTION("""COMPUTED_VALUE"""),1.004)</f>
        <v>1.004</v>
      </c>
      <c r="E678" s="16">
        <f>IFERROR(__xludf.DUMMYFUNCTION("""COMPUTED_VALUE"""),68.0)</f>
        <v>68</v>
      </c>
      <c r="F678" s="19" t="str">
        <f>IFERROR(__xludf.DUMMYFUNCTION("""COMPUTED_VALUE"""),"BLACK")</f>
        <v>BLACK</v>
      </c>
      <c r="G678" s="20" t="str">
        <f>IFERROR(__xludf.DUMMYFUNCTION("""COMPUTED_VALUE"""),"Uncle Sams Cider (5/13/2022)")</f>
        <v>Uncle Sams Cider (5/13/2022)</v>
      </c>
      <c r="H678" s="19"/>
    </row>
    <row r="679">
      <c r="A679" s="9"/>
      <c r="B679" s="15"/>
      <c r="C679" s="9">
        <f>IFERROR(__xludf.DUMMYFUNCTION("""COMPUTED_VALUE"""),44789.5565617824)</f>
        <v>44789.55656</v>
      </c>
      <c r="D679" s="15">
        <f>IFERROR(__xludf.DUMMYFUNCTION("""COMPUTED_VALUE"""),1.004)</f>
        <v>1.004</v>
      </c>
      <c r="E679" s="16">
        <f>IFERROR(__xludf.DUMMYFUNCTION("""COMPUTED_VALUE"""),68.0)</f>
        <v>68</v>
      </c>
      <c r="F679" s="19" t="str">
        <f>IFERROR(__xludf.DUMMYFUNCTION("""COMPUTED_VALUE"""),"BLACK")</f>
        <v>BLACK</v>
      </c>
      <c r="G679" s="20" t="str">
        <f>IFERROR(__xludf.DUMMYFUNCTION("""COMPUTED_VALUE"""),"Uncle Sams Cider (5/13/2022)")</f>
        <v>Uncle Sams Cider (5/13/2022)</v>
      </c>
      <c r="H679" s="19"/>
    </row>
    <row r="680">
      <c r="A680" s="9"/>
      <c r="B680" s="15"/>
      <c r="C680" s="9">
        <f>IFERROR(__xludf.DUMMYFUNCTION("""COMPUTED_VALUE"""),44789.5461394675)</f>
        <v>44789.54614</v>
      </c>
      <c r="D680" s="15">
        <f>IFERROR(__xludf.DUMMYFUNCTION("""COMPUTED_VALUE"""),1.004)</f>
        <v>1.004</v>
      </c>
      <c r="E680" s="16">
        <f>IFERROR(__xludf.DUMMYFUNCTION("""COMPUTED_VALUE"""),68.0)</f>
        <v>68</v>
      </c>
      <c r="F680" s="19" t="str">
        <f>IFERROR(__xludf.DUMMYFUNCTION("""COMPUTED_VALUE"""),"BLACK")</f>
        <v>BLACK</v>
      </c>
      <c r="G680" s="20" t="str">
        <f>IFERROR(__xludf.DUMMYFUNCTION("""COMPUTED_VALUE"""),"Uncle Sams Cider (5/13/2022)")</f>
        <v>Uncle Sams Cider (5/13/2022)</v>
      </c>
      <c r="H680" s="19"/>
    </row>
    <row r="681">
      <c r="A681" s="9"/>
      <c r="B681" s="15"/>
      <c r="C681" s="9">
        <f>IFERROR(__xludf.DUMMYFUNCTION("""COMPUTED_VALUE"""),44789.5357166435)</f>
        <v>44789.53572</v>
      </c>
      <c r="D681" s="15">
        <f>IFERROR(__xludf.DUMMYFUNCTION("""COMPUTED_VALUE"""),1.003)</f>
        <v>1.003</v>
      </c>
      <c r="E681" s="16">
        <f>IFERROR(__xludf.DUMMYFUNCTION("""COMPUTED_VALUE"""),68.0)</f>
        <v>68</v>
      </c>
      <c r="F681" s="19" t="str">
        <f>IFERROR(__xludf.DUMMYFUNCTION("""COMPUTED_VALUE"""),"BLACK")</f>
        <v>BLACK</v>
      </c>
      <c r="G681" s="20" t="str">
        <f>IFERROR(__xludf.DUMMYFUNCTION("""COMPUTED_VALUE"""),"Uncle Sams Cider (5/13/2022)")</f>
        <v>Uncle Sams Cider (5/13/2022)</v>
      </c>
      <c r="H681" s="19"/>
    </row>
    <row r="682">
      <c r="A682" s="9"/>
      <c r="B682" s="15"/>
      <c r="C682" s="9">
        <f>IFERROR(__xludf.DUMMYFUNCTION("""COMPUTED_VALUE"""),44789.5252976388)</f>
        <v>44789.5253</v>
      </c>
      <c r="D682" s="15">
        <f>IFERROR(__xludf.DUMMYFUNCTION("""COMPUTED_VALUE"""),1.004)</f>
        <v>1.004</v>
      </c>
      <c r="E682" s="16">
        <f>IFERROR(__xludf.DUMMYFUNCTION("""COMPUTED_VALUE"""),68.0)</f>
        <v>68</v>
      </c>
      <c r="F682" s="19" t="str">
        <f>IFERROR(__xludf.DUMMYFUNCTION("""COMPUTED_VALUE"""),"BLACK")</f>
        <v>BLACK</v>
      </c>
      <c r="G682" s="20" t="str">
        <f>IFERROR(__xludf.DUMMYFUNCTION("""COMPUTED_VALUE"""),"Uncle Sams Cider (5/13/2022)")</f>
        <v>Uncle Sams Cider (5/13/2022)</v>
      </c>
      <c r="H682" s="19"/>
    </row>
    <row r="683">
      <c r="A683" s="9"/>
      <c r="B683" s="15"/>
      <c r="C683" s="9">
        <f>IFERROR(__xludf.DUMMYFUNCTION("""COMPUTED_VALUE"""),44789.5148774305)</f>
        <v>44789.51488</v>
      </c>
      <c r="D683" s="15">
        <f>IFERROR(__xludf.DUMMYFUNCTION("""COMPUTED_VALUE"""),1.004)</f>
        <v>1.004</v>
      </c>
      <c r="E683" s="16">
        <f>IFERROR(__xludf.DUMMYFUNCTION("""COMPUTED_VALUE"""),68.0)</f>
        <v>68</v>
      </c>
      <c r="F683" s="19" t="str">
        <f>IFERROR(__xludf.DUMMYFUNCTION("""COMPUTED_VALUE"""),"BLACK")</f>
        <v>BLACK</v>
      </c>
      <c r="G683" s="20" t="str">
        <f>IFERROR(__xludf.DUMMYFUNCTION("""COMPUTED_VALUE"""),"Uncle Sams Cider (5/13/2022)")</f>
        <v>Uncle Sams Cider (5/13/2022)</v>
      </c>
      <c r="H683" s="19"/>
    </row>
    <row r="684">
      <c r="A684" s="9"/>
      <c r="B684" s="15"/>
      <c r="C684" s="9">
        <f>IFERROR(__xludf.DUMMYFUNCTION("""COMPUTED_VALUE"""),44789.5044439699)</f>
        <v>44789.50444</v>
      </c>
      <c r="D684" s="15">
        <f>IFERROR(__xludf.DUMMYFUNCTION("""COMPUTED_VALUE"""),1.004)</f>
        <v>1.004</v>
      </c>
      <c r="E684" s="16">
        <f>IFERROR(__xludf.DUMMYFUNCTION("""COMPUTED_VALUE"""),68.0)</f>
        <v>68</v>
      </c>
      <c r="F684" s="19" t="str">
        <f>IFERROR(__xludf.DUMMYFUNCTION("""COMPUTED_VALUE"""),"BLACK")</f>
        <v>BLACK</v>
      </c>
      <c r="G684" s="20" t="str">
        <f>IFERROR(__xludf.DUMMYFUNCTION("""COMPUTED_VALUE"""),"Uncle Sams Cider (5/13/2022)")</f>
        <v>Uncle Sams Cider (5/13/2022)</v>
      </c>
      <c r="H684" s="19"/>
    </row>
    <row r="685">
      <c r="A685" s="9"/>
      <c r="B685" s="15"/>
      <c r="C685" s="9">
        <f>IFERROR(__xludf.DUMMYFUNCTION("""COMPUTED_VALUE"""),44789.4940220717)</f>
        <v>44789.49402</v>
      </c>
      <c r="D685" s="15">
        <f>IFERROR(__xludf.DUMMYFUNCTION("""COMPUTED_VALUE"""),1.004)</f>
        <v>1.004</v>
      </c>
      <c r="E685" s="16">
        <f>IFERROR(__xludf.DUMMYFUNCTION("""COMPUTED_VALUE"""),68.0)</f>
        <v>68</v>
      </c>
      <c r="F685" s="19" t="str">
        <f>IFERROR(__xludf.DUMMYFUNCTION("""COMPUTED_VALUE"""),"BLACK")</f>
        <v>BLACK</v>
      </c>
      <c r="G685" s="20" t="str">
        <f>IFERROR(__xludf.DUMMYFUNCTION("""COMPUTED_VALUE"""),"Uncle Sams Cider (5/13/2022)")</f>
        <v>Uncle Sams Cider (5/13/2022)</v>
      </c>
      <c r="H685" s="19"/>
    </row>
    <row r="686">
      <c r="A686" s="9"/>
      <c r="B686" s="15"/>
      <c r="C686" s="9">
        <f>IFERROR(__xludf.DUMMYFUNCTION("""COMPUTED_VALUE"""),44789.4835668402)</f>
        <v>44789.48357</v>
      </c>
      <c r="D686" s="15">
        <f>IFERROR(__xludf.DUMMYFUNCTION("""COMPUTED_VALUE"""),1.004)</f>
        <v>1.004</v>
      </c>
      <c r="E686" s="16">
        <f>IFERROR(__xludf.DUMMYFUNCTION("""COMPUTED_VALUE"""),68.0)</f>
        <v>68</v>
      </c>
      <c r="F686" s="19" t="str">
        <f>IFERROR(__xludf.DUMMYFUNCTION("""COMPUTED_VALUE"""),"BLACK")</f>
        <v>BLACK</v>
      </c>
      <c r="G686" s="20" t="str">
        <f>IFERROR(__xludf.DUMMYFUNCTION("""COMPUTED_VALUE"""),"Uncle Sams Cider (5/13/2022)")</f>
        <v>Uncle Sams Cider (5/13/2022)</v>
      </c>
      <c r="H686" s="19"/>
    </row>
    <row r="687">
      <c r="A687" s="9"/>
      <c r="B687" s="15"/>
      <c r="C687" s="9">
        <f>IFERROR(__xludf.DUMMYFUNCTION("""COMPUTED_VALUE"""),44789.4731479629)</f>
        <v>44789.47315</v>
      </c>
      <c r="D687" s="15">
        <f>IFERROR(__xludf.DUMMYFUNCTION("""COMPUTED_VALUE"""),1.004)</f>
        <v>1.004</v>
      </c>
      <c r="E687" s="16">
        <f>IFERROR(__xludf.DUMMYFUNCTION("""COMPUTED_VALUE"""),68.0)</f>
        <v>68</v>
      </c>
      <c r="F687" s="19" t="str">
        <f>IFERROR(__xludf.DUMMYFUNCTION("""COMPUTED_VALUE"""),"BLACK")</f>
        <v>BLACK</v>
      </c>
      <c r="G687" s="20" t="str">
        <f>IFERROR(__xludf.DUMMYFUNCTION("""COMPUTED_VALUE"""),"Uncle Sams Cider (5/13/2022)")</f>
        <v>Uncle Sams Cider (5/13/2022)</v>
      </c>
      <c r="H687" s="19"/>
    </row>
    <row r="688">
      <c r="A688" s="9"/>
      <c r="B688" s="15"/>
      <c r="C688" s="9">
        <f>IFERROR(__xludf.DUMMYFUNCTION("""COMPUTED_VALUE"""),44789.4627274884)</f>
        <v>44789.46273</v>
      </c>
      <c r="D688" s="15">
        <f>IFERROR(__xludf.DUMMYFUNCTION("""COMPUTED_VALUE"""),1.004)</f>
        <v>1.004</v>
      </c>
      <c r="E688" s="16">
        <f>IFERROR(__xludf.DUMMYFUNCTION("""COMPUTED_VALUE"""),68.0)</f>
        <v>68</v>
      </c>
      <c r="F688" s="19" t="str">
        <f>IFERROR(__xludf.DUMMYFUNCTION("""COMPUTED_VALUE"""),"BLACK")</f>
        <v>BLACK</v>
      </c>
      <c r="G688" s="20" t="str">
        <f>IFERROR(__xludf.DUMMYFUNCTION("""COMPUTED_VALUE"""),"Uncle Sams Cider (5/13/2022)")</f>
        <v>Uncle Sams Cider (5/13/2022)</v>
      </c>
      <c r="H688" s="19"/>
    </row>
    <row r="689">
      <c r="A689" s="9"/>
      <c r="B689" s="15"/>
      <c r="C689" s="9">
        <f>IFERROR(__xludf.DUMMYFUNCTION("""COMPUTED_VALUE"""),44789.4523074652)</f>
        <v>44789.45231</v>
      </c>
      <c r="D689" s="15">
        <f>IFERROR(__xludf.DUMMYFUNCTION("""COMPUTED_VALUE"""),1.004)</f>
        <v>1.004</v>
      </c>
      <c r="E689" s="16">
        <f>IFERROR(__xludf.DUMMYFUNCTION("""COMPUTED_VALUE"""),68.0)</f>
        <v>68</v>
      </c>
      <c r="F689" s="19" t="str">
        <f>IFERROR(__xludf.DUMMYFUNCTION("""COMPUTED_VALUE"""),"BLACK")</f>
        <v>BLACK</v>
      </c>
      <c r="G689" s="20" t="str">
        <f>IFERROR(__xludf.DUMMYFUNCTION("""COMPUTED_VALUE"""),"Uncle Sams Cider (5/13/2022)")</f>
        <v>Uncle Sams Cider (5/13/2022)</v>
      </c>
      <c r="H689" s="19"/>
    </row>
    <row r="690">
      <c r="A690" s="9"/>
      <c r="B690" s="15"/>
      <c r="C690" s="9">
        <f>IFERROR(__xludf.DUMMYFUNCTION("""COMPUTED_VALUE"""),44789.4418862152)</f>
        <v>44789.44189</v>
      </c>
      <c r="D690" s="15">
        <f>IFERROR(__xludf.DUMMYFUNCTION("""COMPUTED_VALUE"""),1.003)</f>
        <v>1.003</v>
      </c>
      <c r="E690" s="16">
        <f>IFERROR(__xludf.DUMMYFUNCTION("""COMPUTED_VALUE"""),68.0)</f>
        <v>68</v>
      </c>
      <c r="F690" s="19" t="str">
        <f>IFERROR(__xludf.DUMMYFUNCTION("""COMPUTED_VALUE"""),"BLACK")</f>
        <v>BLACK</v>
      </c>
      <c r="G690" s="20" t="str">
        <f>IFERROR(__xludf.DUMMYFUNCTION("""COMPUTED_VALUE"""),"Uncle Sams Cider (5/13/2022)")</f>
        <v>Uncle Sams Cider (5/13/2022)</v>
      </c>
      <c r="H690" s="19"/>
    </row>
    <row r="691">
      <c r="A691" s="9"/>
      <c r="B691" s="15"/>
      <c r="C691" s="9">
        <f>IFERROR(__xludf.DUMMYFUNCTION("""COMPUTED_VALUE"""),44789.43146375)</f>
        <v>44789.43146</v>
      </c>
      <c r="D691" s="15">
        <f>IFERROR(__xludf.DUMMYFUNCTION("""COMPUTED_VALUE"""),1.004)</f>
        <v>1.004</v>
      </c>
      <c r="E691" s="16">
        <f>IFERROR(__xludf.DUMMYFUNCTION("""COMPUTED_VALUE"""),68.0)</f>
        <v>68</v>
      </c>
      <c r="F691" s="19" t="str">
        <f>IFERROR(__xludf.DUMMYFUNCTION("""COMPUTED_VALUE"""),"BLACK")</f>
        <v>BLACK</v>
      </c>
      <c r="G691" s="20" t="str">
        <f>IFERROR(__xludf.DUMMYFUNCTION("""COMPUTED_VALUE"""),"Uncle Sams Cider (5/13/2022)")</f>
        <v>Uncle Sams Cider (5/13/2022)</v>
      </c>
      <c r="H691" s="19"/>
    </row>
    <row r="692">
      <c r="A692" s="9"/>
      <c r="B692" s="15"/>
      <c r="C692" s="9">
        <f>IFERROR(__xludf.DUMMYFUNCTION("""COMPUTED_VALUE"""),44789.4210313888)</f>
        <v>44789.42103</v>
      </c>
      <c r="D692" s="15">
        <f>IFERROR(__xludf.DUMMYFUNCTION("""COMPUTED_VALUE"""),1.004)</f>
        <v>1.004</v>
      </c>
      <c r="E692" s="16">
        <f>IFERROR(__xludf.DUMMYFUNCTION("""COMPUTED_VALUE"""),68.0)</f>
        <v>68</v>
      </c>
      <c r="F692" s="19" t="str">
        <f>IFERROR(__xludf.DUMMYFUNCTION("""COMPUTED_VALUE"""),"BLACK")</f>
        <v>BLACK</v>
      </c>
      <c r="G692" s="20" t="str">
        <f>IFERROR(__xludf.DUMMYFUNCTION("""COMPUTED_VALUE"""),"Uncle Sams Cider (5/13/2022)")</f>
        <v>Uncle Sams Cider (5/13/2022)</v>
      </c>
      <c r="H692" s="19"/>
    </row>
    <row r="693">
      <c r="A693" s="9"/>
      <c r="B693" s="15"/>
      <c r="C693" s="9">
        <f>IFERROR(__xludf.DUMMYFUNCTION("""COMPUTED_VALUE"""),44789.4106095138)</f>
        <v>44789.41061</v>
      </c>
      <c r="D693" s="15">
        <f>IFERROR(__xludf.DUMMYFUNCTION("""COMPUTED_VALUE"""),1.004)</f>
        <v>1.004</v>
      </c>
      <c r="E693" s="16">
        <f>IFERROR(__xludf.DUMMYFUNCTION("""COMPUTED_VALUE"""),68.0)</f>
        <v>68</v>
      </c>
      <c r="F693" s="19" t="str">
        <f>IFERROR(__xludf.DUMMYFUNCTION("""COMPUTED_VALUE"""),"BLACK")</f>
        <v>BLACK</v>
      </c>
      <c r="G693" s="20" t="str">
        <f>IFERROR(__xludf.DUMMYFUNCTION("""COMPUTED_VALUE"""),"Uncle Sams Cider (5/13/2022)")</f>
        <v>Uncle Sams Cider (5/13/2022)</v>
      </c>
      <c r="H693" s="19"/>
    </row>
    <row r="694">
      <c r="A694" s="9"/>
      <c r="B694" s="15"/>
      <c r="C694" s="9">
        <f>IFERROR(__xludf.DUMMYFUNCTION("""COMPUTED_VALUE"""),44789.4001874189)</f>
        <v>44789.40019</v>
      </c>
      <c r="D694" s="15">
        <f>IFERROR(__xludf.DUMMYFUNCTION("""COMPUTED_VALUE"""),1.004)</f>
        <v>1.004</v>
      </c>
      <c r="E694" s="16">
        <f>IFERROR(__xludf.DUMMYFUNCTION("""COMPUTED_VALUE"""),68.0)</f>
        <v>68</v>
      </c>
      <c r="F694" s="19" t="str">
        <f>IFERROR(__xludf.DUMMYFUNCTION("""COMPUTED_VALUE"""),"BLACK")</f>
        <v>BLACK</v>
      </c>
      <c r="G694" s="20" t="str">
        <f>IFERROR(__xludf.DUMMYFUNCTION("""COMPUTED_VALUE"""),"Uncle Sams Cider (5/13/2022)")</f>
        <v>Uncle Sams Cider (5/13/2022)</v>
      </c>
      <c r="H694" s="19"/>
    </row>
    <row r="695">
      <c r="A695" s="9"/>
      <c r="B695" s="15"/>
      <c r="C695" s="9">
        <f>IFERROR(__xludf.DUMMYFUNCTION("""COMPUTED_VALUE"""),44789.3897534722)</f>
        <v>44789.38975</v>
      </c>
      <c r="D695" s="15">
        <f>IFERROR(__xludf.DUMMYFUNCTION("""COMPUTED_VALUE"""),1.004)</f>
        <v>1.004</v>
      </c>
      <c r="E695" s="16">
        <f>IFERROR(__xludf.DUMMYFUNCTION("""COMPUTED_VALUE"""),68.0)</f>
        <v>68</v>
      </c>
      <c r="F695" s="19" t="str">
        <f>IFERROR(__xludf.DUMMYFUNCTION("""COMPUTED_VALUE"""),"BLACK")</f>
        <v>BLACK</v>
      </c>
      <c r="G695" s="20" t="str">
        <f>IFERROR(__xludf.DUMMYFUNCTION("""COMPUTED_VALUE"""),"Uncle Sams Cider (5/13/2022)")</f>
        <v>Uncle Sams Cider (5/13/2022)</v>
      </c>
      <c r="H695" s="19"/>
    </row>
    <row r="696">
      <c r="A696" s="9"/>
      <c r="B696" s="15"/>
      <c r="C696" s="9">
        <f>IFERROR(__xludf.DUMMYFUNCTION("""COMPUTED_VALUE"""),44789.3793324537)</f>
        <v>44789.37933</v>
      </c>
      <c r="D696" s="15">
        <f>IFERROR(__xludf.DUMMYFUNCTION("""COMPUTED_VALUE"""),1.004)</f>
        <v>1.004</v>
      </c>
      <c r="E696" s="16">
        <f>IFERROR(__xludf.DUMMYFUNCTION("""COMPUTED_VALUE"""),68.0)</f>
        <v>68</v>
      </c>
      <c r="F696" s="19" t="str">
        <f>IFERROR(__xludf.DUMMYFUNCTION("""COMPUTED_VALUE"""),"BLACK")</f>
        <v>BLACK</v>
      </c>
      <c r="G696" s="20" t="str">
        <f>IFERROR(__xludf.DUMMYFUNCTION("""COMPUTED_VALUE"""),"Uncle Sams Cider (5/13/2022)")</f>
        <v>Uncle Sams Cider (5/13/2022)</v>
      </c>
      <c r="H696" s="19"/>
    </row>
    <row r="697">
      <c r="A697" s="9"/>
      <c r="B697" s="15"/>
      <c r="C697" s="9">
        <f>IFERROR(__xludf.DUMMYFUNCTION("""COMPUTED_VALUE"""),44789.3688762962)</f>
        <v>44789.36888</v>
      </c>
      <c r="D697" s="15">
        <f>IFERROR(__xludf.DUMMYFUNCTION("""COMPUTED_VALUE"""),1.003)</f>
        <v>1.003</v>
      </c>
      <c r="E697" s="16">
        <f>IFERROR(__xludf.DUMMYFUNCTION("""COMPUTED_VALUE"""),68.0)</f>
        <v>68</v>
      </c>
      <c r="F697" s="19" t="str">
        <f>IFERROR(__xludf.DUMMYFUNCTION("""COMPUTED_VALUE"""),"BLACK")</f>
        <v>BLACK</v>
      </c>
      <c r="G697" s="20" t="str">
        <f>IFERROR(__xludf.DUMMYFUNCTION("""COMPUTED_VALUE"""),"Uncle Sams Cider (5/13/2022)")</f>
        <v>Uncle Sams Cider (5/13/2022)</v>
      </c>
      <c r="H697" s="19"/>
    </row>
    <row r="698">
      <c r="A698" s="9"/>
      <c r="B698" s="15"/>
      <c r="C698" s="9">
        <f>IFERROR(__xludf.DUMMYFUNCTION("""COMPUTED_VALUE"""),44789.3584225925)</f>
        <v>44789.35842</v>
      </c>
      <c r="D698" s="15">
        <f>IFERROR(__xludf.DUMMYFUNCTION("""COMPUTED_VALUE"""),1.004)</f>
        <v>1.004</v>
      </c>
      <c r="E698" s="16">
        <f>IFERROR(__xludf.DUMMYFUNCTION("""COMPUTED_VALUE"""),68.0)</f>
        <v>68</v>
      </c>
      <c r="F698" s="19" t="str">
        <f>IFERROR(__xludf.DUMMYFUNCTION("""COMPUTED_VALUE"""),"BLACK")</f>
        <v>BLACK</v>
      </c>
      <c r="G698" s="20" t="str">
        <f>IFERROR(__xludf.DUMMYFUNCTION("""COMPUTED_VALUE"""),"Uncle Sams Cider (5/13/2022)")</f>
        <v>Uncle Sams Cider (5/13/2022)</v>
      </c>
      <c r="H698" s="19"/>
    </row>
    <row r="699">
      <c r="A699" s="9"/>
      <c r="B699" s="15"/>
      <c r="C699" s="9">
        <f>IFERROR(__xludf.DUMMYFUNCTION("""COMPUTED_VALUE"""),44789.3480018865)</f>
        <v>44789.348</v>
      </c>
      <c r="D699" s="15">
        <f>IFERROR(__xludf.DUMMYFUNCTION("""COMPUTED_VALUE"""),1.003)</f>
        <v>1.003</v>
      </c>
      <c r="E699" s="16">
        <f>IFERROR(__xludf.DUMMYFUNCTION("""COMPUTED_VALUE"""),68.0)</f>
        <v>68</v>
      </c>
      <c r="F699" s="19" t="str">
        <f>IFERROR(__xludf.DUMMYFUNCTION("""COMPUTED_VALUE"""),"BLACK")</f>
        <v>BLACK</v>
      </c>
      <c r="G699" s="20" t="str">
        <f>IFERROR(__xludf.DUMMYFUNCTION("""COMPUTED_VALUE"""),"Uncle Sams Cider (5/13/2022)")</f>
        <v>Uncle Sams Cider (5/13/2022)</v>
      </c>
      <c r="H699" s="19"/>
    </row>
    <row r="700">
      <c r="A700" s="9"/>
      <c r="B700" s="15"/>
      <c r="C700" s="9">
        <f>IFERROR(__xludf.DUMMYFUNCTION("""COMPUTED_VALUE"""),44789.3375680902)</f>
        <v>44789.33757</v>
      </c>
      <c r="D700" s="15">
        <f>IFERROR(__xludf.DUMMYFUNCTION("""COMPUTED_VALUE"""),1.003)</f>
        <v>1.003</v>
      </c>
      <c r="E700" s="16">
        <f>IFERROR(__xludf.DUMMYFUNCTION("""COMPUTED_VALUE"""),68.0)</f>
        <v>68</v>
      </c>
      <c r="F700" s="19" t="str">
        <f>IFERROR(__xludf.DUMMYFUNCTION("""COMPUTED_VALUE"""),"BLACK")</f>
        <v>BLACK</v>
      </c>
      <c r="G700" s="20" t="str">
        <f>IFERROR(__xludf.DUMMYFUNCTION("""COMPUTED_VALUE"""),"Uncle Sams Cider (5/13/2022)")</f>
        <v>Uncle Sams Cider (5/13/2022)</v>
      </c>
      <c r="H700" s="19"/>
    </row>
    <row r="701">
      <c r="A701" s="9"/>
      <c r="B701" s="15"/>
      <c r="C701" s="9">
        <f>IFERROR(__xludf.DUMMYFUNCTION("""COMPUTED_VALUE"""),44789.327135081)</f>
        <v>44789.32714</v>
      </c>
      <c r="D701" s="15">
        <f>IFERROR(__xludf.DUMMYFUNCTION("""COMPUTED_VALUE"""),1.004)</f>
        <v>1.004</v>
      </c>
      <c r="E701" s="16">
        <f>IFERROR(__xludf.DUMMYFUNCTION("""COMPUTED_VALUE"""),68.0)</f>
        <v>68</v>
      </c>
      <c r="F701" s="19" t="str">
        <f>IFERROR(__xludf.DUMMYFUNCTION("""COMPUTED_VALUE"""),"BLACK")</f>
        <v>BLACK</v>
      </c>
      <c r="G701" s="20" t="str">
        <f>IFERROR(__xludf.DUMMYFUNCTION("""COMPUTED_VALUE"""),"Uncle Sams Cider (5/13/2022)")</f>
        <v>Uncle Sams Cider (5/13/2022)</v>
      </c>
      <c r="H701" s="19"/>
    </row>
    <row r="702">
      <c r="A702" s="9"/>
      <c r="B702" s="15"/>
      <c r="C702" s="9">
        <f>IFERROR(__xludf.DUMMYFUNCTION("""COMPUTED_VALUE"""),44789.31671478)</f>
        <v>44789.31671</v>
      </c>
      <c r="D702" s="15">
        <f>IFERROR(__xludf.DUMMYFUNCTION("""COMPUTED_VALUE"""),1.003)</f>
        <v>1.003</v>
      </c>
      <c r="E702" s="16">
        <f>IFERROR(__xludf.DUMMYFUNCTION("""COMPUTED_VALUE"""),68.0)</f>
        <v>68</v>
      </c>
      <c r="F702" s="19" t="str">
        <f>IFERROR(__xludf.DUMMYFUNCTION("""COMPUTED_VALUE"""),"BLACK")</f>
        <v>BLACK</v>
      </c>
      <c r="G702" s="20" t="str">
        <f>IFERROR(__xludf.DUMMYFUNCTION("""COMPUTED_VALUE"""),"Uncle Sams Cider (5/13/2022)")</f>
        <v>Uncle Sams Cider (5/13/2022)</v>
      </c>
      <c r="H702" s="19"/>
    </row>
    <row r="703">
      <c r="A703" s="9"/>
      <c r="B703" s="15"/>
      <c r="C703" s="9">
        <f>IFERROR(__xludf.DUMMYFUNCTION("""COMPUTED_VALUE"""),44789.3062931365)</f>
        <v>44789.30629</v>
      </c>
      <c r="D703" s="15">
        <f>IFERROR(__xludf.DUMMYFUNCTION("""COMPUTED_VALUE"""),1.004)</f>
        <v>1.004</v>
      </c>
      <c r="E703" s="16">
        <f>IFERROR(__xludf.DUMMYFUNCTION("""COMPUTED_VALUE"""),68.0)</f>
        <v>68</v>
      </c>
      <c r="F703" s="19" t="str">
        <f>IFERROR(__xludf.DUMMYFUNCTION("""COMPUTED_VALUE"""),"BLACK")</f>
        <v>BLACK</v>
      </c>
      <c r="G703" s="20" t="str">
        <f>IFERROR(__xludf.DUMMYFUNCTION("""COMPUTED_VALUE"""),"Uncle Sams Cider (5/13/2022)")</f>
        <v>Uncle Sams Cider (5/13/2022)</v>
      </c>
      <c r="H703" s="19"/>
    </row>
    <row r="704">
      <c r="A704" s="9"/>
      <c r="B704" s="15"/>
      <c r="C704" s="9">
        <f>IFERROR(__xludf.DUMMYFUNCTION("""COMPUTED_VALUE"""),44789.2958716087)</f>
        <v>44789.29587</v>
      </c>
      <c r="D704" s="15">
        <f>IFERROR(__xludf.DUMMYFUNCTION("""COMPUTED_VALUE"""),1.004)</f>
        <v>1.004</v>
      </c>
      <c r="E704" s="16">
        <f>IFERROR(__xludf.DUMMYFUNCTION("""COMPUTED_VALUE"""),68.0)</f>
        <v>68</v>
      </c>
      <c r="F704" s="19" t="str">
        <f>IFERROR(__xludf.DUMMYFUNCTION("""COMPUTED_VALUE"""),"BLACK")</f>
        <v>BLACK</v>
      </c>
      <c r="G704" s="20" t="str">
        <f>IFERROR(__xludf.DUMMYFUNCTION("""COMPUTED_VALUE"""),"Uncle Sams Cider (5/13/2022)")</f>
        <v>Uncle Sams Cider (5/13/2022)</v>
      </c>
      <c r="H704" s="19"/>
    </row>
    <row r="705">
      <c r="A705" s="9"/>
      <c r="B705" s="15"/>
      <c r="C705" s="9">
        <f>IFERROR(__xludf.DUMMYFUNCTION("""COMPUTED_VALUE"""),44789.2854489699)</f>
        <v>44789.28545</v>
      </c>
      <c r="D705" s="15">
        <f>IFERROR(__xludf.DUMMYFUNCTION("""COMPUTED_VALUE"""),1.004)</f>
        <v>1.004</v>
      </c>
      <c r="E705" s="16">
        <f>IFERROR(__xludf.DUMMYFUNCTION("""COMPUTED_VALUE"""),68.0)</f>
        <v>68</v>
      </c>
      <c r="F705" s="19" t="str">
        <f>IFERROR(__xludf.DUMMYFUNCTION("""COMPUTED_VALUE"""),"BLACK")</f>
        <v>BLACK</v>
      </c>
      <c r="G705" s="20" t="str">
        <f>IFERROR(__xludf.DUMMYFUNCTION("""COMPUTED_VALUE"""),"Uncle Sams Cider (5/13/2022)")</f>
        <v>Uncle Sams Cider (5/13/2022)</v>
      </c>
      <c r="H705" s="19"/>
    </row>
    <row r="706">
      <c r="A706" s="9"/>
      <c r="B706" s="15"/>
      <c r="C706" s="9">
        <f>IFERROR(__xludf.DUMMYFUNCTION("""COMPUTED_VALUE"""),44789.2750266319)</f>
        <v>44789.27503</v>
      </c>
      <c r="D706" s="15">
        <f>IFERROR(__xludf.DUMMYFUNCTION("""COMPUTED_VALUE"""),1.004)</f>
        <v>1.004</v>
      </c>
      <c r="E706" s="16">
        <f>IFERROR(__xludf.DUMMYFUNCTION("""COMPUTED_VALUE"""),68.0)</f>
        <v>68</v>
      </c>
      <c r="F706" s="19" t="str">
        <f>IFERROR(__xludf.DUMMYFUNCTION("""COMPUTED_VALUE"""),"BLACK")</f>
        <v>BLACK</v>
      </c>
      <c r="G706" s="20" t="str">
        <f>IFERROR(__xludf.DUMMYFUNCTION("""COMPUTED_VALUE"""),"Uncle Sams Cider (5/13/2022)")</f>
        <v>Uncle Sams Cider (5/13/2022)</v>
      </c>
      <c r="H706" s="19"/>
    </row>
    <row r="707">
      <c r="A707" s="9"/>
      <c r="B707" s="15"/>
      <c r="C707" s="9">
        <f>IFERROR(__xludf.DUMMYFUNCTION("""COMPUTED_VALUE"""),44789.2645947801)</f>
        <v>44789.26459</v>
      </c>
      <c r="D707" s="15">
        <f>IFERROR(__xludf.DUMMYFUNCTION("""COMPUTED_VALUE"""),1.004)</f>
        <v>1.004</v>
      </c>
      <c r="E707" s="16">
        <f>IFERROR(__xludf.DUMMYFUNCTION("""COMPUTED_VALUE"""),68.0)</f>
        <v>68</v>
      </c>
      <c r="F707" s="19" t="str">
        <f>IFERROR(__xludf.DUMMYFUNCTION("""COMPUTED_VALUE"""),"BLACK")</f>
        <v>BLACK</v>
      </c>
      <c r="G707" s="20" t="str">
        <f>IFERROR(__xludf.DUMMYFUNCTION("""COMPUTED_VALUE"""),"Uncle Sams Cider (5/13/2022)")</f>
        <v>Uncle Sams Cider (5/13/2022)</v>
      </c>
      <c r="H707" s="19"/>
    </row>
    <row r="708">
      <c r="A708" s="9"/>
      <c r="B708" s="15"/>
      <c r="C708" s="9">
        <f>IFERROR(__xludf.DUMMYFUNCTION("""COMPUTED_VALUE"""),44789.2541607291)</f>
        <v>44789.25416</v>
      </c>
      <c r="D708" s="15">
        <f>IFERROR(__xludf.DUMMYFUNCTION("""COMPUTED_VALUE"""),1.004)</f>
        <v>1.004</v>
      </c>
      <c r="E708" s="16">
        <f>IFERROR(__xludf.DUMMYFUNCTION("""COMPUTED_VALUE"""),68.0)</f>
        <v>68</v>
      </c>
      <c r="F708" s="19" t="str">
        <f>IFERROR(__xludf.DUMMYFUNCTION("""COMPUTED_VALUE"""),"BLACK")</f>
        <v>BLACK</v>
      </c>
      <c r="G708" s="20" t="str">
        <f>IFERROR(__xludf.DUMMYFUNCTION("""COMPUTED_VALUE"""),"Uncle Sams Cider (5/13/2022)")</f>
        <v>Uncle Sams Cider (5/13/2022)</v>
      </c>
      <c r="H708" s="19"/>
    </row>
    <row r="709">
      <c r="A709" s="9"/>
      <c r="B709" s="15"/>
      <c r="C709" s="9">
        <f>IFERROR(__xludf.DUMMYFUNCTION("""COMPUTED_VALUE"""),44789.243740949)</f>
        <v>44789.24374</v>
      </c>
      <c r="D709" s="15">
        <f>IFERROR(__xludf.DUMMYFUNCTION("""COMPUTED_VALUE"""),1.004)</f>
        <v>1.004</v>
      </c>
      <c r="E709" s="16">
        <f>IFERROR(__xludf.DUMMYFUNCTION("""COMPUTED_VALUE"""),68.0)</f>
        <v>68</v>
      </c>
      <c r="F709" s="19" t="str">
        <f>IFERROR(__xludf.DUMMYFUNCTION("""COMPUTED_VALUE"""),"BLACK")</f>
        <v>BLACK</v>
      </c>
      <c r="G709" s="20" t="str">
        <f>IFERROR(__xludf.DUMMYFUNCTION("""COMPUTED_VALUE"""),"Uncle Sams Cider (5/13/2022)")</f>
        <v>Uncle Sams Cider (5/13/2022)</v>
      </c>
      <c r="H709" s="19"/>
    </row>
    <row r="710">
      <c r="A710" s="9"/>
      <c r="B710" s="15"/>
      <c r="C710" s="9">
        <f>IFERROR(__xludf.DUMMYFUNCTION("""COMPUTED_VALUE"""),44789.233320324)</f>
        <v>44789.23332</v>
      </c>
      <c r="D710" s="15">
        <f>IFERROR(__xludf.DUMMYFUNCTION("""COMPUTED_VALUE"""),1.004)</f>
        <v>1.004</v>
      </c>
      <c r="E710" s="16">
        <f>IFERROR(__xludf.DUMMYFUNCTION("""COMPUTED_VALUE"""),68.0)</f>
        <v>68</v>
      </c>
      <c r="F710" s="19" t="str">
        <f>IFERROR(__xludf.DUMMYFUNCTION("""COMPUTED_VALUE"""),"BLACK")</f>
        <v>BLACK</v>
      </c>
      <c r="G710" s="20" t="str">
        <f>IFERROR(__xludf.DUMMYFUNCTION("""COMPUTED_VALUE"""),"Uncle Sams Cider (5/13/2022)")</f>
        <v>Uncle Sams Cider (5/13/2022)</v>
      </c>
      <c r="H710" s="19"/>
    </row>
    <row r="711">
      <c r="A711" s="9"/>
      <c r="B711" s="15"/>
      <c r="C711" s="9">
        <f>IFERROR(__xludf.DUMMYFUNCTION("""COMPUTED_VALUE"""),44789.2229018055)</f>
        <v>44789.2229</v>
      </c>
      <c r="D711" s="15">
        <f>IFERROR(__xludf.DUMMYFUNCTION("""COMPUTED_VALUE"""),1.004)</f>
        <v>1.004</v>
      </c>
      <c r="E711" s="16">
        <f>IFERROR(__xludf.DUMMYFUNCTION("""COMPUTED_VALUE"""),68.0)</f>
        <v>68</v>
      </c>
      <c r="F711" s="19" t="str">
        <f>IFERROR(__xludf.DUMMYFUNCTION("""COMPUTED_VALUE"""),"BLACK")</f>
        <v>BLACK</v>
      </c>
      <c r="G711" s="20" t="str">
        <f>IFERROR(__xludf.DUMMYFUNCTION("""COMPUTED_VALUE"""),"Uncle Sams Cider (5/13/2022)")</f>
        <v>Uncle Sams Cider (5/13/2022)</v>
      </c>
      <c r="H711" s="19"/>
    </row>
    <row r="712">
      <c r="A712" s="9"/>
      <c r="B712" s="15"/>
      <c r="C712" s="9">
        <f>IFERROR(__xludf.DUMMYFUNCTION("""COMPUTED_VALUE"""),44789.2124795717)</f>
        <v>44789.21248</v>
      </c>
      <c r="D712" s="15">
        <f>IFERROR(__xludf.DUMMYFUNCTION("""COMPUTED_VALUE"""),1.004)</f>
        <v>1.004</v>
      </c>
      <c r="E712" s="16">
        <f>IFERROR(__xludf.DUMMYFUNCTION("""COMPUTED_VALUE"""),68.0)</f>
        <v>68</v>
      </c>
      <c r="F712" s="19" t="str">
        <f>IFERROR(__xludf.DUMMYFUNCTION("""COMPUTED_VALUE"""),"BLACK")</f>
        <v>BLACK</v>
      </c>
      <c r="G712" s="20" t="str">
        <f>IFERROR(__xludf.DUMMYFUNCTION("""COMPUTED_VALUE"""),"Uncle Sams Cider (5/13/2022)")</f>
        <v>Uncle Sams Cider (5/13/2022)</v>
      </c>
      <c r="H712" s="19"/>
    </row>
    <row r="713">
      <c r="A713" s="9"/>
      <c r="B713" s="15"/>
      <c r="C713" s="9">
        <f>IFERROR(__xludf.DUMMYFUNCTION("""COMPUTED_VALUE"""),44789.2020585879)</f>
        <v>44789.20206</v>
      </c>
      <c r="D713" s="15">
        <f>IFERROR(__xludf.DUMMYFUNCTION("""COMPUTED_VALUE"""),1.003)</f>
        <v>1.003</v>
      </c>
      <c r="E713" s="16">
        <f>IFERROR(__xludf.DUMMYFUNCTION("""COMPUTED_VALUE"""),68.0)</f>
        <v>68</v>
      </c>
      <c r="F713" s="19" t="str">
        <f>IFERROR(__xludf.DUMMYFUNCTION("""COMPUTED_VALUE"""),"BLACK")</f>
        <v>BLACK</v>
      </c>
      <c r="G713" s="20" t="str">
        <f>IFERROR(__xludf.DUMMYFUNCTION("""COMPUTED_VALUE"""),"Uncle Sams Cider (5/13/2022)")</f>
        <v>Uncle Sams Cider (5/13/2022)</v>
      </c>
      <c r="H713" s="19"/>
    </row>
    <row r="714">
      <c r="A714" s="9"/>
      <c r="B714" s="15"/>
      <c r="C714" s="9">
        <f>IFERROR(__xludf.DUMMYFUNCTION("""COMPUTED_VALUE"""),44789.1916274421)</f>
        <v>44789.19163</v>
      </c>
      <c r="D714" s="15">
        <f>IFERROR(__xludf.DUMMYFUNCTION("""COMPUTED_VALUE"""),1.004)</f>
        <v>1.004</v>
      </c>
      <c r="E714" s="16">
        <f>IFERROR(__xludf.DUMMYFUNCTION("""COMPUTED_VALUE"""),68.0)</f>
        <v>68</v>
      </c>
      <c r="F714" s="19" t="str">
        <f>IFERROR(__xludf.DUMMYFUNCTION("""COMPUTED_VALUE"""),"BLACK")</f>
        <v>BLACK</v>
      </c>
      <c r="G714" s="20" t="str">
        <f>IFERROR(__xludf.DUMMYFUNCTION("""COMPUTED_VALUE"""),"Uncle Sams Cider (5/13/2022)")</f>
        <v>Uncle Sams Cider (5/13/2022)</v>
      </c>
      <c r="H714" s="19"/>
    </row>
    <row r="715">
      <c r="A715" s="9"/>
      <c r="B715" s="15"/>
      <c r="C715" s="9">
        <f>IFERROR(__xludf.DUMMYFUNCTION("""COMPUTED_VALUE"""),44789.1811728819)</f>
        <v>44789.18117</v>
      </c>
      <c r="D715" s="15">
        <f>IFERROR(__xludf.DUMMYFUNCTION("""COMPUTED_VALUE"""),1.004)</f>
        <v>1.004</v>
      </c>
      <c r="E715" s="16">
        <f>IFERROR(__xludf.DUMMYFUNCTION("""COMPUTED_VALUE"""),68.0)</f>
        <v>68</v>
      </c>
      <c r="F715" s="19" t="str">
        <f>IFERROR(__xludf.DUMMYFUNCTION("""COMPUTED_VALUE"""),"BLACK")</f>
        <v>BLACK</v>
      </c>
      <c r="G715" s="20" t="str">
        <f>IFERROR(__xludf.DUMMYFUNCTION("""COMPUTED_VALUE"""),"Uncle Sams Cider (5/13/2022)")</f>
        <v>Uncle Sams Cider (5/13/2022)</v>
      </c>
      <c r="H715" s="19"/>
    </row>
    <row r="716">
      <c r="A716" s="9"/>
      <c r="B716" s="15"/>
      <c r="C716" s="9">
        <f>IFERROR(__xludf.DUMMYFUNCTION("""COMPUTED_VALUE"""),44789.1707513078)</f>
        <v>44789.17075</v>
      </c>
      <c r="D716" s="15">
        <f>IFERROR(__xludf.DUMMYFUNCTION("""COMPUTED_VALUE"""),1.004)</f>
        <v>1.004</v>
      </c>
      <c r="E716" s="16">
        <f>IFERROR(__xludf.DUMMYFUNCTION("""COMPUTED_VALUE"""),68.0)</f>
        <v>68</v>
      </c>
      <c r="F716" s="19" t="str">
        <f>IFERROR(__xludf.DUMMYFUNCTION("""COMPUTED_VALUE"""),"BLACK")</f>
        <v>BLACK</v>
      </c>
      <c r="G716" s="20" t="str">
        <f>IFERROR(__xludf.DUMMYFUNCTION("""COMPUTED_VALUE"""),"Uncle Sams Cider (5/13/2022)")</f>
        <v>Uncle Sams Cider (5/13/2022)</v>
      </c>
      <c r="H716" s="19"/>
    </row>
    <row r="717">
      <c r="A717" s="9"/>
      <c r="B717" s="15"/>
      <c r="C717" s="9">
        <f>IFERROR(__xludf.DUMMYFUNCTION("""COMPUTED_VALUE"""),44789.1603302893)</f>
        <v>44789.16033</v>
      </c>
      <c r="D717" s="15">
        <f>IFERROR(__xludf.DUMMYFUNCTION("""COMPUTED_VALUE"""),1.004)</f>
        <v>1.004</v>
      </c>
      <c r="E717" s="16">
        <f>IFERROR(__xludf.DUMMYFUNCTION("""COMPUTED_VALUE"""),68.0)</f>
        <v>68</v>
      </c>
      <c r="F717" s="19" t="str">
        <f>IFERROR(__xludf.DUMMYFUNCTION("""COMPUTED_VALUE"""),"BLACK")</f>
        <v>BLACK</v>
      </c>
      <c r="G717" s="20" t="str">
        <f>IFERROR(__xludf.DUMMYFUNCTION("""COMPUTED_VALUE"""),"Uncle Sams Cider (5/13/2022)")</f>
        <v>Uncle Sams Cider (5/13/2022)</v>
      </c>
      <c r="H717" s="19"/>
    </row>
    <row r="718">
      <c r="A718" s="9"/>
      <c r="B718" s="15"/>
      <c r="C718" s="9">
        <f>IFERROR(__xludf.DUMMYFUNCTION("""COMPUTED_VALUE"""),44789.1499084259)</f>
        <v>44789.14991</v>
      </c>
      <c r="D718" s="15">
        <f>IFERROR(__xludf.DUMMYFUNCTION("""COMPUTED_VALUE"""),1.004)</f>
        <v>1.004</v>
      </c>
      <c r="E718" s="16">
        <f>IFERROR(__xludf.DUMMYFUNCTION("""COMPUTED_VALUE"""),68.0)</f>
        <v>68</v>
      </c>
      <c r="F718" s="19" t="str">
        <f>IFERROR(__xludf.DUMMYFUNCTION("""COMPUTED_VALUE"""),"BLACK")</f>
        <v>BLACK</v>
      </c>
      <c r="G718" s="20" t="str">
        <f>IFERROR(__xludf.DUMMYFUNCTION("""COMPUTED_VALUE"""),"Uncle Sams Cider (5/13/2022)")</f>
        <v>Uncle Sams Cider (5/13/2022)</v>
      </c>
      <c r="H718" s="19"/>
    </row>
    <row r="719">
      <c r="A719" s="9"/>
      <c r="B719" s="15"/>
      <c r="C719" s="9">
        <f>IFERROR(__xludf.DUMMYFUNCTION("""COMPUTED_VALUE"""),44789.139487037)</f>
        <v>44789.13949</v>
      </c>
      <c r="D719" s="15">
        <f>IFERROR(__xludf.DUMMYFUNCTION("""COMPUTED_VALUE"""),1.004)</f>
        <v>1.004</v>
      </c>
      <c r="E719" s="16">
        <f>IFERROR(__xludf.DUMMYFUNCTION("""COMPUTED_VALUE"""),68.0)</f>
        <v>68</v>
      </c>
      <c r="F719" s="19" t="str">
        <f>IFERROR(__xludf.DUMMYFUNCTION("""COMPUTED_VALUE"""),"BLACK")</f>
        <v>BLACK</v>
      </c>
      <c r="G719" s="20" t="str">
        <f>IFERROR(__xludf.DUMMYFUNCTION("""COMPUTED_VALUE"""),"Uncle Sams Cider (5/13/2022)")</f>
        <v>Uncle Sams Cider (5/13/2022)</v>
      </c>
      <c r="H719" s="19"/>
    </row>
    <row r="720">
      <c r="A720" s="9"/>
      <c r="B720" s="15"/>
      <c r="C720" s="9">
        <f>IFERROR(__xludf.DUMMYFUNCTION("""COMPUTED_VALUE"""),44789.1290542129)</f>
        <v>44789.12905</v>
      </c>
      <c r="D720" s="15">
        <f>IFERROR(__xludf.DUMMYFUNCTION("""COMPUTED_VALUE"""),1.004)</f>
        <v>1.004</v>
      </c>
      <c r="E720" s="16">
        <f>IFERROR(__xludf.DUMMYFUNCTION("""COMPUTED_VALUE"""),68.0)</f>
        <v>68</v>
      </c>
      <c r="F720" s="19" t="str">
        <f>IFERROR(__xludf.DUMMYFUNCTION("""COMPUTED_VALUE"""),"BLACK")</f>
        <v>BLACK</v>
      </c>
      <c r="G720" s="20" t="str">
        <f>IFERROR(__xludf.DUMMYFUNCTION("""COMPUTED_VALUE"""),"Uncle Sams Cider (5/13/2022)")</f>
        <v>Uncle Sams Cider (5/13/2022)</v>
      </c>
      <c r="H720" s="19"/>
    </row>
    <row r="721">
      <c r="A721" s="9"/>
      <c r="B721" s="15"/>
      <c r="C721" s="9">
        <f>IFERROR(__xludf.DUMMYFUNCTION("""COMPUTED_VALUE"""),44789.1186342013)</f>
        <v>44789.11863</v>
      </c>
      <c r="D721" s="15">
        <f>IFERROR(__xludf.DUMMYFUNCTION("""COMPUTED_VALUE"""),1.004)</f>
        <v>1.004</v>
      </c>
      <c r="E721" s="16">
        <f>IFERROR(__xludf.DUMMYFUNCTION("""COMPUTED_VALUE"""),68.0)</f>
        <v>68</v>
      </c>
      <c r="F721" s="19" t="str">
        <f>IFERROR(__xludf.DUMMYFUNCTION("""COMPUTED_VALUE"""),"BLACK")</f>
        <v>BLACK</v>
      </c>
      <c r="G721" s="20" t="str">
        <f>IFERROR(__xludf.DUMMYFUNCTION("""COMPUTED_VALUE"""),"Uncle Sams Cider (5/13/2022)")</f>
        <v>Uncle Sams Cider (5/13/2022)</v>
      </c>
      <c r="H721" s="19"/>
    </row>
    <row r="722">
      <c r="A722" s="9"/>
      <c r="B722" s="15"/>
      <c r="C722" s="9">
        <f>IFERROR(__xludf.DUMMYFUNCTION("""COMPUTED_VALUE"""),44789.1082109375)</f>
        <v>44789.10821</v>
      </c>
      <c r="D722" s="15">
        <f>IFERROR(__xludf.DUMMYFUNCTION("""COMPUTED_VALUE"""),1.003)</f>
        <v>1.003</v>
      </c>
      <c r="E722" s="16">
        <f>IFERROR(__xludf.DUMMYFUNCTION("""COMPUTED_VALUE"""),68.0)</f>
        <v>68</v>
      </c>
      <c r="F722" s="19" t="str">
        <f>IFERROR(__xludf.DUMMYFUNCTION("""COMPUTED_VALUE"""),"BLACK")</f>
        <v>BLACK</v>
      </c>
      <c r="G722" s="20" t="str">
        <f>IFERROR(__xludf.DUMMYFUNCTION("""COMPUTED_VALUE"""),"Uncle Sams Cider (5/13/2022)")</f>
        <v>Uncle Sams Cider (5/13/2022)</v>
      </c>
      <c r="H722" s="19"/>
    </row>
    <row r="723">
      <c r="A723" s="9"/>
      <c r="B723" s="15"/>
      <c r="C723" s="9">
        <f>IFERROR(__xludf.DUMMYFUNCTION("""COMPUTED_VALUE"""),44789.0977896527)</f>
        <v>44789.09779</v>
      </c>
      <c r="D723" s="15">
        <f>IFERROR(__xludf.DUMMYFUNCTION("""COMPUTED_VALUE"""),1.004)</f>
        <v>1.004</v>
      </c>
      <c r="E723" s="16">
        <f>IFERROR(__xludf.DUMMYFUNCTION("""COMPUTED_VALUE"""),68.0)</f>
        <v>68</v>
      </c>
      <c r="F723" s="19" t="str">
        <f>IFERROR(__xludf.DUMMYFUNCTION("""COMPUTED_VALUE"""),"BLACK")</f>
        <v>BLACK</v>
      </c>
      <c r="G723" s="20" t="str">
        <f>IFERROR(__xludf.DUMMYFUNCTION("""COMPUTED_VALUE"""),"Uncle Sams Cider (5/13/2022)")</f>
        <v>Uncle Sams Cider (5/13/2022)</v>
      </c>
      <c r="H723" s="19"/>
    </row>
    <row r="724">
      <c r="A724" s="9"/>
      <c r="B724" s="15"/>
      <c r="C724" s="9">
        <f>IFERROR(__xludf.DUMMYFUNCTION("""COMPUTED_VALUE"""),44789.0873695254)</f>
        <v>44789.08737</v>
      </c>
      <c r="D724" s="15">
        <f>IFERROR(__xludf.DUMMYFUNCTION("""COMPUTED_VALUE"""),1.004)</f>
        <v>1.004</v>
      </c>
      <c r="E724" s="16">
        <f>IFERROR(__xludf.DUMMYFUNCTION("""COMPUTED_VALUE"""),68.0)</f>
        <v>68</v>
      </c>
      <c r="F724" s="19" t="str">
        <f>IFERROR(__xludf.DUMMYFUNCTION("""COMPUTED_VALUE"""),"BLACK")</f>
        <v>BLACK</v>
      </c>
      <c r="G724" s="20" t="str">
        <f>IFERROR(__xludf.DUMMYFUNCTION("""COMPUTED_VALUE"""),"Uncle Sams Cider (5/13/2022)")</f>
        <v>Uncle Sams Cider (5/13/2022)</v>
      </c>
      <c r="H724" s="19"/>
    </row>
    <row r="725">
      <c r="A725" s="9"/>
      <c r="B725" s="15"/>
      <c r="C725" s="9">
        <f>IFERROR(__xludf.DUMMYFUNCTION("""COMPUTED_VALUE"""),44789.0769472569)</f>
        <v>44789.07695</v>
      </c>
      <c r="D725" s="15">
        <f>IFERROR(__xludf.DUMMYFUNCTION("""COMPUTED_VALUE"""),1.004)</f>
        <v>1.004</v>
      </c>
      <c r="E725" s="16">
        <f>IFERROR(__xludf.DUMMYFUNCTION("""COMPUTED_VALUE"""),68.0)</f>
        <v>68</v>
      </c>
      <c r="F725" s="19" t="str">
        <f>IFERROR(__xludf.DUMMYFUNCTION("""COMPUTED_VALUE"""),"BLACK")</f>
        <v>BLACK</v>
      </c>
      <c r="G725" s="20" t="str">
        <f>IFERROR(__xludf.DUMMYFUNCTION("""COMPUTED_VALUE"""),"Uncle Sams Cider (5/13/2022)")</f>
        <v>Uncle Sams Cider (5/13/2022)</v>
      </c>
      <c r="H725" s="19"/>
    </row>
    <row r="726">
      <c r="A726" s="9"/>
      <c r="B726" s="15"/>
      <c r="C726" s="9">
        <f>IFERROR(__xludf.DUMMYFUNCTION("""COMPUTED_VALUE"""),44789.0665136805)</f>
        <v>44789.06651</v>
      </c>
      <c r="D726" s="15">
        <f>IFERROR(__xludf.DUMMYFUNCTION("""COMPUTED_VALUE"""),1.003)</f>
        <v>1.003</v>
      </c>
      <c r="E726" s="16">
        <f>IFERROR(__xludf.DUMMYFUNCTION("""COMPUTED_VALUE"""),68.0)</f>
        <v>68</v>
      </c>
      <c r="F726" s="19" t="str">
        <f>IFERROR(__xludf.DUMMYFUNCTION("""COMPUTED_VALUE"""),"BLACK")</f>
        <v>BLACK</v>
      </c>
      <c r="G726" s="20" t="str">
        <f>IFERROR(__xludf.DUMMYFUNCTION("""COMPUTED_VALUE"""),"Uncle Sams Cider (5/13/2022)")</f>
        <v>Uncle Sams Cider (5/13/2022)</v>
      </c>
      <c r="H726" s="19"/>
    </row>
    <row r="727">
      <c r="A727" s="9"/>
      <c r="B727" s="15"/>
      <c r="C727" s="9">
        <f>IFERROR(__xludf.DUMMYFUNCTION("""COMPUTED_VALUE"""),44789.0560912384)</f>
        <v>44789.05609</v>
      </c>
      <c r="D727" s="15">
        <f>IFERROR(__xludf.DUMMYFUNCTION("""COMPUTED_VALUE"""),1.004)</f>
        <v>1.004</v>
      </c>
      <c r="E727" s="16">
        <f>IFERROR(__xludf.DUMMYFUNCTION("""COMPUTED_VALUE"""),68.0)</f>
        <v>68</v>
      </c>
      <c r="F727" s="19" t="str">
        <f>IFERROR(__xludf.DUMMYFUNCTION("""COMPUTED_VALUE"""),"BLACK")</f>
        <v>BLACK</v>
      </c>
      <c r="G727" s="20" t="str">
        <f>IFERROR(__xludf.DUMMYFUNCTION("""COMPUTED_VALUE"""),"Uncle Sams Cider (5/13/2022)")</f>
        <v>Uncle Sams Cider (5/13/2022)</v>
      </c>
      <c r="H727" s="19"/>
    </row>
    <row r="728">
      <c r="A728" s="9"/>
      <c r="B728" s="15"/>
      <c r="C728" s="9">
        <f>IFERROR(__xludf.DUMMYFUNCTION("""COMPUTED_VALUE"""),44789.0456364004)</f>
        <v>44789.04564</v>
      </c>
      <c r="D728" s="15">
        <f>IFERROR(__xludf.DUMMYFUNCTION("""COMPUTED_VALUE"""),1.004)</f>
        <v>1.004</v>
      </c>
      <c r="E728" s="16">
        <f>IFERROR(__xludf.DUMMYFUNCTION("""COMPUTED_VALUE"""),68.0)</f>
        <v>68</v>
      </c>
      <c r="F728" s="19" t="str">
        <f>IFERROR(__xludf.DUMMYFUNCTION("""COMPUTED_VALUE"""),"BLACK")</f>
        <v>BLACK</v>
      </c>
      <c r="G728" s="20" t="str">
        <f>IFERROR(__xludf.DUMMYFUNCTION("""COMPUTED_VALUE"""),"Uncle Sams Cider (5/13/2022)")</f>
        <v>Uncle Sams Cider (5/13/2022)</v>
      </c>
      <c r="H728" s="19"/>
    </row>
    <row r="729">
      <c r="A729" s="9"/>
      <c r="B729" s="15"/>
      <c r="C729" s="9">
        <f>IFERROR(__xludf.DUMMYFUNCTION("""COMPUTED_VALUE"""),44789.0247932638)</f>
        <v>44789.02479</v>
      </c>
      <c r="D729" s="15">
        <f>IFERROR(__xludf.DUMMYFUNCTION("""COMPUTED_VALUE"""),1.004)</f>
        <v>1.004</v>
      </c>
      <c r="E729" s="16">
        <f>IFERROR(__xludf.DUMMYFUNCTION("""COMPUTED_VALUE"""),68.0)</f>
        <v>68</v>
      </c>
      <c r="F729" s="19" t="str">
        <f>IFERROR(__xludf.DUMMYFUNCTION("""COMPUTED_VALUE"""),"BLACK")</f>
        <v>BLACK</v>
      </c>
      <c r="G729" s="20" t="str">
        <f>IFERROR(__xludf.DUMMYFUNCTION("""COMPUTED_VALUE"""),"Uncle Sams Cider (5/13/2022)")</f>
        <v>Uncle Sams Cider (5/13/2022)</v>
      </c>
      <c r="H729" s="19"/>
    </row>
    <row r="730">
      <c r="A730" s="9"/>
      <c r="B730" s="15"/>
      <c r="C730" s="9">
        <f>IFERROR(__xludf.DUMMYFUNCTION("""COMPUTED_VALUE"""),44789.0143621064)</f>
        <v>44789.01436</v>
      </c>
      <c r="D730" s="15">
        <f>IFERROR(__xludf.DUMMYFUNCTION("""COMPUTED_VALUE"""),1.004)</f>
        <v>1.004</v>
      </c>
      <c r="E730" s="16">
        <f>IFERROR(__xludf.DUMMYFUNCTION("""COMPUTED_VALUE"""),68.0)</f>
        <v>68</v>
      </c>
      <c r="F730" s="19" t="str">
        <f>IFERROR(__xludf.DUMMYFUNCTION("""COMPUTED_VALUE"""),"BLACK")</f>
        <v>BLACK</v>
      </c>
      <c r="G730" s="20" t="str">
        <f>IFERROR(__xludf.DUMMYFUNCTION("""COMPUTED_VALUE"""),"Uncle Sams Cider (5/13/2022)")</f>
        <v>Uncle Sams Cider (5/13/2022)</v>
      </c>
      <c r="H730" s="19"/>
    </row>
    <row r="731">
      <c r="A731" s="9"/>
      <c r="B731" s="15"/>
      <c r="C731" s="9">
        <f>IFERROR(__xludf.DUMMYFUNCTION("""COMPUTED_VALUE"""),44789.0039405439)</f>
        <v>44789.00394</v>
      </c>
      <c r="D731" s="15">
        <f>IFERROR(__xludf.DUMMYFUNCTION("""COMPUTED_VALUE"""),1.004)</f>
        <v>1.004</v>
      </c>
      <c r="E731" s="16">
        <f>IFERROR(__xludf.DUMMYFUNCTION("""COMPUTED_VALUE"""),68.0)</f>
        <v>68</v>
      </c>
      <c r="F731" s="19" t="str">
        <f>IFERROR(__xludf.DUMMYFUNCTION("""COMPUTED_VALUE"""),"BLACK")</f>
        <v>BLACK</v>
      </c>
      <c r="G731" s="20" t="str">
        <f>IFERROR(__xludf.DUMMYFUNCTION("""COMPUTED_VALUE"""),"Uncle Sams Cider (5/13/2022)")</f>
        <v>Uncle Sams Cider (5/13/2022)</v>
      </c>
      <c r="H731" s="19"/>
    </row>
    <row r="732">
      <c r="A732" s="9"/>
      <c r="B732" s="15"/>
      <c r="C732" s="9">
        <f>IFERROR(__xludf.DUMMYFUNCTION("""COMPUTED_VALUE"""),44788.9935192824)</f>
        <v>44788.99352</v>
      </c>
      <c r="D732" s="15">
        <f>IFERROR(__xludf.DUMMYFUNCTION("""COMPUTED_VALUE"""),1.004)</f>
        <v>1.004</v>
      </c>
      <c r="E732" s="16">
        <f>IFERROR(__xludf.DUMMYFUNCTION("""COMPUTED_VALUE"""),67.0)</f>
        <v>67</v>
      </c>
      <c r="F732" s="19" t="str">
        <f>IFERROR(__xludf.DUMMYFUNCTION("""COMPUTED_VALUE"""),"BLACK")</f>
        <v>BLACK</v>
      </c>
      <c r="G732" s="20" t="str">
        <f>IFERROR(__xludf.DUMMYFUNCTION("""COMPUTED_VALUE"""),"Uncle Sams Cider (5/13/2022)")</f>
        <v>Uncle Sams Cider (5/13/2022)</v>
      </c>
      <c r="H732" s="19"/>
    </row>
    <row r="733">
      <c r="A733" s="9"/>
      <c r="B733" s="15"/>
      <c r="C733" s="9">
        <f>IFERROR(__xludf.DUMMYFUNCTION("""COMPUTED_VALUE"""),44788.9830980208)</f>
        <v>44788.9831</v>
      </c>
      <c r="D733" s="15">
        <f>IFERROR(__xludf.DUMMYFUNCTION("""COMPUTED_VALUE"""),1.004)</f>
        <v>1.004</v>
      </c>
      <c r="E733" s="16">
        <f>IFERROR(__xludf.DUMMYFUNCTION("""COMPUTED_VALUE"""),68.0)</f>
        <v>68</v>
      </c>
      <c r="F733" s="19" t="str">
        <f>IFERROR(__xludf.DUMMYFUNCTION("""COMPUTED_VALUE"""),"BLACK")</f>
        <v>BLACK</v>
      </c>
      <c r="G733" s="20" t="str">
        <f>IFERROR(__xludf.DUMMYFUNCTION("""COMPUTED_VALUE"""),"Uncle Sams Cider (5/13/2022)")</f>
        <v>Uncle Sams Cider (5/13/2022)</v>
      </c>
      <c r="H733" s="19"/>
    </row>
    <row r="734">
      <c r="A734" s="9"/>
      <c r="B734" s="15"/>
      <c r="C734" s="9">
        <f>IFERROR(__xludf.DUMMYFUNCTION("""COMPUTED_VALUE"""),44788.9726764467)</f>
        <v>44788.97268</v>
      </c>
      <c r="D734" s="15">
        <f>IFERROR(__xludf.DUMMYFUNCTION("""COMPUTED_VALUE"""),1.004)</f>
        <v>1.004</v>
      </c>
      <c r="E734" s="16">
        <f>IFERROR(__xludf.DUMMYFUNCTION("""COMPUTED_VALUE"""),67.0)</f>
        <v>67</v>
      </c>
      <c r="F734" s="19" t="str">
        <f>IFERROR(__xludf.DUMMYFUNCTION("""COMPUTED_VALUE"""),"BLACK")</f>
        <v>BLACK</v>
      </c>
      <c r="G734" s="20" t="str">
        <f>IFERROR(__xludf.DUMMYFUNCTION("""COMPUTED_VALUE"""),"Uncle Sams Cider (5/13/2022)")</f>
        <v>Uncle Sams Cider (5/13/2022)</v>
      </c>
      <c r="H734" s="19"/>
    </row>
    <row r="735">
      <c r="A735" s="9"/>
      <c r="B735" s="15"/>
      <c r="C735" s="9">
        <f>IFERROR(__xludf.DUMMYFUNCTION("""COMPUTED_VALUE"""),44788.9622555671)</f>
        <v>44788.96226</v>
      </c>
      <c r="D735" s="15">
        <f>IFERROR(__xludf.DUMMYFUNCTION("""COMPUTED_VALUE"""),1.003)</f>
        <v>1.003</v>
      </c>
      <c r="E735" s="16">
        <f>IFERROR(__xludf.DUMMYFUNCTION("""COMPUTED_VALUE"""),67.0)</f>
        <v>67</v>
      </c>
      <c r="F735" s="19" t="str">
        <f>IFERROR(__xludf.DUMMYFUNCTION("""COMPUTED_VALUE"""),"BLACK")</f>
        <v>BLACK</v>
      </c>
      <c r="G735" s="20" t="str">
        <f>IFERROR(__xludf.DUMMYFUNCTION("""COMPUTED_VALUE"""),"Uncle Sams Cider (5/13/2022)")</f>
        <v>Uncle Sams Cider (5/13/2022)</v>
      </c>
      <c r="H735" s="19"/>
    </row>
    <row r="736">
      <c r="A736" s="9"/>
      <c r="B736" s="15"/>
      <c r="C736" s="9">
        <f>IFERROR(__xludf.DUMMYFUNCTION("""COMPUTED_VALUE"""),44788.9518343981)</f>
        <v>44788.95183</v>
      </c>
      <c r="D736" s="15">
        <f>IFERROR(__xludf.DUMMYFUNCTION("""COMPUTED_VALUE"""),1.004)</f>
        <v>1.004</v>
      </c>
      <c r="E736" s="16">
        <f>IFERROR(__xludf.DUMMYFUNCTION("""COMPUTED_VALUE"""),67.0)</f>
        <v>67</v>
      </c>
      <c r="F736" s="19" t="str">
        <f>IFERROR(__xludf.DUMMYFUNCTION("""COMPUTED_VALUE"""),"BLACK")</f>
        <v>BLACK</v>
      </c>
      <c r="G736" s="20" t="str">
        <f>IFERROR(__xludf.DUMMYFUNCTION("""COMPUTED_VALUE"""),"Uncle Sams Cider (5/13/2022)")</f>
        <v>Uncle Sams Cider (5/13/2022)</v>
      </c>
      <c r="H736" s="19"/>
    </row>
    <row r="737">
      <c r="A737" s="9"/>
      <c r="B737" s="15"/>
      <c r="C737" s="9">
        <f>IFERROR(__xludf.DUMMYFUNCTION("""COMPUTED_VALUE"""),44788.9414128009)</f>
        <v>44788.94141</v>
      </c>
      <c r="D737" s="15">
        <f>IFERROR(__xludf.DUMMYFUNCTION("""COMPUTED_VALUE"""),1.003)</f>
        <v>1.003</v>
      </c>
      <c r="E737" s="16">
        <f>IFERROR(__xludf.DUMMYFUNCTION("""COMPUTED_VALUE"""),67.0)</f>
        <v>67</v>
      </c>
      <c r="F737" s="19" t="str">
        <f>IFERROR(__xludf.DUMMYFUNCTION("""COMPUTED_VALUE"""),"BLACK")</f>
        <v>BLACK</v>
      </c>
      <c r="G737" s="20" t="str">
        <f>IFERROR(__xludf.DUMMYFUNCTION("""COMPUTED_VALUE"""),"Uncle Sams Cider (5/13/2022)")</f>
        <v>Uncle Sams Cider (5/13/2022)</v>
      </c>
      <c r="H737" s="19"/>
    </row>
    <row r="738">
      <c r="A738" s="9"/>
      <c r="B738" s="15"/>
      <c r="C738" s="9">
        <f>IFERROR(__xludf.DUMMYFUNCTION("""COMPUTED_VALUE"""),44788.9309911689)</f>
        <v>44788.93099</v>
      </c>
      <c r="D738" s="15">
        <f>IFERROR(__xludf.DUMMYFUNCTION("""COMPUTED_VALUE"""),1.004)</f>
        <v>1.004</v>
      </c>
      <c r="E738" s="16">
        <f>IFERROR(__xludf.DUMMYFUNCTION("""COMPUTED_VALUE"""),67.0)</f>
        <v>67</v>
      </c>
      <c r="F738" s="19" t="str">
        <f>IFERROR(__xludf.DUMMYFUNCTION("""COMPUTED_VALUE"""),"BLACK")</f>
        <v>BLACK</v>
      </c>
      <c r="G738" s="20" t="str">
        <f>IFERROR(__xludf.DUMMYFUNCTION("""COMPUTED_VALUE"""),"Uncle Sams Cider (5/13/2022)")</f>
        <v>Uncle Sams Cider (5/13/2022)</v>
      </c>
      <c r="H738" s="19"/>
    </row>
    <row r="739">
      <c r="A739" s="9"/>
      <c r="B739" s="15"/>
      <c r="C739" s="9">
        <f>IFERROR(__xludf.DUMMYFUNCTION("""COMPUTED_VALUE"""),44788.9205705324)</f>
        <v>44788.92057</v>
      </c>
      <c r="D739" s="15">
        <f>IFERROR(__xludf.DUMMYFUNCTION("""COMPUTED_VALUE"""),1.004)</f>
        <v>1.004</v>
      </c>
      <c r="E739" s="16">
        <f>IFERROR(__xludf.DUMMYFUNCTION("""COMPUTED_VALUE"""),67.0)</f>
        <v>67</v>
      </c>
      <c r="F739" s="19" t="str">
        <f>IFERROR(__xludf.DUMMYFUNCTION("""COMPUTED_VALUE"""),"BLACK")</f>
        <v>BLACK</v>
      </c>
      <c r="G739" s="20" t="str">
        <f>IFERROR(__xludf.DUMMYFUNCTION("""COMPUTED_VALUE"""),"Uncle Sams Cider (5/13/2022)")</f>
        <v>Uncle Sams Cider (5/13/2022)</v>
      </c>
      <c r="H739" s="19"/>
    </row>
    <row r="740">
      <c r="A740" s="9"/>
      <c r="B740" s="15"/>
      <c r="C740" s="9">
        <f>IFERROR(__xludf.DUMMYFUNCTION("""COMPUTED_VALUE"""),44788.9101493055)</f>
        <v>44788.91015</v>
      </c>
      <c r="D740" s="15">
        <f>IFERROR(__xludf.DUMMYFUNCTION("""COMPUTED_VALUE"""),1.004)</f>
        <v>1.004</v>
      </c>
      <c r="E740" s="16">
        <f>IFERROR(__xludf.DUMMYFUNCTION("""COMPUTED_VALUE"""),67.0)</f>
        <v>67</v>
      </c>
      <c r="F740" s="19" t="str">
        <f>IFERROR(__xludf.DUMMYFUNCTION("""COMPUTED_VALUE"""),"BLACK")</f>
        <v>BLACK</v>
      </c>
      <c r="G740" s="20" t="str">
        <f>IFERROR(__xludf.DUMMYFUNCTION("""COMPUTED_VALUE"""),"Uncle Sams Cider (5/13/2022)")</f>
        <v>Uncle Sams Cider (5/13/2022)</v>
      </c>
      <c r="H740" s="19"/>
    </row>
    <row r="741">
      <c r="A741" s="9"/>
      <c r="B741" s="15"/>
      <c r="C741" s="9">
        <f>IFERROR(__xludf.DUMMYFUNCTION("""COMPUTED_VALUE"""),44788.8997284259)</f>
        <v>44788.89973</v>
      </c>
      <c r="D741" s="15">
        <f>IFERROR(__xludf.DUMMYFUNCTION("""COMPUTED_VALUE"""),1.004)</f>
        <v>1.004</v>
      </c>
      <c r="E741" s="16">
        <f>IFERROR(__xludf.DUMMYFUNCTION("""COMPUTED_VALUE"""),67.0)</f>
        <v>67</v>
      </c>
      <c r="F741" s="19" t="str">
        <f>IFERROR(__xludf.DUMMYFUNCTION("""COMPUTED_VALUE"""),"BLACK")</f>
        <v>BLACK</v>
      </c>
      <c r="G741" s="20" t="str">
        <f>IFERROR(__xludf.DUMMYFUNCTION("""COMPUTED_VALUE"""),"Uncle Sams Cider (5/13/2022)")</f>
        <v>Uncle Sams Cider (5/13/2022)</v>
      </c>
      <c r="H741" s="19"/>
    </row>
    <row r="742">
      <c r="A742" s="9"/>
      <c r="B742" s="15"/>
      <c r="C742" s="9">
        <f>IFERROR(__xludf.DUMMYFUNCTION("""COMPUTED_VALUE"""),44788.8893068287)</f>
        <v>44788.88931</v>
      </c>
      <c r="D742" s="15">
        <f>IFERROR(__xludf.DUMMYFUNCTION("""COMPUTED_VALUE"""),1.003)</f>
        <v>1.003</v>
      </c>
      <c r="E742" s="16">
        <f>IFERROR(__xludf.DUMMYFUNCTION("""COMPUTED_VALUE"""),67.0)</f>
        <v>67</v>
      </c>
      <c r="F742" s="19" t="str">
        <f>IFERROR(__xludf.DUMMYFUNCTION("""COMPUTED_VALUE"""),"BLACK")</f>
        <v>BLACK</v>
      </c>
      <c r="G742" s="20" t="str">
        <f>IFERROR(__xludf.DUMMYFUNCTION("""COMPUTED_VALUE"""),"Uncle Sams Cider (5/13/2022)")</f>
        <v>Uncle Sams Cider (5/13/2022)</v>
      </c>
      <c r="H742" s="19"/>
    </row>
    <row r="743">
      <c r="A743" s="9"/>
      <c r="B743" s="15"/>
      <c r="C743" s="9">
        <f>IFERROR(__xludf.DUMMYFUNCTION("""COMPUTED_VALUE"""),44788.8788866551)</f>
        <v>44788.87889</v>
      </c>
      <c r="D743" s="15">
        <f>IFERROR(__xludf.DUMMYFUNCTION("""COMPUTED_VALUE"""),1.004)</f>
        <v>1.004</v>
      </c>
      <c r="E743" s="16">
        <f>IFERROR(__xludf.DUMMYFUNCTION("""COMPUTED_VALUE"""),67.0)</f>
        <v>67</v>
      </c>
      <c r="F743" s="19" t="str">
        <f>IFERROR(__xludf.DUMMYFUNCTION("""COMPUTED_VALUE"""),"BLACK")</f>
        <v>BLACK</v>
      </c>
      <c r="G743" s="20" t="str">
        <f>IFERROR(__xludf.DUMMYFUNCTION("""COMPUTED_VALUE"""),"Uncle Sams Cider (5/13/2022)")</f>
        <v>Uncle Sams Cider (5/13/2022)</v>
      </c>
      <c r="H743" s="19"/>
    </row>
    <row r="744">
      <c r="A744" s="9"/>
      <c r="B744" s="15"/>
      <c r="C744" s="9">
        <f>IFERROR(__xludf.DUMMYFUNCTION("""COMPUTED_VALUE"""),44788.8684668171)</f>
        <v>44788.86847</v>
      </c>
      <c r="D744" s="15">
        <f>IFERROR(__xludf.DUMMYFUNCTION("""COMPUTED_VALUE"""),1.003)</f>
        <v>1.003</v>
      </c>
      <c r="E744" s="16">
        <f>IFERROR(__xludf.DUMMYFUNCTION("""COMPUTED_VALUE"""),67.0)</f>
        <v>67</v>
      </c>
      <c r="F744" s="19" t="str">
        <f>IFERROR(__xludf.DUMMYFUNCTION("""COMPUTED_VALUE"""),"BLACK")</f>
        <v>BLACK</v>
      </c>
      <c r="G744" s="20" t="str">
        <f>IFERROR(__xludf.DUMMYFUNCTION("""COMPUTED_VALUE"""),"Uncle Sams Cider (5/13/2022)")</f>
        <v>Uncle Sams Cider (5/13/2022)</v>
      </c>
      <c r="H744" s="19"/>
    </row>
    <row r="745">
      <c r="A745" s="9"/>
      <c r="B745" s="15"/>
      <c r="C745" s="9">
        <f>IFERROR(__xludf.DUMMYFUNCTION("""COMPUTED_VALUE"""),44788.8580228703)</f>
        <v>44788.85802</v>
      </c>
      <c r="D745" s="15">
        <f>IFERROR(__xludf.DUMMYFUNCTION("""COMPUTED_VALUE"""),1.004)</f>
        <v>1.004</v>
      </c>
      <c r="E745" s="16">
        <f>IFERROR(__xludf.DUMMYFUNCTION("""COMPUTED_VALUE"""),67.0)</f>
        <v>67</v>
      </c>
      <c r="F745" s="19" t="str">
        <f>IFERROR(__xludf.DUMMYFUNCTION("""COMPUTED_VALUE"""),"BLACK")</f>
        <v>BLACK</v>
      </c>
      <c r="G745" s="20" t="str">
        <f>IFERROR(__xludf.DUMMYFUNCTION("""COMPUTED_VALUE"""),"Uncle Sams Cider (5/13/2022)")</f>
        <v>Uncle Sams Cider (5/13/2022)</v>
      </c>
      <c r="H745" s="19"/>
    </row>
    <row r="746">
      <c r="A746" s="9"/>
      <c r="B746" s="15"/>
      <c r="C746" s="9">
        <f>IFERROR(__xludf.DUMMYFUNCTION("""COMPUTED_VALUE"""),44788.8476006944)</f>
        <v>44788.8476</v>
      </c>
      <c r="D746" s="15">
        <f>IFERROR(__xludf.DUMMYFUNCTION("""COMPUTED_VALUE"""),1.004)</f>
        <v>1.004</v>
      </c>
      <c r="E746" s="16">
        <f>IFERROR(__xludf.DUMMYFUNCTION("""COMPUTED_VALUE"""),67.0)</f>
        <v>67</v>
      </c>
      <c r="F746" s="19" t="str">
        <f>IFERROR(__xludf.DUMMYFUNCTION("""COMPUTED_VALUE"""),"BLACK")</f>
        <v>BLACK</v>
      </c>
      <c r="G746" s="20" t="str">
        <f>IFERROR(__xludf.DUMMYFUNCTION("""COMPUTED_VALUE"""),"Uncle Sams Cider (5/13/2022)")</f>
        <v>Uncle Sams Cider (5/13/2022)</v>
      </c>
      <c r="H746" s="19"/>
    </row>
    <row r="747">
      <c r="A747" s="9"/>
      <c r="B747" s="15"/>
      <c r="C747" s="9">
        <f>IFERROR(__xludf.DUMMYFUNCTION("""COMPUTED_VALUE"""),44788.8371782407)</f>
        <v>44788.83718</v>
      </c>
      <c r="D747" s="15">
        <f>IFERROR(__xludf.DUMMYFUNCTION("""COMPUTED_VALUE"""),1.003)</f>
        <v>1.003</v>
      </c>
      <c r="E747" s="16">
        <f>IFERROR(__xludf.DUMMYFUNCTION("""COMPUTED_VALUE"""),67.0)</f>
        <v>67</v>
      </c>
      <c r="F747" s="19" t="str">
        <f>IFERROR(__xludf.DUMMYFUNCTION("""COMPUTED_VALUE"""),"BLACK")</f>
        <v>BLACK</v>
      </c>
      <c r="G747" s="20" t="str">
        <f>IFERROR(__xludf.DUMMYFUNCTION("""COMPUTED_VALUE"""),"Uncle Sams Cider (5/13/2022)")</f>
        <v>Uncle Sams Cider (5/13/2022)</v>
      </c>
      <c r="H747" s="19"/>
    </row>
    <row r="748">
      <c r="A748" s="9"/>
      <c r="B748" s="15"/>
      <c r="C748" s="9">
        <f>IFERROR(__xludf.DUMMYFUNCTION("""COMPUTED_VALUE"""),44788.8267569791)</f>
        <v>44788.82676</v>
      </c>
      <c r="D748" s="15">
        <f>IFERROR(__xludf.DUMMYFUNCTION("""COMPUTED_VALUE"""),1.003)</f>
        <v>1.003</v>
      </c>
      <c r="E748" s="16">
        <f>IFERROR(__xludf.DUMMYFUNCTION("""COMPUTED_VALUE"""),67.0)</f>
        <v>67</v>
      </c>
      <c r="F748" s="19" t="str">
        <f>IFERROR(__xludf.DUMMYFUNCTION("""COMPUTED_VALUE"""),"BLACK")</f>
        <v>BLACK</v>
      </c>
      <c r="G748" s="20" t="str">
        <f>IFERROR(__xludf.DUMMYFUNCTION("""COMPUTED_VALUE"""),"Uncle Sams Cider (5/13/2022)")</f>
        <v>Uncle Sams Cider (5/13/2022)</v>
      </c>
      <c r="H748" s="19"/>
    </row>
    <row r="749">
      <c r="A749" s="9"/>
      <c r="B749" s="15"/>
      <c r="C749" s="9">
        <f>IFERROR(__xludf.DUMMYFUNCTION("""COMPUTED_VALUE"""),44788.8163350926)</f>
        <v>44788.81634</v>
      </c>
      <c r="D749" s="15">
        <f>IFERROR(__xludf.DUMMYFUNCTION("""COMPUTED_VALUE"""),1.004)</f>
        <v>1.004</v>
      </c>
      <c r="E749" s="16">
        <f>IFERROR(__xludf.DUMMYFUNCTION("""COMPUTED_VALUE"""),67.0)</f>
        <v>67</v>
      </c>
      <c r="F749" s="19" t="str">
        <f>IFERROR(__xludf.DUMMYFUNCTION("""COMPUTED_VALUE"""),"BLACK")</f>
        <v>BLACK</v>
      </c>
      <c r="G749" s="20" t="str">
        <f>IFERROR(__xludf.DUMMYFUNCTION("""COMPUTED_VALUE"""),"Uncle Sams Cider (5/13/2022)")</f>
        <v>Uncle Sams Cider (5/13/2022)</v>
      </c>
      <c r="H749" s="19"/>
    </row>
    <row r="750">
      <c r="A750" s="9"/>
      <c r="B750" s="15"/>
      <c r="C750" s="9">
        <f>IFERROR(__xludf.DUMMYFUNCTION("""COMPUTED_VALUE"""),44788.8059022569)</f>
        <v>44788.8059</v>
      </c>
      <c r="D750" s="15">
        <f>IFERROR(__xludf.DUMMYFUNCTION("""COMPUTED_VALUE"""),1.004)</f>
        <v>1.004</v>
      </c>
      <c r="E750" s="16">
        <f>IFERROR(__xludf.DUMMYFUNCTION("""COMPUTED_VALUE"""),67.0)</f>
        <v>67</v>
      </c>
      <c r="F750" s="19" t="str">
        <f>IFERROR(__xludf.DUMMYFUNCTION("""COMPUTED_VALUE"""),"BLACK")</f>
        <v>BLACK</v>
      </c>
      <c r="G750" s="20" t="str">
        <f>IFERROR(__xludf.DUMMYFUNCTION("""COMPUTED_VALUE"""),"Uncle Sams Cider (5/13/2022)")</f>
        <v>Uncle Sams Cider (5/13/2022)</v>
      </c>
      <c r="H750" s="19"/>
    </row>
    <row r="751">
      <c r="A751" s="9"/>
      <c r="B751" s="15"/>
      <c r="C751" s="9">
        <f>IFERROR(__xludf.DUMMYFUNCTION("""COMPUTED_VALUE"""),44788.7954819444)</f>
        <v>44788.79548</v>
      </c>
      <c r="D751" s="15">
        <f>IFERROR(__xludf.DUMMYFUNCTION("""COMPUTED_VALUE"""),1.004)</f>
        <v>1.004</v>
      </c>
      <c r="E751" s="16">
        <f>IFERROR(__xludf.DUMMYFUNCTION("""COMPUTED_VALUE"""),67.0)</f>
        <v>67</v>
      </c>
      <c r="F751" s="19" t="str">
        <f>IFERROR(__xludf.DUMMYFUNCTION("""COMPUTED_VALUE"""),"BLACK")</f>
        <v>BLACK</v>
      </c>
      <c r="G751" s="20" t="str">
        <f>IFERROR(__xludf.DUMMYFUNCTION("""COMPUTED_VALUE"""),"Uncle Sams Cider (5/13/2022)")</f>
        <v>Uncle Sams Cider (5/13/2022)</v>
      </c>
      <c r="H751" s="19"/>
    </row>
    <row r="752">
      <c r="A752" s="9"/>
      <c r="B752" s="15"/>
      <c r="C752" s="9">
        <f>IFERROR(__xludf.DUMMYFUNCTION("""COMPUTED_VALUE"""),44788.7850487268)</f>
        <v>44788.78505</v>
      </c>
      <c r="D752" s="15">
        <f>IFERROR(__xludf.DUMMYFUNCTION("""COMPUTED_VALUE"""),1.004)</f>
        <v>1.004</v>
      </c>
      <c r="E752" s="16">
        <f>IFERROR(__xludf.DUMMYFUNCTION("""COMPUTED_VALUE"""),67.0)</f>
        <v>67</v>
      </c>
      <c r="F752" s="19" t="str">
        <f>IFERROR(__xludf.DUMMYFUNCTION("""COMPUTED_VALUE"""),"BLACK")</f>
        <v>BLACK</v>
      </c>
      <c r="G752" s="20" t="str">
        <f>IFERROR(__xludf.DUMMYFUNCTION("""COMPUTED_VALUE"""),"Uncle Sams Cider (5/13/2022)")</f>
        <v>Uncle Sams Cider (5/13/2022)</v>
      </c>
      <c r="H752" s="19"/>
    </row>
    <row r="753">
      <c r="A753" s="9"/>
      <c r="B753" s="15"/>
      <c r="C753" s="9">
        <f>IFERROR(__xludf.DUMMYFUNCTION("""COMPUTED_VALUE"""),44788.7746259837)</f>
        <v>44788.77463</v>
      </c>
      <c r="D753" s="15">
        <f>IFERROR(__xludf.DUMMYFUNCTION("""COMPUTED_VALUE"""),1.004)</f>
        <v>1.004</v>
      </c>
      <c r="E753" s="16">
        <f>IFERROR(__xludf.DUMMYFUNCTION("""COMPUTED_VALUE"""),67.0)</f>
        <v>67</v>
      </c>
      <c r="F753" s="19" t="str">
        <f>IFERROR(__xludf.DUMMYFUNCTION("""COMPUTED_VALUE"""),"BLACK")</f>
        <v>BLACK</v>
      </c>
      <c r="G753" s="20" t="str">
        <f>IFERROR(__xludf.DUMMYFUNCTION("""COMPUTED_VALUE"""),"Uncle Sams Cider (5/13/2022)")</f>
        <v>Uncle Sams Cider (5/13/2022)</v>
      </c>
      <c r="H753" s="19"/>
    </row>
    <row r="754">
      <c r="A754" s="9"/>
      <c r="B754" s="15"/>
      <c r="C754" s="9">
        <f>IFERROR(__xludf.DUMMYFUNCTION("""COMPUTED_VALUE"""),44788.7641936111)</f>
        <v>44788.76419</v>
      </c>
      <c r="D754" s="15">
        <f>IFERROR(__xludf.DUMMYFUNCTION("""COMPUTED_VALUE"""),1.004)</f>
        <v>1.004</v>
      </c>
      <c r="E754" s="16">
        <f>IFERROR(__xludf.DUMMYFUNCTION("""COMPUTED_VALUE"""),67.0)</f>
        <v>67</v>
      </c>
      <c r="F754" s="19" t="str">
        <f>IFERROR(__xludf.DUMMYFUNCTION("""COMPUTED_VALUE"""),"BLACK")</f>
        <v>BLACK</v>
      </c>
      <c r="G754" s="20" t="str">
        <f>IFERROR(__xludf.DUMMYFUNCTION("""COMPUTED_VALUE"""),"Uncle Sams Cider (5/13/2022)")</f>
        <v>Uncle Sams Cider (5/13/2022)</v>
      </c>
      <c r="H754" s="19"/>
    </row>
    <row r="755">
      <c r="A755" s="9"/>
      <c r="B755" s="15"/>
      <c r="C755" s="9">
        <f>IFERROR(__xludf.DUMMYFUNCTION("""COMPUTED_VALUE"""),44788.7537720949)</f>
        <v>44788.75377</v>
      </c>
      <c r="D755" s="15">
        <f>IFERROR(__xludf.DUMMYFUNCTION("""COMPUTED_VALUE"""),1.004)</f>
        <v>1.004</v>
      </c>
      <c r="E755" s="16">
        <f>IFERROR(__xludf.DUMMYFUNCTION("""COMPUTED_VALUE"""),67.0)</f>
        <v>67</v>
      </c>
      <c r="F755" s="19" t="str">
        <f>IFERROR(__xludf.DUMMYFUNCTION("""COMPUTED_VALUE"""),"BLACK")</f>
        <v>BLACK</v>
      </c>
      <c r="G755" s="20" t="str">
        <f>IFERROR(__xludf.DUMMYFUNCTION("""COMPUTED_VALUE"""),"Uncle Sams Cider (5/13/2022)")</f>
        <v>Uncle Sams Cider (5/13/2022)</v>
      </c>
      <c r="H755" s="19"/>
    </row>
    <row r="756">
      <c r="A756" s="9"/>
      <c r="B756" s="15"/>
      <c r="C756" s="9">
        <f>IFERROR(__xludf.DUMMYFUNCTION("""COMPUTED_VALUE"""),44788.7433512384)</f>
        <v>44788.74335</v>
      </c>
      <c r="D756" s="15">
        <f>IFERROR(__xludf.DUMMYFUNCTION("""COMPUTED_VALUE"""),1.003)</f>
        <v>1.003</v>
      </c>
      <c r="E756" s="16">
        <f>IFERROR(__xludf.DUMMYFUNCTION("""COMPUTED_VALUE"""),67.0)</f>
        <v>67</v>
      </c>
      <c r="F756" s="19" t="str">
        <f>IFERROR(__xludf.DUMMYFUNCTION("""COMPUTED_VALUE"""),"BLACK")</f>
        <v>BLACK</v>
      </c>
      <c r="G756" s="20" t="str">
        <f>IFERROR(__xludf.DUMMYFUNCTION("""COMPUTED_VALUE"""),"Uncle Sams Cider (5/13/2022)")</f>
        <v>Uncle Sams Cider (5/13/2022)</v>
      </c>
      <c r="H756" s="19"/>
    </row>
    <row r="757">
      <c r="A757" s="9"/>
      <c r="B757" s="15"/>
      <c r="C757" s="9">
        <f>IFERROR(__xludf.DUMMYFUNCTION("""COMPUTED_VALUE"""),44788.7329306365)</f>
        <v>44788.73293</v>
      </c>
      <c r="D757" s="15">
        <f>IFERROR(__xludf.DUMMYFUNCTION("""COMPUTED_VALUE"""),1.004)</f>
        <v>1.004</v>
      </c>
      <c r="E757" s="16">
        <f>IFERROR(__xludf.DUMMYFUNCTION("""COMPUTED_VALUE"""),67.0)</f>
        <v>67</v>
      </c>
      <c r="F757" s="19" t="str">
        <f>IFERROR(__xludf.DUMMYFUNCTION("""COMPUTED_VALUE"""),"BLACK")</f>
        <v>BLACK</v>
      </c>
      <c r="G757" s="20" t="str">
        <f>IFERROR(__xludf.DUMMYFUNCTION("""COMPUTED_VALUE"""),"Uncle Sams Cider (5/13/2022)")</f>
        <v>Uncle Sams Cider (5/13/2022)</v>
      </c>
      <c r="H757" s="19"/>
    </row>
    <row r="758">
      <c r="A758" s="9"/>
      <c r="B758" s="15"/>
      <c r="C758" s="9">
        <f>IFERROR(__xludf.DUMMYFUNCTION("""COMPUTED_VALUE"""),44788.7225098842)</f>
        <v>44788.72251</v>
      </c>
      <c r="D758" s="15">
        <f>IFERROR(__xludf.DUMMYFUNCTION("""COMPUTED_VALUE"""),1.004)</f>
        <v>1.004</v>
      </c>
      <c r="E758" s="16">
        <f>IFERROR(__xludf.DUMMYFUNCTION("""COMPUTED_VALUE"""),67.0)</f>
        <v>67</v>
      </c>
      <c r="F758" s="19" t="str">
        <f>IFERROR(__xludf.DUMMYFUNCTION("""COMPUTED_VALUE"""),"BLACK")</f>
        <v>BLACK</v>
      </c>
      <c r="G758" s="20" t="str">
        <f>IFERROR(__xludf.DUMMYFUNCTION("""COMPUTED_VALUE"""),"Uncle Sams Cider (5/13/2022)")</f>
        <v>Uncle Sams Cider (5/13/2022)</v>
      </c>
      <c r="H758" s="19"/>
    </row>
    <row r="759">
      <c r="A759" s="9"/>
      <c r="B759" s="15"/>
      <c r="C759" s="9">
        <f>IFERROR(__xludf.DUMMYFUNCTION("""COMPUTED_VALUE"""),44788.7120881597)</f>
        <v>44788.71209</v>
      </c>
      <c r="D759" s="15">
        <f>IFERROR(__xludf.DUMMYFUNCTION("""COMPUTED_VALUE"""),1.004)</f>
        <v>1.004</v>
      </c>
      <c r="E759" s="16">
        <f>IFERROR(__xludf.DUMMYFUNCTION("""COMPUTED_VALUE"""),67.0)</f>
        <v>67</v>
      </c>
      <c r="F759" s="19" t="str">
        <f>IFERROR(__xludf.DUMMYFUNCTION("""COMPUTED_VALUE"""),"BLACK")</f>
        <v>BLACK</v>
      </c>
      <c r="G759" s="20" t="str">
        <f>IFERROR(__xludf.DUMMYFUNCTION("""COMPUTED_VALUE"""),"Uncle Sams Cider (5/13/2022)")</f>
        <v>Uncle Sams Cider (5/13/2022)</v>
      </c>
      <c r="H759" s="19"/>
    </row>
    <row r="760">
      <c r="A760" s="9"/>
      <c r="B760" s="15"/>
      <c r="C760" s="9">
        <f>IFERROR(__xludf.DUMMYFUNCTION("""COMPUTED_VALUE"""),44788.7016558449)</f>
        <v>44788.70166</v>
      </c>
      <c r="D760" s="15">
        <f>IFERROR(__xludf.DUMMYFUNCTION("""COMPUTED_VALUE"""),1.004)</f>
        <v>1.004</v>
      </c>
      <c r="E760" s="16">
        <f>IFERROR(__xludf.DUMMYFUNCTION("""COMPUTED_VALUE"""),67.0)</f>
        <v>67</v>
      </c>
      <c r="F760" s="19" t="str">
        <f>IFERROR(__xludf.DUMMYFUNCTION("""COMPUTED_VALUE"""),"BLACK")</f>
        <v>BLACK</v>
      </c>
      <c r="G760" s="20" t="str">
        <f>IFERROR(__xludf.DUMMYFUNCTION("""COMPUTED_VALUE"""),"Uncle Sams Cider (5/13/2022)")</f>
        <v>Uncle Sams Cider (5/13/2022)</v>
      </c>
      <c r="H760" s="19"/>
    </row>
    <row r="761">
      <c r="A761" s="9"/>
      <c r="B761" s="15"/>
      <c r="C761" s="9">
        <f>IFERROR(__xludf.DUMMYFUNCTION("""COMPUTED_VALUE"""),44788.6912244328)</f>
        <v>44788.69122</v>
      </c>
      <c r="D761" s="15">
        <f>IFERROR(__xludf.DUMMYFUNCTION("""COMPUTED_VALUE"""),1.004)</f>
        <v>1.004</v>
      </c>
      <c r="E761" s="16">
        <f>IFERROR(__xludf.DUMMYFUNCTION("""COMPUTED_VALUE"""),67.0)</f>
        <v>67</v>
      </c>
      <c r="F761" s="19" t="str">
        <f>IFERROR(__xludf.DUMMYFUNCTION("""COMPUTED_VALUE"""),"BLACK")</f>
        <v>BLACK</v>
      </c>
      <c r="G761" s="20" t="str">
        <f>IFERROR(__xludf.DUMMYFUNCTION("""COMPUTED_VALUE"""),"Uncle Sams Cider (5/13/2022)")</f>
        <v>Uncle Sams Cider (5/13/2022)</v>
      </c>
      <c r="H761" s="19"/>
    </row>
    <row r="762">
      <c r="A762" s="9"/>
      <c r="B762" s="15"/>
      <c r="C762" s="9">
        <f>IFERROR(__xludf.DUMMYFUNCTION("""COMPUTED_VALUE"""),44788.6808017592)</f>
        <v>44788.6808</v>
      </c>
      <c r="D762" s="15">
        <f>IFERROR(__xludf.DUMMYFUNCTION("""COMPUTED_VALUE"""),1.004)</f>
        <v>1.004</v>
      </c>
      <c r="E762" s="16">
        <f>IFERROR(__xludf.DUMMYFUNCTION("""COMPUTED_VALUE"""),67.0)</f>
        <v>67</v>
      </c>
      <c r="F762" s="19" t="str">
        <f>IFERROR(__xludf.DUMMYFUNCTION("""COMPUTED_VALUE"""),"BLACK")</f>
        <v>BLACK</v>
      </c>
      <c r="G762" s="20" t="str">
        <f>IFERROR(__xludf.DUMMYFUNCTION("""COMPUTED_VALUE"""),"Uncle Sams Cider (5/13/2022)")</f>
        <v>Uncle Sams Cider (5/13/2022)</v>
      </c>
      <c r="H762" s="19"/>
    </row>
    <row r="763">
      <c r="A763" s="9"/>
      <c r="B763" s="15"/>
      <c r="C763" s="9">
        <f>IFERROR(__xludf.DUMMYFUNCTION("""COMPUTED_VALUE"""),44788.6703800115)</f>
        <v>44788.67038</v>
      </c>
      <c r="D763" s="15">
        <f>IFERROR(__xludf.DUMMYFUNCTION("""COMPUTED_VALUE"""),1.004)</f>
        <v>1.004</v>
      </c>
      <c r="E763" s="16">
        <f>IFERROR(__xludf.DUMMYFUNCTION("""COMPUTED_VALUE"""),67.0)</f>
        <v>67</v>
      </c>
      <c r="F763" s="19" t="str">
        <f>IFERROR(__xludf.DUMMYFUNCTION("""COMPUTED_VALUE"""),"BLACK")</f>
        <v>BLACK</v>
      </c>
      <c r="G763" s="20" t="str">
        <f>IFERROR(__xludf.DUMMYFUNCTION("""COMPUTED_VALUE"""),"Uncle Sams Cider (5/13/2022)")</f>
        <v>Uncle Sams Cider (5/13/2022)</v>
      </c>
      <c r="H763" s="19"/>
    </row>
    <row r="764">
      <c r="A764" s="9"/>
      <c r="B764" s="15"/>
      <c r="C764" s="9">
        <f>IFERROR(__xludf.DUMMYFUNCTION("""COMPUTED_VALUE"""),44788.65995875)</f>
        <v>44788.65996</v>
      </c>
      <c r="D764" s="15">
        <f>IFERROR(__xludf.DUMMYFUNCTION("""COMPUTED_VALUE"""),1.004)</f>
        <v>1.004</v>
      </c>
      <c r="E764" s="16">
        <f>IFERROR(__xludf.DUMMYFUNCTION("""COMPUTED_VALUE"""),67.0)</f>
        <v>67</v>
      </c>
      <c r="F764" s="19" t="str">
        <f>IFERROR(__xludf.DUMMYFUNCTION("""COMPUTED_VALUE"""),"BLACK")</f>
        <v>BLACK</v>
      </c>
      <c r="G764" s="20" t="str">
        <f>IFERROR(__xludf.DUMMYFUNCTION("""COMPUTED_VALUE"""),"Uncle Sams Cider (5/13/2022)")</f>
        <v>Uncle Sams Cider (5/13/2022)</v>
      </c>
      <c r="H764" s="19"/>
    </row>
    <row r="765">
      <c r="A765" s="9"/>
      <c r="B765" s="15"/>
      <c r="C765" s="9">
        <f>IFERROR(__xludf.DUMMYFUNCTION("""COMPUTED_VALUE"""),44788.6495387847)</f>
        <v>44788.64954</v>
      </c>
      <c r="D765" s="15">
        <f>IFERROR(__xludf.DUMMYFUNCTION("""COMPUTED_VALUE"""),1.004)</f>
        <v>1.004</v>
      </c>
      <c r="E765" s="16">
        <f>IFERROR(__xludf.DUMMYFUNCTION("""COMPUTED_VALUE"""),67.0)</f>
        <v>67</v>
      </c>
      <c r="F765" s="19" t="str">
        <f>IFERROR(__xludf.DUMMYFUNCTION("""COMPUTED_VALUE"""),"BLACK")</f>
        <v>BLACK</v>
      </c>
      <c r="G765" s="20" t="str">
        <f>IFERROR(__xludf.DUMMYFUNCTION("""COMPUTED_VALUE"""),"Uncle Sams Cider (5/13/2022)")</f>
        <v>Uncle Sams Cider (5/13/2022)</v>
      </c>
      <c r="H765" s="19"/>
    </row>
    <row r="766">
      <c r="A766" s="9"/>
      <c r="B766" s="15"/>
      <c r="C766" s="9">
        <f>IFERROR(__xludf.DUMMYFUNCTION("""COMPUTED_VALUE"""),44788.6391195833)</f>
        <v>44788.63912</v>
      </c>
      <c r="D766" s="15">
        <f>IFERROR(__xludf.DUMMYFUNCTION("""COMPUTED_VALUE"""),1.004)</f>
        <v>1.004</v>
      </c>
      <c r="E766" s="16">
        <f>IFERROR(__xludf.DUMMYFUNCTION("""COMPUTED_VALUE"""),67.0)</f>
        <v>67</v>
      </c>
      <c r="F766" s="19" t="str">
        <f>IFERROR(__xludf.DUMMYFUNCTION("""COMPUTED_VALUE"""),"BLACK")</f>
        <v>BLACK</v>
      </c>
      <c r="G766" s="20" t="str">
        <f>IFERROR(__xludf.DUMMYFUNCTION("""COMPUTED_VALUE"""),"Uncle Sams Cider (5/13/2022)")</f>
        <v>Uncle Sams Cider (5/13/2022)</v>
      </c>
      <c r="H766" s="19"/>
    </row>
    <row r="767">
      <c r="A767" s="9"/>
      <c r="B767" s="15"/>
      <c r="C767" s="9">
        <f>IFERROR(__xludf.DUMMYFUNCTION("""COMPUTED_VALUE"""),44788.6286885532)</f>
        <v>44788.62869</v>
      </c>
      <c r="D767" s="15">
        <f>IFERROR(__xludf.DUMMYFUNCTION("""COMPUTED_VALUE"""),1.004)</f>
        <v>1.004</v>
      </c>
      <c r="E767" s="16">
        <f>IFERROR(__xludf.DUMMYFUNCTION("""COMPUTED_VALUE"""),67.0)</f>
        <v>67</v>
      </c>
      <c r="F767" s="19" t="str">
        <f>IFERROR(__xludf.DUMMYFUNCTION("""COMPUTED_VALUE"""),"BLACK")</f>
        <v>BLACK</v>
      </c>
      <c r="G767" s="20" t="str">
        <f>IFERROR(__xludf.DUMMYFUNCTION("""COMPUTED_VALUE"""),"Uncle Sams Cider (5/13/2022)")</f>
        <v>Uncle Sams Cider (5/13/2022)</v>
      </c>
      <c r="H767" s="19"/>
    </row>
    <row r="768">
      <c r="A768" s="9"/>
      <c r="B768" s="15"/>
      <c r="C768" s="9">
        <f>IFERROR(__xludf.DUMMYFUNCTION("""COMPUTED_VALUE"""),44788.6182676736)</f>
        <v>44788.61827</v>
      </c>
      <c r="D768" s="15">
        <f>IFERROR(__xludf.DUMMYFUNCTION("""COMPUTED_VALUE"""),1.004)</f>
        <v>1.004</v>
      </c>
      <c r="E768" s="16">
        <f>IFERROR(__xludf.DUMMYFUNCTION("""COMPUTED_VALUE"""),67.0)</f>
        <v>67</v>
      </c>
      <c r="F768" s="19" t="str">
        <f>IFERROR(__xludf.DUMMYFUNCTION("""COMPUTED_VALUE"""),"BLACK")</f>
        <v>BLACK</v>
      </c>
      <c r="G768" s="20" t="str">
        <f>IFERROR(__xludf.DUMMYFUNCTION("""COMPUTED_VALUE"""),"Uncle Sams Cider (5/13/2022)")</f>
        <v>Uncle Sams Cider (5/13/2022)</v>
      </c>
      <c r="H768" s="19"/>
    </row>
    <row r="769">
      <c r="A769" s="9"/>
      <c r="B769" s="15"/>
      <c r="C769" s="9">
        <f>IFERROR(__xludf.DUMMYFUNCTION("""COMPUTED_VALUE"""),44788.6078457638)</f>
        <v>44788.60785</v>
      </c>
      <c r="D769" s="15">
        <f>IFERROR(__xludf.DUMMYFUNCTION("""COMPUTED_VALUE"""),1.004)</f>
        <v>1.004</v>
      </c>
      <c r="E769" s="16">
        <f>IFERROR(__xludf.DUMMYFUNCTION("""COMPUTED_VALUE"""),67.0)</f>
        <v>67</v>
      </c>
      <c r="F769" s="19" t="str">
        <f>IFERROR(__xludf.DUMMYFUNCTION("""COMPUTED_VALUE"""),"BLACK")</f>
        <v>BLACK</v>
      </c>
      <c r="G769" s="20" t="str">
        <f>IFERROR(__xludf.DUMMYFUNCTION("""COMPUTED_VALUE"""),"Uncle Sams Cider (5/13/2022)")</f>
        <v>Uncle Sams Cider (5/13/2022)</v>
      </c>
      <c r="H769" s="19"/>
    </row>
    <row r="770">
      <c r="A770" s="9"/>
      <c r="B770" s="15"/>
      <c r="C770" s="9">
        <f>IFERROR(__xludf.DUMMYFUNCTION("""COMPUTED_VALUE"""),44788.5974002546)</f>
        <v>44788.5974</v>
      </c>
      <c r="D770" s="15">
        <f>IFERROR(__xludf.DUMMYFUNCTION("""COMPUTED_VALUE"""),1.004)</f>
        <v>1.004</v>
      </c>
      <c r="E770" s="16">
        <f>IFERROR(__xludf.DUMMYFUNCTION("""COMPUTED_VALUE"""),67.0)</f>
        <v>67</v>
      </c>
      <c r="F770" s="19" t="str">
        <f>IFERROR(__xludf.DUMMYFUNCTION("""COMPUTED_VALUE"""),"BLACK")</f>
        <v>BLACK</v>
      </c>
      <c r="G770" s="20" t="str">
        <f>IFERROR(__xludf.DUMMYFUNCTION("""COMPUTED_VALUE"""),"Uncle Sams Cider (5/13/2022)")</f>
        <v>Uncle Sams Cider (5/13/2022)</v>
      </c>
      <c r="H770" s="19"/>
    </row>
    <row r="771">
      <c r="A771" s="9"/>
      <c r="B771" s="15"/>
      <c r="C771" s="9">
        <f>IFERROR(__xludf.DUMMYFUNCTION("""COMPUTED_VALUE"""),44788.5869780439)</f>
        <v>44788.58698</v>
      </c>
      <c r="D771" s="15">
        <f>IFERROR(__xludf.DUMMYFUNCTION("""COMPUTED_VALUE"""),1.004)</f>
        <v>1.004</v>
      </c>
      <c r="E771" s="16">
        <f>IFERROR(__xludf.DUMMYFUNCTION("""COMPUTED_VALUE"""),67.0)</f>
        <v>67</v>
      </c>
      <c r="F771" s="19" t="str">
        <f>IFERROR(__xludf.DUMMYFUNCTION("""COMPUTED_VALUE"""),"BLACK")</f>
        <v>BLACK</v>
      </c>
      <c r="G771" s="20" t="str">
        <f>IFERROR(__xludf.DUMMYFUNCTION("""COMPUTED_VALUE"""),"Uncle Sams Cider (5/13/2022)")</f>
        <v>Uncle Sams Cider (5/13/2022)</v>
      </c>
      <c r="H771" s="19"/>
    </row>
    <row r="772">
      <c r="A772" s="9"/>
      <c r="B772" s="15"/>
      <c r="C772" s="9">
        <f>IFERROR(__xludf.DUMMYFUNCTION("""COMPUTED_VALUE"""),44788.5765566666)</f>
        <v>44788.57656</v>
      </c>
      <c r="D772" s="15">
        <f>IFERROR(__xludf.DUMMYFUNCTION("""COMPUTED_VALUE"""),1.004)</f>
        <v>1.004</v>
      </c>
      <c r="E772" s="16">
        <f>IFERROR(__xludf.DUMMYFUNCTION("""COMPUTED_VALUE"""),67.0)</f>
        <v>67</v>
      </c>
      <c r="F772" s="19" t="str">
        <f>IFERROR(__xludf.DUMMYFUNCTION("""COMPUTED_VALUE"""),"BLACK")</f>
        <v>BLACK</v>
      </c>
      <c r="G772" s="20" t="str">
        <f>IFERROR(__xludf.DUMMYFUNCTION("""COMPUTED_VALUE"""),"Uncle Sams Cider (5/13/2022)")</f>
        <v>Uncle Sams Cider (5/13/2022)</v>
      </c>
      <c r="H772" s="19"/>
    </row>
    <row r="773">
      <c r="A773" s="9"/>
      <c r="B773" s="15"/>
      <c r="C773" s="9">
        <f>IFERROR(__xludf.DUMMYFUNCTION("""COMPUTED_VALUE"""),44788.5661351736)</f>
        <v>44788.56614</v>
      </c>
      <c r="D773" s="15">
        <f>IFERROR(__xludf.DUMMYFUNCTION("""COMPUTED_VALUE"""),1.004)</f>
        <v>1.004</v>
      </c>
      <c r="E773" s="16">
        <f>IFERROR(__xludf.DUMMYFUNCTION("""COMPUTED_VALUE"""),67.0)</f>
        <v>67</v>
      </c>
      <c r="F773" s="19" t="str">
        <f>IFERROR(__xludf.DUMMYFUNCTION("""COMPUTED_VALUE"""),"BLACK")</f>
        <v>BLACK</v>
      </c>
      <c r="G773" s="20" t="str">
        <f>IFERROR(__xludf.DUMMYFUNCTION("""COMPUTED_VALUE"""),"Uncle Sams Cider (5/13/2022)")</f>
        <v>Uncle Sams Cider (5/13/2022)</v>
      </c>
      <c r="H773" s="19"/>
    </row>
    <row r="774">
      <c r="A774" s="9"/>
      <c r="B774" s="15"/>
      <c r="C774" s="9">
        <f>IFERROR(__xludf.DUMMYFUNCTION("""COMPUTED_VALUE"""),44788.5557124421)</f>
        <v>44788.55571</v>
      </c>
      <c r="D774" s="15">
        <f>IFERROR(__xludf.DUMMYFUNCTION("""COMPUTED_VALUE"""),1.004)</f>
        <v>1.004</v>
      </c>
      <c r="E774" s="16">
        <f>IFERROR(__xludf.DUMMYFUNCTION("""COMPUTED_VALUE"""),67.0)</f>
        <v>67</v>
      </c>
      <c r="F774" s="19" t="str">
        <f>IFERROR(__xludf.DUMMYFUNCTION("""COMPUTED_VALUE"""),"BLACK")</f>
        <v>BLACK</v>
      </c>
      <c r="G774" s="20" t="str">
        <f>IFERROR(__xludf.DUMMYFUNCTION("""COMPUTED_VALUE"""),"Uncle Sams Cider (5/13/2022)")</f>
        <v>Uncle Sams Cider (5/13/2022)</v>
      </c>
      <c r="H774" s="19"/>
    </row>
    <row r="775">
      <c r="A775" s="9"/>
      <c r="B775" s="15"/>
      <c r="C775" s="9">
        <f>IFERROR(__xludf.DUMMYFUNCTION("""COMPUTED_VALUE"""),44788.5452792129)</f>
        <v>44788.54528</v>
      </c>
      <c r="D775" s="15">
        <f>IFERROR(__xludf.DUMMYFUNCTION("""COMPUTED_VALUE"""),1.004)</f>
        <v>1.004</v>
      </c>
      <c r="E775" s="16">
        <f>IFERROR(__xludf.DUMMYFUNCTION("""COMPUTED_VALUE"""),67.0)</f>
        <v>67</v>
      </c>
      <c r="F775" s="19" t="str">
        <f>IFERROR(__xludf.DUMMYFUNCTION("""COMPUTED_VALUE"""),"BLACK")</f>
        <v>BLACK</v>
      </c>
      <c r="G775" s="20" t="str">
        <f>IFERROR(__xludf.DUMMYFUNCTION("""COMPUTED_VALUE"""),"Uncle Sams Cider (5/13/2022)")</f>
        <v>Uncle Sams Cider (5/13/2022)</v>
      </c>
      <c r="H775" s="19"/>
    </row>
    <row r="776">
      <c r="A776" s="9"/>
      <c r="B776" s="15"/>
      <c r="C776" s="9">
        <f>IFERROR(__xludf.DUMMYFUNCTION("""COMPUTED_VALUE"""),44788.534856493)</f>
        <v>44788.53486</v>
      </c>
      <c r="D776" s="15">
        <f>IFERROR(__xludf.DUMMYFUNCTION("""COMPUTED_VALUE"""),1.004)</f>
        <v>1.004</v>
      </c>
      <c r="E776" s="16">
        <f>IFERROR(__xludf.DUMMYFUNCTION("""COMPUTED_VALUE"""),67.0)</f>
        <v>67</v>
      </c>
      <c r="F776" s="19" t="str">
        <f>IFERROR(__xludf.DUMMYFUNCTION("""COMPUTED_VALUE"""),"BLACK")</f>
        <v>BLACK</v>
      </c>
      <c r="G776" s="20" t="str">
        <f>IFERROR(__xludf.DUMMYFUNCTION("""COMPUTED_VALUE"""),"Uncle Sams Cider (5/13/2022)")</f>
        <v>Uncle Sams Cider (5/13/2022)</v>
      </c>
      <c r="H776" s="19"/>
    </row>
    <row r="777">
      <c r="A777" s="9"/>
      <c r="B777" s="15"/>
      <c r="C777" s="9">
        <f>IFERROR(__xludf.DUMMYFUNCTION("""COMPUTED_VALUE"""),44788.5244131365)</f>
        <v>44788.52441</v>
      </c>
      <c r="D777" s="15">
        <f>IFERROR(__xludf.DUMMYFUNCTION("""COMPUTED_VALUE"""),1.004)</f>
        <v>1.004</v>
      </c>
      <c r="E777" s="16">
        <f>IFERROR(__xludf.DUMMYFUNCTION("""COMPUTED_VALUE"""),67.0)</f>
        <v>67</v>
      </c>
      <c r="F777" s="19" t="str">
        <f>IFERROR(__xludf.DUMMYFUNCTION("""COMPUTED_VALUE"""),"BLACK")</f>
        <v>BLACK</v>
      </c>
      <c r="G777" s="20" t="str">
        <f>IFERROR(__xludf.DUMMYFUNCTION("""COMPUTED_VALUE"""),"Uncle Sams Cider (5/13/2022)")</f>
        <v>Uncle Sams Cider (5/13/2022)</v>
      </c>
      <c r="H777" s="19"/>
    </row>
    <row r="778">
      <c r="A778" s="9"/>
      <c r="B778" s="15"/>
      <c r="C778" s="9">
        <f>IFERROR(__xludf.DUMMYFUNCTION("""COMPUTED_VALUE"""),44788.5139918171)</f>
        <v>44788.51399</v>
      </c>
      <c r="D778" s="15">
        <f>IFERROR(__xludf.DUMMYFUNCTION("""COMPUTED_VALUE"""),1.004)</f>
        <v>1.004</v>
      </c>
      <c r="E778" s="16">
        <f>IFERROR(__xludf.DUMMYFUNCTION("""COMPUTED_VALUE"""),67.0)</f>
        <v>67</v>
      </c>
      <c r="F778" s="19" t="str">
        <f>IFERROR(__xludf.DUMMYFUNCTION("""COMPUTED_VALUE"""),"BLACK")</f>
        <v>BLACK</v>
      </c>
      <c r="G778" s="20" t="str">
        <f>IFERROR(__xludf.DUMMYFUNCTION("""COMPUTED_VALUE"""),"Uncle Sams Cider (5/13/2022)")</f>
        <v>Uncle Sams Cider (5/13/2022)</v>
      </c>
      <c r="H778" s="19"/>
    </row>
    <row r="779">
      <c r="A779" s="9"/>
      <c r="B779" s="15"/>
      <c r="C779" s="9">
        <f>IFERROR(__xludf.DUMMYFUNCTION("""COMPUTED_VALUE"""),44788.5035706134)</f>
        <v>44788.50357</v>
      </c>
      <c r="D779" s="15">
        <f>IFERROR(__xludf.DUMMYFUNCTION("""COMPUTED_VALUE"""),1.004)</f>
        <v>1.004</v>
      </c>
      <c r="E779" s="16">
        <f>IFERROR(__xludf.DUMMYFUNCTION("""COMPUTED_VALUE"""),67.0)</f>
        <v>67</v>
      </c>
      <c r="F779" s="19" t="str">
        <f>IFERROR(__xludf.DUMMYFUNCTION("""COMPUTED_VALUE"""),"BLACK")</f>
        <v>BLACK</v>
      </c>
      <c r="G779" s="20" t="str">
        <f>IFERROR(__xludf.DUMMYFUNCTION("""COMPUTED_VALUE"""),"Uncle Sams Cider (5/13/2022)")</f>
        <v>Uncle Sams Cider (5/13/2022)</v>
      </c>
      <c r="H779" s="19"/>
    </row>
    <row r="780">
      <c r="A780" s="9"/>
      <c r="B780" s="15"/>
      <c r="C780" s="9">
        <f>IFERROR(__xludf.DUMMYFUNCTION("""COMPUTED_VALUE"""),44788.4931503587)</f>
        <v>44788.49315</v>
      </c>
      <c r="D780" s="15">
        <f>IFERROR(__xludf.DUMMYFUNCTION("""COMPUTED_VALUE"""),1.004)</f>
        <v>1.004</v>
      </c>
      <c r="E780" s="16">
        <f>IFERROR(__xludf.DUMMYFUNCTION("""COMPUTED_VALUE"""),67.0)</f>
        <v>67</v>
      </c>
      <c r="F780" s="19" t="str">
        <f>IFERROR(__xludf.DUMMYFUNCTION("""COMPUTED_VALUE"""),"BLACK")</f>
        <v>BLACK</v>
      </c>
      <c r="G780" s="20" t="str">
        <f>IFERROR(__xludf.DUMMYFUNCTION("""COMPUTED_VALUE"""),"Uncle Sams Cider (5/13/2022)")</f>
        <v>Uncle Sams Cider (5/13/2022)</v>
      </c>
      <c r="H780" s="19"/>
    </row>
    <row r="781">
      <c r="A781" s="9"/>
      <c r="B781" s="15"/>
      <c r="C781" s="9">
        <f>IFERROR(__xludf.DUMMYFUNCTION("""COMPUTED_VALUE"""),44788.4827283333)</f>
        <v>44788.48273</v>
      </c>
      <c r="D781" s="15">
        <f>IFERROR(__xludf.DUMMYFUNCTION("""COMPUTED_VALUE"""),1.004)</f>
        <v>1.004</v>
      </c>
      <c r="E781" s="16">
        <f>IFERROR(__xludf.DUMMYFUNCTION("""COMPUTED_VALUE"""),67.0)</f>
        <v>67</v>
      </c>
      <c r="F781" s="19" t="str">
        <f>IFERROR(__xludf.DUMMYFUNCTION("""COMPUTED_VALUE"""),"BLACK")</f>
        <v>BLACK</v>
      </c>
      <c r="G781" s="20" t="str">
        <f>IFERROR(__xludf.DUMMYFUNCTION("""COMPUTED_VALUE"""),"Uncle Sams Cider (5/13/2022)")</f>
        <v>Uncle Sams Cider (5/13/2022)</v>
      </c>
      <c r="H781" s="19"/>
    </row>
    <row r="782">
      <c r="A782" s="9"/>
      <c r="B782" s="15"/>
      <c r="C782" s="9">
        <f>IFERROR(__xludf.DUMMYFUNCTION("""COMPUTED_VALUE"""),44788.4722975694)</f>
        <v>44788.4723</v>
      </c>
      <c r="D782" s="15">
        <f>IFERROR(__xludf.DUMMYFUNCTION("""COMPUTED_VALUE"""),1.004)</f>
        <v>1.004</v>
      </c>
      <c r="E782" s="16">
        <f>IFERROR(__xludf.DUMMYFUNCTION("""COMPUTED_VALUE"""),67.0)</f>
        <v>67</v>
      </c>
      <c r="F782" s="19" t="str">
        <f>IFERROR(__xludf.DUMMYFUNCTION("""COMPUTED_VALUE"""),"BLACK")</f>
        <v>BLACK</v>
      </c>
      <c r="G782" s="20" t="str">
        <f>IFERROR(__xludf.DUMMYFUNCTION("""COMPUTED_VALUE"""),"Uncle Sams Cider (5/13/2022)")</f>
        <v>Uncle Sams Cider (5/13/2022)</v>
      </c>
      <c r="H782" s="19"/>
    </row>
    <row r="783">
      <c r="A783" s="9"/>
      <c r="B783" s="15"/>
      <c r="C783" s="9">
        <f>IFERROR(__xludf.DUMMYFUNCTION("""COMPUTED_VALUE"""),44788.4618753356)</f>
        <v>44788.46188</v>
      </c>
      <c r="D783" s="15">
        <f>IFERROR(__xludf.DUMMYFUNCTION("""COMPUTED_VALUE"""),1.004)</f>
        <v>1.004</v>
      </c>
      <c r="E783" s="16">
        <f>IFERROR(__xludf.DUMMYFUNCTION("""COMPUTED_VALUE"""),67.0)</f>
        <v>67</v>
      </c>
      <c r="F783" s="19" t="str">
        <f>IFERROR(__xludf.DUMMYFUNCTION("""COMPUTED_VALUE"""),"BLACK")</f>
        <v>BLACK</v>
      </c>
      <c r="G783" s="20" t="str">
        <f>IFERROR(__xludf.DUMMYFUNCTION("""COMPUTED_VALUE"""),"Uncle Sams Cider (5/13/2022)")</f>
        <v>Uncle Sams Cider (5/13/2022)</v>
      </c>
      <c r="H783" s="19"/>
    </row>
    <row r="784">
      <c r="A784" s="9"/>
      <c r="B784" s="15"/>
      <c r="C784" s="9">
        <f>IFERROR(__xludf.DUMMYFUNCTION("""COMPUTED_VALUE"""),44788.4514549652)</f>
        <v>44788.45145</v>
      </c>
      <c r="D784" s="15">
        <f>IFERROR(__xludf.DUMMYFUNCTION("""COMPUTED_VALUE"""),1.004)</f>
        <v>1.004</v>
      </c>
      <c r="E784" s="16">
        <f>IFERROR(__xludf.DUMMYFUNCTION("""COMPUTED_VALUE"""),67.0)</f>
        <v>67</v>
      </c>
      <c r="F784" s="19" t="str">
        <f>IFERROR(__xludf.DUMMYFUNCTION("""COMPUTED_VALUE"""),"BLACK")</f>
        <v>BLACK</v>
      </c>
      <c r="G784" s="20" t="str">
        <f>IFERROR(__xludf.DUMMYFUNCTION("""COMPUTED_VALUE"""),"Uncle Sams Cider (5/13/2022)")</f>
        <v>Uncle Sams Cider (5/13/2022)</v>
      </c>
      <c r="H784" s="19"/>
    </row>
    <row r="785">
      <c r="A785" s="9"/>
      <c r="B785" s="15"/>
      <c r="C785" s="9">
        <f>IFERROR(__xludf.DUMMYFUNCTION("""COMPUTED_VALUE"""),44788.44102375)</f>
        <v>44788.44102</v>
      </c>
      <c r="D785" s="15">
        <f>IFERROR(__xludf.DUMMYFUNCTION("""COMPUTED_VALUE"""),1.004)</f>
        <v>1.004</v>
      </c>
      <c r="E785" s="16">
        <f>IFERROR(__xludf.DUMMYFUNCTION("""COMPUTED_VALUE"""),67.0)</f>
        <v>67</v>
      </c>
      <c r="F785" s="19" t="str">
        <f>IFERROR(__xludf.DUMMYFUNCTION("""COMPUTED_VALUE"""),"BLACK")</f>
        <v>BLACK</v>
      </c>
      <c r="G785" s="20" t="str">
        <f>IFERROR(__xludf.DUMMYFUNCTION("""COMPUTED_VALUE"""),"Uncle Sams Cider (5/13/2022)")</f>
        <v>Uncle Sams Cider (5/13/2022)</v>
      </c>
      <c r="H785" s="19"/>
    </row>
    <row r="786">
      <c r="A786" s="9"/>
      <c r="B786" s="15"/>
      <c r="C786" s="9">
        <f>IFERROR(__xludf.DUMMYFUNCTION("""COMPUTED_VALUE"""),44788.4306026273)</f>
        <v>44788.4306</v>
      </c>
      <c r="D786" s="15">
        <f>IFERROR(__xludf.DUMMYFUNCTION("""COMPUTED_VALUE"""),1.004)</f>
        <v>1.004</v>
      </c>
      <c r="E786" s="16">
        <f>IFERROR(__xludf.DUMMYFUNCTION("""COMPUTED_VALUE"""),66.0)</f>
        <v>66</v>
      </c>
      <c r="F786" s="19" t="str">
        <f>IFERROR(__xludf.DUMMYFUNCTION("""COMPUTED_VALUE"""),"BLACK")</f>
        <v>BLACK</v>
      </c>
      <c r="G786" s="20" t="str">
        <f>IFERROR(__xludf.DUMMYFUNCTION("""COMPUTED_VALUE"""),"Uncle Sams Cider (5/13/2022)")</f>
        <v>Uncle Sams Cider (5/13/2022)</v>
      </c>
      <c r="H786" s="19"/>
    </row>
    <row r="787">
      <c r="A787" s="9"/>
      <c r="B787" s="15"/>
      <c r="C787" s="9">
        <f>IFERROR(__xludf.DUMMYFUNCTION("""COMPUTED_VALUE"""),44788.4201810648)</f>
        <v>44788.42018</v>
      </c>
      <c r="D787" s="15">
        <f>IFERROR(__xludf.DUMMYFUNCTION("""COMPUTED_VALUE"""),1.004)</f>
        <v>1.004</v>
      </c>
      <c r="E787" s="16">
        <f>IFERROR(__xludf.DUMMYFUNCTION("""COMPUTED_VALUE"""),66.0)</f>
        <v>66</v>
      </c>
      <c r="F787" s="19" t="str">
        <f>IFERROR(__xludf.DUMMYFUNCTION("""COMPUTED_VALUE"""),"BLACK")</f>
        <v>BLACK</v>
      </c>
      <c r="G787" s="20" t="str">
        <f>IFERROR(__xludf.DUMMYFUNCTION("""COMPUTED_VALUE"""),"Uncle Sams Cider (5/13/2022)")</f>
        <v>Uncle Sams Cider (5/13/2022)</v>
      </c>
      <c r="H787" s="19"/>
    </row>
    <row r="788">
      <c r="A788" s="9"/>
      <c r="B788" s="15"/>
      <c r="C788" s="9">
        <f>IFERROR(__xludf.DUMMYFUNCTION("""COMPUTED_VALUE"""),44788.4097581134)</f>
        <v>44788.40976</v>
      </c>
      <c r="D788" s="15">
        <f>IFERROR(__xludf.DUMMYFUNCTION("""COMPUTED_VALUE"""),1.004)</f>
        <v>1.004</v>
      </c>
      <c r="E788" s="16">
        <f>IFERROR(__xludf.DUMMYFUNCTION("""COMPUTED_VALUE"""),66.0)</f>
        <v>66</v>
      </c>
      <c r="F788" s="19" t="str">
        <f>IFERROR(__xludf.DUMMYFUNCTION("""COMPUTED_VALUE"""),"BLACK")</f>
        <v>BLACK</v>
      </c>
      <c r="G788" s="20" t="str">
        <f>IFERROR(__xludf.DUMMYFUNCTION("""COMPUTED_VALUE"""),"Uncle Sams Cider (5/13/2022)")</f>
        <v>Uncle Sams Cider (5/13/2022)</v>
      </c>
      <c r="H788" s="19"/>
    </row>
    <row r="789">
      <c r="A789" s="9"/>
      <c r="B789" s="15"/>
      <c r="C789" s="9">
        <f>IFERROR(__xludf.DUMMYFUNCTION("""COMPUTED_VALUE"""),44788.3993026157)</f>
        <v>44788.3993</v>
      </c>
      <c r="D789" s="15">
        <f>IFERROR(__xludf.DUMMYFUNCTION("""COMPUTED_VALUE"""),1.004)</f>
        <v>1.004</v>
      </c>
      <c r="E789" s="16">
        <f>IFERROR(__xludf.DUMMYFUNCTION("""COMPUTED_VALUE"""),66.0)</f>
        <v>66</v>
      </c>
      <c r="F789" s="19" t="str">
        <f>IFERROR(__xludf.DUMMYFUNCTION("""COMPUTED_VALUE"""),"BLACK")</f>
        <v>BLACK</v>
      </c>
      <c r="G789" s="20" t="str">
        <f>IFERROR(__xludf.DUMMYFUNCTION("""COMPUTED_VALUE"""),"Uncle Sams Cider (5/13/2022)")</f>
        <v>Uncle Sams Cider (5/13/2022)</v>
      </c>
      <c r="H789" s="19"/>
    </row>
    <row r="790">
      <c r="A790" s="9"/>
      <c r="B790" s="15"/>
      <c r="C790" s="9">
        <f>IFERROR(__xludf.DUMMYFUNCTION("""COMPUTED_VALUE"""),44788.3888820601)</f>
        <v>44788.38888</v>
      </c>
      <c r="D790" s="15">
        <f>IFERROR(__xludf.DUMMYFUNCTION("""COMPUTED_VALUE"""),1.004)</f>
        <v>1.004</v>
      </c>
      <c r="E790" s="16">
        <f>IFERROR(__xludf.DUMMYFUNCTION("""COMPUTED_VALUE"""),66.0)</f>
        <v>66</v>
      </c>
      <c r="F790" s="19" t="str">
        <f>IFERROR(__xludf.DUMMYFUNCTION("""COMPUTED_VALUE"""),"BLACK")</f>
        <v>BLACK</v>
      </c>
      <c r="G790" s="20" t="str">
        <f>IFERROR(__xludf.DUMMYFUNCTION("""COMPUTED_VALUE"""),"Uncle Sams Cider (5/13/2022)")</f>
        <v>Uncle Sams Cider (5/13/2022)</v>
      </c>
      <c r="H790" s="19"/>
    </row>
    <row r="791">
      <c r="A791" s="9"/>
      <c r="B791" s="15"/>
      <c r="C791" s="9">
        <f>IFERROR(__xludf.DUMMYFUNCTION("""COMPUTED_VALUE"""),44788.3784579861)</f>
        <v>44788.37846</v>
      </c>
      <c r="D791" s="15">
        <f>IFERROR(__xludf.DUMMYFUNCTION("""COMPUTED_VALUE"""),1.004)</f>
        <v>1.004</v>
      </c>
      <c r="E791" s="16">
        <f>IFERROR(__xludf.DUMMYFUNCTION("""COMPUTED_VALUE"""),66.0)</f>
        <v>66</v>
      </c>
      <c r="F791" s="19" t="str">
        <f>IFERROR(__xludf.DUMMYFUNCTION("""COMPUTED_VALUE"""),"BLACK")</f>
        <v>BLACK</v>
      </c>
      <c r="G791" s="20" t="str">
        <f>IFERROR(__xludf.DUMMYFUNCTION("""COMPUTED_VALUE"""),"Uncle Sams Cider (5/13/2022)")</f>
        <v>Uncle Sams Cider (5/13/2022)</v>
      </c>
      <c r="H791" s="19"/>
    </row>
    <row r="792">
      <c r="A792" s="9"/>
      <c r="B792" s="15"/>
      <c r="C792" s="9">
        <f>IFERROR(__xludf.DUMMYFUNCTION("""COMPUTED_VALUE"""),44788.3680370833)</f>
        <v>44788.36804</v>
      </c>
      <c r="D792" s="15">
        <f>IFERROR(__xludf.DUMMYFUNCTION("""COMPUTED_VALUE"""),1.004)</f>
        <v>1.004</v>
      </c>
      <c r="E792" s="16">
        <f>IFERROR(__xludf.DUMMYFUNCTION("""COMPUTED_VALUE"""),66.0)</f>
        <v>66</v>
      </c>
      <c r="F792" s="19" t="str">
        <f>IFERROR(__xludf.DUMMYFUNCTION("""COMPUTED_VALUE"""),"BLACK")</f>
        <v>BLACK</v>
      </c>
      <c r="G792" s="20" t="str">
        <f>IFERROR(__xludf.DUMMYFUNCTION("""COMPUTED_VALUE"""),"Uncle Sams Cider (5/13/2022)")</f>
        <v>Uncle Sams Cider (5/13/2022)</v>
      </c>
      <c r="H792" s="19"/>
    </row>
    <row r="793">
      <c r="A793" s="9"/>
      <c r="B793" s="15"/>
      <c r="C793" s="9">
        <f>IFERROR(__xludf.DUMMYFUNCTION("""COMPUTED_VALUE"""),44788.3576058333)</f>
        <v>44788.35761</v>
      </c>
      <c r="D793" s="15">
        <f>IFERROR(__xludf.DUMMYFUNCTION("""COMPUTED_VALUE"""),1.004)</f>
        <v>1.004</v>
      </c>
      <c r="E793" s="16">
        <f>IFERROR(__xludf.DUMMYFUNCTION("""COMPUTED_VALUE"""),66.0)</f>
        <v>66</v>
      </c>
      <c r="F793" s="19" t="str">
        <f>IFERROR(__xludf.DUMMYFUNCTION("""COMPUTED_VALUE"""),"BLACK")</f>
        <v>BLACK</v>
      </c>
      <c r="G793" s="20" t="str">
        <f>IFERROR(__xludf.DUMMYFUNCTION("""COMPUTED_VALUE"""),"Uncle Sams Cider (5/13/2022)")</f>
        <v>Uncle Sams Cider (5/13/2022)</v>
      </c>
      <c r="H793" s="19"/>
    </row>
    <row r="794">
      <c r="A794" s="9"/>
      <c r="B794" s="15"/>
      <c r="C794" s="9">
        <f>IFERROR(__xludf.DUMMYFUNCTION("""COMPUTED_VALUE"""),44788.3471836458)</f>
        <v>44788.34718</v>
      </c>
      <c r="D794" s="15">
        <f>IFERROR(__xludf.DUMMYFUNCTION("""COMPUTED_VALUE"""),1.004)</f>
        <v>1.004</v>
      </c>
      <c r="E794" s="16">
        <f>IFERROR(__xludf.DUMMYFUNCTION("""COMPUTED_VALUE"""),66.0)</f>
        <v>66</v>
      </c>
      <c r="F794" s="19" t="str">
        <f>IFERROR(__xludf.DUMMYFUNCTION("""COMPUTED_VALUE"""),"BLACK")</f>
        <v>BLACK</v>
      </c>
      <c r="G794" s="20" t="str">
        <f>IFERROR(__xludf.DUMMYFUNCTION("""COMPUTED_VALUE"""),"Uncle Sams Cider (5/13/2022)")</f>
        <v>Uncle Sams Cider (5/13/2022)</v>
      </c>
      <c r="H794" s="19"/>
    </row>
    <row r="795">
      <c r="A795" s="9"/>
      <c r="B795" s="15"/>
      <c r="C795" s="9">
        <f>IFERROR(__xludf.DUMMYFUNCTION("""COMPUTED_VALUE"""),44788.3367622222)</f>
        <v>44788.33676</v>
      </c>
      <c r="D795" s="15">
        <f>IFERROR(__xludf.DUMMYFUNCTION("""COMPUTED_VALUE"""),1.004)</f>
        <v>1.004</v>
      </c>
      <c r="E795" s="16">
        <f>IFERROR(__xludf.DUMMYFUNCTION("""COMPUTED_VALUE"""),66.0)</f>
        <v>66</v>
      </c>
      <c r="F795" s="19" t="str">
        <f>IFERROR(__xludf.DUMMYFUNCTION("""COMPUTED_VALUE"""),"BLACK")</f>
        <v>BLACK</v>
      </c>
      <c r="G795" s="20" t="str">
        <f>IFERROR(__xludf.DUMMYFUNCTION("""COMPUTED_VALUE"""),"Uncle Sams Cider (5/13/2022)")</f>
        <v>Uncle Sams Cider (5/13/2022)</v>
      </c>
      <c r="H795" s="19"/>
    </row>
    <row r="796">
      <c r="A796" s="9"/>
      <c r="B796" s="15"/>
      <c r="C796" s="9">
        <f>IFERROR(__xludf.DUMMYFUNCTION("""COMPUTED_VALUE"""),44788.3263423611)</f>
        <v>44788.32634</v>
      </c>
      <c r="D796" s="15">
        <f>IFERROR(__xludf.DUMMYFUNCTION("""COMPUTED_VALUE"""),1.004)</f>
        <v>1.004</v>
      </c>
      <c r="E796" s="16">
        <f>IFERROR(__xludf.DUMMYFUNCTION("""COMPUTED_VALUE"""),66.0)</f>
        <v>66</v>
      </c>
      <c r="F796" s="19" t="str">
        <f>IFERROR(__xludf.DUMMYFUNCTION("""COMPUTED_VALUE"""),"BLACK")</f>
        <v>BLACK</v>
      </c>
      <c r="G796" s="20" t="str">
        <f>IFERROR(__xludf.DUMMYFUNCTION("""COMPUTED_VALUE"""),"Uncle Sams Cider (5/13/2022)")</f>
        <v>Uncle Sams Cider (5/13/2022)</v>
      </c>
      <c r="H796" s="19"/>
    </row>
    <row r="797">
      <c r="A797" s="9"/>
      <c r="B797" s="15"/>
      <c r="C797" s="9">
        <f>IFERROR(__xludf.DUMMYFUNCTION("""COMPUTED_VALUE"""),44788.3159208449)</f>
        <v>44788.31592</v>
      </c>
      <c r="D797" s="15">
        <f>IFERROR(__xludf.DUMMYFUNCTION("""COMPUTED_VALUE"""),1.004)</f>
        <v>1.004</v>
      </c>
      <c r="E797" s="16">
        <f>IFERROR(__xludf.DUMMYFUNCTION("""COMPUTED_VALUE"""),66.0)</f>
        <v>66</v>
      </c>
      <c r="F797" s="19" t="str">
        <f>IFERROR(__xludf.DUMMYFUNCTION("""COMPUTED_VALUE"""),"BLACK")</f>
        <v>BLACK</v>
      </c>
      <c r="G797" s="20" t="str">
        <f>IFERROR(__xludf.DUMMYFUNCTION("""COMPUTED_VALUE"""),"Uncle Sams Cider (5/13/2022)")</f>
        <v>Uncle Sams Cider (5/13/2022)</v>
      </c>
      <c r="H797" s="19"/>
    </row>
    <row r="798">
      <c r="A798" s="9"/>
      <c r="B798" s="15"/>
      <c r="C798" s="9">
        <f>IFERROR(__xludf.DUMMYFUNCTION("""COMPUTED_VALUE"""),44788.3054754282)</f>
        <v>44788.30548</v>
      </c>
      <c r="D798" s="15">
        <f>IFERROR(__xludf.DUMMYFUNCTION("""COMPUTED_VALUE"""),1.004)</f>
        <v>1.004</v>
      </c>
      <c r="E798" s="16">
        <f>IFERROR(__xludf.DUMMYFUNCTION("""COMPUTED_VALUE"""),66.0)</f>
        <v>66</v>
      </c>
      <c r="F798" s="19" t="str">
        <f>IFERROR(__xludf.DUMMYFUNCTION("""COMPUTED_VALUE"""),"BLACK")</f>
        <v>BLACK</v>
      </c>
      <c r="G798" s="20" t="str">
        <f>IFERROR(__xludf.DUMMYFUNCTION("""COMPUTED_VALUE"""),"Uncle Sams Cider (5/13/2022)")</f>
        <v>Uncle Sams Cider (5/13/2022)</v>
      </c>
      <c r="H798" s="19"/>
    </row>
    <row r="799">
      <c r="A799" s="9"/>
      <c r="B799" s="15"/>
      <c r="C799" s="9">
        <f>IFERROR(__xludf.DUMMYFUNCTION("""COMPUTED_VALUE"""),44788.2950421527)</f>
        <v>44788.29504</v>
      </c>
      <c r="D799" s="15">
        <f>IFERROR(__xludf.DUMMYFUNCTION("""COMPUTED_VALUE"""),1.004)</f>
        <v>1.004</v>
      </c>
      <c r="E799" s="16">
        <f>IFERROR(__xludf.DUMMYFUNCTION("""COMPUTED_VALUE"""),66.0)</f>
        <v>66</v>
      </c>
      <c r="F799" s="19" t="str">
        <f>IFERROR(__xludf.DUMMYFUNCTION("""COMPUTED_VALUE"""),"BLACK")</f>
        <v>BLACK</v>
      </c>
      <c r="G799" s="20" t="str">
        <f>IFERROR(__xludf.DUMMYFUNCTION("""COMPUTED_VALUE"""),"Uncle Sams Cider (5/13/2022)")</f>
        <v>Uncle Sams Cider (5/13/2022)</v>
      </c>
      <c r="H799" s="19"/>
    </row>
    <row r="800">
      <c r="A800" s="9"/>
      <c r="B800" s="15"/>
      <c r="C800" s="9">
        <f>IFERROR(__xludf.DUMMYFUNCTION("""COMPUTED_VALUE"""),44788.2846198611)</f>
        <v>44788.28462</v>
      </c>
      <c r="D800" s="15">
        <f>IFERROR(__xludf.DUMMYFUNCTION("""COMPUTED_VALUE"""),1.004)</f>
        <v>1.004</v>
      </c>
      <c r="E800" s="16">
        <f>IFERROR(__xludf.DUMMYFUNCTION("""COMPUTED_VALUE"""),66.0)</f>
        <v>66</v>
      </c>
      <c r="F800" s="19" t="str">
        <f>IFERROR(__xludf.DUMMYFUNCTION("""COMPUTED_VALUE"""),"BLACK")</f>
        <v>BLACK</v>
      </c>
      <c r="G800" s="20" t="str">
        <f>IFERROR(__xludf.DUMMYFUNCTION("""COMPUTED_VALUE"""),"Uncle Sams Cider (5/13/2022)")</f>
        <v>Uncle Sams Cider (5/13/2022)</v>
      </c>
      <c r="H800" s="19"/>
    </row>
    <row r="801">
      <c r="A801" s="9"/>
      <c r="B801" s="15"/>
      <c r="C801" s="9">
        <f>IFERROR(__xludf.DUMMYFUNCTION("""COMPUTED_VALUE"""),44788.2741871875)</f>
        <v>44788.27419</v>
      </c>
      <c r="D801" s="15">
        <f>IFERROR(__xludf.DUMMYFUNCTION("""COMPUTED_VALUE"""),1.004)</f>
        <v>1.004</v>
      </c>
      <c r="E801" s="16">
        <f>IFERROR(__xludf.DUMMYFUNCTION("""COMPUTED_VALUE"""),66.0)</f>
        <v>66</v>
      </c>
      <c r="F801" s="19" t="str">
        <f>IFERROR(__xludf.DUMMYFUNCTION("""COMPUTED_VALUE"""),"BLACK")</f>
        <v>BLACK</v>
      </c>
      <c r="G801" s="20" t="str">
        <f>IFERROR(__xludf.DUMMYFUNCTION("""COMPUTED_VALUE"""),"Uncle Sams Cider (5/13/2022)")</f>
        <v>Uncle Sams Cider (5/13/2022)</v>
      </c>
      <c r="H801" s="19"/>
    </row>
    <row r="802">
      <c r="A802" s="9"/>
      <c r="B802" s="15"/>
      <c r="C802" s="9">
        <f>IFERROR(__xludf.DUMMYFUNCTION("""COMPUTED_VALUE"""),44788.2637665277)</f>
        <v>44788.26377</v>
      </c>
      <c r="D802" s="15">
        <f>IFERROR(__xludf.DUMMYFUNCTION("""COMPUTED_VALUE"""),1.004)</f>
        <v>1.004</v>
      </c>
      <c r="E802" s="16">
        <f>IFERROR(__xludf.DUMMYFUNCTION("""COMPUTED_VALUE"""),66.0)</f>
        <v>66</v>
      </c>
      <c r="F802" s="19" t="str">
        <f>IFERROR(__xludf.DUMMYFUNCTION("""COMPUTED_VALUE"""),"BLACK")</f>
        <v>BLACK</v>
      </c>
      <c r="G802" s="20" t="str">
        <f>IFERROR(__xludf.DUMMYFUNCTION("""COMPUTED_VALUE"""),"Uncle Sams Cider (5/13/2022)")</f>
        <v>Uncle Sams Cider (5/13/2022)</v>
      </c>
      <c r="H802" s="19"/>
    </row>
    <row r="803">
      <c r="A803" s="9"/>
      <c r="B803" s="15"/>
      <c r="C803" s="9">
        <f>IFERROR(__xludf.DUMMYFUNCTION("""COMPUTED_VALUE"""),44788.2533452546)</f>
        <v>44788.25335</v>
      </c>
      <c r="D803" s="15">
        <f>IFERROR(__xludf.DUMMYFUNCTION("""COMPUTED_VALUE"""),1.004)</f>
        <v>1.004</v>
      </c>
      <c r="E803" s="16">
        <f>IFERROR(__xludf.DUMMYFUNCTION("""COMPUTED_VALUE"""),66.0)</f>
        <v>66</v>
      </c>
      <c r="F803" s="19" t="str">
        <f>IFERROR(__xludf.DUMMYFUNCTION("""COMPUTED_VALUE"""),"BLACK")</f>
        <v>BLACK</v>
      </c>
      <c r="G803" s="20" t="str">
        <f>IFERROR(__xludf.DUMMYFUNCTION("""COMPUTED_VALUE"""),"Uncle Sams Cider (5/13/2022)")</f>
        <v>Uncle Sams Cider (5/13/2022)</v>
      </c>
      <c r="H803" s="19"/>
    </row>
    <row r="804">
      <c r="A804" s="9"/>
      <c r="B804" s="15"/>
      <c r="C804" s="9">
        <f>IFERROR(__xludf.DUMMYFUNCTION("""COMPUTED_VALUE"""),44788.2429242361)</f>
        <v>44788.24292</v>
      </c>
      <c r="D804" s="15">
        <f>IFERROR(__xludf.DUMMYFUNCTION("""COMPUTED_VALUE"""),1.004)</f>
        <v>1.004</v>
      </c>
      <c r="E804" s="16">
        <f>IFERROR(__xludf.DUMMYFUNCTION("""COMPUTED_VALUE"""),66.0)</f>
        <v>66</v>
      </c>
      <c r="F804" s="19" t="str">
        <f>IFERROR(__xludf.DUMMYFUNCTION("""COMPUTED_VALUE"""),"BLACK")</f>
        <v>BLACK</v>
      </c>
      <c r="G804" s="20" t="str">
        <f>IFERROR(__xludf.DUMMYFUNCTION("""COMPUTED_VALUE"""),"Uncle Sams Cider (5/13/2022)")</f>
        <v>Uncle Sams Cider (5/13/2022)</v>
      </c>
      <c r="H804" s="19"/>
    </row>
    <row r="805">
      <c r="A805" s="9"/>
      <c r="B805" s="15"/>
      <c r="C805" s="9">
        <f>IFERROR(__xludf.DUMMYFUNCTION("""COMPUTED_VALUE"""),44788.2324916088)</f>
        <v>44788.23249</v>
      </c>
      <c r="D805" s="15">
        <f>IFERROR(__xludf.DUMMYFUNCTION("""COMPUTED_VALUE"""),1.004)</f>
        <v>1.004</v>
      </c>
      <c r="E805" s="16">
        <f>IFERROR(__xludf.DUMMYFUNCTION("""COMPUTED_VALUE"""),66.0)</f>
        <v>66</v>
      </c>
      <c r="F805" s="19" t="str">
        <f>IFERROR(__xludf.DUMMYFUNCTION("""COMPUTED_VALUE"""),"BLACK")</f>
        <v>BLACK</v>
      </c>
      <c r="G805" s="20" t="str">
        <f>IFERROR(__xludf.DUMMYFUNCTION("""COMPUTED_VALUE"""),"Uncle Sams Cider (5/13/2022)")</f>
        <v>Uncle Sams Cider (5/13/2022)</v>
      </c>
      <c r="H805" s="19"/>
    </row>
    <row r="806">
      <c r="A806" s="9"/>
      <c r="B806" s="15"/>
      <c r="C806" s="9">
        <f>IFERROR(__xludf.DUMMYFUNCTION("""COMPUTED_VALUE"""),44788.2220694791)</f>
        <v>44788.22207</v>
      </c>
      <c r="D806" s="15">
        <f>IFERROR(__xludf.DUMMYFUNCTION("""COMPUTED_VALUE"""),1.004)</f>
        <v>1.004</v>
      </c>
      <c r="E806" s="16">
        <f>IFERROR(__xludf.DUMMYFUNCTION("""COMPUTED_VALUE"""),66.0)</f>
        <v>66</v>
      </c>
      <c r="F806" s="19" t="str">
        <f>IFERROR(__xludf.DUMMYFUNCTION("""COMPUTED_VALUE"""),"BLACK")</f>
        <v>BLACK</v>
      </c>
      <c r="G806" s="20" t="str">
        <f>IFERROR(__xludf.DUMMYFUNCTION("""COMPUTED_VALUE"""),"Uncle Sams Cider (5/13/2022)")</f>
        <v>Uncle Sams Cider (5/13/2022)</v>
      </c>
      <c r="H806" s="19"/>
    </row>
    <row r="807">
      <c r="A807" s="9"/>
      <c r="B807" s="15"/>
      <c r="C807" s="9">
        <f>IFERROR(__xludf.DUMMYFUNCTION("""COMPUTED_VALUE"""),44788.2116478009)</f>
        <v>44788.21165</v>
      </c>
      <c r="D807" s="15">
        <f>IFERROR(__xludf.DUMMYFUNCTION("""COMPUTED_VALUE"""),1.004)</f>
        <v>1.004</v>
      </c>
      <c r="E807" s="16">
        <f>IFERROR(__xludf.DUMMYFUNCTION("""COMPUTED_VALUE"""),66.0)</f>
        <v>66</v>
      </c>
      <c r="F807" s="19" t="str">
        <f>IFERROR(__xludf.DUMMYFUNCTION("""COMPUTED_VALUE"""),"BLACK")</f>
        <v>BLACK</v>
      </c>
      <c r="G807" s="20" t="str">
        <f>IFERROR(__xludf.DUMMYFUNCTION("""COMPUTED_VALUE"""),"Uncle Sams Cider (5/13/2022)")</f>
        <v>Uncle Sams Cider (5/13/2022)</v>
      </c>
      <c r="H807" s="19"/>
    </row>
    <row r="808">
      <c r="A808" s="9"/>
      <c r="B808" s="15"/>
      <c r="C808" s="9">
        <f>IFERROR(__xludf.DUMMYFUNCTION("""COMPUTED_VALUE"""),44788.2012140509)</f>
        <v>44788.20121</v>
      </c>
      <c r="D808" s="15">
        <f>IFERROR(__xludf.DUMMYFUNCTION("""COMPUTED_VALUE"""),1.004)</f>
        <v>1.004</v>
      </c>
      <c r="E808" s="16">
        <f>IFERROR(__xludf.DUMMYFUNCTION("""COMPUTED_VALUE"""),66.0)</f>
        <v>66</v>
      </c>
      <c r="F808" s="19" t="str">
        <f>IFERROR(__xludf.DUMMYFUNCTION("""COMPUTED_VALUE"""),"BLACK")</f>
        <v>BLACK</v>
      </c>
      <c r="G808" s="20" t="str">
        <f>IFERROR(__xludf.DUMMYFUNCTION("""COMPUTED_VALUE"""),"Uncle Sams Cider (5/13/2022)")</f>
        <v>Uncle Sams Cider (5/13/2022)</v>
      </c>
      <c r="H808" s="19"/>
    </row>
    <row r="809">
      <c r="A809" s="9"/>
      <c r="B809" s="15"/>
      <c r="C809" s="9">
        <f>IFERROR(__xludf.DUMMYFUNCTION("""COMPUTED_VALUE"""),44788.1907938888)</f>
        <v>44788.19079</v>
      </c>
      <c r="D809" s="15">
        <f>IFERROR(__xludf.DUMMYFUNCTION("""COMPUTED_VALUE"""),1.004)</f>
        <v>1.004</v>
      </c>
      <c r="E809" s="16">
        <f>IFERROR(__xludf.DUMMYFUNCTION("""COMPUTED_VALUE"""),66.0)</f>
        <v>66</v>
      </c>
      <c r="F809" s="19" t="str">
        <f>IFERROR(__xludf.DUMMYFUNCTION("""COMPUTED_VALUE"""),"BLACK")</f>
        <v>BLACK</v>
      </c>
      <c r="G809" s="20" t="str">
        <f>IFERROR(__xludf.DUMMYFUNCTION("""COMPUTED_VALUE"""),"Uncle Sams Cider (5/13/2022)")</f>
        <v>Uncle Sams Cider (5/13/2022)</v>
      </c>
      <c r="H809" s="19"/>
    </row>
    <row r="810">
      <c r="A810" s="9"/>
      <c r="B810" s="15"/>
      <c r="C810" s="9">
        <f>IFERROR(__xludf.DUMMYFUNCTION("""COMPUTED_VALUE"""),44788.1803737152)</f>
        <v>44788.18037</v>
      </c>
      <c r="D810" s="15">
        <f>IFERROR(__xludf.DUMMYFUNCTION("""COMPUTED_VALUE"""),1.004)</f>
        <v>1.004</v>
      </c>
      <c r="E810" s="16">
        <f>IFERROR(__xludf.DUMMYFUNCTION("""COMPUTED_VALUE"""),66.0)</f>
        <v>66</v>
      </c>
      <c r="F810" s="19" t="str">
        <f>IFERROR(__xludf.DUMMYFUNCTION("""COMPUTED_VALUE"""),"BLACK")</f>
        <v>BLACK</v>
      </c>
      <c r="G810" s="20" t="str">
        <f>IFERROR(__xludf.DUMMYFUNCTION("""COMPUTED_VALUE"""),"Uncle Sams Cider (5/13/2022)")</f>
        <v>Uncle Sams Cider (5/13/2022)</v>
      </c>
      <c r="H810" s="19"/>
    </row>
    <row r="811">
      <c r="A811" s="9"/>
      <c r="B811" s="15"/>
      <c r="C811" s="9">
        <f>IFERROR(__xludf.DUMMYFUNCTION("""COMPUTED_VALUE"""),44788.1699515972)</f>
        <v>44788.16995</v>
      </c>
      <c r="D811" s="15">
        <f>IFERROR(__xludf.DUMMYFUNCTION("""COMPUTED_VALUE"""),1.004)</f>
        <v>1.004</v>
      </c>
      <c r="E811" s="16">
        <f>IFERROR(__xludf.DUMMYFUNCTION("""COMPUTED_VALUE"""),66.0)</f>
        <v>66</v>
      </c>
      <c r="F811" s="19" t="str">
        <f>IFERROR(__xludf.DUMMYFUNCTION("""COMPUTED_VALUE"""),"BLACK")</f>
        <v>BLACK</v>
      </c>
      <c r="G811" s="20" t="str">
        <f>IFERROR(__xludf.DUMMYFUNCTION("""COMPUTED_VALUE"""),"Uncle Sams Cider (5/13/2022)")</f>
        <v>Uncle Sams Cider (5/13/2022)</v>
      </c>
      <c r="H811" s="19"/>
    </row>
    <row r="812">
      <c r="A812" s="9"/>
      <c r="B812" s="15"/>
      <c r="C812" s="9">
        <f>IFERROR(__xludf.DUMMYFUNCTION("""COMPUTED_VALUE"""),44788.1595309375)</f>
        <v>44788.15953</v>
      </c>
      <c r="D812" s="15">
        <f>IFERROR(__xludf.DUMMYFUNCTION("""COMPUTED_VALUE"""),1.003)</f>
        <v>1.003</v>
      </c>
      <c r="E812" s="16">
        <f>IFERROR(__xludf.DUMMYFUNCTION("""COMPUTED_VALUE"""),66.0)</f>
        <v>66</v>
      </c>
      <c r="F812" s="19" t="str">
        <f>IFERROR(__xludf.DUMMYFUNCTION("""COMPUTED_VALUE"""),"BLACK")</f>
        <v>BLACK</v>
      </c>
      <c r="G812" s="20" t="str">
        <f>IFERROR(__xludf.DUMMYFUNCTION("""COMPUTED_VALUE"""),"Uncle Sams Cider (5/13/2022)")</f>
        <v>Uncle Sams Cider (5/13/2022)</v>
      </c>
      <c r="H812" s="19"/>
    </row>
    <row r="813">
      <c r="A813" s="9"/>
      <c r="B813" s="15"/>
      <c r="C813" s="9">
        <f>IFERROR(__xludf.DUMMYFUNCTION("""COMPUTED_VALUE"""),44788.14911125)</f>
        <v>44788.14911</v>
      </c>
      <c r="D813" s="15">
        <f>IFERROR(__xludf.DUMMYFUNCTION("""COMPUTED_VALUE"""),1.003)</f>
        <v>1.003</v>
      </c>
      <c r="E813" s="16">
        <f>IFERROR(__xludf.DUMMYFUNCTION("""COMPUTED_VALUE"""),66.0)</f>
        <v>66</v>
      </c>
      <c r="F813" s="19" t="str">
        <f>IFERROR(__xludf.DUMMYFUNCTION("""COMPUTED_VALUE"""),"BLACK")</f>
        <v>BLACK</v>
      </c>
      <c r="G813" s="20" t="str">
        <f>IFERROR(__xludf.DUMMYFUNCTION("""COMPUTED_VALUE"""),"Uncle Sams Cider (5/13/2022)")</f>
        <v>Uncle Sams Cider (5/13/2022)</v>
      </c>
      <c r="H813" s="19"/>
    </row>
    <row r="814">
      <c r="A814" s="9"/>
      <c r="B814" s="15"/>
      <c r="C814" s="9">
        <f>IFERROR(__xludf.DUMMYFUNCTION("""COMPUTED_VALUE"""),44788.1386891435)</f>
        <v>44788.13869</v>
      </c>
      <c r="D814" s="15">
        <f>IFERROR(__xludf.DUMMYFUNCTION("""COMPUTED_VALUE"""),1.004)</f>
        <v>1.004</v>
      </c>
      <c r="E814" s="16">
        <f>IFERROR(__xludf.DUMMYFUNCTION("""COMPUTED_VALUE"""),66.0)</f>
        <v>66</v>
      </c>
      <c r="F814" s="19" t="str">
        <f>IFERROR(__xludf.DUMMYFUNCTION("""COMPUTED_VALUE"""),"BLACK")</f>
        <v>BLACK</v>
      </c>
      <c r="G814" s="20" t="str">
        <f>IFERROR(__xludf.DUMMYFUNCTION("""COMPUTED_VALUE"""),"Uncle Sams Cider (5/13/2022)")</f>
        <v>Uncle Sams Cider (5/13/2022)</v>
      </c>
      <c r="H814" s="19"/>
    </row>
    <row r="815">
      <c r="A815" s="9"/>
      <c r="B815" s="15"/>
      <c r="C815" s="9">
        <f>IFERROR(__xludf.DUMMYFUNCTION("""COMPUTED_VALUE"""),44788.1282679745)</f>
        <v>44788.12827</v>
      </c>
      <c r="D815" s="15">
        <f>IFERROR(__xludf.DUMMYFUNCTION("""COMPUTED_VALUE"""),1.004)</f>
        <v>1.004</v>
      </c>
      <c r="E815" s="16">
        <f>IFERROR(__xludf.DUMMYFUNCTION("""COMPUTED_VALUE"""),66.0)</f>
        <v>66</v>
      </c>
      <c r="F815" s="19" t="str">
        <f>IFERROR(__xludf.DUMMYFUNCTION("""COMPUTED_VALUE"""),"BLACK")</f>
        <v>BLACK</v>
      </c>
      <c r="G815" s="20" t="str">
        <f>IFERROR(__xludf.DUMMYFUNCTION("""COMPUTED_VALUE"""),"Uncle Sams Cider (5/13/2022)")</f>
        <v>Uncle Sams Cider (5/13/2022)</v>
      </c>
      <c r="H815" s="19"/>
    </row>
    <row r="816">
      <c r="A816" s="9"/>
      <c r="B816" s="15"/>
      <c r="C816" s="9">
        <f>IFERROR(__xludf.DUMMYFUNCTION("""COMPUTED_VALUE"""),44788.1178352083)</f>
        <v>44788.11784</v>
      </c>
      <c r="D816" s="15">
        <f>IFERROR(__xludf.DUMMYFUNCTION("""COMPUTED_VALUE"""),1.004)</f>
        <v>1.004</v>
      </c>
      <c r="E816" s="16">
        <f>IFERROR(__xludf.DUMMYFUNCTION("""COMPUTED_VALUE"""),66.0)</f>
        <v>66</v>
      </c>
      <c r="F816" s="19" t="str">
        <f>IFERROR(__xludf.DUMMYFUNCTION("""COMPUTED_VALUE"""),"BLACK")</f>
        <v>BLACK</v>
      </c>
      <c r="G816" s="20" t="str">
        <f>IFERROR(__xludf.DUMMYFUNCTION("""COMPUTED_VALUE"""),"Uncle Sams Cider (5/13/2022)")</f>
        <v>Uncle Sams Cider (5/13/2022)</v>
      </c>
      <c r="H816" s="19"/>
    </row>
    <row r="817">
      <c r="A817" s="9"/>
      <c r="B817" s="15"/>
      <c r="C817" s="9">
        <f>IFERROR(__xludf.DUMMYFUNCTION("""COMPUTED_VALUE"""),44788.1074147916)</f>
        <v>44788.10741</v>
      </c>
      <c r="D817" s="15">
        <f>IFERROR(__xludf.DUMMYFUNCTION("""COMPUTED_VALUE"""),1.004)</f>
        <v>1.004</v>
      </c>
      <c r="E817" s="16">
        <f>IFERROR(__xludf.DUMMYFUNCTION("""COMPUTED_VALUE"""),66.0)</f>
        <v>66</v>
      </c>
      <c r="F817" s="19" t="str">
        <f>IFERROR(__xludf.DUMMYFUNCTION("""COMPUTED_VALUE"""),"BLACK")</f>
        <v>BLACK</v>
      </c>
      <c r="G817" s="20" t="str">
        <f>IFERROR(__xludf.DUMMYFUNCTION("""COMPUTED_VALUE"""),"Uncle Sams Cider (5/13/2022)")</f>
        <v>Uncle Sams Cider (5/13/2022)</v>
      </c>
      <c r="H817" s="19"/>
    </row>
    <row r="818">
      <c r="A818" s="9"/>
      <c r="B818" s="15"/>
      <c r="C818" s="9">
        <f>IFERROR(__xludf.DUMMYFUNCTION("""COMPUTED_VALUE"""),44788.0969811574)</f>
        <v>44788.09698</v>
      </c>
      <c r="D818" s="15">
        <f>IFERROR(__xludf.DUMMYFUNCTION("""COMPUTED_VALUE"""),1.003)</f>
        <v>1.003</v>
      </c>
      <c r="E818" s="16">
        <f>IFERROR(__xludf.DUMMYFUNCTION("""COMPUTED_VALUE"""),66.0)</f>
        <v>66</v>
      </c>
      <c r="F818" s="19" t="str">
        <f>IFERROR(__xludf.DUMMYFUNCTION("""COMPUTED_VALUE"""),"BLACK")</f>
        <v>BLACK</v>
      </c>
      <c r="G818" s="20" t="str">
        <f>IFERROR(__xludf.DUMMYFUNCTION("""COMPUTED_VALUE"""),"Uncle Sams Cider (5/13/2022)")</f>
        <v>Uncle Sams Cider (5/13/2022)</v>
      </c>
      <c r="H818" s="19"/>
    </row>
    <row r="819">
      <c r="A819" s="9"/>
      <c r="B819" s="15"/>
      <c r="C819" s="9">
        <f>IFERROR(__xludf.DUMMYFUNCTION("""COMPUTED_VALUE"""),44788.0865498379)</f>
        <v>44788.08655</v>
      </c>
      <c r="D819" s="15">
        <f>IFERROR(__xludf.DUMMYFUNCTION("""COMPUTED_VALUE"""),1.003)</f>
        <v>1.003</v>
      </c>
      <c r="E819" s="16">
        <f>IFERROR(__xludf.DUMMYFUNCTION("""COMPUTED_VALUE"""),67.0)</f>
        <v>67</v>
      </c>
      <c r="F819" s="19" t="str">
        <f>IFERROR(__xludf.DUMMYFUNCTION("""COMPUTED_VALUE"""),"BLACK")</f>
        <v>BLACK</v>
      </c>
      <c r="G819" s="20" t="str">
        <f>IFERROR(__xludf.DUMMYFUNCTION("""COMPUTED_VALUE"""),"Uncle Sams Cider (5/13/2022)")</f>
        <v>Uncle Sams Cider (5/13/2022)</v>
      </c>
      <c r="H819" s="19"/>
    </row>
    <row r="820">
      <c r="A820" s="9"/>
      <c r="B820" s="15"/>
      <c r="C820" s="9">
        <f>IFERROR(__xludf.DUMMYFUNCTION("""COMPUTED_VALUE"""),44788.0761045717)</f>
        <v>44788.0761</v>
      </c>
      <c r="D820" s="15">
        <f>IFERROR(__xludf.DUMMYFUNCTION("""COMPUTED_VALUE"""),1.003)</f>
        <v>1.003</v>
      </c>
      <c r="E820" s="16">
        <f>IFERROR(__xludf.DUMMYFUNCTION("""COMPUTED_VALUE"""),67.0)</f>
        <v>67</v>
      </c>
      <c r="F820" s="19" t="str">
        <f>IFERROR(__xludf.DUMMYFUNCTION("""COMPUTED_VALUE"""),"BLACK")</f>
        <v>BLACK</v>
      </c>
      <c r="G820" s="20" t="str">
        <f>IFERROR(__xludf.DUMMYFUNCTION("""COMPUTED_VALUE"""),"Uncle Sams Cider (5/13/2022)")</f>
        <v>Uncle Sams Cider (5/13/2022)</v>
      </c>
      <c r="H820" s="19"/>
    </row>
    <row r="821">
      <c r="A821" s="9"/>
      <c r="B821" s="15"/>
      <c r="C821" s="9">
        <f>IFERROR(__xludf.DUMMYFUNCTION("""COMPUTED_VALUE"""),44788.0656822916)</f>
        <v>44788.06568</v>
      </c>
      <c r="D821" s="15">
        <f>IFERROR(__xludf.DUMMYFUNCTION("""COMPUTED_VALUE"""),1.003)</f>
        <v>1.003</v>
      </c>
      <c r="E821" s="16">
        <f>IFERROR(__xludf.DUMMYFUNCTION("""COMPUTED_VALUE"""),68.0)</f>
        <v>68</v>
      </c>
      <c r="F821" s="19" t="str">
        <f>IFERROR(__xludf.DUMMYFUNCTION("""COMPUTED_VALUE"""),"BLACK")</f>
        <v>BLACK</v>
      </c>
      <c r="G821" s="20" t="str">
        <f>IFERROR(__xludf.DUMMYFUNCTION("""COMPUTED_VALUE"""),"Uncle Sams Cider (5/13/2022)")</f>
        <v>Uncle Sams Cider (5/13/2022)</v>
      </c>
      <c r="H821" s="19"/>
    </row>
    <row r="822">
      <c r="A822" s="9"/>
      <c r="B822" s="15"/>
      <c r="C822" s="9">
        <f>IFERROR(__xludf.DUMMYFUNCTION("""COMPUTED_VALUE"""),44788.0552601736)</f>
        <v>44788.05526</v>
      </c>
      <c r="D822" s="15">
        <f>IFERROR(__xludf.DUMMYFUNCTION("""COMPUTED_VALUE"""),1.004)</f>
        <v>1.004</v>
      </c>
      <c r="E822" s="16">
        <f>IFERROR(__xludf.DUMMYFUNCTION("""COMPUTED_VALUE"""),69.0)</f>
        <v>69</v>
      </c>
      <c r="F822" s="19" t="str">
        <f>IFERROR(__xludf.DUMMYFUNCTION("""COMPUTED_VALUE"""),"BLACK")</f>
        <v>BLACK</v>
      </c>
      <c r="G822" s="20" t="str">
        <f>IFERROR(__xludf.DUMMYFUNCTION("""COMPUTED_VALUE"""),"Uncle Sams Cider (5/13/2022)")</f>
        <v>Uncle Sams Cider (5/13/2022)</v>
      </c>
      <c r="H822" s="19"/>
    </row>
    <row r="823">
      <c r="A823" s="9"/>
      <c r="B823" s="15"/>
      <c r="C823" s="9">
        <f>IFERROR(__xludf.DUMMYFUNCTION("""COMPUTED_VALUE"""),44788.0448278935)</f>
        <v>44788.04483</v>
      </c>
      <c r="D823" s="15">
        <f>IFERROR(__xludf.DUMMYFUNCTION("""COMPUTED_VALUE"""),1.004)</f>
        <v>1.004</v>
      </c>
      <c r="E823" s="16">
        <f>IFERROR(__xludf.DUMMYFUNCTION("""COMPUTED_VALUE"""),70.0)</f>
        <v>70</v>
      </c>
      <c r="F823" s="19" t="str">
        <f>IFERROR(__xludf.DUMMYFUNCTION("""COMPUTED_VALUE"""),"BLACK")</f>
        <v>BLACK</v>
      </c>
      <c r="G823" s="20" t="str">
        <f>IFERROR(__xludf.DUMMYFUNCTION("""COMPUTED_VALUE"""),"Uncle Sams Cider (5/13/2022)")</f>
        <v>Uncle Sams Cider (5/13/2022)</v>
      </c>
      <c r="H823" s="19"/>
    </row>
    <row r="824">
      <c r="A824" s="9"/>
      <c r="B824" s="15"/>
      <c r="C824" s="9">
        <f>IFERROR(__xludf.DUMMYFUNCTION("""COMPUTED_VALUE"""),44788.0343937731)</f>
        <v>44788.03439</v>
      </c>
      <c r="D824" s="15">
        <f>IFERROR(__xludf.DUMMYFUNCTION("""COMPUTED_VALUE"""),1.003)</f>
        <v>1.003</v>
      </c>
      <c r="E824" s="16">
        <f>IFERROR(__xludf.DUMMYFUNCTION("""COMPUTED_VALUE"""),70.0)</f>
        <v>70</v>
      </c>
      <c r="F824" s="19" t="str">
        <f>IFERROR(__xludf.DUMMYFUNCTION("""COMPUTED_VALUE"""),"BLACK")</f>
        <v>BLACK</v>
      </c>
      <c r="G824" s="20" t="str">
        <f>IFERROR(__xludf.DUMMYFUNCTION("""COMPUTED_VALUE"""),"Uncle Sams Cider (5/13/2022)")</f>
        <v>Uncle Sams Cider (5/13/2022)</v>
      </c>
      <c r="H824" s="19"/>
    </row>
    <row r="825">
      <c r="A825" s="9"/>
      <c r="B825" s="15"/>
      <c r="C825" s="9">
        <f>IFERROR(__xludf.DUMMYFUNCTION("""COMPUTED_VALUE"""),44788.0239720949)</f>
        <v>44788.02397</v>
      </c>
      <c r="D825" s="15">
        <f>IFERROR(__xludf.DUMMYFUNCTION("""COMPUTED_VALUE"""),1.004)</f>
        <v>1.004</v>
      </c>
      <c r="E825" s="16">
        <f>IFERROR(__xludf.DUMMYFUNCTION("""COMPUTED_VALUE"""),70.0)</f>
        <v>70</v>
      </c>
      <c r="F825" s="19" t="str">
        <f>IFERROR(__xludf.DUMMYFUNCTION("""COMPUTED_VALUE"""),"BLACK")</f>
        <v>BLACK</v>
      </c>
      <c r="G825" s="20" t="str">
        <f>IFERROR(__xludf.DUMMYFUNCTION("""COMPUTED_VALUE"""),"Uncle Sams Cider (5/13/2022)")</f>
        <v>Uncle Sams Cider (5/13/2022)</v>
      </c>
      <c r="H825" s="19"/>
    </row>
    <row r="826">
      <c r="A826" s="9"/>
      <c r="B826" s="15"/>
      <c r="C826" s="9">
        <f>IFERROR(__xludf.DUMMYFUNCTION("""COMPUTED_VALUE"""),44788.0135516666)</f>
        <v>44788.01355</v>
      </c>
      <c r="D826" s="15">
        <f>IFERROR(__xludf.DUMMYFUNCTION("""COMPUTED_VALUE"""),1.004)</f>
        <v>1.004</v>
      </c>
      <c r="E826" s="16">
        <f>IFERROR(__xludf.DUMMYFUNCTION("""COMPUTED_VALUE"""),70.0)</f>
        <v>70</v>
      </c>
      <c r="F826" s="19" t="str">
        <f>IFERROR(__xludf.DUMMYFUNCTION("""COMPUTED_VALUE"""),"BLACK")</f>
        <v>BLACK</v>
      </c>
      <c r="G826" s="20" t="str">
        <f>IFERROR(__xludf.DUMMYFUNCTION("""COMPUTED_VALUE"""),"Uncle Sams Cider (5/13/2022)")</f>
        <v>Uncle Sams Cider (5/13/2022)</v>
      </c>
      <c r="H826" s="19"/>
    </row>
    <row r="827">
      <c r="A827" s="9"/>
      <c r="B827" s="15"/>
      <c r="C827" s="9">
        <f>IFERROR(__xludf.DUMMYFUNCTION("""COMPUTED_VALUE"""),44788.0031308912)</f>
        <v>44788.00313</v>
      </c>
      <c r="D827" s="15">
        <f>IFERROR(__xludf.DUMMYFUNCTION("""COMPUTED_VALUE"""),1.003)</f>
        <v>1.003</v>
      </c>
      <c r="E827" s="16">
        <f>IFERROR(__xludf.DUMMYFUNCTION("""COMPUTED_VALUE"""),70.0)</f>
        <v>70</v>
      </c>
      <c r="F827" s="19" t="str">
        <f>IFERROR(__xludf.DUMMYFUNCTION("""COMPUTED_VALUE"""),"BLACK")</f>
        <v>BLACK</v>
      </c>
      <c r="G827" s="20" t="str">
        <f>IFERROR(__xludf.DUMMYFUNCTION("""COMPUTED_VALUE"""),"Uncle Sams Cider (5/13/2022)")</f>
        <v>Uncle Sams Cider (5/13/2022)</v>
      </c>
      <c r="H827" s="19"/>
    </row>
    <row r="828">
      <c r="A828" s="9"/>
      <c r="B828" s="15"/>
      <c r="C828" s="9">
        <f>IFERROR(__xludf.DUMMYFUNCTION("""COMPUTED_VALUE"""),44787.9927101967)</f>
        <v>44787.99271</v>
      </c>
      <c r="D828" s="15">
        <f>IFERROR(__xludf.DUMMYFUNCTION("""COMPUTED_VALUE"""),1.004)</f>
        <v>1.004</v>
      </c>
      <c r="E828" s="16">
        <f>IFERROR(__xludf.DUMMYFUNCTION("""COMPUTED_VALUE"""),70.0)</f>
        <v>70</v>
      </c>
      <c r="F828" s="19" t="str">
        <f>IFERROR(__xludf.DUMMYFUNCTION("""COMPUTED_VALUE"""),"BLACK")</f>
        <v>BLACK</v>
      </c>
      <c r="G828" s="20" t="str">
        <f>IFERROR(__xludf.DUMMYFUNCTION("""COMPUTED_VALUE"""),"Uncle Sams Cider (5/13/2022)")</f>
        <v>Uncle Sams Cider (5/13/2022)</v>
      </c>
      <c r="H828" s="19"/>
    </row>
    <row r="829">
      <c r="A829" s="9"/>
      <c r="B829" s="15"/>
      <c r="C829" s="9">
        <f>IFERROR(__xludf.DUMMYFUNCTION("""COMPUTED_VALUE"""),44787.9822888888)</f>
        <v>44787.98229</v>
      </c>
      <c r="D829" s="15">
        <f>IFERROR(__xludf.DUMMYFUNCTION("""COMPUTED_VALUE"""),1.004)</f>
        <v>1.004</v>
      </c>
      <c r="E829" s="16">
        <f>IFERROR(__xludf.DUMMYFUNCTION("""COMPUTED_VALUE"""),70.0)</f>
        <v>70</v>
      </c>
      <c r="F829" s="19" t="str">
        <f>IFERROR(__xludf.DUMMYFUNCTION("""COMPUTED_VALUE"""),"BLACK")</f>
        <v>BLACK</v>
      </c>
      <c r="G829" s="20" t="str">
        <f>IFERROR(__xludf.DUMMYFUNCTION("""COMPUTED_VALUE"""),"Uncle Sams Cider (5/13/2022)")</f>
        <v>Uncle Sams Cider (5/13/2022)</v>
      </c>
      <c r="H829" s="19"/>
    </row>
    <row r="830">
      <c r="A830" s="9"/>
      <c r="B830" s="15"/>
      <c r="C830" s="9">
        <f>IFERROR(__xludf.DUMMYFUNCTION("""COMPUTED_VALUE"""),44787.9718670601)</f>
        <v>44787.97187</v>
      </c>
      <c r="D830" s="15">
        <f>IFERROR(__xludf.DUMMYFUNCTION("""COMPUTED_VALUE"""),1.004)</f>
        <v>1.004</v>
      </c>
      <c r="E830" s="16">
        <f>IFERROR(__xludf.DUMMYFUNCTION("""COMPUTED_VALUE"""),70.0)</f>
        <v>70</v>
      </c>
      <c r="F830" s="19" t="str">
        <f>IFERROR(__xludf.DUMMYFUNCTION("""COMPUTED_VALUE"""),"BLACK")</f>
        <v>BLACK</v>
      </c>
      <c r="G830" s="20" t="str">
        <f>IFERROR(__xludf.DUMMYFUNCTION("""COMPUTED_VALUE"""),"Uncle Sams Cider (5/13/2022)")</f>
        <v>Uncle Sams Cider (5/13/2022)</v>
      </c>
      <c r="H830" s="19"/>
    </row>
    <row r="831">
      <c r="A831" s="9"/>
      <c r="B831" s="15"/>
      <c r="C831" s="9">
        <f>IFERROR(__xludf.DUMMYFUNCTION("""COMPUTED_VALUE"""),44787.9614470833)</f>
        <v>44787.96145</v>
      </c>
      <c r="D831" s="15">
        <f>IFERROR(__xludf.DUMMYFUNCTION("""COMPUTED_VALUE"""),1.004)</f>
        <v>1.004</v>
      </c>
      <c r="E831" s="16">
        <f>IFERROR(__xludf.DUMMYFUNCTION("""COMPUTED_VALUE"""),70.0)</f>
        <v>70</v>
      </c>
      <c r="F831" s="19" t="str">
        <f>IFERROR(__xludf.DUMMYFUNCTION("""COMPUTED_VALUE"""),"BLACK")</f>
        <v>BLACK</v>
      </c>
      <c r="G831" s="20" t="str">
        <f>IFERROR(__xludf.DUMMYFUNCTION("""COMPUTED_VALUE"""),"Uncle Sams Cider (5/13/2022)")</f>
        <v>Uncle Sams Cider (5/13/2022)</v>
      </c>
      <c r="H831" s="19"/>
    </row>
    <row r="832">
      <c r="A832" s="9"/>
      <c r="B832" s="15"/>
      <c r="C832" s="9">
        <f>IFERROR(__xludf.DUMMYFUNCTION("""COMPUTED_VALUE"""),44787.9510271412)</f>
        <v>44787.95103</v>
      </c>
      <c r="D832" s="15">
        <f>IFERROR(__xludf.DUMMYFUNCTION("""COMPUTED_VALUE"""),1.003)</f>
        <v>1.003</v>
      </c>
      <c r="E832" s="16">
        <f>IFERROR(__xludf.DUMMYFUNCTION("""COMPUTED_VALUE"""),70.0)</f>
        <v>70</v>
      </c>
      <c r="F832" s="19" t="str">
        <f>IFERROR(__xludf.DUMMYFUNCTION("""COMPUTED_VALUE"""),"BLACK")</f>
        <v>BLACK</v>
      </c>
      <c r="G832" s="20" t="str">
        <f>IFERROR(__xludf.DUMMYFUNCTION("""COMPUTED_VALUE"""),"Uncle Sams Cider (5/13/2022)")</f>
        <v>Uncle Sams Cider (5/13/2022)</v>
      </c>
      <c r="H832" s="19"/>
    </row>
    <row r="833">
      <c r="A833" s="9"/>
      <c r="B833" s="15"/>
      <c r="C833" s="9">
        <f>IFERROR(__xludf.DUMMYFUNCTION("""COMPUTED_VALUE"""),44787.9406076967)</f>
        <v>44787.94061</v>
      </c>
      <c r="D833" s="15">
        <f>IFERROR(__xludf.DUMMYFUNCTION("""COMPUTED_VALUE"""),1.003)</f>
        <v>1.003</v>
      </c>
      <c r="E833" s="16">
        <f>IFERROR(__xludf.DUMMYFUNCTION("""COMPUTED_VALUE"""),70.0)</f>
        <v>70</v>
      </c>
      <c r="F833" s="19" t="str">
        <f>IFERROR(__xludf.DUMMYFUNCTION("""COMPUTED_VALUE"""),"BLACK")</f>
        <v>BLACK</v>
      </c>
      <c r="G833" s="20" t="str">
        <f>IFERROR(__xludf.DUMMYFUNCTION("""COMPUTED_VALUE"""),"Uncle Sams Cider (5/13/2022)")</f>
        <v>Uncle Sams Cider (5/13/2022)</v>
      </c>
      <c r="H833" s="19"/>
    </row>
    <row r="834">
      <c r="A834" s="9"/>
      <c r="B834" s="15"/>
      <c r="C834" s="9">
        <f>IFERROR(__xludf.DUMMYFUNCTION("""COMPUTED_VALUE"""),44787.9301853356)</f>
        <v>44787.93019</v>
      </c>
      <c r="D834" s="15">
        <f>IFERROR(__xludf.DUMMYFUNCTION("""COMPUTED_VALUE"""),1.004)</f>
        <v>1.004</v>
      </c>
      <c r="E834" s="16">
        <f>IFERROR(__xludf.DUMMYFUNCTION("""COMPUTED_VALUE"""),70.0)</f>
        <v>70</v>
      </c>
      <c r="F834" s="19" t="str">
        <f>IFERROR(__xludf.DUMMYFUNCTION("""COMPUTED_VALUE"""),"BLACK")</f>
        <v>BLACK</v>
      </c>
      <c r="G834" s="20" t="str">
        <f>IFERROR(__xludf.DUMMYFUNCTION("""COMPUTED_VALUE"""),"Uncle Sams Cider (5/13/2022)")</f>
        <v>Uncle Sams Cider (5/13/2022)</v>
      </c>
      <c r="H834" s="19"/>
    </row>
    <row r="835">
      <c r="A835" s="9"/>
      <c r="B835" s="15"/>
      <c r="C835" s="9">
        <f>IFERROR(__xludf.DUMMYFUNCTION("""COMPUTED_VALUE"""),44787.9197650926)</f>
        <v>44787.91977</v>
      </c>
      <c r="D835" s="15">
        <f>IFERROR(__xludf.DUMMYFUNCTION("""COMPUTED_VALUE"""),1.004)</f>
        <v>1.004</v>
      </c>
      <c r="E835" s="16">
        <f>IFERROR(__xludf.DUMMYFUNCTION("""COMPUTED_VALUE"""),70.0)</f>
        <v>70</v>
      </c>
      <c r="F835" s="19" t="str">
        <f>IFERROR(__xludf.DUMMYFUNCTION("""COMPUTED_VALUE"""),"BLACK")</f>
        <v>BLACK</v>
      </c>
      <c r="G835" s="20" t="str">
        <f>IFERROR(__xludf.DUMMYFUNCTION("""COMPUTED_VALUE"""),"Uncle Sams Cider (5/13/2022)")</f>
        <v>Uncle Sams Cider (5/13/2022)</v>
      </c>
      <c r="H835" s="19"/>
    </row>
    <row r="836">
      <c r="A836" s="9"/>
      <c r="B836" s="15"/>
      <c r="C836" s="9">
        <f>IFERROR(__xludf.DUMMYFUNCTION("""COMPUTED_VALUE"""),44787.9093441898)</f>
        <v>44787.90934</v>
      </c>
      <c r="D836" s="15">
        <f>IFERROR(__xludf.DUMMYFUNCTION("""COMPUTED_VALUE"""),1.004)</f>
        <v>1.004</v>
      </c>
      <c r="E836" s="16">
        <f>IFERROR(__xludf.DUMMYFUNCTION("""COMPUTED_VALUE"""),70.0)</f>
        <v>70</v>
      </c>
      <c r="F836" s="19" t="str">
        <f>IFERROR(__xludf.DUMMYFUNCTION("""COMPUTED_VALUE"""),"BLACK")</f>
        <v>BLACK</v>
      </c>
      <c r="G836" s="20" t="str">
        <f>IFERROR(__xludf.DUMMYFUNCTION("""COMPUTED_VALUE"""),"Uncle Sams Cider (5/13/2022)")</f>
        <v>Uncle Sams Cider (5/13/2022)</v>
      </c>
      <c r="H836" s="19"/>
    </row>
    <row r="837">
      <c r="A837" s="9"/>
      <c r="B837" s="15"/>
      <c r="C837" s="9">
        <f>IFERROR(__xludf.DUMMYFUNCTION("""COMPUTED_VALUE"""),44787.8989211342)</f>
        <v>44787.89892</v>
      </c>
      <c r="D837" s="15">
        <f>IFERROR(__xludf.DUMMYFUNCTION("""COMPUTED_VALUE"""),1.004)</f>
        <v>1.004</v>
      </c>
      <c r="E837" s="16">
        <f>IFERROR(__xludf.DUMMYFUNCTION("""COMPUTED_VALUE"""),70.0)</f>
        <v>70</v>
      </c>
      <c r="F837" s="19" t="str">
        <f>IFERROR(__xludf.DUMMYFUNCTION("""COMPUTED_VALUE"""),"BLACK")</f>
        <v>BLACK</v>
      </c>
      <c r="G837" s="20" t="str">
        <f>IFERROR(__xludf.DUMMYFUNCTION("""COMPUTED_VALUE"""),"Uncle Sams Cider (5/13/2022)")</f>
        <v>Uncle Sams Cider (5/13/2022)</v>
      </c>
      <c r="H837" s="19"/>
    </row>
    <row r="838">
      <c r="A838" s="9"/>
      <c r="B838" s="15"/>
      <c r="C838" s="9">
        <f>IFERROR(__xludf.DUMMYFUNCTION("""COMPUTED_VALUE"""),44787.8884771874)</f>
        <v>44787.88848</v>
      </c>
      <c r="D838" s="15">
        <f>IFERROR(__xludf.DUMMYFUNCTION("""COMPUTED_VALUE"""),1.004)</f>
        <v>1.004</v>
      </c>
      <c r="E838" s="16">
        <f>IFERROR(__xludf.DUMMYFUNCTION("""COMPUTED_VALUE"""),70.0)</f>
        <v>70</v>
      </c>
      <c r="F838" s="19" t="str">
        <f>IFERROR(__xludf.DUMMYFUNCTION("""COMPUTED_VALUE"""),"BLACK")</f>
        <v>BLACK</v>
      </c>
      <c r="G838" s="20" t="str">
        <f>IFERROR(__xludf.DUMMYFUNCTION("""COMPUTED_VALUE"""),"Uncle Sams Cider (5/13/2022)")</f>
        <v>Uncle Sams Cider (5/13/2022)</v>
      </c>
      <c r="H838" s="19"/>
    </row>
    <row r="839">
      <c r="A839" s="9"/>
      <c r="B839" s="15"/>
      <c r="C839" s="9">
        <f>IFERROR(__xludf.DUMMYFUNCTION("""COMPUTED_VALUE"""),44787.8780558449)</f>
        <v>44787.87806</v>
      </c>
      <c r="D839" s="15">
        <f>IFERROR(__xludf.DUMMYFUNCTION("""COMPUTED_VALUE"""),1.004)</f>
        <v>1.004</v>
      </c>
      <c r="E839" s="16">
        <f>IFERROR(__xludf.DUMMYFUNCTION("""COMPUTED_VALUE"""),70.0)</f>
        <v>70</v>
      </c>
      <c r="F839" s="19" t="str">
        <f>IFERROR(__xludf.DUMMYFUNCTION("""COMPUTED_VALUE"""),"BLACK")</f>
        <v>BLACK</v>
      </c>
      <c r="G839" s="20" t="str">
        <f>IFERROR(__xludf.DUMMYFUNCTION("""COMPUTED_VALUE"""),"Uncle Sams Cider (5/13/2022)")</f>
        <v>Uncle Sams Cider (5/13/2022)</v>
      </c>
      <c r="H839" s="19"/>
    </row>
    <row r="840">
      <c r="A840" s="9"/>
      <c r="B840" s="15"/>
      <c r="C840" s="9">
        <f>IFERROR(__xludf.DUMMYFUNCTION("""COMPUTED_VALUE"""),44787.8676348611)</f>
        <v>44787.86763</v>
      </c>
      <c r="D840" s="15">
        <f>IFERROR(__xludf.DUMMYFUNCTION("""COMPUTED_VALUE"""),1.004)</f>
        <v>1.004</v>
      </c>
      <c r="E840" s="16">
        <f>IFERROR(__xludf.DUMMYFUNCTION("""COMPUTED_VALUE"""),70.0)</f>
        <v>70</v>
      </c>
      <c r="F840" s="19" t="str">
        <f>IFERROR(__xludf.DUMMYFUNCTION("""COMPUTED_VALUE"""),"BLACK")</f>
        <v>BLACK</v>
      </c>
      <c r="G840" s="20" t="str">
        <f>IFERROR(__xludf.DUMMYFUNCTION("""COMPUTED_VALUE"""),"Uncle Sams Cider (5/13/2022)")</f>
        <v>Uncle Sams Cider (5/13/2022)</v>
      </c>
      <c r="H840" s="19"/>
    </row>
    <row r="841">
      <c r="A841" s="9"/>
      <c r="B841" s="15"/>
      <c r="C841" s="9">
        <f>IFERROR(__xludf.DUMMYFUNCTION("""COMPUTED_VALUE"""),44787.8572139236)</f>
        <v>44787.85721</v>
      </c>
      <c r="D841" s="15">
        <f>IFERROR(__xludf.DUMMYFUNCTION("""COMPUTED_VALUE"""),1.004)</f>
        <v>1.004</v>
      </c>
      <c r="E841" s="16">
        <f>IFERROR(__xludf.DUMMYFUNCTION("""COMPUTED_VALUE"""),70.0)</f>
        <v>70</v>
      </c>
      <c r="F841" s="19" t="str">
        <f>IFERROR(__xludf.DUMMYFUNCTION("""COMPUTED_VALUE"""),"BLACK")</f>
        <v>BLACK</v>
      </c>
      <c r="G841" s="20" t="str">
        <f>IFERROR(__xludf.DUMMYFUNCTION("""COMPUTED_VALUE"""),"Uncle Sams Cider (5/13/2022)")</f>
        <v>Uncle Sams Cider (5/13/2022)</v>
      </c>
      <c r="H841" s="19"/>
    </row>
    <row r="842">
      <c r="A842" s="9"/>
      <c r="B842" s="15"/>
      <c r="C842" s="9">
        <f>IFERROR(__xludf.DUMMYFUNCTION("""COMPUTED_VALUE"""),44787.8467928588)</f>
        <v>44787.84679</v>
      </c>
      <c r="D842" s="15">
        <f>IFERROR(__xludf.DUMMYFUNCTION("""COMPUTED_VALUE"""),1.004)</f>
        <v>1.004</v>
      </c>
      <c r="E842" s="16">
        <f>IFERROR(__xludf.DUMMYFUNCTION("""COMPUTED_VALUE"""),70.0)</f>
        <v>70</v>
      </c>
      <c r="F842" s="19" t="str">
        <f>IFERROR(__xludf.DUMMYFUNCTION("""COMPUTED_VALUE"""),"BLACK")</f>
        <v>BLACK</v>
      </c>
      <c r="G842" s="20" t="str">
        <f>IFERROR(__xludf.DUMMYFUNCTION("""COMPUTED_VALUE"""),"Uncle Sams Cider (5/13/2022)")</f>
        <v>Uncle Sams Cider (5/13/2022)</v>
      </c>
      <c r="H842" s="19"/>
    </row>
    <row r="843">
      <c r="A843" s="9"/>
      <c r="B843" s="15"/>
      <c r="C843" s="9">
        <f>IFERROR(__xludf.DUMMYFUNCTION("""COMPUTED_VALUE"""),44787.836372662)</f>
        <v>44787.83637</v>
      </c>
      <c r="D843" s="15">
        <f>IFERROR(__xludf.DUMMYFUNCTION("""COMPUTED_VALUE"""),1.004)</f>
        <v>1.004</v>
      </c>
      <c r="E843" s="16">
        <f>IFERROR(__xludf.DUMMYFUNCTION("""COMPUTED_VALUE"""),70.0)</f>
        <v>70</v>
      </c>
      <c r="F843" s="19" t="str">
        <f>IFERROR(__xludf.DUMMYFUNCTION("""COMPUTED_VALUE"""),"BLACK")</f>
        <v>BLACK</v>
      </c>
      <c r="G843" s="20" t="str">
        <f>IFERROR(__xludf.DUMMYFUNCTION("""COMPUTED_VALUE"""),"Uncle Sams Cider (5/13/2022)")</f>
        <v>Uncle Sams Cider (5/13/2022)</v>
      </c>
      <c r="H843" s="19"/>
    </row>
    <row r="844">
      <c r="A844" s="9"/>
      <c r="B844" s="15"/>
      <c r="C844" s="9">
        <f>IFERROR(__xludf.DUMMYFUNCTION("""COMPUTED_VALUE"""),44787.825950081)</f>
        <v>44787.82595</v>
      </c>
      <c r="D844" s="15">
        <f>IFERROR(__xludf.DUMMYFUNCTION("""COMPUTED_VALUE"""),1.003)</f>
        <v>1.003</v>
      </c>
      <c r="E844" s="16">
        <f>IFERROR(__xludf.DUMMYFUNCTION("""COMPUTED_VALUE"""),70.0)</f>
        <v>70</v>
      </c>
      <c r="F844" s="19" t="str">
        <f>IFERROR(__xludf.DUMMYFUNCTION("""COMPUTED_VALUE"""),"BLACK")</f>
        <v>BLACK</v>
      </c>
      <c r="G844" s="20" t="str">
        <f>IFERROR(__xludf.DUMMYFUNCTION("""COMPUTED_VALUE"""),"Uncle Sams Cider (5/13/2022)")</f>
        <v>Uncle Sams Cider (5/13/2022)</v>
      </c>
      <c r="H844" s="19"/>
    </row>
    <row r="845">
      <c r="A845" s="9"/>
      <c r="B845" s="15"/>
      <c r="C845" s="9">
        <f>IFERROR(__xludf.DUMMYFUNCTION("""COMPUTED_VALUE"""),44787.8155178819)</f>
        <v>44787.81552</v>
      </c>
      <c r="D845" s="15">
        <f>IFERROR(__xludf.DUMMYFUNCTION("""COMPUTED_VALUE"""),1.003)</f>
        <v>1.003</v>
      </c>
      <c r="E845" s="16">
        <f>IFERROR(__xludf.DUMMYFUNCTION("""COMPUTED_VALUE"""),70.0)</f>
        <v>70</v>
      </c>
      <c r="F845" s="19" t="str">
        <f>IFERROR(__xludf.DUMMYFUNCTION("""COMPUTED_VALUE"""),"BLACK")</f>
        <v>BLACK</v>
      </c>
      <c r="G845" s="20" t="str">
        <f>IFERROR(__xludf.DUMMYFUNCTION("""COMPUTED_VALUE"""),"Uncle Sams Cider (5/13/2022)")</f>
        <v>Uncle Sams Cider (5/13/2022)</v>
      </c>
      <c r="H845" s="19"/>
    </row>
    <row r="846">
      <c r="A846" s="9"/>
      <c r="B846" s="15"/>
      <c r="C846" s="9">
        <f>IFERROR(__xludf.DUMMYFUNCTION("""COMPUTED_VALUE"""),44787.8050975347)</f>
        <v>44787.8051</v>
      </c>
      <c r="D846" s="15">
        <f>IFERROR(__xludf.DUMMYFUNCTION("""COMPUTED_VALUE"""),1.003)</f>
        <v>1.003</v>
      </c>
      <c r="E846" s="16">
        <f>IFERROR(__xludf.DUMMYFUNCTION("""COMPUTED_VALUE"""),70.0)</f>
        <v>70</v>
      </c>
      <c r="F846" s="19" t="str">
        <f>IFERROR(__xludf.DUMMYFUNCTION("""COMPUTED_VALUE"""),"BLACK")</f>
        <v>BLACK</v>
      </c>
      <c r="G846" s="20" t="str">
        <f>IFERROR(__xludf.DUMMYFUNCTION("""COMPUTED_VALUE"""),"Uncle Sams Cider (5/13/2022)")</f>
        <v>Uncle Sams Cider (5/13/2022)</v>
      </c>
      <c r="H846" s="19"/>
    </row>
    <row r="847">
      <c r="A847" s="9"/>
      <c r="B847" s="15"/>
      <c r="C847" s="9">
        <f>IFERROR(__xludf.DUMMYFUNCTION("""COMPUTED_VALUE"""),44787.7946643287)</f>
        <v>44787.79466</v>
      </c>
      <c r="D847" s="15">
        <f>IFERROR(__xludf.DUMMYFUNCTION("""COMPUTED_VALUE"""),1.003)</f>
        <v>1.003</v>
      </c>
      <c r="E847" s="16">
        <f>IFERROR(__xludf.DUMMYFUNCTION("""COMPUTED_VALUE"""),70.0)</f>
        <v>70</v>
      </c>
      <c r="F847" s="19" t="str">
        <f>IFERROR(__xludf.DUMMYFUNCTION("""COMPUTED_VALUE"""),"BLACK")</f>
        <v>BLACK</v>
      </c>
      <c r="G847" s="20" t="str">
        <f>IFERROR(__xludf.DUMMYFUNCTION("""COMPUTED_VALUE"""),"Uncle Sams Cider (5/13/2022)")</f>
        <v>Uncle Sams Cider (5/13/2022)</v>
      </c>
      <c r="H847" s="19"/>
    </row>
    <row r="848">
      <c r="A848" s="9"/>
      <c r="B848" s="15"/>
      <c r="C848" s="9">
        <f>IFERROR(__xludf.DUMMYFUNCTION("""COMPUTED_VALUE"""),44787.7842432291)</f>
        <v>44787.78424</v>
      </c>
      <c r="D848" s="15">
        <f>IFERROR(__xludf.DUMMYFUNCTION("""COMPUTED_VALUE"""),1.004)</f>
        <v>1.004</v>
      </c>
      <c r="E848" s="16">
        <f>IFERROR(__xludf.DUMMYFUNCTION("""COMPUTED_VALUE"""),70.0)</f>
        <v>70</v>
      </c>
      <c r="F848" s="19" t="str">
        <f>IFERROR(__xludf.DUMMYFUNCTION("""COMPUTED_VALUE"""),"BLACK")</f>
        <v>BLACK</v>
      </c>
      <c r="G848" s="20" t="str">
        <f>IFERROR(__xludf.DUMMYFUNCTION("""COMPUTED_VALUE"""),"Uncle Sams Cider (5/13/2022)")</f>
        <v>Uncle Sams Cider (5/13/2022)</v>
      </c>
      <c r="H848" s="19"/>
    </row>
    <row r="849">
      <c r="A849" s="9"/>
      <c r="B849" s="15"/>
      <c r="C849" s="9">
        <f>IFERROR(__xludf.DUMMYFUNCTION("""COMPUTED_VALUE"""),44787.7738204166)</f>
        <v>44787.77382</v>
      </c>
      <c r="D849" s="15">
        <f>IFERROR(__xludf.DUMMYFUNCTION("""COMPUTED_VALUE"""),1.004)</f>
        <v>1.004</v>
      </c>
      <c r="E849" s="16">
        <f>IFERROR(__xludf.DUMMYFUNCTION("""COMPUTED_VALUE"""),70.0)</f>
        <v>70</v>
      </c>
      <c r="F849" s="19" t="str">
        <f>IFERROR(__xludf.DUMMYFUNCTION("""COMPUTED_VALUE"""),"BLACK")</f>
        <v>BLACK</v>
      </c>
      <c r="G849" s="20" t="str">
        <f>IFERROR(__xludf.DUMMYFUNCTION("""COMPUTED_VALUE"""),"Uncle Sams Cider (5/13/2022)")</f>
        <v>Uncle Sams Cider (5/13/2022)</v>
      </c>
      <c r="H849" s="19"/>
    </row>
    <row r="850">
      <c r="A850" s="9"/>
      <c r="B850" s="15"/>
      <c r="C850" s="9">
        <f>IFERROR(__xludf.DUMMYFUNCTION("""COMPUTED_VALUE"""),44787.7633987963)</f>
        <v>44787.7634</v>
      </c>
      <c r="D850" s="15">
        <f>IFERROR(__xludf.DUMMYFUNCTION("""COMPUTED_VALUE"""),1.004)</f>
        <v>1.004</v>
      </c>
      <c r="E850" s="16">
        <f>IFERROR(__xludf.DUMMYFUNCTION("""COMPUTED_VALUE"""),70.0)</f>
        <v>70</v>
      </c>
      <c r="F850" s="19" t="str">
        <f>IFERROR(__xludf.DUMMYFUNCTION("""COMPUTED_VALUE"""),"BLACK")</f>
        <v>BLACK</v>
      </c>
      <c r="G850" s="20" t="str">
        <f>IFERROR(__xludf.DUMMYFUNCTION("""COMPUTED_VALUE"""),"Uncle Sams Cider (5/13/2022)")</f>
        <v>Uncle Sams Cider (5/13/2022)</v>
      </c>
      <c r="H850" s="19"/>
    </row>
    <row r="851">
      <c r="A851" s="9"/>
      <c r="B851" s="15"/>
      <c r="C851" s="9">
        <f>IFERROR(__xludf.DUMMYFUNCTION("""COMPUTED_VALUE"""),44787.7529790625)</f>
        <v>44787.75298</v>
      </c>
      <c r="D851" s="15">
        <f>IFERROR(__xludf.DUMMYFUNCTION("""COMPUTED_VALUE"""),1.004)</f>
        <v>1.004</v>
      </c>
      <c r="E851" s="16">
        <f>IFERROR(__xludf.DUMMYFUNCTION("""COMPUTED_VALUE"""),70.0)</f>
        <v>70</v>
      </c>
      <c r="F851" s="19" t="str">
        <f>IFERROR(__xludf.DUMMYFUNCTION("""COMPUTED_VALUE"""),"BLACK")</f>
        <v>BLACK</v>
      </c>
      <c r="G851" s="20" t="str">
        <f>IFERROR(__xludf.DUMMYFUNCTION("""COMPUTED_VALUE"""),"Uncle Sams Cider (5/13/2022)")</f>
        <v>Uncle Sams Cider (5/13/2022)</v>
      </c>
      <c r="H851" s="19"/>
    </row>
    <row r="852">
      <c r="A852" s="9"/>
      <c r="B852" s="15"/>
      <c r="C852" s="9">
        <f>IFERROR(__xludf.DUMMYFUNCTION("""COMPUTED_VALUE"""),44787.7425467361)</f>
        <v>44787.74255</v>
      </c>
      <c r="D852" s="15">
        <f>IFERROR(__xludf.DUMMYFUNCTION("""COMPUTED_VALUE"""),1.003)</f>
        <v>1.003</v>
      </c>
      <c r="E852" s="16">
        <f>IFERROR(__xludf.DUMMYFUNCTION("""COMPUTED_VALUE"""),70.0)</f>
        <v>70</v>
      </c>
      <c r="F852" s="19" t="str">
        <f>IFERROR(__xludf.DUMMYFUNCTION("""COMPUTED_VALUE"""),"BLACK")</f>
        <v>BLACK</v>
      </c>
      <c r="G852" s="20" t="str">
        <f>IFERROR(__xludf.DUMMYFUNCTION("""COMPUTED_VALUE"""),"Uncle Sams Cider (5/13/2022)")</f>
        <v>Uncle Sams Cider (5/13/2022)</v>
      </c>
      <c r="H852" s="19"/>
    </row>
    <row r="853">
      <c r="A853" s="9"/>
      <c r="B853" s="15"/>
      <c r="C853" s="9">
        <f>IFERROR(__xludf.DUMMYFUNCTION("""COMPUTED_VALUE"""),44787.7321256481)</f>
        <v>44787.73213</v>
      </c>
      <c r="D853" s="15">
        <f>IFERROR(__xludf.DUMMYFUNCTION("""COMPUTED_VALUE"""),1.003)</f>
        <v>1.003</v>
      </c>
      <c r="E853" s="16">
        <f>IFERROR(__xludf.DUMMYFUNCTION("""COMPUTED_VALUE"""),70.0)</f>
        <v>70</v>
      </c>
      <c r="F853" s="19" t="str">
        <f>IFERROR(__xludf.DUMMYFUNCTION("""COMPUTED_VALUE"""),"BLACK")</f>
        <v>BLACK</v>
      </c>
      <c r="G853" s="20" t="str">
        <f>IFERROR(__xludf.DUMMYFUNCTION("""COMPUTED_VALUE"""),"Uncle Sams Cider (5/13/2022)")</f>
        <v>Uncle Sams Cider (5/13/2022)</v>
      </c>
      <c r="H853" s="19"/>
    </row>
    <row r="854">
      <c r="A854" s="9"/>
      <c r="B854" s="15"/>
      <c r="C854" s="9">
        <f>IFERROR(__xludf.DUMMYFUNCTION("""COMPUTED_VALUE"""),44787.7216948495)</f>
        <v>44787.72169</v>
      </c>
      <c r="D854" s="15">
        <f>IFERROR(__xludf.DUMMYFUNCTION("""COMPUTED_VALUE"""),1.004)</f>
        <v>1.004</v>
      </c>
      <c r="E854" s="16">
        <f>IFERROR(__xludf.DUMMYFUNCTION("""COMPUTED_VALUE"""),70.0)</f>
        <v>70</v>
      </c>
      <c r="F854" s="19" t="str">
        <f>IFERROR(__xludf.DUMMYFUNCTION("""COMPUTED_VALUE"""),"BLACK")</f>
        <v>BLACK</v>
      </c>
      <c r="G854" s="20" t="str">
        <f>IFERROR(__xludf.DUMMYFUNCTION("""COMPUTED_VALUE"""),"Uncle Sams Cider (5/13/2022)")</f>
        <v>Uncle Sams Cider (5/13/2022)</v>
      </c>
      <c r="H854" s="19"/>
    </row>
    <row r="855">
      <c r="A855" s="9"/>
      <c r="B855" s="15"/>
      <c r="C855" s="9">
        <f>IFERROR(__xludf.DUMMYFUNCTION("""COMPUTED_VALUE"""),44787.7112615509)</f>
        <v>44787.71126</v>
      </c>
      <c r="D855" s="15">
        <f>IFERROR(__xludf.DUMMYFUNCTION("""COMPUTED_VALUE"""),1.004)</f>
        <v>1.004</v>
      </c>
      <c r="E855" s="16">
        <f>IFERROR(__xludf.DUMMYFUNCTION("""COMPUTED_VALUE"""),70.0)</f>
        <v>70</v>
      </c>
      <c r="F855" s="19" t="str">
        <f>IFERROR(__xludf.DUMMYFUNCTION("""COMPUTED_VALUE"""),"BLACK")</f>
        <v>BLACK</v>
      </c>
      <c r="G855" s="20" t="str">
        <f>IFERROR(__xludf.DUMMYFUNCTION("""COMPUTED_VALUE"""),"Uncle Sams Cider (5/13/2022)")</f>
        <v>Uncle Sams Cider (5/13/2022)</v>
      </c>
      <c r="H855" s="19"/>
    </row>
    <row r="856">
      <c r="A856" s="9"/>
      <c r="B856" s="15"/>
      <c r="C856" s="9">
        <f>IFERROR(__xludf.DUMMYFUNCTION("""COMPUTED_VALUE"""),44787.7008414236)</f>
        <v>44787.70084</v>
      </c>
      <c r="D856" s="15">
        <f>IFERROR(__xludf.DUMMYFUNCTION("""COMPUTED_VALUE"""),1.004)</f>
        <v>1.004</v>
      </c>
      <c r="E856" s="16">
        <f>IFERROR(__xludf.DUMMYFUNCTION("""COMPUTED_VALUE"""),70.0)</f>
        <v>70</v>
      </c>
      <c r="F856" s="19" t="str">
        <f>IFERROR(__xludf.DUMMYFUNCTION("""COMPUTED_VALUE"""),"BLACK")</f>
        <v>BLACK</v>
      </c>
      <c r="G856" s="20" t="str">
        <f>IFERROR(__xludf.DUMMYFUNCTION("""COMPUTED_VALUE"""),"Uncle Sams Cider (5/13/2022)")</f>
        <v>Uncle Sams Cider (5/13/2022)</v>
      </c>
      <c r="H856" s="19"/>
    </row>
    <row r="857">
      <c r="A857" s="9"/>
      <c r="B857" s="15"/>
      <c r="C857" s="9">
        <f>IFERROR(__xludf.DUMMYFUNCTION("""COMPUTED_VALUE"""),44787.6904212963)</f>
        <v>44787.69042</v>
      </c>
      <c r="D857" s="15">
        <f>IFERROR(__xludf.DUMMYFUNCTION("""COMPUTED_VALUE"""),1.003)</f>
        <v>1.003</v>
      </c>
      <c r="E857" s="16">
        <f>IFERROR(__xludf.DUMMYFUNCTION("""COMPUTED_VALUE"""),70.0)</f>
        <v>70</v>
      </c>
      <c r="F857" s="19" t="str">
        <f>IFERROR(__xludf.DUMMYFUNCTION("""COMPUTED_VALUE"""),"BLACK")</f>
        <v>BLACK</v>
      </c>
      <c r="G857" s="20" t="str">
        <f>IFERROR(__xludf.DUMMYFUNCTION("""COMPUTED_VALUE"""),"Uncle Sams Cider (5/13/2022)")</f>
        <v>Uncle Sams Cider (5/13/2022)</v>
      </c>
      <c r="H857" s="19"/>
    </row>
    <row r="858">
      <c r="A858" s="9"/>
      <c r="B858" s="15"/>
      <c r="C858" s="9">
        <f>IFERROR(__xludf.DUMMYFUNCTION("""COMPUTED_VALUE"""),44787.6799984375)</f>
        <v>44787.68</v>
      </c>
      <c r="D858" s="15">
        <f>IFERROR(__xludf.DUMMYFUNCTION("""COMPUTED_VALUE"""),1.004)</f>
        <v>1.004</v>
      </c>
      <c r="E858" s="16">
        <f>IFERROR(__xludf.DUMMYFUNCTION("""COMPUTED_VALUE"""),70.0)</f>
        <v>70</v>
      </c>
      <c r="F858" s="19" t="str">
        <f>IFERROR(__xludf.DUMMYFUNCTION("""COMPUTED_VALUE"""),"BLACK")</f>
        <v>BLACK</v>
      </c>
      <c r="G858" s="20" t="str">
        <f>IFERROR(__xludf.DUMMYFUNCTION("""COMPUTED_VALUE"""),"Uncle Sams Cider (5/13/2022)")</f>
        <v>Uncle Sams Cider (5/13/2022)</v>
      </c>
      <c r="H858" s="19"/>
    </row>
    <row r="859">
      <c r="A859" s="9"/>
      <c r="B859" s="15"/>
      <c r="C859" s="9">
        <f>IFERROR(__xludf.DUMMYFUNCTION("""COMPUTED_VALUE"""),44787.6695762152)</f>
        <v>44787.66958</v>
      </c>
      <c r="D859" s="15">
        <f>IFERROR(__xludf.DUMMYFUNCTION("""COMPUTED_VALUE"""),1.004)</f>
        <v>1.004</v>
      </c>
      <c r="E859" s="16">
        <f>IFERROR(__xludf.DUMMYFUNCTION("""COMPUTED_VALUE"""),70.0)</f>
        <v>70</v>
      </c>
      <c r="F859" s="19" t="str">
        <f>IFERROR(__xludf.DUMMYFUNCTION("""COMPUTED_VALUE"""),"BLACK")</f>
        <v>BLACK</v>
      </c>
      <c r="G859" s="20" t="str">
        <f>IFERROR(__xludf.DUMMYFUNCTION("""COMPUTED_VALUE"""),"Uncle Sams Cider (5/13/2022)")</f>
        <v>Uncle Sams Cider (5/13/2022)</v>
      </c>
      <c r="H859" s="19"/>
    </row>
    <row r="860">
      <c r="A860" s="9"/>
      <c r="B860" s="15"/>
      <c r="C860" s="9">
        <f>IFERROR(__xludf.DUMMYFUNCTION("""COMPUTED_VALUE"""),44787.6591331828)</f>
        <v>44787.65913</v>
      </c>
      <c r="D860" s="15">
        <f>IFERROR(__xludf.DUMMYFUNCTION("""COMPUTED_VALUE"""),1.004)</f>
        <v>1.004</v>
      </c>
      <c r="E860" s="16">
        <f>IFERROR(__xludf.DUMMYFUNCTION("""COMPUTED_VALUE"""),70.0)</f>
        <v>70</v>
      </c>
      <c r="F860" s="19" t="str">
        <f>IFERROR(__xludf.DUMMYFUNCTION("""COMPUTED_VALUE"""),"BLACK")</f>
        <v>BLACK</v>
      </c>
      <c r="G860" s="20" t="str">
        <f>IFERROR(__xludf.DUMMYFUNCTION("""COMPUTED_VALUE"""),"Uncle Sams Cider (5/13/2022)")</f>
        <v>Uncle Sams Cider (5/13/2022)</v>
      </c>
      <c r="H860" s="19"/>
    </row>
    <row r="861">
      <c r="A861" s="9"/>
      <c r="B861" s="15"/>
      <c r="C861" s="9">
        <f>IFERROR(__xludf.DUMMYFUNCTION("""COMPUTED_VALUE"""),44787.6487106365)</f>
        <v>44787.64871</v>
      </c>
      <c r="D861" s="15">
        <f>IFERROR(__xludf.DUMMYFUNCTION("""COMPUTED_VALUE"""),1.004)</f>
        <v>1.004</v>
      </c>
      <c r="E861" s="16">
        <f>IFERROR(__xludf.DUMMYFUNCTION("""COMPUTED_VALUE"""),70.0)</f>
        <v>70</v>
      </c>
      <c r="F861" s="19" t="str">
        <f>IFERROR(__xludf.DUMMYFUNCTION("""COMPUTED_VALUE"""),"BLACK")</f>
        <v>BLACK</v>
      </c>
      <c r="G861" s="20" t="str">
        <f>IFERROR(__xludf.DUMMYFUNCTION("""COMPUTED_VALUE"""),"Uncle Sams Cider (5/13/2022)")</f>
        <v>Uncle Sams Cider (5/13/2022)</v>
      </c>
      <c r="H861" s="19"/>
    </row>
    <row r="862">
      <c r="A862" s="9"/>
      <c r="B862" s="15"/>
      <c r="C862" s="9">
        <f>IFERROR(__xludf.DUMMYFUNCTION("""COMPUTED_VALUE"""),44787.6382792476)</f>
        <v>44787.63828</v>
      </c>
      <c r="D862" s="15">
        <f>IFERROR(__xludf.DUMMYFUNCTION("""COMPUTED_VALUE"""),1.004)</f>
        <v>1.004</v>
      </c>
      <c r="E862" s="16">
        <f>IFERROR(__xludf.DUMMYFUNCTION("""COMPUTED_VALUE"""),70.0)</f>
        <v>70</v>
      </c>
      <c r="F862" s="19" t="str">
        <f>IFERROR(__xludf.DUMMYFUNCTION("""COMPUTED_VALUE"""),"BLACK")</f>
        <v>BLACK</v>
      </c>
      <c r="G862" s="20" t="str">
        <f>IFERROR(__xludf.DUMMYFUNCTION("""COMPUTED_VALUE"""),"Uncle Sams Cider (5/13/2022)")</f>
        <v>Uncle Sams Cider (5/13/2022)</v>
      </c>
      <c r="H862" s="19"/>
    </row>
    <row r="863">
      <c r="A863" s="9"/>
      <c r="B863" s="15"/>
      <c r="C863" s="9">
        <f>IFERROR(__xludf.DUMMYFUNCTION("""COMPUTED_VALUE"""),44787.6278555902)</f>
        <v>44787.62786</v>
      </c>
      <c r="D863" s="15">
        <f>IFERROR(__xludf.DUMMYFUNCTION("""COMPUTED_VALUE"""),1.004)</f>
        <v>1.004</v>
      </c>
      <c r="E863" s="16">
        <f>IFERROR(__xludf.DUMMYFUNCTION("""COMPUTED_VALUE"""),70.0)</f>
        <v>70</v>
      </c>
      <c r="F863" s="19" t="str">
        <f>IFERROR(__xludf.DUMMYFUNCTION("""COMPUTED_VALUE"""),"BLACK")</f>
        <v>BLACK</v>
      </c>
      <c r="G863" s="20" t="str">
        <f>IFERROR(__xludf.DUMMYFUNCTION("""COMPUTED_VALUE"""),"Uncle Sams Cider (5/13/2022)")</f>
        <v>Uncle Sams Cider (5/13/2022)</v>
      </c>
      <c r="H863" s="19"/>
    </row>
    <row r="864">
      <c r="A864" s="9"/>
      <c r="B864" s="15"/>
      <c r="C864" s="9">
        <f>IFERROR(__xludf.DUMMYFUNCTION("""COMPUTED_VALUE"""),44787.617435706)</f>
        <v>44787.61744</v>
      </c>
      <c r="D864" s="15">
        <f>IFERROR(__xludf.DUMMYFUNCTION("""COMPUTED_VALUE"""),1.004)</f>
        <v>1.004</v>
      </c>
      <c r="E864" s="16">
        <f>IFERROR(__xludf.DUMMYFUNCTION("""COMPUTED_VALUE"""),70.0)</f>
        <v>70</v>
      </c>
      <c r="F864" s="19" t="str">
        <f>IFERROR(__xludf.DUMMYFUNCTION("""COMPUTED_VALUE"""),"BLACK")</f>
        <v>BLACK</v>
      </c>
      <c r="G864" s="20" t="str">
        <f>IFERROR(__xludf.DUMMYFUNCTION("""COMPUTED_VALUE"""),"Uncle Sams Cider (5/13/2022)")</f>
        <v>Uncle Sams Cider (5/13/2022)</v>
      </c>
      <c r="H864" s="19"/>
    </row>
    <row r="865">
      <c r="A865" s="9"/>
      <c r="B865" s="15"/>
      <c r="C865" s="9">
        <f>IFERROR(__xludf.DUMMYFUNCTION("""COMPUTED_VALUE"""),44787.6070147453)</f>
        <v>44787.60701</v>
      </c>
      <c r="D865" s="15">
        <f>IFERROR(__xludf.DUMMYFUNCTION("""COMPUTED_VALUE"""),1.003)</f>
        <v>1.003</v>
      </c>
      <c r="E865" s="16">
        <f>IFERROR(__xludf.DUMMYFUNCTION("""COMPUTED_VALUE"""),70.0)</f>
        <v>70</v>
      </c>
      <c r="F865" s="19" t="str">
        <f>IFERROR(__xludf.DUMMYFUNCTION("""COMPUTED_VALUE"""),"BLACK")</f>
        <v>BLACK</v>
      </c>
      <c r="G865" s="20" t="str">
        <f>IFERROR(__xludf.DUMMYFUNCTION("""COMPUTED_VALUE"""),"Uncle Sams Cider (5/13/2022)")</f>
        <v>Uncle Sams Cider (5/13/2022)</v>
      </c>
      <c r="H865" s="19"/>
    </row>
    <row r="866">
      <c r="A866" s="9"/>
      <c r="B866" s="15"/>
      <c r="C866" s="9">
        <f>IFERROR(__xludf.DUMMYFUNCTION("""COMPUTED_VALUE"""),44787.5965939004)</f>
        <v>44787.59659</v>
      </c>
      <c r="D866" s="15">
        <f>IFERROR(__xludf.DUMMYFUNCTION("""COMPUTED_VALUE"""),1.004)</f>
        <v>1.004</v>
      </c>
      <c r="E866" s="16">
        <f>IFERROR(__xludf.DUMMYFUNCTION("""COMPUTED_VALUE"""),70.0)</f>
        <v>70</v>
      </c>
      <c r="F866" s="19" t="str">
        <f>IFERROR(__xludf.DUMMYFUNCTION("""COMPUTED_VALUE"""),"BLACK")</f>
        <v>BLACK</v>
      </c>
      <c r="G866" s="20" t="str">
        <f>IFERROR(__xludf.DUMMYFUNCTION("""COMPUTED_VALUE"""),"Uncle Sams Cider (5/13/2022)")</f>
        <v>Uncle Sams Cider (5/13/2022)</v>
      </c>
      <c r="H866" s="19"/>
    </row>
    <row r="867">
      <c r="A867" s="9"/>
      <c r="B867" s="15"/>
      <c r="C867" s="9">
        <f>IFERROR(__xludf.DUMMYFUNCTION("""COMPUTED_VALUE"""),44787.5861721643)</f>
        <v>44787.58617</v>
      </c>
      <c r="D867" s="15">
        <f>IFERROR(__xludf.DUMMYFUNCTION("""COMPUTED_VALUE"""),1.004)</f>
        <v>1.004</v>
      </c>
      <c r="E867" s="16">
        <f>IFERROR(__xludf.DUMMYFUNCTION("""COMPUTED_VALUE"""),70.0)</f>
        <v>70</v>
      </c>
      <c r="F867" s="19" t="str">
        <f>IFERROR(__xludf.DUMMYFUNCTION("""COMPUTED_VALUE"""),"BLACK")</f>
        <v>BLACK</v>
      </c>
      <c r="G867" s="20" t="str">
        <f>IFERROR(__xludf.DUMMYFUNCTION("""COMPUTED_VALUE"""),"Uncle Sams Cider (5/13/2022)")</f>
        <v>Uncle Sams Cider (5/13/2022)</v>
      </c>
      <c r="H867" s="19"/>
    </row>
    <row r="868">
      <c r="A868" s="9"/>
      <c r="B868" s="15"/>
      <c r="C868" s="9">
        <f>IFERROR(__xludf.DUMMYFUNCTION("""COMPUTED_VALUE"""),44787.5757516203)</f>
        <v>44787.57575</v>
      </c>
      <c r="D868" s="15">
        <f>IFERROR(__xludf.DUMMYFUNCTION("""COMPUTED_VALUE"""),1.004)</f>
        <v>1.004</v>
      </c>
      <c r="E868" s="16">
        <f>IFERROR(__xludf.DUMMYFUNCTION("""COMPUTED_VALUE"""),70.0)</f>
        <v>70</v>
      </c>
      <c r="F868" s="19" t="str">
        <f>IFERROR(__xludf.DUMMYFUNCTION("""COMPUTED_VALUE"""),"BLACK")</f>
        <v>BLACK</v>
      </c>
      <c r="G868" s="20" t="str">
        <f>IFERROR(__xludf.DUMMYFUNCTION("""COMPUTED_VALUE"""),"Uncle Sams Cider (5/13/2022)")</f>
        <v>Uncle Sams Cider (5/13/2022)</v>
      </c>
      <c r="H868" s="19"/>
    </row>
    <row r="869">
      <c r="A869" s="9"/>
      <c r="B869" s="15"/>
      <c r="C869" s="9">
        <f>IFERROR(__xludf.DUMMYFUNCTION("""COMPUTED_VALUE"""),44787.5653190162)</f>
        <v>44787.56532</v>
      </c>
      <c r="D869" s="15">
        <f>IFERROR(__xludf.DUMMYFUNCTION("""COMPUTED_VALUE"""),1.004)</f>
        <v>1.004</v>
      </c>
      <c r="E869" s="16">
        <f>IFERROR(__xludf.DUMMYFUNCTION("""COMPUTED_VALUE"""),70.0)</f>
        <v>70</v>
      </c>
      <c r="F869" s="19" t="str">
        <f>IFERROR(__xludf.DUMMYFUNCTION("""COMPUTED_VALUE"""),"BLACK")</f>
        <v>BLACK</v>
      </c>
      <c r="G869" s="20" t="str">
        <f>IFERROR(__xludf.DUMMYFUNCTION("""COMPUTED_VALUE"""),"Uncle Sams Cider (5/13/2022)")</f>
        <v>Uncle Sams Cider (5/13/2022)</v>
      </c>
      <c r="H869" s="19"/>
    </row>
    <row r="870">
      <c r="A870" s="9"/>
      <c r="B870" s="15"/>
      <c r="C870" s="9">
        <f>IFERROR(__xludf.DUMMYFUNCTION("""COMPUTED_VALUE"""),44787.5548988194)</f>
        <v>44787.5549</v>
      </c>
      <c r="D870" s="15">
        <f>IFERROR(__xludf.DUMMYFUNCTION("""COMPUTED_VALUE"""),1.004)</f>
        <v>1.004</v>
      </c>
      <c r="E870" s="16">
        <f>IFERROR(__xludf.DUMMYFUNCTION("""COMPUTED_VALUE"""),70.0)</f>
        <v>70</v>
      </c>
      <c r="F870" s="19" t="str">
        <f>IFERROR(__xludf.DUMMYFUNCTION("""COMPUTED_VALUE"""),"BLACK")</f>
        <v>BLACK</v>
      </c>
      <c r="G870" s="20" t="str">
        <f>IFERROR(__xludf.DUMMYFUNCTION("""COMPUTED_VALUE"""),"Uncle Sams Cider (5/13/2022)")</f>
        <v>Uncle Sams Cider (5/13/2022)</v>
      </c>
      <c r="H870" s="19"/>
    </row>
    <row r="871">
      <c r="A871" s="9"/>
      <c r="B871" s="15"/>
      <c r="C871" s="9">
        <f>IFERROR(__xludf.DUMMYFUNCTION("""COMPUTED_VALUE"""),44787.5444681134)</f>
        <v>44787.54447</v>
      </c>
      <c r="D871" s="15">
        <f>IFERROR(__xludf.DUMMYFUNCTION("""COMPUTED_VALUE"""),1.004)</f>
        <v>1.004</v>
      </c>
      <c r="E871" s="16">
        <f>IFERROR(__xludf.DUMMYFUNCTION("""COMPUTED_VALUE"""),70.0)</f>
        <v>70</v>
      </c>
      <c r="F871" s="19" t="str">
        <f>IFERROR(__xludf.DUMMYFUNCTION("""COMPUTED_VALUE"""),"BLACK")</f>
        <v>BLACK</v>
      </c>
      <c r="G871" s="20" t="str">
        <f>IFERROR(__xludf.DUMMYFUNCTION("""COMPUTED_VALUE"""),"Uncle Sams Cider (5/13/2022)")</f>
        <v>Uncle Sams Cider (5/13/2022)</v>
      </c>
      <c r="H871" s="19"/>
    </row>
    <row r="872">
      <c r="A872" s="9"/>
      <c r="B872" s="15"/>
      <c r="C872" s="9">
        <f>IFERROR(__xludf.DUMMYFUNCTION("""COMPUTED_VALUE"""),44787.5340467361)</f>
        <v>44787.53405</v>
      </c>
      <c r="D872" s="15">
        <f>IFERROR(__xludf.DUMMYFUNCTION("""COMPUTED_VALUE"""),1.004)</f>
        <v>1.004</v>
      </c>
      <c r="E872" s="16">
        <f>IFERROR(__xludf.DUMMYFUNCTION("""COMPUTED_VALUE"""),70.0)</f>
        <v>70</v>
      </c>
      <c r="F872" s="19" t="str">
        <f>IFERROR(__xludf.DUMMYFUNCTION("""COMPUTED_VALUE"""),"BLACK")</f>
        <v>BLACK</v>
      </c>
      <c r="G872" s="20" t="str">
        <f>IFERROR(__xludf.DUMMYFUNCTION("""COMPUTED_VALUE"""),"Uncle Sams Cider (5/13/2022)")</f>
        <v>Uncle Sams Cider (5/13/2022)</v>
      </c>
      <c r="H872" s="19"/>
    </row>
    <row r="873">
      <c r="A873" s="9"/>
      <c r="B873" s="15"/>
      <c r="C873" s="9">
        <f>IFERROR(__xludf.DUMMYFUNCTION("""COMPUTED_VALUE"""),44787.5236248032)</f>
        <v>44787.52362</v>
      </c>
      <c r="D873" s="15">
        <f>IFERROR(__xludf.DUMMYFUNCTION("""COMPUTED_VALUE"""),1.004)</f>
        <v>1.004</v>
      </c>
      <c r="E873" s="16">
        <f>IFERROR(__xludf.DUMMYFUNCTION("""COMPUTED_VALUE"""),70.0)</f>
        <v>70</v>
      </c>
      <c r="F873" s="19" t="str">
        <f>IFERROR(__xludf.DUMMYFUNCTION("""COMPUTED_VALUE"""),"BLACK")</f>
        <v>BLACK</v>
      </c>
      <c r="G873" s="20" t="str">
        <f>IFERROR(__xludf.DUMMYFUNCTION("""COMPUTED_VALUE"""),"Uncle Sams Cider (5/13/2022)")</f>
        <v>Uncle Sams Cider (5/13/2022)</v>
      </c>
      <c r="H873" s="19"/>
    </row>
    <row r="874">
      <c r="A874" s="9"/>
      <c r="B874" s="15"/>
      <c r="C874" s="9">
        <f>IFERROR(__xludf.DUMMYFUNCTION("""COMPUTED_VALUE"""),44787.5131940277)</f>
        <v>44787.51319</v>
      </c>
      <c r="D874" s="15">
        <f>IFERROR(__xludf.DUMMYFUNCTION("""COMPUTED_VALUE"""),1.004)</f>
        <v>1.004</v>
      </c>
      <c r="E874" s="16">
        <f>IFERROR(__xludf.DUMMYFUNCTION("""COMPUTED_VALUE"""),70.0)</f>
        <v>70</v>
      </c>
      <c r="F874" s="19" t="str">
        <f>IFERROR(__xludf.DUMMYFUNCTION("""COMPUTED_VALUE"""),"BLACK")</f>
        <v>BLACK</v>
      </c>
      <c r="G874" s="20" t="str">
        <f>IFERROR(__xludf.DUMMYFUNCTION("""COMPUTED_VALUE"""),"Uncle Sams Cider (5/13/2022)")</f>
        <v>Uncle Sams Cider (5/13/2022)</v>
      </c>
      <c r="H874" s="19"/>
    </row>
    <row r="875">
      <c r="A875" s="9"/>
      <c r="B875" s="15"/>
      <c r="C875" s="9">
        <f>IFERROR(__xludf.DUMMYFUNCTION("""COMPUTED_VALUE"""),44787.5027732986)</f>
        <v>44787.50277</v>
      </c>
      <c r="D875" s="15">
        <f>IFERROR(__xludf.DUMMYFUNCTION("""COMPUTED_VALUE"""),1.004)</f>
        <v>1.004</v>
      </c>
      <c r="E875" s="16">
        <f>IFERROR(__xludf.DUMMYFUNCTION("""COMPUTED_VALUE"""),70.0)</f>
        <v>70</v>
      </c>
      <c r="F875" s="19" t="str">
        <f>IFERROR(__xludf.DUMMYFUNCTION("""COMPUTED_VALUE"""),"BLACK")</f>
        <v>BLACK</v>
      </c>
      <c r="G875" s="20" t="str">
        <f>IFERROR(__xludf.DUMMYFUNCTION("""COMPUTED_VALUE"""),"Uncle Sams Cider (5/13/2022)")</f>
        <v>Uncle Sams Cider (5/13/2022)</v>
      </c>
      <c r="H875" s="19"/>
    </row>
    <row r="876">
      <c r="A876" s="9"/>
      <c r="B876" s="15"/>
      <c r="C876" s="9">
        <f>IFERROR(__xludf.DUMMYFUNCTION("""COMPUTED_VALUE"""),44787.4923520717)</f>
        <v>44787.49235</v>
      </c>
      <c r="D876" s="15">
        <f>IFERROR(__xludf.DUMMYFUNCTION("""COMPUTED_VALUE"""),1.004)</f>
        <v>1.004</v>
      </c>
      <c r="E876" s="16">
        <f>IFERROR(__xludf.DUMMYFUNCTION("""COMPUTED_VALUE"""),70.0)</f>
        <v>70</v>
      </c>
      <c r="F876" s="19" t="str">
        <f>IFERROR(__xludf.DUMMYFUNCTION("""COMPUTED_VALUE"""),"BLACK")</f>
        <v>BLACK</v>
      </c>
      <c r="G876" s="20" t="str">
        <f>IFERROR(__xludf.DUMMYFUNCTION("""COMPUTED_VALUE"""),"Uncle Sams Cider (5/13/2022)")</f>
        <v>Uncle Sams Cider (5/13/2022)</v>
      </c>
      <c r="H876" s="19"/>
    </row>
    <row r="877">
      <c r="A877" s="9"/>
      <c r="B877" s="15"/>
      <c r="C877" s="9">
        <f>IFERROR(__xludf.DUMMYFUNCTION("""COMPUTED_VALUE"""),44787.4819171296)</f>
        <v>44787.48192</v>
      </c>
      <c r="D877" s="15">
        <f>IFERROR(__xludf.DUMMYFUNCTION("""COMPUTED_VALUE"""),1.004)</f>
        <v>1.004</v>
      </c>
      <c r="E877" s="16">
        <f>IFERROR(__xludf.DUMMYFUNCTION("""COMPUTED_VALUE"""),70.0)</f>
        <v>70</v>
      </c>
      <c r="F877" s="19" t="str">
        <f>IFERROR(__xludf.DUMMYFUNCTION("""COMPUTED_VALUE"""),"BLACK")</f>
        <v>BLACK</v>
      </c>
      <c r="G877" s="20" t="str">
        <f>IFERROR(__xludf.DUMMYFUNCTION("""COMPUTED_VALUE"""),"Uncle Sams Cider (5/13/2022)")</f>
        <v>Uncle Sams Cider (5/13/2022)</v>
      </c>
      <c r="H877" s="19"/>
    </row>
    <row r="878">
      <c r="A878" s="9"/>
      <c r="B878" s="15"/>
      <c r="C878" s="9">
        <f>IFERROR(__xludf.DUMMYFUNCTION("""COMPUTED_VALUE"""),44787.471493912)</f>
        <v>44787.47149</v>
      </c>
      <c r="D878" s="15">
        <f>IFERROR(__xludf.DUMMYFUNCTION("""COMPUTED_VALUE"""),1.004)</f>
        <v>1.004</v>
      </c>
      <c r="E878" s="16">
        <f>IFERROR(__xludf.DUMMYFUNCTION("""COMPUTED_VALUE"""),70.0)</f>
        <v>70</v>
      </c>
      <c r="F878" s="19" t="str">
        <f>IFERROR(__xludf.DUMMYFUNCTION("""COMPUTED_VALUE"""),"BLACK")</f>
        <v>BLACK</v>
      </c>
      <c r="G878" s="20" t="str">
        <f>IFERROR(__xludf.DUMMYFUNCTION("""COMPUTED_VALUE"""),"Uncle Sams Cider (5/13/2022)")</f>
        <v>Uncle Sams Cider (5/13/2022)</v>
      </c>
      <c r="H878" s="19"/>
    </row>
    <row r="879">
      <c r="A879" s="9"/>
      <c r="B879" s="15"/>
      <c r="C879" s="9">
        <f>IFERROR(__xludf.DUMMYFUNCTION("""COMPUTED_VALUE"""),44787.4610735185)</f>
        <v>44787.46107</v>
      </c>
      <c r="D879" s="15">
        <f>IFERROR(__xludf.DUMMYFUNCTION("""COMPUTED_VALUE"""),1.004)</f>
        <v>1.004</v>
      </c>
      <c r="E879" s="16">
        <f>IFERROR(__xludf.DUMMYFUNCTION("""COMPUTED_VALUE"""),70.0)</f>
        <v>70</v>
      </c>
      <c r="F879" s="19" t="str">
        <f>IFERROR(__xludf.DUMMYFUNCTION("""COMPUTED_VALUE"""),"BLACK")</f>
        <v>BLACK</v>
      </c>
      <c r="G879" s="20" t="str">
        <f>IFERROR(__xludf.DUMMYFUNCTION("""COMPUTED_VALUE"""),"Uncle Sams Cider (5/13/2022)")</f>
        <v>Uncle Sams Cider (5/13/2022)</v>
      </c>
      <c r="H879" s="19"/>
    </row>
    <row r="880">
      <c r="A880" s="9"/>
      <c r="B880" s="15"/>
      <c r="C880" s="9">
        <f>IFERROR(__xludf.DUMMYFUNCTION("""COMPUTED_VALUE"""),44787.4506500347)</f>
        <v>44787.45065</v>
      </c>
      <c r="D880" s="15">
        <f>IFERROR(__xludf.DUMMYFUNCTION("""COMPUTED_VALUE"""),1.004)</f>
        <v>1.004</v>
      </c>
      <c r="E880" s="16">
        <f>IFERROR(__xludf.DUMMYFUNCTION("""COMPUTED_VALUE"""),70.0)</f>
        <v>70</v>
      </c>
      <c r="F880" s="19" t="str">
        <f>IFERROR(__xludf.DUMMYFUNCTION("""COMPUTED_VALUE"""),"BLACK")</f>
        <v>BLACK</v>
      </c>
      <c r="G880" s="20" t="str">
        <f>IFERROR(__xludf.DUMMYFUNCTION("""COMPUTED_VALUE"""),"Uncle Sams Cider (5/13/2022)")</f>
        <v>Uncle Sams Cider (5/13/2022)</v>
      </c>
      <c r="H880" s="19"/>
    </row>
    <row r="881">
      <c r="A881" s="9"/>
      <c r="B881" s="15"/>
      <c r="C881" s="9">
        <f>IFERROR(__xludf.DUMMYFUNCTION("""COMPUTED_VALUE"""),44787.4402182986)</f>
        <v>44787.44022</v>
      </c>
      <c r="D881" s="15">
        <f>IFERROR(__xludf.DUMMYFUNCTION("""COMPUTED_VALUE"""),1.004)</f>
        <v>1.004</v>
      </c>
      <c r="E881" s="16">
        <f>IFERROR(__xludf.DUMMYFUNCTION("""COMPUTED_VALUE"""),70.0)</f>
        <v>70</v>
      </c>
      <c r="F881" s="19" t="str">
        <f>IFERROR(__xludf.DUMMYFUNCTION("""COMPUTED_VALUE"""),"BLACK")</f>
        <v>BLACK</v>
      </c>
      <c r="G881" s="20" t="str">
        <f>IFERROR(__xludf.DUMMYFUNCTION("""COMPUTED_VALUE"""),"Uncle Sams Cider (5/13/2022)")</f>
        <v>Uncle Sams Cider (5/13/2022)</v>
      </c>
      <c r="H881" s="19"/>
    </row>
    <row r="882">
      <c r="A882" s="9"/>
      <c r="B882" s="15"/>
      <c r="C882" s="9">
        <f>IFERROR(__xludf.DUMMYFUNCTION("""COMPUTED_VALUE"""),44787.4297717361)</f>
        <v>44787.42977</v>
      </c>
      <c r="D882" s="15">
        <f>IFERROR(__xludf.DUMMYFUNCTION("""COMPUTED_VALUE"""),1.004)</f>
        <v>1.004</v>
      </c>
      <c r="E882" s="16">
        <f>IFERROR(__xludf.DUMMYFUNCTION("""COMPUTED_VALUE"""),70.0)</f>
        <v>70</v>
      </c>
      <c r="F882" s="19" t="str">
        <f>IFERROR(__xludf.DUMMYFUNCTION("""COMPUTED_VALUE"""),"BLACK")</f>
        <v>BLACK</v>
      </c>
      <c r="G882" s="20" t="str">
        <f>IFERROR(__xludf.DUMMYFUNCTION("""COMPUTED_VALUE"""),"Uncle Sams Cider (5/13/2022)")</f>
        <v>Uncle Sams Cider (5/13/2022)</v>
      </c>
      <c r="H882" s="19"/>
    </row>
    <row r="883">
      <c r="A883" s="9"/>
      <c r="B883" s="15"/>
      <c r="C883" s="9">
        <f>IFERROR(__xludf.DUMMYFUNCTION("""COMPUTED_VALUE"""),44787.4193500694)</f>
        <v>44787.41935</v>
      </c>
      <c r="D883" s="15">
        <f>IFERROR(__xludf.DUMMYFUNCTION("""COMPUTED_VALUE"""),1.004)</f>
        <v>1.004</v>
      </c>
      <c r="E883" s="16">
        <f>IFERROR(__xludf.DUMMYFUNCTION("""COMPUTED_VALUE"""),70.0)</f>
        <v>70</v>
      </c>
      <c r="F883" s="19" t="str">
        <f>IFERROR(__xludf.DUMMYFUNCTION("""COMPUTED_VALUE"""),"BLACK")</f>
        <v>BLACK</v>
      </c>
      <c r="G883" s="20" t="str">
        <f>IFERROR(__xludf.DUMMYFUNCTION("""COMPUTED_VALUE"""),"Uncle Sams Cider (5/13/2022)")</f>
        <v>Uncle Sams Cider (5/13/2022)</v>
      </c>
      <c r="H883" s="19"/>
    </row>
    <row r="884">
      <c r="A884" s="9"/>
      <c r="B884" s="15"/>
      <c r="C884" s="9">
        <f>IFERROR(__xludf.DUMMYFUNCTION("""COMPUTED_VALUE"""),44787.4089284722)</f>
        <v>44787.40893</v>
      </c>
      <c r="D884" s="15">
        <f>IFERROR(__xludf.DUMMYFUNCTION("""COMPUTED_VALUE"""),1.004)</f>
        <v>1.004</v>
      </c>
      <c r="E884" s="16">
        <f>IFERROR(__xludf.DUMMYFUNCTION("""COMPUTED_VALUE"""),70.0)</f>
        <v>70</v>
      </c>
      <c r="F884" s="19" t="str">
        <f>IFERROR(__xludf.DUMMYFUNCTION("""COMPUTED_VALUE"""),"BLACK")</f>
        <v>BLACK</v>
      </c>
      <c r="G884" s="20" t="str">
        <f>IFERROR(__xludf.DUMMYFUNCTION("""COMPUTED_VALUE"""),"Uncle Sams Cider (5/13/2022)")</f>
        <v>Uncle Sams Cider (5/13/2022)</v>
      </c>
      <c r="H884" s="19"/>
    </row>
    <row r="885">
      <c r="A885" s="9"/>
      <c r="B885" s="15"/>
      <c r="C885" s="9">
        <f>IFERROR(__xludf.DUMMYFUNCTION("""COMPUTED_VALUE"""),44787.3985084027)</f>
        <v>44787.39851</v>
      </c>
      <c r="D885" s="15">
        <f>IFERROR(__xludf.DUMMYFUNCTION("""COMPUTED_VALUE"""),1.004)</f>
        <v>1.004</v>
      </c>
      <c r="E885" s="16">
        <f>IFERROR(__xludf.DUMMYFUNCTION("""COMPUTED_VALUE"""),69.0)</f>
        <v>69</v>
      </c>
      <c r="F885" s="19" t="str">
        <f>IFERROR(__xludf.DUMMYFUNCTION("""COMPUTED_VALUE"""),"BLACK")</f>
        <v>BLACK</v>
      </c>
      <c r="G885" s="20" t="str">
        <f>IFERROR(__xludf.DUMMYFUNCTION("""COMPUTED_VALUE"""),"Uncle Sams Cider (5/13/2022)")</f>
        <v>Uncle Sams Cider (5/13/2022)</v>
      </c>
      <c r="H885" s="19"/>
    </row>
    <row r="886">
      <c r="A886" s="9"/>
      <c r="B886" s="15"/>
      <c r="C886" s="9">
        <f>IFERROR(__xludf.DUMMYFUNCTION("""COMPUTED_VALUE"""),44787.3880865162)</f>
        <v>44787.38809</v>
      </c>
      <c r="D886" s="15">
        <f>IFERROR(__xludf.DUMMYFUNCTION("""COMPUTED_VALUE"""),1.004)</f>
        <v>1.004</v>
      </c>
      <c r="E886" s="16">
        <f>IFERROR(__xludf.DUMMYFUNCTION("""COMPUTED_VALUE"""),70.0)</f>
        <v>70</v>
      </c>
      <c r="F886" s="19" t="str">
        <f>IFERROR(__xludf.DUMMYFUNCTION("""COMPUTED_VALUE"""),"BLACK")</f>
        <v>BLACK</v>
      </c>
      <c r="G886" s="20" t="str">
        <f>IFERROR(__xludf.DUMMYFUNCTION("""COMPUTED_VALUE"""),"Uncle Sams Cider (5/13/2022)")</f>
        <v>Uncle Sams Cider (5/13/2022)</v>
      </c>
      <c r="H886" s="19"/>
    </row>
    <row r="887">
      <c r="A887" s="9"/>
      <c r="B887" s="15"/>
      <c r="C887" s="9">
        <f>IFERROR(__xludf.DUMMYFUNCTION("""COMPUTED_VALUE"""),44787.377665)</f>
        <v>44787.37767</v>
      </c>
      <c r="D887" s="15">
        <f>IFERROR(__xludf.DUMMYFUNCTION("""COMPUTED_VALUE"""),1.004)</f>
        <v>1.004</v>
      </c>
      <c r="E887" s="16">
        <f>IFERROR(__xludf.DUMMYFUNCTION("""COMPUTED_VALUE"""),69.0)</f>
        <v>69</v>
      </c>
      <c r="F887" s="19" t="str">
        <f>IFERROR(__xludf.DUMMYFUNCTION("""COMPUTED_VALUE"""),"BLACK")</f>
        <v>BLACK</v>
      </c>
      <c r="G887" s="20" t="str">
        <f>IFERROR(__xludf.DUMMYFUNCTION("""COMPUTED_VALUE"""),"Uncle Sams Cider (5/13/2022)")</f>
        <v>Uncle Sams Cider (5/13/2022)</v>
      </c>
      <c r="H887" s="19"/>
    </row>
    <row r="888">
      <c r="A888" s="9"/>
      <c r="B888" s="15"/>
      <c r="C888" s="9">
        <f>IFERROR(__xludf.DUMMYFUNCTION("""COMPUTED_VALUE"""),44787.367245081)</f>
        <v>44787.36725</v>
      </c>
      <c r="D888" s="15">
        <f>IFERROR(__xludf.DUMMYFUNCTION("""COMPUTED_VALUE"""),1.004)</f>
        <v>1.004</v>
      </c>
      <c r="E888" s="16">
        <f>IFERROR(__xludf.DUMMYFUNCTION("""COMPUTED_VALUE"""),70.0)</f>
        <v>70</v>
      </c>
      <c r="F888" s="19" t="str">
        <f>IFERROR(__xludf.DUMMYFUNCTION("""COMPUTED_VALUE"""),"BLACK")</f>
        <v>BLACK</v>
      </c>
      <c r="G888" s="20" t="str">
        <f>IFERROR(__xludf.DUMMYFUNCTION("""COMPUTED_VALUE"""),"Uncle Sams Cider (5/13/2022)")</f>
        <v>Uncle Sams Cider (5/13/2022)</v>
      </c>
      <c r="H888" s="19"/>
    </row>
    <row r="889">
      <c r="A889" s="9"/>
      <c r="B889" s="15"/>
      <c r="C889" s="9">
        <f>IFERROR(__xludf.DUMMYFUNCTION("""COMPUTED_VALUE"""),44787.3567998264)</f>
        <v>44787.3568</v>
      </c>
      <c r="D889" s="15">
        <f>IFERROR(__xludf.DUMMYFUNCTION("""COMPUTED_VALUE"""),1.004)</f>
        <v>1.004</v>
      </c>
      <c r="E889" s="16">
        <f>IFERROR(__xludf.DUMMYFUNCTION("""COMPUTED_VALUE"""),69.0)</f>
        <v>69</v>
      </c>
      <c r="F889" s="19" t="str">
        <f>IFERROR(__xludf.DUMMYFUNCTION("""COMPUTED_VALUE"""),"BLACK")</f>
        <v>BLACK</v>
      </c>
      <c r="G889" s="20" t="str">
        <f>IFERROR(__xludf.DUMMYFUNCTION("""COMPUTED_VALUE"""),"Uncle Sams Cider (5/13/2022)")</f>
        <v>Uncle Sams Cider (5/13/2022)</v>
      </c>
      <c r="H889" s="19"/>
    </row>
    <row r="890">
      <c r="A890" s="9"/>
      <c r="B890" s="15"/>
      <c r="C890" s="9">
        <f>IFERROR(__xludf.DUMMYFUNCTION("""COMPUTED_VALUE"""),44787.3463684143)</f>
        <v>44787.34637</v>
      </c>
      <c r="D890" s="15">
        <f>IFERROR(__xludf.DUMMYFUNCTION("""COMPUTED_VALUE"""),1.004)</f>
        <v>1.004</v>
      </c>
      <c r="E890" s="16">
        <f>IFERROR(__xludf.DUMMYFUNCTION("""COMPUTED_VALUE"""),70.0)</f>
        <v>70</v>
      </c>
      <c r="F890" s="19" t="str">
        <f>IFERROR(__xludf.DUMMYFUNCTION("""COMPUTED_VALUE"""),"BLACK")</f>
        <v>BLACK</v>
      </c>
      <c r="G890" s="20" t="str">
        <f>IFERROR(__xludf.DUMMYFUNCTION("""COMPUTED_VALUE"""),"Uncle Sams Cider (5/13/2022)")</f>
        <v>Uncle Sams Cider (5/13/2022)</v>
      </c>
      <c r="H890" s="19"/>
    </row>
    <row r="891">
      <c r="A891" s="9"/>
      <c r="B891" s="15"/>
      <c r="C891" s="9">
        <f>IFERROR(__xludf.DUMMYFUNCTION("""COMPUTED_VALUE"""),44787.3359462847)</f>
        <v>44787.33595</v>
      </c>
      <c r="D891" s="15">
        <f>IFERROR(__xludf.DUMMYFUNCTION("""COMPUTED_VALUE"""),1.004)</f>
        <v>1.004</v>
      </c>
      <c r="E891" s="16">
        <f>IFERROR(__xludf.DUMMYFUNCTION("""COMPUTED_VALUE"""),70.0)</f>
        <v>70</v>
      </c>
      <c r="F891" s="19" t="str">
        <f>IFERROR(__xludf.DUMMYFUNCTION("""COMPUTED_VALUE"""),"BLACK")</f>
        <v>BLACK</v>
      </c>
      <c r="G891" s="20" t="str">
        <f>IFERROR(__xludf.DUMMYFUNCTION("""COMPUTED_VALUE"""),"Uncle Sams Cider (5/13/2022)")</f>
        <v>Uncle Sams Cider (5/13/2022)</v>
      </c>
      <c r="H891" s="19"/>
    </row>
    <row r="892">
      <c r="A892" s="9"/>
      <c r="B892" s="15"/>
      <c r="C892" s="9">
        <f>IFERROR(__xludf.DUMMYFUNCTION("""COMPUTED_VALUE"""),44787.3255245949)</f>
        <v>44787.32552</v>
      </c>
      <c r="D892" s="15">
        <f>IFERROR(__xludf.DUMMYFUNCTION("""COMPUTED_VALUE"""),1.004)</f>
        <v>1.004</v>
      </c>
      <c r="E892" s="16">
        <f>IFERROR(__xludf.DUMMYFUNCTION("""COMPUTED_VALUE"""),69.0)</f>
        <v>69</v>
      </c>
      <c r="F892" s="19" t="str">
        <f>IFERROR(__xludf.DUMMYFUNCTION("""COMPUTED_VALUE"""),"BLACK")</f>
        <v>BLACK</v>
      </c>
      <c r="G892" s="20" t="str">
        <f>IFERROR(__xludf.DUMMYFUNCTION("""COMPUTED_VALUE"""),"Uncle Sams Cider (5/13/2022)")</f>
        <v>Uncle Sams Cider (5/13/2022)</v>
      </c>
      <c r="H892" s="19"/>
    </row>
    <row r="893">
      <c r="A893" s="9"/>
      <c r="B893" s="15"/>
      <c r="C893" s="9">
        <f>IFERROR(__xludf.DUMMYFUNCTION("""COMPUTED_VALUE"""),44787.3151054282)</f>
        <v>44787.31511</v>
      </c>
      <c r="D893" s="15">
        <f>IFERROR(__xludf.DUMMYFUNCTION("""COMPUTED_VALUE"""),1.004)</f>
        <v>1.004</v>
      </c>
      <c r="E893" s="16">
        <f>IFERROR(__xludf.DUMMYFUNCTION("""COMPUTED_VALUE"""),69.0)</f>
        <v>69</v>
      </c>
      <c r="F893" s="19" t="str">
        <f>IFERROR(__xludf.DUMMYFUNCTION("""COMPUTED_VALUE"""),"BLACK")</f>
        <v>BLACK</v>
      </c>
      <c r="G893" s="20" t="str">
        <f>IFERROR(__xludf.DUMMYFUNCTION("""COMPUTED_VALUE"""),"Uncle Sams Cider (5/13/2022)")</f>
        <v>Uncle Sams Cider (5/13/2022)</v>
      </c>
      <c r="H893" s="19"/>
    </row>
    <row r="894">
      <c r="A894" s="9"/>
      <c r="B894" s="15"/>
      <c r="C894" s="9">
        <f>IFERROR(__xludf.DUMMYFUNCTION("""COMPUTED_VALUE"""),44787.3046717361)</f>
        <v>44787.30467</v>
      </c>
      <c r="D894" s="15">
        <f>IFERROR(__xludf.DUMMYFUNCTION("""COMPUTED_VALUE"""),1.004)</f>
        <v>1.004</v>
      </c>
      <c r="E894" s="16">
        <f>IFERROR(__xludf.DUMMYFUNCTION("""COMPUTED_VALUE"""),69.0)</f>
        <v>69</v>
      </c>
      <c r="F894" s="19" t="str">
        <f>IFERROR(__xludf.DUMMYFUNCTION("""COMPUTED_VALUE"""),"BLACK")</f>
        <v>BLACK</v>
      </c>
      <c r="G894" s="20" t="str">
        <f>IFERROR(__xludf.DUMMYFUNCTION("""COMPUTED_VALUE"""),"Uncle Sams Cider (5/13/2022)")</f>
        <v>Uncle Sams Cider (5/13/2022)</v>
      </c>
      <c r="H894" s="19"/>
    </row>
    <row r="895">
      <c r="A895" s="9"/>
      <c r="B895" s="15"/>
      <c r="C895" s="9">
        <f>IFERROR(__xludf.DUMMYFUNCTION("""COMPUTED_VALUE"""),44787.2942501041)</f>
        <v>44787.29425</v>
      </c>
      <c r="D895" s="15">
        <f>IFERROR(__xludf.DUMMYFUNCTION("""COMPUTED_VALUE"""),1.004)</f>
        <v>1.004</v>
      </c>
      <c r="E895" s="16">
        <f>IFERROR(__xludf.DUMMYFUNCTION("""COMPUTED_VALUE"""),69.0)</f>
        <v>69</v>
      </c>
      <c r="F895" s="19" t="str">
        <f>IFERROR(__xludf.DUMMYFUNCTION("""COMPUTED_VALUE"""),"BLACK")</f>
        <v>BLACK</v>
      </c>
      <c r="G895" s="20" t="str">
        <f>IFERROR(__xludf.DUMMYFUNCTION("""COMPUTED_VALUE"""),"Uncle Sams Cider (5/13/2022)")</f>
        <v>Uncle Sams Cider (5/13/2022)</v>
      </c>
      <c r="H895" s="19"/>
    </row>
    <row r="896">
      <c r="A896" s="9"/>
      <c r="B896" s="15"/>
      <c r="C896" s="9">
        <f>IFERROR(__xludf.DUMMYFUNCTION("""COMPUTED_VALUE"""),44787.2838265162)</f>
        <v>44787.28383</v>
      </c>
      <c r="D896" s="15">
        <f>IFERROR(__xludf.DUMMYFUNCTION("""COMPUTED_VALUE"""),1.004)</f>
        <v>1.004</v>
      </c>
      <c r="E896" s="16">
        <f>IFERROR(__xludf.DUMMYFUNCTION("""COMPUTED_VALUE"""),69.0)</f>
        <v>69</v>
      </c>
      <c r="F896" s="19" t="str">
        <f>IFERROR(__xludf.DUMMYFUNCTION("""COMPUTED_VALUE"""),"BLACK")</f>
        <v>BLACK</v>
      </c>
      <c r="G896" s="20" t="str">
        <f>IFERROR(__xludf.DUMMYFUNCTION("""COMPUTED_VALUE"""),"Uncle Sams Cider (5/13/2022)")</f>
        <v>Uncle Sams Cider (5/13/2022)</v>
      </c>
      <c r="H896" s="19"/>
    </row>
    <row r="897">
      <c r="A897" s="9"/>
      <c r="B897" s="15"/>
      <c r="C897" s="9">
        <f>IFERROR(__xludf.DUMMYFUNCTION("""COMPUTED_VALUE"""),44787.2734041203)</f>
        <v>44787.2734</v>
      </c>
      <c r="D897" s="15">
        <f>IFERROR(__xludf.DUMMYFUNCTION("""COMPUTED_VALUE"""),1.004)</f>
        <v>1.004</v>
      </c>
      <c r="E897" s="16">
        <f>IFERROR(__xludf.DUMMYFUNCTION("""COMPUTED_VALUE"""),69.0)</f>
        <v>69</v>
      </c>
      <c r="F897" s="19" t="str">
        <f>IFERROR(__xludf.DUMMYFUNCTION("""COMPUTED_VALUE"""),"BLACK")</f>
        <v>BLACK</v>
      </c>
      <c r="G897" s="20" t="str">
        <f>IFERROR(__xludf.DUMMYFUNCTION("""COMPUTED_VALUE"""),"Uncle Sams Cider (5/13/2022)")</f>
        <v>Uncle Sams Cider (5/13/2022)</v>
      </c>
      <c r="H897" s="19"/>
    </row>
    <row r="898">
      <c r="A898" s="9"/>
      <c r="B898" s="15"/>
      <c r="C898" s="9">
        <f>IFERROR(__xludf.DUMMYFUNCTION("""COMPUTED_VALUE"""),44787.2629825463)</f>
        <v>44787.26298</v>
      </c>
      <c r="D898" s="15">
        <f>IFERROR(__xludf.DUMMYFUNCTION("""COMPUTED_VALUE"""),1.004)</f>
        <v>1.004</v>
      </c>
      <c r="E898" s="16">
        <f>IFERROR(__xludf.DUMMYFUNCTION("""COMPUTED_VALUE"""),69.0)</f>
        <v>69</v>
      </c>
      <c r="F898" s="19" t="str">
        <f>IFERROR(__xludf.DUMMYFUNCTION("""COMPUTED_VALUE"""),"BLACK")</f>
        <v>BLACK</v>
      </c>
      <c r="G898" s="20" t="str">
        <f>IFERROR(__xludf.DUMMYFUNCTION("""COMPUTED_VALUE"""),"Uncle Sams Cider (5/13/2022)")</f>
        <v>Uncle Sams Cider (5/13/2022)</v>
      </c>
      <c r="H898" s="19"/>
    </row>
    <row r="899">
      <c r="A899" s="9"/>
      <c r="B899" s="15"/>
      <c r="C899" s="9">
        <f>IFERROR(__xludf.DUMMYFUNCTION("""COMPUTED_VALUE"""),44787.2525499884)</f>
        <v>44787.25255</v>
      </c>
      <c r="D899" s="15">
        <f>IFERROR(__xludf.DUMMYFUNCTION("""COMPUTED_VALUE"""),1.004)</f>
        <v>1.004</v>
      </c>
      <c r="E899" s="16">
        <f>IFERROR(__xludf.DUMMYFUNCTION("""COMPUTED_VALUE"""),69.0)</f>
        <v>69</v>
      </c>
      <c r="F899" s="19" t="str">
        <f>IFERROR(__xludf.DUMMYFUNCTION("""COMPUTED_VALUE"""),"BLACK")</f>
        <v>BLACK</v>
      </c>
      <c r="G899" s="20" t="str">
        <f>IFERROR(__xludf.DUMMYFUNCTION("""COMPUTED_VALUE"""),"Uncle Sams Cider (5/13/2022)")</f>
        <v>Uncle Sams Cider (5/13/2022)</v>
      </c>
      <c r="H899" s="19"/>
    </row>
    <row r="900">
      <c r="A900" s="9"/>
      <c r="B900" s="15"/>
      <c r="C900" s="9">
        <f>IFERROR(__xludf.DUMMYFUNCTION("""COMPUTED_VALUE"""),44787.2421187268)</f>
        <v>44787.24212</v>
      </c>
      <c r="D900" s="15">
        <f>IFERROR(__xludf.DUMMYFUNCTION("""COMPUTED_VALUE"""),1.004)</f>
        <v>1.004</v>
      </c>
      <c r="E900" s="16">
        <f>IFERROR(__xludf.DUMMYFUNCTION("""COMPUTED_VALUE"""),69.0)</f>
        <v>69</v>
      </c>
      <c r="F900" s="19" t="str">
        <f>IFERROR(__xludf.DUMMYFUNCTION("""COMPUTED_VALUE"""),"BLACK")</f>
        <v>BLACK</v>
      </c>
      <c r="G900" s="20" t="str">
        <f>IFERROR(__xludf.DUMMYFUNCTION("""COMPUTED_VALUE"""),"Uncle Sams Cider (5/13/2022)")</f>
        <v>Uncle Sams Cider (5/13/2022)</v>
      </c>
      <c r="H900" s="19"/>
    </row>
    <row r="901">
      <c r="A901" s="9"/>
      <c r="B901" s="15"/>
      <c r="C901" s="9">
        <f>IFERROR(__xludf.DUMMYFUNCTION("""COMPUTED_VALUE"""),44787.2316973032)</f>
        <v>44787.2317</v>
      </c>
      <c r="D901" s="15">
        <f>IFERROR(__xludf.DUMMYFUNCTION("""COMPUTED_VALUE"""),1.004)</f>
        <v>1.004</v>
      </c>
      <c r="E901" s="16">
        <f>IFERROR(__xludf.DUMMYFUNCTION("""COMPUTED_VALUE"""),69.0)</f>
        <v>69</v>
      </c>
      <c r="F901" s="19" t="str">
        <f>IFERROR(__xludf.DUMMYFUNCTION("""COMPUTED_VALUE"""),"BLACK")</f>
        <v>BLACK</v>
      </c>
      <c r="G901" s="20" t="str">
        <f>IFERROR(__xludf.DUMMYFUNCTION("""COMPUTED_VALUE"""),"Uncle Sams Cider (5/13/2022)")</f>
        <v>Uncle Sams Cider (5/13/2022)</v>
      </c>
      <c r="H901" s="19"/>
    </row>
    <row r="902">
      <c r="A902" s="9"/>
      <c r="B902" s="15"/>
      <c r="C902" s="9">
        <f>IFERROR(__xludf.DUMMYFUNCTION("""COMPUTED_VALUE"""),44787.2212757986)</f>
        <v>44787.22128</v>
      </c>
      <c r="D902" s="15">
        <f>IFERROR(__xludf.DUMMYFUNCTION("""COMPUTED_VALUE"""),1.004)</f>
        <v>1.004</v>
      </c>
      <c r="E902" s="16">
        <f>IFERROR(__xludf.DUMMYFUNCTION("""COMPUTED_VALUE"""),69.0)</f>
        <v>69</v>
      </c>
      <c r="F902" s="19" t="str">
        <f>IFERROR(__xludf.DUMMYFUNCTION("""COMPUTED_VALUE"""),"BLACK")</f>
        <v>BLACK</v>
      </c>
      <c r="G902" s="20" t="str">
        <f>IFERROR(__xludf.DUMMYFUNCTION("""COMPUTED_VALUE"""),"Uncle Sams Cider (5/13/2022)")</f>
        <v>Uncle Sams Cider (5/13/2022)</v>
      </c>
      <c r="H902" s="19"/>
    </row>
    <row r="903">
      <c r="A903" s="9"/>
      <c r="B903" s="15"/>
      <c r="C903" s="9">
        <f>IFERROR(__xludf.DUMMYFUNCTION("""COMPUTED_VALUE"""),44787.2108552893)</f>
        <v>44787.21086</v>
      </c>
      <c r="D903" s="15">
        <f>IFERROR(__xludf.DUMMYFUNCTION("""COMPUTED_VALUE"""),1.004)</f>
        <v>1.004</v>
      </c>
      <c r="E903" s="16">
        <f>IFERROR(__xludf.DUMMYFUNCTION("""COMPUTED_VALUE"""),69.0)</f>
        <v>69</v>
      </c>
      <c r="F903" s="19" t="str">
        <f>IFERROR(__xludf.DUMMYFUNCTION("""COMPUTED_VALUE"""),"BLACK")</f>
        <v>BLACK</v>
      </c>
      <c r="G903" s="20" t="str">
        <f>IFERROR(__xludf.DUMMYFUNCTION("""COMPUTED_VALUE"""),"Uncle Sams Cider (5/13/2022)")</f>
        <v>Uncle Sams Cider (5/13/2022)</v>
      </c>
      <c r="H903" s="19"/>
    </row>
    <row r="904">
      <c r="A904" s="9"/>
      <c r="B904" s="15"/>
      <c r="C904" s="9">
        <f>IFERROR(__xludf.DUMMYFUNCTION("""COMPUTED_VALUE"""),44787.2004330208)</f>
        <v>44787.20043</v>
      </c>
      <c r="D904" s="15">
        <f>IFERROR(__xludf.DUMMYFUNCTION("""COMPUTED_VALUE"""),1.004)</f>
        <v>1.004</v>
      </c>
      <c r="E904" s="16">
        <f>IFERROR(__xludf.DUMMYFUNCTION("""COMPUTED_VALUE"""),69.0)</f>
        <v>69</v>
      </c>
      <c r="F904" s="19" t="str">
        <f>IFERROR(__xludf.DUMMYFUNCTION("""COMPUTED_VALUE"""),"BLACK")</f>
        <v>BLACK</v>
      </c>
      <c r="G904" s="20" t="str">
        <f>IFERROR(__xludf.DUMMYFUNCTION("""COMPUTED_VALUE"""),"Uncle Sams Cider (5/13/2022)")</f>
        <v>Uncle Sams Cider (5/13/2022)</v>
      </c>
      <c r="H904" s="19"/>
    </row>
    <row r="905">
      <c r="A905" s="9"/>
      <c r="B905" s="15"/>
      <c r="C905" s="9">
        <f>IFERROR(__xludf.DUMMYFUNCTION("""COMPUTED_VALUE"""),44787.1900111574)</f>
        <v>44787.19001</v>
      </c>
      <c r="D905" s="15">
        <f>IFERROR(__xludf.DUMMYFUNCTION("""COMPUTED_VALUE"""),1.004)</f>
        <v>1.004</v>
      </c>
      <c r="E905" s="16">
        <f>IFERROR(__xludf.DUMMYFUNCTION("""COMPUTED_VALUE"""),69.0)</f>
        <v>69</v>
      </c>
      <c r="F905" s="19" t="str">
        <f>IFERROR(__xludf.DUMMYFUNCTION("""COMPUTED_VALUE"""),"BLACK")</f>
        <v>BLACK</v>
      </c>
      <c r="G905" s="20" t="str">
        <f>IFERROR(__xludf.DUMMYFUNCTION("""COMPUTED_VALUE"""),"Uncle Sams Cider (5/13/2022)")</f>
        <v>Uncle Sams Cider (5/13/2022)</v>
      </c>
      <c r="H905" s="19"/>
    </row>
    <row r="906">
      <c r="A906" s="9"/>
      <c r="B906" s="15"/>
      <c r="C906" s="9">
        <f>IFERROR(__xludf.DUMMYFUNCTION("""COMPUTED_VALUE"""),44787.1795780787)</f>
        <v>44787.17958</v>
      </c>
      <c r="D906" s="15">
        <f>IFERROR(__xludf.DUMMYFUNCTION("""COMPUTED_VALUE"""),1.004)</f>
        <v>1.004</v>
      </c>
      <c r="E906" s="16">
        <f>IFERROR(__xludf.DUMMYFUNCTION("""COMPUTED_VALUE"""),69.0)</f>
        <v>69</v>
      </c>
      <c r="F906" s="19" t="str">
        <f>IFERROR(__xludf.DUMMYFUNCTION("""COMPUTED_VALUE"""),"BLACK")</f>
        <v>BLACK</v>
      </c>
      <c r="G906" s="20" t="str">
        <f>IFERROR(__xludf.DUMMYFUNCTION("""COMPUTED_VALUE"""),"Uncle Sams Cider (5/13/2022)")</f>
        <v>Uncle Sams Cider (5/13/2022)</v>
      </c>
      <c r="H906" s="19"/>
    </row>
    <row r="907">
      <c r="A907" s="9"/>
      <c r="B907" s="15"/>
      <c r="C907" s="9">
        <f>IFERROR(__xludf.DUMMYFUNCTION("""COMPUTED_VALUE"""),44787.1691572685)</f>
        <v>44787.16916</v>
      </c>
      <c r="D907" s="15">
        <f>IFERROR(__xludf.DUMMYFUNCTION("""COMPUTED_VALUE"""),1.004)</f>
        <v>1.004</v>
      </c>
      <c r="E907" s="16">
        <f>IFERROR(__xludf.DUMMYFUNCTION("""COMPUTED_VALUE"""),69.0)</f>
        <v>69</v>
      </c>
      <c r="F907" s="19" t="str">
        <f>IFERROR(__xludf.DUMMYFUNCTION("""COMPUTED_VALUE"""),"BLACK")</f>
        <v>BLACK</v>
      </c>
      <c r="G907" s="20" t="str">
        <f>IFERROR(__xludf.DUMMYFUNCTION("""COMPUTED_VALUE"""),"Uncle Sams Cider (5/13/2022)")</f>
        <v>Uncle Sams Cider (5/13/2022)</v>
      </c>
      <c r="H907" s="19"/>
    </row>
    <row r="908">
      <c r="A908" s="9"/>
      <c r="B908" s="15"/>
      <c r="C908" s="9">
        <f>IFERROR(__xludf.DUMMYFUNCTION("""COMPUTED_VALUE"""),44787.1587269213)</f>
        <v>44787.15873</v>
      </c>
      <c r="D908" s="15">
        <f>IFERROR(__xludf.DUMMYFUNCTION("""COMPUTED_VALUE"""),1.004)</f>
        <v>1.004</v>
      </c>
      <c r="E908" s="16">
        <f>IFERROR(__xludf.DUMMYFUNCTION("""COMPUTED_VALUE"""),69.0)</f>
        <v>69</v>
      </c>
      <c r="F908" s="19" t="str">
        <f>IFERROR(__xludf.DUMMYFUNCTION("""COMPUTED_VALUE"""),"BLACK")</f>
        <v>BLACK</v>
      </c>
      <c r="G908" s="20" t="str">
        <f>IFERROR(__xludf.DUMMYFUNCTION("""COMPUTED_VALUE"""),"Uncle Sams Cider (5/13/2022)")</f>
        <v>Uncle Sams Cider (5/13/2022)</v>
      </c>
      <c r="H908" s="19"/>
    </row>
    <row r="909">
      <c r="A909" s="9"/>
      <c r="B909" s="15"/>
      <c r="C909" s="9">
        <f>IFERROR(__xludf.DUMMYFUNCTION("""COMPUTED_VALUE"""),44787.1483046875)</f>
        <v>44787.1483</v>
      </c>
      <c r="D909" s="15">
        <f>IFERROR(__xludf.DUMMYFUNCTION("""COMPUTED_VALUE"""),1.004)</f>
        <v>1.004</v>
      </c>
      <c r="E909" s="16">
        <f>IFERROR(__xludf.DUMMYFUNCTION("""COMPUTED_VALUE"""),69.0)</f>
        <v>69</v>
      </c>
      <c r="F909" s="19" t="str">
        <f>IFERROR(__xludf.DUMMYFUNCTION("""COMPUTED_VALUE"""),"BLACK")</f>
        <v>BLACK</v>
      </c>
      <c r="G909" s="20" t="str">
        <f>IFERROR(__xludf.DUMMYFUNCTION("""COMPUTED_VALUE"""),"Uncle Sams Cider (5/13/2022)")</f>
        <v>Uncle Sams Cider (5/13/2022)</v>
      </c>
      <c r="H909" s="19"/>
    </row>
    <row r="910">
      <c r="A910" s="9"/>
      <c r="B910" s="15"/>
      <c r="C910" s="9">
        <f>IFERROR(__xludf.DUMMYFUNCTION("""COMPUTED_VALUE"""),44787.1378843865)</f>
        <v>44787.13788</v>
      </c>
      <c r="D910" s="15">
        <f>IFERROR(__xludf.DUMMYFUNCTION("""COMPUTED_VALUE"""),1.004)</f>
        <v>1.004</v>
      </c>
      <c r="E910" s="16">
        <f>IFERROR(__xludf.DUMMYFUNCTION("""COMPUTED_VALUE"""),69.0)</f>
        <v>69</v>
      </c>
      <c r="F910" s="19" t="str">
        <f>IFERROR(__xludf.DUMMYFUNCTION("""COMPUTED_VALUE"""),"BLACK")</f>
        <v>BLACK</v>
      </c>
      <c r="G910" s="20" t="str">
        <f>IFERROR(__xludf.DUMMYFUNCTION("""COMPUTED_VALUE"""),"Uncle Sams Cider (5/13/2022)")</f>
        <v>Uncle Sams Cider (5/13/2022)</v>
      </c>
      <c r="H910" s="19"/>
    </row>
    <row r="911">
      <c r="A911" s="9"/>
      <c r="B911" s="15"/>
      <c r="C911" s="9">
        <f>IFERROR(__xludf.DUMMYFUNCTION("""COMPUTED_VALUE"""),44787.1274609027)</f>
        <v>44787.12746</v>
      </c>
      <c r="D911" s="15">
        <f>IFERROR(__xludf.DUMMYFUNCTION("""COMPUTED_VALUE"""),1.004)</f>
        <v>1.004</v>
      </c>
      <c r="E911" s="16">
        <f>IFERROR(__xludf.DUMMYFUNCTION("""COMPUTED_VALUE"""),69.0)</f>
        <v>69</v>
      </c>
      <c r="F911" s="19" t="str">
        <f>IFERROR(__xludf.DUMMYFUNCTION("""COMPUTED_VALUE"""),"BLACK")</f>
        <v>BLACK</v>
      </c>
      <c r="G911" s="20" t="str">
        <f>IFERROR(__xludf.DUMMYFUNCTION("""COMPUTED_VALUE"""),"Uncle Sams Cider (5/13/2022)")</f>
        <v>Uncle Sams Cider (5/13/2022)</v>
      </c>
      <c r="H911" s="19"/>
    </row>
    <row r="912">
      <c r="A912" s="9"/>
      <c r="B912" s="15"/>
      <c r="C912" s="9">
        <f>IFERROR(__xludf.DUMMYFUNCTION("""COMPUTED_VALUE"""),44787.1170412731)</f>
        <v>44787.11704</v>
      </c>
      <c r="D912" s="15">
        <f>IFERROR(__xludf.DUMMYFUNCTION("""COMPUTED_VALUE"""),1.004)</f>
        <v>1.004</v>
      </c>
      <c r="E912" s="16">
        <f>IFERROR(__xludf.DUMMYFUNCTION("""COMPUTED_VALUE"""),69.0)</f>
        <v>69</v>
      </c>
      <c r="F912" s="19" t="str">
        <f>IFERROR(__xludf.DUMMYFUNCTION("""COMPUTED_VALUE"""),"BLACK")</f>
        <v>BLACK</v>
      </c>
      <c r="G912" s="20" t="str">
        <f>IFERROR(__xludf.DUMMYFUNCTION("""COMPUTED_VALUE"""),"Uncle Sams Cider (5/13/2022)")</f>
        <v>Uncle Sams Cider (5/13/2022)</v>
      </c>
      <c r="H912" s="19"/>
    </row>
    <row r="913">
      <c r="A913" s="9"/>
      <c r="B913" s="15"/>
      <c r="C913" s="9">
        <f>IFERROR(__xludf.DUMMYFUNCTION("""COMPUTED_VALUE"""),44787.1066187615)</f>
        <v>44787.10662</v>
      </c>
      <c r="D913" s="15">
        <f>IFERROR(__xludf.DUMMYFUNCTION("""COMPUTED_VALUE"""),1.004)</f>
        <v>1.004</v>
      </c>
      <c r="E913" s="16">
        <f>IFERROR(__xludf.DUMMYFUNCTION("""COMPUTED_VALUE"""),69.0)</f>
        <v>69</v>
      </c>
      <c r="F913" s="19" t="str">
        <f>IFERROR(__xludf.DUMMYFUNCTION("""COMPUTED_VALUE"""),"BLACK")</f>
        <v>BLACK</v>
      </c>
      <c r="G913" s="20" t="str">
        <f>IFERROR(__xludf.DUMMYFUNCTION("""COMPUTED_VALUE"""),"Uncle Sams Cider (5/13/2022)")</f>
        <v>Uncle Sams Cider (5/13/2022)</v>
      </c>
      <c r="H913" s="19"/>
    </row>
    <row r="914">
      <c r="A914" s="9"/>
      <c r="B914" s="15"/>
      <c r="C914" s="9">
        <f>IFERROR(__xludf.DUMMYFUNCTION("""COMPUTED_VALUE"""),44787.0961974074)</f>
        <v>44787.0962</v>
      </c>
      <c r="D914" s="15">
        <f>IFERROR(__xludf.DUMMYFUNCTION("""COMPUTED_VALUE"""),1.004)</f>
        <v>1.004</v>
      </c>
      <c r="E914" s="16">
        <f>IFERROR(__xludf.DUMMYFUNCTION("""COMPUTED_VALUE"""),69.0)</f>
        <v>69</v>
      </c>
      <c r="F914" s="19" t="str">
        <f>IFERROR(__xludf.DUMMYFUNCTION("""COMPUTED_VALUE"""),"BLACK")</f>
        <v>BLACK</v>
      </c>
      <c r="G914" s="20" t="str">
        <f>IFERROR(__xludf.DUMMYFUNCTION("""COMPUTED_VALUE"""),"Uncle Sams Cider (5/13/2022)")</f>
        <v>Uncle Sams Cider (5/13/2022)</v>
      </c>
      <c r="H914" s="19"/>
    </row>
    <row r="915">
      <c r="A915" s="9"/>
      <c r="B915" s="15"/>
      <c r="C915" s="9">
        <f>IFERROR(__xludf.DUMMYFUNCTION("""COMPUTED_VALUE"""),44787.0857769791)</f>
        <v>44787.08578</v>
      </c>
      <c r="D915" s="15">
        <f>IFERROR(__xludf.DUMMYFUNCTION("""COMPUTED_VALUE"""),1.004)</f>
        <v>1.004</v>
      </c>
      <c r="E915" s="16">
        <f>IFERROR(__xludf.DUMMYFUNCTION("""COMPUTED_VALUE"""),69.0)</f>
        <v>69</v>
      </c>
      <c r="F915" s="19" t="str">
        <f>IFERROR(__xludf.DUMMYFUNCTION("""COMPUTED_VALUE"""),"BLACK")</f>
        <v>BLACK</v>
      </c>
      <c r="G915" s="20" t="str">
        <f>IFERROR(__xludf.DUMMYFUNCTION("""COMPUTED_VALUE"""),"Uncle Sams Cider (5/13/2022)")</f>
        <v>Uncle Sams Cider (5/13/2022)</v>
      </c>
      <c r="H915" s="19"/>
    </row>
    <row r="916">
      <c r="A916" s="9"/>
      <c r="B916" s="15"/>
      <c r="C916" s="9">
        <f>IFERROR(__xludf.DUMMYFUNCTION("""COMPUTED_VALUE"""),44787.0753561342)</f>
        <v>44787.07536</v>
      </c>
      <c r="D916" s="15">
        <f>IFERROR(__xludf.DUMMYFUNCTION("""COMPUTED_VALUE"""),1.004)</f>
        <v>1.004</v>
      </c>
      <c r="E916" s="16">
        <f>IFERROR(__xludf.DUMMYFUNCTION("""COMPUTED_VALUE"""),69.0)</f>
        <v>69</v>
      </c>
      <c r="F916" s="19" t="str">
        <f>IFERROR(__xludf.DUMMYFUNCTION("""COMPUTED_VALUE"""),"BLACK")</f>
        <v>BLACK</v>
      </c>
      <c r="G916" s="20" t="str">
        <f>IFERROR(__xludf.DUMMYFUNCTION("""COMPUTED_VALUE"""),"Uncle Sams Cider (5/13/2022)")</f>
        <v>Uncle Sams Cider (5/13/2022)</v>
      </c>
      <c r="H916" s="19"/>
    </row>
    <row r="917">
      <c r="A917" s="9"/>
      <c r="B917" s="15"/>
      <c r="C917" s="9">
        <f>IFERROR(__xludf.DUMMYFUNCTION("""COMPUTED_VALUE"""),44787.0649342129)</f>
        <v>44787.06493</v>
      </c>
      <c r="D917" s="15">
        <f>IFERROR(__xludf.DUMMYFUNCTION("""COMPUTED_VALUE"""),1.004)</f>
        <v>1.004</v>
      </c>
      <c r="E917" s="16">
        <f>IFERROR(__xludf.DUMMYFUNCTION("""COMPUTED_VALUE"""),69.0)</f>
        <v>69</v>
      </c>
      <c r="F917" s="19" t="str">
        <f>IFERROR(__xludf.DUMMYFUNCTION("""COMPUTED_VALUE"""),"BLACK")</f>
        <v>BLACK</v>
      </c>
      <c r="G917" s="20" t="str">
        <f>IFERROR(__xludf.DUMMYFUNCTION("""COMPUTED_VALUE"""),"Uncle Sams Cider (5/13/2022)")</f>
        <v>Uncle Sams Cider (5/13/2022)</v>
      </c>
      <c r="H917" s="19"/>
    </row>
    <row r="918">
      <c r="A918" s="9"/>
      <c r="B918" s="15"/>
      <c r="C918" s="9">
        <f>IFERROR(__xludf.DUMMYFUNCTION("""COMPUTED_VALUE"""),44787.0545135763)</f>
        <v>44787.05451</v>
      </c>
      <c r="D918" s="15">
        <f>IFERROR(__xludf.DUMMYFUNCTION("""COMPUTED_VALUE"""),1.004)</f>
        <v>1.004</v>
      </c>
      <c r="E918" s="16">
        <f>IFERROR(__xludf.DUMMYFUNCTION("""COMPUTED_VALUE"""),69.0)</f>
        <v>69</v>
      </c>
      <c r="F918" s="19" t="str">
        <f>IFERROR(__xludf.DUMMYFUNCTION("""COMPUTED_VALUE"""),"BLACK")</f>
        <v>BLACK</v>
      </c>
      <c r="G918" s="20" t="str">
        <f>IFERROR(__xludf.DUMMYFUNCTION("""COMPUTED_VALUE"""),"Uncle Sams Cider (5/13/2022)")</f>
        <v>Uncle Sams Cider (5/13/2022)</v>
      </c>
      <c r="H918" s="19"/>
    </row>
    <row r="919">
      <c r="A919" s="9"/>
      <c r="B919" s="15"/>
      <c r="C919" s="9">
        <f>IFERROR(__xludf.DUMMYFUNCTION("""COMPUTED_VALUE"""),44787.0440936574)</f>
        <v>44787.04409</v>
      </c>
      <c r="D919" s="15">
        <f>IFERROR(__xludf.DUMMYFUNCTION("""COMPUTED_VALUE"""),1.004)</f>
        <v>1.004</v>
      </c>
      <c r="E919" s="16">
        <f>IFERROR(__xludf.DUMMYFUNCTION("""COMPUTED_VALUE"""),69.0)</f>
        <v>69</v>
      </c>
      <c r="F919" s="19" t="str">
        <f>IFERROR(__xludf.DUMMYFUNCTION("""COMPUTED_VALUE"""),"BLACK")</f>
        <v>BLACK</v>
      </c>
      <c r="G919" s="20" t="str">
        <f>IFERROR(__xludf.DUMMYFUNCTION("""COMPUTED_VALUE"""),"Uncle Sams Cider (5/13/2022)")</f>
        <v>Uncle Sams Cider (5/13/2022)</v>
      </c>
      <c r="H919" s="19"/>
    </row>
    <row r="920">
      <c r="A920" s="9"/>
      <c r="B920" s="15"/>
      <c r="C920" s="9">
        <f>IFERROR(__xludf.DUMMYFUNCTION("""COMPUTED_VALUE"""),44787.0336723379)</f>
        <v>44787.03367</v>
      </c>
      <c r="D920" s="15">
        <f>IFERROR(__xludf.DUMMYFUNCTION("""COMPUTED_VALUE"""),1.004)</f>
        <v>1.004</v>
      </c>
      <c r="E920" s="16">
        <f>IFERROR(__xludf.DUMMYFUNCTION("""COMPUTED_VALUE"""),69.0)</f>
        <v>69</v>
      </c>
      <c r="F920" s="19" t="str">
        <f>IFERROR(__xludf.DUMMYFUNCTION("""COMPUTED_VALUE"""),"BLACK")</f>
        <v>BLACK</v>
      </c>
      <c r="G920" s="20" t="str">
        <f>IFERROR(__xludf.DUMMYFUNCTION("""COMPUTED_VALUE"""),"Uncle Sams Cider (5/13/2022)")</f>
        <v>Uncle Sams Cider (5/13/2022)</v>
      </c>
      <c r="H920" s="19"/>
    </row>
    <row r="921">
      <c r="A921" s="9"/>
      <c r="B921" s="15"/>
      <c r="C921" s="9">
        <f>IFERROR(__xludf.DUMMYFUNCTION("""COMPUTED_VALUE"""),44787.0232500578)</f>
        <v>44787.02325</v>
      </c>
      <c r="D921" s="15">
        <f>IFERROR(__xludf.DUMMYFUNCTION("""COMPUTED_VALUE"""),1.004)</f>
        <v>1.004</v>
      </c>
      <c r="E921" s="16">
        <f>IFERROR(__xludf.DUMMYFUNCTION("""COMPUTED_VALUE"""),69.0)</f>
        <v>69</v>
      </c>
      <c r="F921" s="19" t="str">
        <f>IFERROR(__xludf.DUMMYFUNCTION("""COMPUTED_VALUE"""),"BLACK")</f>
        <v>BLACK</v>
      </c>
      <c r="G921" s="20" t="str">
        <f>IFERROR(__xludf.DUMMYFUNCTION("""COMPUTED_VALUE"""),"Uncle Sams Cider (5/13/2022)")</f>
        <v>Uncle Sams Cider (5/13/2022)</v>
      </c>
      <c r="H921" s="19"/>
    </row>
    <row r="922">
      <c r="A922" s="9"/>
      <c r="B922" s="15"/>
      <c r="C922" s="9">
        <f>IFERROR(__xludf.DUMMYFUNCTION("""COMPUTED_VALUE"""),44787.0128167708)</f>
        <v>44787.01282</v>
      </c>
      <c r="D922" s="15">
        <f>IFERROR(__xludf.DUMMYFUNCTION("""COMPUTED_VALUE"""),1.004)</f>
        <v>1.004</v>
      </c>
      <c r="E922" s="16">
        <f>IFERROR(__xludf.DUMMYFUNCTION("""COMPUTED_VALUE"""),69.0)</f>
        <v>69</v>
      </c>
      <c r="F922" s="19" t="str">
        <f>IFERROR(__xludf.DUMMYFUNCTION("""COMPUTED_VALUE"""),"BLACK")</f>
        <v>BLACK</v>
      </c>
      <c r="G922" s="20" t="str">
        <f>IFERROR(__xludf.DUMMYFUNCTION("""COMPUTED_VALUE"""),"Uncle Sams Cider (5/13/2022)")</f>
        <v>Uncle Sams Cider (5/13/2022)</v>
      </c>
      <c r="H922" s="19"/>
    </row>
    <row r="923">
      <c r="A923" s="9"/>
      <c r="B923" s="15"/>
      <c r="C923" s="9">
        <f>IFERROR(__xludf.DUMMYFUNCTION("""COMPUTED_VALUE"""),44787.0023956597)</f>
        <v>44787.0024</v>
      </c>
      <c r="D923" s="15">
        <f>IFERROR(__xludf.DUMMYFUNCTION("""COMPUTED_VALUE"""),1.004)</f>
        <v>1.004</v>
      </c>
      <c r="E923" s="16">
        <f>IFERROR(__xludf.DUMMYFUNCTION("""COMPUTED_VALUE"""),69.0)</f>
        <v>69</v>
      </c>
      <c r="F923" s="19" t="str">
        <f>IFERROR(__xludf.DUMMYFUNCTION("""COMPUTED_VALUE"""),"BLACK")</f>
        <v>BLACK</v>
      </c>
      <c r="G923" s="20" t="str">
        <f>IFERROR(__xludf.DUMMYFUNCTION("""COMPUTED_VALUE"""),"Uncle Sams Cider (5/13/2022)")</f>
        <v>Uncle Sams Cider (5/13/2022)</v>
      </c>
      <c r="H923" s="19"/>
    </row>
    <row r="924">
      <c r="A924" s="9"/>
      <c r="B924" s="15"/>
      <c r="C924" s="9">
        <f>IFERROR(__xludf.DUMMYFUNCTION("""COMPUTED_VALUE"""),44786.9919751388)</f>
        <v>44786.99198</v>
      </c>
      <c r="D924" s="15">
        <f>IFERROR(__xludf.DUMMYFUNCTION("""COMPUTED_VALUE"""),1.004)</f>
        <v>1.004</v>
      </c>
      <c r="E924" s="16">
        <f>IFERROR(__xludf.DUMMYFUNCTION("""COMPUTED_VALUE"""),69.0)</f>
        <v>69</v>
      </c>
      <c r="F924" s="19" t="str">
        <f>IFERROR(__xludf.DUMMYFUNCTION("""COMPUTED_VALUE"""),"BLACK")</f>
        <v>BLACK</v>
      </c>
      <c r="G924" s="20" t="str">
        <f>IFERROR(__xludf.DUMMYFUNCTION("""COMPUTED_VALUE"""),"Uncle Sams Cider (5/13/2022)")</f>
        <v>Uncle Sams Cider (5/13/2022)</v>
      </c>
      <c r="H924" s="19"/>
    </row>
    <row r="925">
      <c r="A925" s="9"/>
      <c r="B925" s="15"/>
      <c r="C925" s="9">
        <f>IFERROR(__xludf.DUMMYFUNCTION("""COMPUTED_VALUE"""),44786.9815433333)</f>
        <v>44786.98154</v>
      </c>
      <c r="D925" s="15">
        <f>IFERROR(__xludf.DUMMYFUNCTION("""COMPUTED_VALUE"""),1.004)</f>
        <v>1.004</v>
      </c>
      <c r="E925" s="16">
        <f>IFERROR(__xludf.DUMMYFUNCTION("""COMPUTED_VALUE"""),69.0)</f>
        <v>69</v>
      </c>
      <c r="F925" s="19" t="str">
        <f>IFERROR(__xludf.DUMMYFUNCTION("""COMPUTED_VALUE"""),"BLACK")</f>
        <v>BLACK</v>
      </c>
      <c r="G925" s="20" t="str">
        <f>IFERROR(__xludf.DUMMYFUNCTION("""COMPUTED_VALUE"""),"Uncle Sams Cider (5/13/2022)")</f>
        <v>Uncle Sams Cider (5/13/2022)</v>
      </c>
      <c r="H925" s="19"/>
    </row>
    <row r="926">
      <c r="A926" s="9"/>
      <c r="B926" s="15"/>
      <c r="C926" s="9">
        <f>IFERROR(__xludf.DUMMYFUNCTION("""COMPUTED_VALUE"""),44786.9711228009)</f>
        <v>44786.97112</v>
      </c>
      <c r="D926" s="15">
        <f>IFERROR(__xludf.DUMMYFUNCTION("""COMPUTED_VALUE"""),1.004)</f>
        <v>1.004</v>
      </c>
      <c r="E926" s="16">
        <f>IFERROR(__xludf.DUMMYFUNCTION("""COMPUTED_VALUE"""),69.0)</f>
        <v>69</v>
      </c>
      <c r="F926" s="19" t="str">
        <f>IFERROR(__xludf.DUMMYFUNCTION("""COMPUTED_VALUE"""),"BLACK")</f>
        <v>BLACK</v>
      </c>
      <c r="G926" s="20" t="str">
        <f>IFERROR(__xludf.DUMMYFUNCTION("""COMPUTED_VALUE"""),"Uncle Sams Cider (5/13/2022)")</f>
        <v>Uncle Sams Cider (5/13/2022)</v>
      </c>
      <c r="H926" s="19"/>
    </row>
    <row r="927">
      <c r="A927" s="9"/>
      <c r="B927" s="15"/>
      <c r="C927" s="9">
        <f>IFERROR(__xludf.DUMMYFUNCTION("""COMPUTED_VALUE"""),44786.9607028472)</f>
        <v>44786.9607</v>
      </c>
      <c r="D927" s="15">
        <f>IFERROR(__xludf.DUMMYFUNCTION("""COMPUTED_VALUE"""),1.004)</f>
        <v>1.004</v>
      </c>
      <c r="E927" s="16">
        <f>IFERROR(__xludf.DUMMYFUNCTION("""COMPUTED_VALUE"""),69.0)</f>
        <v>69</v>
      </c>
      <c r="F927" s="19" t="str">
        <f>IFERROR(__xludf.DUMMYFUNCTION("""COMPUTED_VALUE"""),"BLACK")</f>
        <v>BLACK</v>
      </c>
      <c r="G927" s="20" t="str">
        <f>IFERROR(__xludf.DUMMYFUNCTION("""COMPUTED_VALUE"""),"Uncle Sams Cider (5/13/2022)")</f>
        <v>Uncle Sams Cider (5/13/2022)</v>
      </c>
      <c r="H927" s="19"/>
    </row>
    <row r="928">
      <c r="A928" s="9"/>
      <c r="B928" s="15"/>
      <c r="C928" s="9">
        <f>IFERROR(__xludf.DUMMYFUNCTION("""COMPUTED_VALUE"""),44786.9502812152)</f>
        <v>44786.95028</v>
      </c>
      <c r="D928" s="15">
        <f>IFERROR(__xludf.DUMMYFUNCTION("""COMPUTED_VALUE"""),1.003)</f>
        <v>1.003</v>
      </c>
      <c r="E928" s="16">
        <f>IFERROR(__xludf.DUMMYFUNCTION("""COMPUTED_VALUE"""),69.0)</f>
        <v>69</v>
      </c>
      <c r="F928" s="19" t="str">
        <f>IFERROR(__xludf.DUMMYFUNCTION("""COMPUTED_VALUE"""),"BLACK")</f>
        <v>BLACK</v>
      </c>
      <c r="G928" s="20" t="str">
        <f>IFERROR(__xludf.DUMMYFUNCTION("""COMPUTED_VALUE"""),"Uncle Sams Cider (5/13/2022)")</f>
        <v>Uncle Sams Cider (5/13/2022)</v>
      </c>
      <c r="H928" s="19"/>
    </row>
    <row r="929">
      <c r="A929" s="9"/>
      <c r="B929" s="15"/>
      <c r="C929" s="9">
        <f>IFERROR(__xludf.DUMMYFUNCTION("""COMPUTED_VALUE"""),44786.9398501041)</f>
        <v>44786.93985</v>
      </c>
      <c r="D929" s="15">
        <f>IFERROR(__xludf.DUMMYFUNCTION("""COMPUTED_VALUE"""),1.004)</f>
        <v>1.004</v>
      </c>
      <c r="E929" s="16">
        <f>IFERROR(__xludf.DUMMYFUNCTION("""COMPUTED_VALUE"""),69.0)</f>
        <v>69</v>
      </c>
      <c r="F929" s="19" t="str">
        <f>IFERROR(__xludf.DUMMYFUNCTION("""COMPUTED_VALUE"""),"BLACK")</f>
        <v>BLACK</v>
      </c>
      <c r="G929" s="20" t="str">
        <f>IFERROR(__xludf.DUMMYFUNCTION("""COMPUTED_VALUE"""),"Uncle Sams Cider (5/13/2022)")</f>
        <v>Uncle Sams Cider (5/13/2022)</v>
      </c>
      <c r="H929" s="19"/>
    </row>
    <row r="930">
      <c r="A930" s="9"/>
      <c r="B930" s="15"/>
      <c r="C930" s="9">
        <f>IFERROR(__xludf.DUMMYFUNCTION("""COMPUTED_VALUE"""),44786.9294297222)</f>
        <v>44786.92943</v>
      </c>
      <c r="D930" s="15">
        <f>IFERROR(__xludf.DUMMYFUNCTION("""COMPUTED_VALUE"""),1.004)</f>
        <v>1.004</v>
      </c>
      <c r="E930" s="16">
        <f>IFERROR(__xludf.DUMMYFUNCTION("""COMPUTED_VALUE"""),69.0)</f>
        <v>69</v>
      </c>
      <c r="F930" s="19" t="str">
        <f>IFERROR(__xludf.DUMMYFUNCTION("""COMPUTED_VALUE"""),"BLACK")</f>
        <v>BLACK</v>
      </c>
      <c r="G930" s="20" t="str">
        <f>IFERROR(__xludf.DUMMYFUNCTION("""COMPUTED_VALUE"""),"Uncle Sams Cider (5/13/2022)")</f>
        <v>Uncle Sams Cider (5/13/2022)</v>
      </c>
      <c r="H930" s="19"/>
    </row>
    <row r="931">
      <c r="A931" s="9"/>
      <c r="B931" s="15"/>
      <c r="C931" s="9">
        <f>IFERROR(__xludf.DUMMYFUNCTION("""COMPUTED_VALUE"""),44786.9190080671)</f>
        <v>44786.91901</v>
      </c>
      <c r="D931" s="15">
        <f>IFERROR(__xludf.DUMMYFUNCTION("""COMPUTED_VALUE"""),1.004)</f>
        <v>1.004</v>
      </c>
      <c r="E931" s="16">
        <f>IFERROR(__xludf.DUMMYFUNCTION("""COMPUTED_VALUE"""),69.0)</f>
        <v>69</v>
      </c>
      <c r="F931" s="19" t="str">
        <f>IFERROR(__xludf.DUMMYFUNCTION("""COMPUTED_VALUE"""),"BLACK")</f>
        <v>BLACK</v>
      </c>
      <c r="G931" s="20" t="str">
        <f>IFERROR(__xludf.DUMMYFUNCTION("""COMPUTED_VALUE"""),"Uncle Sams Cider (5/13/2022)")</f>
        <v>Uncle Sams Cider (5/13/2022)</v>
      </c>
      <c r="H931" s="19"/>
    </row>
    <row r="932">
      <c r="A932" s="9"/>
      <c r="B932" s="15"/>
      <c r="C932" s="9">
        <f>IFERROR(__xludf.DUMMYFUNCTION("""COMPUTED_VALUE"""),44786.9085868402)</f>
        <v>44786.90859</v>
      </c>
      <c r="D932" s="15">
        <f>IFERROR(__xludf.DUMMYFUNCTION("""COMPUTED_VALUE"""),1.004)</f>
        <v>1.004</v>
      </c>
      <c r="E932" s="16">
        <f>IFERROR(__xludf.DUMMYFUNCTION("""COMPUTED_VALUE"""),69.0)</f>
        <v>69</v>
      </c>
      <c r="F932" s="19" t="str">
        <f>IFERROR(__xludf.DUMMYFUNCTION("""COMPUTED_VALUE"""),"BLACK")</f>
        <v>BLACK</v>
      </c>
      <c r="G932" s="20" t="str">
        <f>IFERROR(__xludf.DUMMYFUNCTION("""COMPUTED_VALUE"""),"Uncle Sams Cider (5/13/2022)")</f>
        <v>Uncle Sams Cider (5/13/2022)</v>
      </c>
      <c r="H932" s="19"/>
    </row>
    <row r="933">
      <c r="A933" s="9"/>
      <c r="B933" s="15"/>
      <c r="C933" s="9">
        <f>IFERROR(__xludf.DUMMYFUNCTION("""COMPUTED_VALUE"""),44786.8981652777)</f>
        <v>44786.89817</v>
      </c>
      <c r="D933" s="15">
        <f>IFERROR(__xludf.DUMMYFUNCTION("""COMPUTED_VALUE"""),1.004)</f>
        <v>1.004</v>
      </c>
      <c r="E933" s="16">
        <f>IFERROR(__xludf.DUMMYFUNCTION("""COMPUTED_VALUE"""),69.0)</f>
        <v>69</v>
      </c>
      <c r="F933" s="19" t="str">
        <f>IFERROR(__xludf.DUMMYFUNCTION("""COMPUTED_VALUE"""),"BLACK")</f>
        <v>BLACK</v>
      </c>
      <c r="G933" s="20" t="str">
        <f>IFERROR(__xludf.DUMMYFUNCTION("""COMPUTED_VALUE"""),"Uncle Sams Cider (5/13/2022)")</f>
        <v>Uncle Sams Cider (5/13/2022)</v>
      </c>
      <c r="H933" s="19"/>
    </row>
    <row r="934">
      <c r="A934" s="9"/>
      <c r="B934" s="15"/>
      <c r="C934" s="9">
        <f>IFERROR(__xludf.DUMMYFUNCTION("""COMPUTED_VALUE"""),44786.8877420023)</f>
        <v>44786.88774</v>
      </c>
      <c r="D934" s="15">
        <f>IFERROR(__xludf.DUMMYFUNCTION("""COMPUTED_VALUE"""),1.004)</f>
        <v>1.004</v>
      </c>
      <c r="E934" s="16">
        <f>IFERROR(__xludf.DUMMYFUNCTION("""COMPUTED_VALUE"""),69.0)</f>
        <v>69</v>
      </c>
      <c r="F934" s="19" t="str">
        <f>IFERROR(__xludf.DUMMYFUNCTION("""COMPUTED_VALUE"""),"BLACK")</f>
        <v>BLACK</v>
      </c>
      <c r="G934" s="20" t="str">
        <f>IFERROR(__xludf.DUMMYFUNCTION("""COMPUTED_VALUE"""),"Uncle Sams Cider (5/13/2022)")</f>
        <v>Uncle Sams Cider (5/13/2022)</v>
      </c>
      <c r="H934" s="19"/>
    </row>
    <row r="935">
      <c r="A935" s="9"/>
      <c r="B935" s="15"/>
      <c r="C935" s="9">
        <f>IFERROR(__xludf.DUMMYFUNCTION("""COMPUTED_VALUE"""),44786.8773201736)</f>
        <v>44786.87732</v>
      </c>
      <c r="D935" s="15">
        <f>IFERROR(__xludf.DUMMYFUNCTION("""COMPUTED_VALUE"""),1.004)</f>
        <v>1.004</v>
      </c>
      <c r="E935" s="16">
        <f>IFERROR(__xludf.DUMMYFUNCTION("""COMPUTED_VALUE"""),69.0)</f>
        <v>69</v>
      </c>
      <c r="F935" s="19" t="str">
        <f>IFERROR(__xludf.DUMMYFUNCTION("""COMPUTED_VALUE"""),"BLACK")</f>
        <v>BLACK</v>
      </c>
      <c r="G935" s="20" t="str">
        <f>IFERROR(__xludf.DUMMYFUNCTION("""COMPUTED_VALUE"""),"Uncle Sams Cider (5/13/2022)")</f>
        <v>Uncle Sams Cider (5/13/2022)</v>
      </c>
      <c r="H935" s="19"/>
    </row>
    <row r="936">
      <c r="A936" s="9"/>
      <c r="B936" s="15"/>
      <c r="C936" s="9">
        <f>IFERROR(__xludf.DUMMYFUNCTION("""COMPUTED_VALUE"""),44786.8669005555)</f>
        <v>44786.8669</v>
      </c>
      <c r="D936" s="15">
        <f>IFERROR(__xludf.DUMMYFUNCTION("""COMPUTED_VALUE"""),1.004)</f>
        <v>1.004</v>
      </c>
      <c r="E936" s="16">
        <f>IFERROR(__xludf.DUMMYFUNCTION("""COMPUTED_VALUE"""),69.0)</f>
        <v>69</v>
      </c>
      <c r="F936" s="19" t="str">
        <f>IFERROR(__xludf.DUMMYFUNCTION("""COMPUTED_VALUE"""),"BLACK")</f>
        <v>BLACK</v>
      </c>
      <c r="G936" s="20" t="str">
        <f>IFERROR(__xludf.DUMMYFUNCTION("""COMPUTED_VALUE"""),"Uncle Sams Cider (5/13/2022)")</f>
        <v>Uncle Sams Cider (5/13/2022)</v>
      </c>
      <c r="H936" s="19"/>
    </row>
    <row r="937">
      <c r="A937" s="9"/>
      <c r="B937" s="15"/>
      <c r="C937" s="9">
        <f>IFERROR(__xludf.DUMMYFUNCTION("""COMPUTED_VALUE"""),44786.8564787731)</f>
        <v>44786.85648</v>
      </c>
      <c r="D937" s="15">
        <f>IFERROR(__xludf.DUMMYFUNCTION("""COMPUTED_VALUE"""),1.004)</f>
        <v>1.004</v>
      </c>
      <c r="E937" s="16">
        <f>IFERROR(__xludf.DUMMYFUNCTION("""COMPUTED_VALUE"""),69.0)</f>
        <v>69</v>
      </c>
      <c r="F937" s="19" t="str">
        <f>IFERROR(__xludf.DUMMYFUNCTION("""COMPUTED_VALUE"""),"BLACK")</f>
        <v>BLACK</v>
      </c>
      <c r="G937" s="20" t="str">
        <f>IFERROR(__xludf.DUMMYFUNCTION("""COMPUTED_VALUE"""),"Uncle Sams Cider (5/13/2022)")</f>
        <v>Uncle Sams Cider (5/13/2022)</v>
      </c>
      <c r="H937" s="19"/>
    </row>
    <row r="938">
      <c r="A938" s="9"/>
      <c r="B938" s="15"/>
      <c r="C938" s="9">
        <f>IFERROR(__xludf.DUMMYFUNCTION("""COMPUTED_VALUE"""),44786.8460569328)</f>
        <v>44786.84606</v>
      </c>
      <c r="D938" s="15">
        <f>IFERROR(__xludf.DUMMYFUNCTION("""COMPUTED_VALUE"""),1.004)</f>
        <v>1.004</v>
      </c>
      <c r="E938" s="16">
        <f>IFERROR(__xludf.DUMMYFUNCTION("""COMPUTED_VALUE"""),69.0)</f>
        <v>69</v>
      </c>
      <c r="F938" s="19" t="str">
        <f>IFERROR(__xludf.DUMMYFUNCTION("""COMPUTED_VALUE"""),"BLACK")</f>
        <v>BLACK</v>
      </c>
      <c r="G938" s="20" t="str">
        <f>IFERROR(__xludf.DUMMYFUNCTION("""COMPUTED_VALUE"""),"Uncle Sams Cider (5/13/2022)")</f>
        <v>Uncle Sams Cider (5/13/2022)</v>
      </c>
      <c r="H938" s="19"/>
    </row>
    <row r="939">
      <c r="A939" s="9"/>
      <c r="B939" s="15"/>
      <c r="C939" s="9">
        <f>IFERROR(__xludf.DUMMYFUNCTION("""COMPUTED_VALUE"""),44786.8356245949)</f>
        <v>44786.83562</v>
      </c>
      <c r="D939" s="15">
        <f>IFERROR(__xludf.DUMMYFUNCTION("""COMPUTED_VALUE"""),1.004)</f>
        <v>1.004</v>
      </c>
      <c r="E939" s="16">
        <f>IFERROR(__xludf.DUMMYFUNCTION("""COMPUTED_VALUE"""),69.0)</f>
        <v>69</v>
      </c>
      <c r="F939" s="19" t="str">
        <f>IFERROR(__xludf.DUMMYFUNCTION("""COMPUTED_VALUE"""),"BLACK")</f>
        <v>BLACK</v>
      </c>
      <c r="G939" s="20" t="str">
        <f>IFERROR(__xludf.DUMMYFUNCTION("""COMPUTED_VALUE"""),"Uncle Sams Cider (5/13/2022)")</f>
        <v>Uncle Sams Cider (5/13/2022)</v>
      </c>
      <c r="H939" s="19"/>
    </row>
    <row r="940">
      <c r="A940" s="9"/>
      <c r="B940" s="15"/>
      <c r="C940" s="9">
        <f>IFERROR(__xludf.DUMMYFUNCTION("""COMPUTED_VALUE"""),44786.8251909837)</f>
        <v>44786.82519</v>
      </c>
      <c r="D940" s="15">
        <f>IFERROR(__xludf.DUMMYFUNCTION("""COMPUTED_VALUE"""),1.004)</f>
        <v>1.004</v>
      </c>
      <c r="E940" s="16">
        <f>IFERROR(__xludf.DUMMYFUNCTION("""COMPUTED_VALUE"""),69.0)</f>
        <v>69</v>
      </c>
      <c r="F940" s="19" t="str">
        <f>IFERROR(__xludf.DUMMYFUNCTION("""COMPUTED_VALUE"""),"BLACK")</f>
        <v>BLACK</v>
      </c>
      <c r="G940" s="20" t="str">
        <f>IFERROR(__xludf.DUMMYFUNCTION("""COMPUTED_VALUE"""),"Uncle Sams Cider (5/13/2022)")</f>
        <v>Uncle Sams Cider (5/13/2022)</v>
      </c>
      <c r="H940" s="19"/>
    </row>
    <row r="941">
      <c r="A941" s="9"/>
      <c r="B941" s="15"/>
      <c r="C941" s="9">
        <f>IFERROR(__xludf.DUMMYFUNCTION("""COMPUTED_VALUE"""),44786.8147690856)</f>
        <v>44786.81477</v>
      </c>
      <c r="D941" s="15">
        <f>IFERROR(__xludf.DUMMYFUNCTION("""COMPUTED_VALUE"""),1.004)</f>
        <v>1.004</v>
      </c>
      <c r="E941" s="16">
        <f>IFERROR(__xludf.DUMMYFUNCTION("""COMPUTED_VALUE"""),69.0)</f>
        <v>69</v>
      </c>
      <c r="F941" s="19" t="str">
        <f>IFERROR(__xludf.DUMMYFUNCTION("""COMPUTED_VALUE"""),"BLACK")</f>
        <v>BLACK</v>
      </c>
      <c r="G941" s="20" t="str">
        <f>IFERROR(__xludf.DUMMYFUNCTION("""COMPUTED_VALUE"""),"Uncle Sams Cider (5/13/2022)")</f>
        <v>Uncle Sams Cider (5/13/2022)</v>
      </c>
      <c r="H941" s="19"/>
    </row>
    <row r="942">
      <c r="A942" s="9"/>
      <c r="B942" s="15"/>
      <c r="C942" s="9">
        <f>IFERROR(__xludf.DUMMYFUNCTION("""COMPUTED_VALUE"""),44786.8043491898)</f>
        <v>44786.80435</v>
      </c>
      <c r="D942" s="15">
        <f>IFERROR(__xludf.DUMMYFUNCTION("""COMPUTED_VALUE"""),1.004)</f>
        <v>1.004</v>
      </c>
      <c r="E942" s="16">
        <f>IFERROR(__xludf.DUMMYFUNCTION("""COMPUTED_VALUE"""),69.0)</f>
        <v>69</v>
      </c>
      <c r="F942" s="19" t="str">
        <f>IFERROR(__xludf.DUMMYFUNCTION("""COMPUTED_VALUE"""),"BLACK")</f>
        <v>BLACK</v>
      </c>
      <c r="G942" s="20" t="str">
        <f>IFERROR(__xludf.DUMMYFUNCTION("""COMPUTED_VALUE"""),"Uncle Sams Cider (5/13/2022)")</f>
        <v>Uncle Sams Cider (5/13/2022)</v>
      </c>
      <c r="H942" s="19"/>
    </row>
    <row r="943">
      <c r="A943" s="9"/>
      <c r="B943" s="15"/>
      <c r="C943" s="9">
        <f>IFERROR(__xludf.DUMMYFUNCTION("""COMPUTED_VALUE"""),44786.7939176504)</f>
        <v>44786.79392</v>
      </c>
      <c r="D943" s="15">
        <f>IFERROR(__xludf.DUMMYFUNCTION("""COMPUTED_VALUE"""),1.004)</f>
        <v>1.004</v>
      </c>
      <c r="E943" s="16">
        <f>IFERROR(__xludf.DUMMYFUNCTION("""COMPUTED_VALUE"""),69.0)</f>
        <v>69</v>
      </c>
      <c r="F943" s="19" t="str">
        <f>IFERROR(__xludf.DUMMYFUNCTION("""COMPUTED_VALUE"""),"BLACK")</f>
        <v>BLACK</v>
      </c>
      <c r="G943" s="20" t="str">
        <f>IFERROR(__xludf.DUMMYFUNCTION("""COMPUTED_VALUE"""),"Uncle Sams Cider (5/13/2022)")</f>
        <v>Uncle Sams Cider (5/13/2022)</v>
      </c>
      <c r="H943" s="19"/>
    </row>
    <row r="944">
      <c r="A944" s="9"/>
      <c r="B944" s="15"/>
      <c r="C944" s="9">
        <f>IFERROR(__xludf.DUMMYFUNCTION("""COMPUTED_VALUE"""),44786.7834968287)</f>
        <v>44786.7835</v>
      </c>
      <c r="D944" s="15">
        <f>IFERROR(__xludf.DUMMYFUNCTION("""COMPUTED_VALUE"""),1.004)</f>
        <v>1.004</v>
      </c>
      <c r="E944" s="16">
        <f>IFERROR(__xludf.DUMMYFUNCTION("""COMPUTED_VALUE"""),69.0)</f>
        <v>69</v>
      </c>
      <c r="F944" s="19" t="str">
        <f>IFERROR(__xludf.DUMMYFUNCTION("""COMPUTED_VALUE"""),"BLACK")</f>
        <v>BLACK</v>
      </c>
      <c r="G944" s="20" t="str">
        <f>IFERROR(__xludf.DUMMYFUNCTION("""COMPUTED_VALUE"""),"Uncle Sams Cider (5/13/2022)")</f>
        <v>Uncle Sams Cider (5/13/2022)</v>
      </c>
      <c r="H944" s="19"/>
    </row>
    <row r="945">
      <c r="A945" s="9"/>
      <c r="B945" s="15"/>
      <c r="C945" s="9">
        <f>IFERROR(__xludf.DUMMYFUNCTION("""COMPUTED_VALUE"""),44786.7730756828)</f>
        <v>44786.77308</v>
      </c>
      <c r="D945" s="15">
        <f>IFERROR(__xludf.DUMMYFUNCTION("""COMPUTED_VALUE"""),1.004)</f>
        <v>1.004</v>
      </c>
      <c r="E945" s="16">
        <f>IFERROR(__xludf.DUMMYFUNCTION("""COMPUTED_VALUE"""),69.0)</f>
        <v>69</v>
      </c>
      <c r="F945" s="19" t="str">
        <f>IFERROR(__xludf.DUMMYFUNCTION("""COMPUTED_VALUE"""),"BLACK")</f>
        <v>BLACK</v>
      </c>
      <c r="G945" s="20" t="str">
        <f>IFERROR(__xludf.DUMMYFUNCTION("""COMPUTED_VALUE"""),"Uncle Sams Cider (5/13/2022)")</f>
        <v>Uncle Sams Cider (5/13/2022)</v>
      </c>
      <c r="H945" s="19"/>
    </row>
    <row r="946">
      <c r="A946" s="9"/>
      <c r="B946" s="15"/>
      <c r="C946" s="9">
        <f>IFERROR(__xludf.DUMMYFUNCTION("""COMPUTED_VALUE"""),44786.7626412152)</f>
        <v>44786.76264</v>
      </c>
      <c r="D946" s="15">
        <f>IFERROR(__xludf.DUMMYFUNCTION("""COMPUTED_VALUE"""),1.003)</f>
        <v>1.003</v>
      </c>
      <c r="E946" s="16">
        <f>IFERROR(__xludf.DUMMYFUNCTION("""COMPUTED_VALUE"""),69.0)</f>
        <v>69</v>
      </c>
      <c r="F946" s="19" t="str">
        <f>IFERROR(__xludf.DUMMYFUNCTION("""COMPUTED_VALUE"""),"BLACK")</f>
        <v>BLACK</v>
      </c>
      <c r="G946" s="20" t="str">
        <f>IFERROR(__xludf.DUMMYFUNCTION("""COMPUTED_VALUE"""),"Uncle Sams Cider (5/13/2022)")</f>
        <v>Uncle Sams Cider (5/13/2022)</v>
      </c>
      <c r="H946" s="19"/>
    </row>
    <row r="947">
      <c r="A947" s="9"/>
      <c r="B947" s="15"/>
      <c r="C947" s="9">
        <f>IFERROR(__xludf.DUMMYFUNCTION("""COMPUTED_VALUE"""),44786.7522204166)</f>
        <v>44786.75222</v>
      </c>
      <c r="D947" s="15">
        <f>IFERROR(__xludf.DUMMYFUNCTION("""COMPUTED_VALUE"""),1.004)</f>
        <v>1.004</v>
      </c>
      <c r="E947" s="16">
        <f>IFERROR(__xludf.DUMMYFUNCTION("""COMPUTED_VALUE"""),69.0)</f>
        <v>69</v>
      </c>
      <c r="F947" s="19" t="str">
        <f>IFERROR(__xludf.DUMMYFUNCTION("""COMPUTED_VALUE"""),"BLACK")</f>
        <v>BLACK</v>
      </c>
      <c r="G947" s="20" t="str">
        <f>IFERROR(__xludf.DUMMYFUNCTION("""COMPUTED_VALUE"""),"Uncle Sams Cider (5/13/2022)")</f>
        <v>Uncle Sams Cider (5/13/2022)</v>
      </c>
      <c r="H947" s="19"/>
    </row>
    <row r="948">
      <c r="A948" s="9"/>
      <c r="B948" s="15"/>
      <c r="C948" s="9">
        <f>IFERROR(__xludf.DUMMYFUNCTION("""COMPUTED_VALUE"""),44786.7417865509)</f>
        <v>44786.74179</v>
      </c>
      <c r="D948" s="15">
        <f>IFERROR(__xludf.DUMMYFUNCTION("""COMPUTED_VALUE"""),1.004)</f>
        <v>1.004</v>
      </c>
      <c r="E948" s="16">
        <f>IFERROR(__xludf.DUMMYFUNCTION("""COMPUTED_VALUE"""),69.0)</f>
        <v>69</v>
      </c>
      <c r="F948" s="19" t="str">
        <f>IFERROR(__xludf.DUMMYFUNCTION("""COMPUTED_VALUE"""),"BLACK")</f>
        <v>BLACK</v>
      </c>
      <c r="G948" s="20" t="str">
        <f>IFERROR(__xludf.DUMMYFUNCTION("""COMPUTED_VALUE"""),"Uncle Sams Cider (5/13/2022)")</f>
        <v>Uncle Sams Cider (5/13/2022)</v>
      </c>
      <c r="H948" s="19"/>
    </row>
    <row r="949">
      <c r="A949" s="9"/>
      <c r="B949" s="15"/>
      <c r="C949" s="9">
        <f>IFERROR(__xludf.DUMMYFUNCTION("""COMPUTED_VALUE"""),44786.7313640393)</f>
        <v>44786.73136</v>
      </c>
      <c r="D949" s="15">
        <f>IFERROR(__xludf.DUMMYFUNCTION("""COMPUTED_VALUE"""),1.004)</f>
        <v>1.004</v>
      </c>
      <c r="E949" s="16">
        <f>IFERROR(__xludf.DUMMYFUNCTION("""COMPUTED_VALUE"""),69.0)</f>
        <v>69</v>
      </c>
      <c r="F949" s="19" t="str">
        <f>IFERROR(__xludf.DUMMYFUNCTION("""COMPUTED_VALUE"""),"BLACK")</f>
        <v>BLACK</v>
      </c>
      <c r="G949" s="20" t="str">
        <f>IFERROR(__xludf.DUMMYFUNCTION("""COMPUTED_VALUE"""),"Uncle Sams Cider (5/13/2022)")</f>
        <v>Uncle Sams Cider (5/13/2022)</v>
      </c>
      <c r="H949" s="19"/>
    </row>
    <row r="950">
      <c r="A950" s="9"/>
      <c r="B950" s="15"/>
      <c r="C950" s="9">
        <f>IFERROR(__xludf.DUMMYFUNCTION("""COMPUTED_VALUE"""),44786.720918449)</f>
        <v>44786.72092</v>
      </c>
      <c r="D950" s="15">
        <f>IFERROR(__xludf.DUMMYFUNCTION("""COMPUTED_VALUE"""),1.004)</f>
        <v>1.004</v>
      </c>
      <c r="E950" s="16">
        <f>IFERROR(__xludf.DUMMYFUNCTION("""COMPUTED_VALUE"""),69.0)</f>
        <v>69</v>
      </c>
      <c r="F950" s="19" t="str">
        <f>IFERROR(__xludf.DUMMYFUNCTION("""COMPUTED_VALUE"""),"BLACK")</f>
        <v>BLACK</v>
      </c>
      <c r="G950" s="20" t="str">
        <f>IFERROR(__xludf.DUMMYFUNCTION("""COMPUTED_VALUE"""),"Uncle Sams Cider (5/13/2022)")</f>
        <v>Uncle Sams Cider (5/13/2022)</v>
      </c>
      <c r="H950" s="19"/>
    </row>
    <row r="951">
      <c r="A951" s="9"/>
      <c r="B951" s="15"/>
      <c r="C951" s="9">
        <f>IFERROR(__xludf.DUMMYFUNCTION("""COMPUTED_VALUE"""),44786.7104858449)</f>
        <v>44786.71049</v>
      </c>
      <c r="D951" s="15">
        <f>IFERROR(__xludf.DUMMYFUNCTION("""COMPUTED_VALUE"""),1.004)</f>
        <v>1.004</v>
      </c>
      <c r="E951" s="16">
        <f>IFERROR(__xludf.DUMMYFUNCTION("""COMPUTED_VALUE"""),69.0)</f>
        <v>69</v>
      </c>
      <c r="F951" s="19" t="str">
        <f>IFERROR(__xludf.DUMMYFUNCTION("""COMPUTED_VALUE"""),"BLACK")</f>
        <v>BLACK</v>
      </c>
      <c r="G951" s="20" t="str">
        <f>IFERROR(__xludf.DUMMYFUNCTION("""COMPUTED_VALUE"""),"Uncle Sams Cider (5/13/2022)")</f>
        <v>Uncle Sams Cider (5/13/2022)</v>
      </c>
      <c r="H951" s="19"/>
    </row>
    <row r="952">
      <c r="A952" s="9"/>
      <c r="B952" s="15"/>
      <c r="C952" s="9">
        <f>IFERROR(__xludf.DUMMYFUNCTION("""COMPUTED_VALUE"""),44786.7000637963)</f>
        <v>44786.70006</v>
      </c>
      <c r="D952" s="15">
        <f>IFERROR(__xludf.DUMMYFUNCTION("""COMPUTED_VALUE"""),1.004)</f>
        <v>1.004</v>
      </c>
      <c r="E952" s="16">
        <f>IFERROR(__xludf.DUMMYFUNCTION("""COMPUTED_VALUE"""),69.0)</f>
        <v>69</v>
      </c>
      <c r="F952" s="19" t="str">
        <f>IFERROR(__xludf.DUMMYFUNCTION("""COMPUTED_VALUE"""),"BLACK")</f>
        <v>BLACK</v>
      </c>
      <c r="G952" s="20" t="str">
        <f>IFERROR(__xludf.DUMMYFUNCTION("""COMPUTED_VALUE"""),"Uncle Sams Cider (5/13/2022)")</f>
        <v>Uncle Sams Cider (5/13/2022)</v>
      </c>
      <c r="H952" s="19"/>
    </row>
    <row r="953">
      <c r="A953" s="9"/>
      <c r="B953" s="15"/>
      <c r="C953" s="9">
        <f>IFERROR(__xludf.DUMMYFUNCTION("""COMPUTED_VALUE"""),44786.6896189583)</f>
        <v>44786.68962</v>
      </c>
      <c r="D953" s="15">
        <f>IFERROR(__xludf.DUMMYFUNCTION("""COMPUTED_VALUE"""),1.004)</f>
        <v>1.004</v>
      </c>
      <c r="E953" s="16">
        <f>IFERROR(__xludf.DUMMYFUNCTION("""COMPUTED_VALUE"""),69.0)</f>
        <v>69</v>
      </c>
      <c r="F953" s="19" t="str">
        <f>IFERROR(__xludf.DUMMYFUNCTION("""COMPUTED_VALUE"""),"BLACK")</f>
        <v>BLACK</v>
      </c>
      <c r="G953" s="20" t="str">
        <f>IFERROR(__xludf.DUMMYFUNCTION("""COMPUTED_VALUE"""),"Uncle Sams Cider (5/13/2022)")</f>
        <v>Uncle Sams Cider (5/13/2022)</v>
      </c>
      <c r="H953" s="19"/>
    </row>
    <row r="954">
      <c r="A954" s="9"/>
      <c r="B954" s="15"/>
      <c r="C954" s="9">
        <f>IFERROR(__xludf.DUMMYFUNCTION("""COMPUTED_VALUE"""),44786.6791852199)</f>
        <v>44786.67919</v>
      </c>
      <c r="D954" s="15">
        <f>IFERROR(__xludf.DUMMYFUNCTION("""COMPUTED_VALUE"""),1.004)</f>
        <v>1.004</v>
      </c>
      <c r="E954" s="16">
        <f>IFERROR(__xludf.DUMMYFUNCTION("""COMPUTED_VALUE"""),69.0)</f>
        <v>69</v>
      </c>
      <c r="F954" s="19" t="str">
        <f>IFERROR(__xludf.DUMMYFUNCTION("""COMPUTED_VALUE"""),"BLACK")</f>
        <v>BLACK</v>
      </c>
      <c r="G954" s="20" t="str">
        <f>IFERROR(__xludf.DUMMYFUNCTION("""COMPUTED_VALUE"""),"Uncle Sams Cider (5/13/2022)")</f>
        <v>Uncle Sams Cider (5/13/2022)</v>
      </c>
      <c r="H954" s="19"/>
    </row>
    <row r="955">
      <c r="A955" s="9"/>
      <c r="B955" s="15"/>
      <c r="C955" s="9">
        <f>IFERROR(__xludf.DUMMYFUNCTION("""COMPUTED_VALUE"""),44786.6687521759)</f>
        <v>44786.66875</v>
      </c>
      <c r="D955" s="15">
        <f>IFERROR(__xludf.DUMMYFUNCTION("""COMPUTED_VALUE"""),1.004)</f>
        <v>1.004</v>
      </c>
      <c r="E955" s="16">
        <f>IFERROR(__xludf.DUMMYFUNCTION("""COMPUTED_VALUE"""),69.0)</f>
        <v>69</v>
      </c>
      <c r="F955" s="19" t="str">
        <f>IFERROR(__xludf.DUMMYFUNCTION("""COMPUTED_VALUE"""),"BLACK")</f>
        <v>BLACK</v>
      </c>
      <c r="G955" s="20" t="str">
        <f>IFERROR(__xludf.DUMMYFUNCTION("""COMPUTED_VALUE"""),"Uncle Sams Cider (5/13/2022)")</f>
        <v>Uncle Sams Cider (5/13/2022)</v>
      </c>
      <c r="H955" s="19"/>
    </row>
    <row r="956">
      <c r="A956" s="9"/>
      <c r="B956" s="15"/>
      <c r="C956" s="9">
        <f>IFERROR(__xludf.DUMMYFUNCTION("""COMPUTED_VALUE"""),44786.6583305902)</f>
        <v>44786.65833</v>
      </c>
      <c r="D956" s="15">
        <f>IFERROR(__xludf.DUMMYFUNCTION("""COMPUTED_VALUE"""),1.004)</f>
        <v>1.004</v>
      </c>
      <c r="E956" s="16">
        <f>IFERROR(__xludf.DUMMYFUNCTION("""COMPUTED_VALUE"""),69.0)</f>
        <v>69</v>
      </c>
      <c r="F956" s="19" t="str">
        <f>IFERROR(__xludf.DUMMYFUNCTION("""COMPUTED_VALUE"""),"BLACK")</f>
        <v>BLACK</v>
      </c>
      <c r="G956" s="20" t="str">
        <f>IFERROR(__xludf.DUMMYFUNCTION("""COMPUTED_VALUE"""),"Uncle Sams Cider (5/13/2022)")</f>
        <v>Uncle Sams Cider (5/13/2022)</v>
      </c>
      <c r="H956" s="19"/>
    </row>
    <row r="957">
      <c r="A957" s="9"/>
      <c r="B957" s="15"/>
      <c r="C957" s="9">
        <f>IFERROR(__xludf.DUMMYFUNCTION("""COMPUTED_VALUE"""),44786.6479107523)</f>
        <v>44786.64791</v>
      </c>
      <c r="D957" s="15">
        <f>IFERROR(__xludf.DUMMYFUNCTION("""COMPUTED_VALUE"""),1.004)</f>
        <v>1.004</v>
      </c>
      <c r="E957" s="16">
        <f>IFERROR(__xludf.DUMMYFUNCTION("""COMPUTED_VALUE"""),69.0)</f>
        <v>69</v>
      </c>
      <c r="F957" s="19" t="str">
        <f>IFERROR(__xludf.DUMMYFUNCTION("""COMPUTED_VALUE"""),"BLACK")</f>
        <v>BLACK</v>
      </c>
      <c r="G957" s="20" t="str">
        <f>IFERROR(__xludf.DUMMYFUNCTION("""COMPUTED_VALUE"""),"Uncle Sams Cider (5/13/2022)")</f>
        <v>Uncle Sams Cider (5/13/2022)</v>
      </c>
      <c r="H957" s="19"/>
    </row>
    <row r="958">
      <c r="A958" s="9"/>
      <c r="B958" s="15"/>
      <c r="C958" s="9">
        <f>IFERROR(__xludf.DUMMYFUNCTION("""COMPUTED_VALUE"""),44786.6374881481)</f>
        <v>44786.63749</v>
      </c>
      <c r="D958" s="15">
        <f>IFERROR(__xludf.DUMMYFUNCTION("""COMPUTED_VALUE"""),1.004)</f>
        <v>1.004</v>
      </c>
      <c r="E958" s="16">
        <f>IFERROR(__xludf.DUMMYFUNCTION("""COMPUTED_VALUE"""),69.0)</f>
        <v>69</v>
      </c>
      <c r="F958" s="19" t="str">
        <f>IFERROR(__xludf.DUMMYFUNCTION("""COMPUTED_VALUE"""),"BLACK")</f>
        <v>BLACK</v>
      </c>
      <c r="G958" s="20" t="str">
        <f>IFERROR(__xludf.DUMMYFUNCTION("""COMPUTED_VALUE"""),"Uncle Sams Cider (5/13/2022)")</f>
        <v>Uncle Sams Cider (5/13/2022)</v>
      </c>
      <c r="H958" s="19"/>
    </row>
    <row r="959">
      <c r="A959" s="9"/>
      <c r="B959" s="15"/>
      <c r="C959" s="9">
        <f>IFERROR(__xludf.DUMMYFUNCTION("""COMPUTED_VALUE"""),44786.6270571527)</f>
        <v>44786.62706</v>
      </c>
      <c r="D959" s="15">
        <f>IFERROR(__xludf.DUMMYFUNCTION("""COMPUTED_VALUE"""),1.004)</f>
        <v>1.004</v>
      </c>
      <c r="E959" s="16">
        <f>IFERROR(__xludf.DUMMYFUNCTION("""COMPUTED_VALUE"""),69.0)</f>
        <v>69</v>
      </c>
      <c r="F959" s="19" t="str">
        <f>IFERROR(__xludf.DUMMYFUNCTION("""COMPUTED_VALUE"""),"BLACK")</f>
        <v>BLACK</v>
      </c>
      <c r="G959" s="20" t="str">
        <f>IFERROR(__xludf.DUMMYFUNCTION("""COMPUTED_VALUE"""),"Uncle Sams Cider (5/13/2022)")</f>
        <v>Uncle Sams Cider (5/13/2022)</v>
      </c>
      <c r="H959" s="19"/>
    </row>
    <row r="960">
      <c r="A960" s="9"/>
      <c r="B960" s="15"/>
      <c r="C960" s="9">
        <f>IFERROR(__xludf.DUMMYFUNCTION("""COMPUTED_VALUE"""),44786.6166248379)</f>
        <v>44786.61662</v>
      </c>
      <c r="D960" s="15">
        <f>IFERROR(__xludf.DUMMYFUNCTION("""COMPUTED_VALUE"""),1.004)</f>
        <v>1.004</v>
      </c>
      <c r="E960" s="16">
        <f>IFERROR(__xludf.DUMMYFUNCTION("""COMPUTED_VALUE"""),69.0)</f>
        <v>69</v>
      </c>
      <c r="F960" s="19" t="str">
        <f>IFERROR(__xludf.DUMMYFUNCTION("""COMPUTED_VALUE"""),"BLACK")</f>
        <v>BLACK</v>
      </c>
      <c r="G960" s="20" t="str">
        <f>IFERROR(__xludf.DUMMYFUNCTION("""COMPUTED_VALUE"""),"Uncle Sams Cider (5/13/2022)")</f>
        <v>Uncle Sams Cider (5/13/2022)</v>
      </c>
      <c r="H960" s="19"/>
    </row>
    <row r="961">
      <c r="A961" s="9"/>
      <c r="B961" s="15"/>
      <c r="C961" s="9">
        <f>IFERROR(__xludf.DUMMYFUNCTION("""COMPUTED_VALUE"""),44786.6062020717)</f>
        <v>44786.6062</v>
      </c>
      <c r="D961" s="15">
        <f>IFERROR(__xludf.DUMMYFUNCTION("""COMPUTED_VALUE"""),1.004)</f>
        <v>1.004</v>
      </c>
      <c r="E961" s="16">
        <f>IFERROR(__xludf.DUMMYFUNCTION("""COMPUTED_VALUE"""),69.0)</f>
        <v>69</v>
      </c>
      <c r="F961" s="19" t="str">
        <f>IFERROR(__xludf.DUMMYFUNCTION("""COMPUTED_VALUE"""),"BLACK")</f>
        <v>BLACK</v>
      </c>
      <c r="G961" s="20" t="str">
        <f>IFERROR(__xludf.DUMMYFUNCTION("""COMPUTED_VALUE"""),"Uncle Sams Cider (5/13/2022)")</f>
        <v>Uncle Sams Cider (5/13/2022)</v>
      </c>
      <c r="H961" s="19"/>
    </row>
    <row r="962">
      <c r="A962" s="9"/>
      <c r="B962" s="15"/>
      <c r="C962" s="9">
        <f>IFERROR(__xludf.DUMMYFUNCTION("""COMPUTED_VALUE"""),44786.5957699768)</f>
        <v>44786.59577</v>
      </c>
      <c r="D962" s="15">
        <f>IFERROR(__xludf.DUMMYFUNCTION("""COMPUTED_VALUE"""),1.004)</f>
        <v>1.004</v>
      </c>
      <c r="E962" s="16">
        <f>IFERROR(__xludf.DUMMYFUNCTION("""COMPUTED_VALUE"""),69.0)</f>
        <v>69</v>
      </c>
      <c r="F962" s="19" t="str">
        <f>IFERROR(__xludf.DUMMYFUNCTION("""COMPUTED_VALUE"""),"BLACK")</f>
        <v>BLACK</v>
      </c>
      <c r="G962" s="20" t="str">
        <f>IFERROR(__xludf.DUMMYFUNCTION("""COMPUTED_VALUE"""),"Uncle Sams Cider (5/13/2022)")</f>
        <v>Uncle Sams Cider (5/13/2022)</v>
      </c>
      <c r="H962" s="19"/>
    </row>
    <row r="963">
      <c r="A963" s="9"/>
      <c r="B963" s="15"/>
      <c r="C963" s="9">
        <f>IFERROR(__xludf.DUMMYFUNCTION("""COMPUTED_VALUE"""),44786.5853472106)</f>
        <v>44786.58535</v>
      </c>
      <c r="D963" s="15">
        <f>IFERROR(__xludf.DUMMYFUNCTION("""COMPUTED_VALUE"""),1.004)</f>
        <v>1.004</v>
      </c>
      <c r="E963" s="16">
        <f>IFERROR(__xludf.DUMMYFUNCTION("""COMPUTED_VALUE"""),69.0)</f>
        <v>69</v>
      </c>
      <c r="F963" s="19" t="str">
        <f>IFERROR(__xludf.DUMMYFUNCTION("""COMPUTED_VALUE"""),"BLACK")</f>
        <v>BLACK</v>
      </c>
      <c r="G963" s="20" t="str">
        <f>IFERROR(__xludf.DUMMYFUNCTION("""COMPUTED_VALUE"""),"Uncle Sams Cider (5/13/2022)")</f>
        <v>Uncle Sams Cider (5/13/2022)</v>
      </c>
      <c r="H963" s="19"/>
    </row>
    <row r="964">
      <c r="A964" s="9"/>
      <c r="B964" s="15"/>
      <c r="C964" s="9">
        <f>IFERROR(__xludf.DUMMYFUNCTION("""COMPUTED_VALUE"""),44786.5749135995)</f>
        <v>44786.57491</v>
      </c>
      <c r="D964" s="15">
        <f>IFERROR(__xludf.DUMMYFUNCTION("""COMPUTED_VALUE"""),1.004)</f>
        <v>1.004</v>
      </c>
      <c r="E964" s="16">
        <f>IFERROR(__xludf.DUMMYFUNCTION("""COMPUTED_VALUE"""),69.0)</f>
        <v>69</v>
      </c>
      <c r="F964" s="19" t="str">
        <f>IFERROR(__xludf.DUMMYFUNCTION("""COMPUTED_VALUE"""),"BLACK")</f>
        <v>BLACK</v>
      </c>
      <c r="G964" s="20" t="str">
        <f>IFERROR(__xludf.DUMMYFUNCTION("""COMPUTED_VALUE"""),"Uncle Sams Cider (5/13/2022)")</f>
        <v>Uncle Sams Cider (5/13/2022)</v>
      </c>
      <c r="H964" s="19"/>
    </row>
    <row r="965">
      <c r="A965" s="9"/>
      <c r="B965" s="15"/>
      <c r="C965" s="9">
        <f>IFERROR(__xludf.DUMMYFUNCTION("""COMPUTED_VALUE"""),44786.5644925347)</f>
        <v>44786.56449</v>
      </c>
      <c r="D965" s="15">
        <f>IFERROR(__xludf.DUMMYFUNCTION("""COMPUTED_VALUE"""),1.004)</f>
        <v>1.004</v>
      </c>
      <c r="E965" s="16">
        <f>IFERROR(__xludf.DUMMYFUNCTION("""COMPUTED_VALUE"""),69.0)</f>
        <v>69</v>
      </c>
      <c r="F965" s="19" t="str">
        <f>IFERROR(__xludf.DUMMYFUNCTION("""COMPUTED_VALUE"""),"BLACK")</f>
        <v>BLACK</v>
      </c>
      <c r="G965" s="20" t="str">
        <f>IFERROR(__xludf.DUMMYFUNCTION("""COMPUTED_VALUE"""),"Uncle Sams Cider (5/13/2022)")</f>
        <v>Uncle Sams Cider (5/13/2022)</v>
      </c>
      <c r="H965" s="19"/>
    </row>
    <row r="966">
      <c r="A966" s="9"/>
      <c r="B966" s="15"/>
      <c r="C966" s="9">
        <f>IFERROR(__xludf.DUMMYFUNCTION("""COMPUTED_VALUE"""),44786.5540720717)</f>
        <v>44786.55407</v>
      </c>
      <c r="D966" s="15">
        <f>IFERROR(__xludf.DUMMYFUNCTION("""COMPUTED_VALUE"""),1.004)</f>
        <v>1.004</v>
      </c>
      <c r="E966" s="16">
        <f>IFERROR(__xludf.DUMMYFUNCTION("""COMPUTED_VALUE"""),69.0)</f>
        <v>69</v>
      </c>
      <c r="F966" s="19" t="str">
        <f>IFERROR(__xludf.DUMMYFUNCTION("""COMPUTED_VALUE"""),"BLACK")</f>
        <v>BLACK</v>
      </c>
      <c r="G966" s="20" t="str">
        <f>IFERROR(__xludf.DUMMYFUNCTION("""COMPUTED_VALUE"""),"Uncle Sams Cider (5/13/2022)")</f>
        <v>Uncle Sams Cider (5/13/2022)</v>
      </c>
      <c r="H966" s="19"/>
    </row>
    <row r="967">
      <c r="A967" s="9"/>
      <c r="B967" s="15"/>
      <c r="C967" s="9">
        <f>IFERROR(__xludf.DUMMYFUNCTION("""COMPUTED_VALUE"""),44786.5436511111)</f>
        <v>44786.54365</v>
      </c>
      <c r="D967" s="15">
        <f>IFERROR(__xludf.DUMMYFUNCTION("""COMPUTED_VALUE"""),1.004)</f>
        <v>1.004</v>
      </c>
      <c r="E967" s="16">
        <f>IFERROR(__xludf.DUMMYFUNCTION("""COMPUTED_VALUE"""),69.0)</f>
        <v>69</v>
      </c>
      <c r="F967" s="19" t="str">
        <f>IFERROR(__xludf.DUMMYFUNCTION("""COMPUTED_VALUE"""),"BLACK")</f>
        <v>BLACK</v>
      </c>
      <c r="G967" s="20" t="str">
        <f>IFERROR(__xludf.DUMMYFUNCTION("""COMPUTED_VALUE"""),"Uncle Sams Cider (5/13/2022)")</f>
        <v>Uncle Sams Cider (5/13/2022)</v>
      </c>
      <c r="H967" s="19"/>
    </row>
    <row r="968">
      <c r="A968" s="9"/>
      <c r="B968" s="15"/>
      <c r="C968" s="9">
        <f>IFERROR(__xludf.DUMMYFUNCTION("""COMPUTED_VALUE"""),44786.5332307291)</f>
        <v>44786.53323</v>
      </c>
      <c r="D968" s="15">
        <f>IFERROR(__xludf.DUMMYFUNCTION("""COMPUTED_VALUE"""),1.004)</f>
        <v>1.004</v>
      </c>
      <c r="E968" s="16">
        <f>IFERROR(__xludf.DUMMYFUNCTION("""COMPUTED_VALUE"""),68.0)</f>
        <v>68</v>
      </c>
      <c r="F968" s="19" t="str">
        <f>IFERROR(__xludf.DUMMYFUNCTION("""COMPUTED_VALUE"""),"BLACK")</f>
        <v>BLACK</v>
      </c>
      <c r="G968" s="20" t="str">
        <f>IFERROR(__xludf.DUMMYFUNCTION("""COMPUTED_VALUE"""),"Uncle Sams Cider (5/13/2022)")</f>
        <v>Uncle Sams Cider (5/13/2022)</v>
      </c>
      <c r="H968" s="19"/>
    </row>
    <row r="969">
      <c r="A969" s="9"/>
      <c r="B969" s="15"/>
      <c r="C969" s="9">
        <f>IFERROR(__xludf.DUMMYFUNCTION("""COMPUTED_VALUE"""),44786.5228107754)</f>
        <v>44786.52281</v>
      </c>
      <c r="D969" s="15">
        <f>IFERROR(__xludf.DUMMYFUNCTION("""COMPUTED_VALUE"""),1.004)</f>
        <v>1.004</v>
      </c>
      <c r="E969" s="16">
        <f>IFERROR(__xludf.DUMMYFUNCTION("""COMPUTED_VALUE"""),69.0)</f>
        <v>69</v>
      </c>
      <c r="F969" s="19" t="str">
        <f>IFERROR(__xludf.DUMMYFUNCTION("""COMPUTED_VALUE"""),"BLACK")</f>
        <v>BLACK</v>
      </c>
      <c r="G969" s="20" t="str">
        <f>IFERROR(__xludf.DUMMYFUNCTION("""COMPUTED_VALUE"""),"Uncle Sams Cider (5/13/2022)")</f>
        <v>Uncle Sams Cider (5/13/2022)</v>
      </c>
      <c r="H969" s="19"/>
    </row>
    <row r="970">
      <c r="A970" s="9"/>
      <c r="B970" s="15"/>
      <c r="C970" s="9">
        <f>IFERROR(__xludf.DUMMYFUNCTION("""COMPUTED_VALUE"""),44786.5123784259)</f>
        <v>44786.51238</v>
      </c>
      <c r="D970" s="15">
        <f>IFERROR(__xludf.DUMMYFUNCTION("""COMPUTED_VALUE"""),1.004)</f>
        <v>1.004</v>
      </c>
      <c r="E970" s="16">
        <f>IFERROR(__xludf.DUMMYFUNCTION("""COMPUTED_VALUE"""),69.0)</f>
        <v>69</v>
      </c>
      <c r="F970" s="19" t="str">
        <f>IFERROR(__xludf.DUMMYFUNCTION("""COMPUTED_VALUE"""),"BLACK")</f>
        <v>BLACK</v>
      </c>
      <c r="G970" s="20" t="str">
        <f>IFERROR(__xludf.DUMMYFUNCTION("""COMPUTED_VALUE"""),"Uncle Sams Cider (5/13/2022)")</f>
        <v>Uncle Sams Cider (5/13/2022)</v>
      </c>
      <c r="H970" s="19"/>
    </row>
    <row r="971">
      <c r="A971" s="9"/>
      <c r="B971" s="15"/>
      <c r="C971" s="9">
        <f>IFERROR(__xludf.DUMMYFUNCTION("""COMPUTED_VALUE"""),44786.5019576041)</f>
        <v>44786.50196</v>
      </c>
      <c r="D971" s="15">
        <f>IFERROR(__xludf.DUMMYFUNCTION("""COMPUTED_VALUE"""),1.004)</f>
        <v>1.004</v>
      </c>
      <c r="E971" s="16">
        <f>IFERROR(__xludf.DUMMYFUNCTION("""COMPUTED_VALUE"""),68.0)</f>
        <v>68</v>
      </c>
      <c r="F971" s="19" t="str">
        <f>IFERROR(__xludf.DUMMYFUNCTION("""COMPUTED_VALUE"""),"BLACK")</f>
        <v>BLACK</v>
      </c>
      <c r="G971" s="20" t="str">
        <f>IFERROR(__xludf.DUMMYFUNCTION("""COMPUTED_VALUE"""),"Uncle Sams Cider (5/13/2022)")</f>
        <v>Uncle Sams Cider (5/13/2022)</v>
      </c>
      <c r="H971" s="19"/>
    </row>
    <row r="972">
      <c r="A972" s="9"/>
      <c r="B972" s="15"/>
      <c r="C972" s="9">
        <f>IFERROR(__xludf.DUMMYFUNCTION("""COMPUTED_VALUE"""),44786.4915363194)</f>
        <v>44786.49154</v>
      </c>
      <c r="D972" s="15">
        <f>IFERROR(__xludf.DUMMYFUNCTION("""COMPUTED_VALUE"""),1.004)</f>
        <v>1.004</v>
      </c>
      <c r="E972" s="16">
        <f>IFERROR(__xludf.DUMMYFUNCTION("""COMPUTED_VALUE"""),68.0)</f>
        <v>68</v>
      </c>
      <c r="F972" s="19" t="str">
        <f>IFERROR(__xludf.DUMMYFUNCTION("""COMPUTED_VALUE"""),"BLACK")</f>
        <v>BLACK</v>
      </c>
      <c r="G972" s="20" t="str">
        <f>IFERROR(__xludf.DUMMYFUNCTION("""COMPUTED_VALUE"""),"Uncle Sams Cider (5/13/2022)")</f>
        <v>Uncle Sams Cider (5/13/2022)</v>
      </c>
      <c r="H972" s="19"/>
    </row>
    <row r="973">
      <c r="A973" s="9"/>
      <c r="B973" s="15"/>
      <c r="C973" s="9">
        <f>IFERROR(__xludf.DUMMYFUNCTION("""COMPUTED_VALUE"""),44786.4811144907)</f>
        <v>44786.48111</v>
      </c>
      <c r="D973" s="15">
        <f>IFERROR(__xludf.DUMMYFUNCTION("""COMPUTED_VALUE"""),1.004)</f>
        <v>1.004</v>
      </c>
      <c r="E973" s="16">
        <f>IFERROR(__xludf.DUMMYFUNCTION("""COMPUTED_VALUE"""),68.0)</f>
        <v>68</v>
      </c>
      <c r="F973" s="19" t="str">
        <f>IFERROR(__xludf.DUMMYFUNCTION("""COMPUTED_VALUE"""),"BLACK")</f>
        <v>BLACK</v>
      </c>
      <c r="G973" s="20" t="str">
        <f>IFERROR(__xludf.DUMMYFUNCTION("""COMPUTED_VALUE"""),"Uncle Sams Cider (5/13/2022)")</f>
        <v>Uncle Sams Cider (5/13/2022)</v>
      </c>
      <c r="H973" s="19"/>
    </row>
    <row r="974">
      <c r="A974" s="9"/>
      <c r="B974" s="15"/>
      <c r="C974" s="9">
        <f>IFERROR(__xludf.DUMMYFUNCTION("""COMPUTED_VALUE"""),44786.4706596064)</f>
        <v>44786.47066</v>
      </c>
      <c r="D974" s="15">
        <f>IFERROR(__xludf.DUMMYFUNCTION("""COMPUTED_VALUE"""),1.004)</f>
        <v>1.004</v>
      </c>
      <c r="E974" s="16">
        <f>IFERROR(__xludf.DUMMYFUNCTION("""COMPUTED_VALUE"""),68.0)</f>
        <v>68</v>
      </c>
      <c r="F974" s="19" t="str">
        <f>IFERROR(__xludf.DUMMYFUNCTION("""COMPUTED_VALUE"""),"BLACK")</f>
        <v>BLACK</v>
      </c>
      <c r="G974" s="20" t="str">
        <f>IFERROR(__xludf.DUMMYFUNCTION("""COMPUTED_VALUE"""),"Uncle Sams Cider (5/13/2022)")</f>
        <v>Uncle Sams Cider (5/13/2022)</v>
      </c>
      <c r="H974" s="19"/>
    </row>
    <row r="975">
      <c r="A975" s="9"/>
      <c r="B975" s="15"/>
      <c r="C975" s="9">
        <f>IFERROR(__xludf.DUMMYFUNCTION("""COMPUTED_VALUE"""),44786.4602384953)</f>
        <v>44786.46024</v>
      </c>
      <c r="D975" s="15">
        <f>IFERROR(__xludf.DUMMYFUNCTION("""COMPUTED_VALUE"""),1.004)</f>
        <v>1.004</v>
      </c>
      <c r="E975" s="16">
        <f>IFERROR(__xludf.DUMMYFUNCTION("""COMPUTED_VALUE"""),69.0)</f>
        <v>69</v>
      </c>
      <c r="F975" s="19" t="str">
        <f>IFERROR(__xludf.DUMMYFUNCTION("""COMPUTED_VALUE"""),"BLACK")</f>
        <v>BLACK</v>
      </c>
      <c r="G975" s="20" t="str">
        <f>IFERROR(__xludf.DUMMYFUNCTION("""COMPUTED_VALUE"""),"Uncle Sams Cider (5/13/2022)")</f>
        <v>Uncle Sams Cider (5/13/2022)</v>
      </c>
      <c r="H975" s="19"/>
    </row>
    <row r="976">
      <c r="A976" s="9"/>
      <c r="B976" s="15"/>
      <c r="C976" s="9">
        <f>IFERROR(__xludf.DUMMYFUNCTION("""COMPUTED_VALUE"""),44786.4498055439)</f>
        <v>44786.44981</v>
      </c>
      <c r="D976" s="15">
        <f>IFERROR(__xludf.DUMMYFUNCTION("""COMPUTED_VALUE"""),1.004)</f>
        <v>1.004</v>
      </c>
      <c r="E976" s="16">
        <f>IFERROR(__xludf.DUMMYFUNCTION("""COMPUTED_VALUE"""),68.0)</f>
        <v>68</v>
      </c>
      <c r="F976" s="19" t="str">
        <f>IFERROR(__xludf.DUMMYFUNCTION("""COMPUTED_VALUE"""),"BLACK")</f>
        <v>BLACK</v>
      </c>
      <c r="G976" s="20" t="str">
        <f>IFERROR(__xludf.DUMMYFUNCTION("""COMPUTED_VALUE"""),"Uncle Sams Cider (5/13/2022)")</f>
        <v>Uncle Sams Cider (5/13/2022)</v>
      </c>
      <c r="H976" s="19"/>
    </row>
    <row r="977">
      <c r="A977" s="9"/>
      <c r="B977" s="15"/>
      <c r="C977" s="9">
        <f>IFERROR(__xludf.DUMMYFUNCTION("""COMPUTED_VALUE"""),44786.4393847569)</f>
        <v>44786.43938</v>
      </c>
      <c r="D977" s="15">
        <f>IFERROR(__xludf.DUMMYFUNCTION("""COMPUTED_VALUE"""),1.004)</f>
        <v>1.004</v>
      </c>
      <c r="E977" s="16">
        <f>IFERROR(__xludf.DUMMYFUNCTION("""COMPUTED_VALUE"""),68.0)</f>
        <v>68</v>
      </c>
      <c r="F977" s="19" t="str">
        <f>IFERROR(__xludf.DUMMYFUNCTION("""COMPUTED_VALUE"""),"BLACK")</f>
        <v>BLACK</v>
      </c>
      <c r="G977" s="20" t="str">
        <f>IFERROR(__xludf.DUMMYFUNCTION("""COMPUTED_VALUE"""),"Uncle Sams Cider (5/13/2022)")</f>
        <v>Uncle Sams Cider (5/13/2022)</v>
      </c>
      <c r="H977" s="19"/>
    </row>
    <row r="978">
      <c r="A978" s="9"/>
      <c r="B978" s="15"/>
      <c r="C978" s="9">
        <f>IFERROR(__xludf.DUMMYFUNCTION("""COMPUTED_VALUE"""),44786.4289629976)</f>
        <v>44786.42896</v>
      </c>
      <c r="D978" s="15">
        <f>IFERROR(__xludf.DUMMYFUNCTION("""COMPUTED_VALUE"""),1.004)</f>
        <v>1.004</v>
      </c>
      <c r="E978" s="16">
        <f>IFERROR(__xludf.DUMMYFUNCTION("""COMPUTED_VALUE"""),68.0)</f>
        <v>68</v>
      </c>
      <c r="F978" s="19" t="str">
        <f>IFERROR(__xludf.DUMMYFUNCTION("""COMPUTED_VALUE"""),"BLACK")</f>
        <v>BLACK</v>
      </c>
      <c r="G978" s="20" t="str">
        <f>IFERROR(__xludf.DUMMYFUNCTION("""COMPUTED_VALUE"""),"Uncle Sams Cider (5/13/2022)")</f>
        <v>Uncle Sams Cider (5/13/2022)</v>
      </c>
      <c r="H978" s="19"/>
    </row>
    <row r="979">
      <c r="A979" s="9"/>
      <c r="B979" s="15"/>
      <c r="C979" s="9">
        <f>IFERROR(__xludf.DUMMYFUNCTION("""COMPUTED_VALUE"""),44786.4185302777)</f>
        <v>44786.41853</v>
      </c>
      <c r="D979" s="15">
        <f>IFERROR(__xludf.DUMMYFUNCTION("""COMPUTED_VALUE"""),1.004)</f>
        <v>1.004</v>
      </c>
      <c r="E979" s="16">
        <f>IFERROR(__xludf.DUMMYFUNCTION("""COMPUTED_VALUE"""),68.0)</f>
        <v>68</v>
      </c>
      <c r="F979" s="19" t="str">
        <f>IFERROR(__xludf.DUMMYFUNCTION("""COMPUTED_VALUE"""),"BLACK")</f>
        <v>BLACK</v>
      </c>
      <c r="G979" s="20" t="str">
        <f>IFERROR(__xludf.DUMMYFUNCTION("""COMPUTED_VALUE"""),"Uncle Sams Cider (5/13/2022)")</f>
        <v>Uncle Sams Cider (5/13/2022)</v>
      </c>
      <c r="H979" s="19"/>
    </row>
    <row r="980">
      <c r="A980" s="9"/>
      <c r="B980" s="15"/>
      <c r="C980" s="9">
        <f>IFERROR(__xludf.DUMMYFUNCTION("""COMPUTED_VALUE"""),44786.4081098379)</f>
        <v>44786.40811</v>
      </c>
      <c r="D980" s="15">
        <f>IFERROR(__xludf.DUMMYFUNCTION("""COMPUTED_VALUE"""),1.004)</f>
        <v>1.004</v>
      </c>
      <c r="E980" s="16">
        <f>IFERROR(__xludf.DUMMYFUNCTION("""COMPUTED_VALUE"""),68.0)</f>
        <v>68</v>
      </c>
      <c r="F980" s="19" t="str">
        <f>IFERROR(__xludf.DUMMYFUNCTION("""COMPUTED_VALUE"""),"BLACK")</f>
        <v>BLACK</v>
      </c>
      <c r="G980" s="20" t="str">
        <f>IFERROR(__xludf.DUMMYFUNCTION("""COMPUTED_VALUE"""),"Uncle Sams Cider (5/13/2022)")</f>
        <v>Uncle Sams Cider (5/13/2022)</v>
      </c>
      <c r="H980" s="19"/>
    </row>
    <row r="981">
      <c r="A981" s="9"/>
      <c r="B981" s="15"/>
      <c r="C981" s="9">
        <f>IFERROR(__xludf.DUMMYFUNCTION("""COMPUTED_VALUE"""),44786.3976891898)</f>
        <v>44786.39769</v>
      </c>
      <c r="D981" s="15">
        <f>IFERROR(__xludf.DUMMYFUNCTION("""COMPUTED_VALUE"""),1.004)</f>
        <v>1.004</v>
      </c>
      <c r="E981" s="16">
        <f>IFERROR(__xludf.DUMMYFUNCTION("""COMPUTED_VALUE"""),68.0)</f>
        <v>68</v>
      </c>
      <c r="F981" s="19" t="str">
        <f>IFERROR(__xludf.DUMMYFUNCTION("""COMPUTED_VALUE"""),"BLACK")</f>
        <v>BLACK</v>
      </c>
      <c r="G981" s="20" t="str">
        <f>IFERROR(__xludf.DUMMYFUNCTION("""COMPUTED_VALUE"""),"Uncle Sams Cider (5/13/2022)")</f>
        <v>Uncle Sams Cider (5/13/2022)</v>
      </c>
      <c r="H981" s="19"/>
    </row>
    <row r="982">
      <c r="A982" s="9"/>
      <c r="B982" s="15"/>
      <c r="C982" s="9">
        <f>IFERROR(__xludf.DUMMYFUNCTION("""COMPUTED_VALUE"""),44786.3872672569)</f>
        <v>44786.38727</v>
      </c>
      <c r="D982" s="15">
        <f>IFERROR(__xludf.DUMMYFUNCTION("""COMPUTED_VALUE"""),1.004)</f>
        <v>1.004</v>
      </c>
      <c r="E982" s="16">
        <f>IFERROR(__xludf.DUMMYFUNCTION("""COMPUTED_VALUE"""),68.0)</f>
        <v>68</v>
      </c>
      <c r="F982" s="19" t="str">
        <f>IFERROR(__xludf.DUMMYFUNCTION("""COMPUTED_VALUE"""),"BLACK")</f>
        <v>BLACK</v>
      </c>
      <c r="G982" s="20" t="str">
        <f>IFERROR(__xludf.DUMMYFUNCTION("""COMPUTED_VALUE"""),"Uncle Sams Cider (5/13/2022)")</f>
        <v>Uncle Sams Cider (5/13/2022)</v>
      </c>
      <c r="H982" s="19"/>
    </row>
    <row r="983">
      <c r="A983" s="9"/>
      <c r="B983" s="15"/>
      <c r="C983" s="9">
        <f>IFERROR(__xludf.DUMMYFUNCTION("""COMPUTED_VALUE"""),44786.3768219328)</f>
        <v>44786.37682</v>
      </c>
      <c r="D983" s="15">
        <f>IFERROR(__xludf.DUMMYFUNCTION("""COMPUTED_VALUE"""),1.004)</f>
        <v>1.004</v>
      </c>
      <c r="E983" s="16">
        <f>IFERROR(__xludf.DUMMYFUNCTION("""COMPUTED_VALUE"""),68.0)</f>
        <v>68</v>
      </c>
      <c r="F983" s="19" t="str">
        <f>IFERROR(__xludf.DUMMYFUNCTION("""COMPUTED_VALUE"""),"BLACK")</f>
        <v>BLACK</v>
      </c>
      <c r="G983" s="20" t="str">
        <f>IFERROR(__xludf.DUMMYFUNCTION("""COMPUTED_VALUE"""),"Uncle Sams Cider (5/13/2022)")</f>
        <v>Uncle Sams Cider (5/13/2022)</v>
      </c>
      <c r="H983" s="19"/>
    </row>
    <row r="984">
      <c r="A984" s="9"/>
      <c r="B984" s="15"/>
      <c r="C984" s="9">
        <f>IFERROR(__xludf.DUMMYFUNCTION("""COMPUTED_VALUE"""),44786.3664005439)</f>
        <v>44786.3664</v>
      </c>
      <c r="D984" s="15">
        <f>IFERROR(__xludf.DUMMYFUNCTION("""COMPUTED_VALUE"""),1.004)</f>
        <v>1.004</v>
      </c>
      <c r="E984" s="16">
        <f>IFERROR(__xludf.DUMMYFUNCTION("""COMPUTED_VALUE"""),68.0)</f>
        <v>68</v>
      </c>
      <c r="F984" s="19" t="str">
        <f>IFERROR(__xludf.DUMMYFUNCTION("""COMPUTED_VALUE"""),"BLACK")</f>
        <v>BLACK</v>
      </c>
      <c r="G984" s="20" t="str">
        <f>IFERROR(__xludf.DUMMYFUNCTION("""COMPUTED_VALUE"""),"Uncle Sams Cider (5/13/2022)")</f>
        <v>Uncle Sams Cider (5/13/2022)</v>
      </c>
      <c r="H984" s="19"/>
    </row>
    <row r="985">
      <c r="A985" s="9"/>
      <c r="B985" s="15"/>
      <c r="C985" s="9">
        <f>IFERROR(__xludf.DUMMYFUNCTION("""COMPUTED_VALUE"""),44786.3559787384)</f>
        <v>44786.35598</v>
      </c>
      <c r="D985" s="15">
        <f>IFERROR(__xludf.DUMMYFUNCTION("""COMPUTED_VALUE"""),1.004)</f>
        <v>1.004</v>
      </c>
      <c r="E985" s="16">
        <f>IFERROR(__xludf.DUMMYFUNCTION("""COMPUTED_VALUE"""),68.0)</f>
        <v>68</v>
      </c>
      <c r="F985" s="19" t="str">
        <f>IFERROR(__xludf.DUMMYFUNCTION("""COMPUTED_VALUE"""),"BLACK")</f>
        <v>BLACK</v>
      </c>
      <c r="G985" s="20" t="str">
        <f>IFERROR(__xludf.DUMMYFUNCTION("""COMPUTED_VALUE"""),"Uncle Sams Cider (5/13/2022)")</f>
        <v>Uncle Sams Cider (5/13/2022)</v>
      </c>
      <c r="H985" s="19"/>
    </row>
    <row r="986">
      <c r="A986" s="9"/>
      <c r="B986" s="15"/>
      <c r="C986" s="9">
        <f>IFERROR(__xludf.DUMMYFUNCTION("""COMPUTED_VALUE"""),44786.3455577662)</f>
        <v>44786.34556</v>
      </c>
      <c r="D986" s="15">
        <f>IFERROR(__xludf.DUMMYFUNCTION("""COMPUTED_VALUE"""),1.004)</f>
        <v>1.004</v>
      </c>
      <c r="E986" s="16">
        <f>IFERROR(__xludf.DUMMYFUNCTION("""COMPUTED_VALUE"""),68.0)</f>
        <v>68</v>
      </c>
      <c r="F986" s="19" t="str">
        <f>IFERROR(__xludf.DUMMYFUNCTION("""COMPUTED_VALUE"""),"BLACK")</f>
        <v>BLACK</v>
      </c>
      <c r="G986" s="20" t="str">
        <f>IFERROR(__xludf.DUMMYFUNCTION("""COMPUTED_VALUE"""),"Uncle Sams Cider (5/13/2022)")</f>
        <v>Uncle Sams Cider (5/13/2022)</v>
      </c>
      <c r="H986" s="19"/>
    </row>
    <row r="987">
      <c r="A987" s="9"/>
      <c r="B987" s="15"/>
      <c r="C987" s="9">
        <f>IFERROR(__xludf.DUMMYFUNCTION("""COMPUTED_VALUE"""),44786.3351373842)</f>
        <v>44786.33514</v>
      </c>
      <c r="D987" s="15">
        <f>IFERROR(__xludf.DUMMYFUNCTION("""COMPUTED_VALUE"""),1.004)</f>
        <v>1.004</v>
      </c>
      <c r="E987" s="16">
        <f>IFERROR(__xludf.DUMMYFUNCTION("""COMPUTED_VALUE"""),68.0)</f>
        <v>68</v>
      </c>
      <c r="F987" s="19" t="str">
        <f>IFERROR(__xludf.DUMMYFUNCTION("""COMPUTED_VALUE"""),"BLACK")</f>
        <v>BLACK</v>
      </c>
      <c r="G987" s="20" t="str">
        <f>IFERROR(__xludf.DUMMYFUNCTION("""COMPUTED_VALUE"""),"Uncle Sams Cider (5/13/2022)")</f>
        <v>Uncle Sams Cider (5/13/2022)</v>
      </c>
      <c r="H987" s="19"/>
    </row>
    <row r="988">
      <c r="A988" s="9"/>
      <c r="B988" s="15"/>
      <c r="C988" s="9">
        <f>IFERROR(__xludf.DUMMYFUNCTION("""COMPUTED_VALUE"""),44786.3247169675)</f>
        <v>44786.32472</v>
      </c>
      <c r="D988" s="15">
        <f>IFERROR(__xludf.DUMMYFUNCTION("""COMPUTED_VALUE"""),1.004)</f>
        <v>1.004</v>
      </c>
      <c r="E988" s="16">
        <f>IFERROR(__xludf.DUMMYFUNCTION("""COMPUTED_VALUE"""),68.0)</f>
        <v>68</v>
      </c>
      <c r="F988" s="19" t="str">
        <f>IFERROR(__xludf.DUMMYFUNCTION("""COMPUTED_VALUE"""),"BLACK")</f>
        <v>BLACK</v>
      </c>
      <c r="G988" s="20" t="str">
        <f>IFERROR(__xludf.DUMMYFUNCTION("""COMPUTED_VALUE"""),"Uncle Sams Cider (5/13/2022)")</f>
        <v>Uncle Sams Cider (5/13/2022)</v>
      </c>
      <c r="H988" s="19"/>
    </row>
    <row r="989">
      <c r="A989" s="9"/>
      <c r="B989" s="15"/>
      <c r="C989" s="9">
        <f>IFERROR(__xludf.DUMMYFUNCTION("""COMPUTED_VALUE"""),44786.3142846296)</f>
        <v>44786.31428</v>
      </c>
      <c r="D989" s="15">
        <f>IFERROR(__xludf.DUMMYFUNCTION("""COMPUTED_VALUE"""),1.004)</f>
        <v>1.004</v>
      </c>
      <c r="E989" s="16">
        <f>IFERROR(__xludf.DUMMYFUNCTION("""COMPUTED_VALUE"""),68.0)</f>
        <v>68</v>
      </c>
      <c r="F989" s="19" t="str">
        <f>IFERROR(__xludf.DUMMYFUNCTION("""COMPUTED_VALUE"""),"BLACK")</f>
        <v>BLACK</v>
      </c>
      <c r="G989" s="20" t="str">
        <f>IFERROR(__xludf.DUMMYFUNCTION("""COMPUTED_VALUE"""),"Uncle Sams Cider (5/13/2022)")</f>
        <v>Uncle Sams Cider (5/13/2022)</v>
      </c>
      <c r="H989" s="19"/>
    </row>
    <row r="990">
      <c r="A990" s="9"/>
      <c r="B990" s="15"/>
      <c r="C990" s="9">
        <f>IFERROR(__xludf.DUMMYFUNCTION("""COMPUTED_VALUE"""),44786.3038641898)</f>
        <v>44786.30386</v>
      </c>
      <c r="D990" s="15">
        <f>IFERROR(__xludf.DUMMYFUNCTION("""COMPUTED_VALUE"""),1.004)</f>
        <v>1.004</v>
      </c>
      <c r="E990" s="16">
        <f>IFERROR(__xludf.DUMMYFUNCTION("""COMPUTED_VALUE"""),68.0)</f>
        <v>68</v>
      </c>
      <c r="F990" s="19" t="str">
        <f>IFERROR(__xludf.DUMMYFUNCTION("""COMPUTED_VALUE"""),"BLACK")</f>
        <v>BLACK</v>
      </c>
      <c r="G990" s="20" t="str">
        <f>IFERROR(__xludf.DUMMYFUNCTION("""COMPUTED_VALUE"""),"Uncle Sams Cider (5/13/2022)")</f>
        <v>Uncle Sams Cider (5/13/2022)</v>
      </c>
      <c r="H990" s="19"/>
    </row>
    <row r="991">
      <c r="A991" s="9"/>
      <c r="B991" s="15"/>
      <c r="C991" s="9">
        <f>IFERROR(__xludf.DUMMYFUNCTION("""COMPUTED_VALUE"""),44786.2934420139)</f>
        <v>44786.29344</v>
      </c>
      <c r="D991" s="15">
        <f>IFERROR(__xludf.DUMMYFUNCTION("""COMPUTED_VALUE"""),1.004)</f>
        <v>1.004</v>
      </c>
      <c r="E991" s="16">
        <f>IFERROR(__xludf.DUMMYFUNCTION("""COMPUTED_VALUE"""),68.0)</f>
        <v>68</v>
      </c>
      <c r="F991" s="19" t="str">
        <f>IFERROR(__xludf.DUMMYFUNCTION("""COMPUTED_VALUE"""),"BLACK")</f>
        <v>BLACK</v>
      </c>
      <c r="G991" s="20" t="str">
        <f>IFERROR(__xludf.DUMMYFUNCTION("""COMPUTED_VALUE"""),"Uncle Sams Cider (5/13/2022)")</f>
        <v>Uncle Sams Cider (5/13/2022)</v>
      </c>
      <c r="H991" s="19"/>
    </row>
    <row r="992">
      <c r="A992" s="9"/>
      <c r="B992" s="15"/>
      <c r="C992" s="9">
        <f>IFERROR(__xludf.DUMMYFUNCTION("""COMPUTED_VALUE"""),44786.283008368)</f>
        <v>44786.28301</v>
      </c>
      <c r="D992" s="15">
        <f>IFERROR(__xludf.DUMMYFUNCTION("""COMPUTED_VALUE"""),1.004)</f>
        <v>1.004</v>
      </c>
      <c r="E992" s="16">
        <f>IFERROR(__xludf.DUMMYFUNCTION("""COMPUTED_VALUE"""),68.0)</f>
        <v>68</v>
      </c>
      <c r="F992" s="19" t="str">
        <f>IFERROR(__xludf.DUMMYFUNCTION("""COMPUTED_VALUE"""),"BLACK")</f>
        <v>BLACK</v>
      </c>
      <c r="G992" s="20" t="str">
        <f>IFERROR(__xludf.DUMMYFUNCTION("""COMPUTED_VALUE"""),"Uncle Sams Cider (5/13/2022)")</f>
        <v>Uncle Sams Cider (5/13/2022)</v>
      </c>
      <c r="H992" s="19"/>
    </row>
    <row r="993">
      <c r="A993" s="9"/>
      <c r="B993" s="15"/>
      <c r="C993" s="9">
        <f>IFERROR(__xludf.DUMMYFUNCTION("""COMPUTED_VALUE"""),44786.2725875926)</f>
        <v>44786.27259</v>
      </c>
      <c r="D993" s="15">
        <f>IFERROR(__xludf.DUMMYFUNCTION("""COMPUTED_VALUE"""),1.004)</f>
        <v>1.004</v>
      </c>
      <c r="E993" s="16">
        <f>IFERROR(__xludf.DUMMYFUNCTION("""COMPUTED_VALUE"""),68.0)</f>
        <v>68</v>
      </c>
      <c r="F993" s="19" t="str">
        <f>IFERROR(__xludf.DUMMYFUNCTION("""COMPUTED_VALUE"""),"BLACK")</f>
        <v>BLACK</v>
      </c>
      <c r="G993" s="20" t="str">
        <f>IFERROR(__xludf.DUMMYFUNCTION("""COMPUTED_VALUE"""),"Uncle Sams Cider (5/13/2022)")</f>
        <v>Uncle Sams Cider (5/13/2022)</v>
      </c>
      <c r="H993" s="19"/>
    </row>
    <row r="994">
      <c r="A994" s="9"/>
      <c r="B994" s="15"/>
      <c r="C994" s="9">
        <f>IFERROR(__xludf.DUMMYFUNCTION("""COMPUTED_VALUE"""),44786.2621658564)</f>
        <v>44786.26217</v>
      </c>
      <c r="D994" s="15">
        <f>IFERROR(__xludf.DUMMYFUNCTION("""COMPUTED_VALUE"""),1.004)</f>
        <v>1.004</v>
      </c>
      <c r="E994" s="16">
        <f>IFERROR(__xludf.DUMMYFUNCTION("""COMPUTED_VALUE"""),68.0)</f>
        <v>68</v>
      </c>
      <c r="F994" s="19" t="str">
        <f>IFERROR(__xludf.DUMMYFUNCTION("""COMPUTED_VALUE"""),"BLACK")</f>
        <v>BLACK</v>
      </c>
      <c r="G994" s="20" t="str">
        <f>IFERROR(__xludf.DUMMYFUNCTION("""COMPUTED_VALUE"""),"Uncle Sams Cider (5/13/2022)")</f>
        <v>Uncle Sams Cider (5/13/2022)</v>
      </c>
      <c r="H994" s="19"/>
    </row>
    <row r="995">
      <c r="A995" s="9"/>
      <c r="B995" s="15"/>
      <c r="C995" s="9">
        <f>IFERROR(__xludf.DUMMYFUNCTION("""COMPUTED_VALUE"""),44786.2517461921)</f>
        <v>44786.25175</v>
      </c>
      <c r="D995" s="15">
        <f>IFERROR(__xludf.DUMMYFUNCTION("""COMPUTED_VALUE"""),1.004)</f>
        <v>1.004</v>
      </c>
      <c r="E995" s="16">
        <f>IFERROR(__xludf.DUMMYFUNCTION("""COMPUTED_VALUE"""),68.0)</f>
        <v>68</v>
      </c>
      <c r="F995" s="19" t="str">
        <f>IFERROR(__xludf.DUMMYFUNCTION("""COMPUTED_VALUE"""),"BLACK")</f>
        <v>BLACK</v>
      </c>
      <c r="G995" s="20" t="str">
        <f>IFERROR(__xludf.DUMMYFUNCTION("""COMPUTED_VALUE"""),"Uncle Sams Cider (5/13/2022)")</f>
        <v>Uncle Sams Cider (5/13/2022)</v>
      </c>
      <c r="H995" s="19"/>
    </row>
    <row r="996">
      <c r="A996" s="9"/>
      <c r="B996" s="15"/>
      <c r="C996" s="9">
        <f>IFERROR(__xludf.DUMMYFUNCTION("""COMPUTED_VALUE"""),44786.2413257291)</f>
        <v>44786.24133</v>
      </c>
      <c r="D996" s="15">
        <f>IFERROR(__xludf.DUMMYFUNCTION("""COMPUTED_VALUE"""),1.004)</f>
        <v>1.004</v>
      </c>
      <c r="E996" s="16">
        <f>IFERROR(__xludf.DUMMYFUNCTION("""COMPUTED_VALUE"""),68.0)</f>
        <v>68</v>
      </c>
      <c r="F996" s="19" t="str">
        <f>IFERROR(__xludf.DUMMYFUNCTION("""COMPUTED_VALUE"""),"BLACK")</f>
        <v>BLACK</v>
      </c>
      <c r="G996" s="20" t="str">
        <f>IFERROR(__xludf.DUMMYFUNCTION("""COMPUTED_VALUE"""),"Uncle Sams Cider (5/13/2022)")</f>
        <v>Uncle Sams Cider (5/13/2022)</v>
      </c>
      <c r="H996" s="19"/>
    </row>
    <row r="997">
      <c r="A997" s="9"/>
      <c r="B997" s="15"/>
      <c r="C997" s="9">
        <f>IFERROR(__xludf.DUMMYFUNCTION("""COMPUTED_VALUE"""),44786.2309043402)</f>
        <v>44786.2309</v>
      </c>
      <c r="D997" s="15">
        <f>IFERROR(__xludf.DUMMYFUNCTION("""COMPUTED_VALUE"""),1.004)</f>
        <v>1.004</v>
      </c>
      <c r="E997" s="16">
        <f>IFERROR(__xludf.DUMMYFUNCTION("""COMPUTED_VALUE"""),68.0)</f>
        <v>68</v>
      </c>
      <c r="F997" s="19" t="str">
        <f>IFERROR(__xludf.DUMMYFUNCTION("""COMPUTED_VALUE"""),"BLACK")</f>
        <v>BLACK</v>
      </c>
      <c r="G997" s="20" t="str">
        <f>IFERROR(__xludf.DUMMYFUNCTION("""COMPUTED_VALUE"""),"Uncle Sams Cider (5/13/2022)")</f>
        <v>Uncle Sams Cider (5/13/2022)</v>
      </c>
      <c r="H997" s="19"/>
    </row>
    <row r="998">
      <c r="A998" s="9"/>
      <c r="B998" s="15"/>
      <c r="C998" s="9">
        <f>IFERROR(__xludf.DUMMYFUNCTION("""COMPUTED_VALUE"""),44786.2204827662)</f>
        <v>44786.22048</v>
      </c>
      <c r="D998" s="15">
        <f>IFERROR(__xludf.DUMMYFUNCTION("""COMPUTED_VALUE"""),1.004)</f>
        <v>1.004</v>
      </c>
      <c r="E998" s="16">
        <f>IFERROR(__xludf.DUMMYFUNCTION("""COMPUTED_VALUE"""),68.0)</f>
        <v>68</v>
      </c>
      <c r="F998" s="19" t="str">
        <f>IFERROR(__xludf.DUMMYFUNCTION("""COMPUTED_VALUE"""),"BLACK")</f>
        <v>BLACK</v>
      </c>
      <c r="G998" s="20" t="str">
        <f>IFERROR(__xludf.DUMMYFUNCTION("""COMPUTED_VALUE"""),"Uncle Sams Cider (5/13/2022)")</f>
        <v>Uncle Sams Cider (5/13/2022)</v>
      </c>
      <c r="H998" s="19"/>
    </row>
    <row r="999">
      <c r="A999" s="9"/>
      <c r="B999" s="15"/>
      <c r="C999" s="9">
        <f>IFERROR(__xludf.DUMMYFUNCTION("""COMPUTED_VALUE"""),44786.2100600462)</f>
        <v>44786.21006</v>
      </c>
      <c r="D999" s="15">
        <f>IFERROR(__xludf.DUMMYFUNCTION("""COMPUTED_VALUE"""),1.004)</f>
        <v>1.004</v>
      </c>
      <c r="E999" s="16">
        <f>IFERROR(__xludf.DUMMYFUNCTION("""COMPUTED_VALUE"""),68.0)</f>
        <v>68</v>
      </c>
      <c r="F999" s="19" t="str">
        <f>IFERROR(__xludf.DUMMYFUNCTION("""COMPUTED_VALUE"""),"BLACK")</f>
        <v>BLACK</v>
      </c>
      <c r="G999" s="20" t="str">
        <f>IFERROR(__xludf.DUMMYFUNCTION("""COMPUTED_VALUE"""),"Uncle Sams Cider (5/13/2022)")</f>
        <v>Uncle Sams Cider (5/13/2022)</v>
      </c>
      <c r="H999" s="19"/>
    </row>
    <row r="1000">
      <c r="A1000" s="9"/>
      <c r="B1000" s="15"/>
      <c r="C1000" s="9">
        <f>IFERROR(__xludf.DUMMYFUNCTION("""COMPUTED_VALUE"""),44786.1996388773)</f>
        <v>44786.19964</v>
      </c>
      <c r="D1000" s="15">
        <f>IFERROR(__xludf.DUMMYFUNCTION("""COMPUTED_VALUE"""),1.004)</f>
        <v>1.004</v>
      </c>
      <c r="E1000" s="16">
        <f>IFERROR(__xludf.DUMMYFUNCTION("""COMPUTED_VALUE"""),68.0)</f>
        <v>68</v>
      </c>
      <c r="F1000" s="19" t="str">
        <f>IFERROR(__xludf.DUMMYFUNCTION("""COMPUTED_VALUE"""),"BLACK")</f>
        <v>BLACK</v>
      </c>
      <c r="G1000" s="20" t="str">
        <f>IFERROR(__xludf.DUMMYFUNCTION("""COMPUTED_VALUE"""),"Uncle Sams Cider (5/13/2022)")</f>
        <v>Uncle Sams Cider (5/13/2022)</v>
      </c>
      <c r="H1000" s="19"/>
    </row>
    <row r="1001">
      <c r="A1001" s="9"/>
      <c r="B1001" s="15"/>
      <c r="C1001" s="9">
        <f>IFERROR(__xludf.DUMMYFUNCTION("""COMPUTED_VALUE"""),44786.1891710879)</f>
        <v>44786.18917</v>
      </c>
      <c r="D1001" s="15">
        <f>IFERROR(__xludf.DUMMYFUNCTION("""COMPUTED_VALUE"""),1.004)</f>
        <v>1.004</v>
      </c>
      <c r="E1001" s="16">
        <f>IFERROR(__xludf.DUMMYFUNCTION("""COMPUTED_VALUE"""),68.0)</f>
        <v>68</v>
      </c>
      <c r="F1001" s="19" t="str">
        <f>IFERROR(__xludf.DUMMYFUNCTION("""COMPUTED_VALUE"""),"BLACK")</f>
        <v>BLACK</v>
      </c>
      <c r="G1001" s="20" t="str">
        <f>IFERROR(__xludf.DUMMYFUNCTION("""COMPUTED_VALUE"""),"Uncle Sams Cider (5/13/2022)")</f>
        <v>Uncle Sams Cider (5/13/2022)</v>
      </c>
      <c r="H1001" s="19"/>
    </row>
    <row r="1002">
      <c r="A1002" s="9"/>
      <c r="B1002" s="15"/>
      <c r="C1002" s="9">
        <f>IFERROR(__xludf.DUMMYFUNCTION("""COMPUTED_VALUE"""),44786.1787513888)</f>
        <v>44786.17875</v>
      </c>
      <c r="D1002" s="15">
        <f>IFERROR(__xludf.DUMMYFUNCTION("""COMPUTED_VALUE"""),1.004)</f>
        <v>1.004</v>
      </c>
      <c r="E1002" s="16">
        <f>IFERROR(__xludf.DUMMYFUNCTION("""COMPUTED_VALUE"""),68.0)</f>
        <v>68</v>
      </c>
      <c r="F1002" s="19" t="str">
        <f>IFERROR(__xludf.DUMMYFUNCTION("""COMPUTED_VALUE"""),"BLACK")</f>
        <v>BLACK</v>
      </c>
      <c r="G1002" s="20" t="str">
        <f>IFERROR(__xludf.DUMMYFUNCTION("""COMPUTED_VALUE"""),"Uncle Sams Cider (5/13/2022)")</f>
        <v>Uncle Sams Cider (5/13/2022)</v>
      </c>
      <c r="H1002" s="19"/>
    </row>
    <row r="1003">
      <c r="A1003" s="9"/>
      <c r="B1003" s="15"/>
      <c r="C1003" s="9">
        <f>IFERROR(__xludf.DUMMYFUNCTION("""COMPUTED_VALUE"""),44786.1683322106)</f>
        <v>44786.16833</v>
      </c>
      <c r="D1003" s="15">
        <f>IFERROR(__xludf.DUMMYFUNCTION("""COMPUTED_VALUE"""),1.004)</f>
        <v>1.004</v>
      </c>
      <c r="E1003" s="16">
        <f>IFERROR(__xludf.DUMMYFUNCTION("""COMPUTED_VALUE"""),68.0)</f>
        <v>68</v>
      </c>
      <c r="F1003" s="19" t="str">
        <f>IFERROR(__xludf.DUMMYFUNCTION("""COMPUTED_VALUE"""),"BLACK")</f>
        <v>BLACK</v>
      </c>
      <c r="G1003" s="20" t="str">
        <f>IFERROR(__xludf.DUMMYFUNCTION("""COMPUTED_VALUE"""),"Uncle Sams Cider (5/13/2022)")</f>
        <v>Uncle Sams Cider (5/13/2022)</v>
      </c>
      <c r="H1003" s="19"/>
    </row>
    <row r="1004">
      <c r="A1004" s="9"/>
      <c r="B1004" s="15"/>
      <c r="C1004" s="9">
        <f>IFERROR(__xludf.DUMMYFUNCTION("""COMPUTED_VALUE"""),44786.1578980902)</f>
        <v>44786.1579</v>
      </c>
      <c r="D1004" s="15">
        <f>IFERROR(__xludf.DUMMYFUNCTION("""COMPUTED_VALUE"""),1.004)</f>
        <v>1.004</v>
      </c>
      <c r="E1004" s="16">
        <f>IFERROR(__xludf.DUMMYFUNCTION("""COMPUTED_VALUE"""),68.0)</f>
        <v>68</v>
      </c>
      <c r="F1004" s="19" t="str">
        <f>IFERROR(__xludf.DUMMYFUNCTION("""COMPUTED_VALUE"""),"BLACK")</f>
        <v>BLACK</v>
      </c>
      <c r="G1004" s="20" t="str">
        <f>IFERROR(__xludf.DUMMYFUNCTION("""COMPUTED_VALUE"""),"Uncle Sams Cider (5/13/2022)")</f>
        <v>Uncle Sams Cider (5/13/2022)</v>
      </c>
      <c r="H1004" s="19"/>
    </row>
    <row r="1005">
      <c r="A1005" s="9"/>
      <c r="B1005" s="15"/>
      <c r="C1005" s="9">
        <f>IFERROR(__xludf.DUMMYFUNCTION("""COMPUTED_VALUE"""),44786.1474767361)</f>
        <v>44786.14748</v>
      </c>
      <c r="D1005" s="15">
        <f>IFERROR(__xludf.DUMMYFUNCTION("""COMPUTED_VALUE"""),1.004)</f>
        <v>1.004</v>
      </c>
      <c r="E1005" s="16">
        <f>IFERROR(__xludf.DUMMYFUNCTION("""COMPUTED_VALUE"""),68.0)</f>
        <v>68</v>
      </c>
      <c r="F1005" s="19" t="str">
        <f>IFERROR(__xludf.DUMMYFUNCTION("""COMPUTED_VALUE"""),"BLACK")</f>
        <v>BLACK</v>
      </c>
      <c r="G1005" s="20" t="str">
        <f>IFERROR(__xludf.DUMMYFUNCTION("""COMPUTED_VALUE"""),"Uncle Sams Cider (5/13/2022)")</f>
        <v>Uncle Sams Cider (5/13/2022)</v>
      </c>
      <c r="H1005" s="19"/>
    </row>
    <row r="1006">
      <c r="A1006" s="9"/>
      <c r="B1006" s="15"/>
      <c r="C1006" s="9">
        <f>IFERROR(__xludf.DUMMYFUNCTION("""COMPUTED_VALUE"""),44786.1370317939)</f>
        <v>44786.13703</v>
      </c>
      <c r="D1006" s="15">
        <f>IFERROR(__xludf.DUMMYFUNCTION("""COMPUTED_VALUE"""),1.004)</f>
        <v>1.004</v>
      </c>
      <c r="E1006" s="16">
        <f>IFERROR(__xludf.DUMMYFUNCTION("""COMPUTED_VALUE"""),68.0)</f>
        <v>68</v>
      </c>
      <c r="F1006" s="19" t="str">
        <f>IFERROR(__xludf.DUMMYFUNCTION("""COMPUTED_VALUE"""),"BLACK")</f>
        <v>BLACK</v>
      </c>
      <c r="G1006" s="20" t="str">
        <f>IFERROR(__xludf.DUMMYFUNCTION("""COMPUTED_VALUE"""),"Uncle Sams Cider (5/13/2022)")</f>
        <v>Uncle Sams Cider (5/13/2022)</v>
      </c>
      <c r="H1006" s="19"/>
    </row>
    <row r="1007">
      <c r="A1007" s="9"/>
      <c r="B1007" s="15"/>
      <c r="C1007" s="9">
        <f>IFERROR(__xludf.DUMMYFUNCTION("""COMPUTED_VALUE"""),44786.12660978)</f>
        <v>44786.12661</v>
      </c>
      <c r="D1007" s="15">
        <f>IFERROR(__xludf.DUMMYFUNCTION("""COMPUTED_VALUE"""),1.004)</f>
        <v>1.004</v>
      </c>
      <c r="E1007" s="16">
        <f>IFERROR(__xludf.DUMMYFUNCTION("""COMPUTED_VALUE"""),68.0)</f>
        <v>68</v>
      </c>
      <c r="F1007" s="19" t="str">
        <f>IFERROR(__xludf.DUMMYFUNCTION("""COMPUTED_VALUE"""),"BLACK")</f>
        <v>BLACK</v>
      </c>
      <c r="G1007" s="20" t="str">
        <f>IFERROR(__xludf.DUMMYFUNCTION("""COMPUTED_VALUE"""),"Uncle Sams Cider (5/13/2022)")</f>
        <v>Uncle Sams Cider (5/13/2022)</v>
      </c>
      <c r="H1007" s="19"/>
    </row>
    <row r="1008">
      <c r="A1008" s="9"/>
      <c r="B1008" s="15"/>
      <c r="C1008" s="9">
        <f>IFERROR(__xludf.DUMMYFUNCTION("""COMPUTED_VALUE"""),44786.1161643518)</f>
        <v>44786.11616</v>
      </c>
      <c r="D1008" s="15">
        <f>IFERROR(__xludf.DUMMYFUNCTION("""COMPUTED_VALUE"""),1.004)</f>
        <v>1.004</v>
      </c>
      <c r="E1008" s="16">
        <f>IFERROR(__xludf.DUMMYFUNCTION("""COMPUTED_VALUE"""),68.0)</f>
        <v>68</v>
      </c>
      <c r="F1008" s="19" t="str">
        <f>IFERROR(__xludf.DUMMYFUNCTION("""COMPUTED_VALUE"""),"BLACK")</f>
        <v>BLACK</v>
      </c>
      <c r="G1008" s="20" t="str">
        <f>IFERROR(__xludf.DUMMYFUNCTION("""COMPUTED_VALUE"""),"Uncle Sams Cider (5/13/2022)")</f>
        <v>Uncle Sams Cider (5/13/2022)</v>
      </c>
      <c r="H1008" s="19"/>
    </row>
    <row r="1009">
      <c r="A1009" s="9"/>
      <c r="B1009" s="15"/>
      <c r="C1009" s="9">
        <f>IFERROR(__xludf.DUMMYFUNCTION("""COMPUTED_VALUE"""),44786.1057425347)</f>
        <v>44786.10574</v>
      </c>
      <c r="D1009" s="15">
        <f>IFERROR(__xludf.DUMMYFUNCTION("""COMPUTED_VALUE"""),1.004)</f>
        <v>1.004</v>
      </c>
      <c r="E1009" s="16">
        <f>IFERROR(__xludf.DUMMYFUNCTION("""COMPUTED_VALUE"""),68.0)</f>
        <v>68</v>
      </c>
      <c r="F1009" s="19" t="str">
        <f>IFERROR(__xludf.DUMMYFUNCTION("""COMPUTED_VALUE"""),"BLACK")</f>
        <v>BLACK</v>
      </c>
      <c r="G1009" s="20" t="str">
        <f>IFERROR(__xludf.DUMMYFUNCTION("""COMPUTED_VALUE"""),"Uncle Sams Cider (5/13/2022)")</f>
        <v>Uncle Sams Cider (5/13/2022)</v>
      </c>
      <c r="H1009" s="19"/>
    </row>
    <row r="1010">
      <c r="A1010" s="9"/>
      <c r="B1010" s="15"/>
      <c r="C1010" s="9">
        <f>IFERROR(__xludf.DUMMYFUNCTION("""COMPUTED_VALUE"""),44786.0953102546)</f>
        <v>44786.09531</v>
      </c>
      <c r="D1010" s="15">
        <f>IFERROR(__xludf.DUMMYFUNCTION("""COMPUTED_VALUE"""),1.004)</f>
        <v>1.004</v>
      </c>
      <c r="E1010" s="16">
        <f>IFERROR(__xludf.DUMMYFUNCTION("""COMPUTED_VALUE"""),68.0)</f>
        <v>68</v>
      </c>
      <c r="F1010" s="19" t="str">
        <f>IFERROR(__xludf.DUMMYFUNCTION("""COMPUTED_VALUE"""),"BLACK")</f>
        <v>BLACK</v>
      </c>
      <c r="G1010" s="20" t="str">
        <f>IFERROR(__xludf.DUMMYFUNCTION("""COMPUTED_VALUE"""),"Uncle Sams Cider (5/13/2022)")</f>
        <v>Uncle Sams Cider (5/13/2022)</v>
      </c>
      <c r="H1010" s="19"/>
    </row>
    <row r="1011">
      <c r="A1011" s="9"/>
      <c r="B1011" s="15"/>
      <c r="C1011" s="9">
        <f>IFERROR(__xludf.DUMMYFUNCTION("""COMPUTED_VALUE"""),44786.0848881481)</f>
        <v>44786.08489</v>
      </c>
      <c r="D1011" s="15">
        <f>IFERROR(__xludf.DUMMYFUNCTION("""COMPUTED_VALUE"""),1.004)</f>
        <v>1.004</v>
      </c>
      <c r="E1011" s="16">
        <f>IFERROR(__xludf.DUMMYFUNCTION("""COMPUTED_VALUE"""),68.0)</f>
        <v>68</v>
      </c>
      <c r="F1011" s="19" t="str">
        <f>IFERROR(__xludf.DUMMYFUNCTION("""COMPUTED_VALUE"""),"BLACK")</f>
        <v>BLACK</v>
      </c>
      <c r="G1011" s="20" t="str">
        <f>IFERROR(__xludf.DUMMYFUNCTION("""COMPUTED_VALUE"""),"Uncle Sams Cider (5/13/2022)")</f>
        <v>Uncle Sams Cider (5/13/2022)</v>
      </c>
      <c r="H1011" s="19"/>
    </row>
    <row r="1012">
      <c r="A1012" s="9"/>
      <c r="B1012" s="15"/>
      <c r="C1012" s="9">
        <f>IFERROR(__xludf.DUMMYFUNCTION("""COMPUTED_VALUE"""),44786.0744559838)</f>
        <v>44786.07446</v>
      </c>
      <c r="D1012" s="15">
        <f>IFERROR(__xludf.DUMMYFUNCTION("""COMPUTED_VALUE"""),1.004)</f>
        <v>1.004</v>
      </c>
      <c r="E1012" s="16">
        <f>IFERROR(__xludf.DUMMYFUNCTION("""COMPUTED_VALUE"""),68.0)</f>
        <v>68</v>
      </c>
      <c r="F1012" s="19" t="str">
        <f>IFERROR(__xludf.DUMMYFUNCTION("""COMPUTED_VALUE"""),"BLACK")</f>
        <v>BLACK</v>
      </c>
      <c r="G1012" s="20" t="str">
        <f>IFERROR(__xludf.DUMMYFUNCTION("""COMPUTED_VALUE"""),"Uncle Sams Cider (5/13/2022)")</f>
        <v>Uncle Sams Cider (5/13/2022)</v>
      </c>
      <c r="H1012" s="19"/>
    </row>
    <row r="1013">
      <c r="A1013" s="9"/>
      <c r="B1013" s="15"/>
      <c r="C1013" s="9">
        <f>IFERROR(__xludf.DUMMYFUNCTION("""COMPUTED_VALUE"""),44786.0640370023)</f>
        <v>44786.06404</v>
      </c>
      <c r="D1013" s="15">
        <f>IFERROR(__xludf.DUMMYFUNCTION("""COMPUTED_VALUE"""),1.004)</f>
        <v>1.004</v>
      </c>
      <c r="E1013" s="16">
        <f>IFERROR(__xludf.DUMMYFUNCTION("""COMPUTED_VALUE"""),68.0)</f>
        <v>68</v>
      </c>
      <c r="F1013" s="19" t="str">
        <f>IFERROR(__xludf.DUMMYFUNCTION("""COMPUTED_VALUE"""),"BLACK")</f>
        <v>BLACK</v>
      </c>
      <c r="G1013" s="20" t="str">
        <f>IFERROR(__xludf.DUMMYFUNCTION("""COMPUTED_VALUE"""),"Uncle Sams Cider (5/13/2022)")</f>
        <v>Uncle Sams Cider (5/13/2022)</v>
      </c>
      <c r="H1013" s="19"/>
    </row>
    <row r="1014">
      <c r="A1014" s="9"/>
      <c r="B1014" s="15"/>
      <c r="C1014" s="9">
        <f>IFERROR(__xludf.DUMMYFUNCTION("""COMPUTED_VALUE"""),44786.0536155208)</f>
        <v>44786.05362</v>
      </c>
      <c r="D1014" s="15">
        <f>IFERROR(__xludf.DUMMYFUNCTION("""COMPUTED_VALUE"""),1.004)</f>
        <v>1.004</v>
      </c>
      <c r="E1014" s="16">
        <f>IFERROR(__xludf.DUMMYFUNCTION("""COMPUTED_VALUE"""),68.0)</f>
        <v>68</v>
      </c>
      <c r="F1014" s="19" t="str">
        <f>IFERROR(__xludf.DUMMYFUNCTION("""COMPUTED_VALUE"""),"BLACK")</f>
        <v>BLACK</v>
      </c>
      <c r="G1014" s="20" t="str">
        <f>IFERROR(__xludf.DUMMYFUNCTION("""COMPUTED_VALUE"""),"Uncle Sams Cider (5/13/2022)")</f>
        <v>Uncle Sams Cider (5/13/2022)</v>
      </c>
      <c r="H1014" s="19"/>
    </row>
    <row r="1015">
      <c r="A1015" s="9"/>
      <c r="B1015" s="15"/>
      <c r="C1015" s="9">
        <f>IFERROR(__xludf.DUMMYFUNCTION("""COMPUTED_VALUE"""),44786.0431953356)</f>
        <v>44786.0432</v>
      </c>
      <c r="D1015" s="15">
        <f>IFERROR(__xludf.DUMMYFUNCTION("""COMPUTED_VALUE"""),1.004)</f>
        <v>1.004</v>
      </c>
      <c r="E1015" s="16">
        <f>IFERROR(__xludf.DUMMYFUNCTION("""COMPUTED_VALUE"""),68.0)</f>
        <v>68</v>
      </c>
      <c r="F1015" s="19" t="str">
        <f>IFERROR(__xludf.DUMMYFUNCTION("""COMPUTED_VALUE"""),"BLACK")</f>
        <v>BLACK</v>
      </c>
      <c r="G1015" s="20" t="str">
        <f>IFERROR(__xludf.DUMMYFUNCTION("""COMPUTED_VALUE"""),"Uncle Sams Cider (5/13/2022)")</f>
        <v>Uncle Sams Cider (5/13/2022)</v>
      </c>
      <c r="H1015" s="19"/>
    </row>
    <row r="1016">
      <c r="A1016" s="9"/>
      <c r="B1016" s="15"/>
      <c r="C1016" s="9">
        <f>IFERROR(__xludf.DUMMYFUNCTION("""COMPUTED_VALUE"""),44786.0327739467)</f>
        <v>44786.03277</v>
      </c>
      <c r="D1016" s="15">
        <f>IFERROR(__xludf.DUMMYFUNCTION("""COMPUTED_VALUE"""),1.004)</f>
        <v>1.004</v>
      </c>
      <c r="E1016" s="16">
        <f>IFERROR(__xludf.DUMMYFUNCTION("""COMPUTED_VALUE"""),68.0)</f>
        <v>68</v>
      </c>
      <c r="F1016" s="19" t="str">
        <f>IFERROR(__xludf.DUMMYFUNCTION("""COMPUTED_VALUE"""),"BLACK")</f>
        <v>BLACK</v>
      </c>
      <c r="G1016" s="20" t="str">
        <f>IFERROR(__xludf.DUMMYFUNCTION("""COMPUTED_VALUE"""),"Uncle Sams Cider (5/13/2022)")</f>
        <v>Uncle Sams Cider (5/13/2022)</v>
      </c>
      <c r="H1016" s="19"/>
    </row>
    <row r="1017">
      <c r="A1017" s="9"/>
      <c r="B1017" s="15"/>
      <c r="C1017" s="9">
        <f>IFERROR(__xludf.DUMMYFUNCTION("""COMPUTED_VALUE"""),44786.0223404282)</f>
        <v>44786.02234</v>
      </c>
      <c r="D1017" s="15">
        <f>IFERROR(__xludf.DUMMYFUNCTION("""COMPUTED_VALUE"""),1.004)</f>
        <v>1.004</v>
      </c>
      <c r="E1017" s="16">
        <f>IFERROR(__xludf.DUMMYFUNCTION("""COMPUTED_VALUE"""),68.0)</f>
        <v>68</v>
      </c>
      <c r="F1017" s="19" t="str">
        <f>IFERROR(__xludf.DUMMYFUNCTION("""COMPUTED_VALUE"""),"BLACK")</f>
        <v>BLACK</v>
      </c>
      <c r="G1017" s="20" t="str">
        <f>IFERROR(__xludf.DUMMYFUNCTION("""COMPUTED_VALUE"""),"Uncle Sams Cider (5/13/2022)")</f>
        <v>Uncle Sams Cider (5/13/2022)</v>
      </c>
      <c r="H1017" s="19"/>
    </row>
    <row r="1018">
      <c r="A1018" s="9"/>
      <c r="B1018" s="15"/>
      <c r="C1018" s="9">
        <f>IFERROR(__xludf.DUMMYFUNCTION("""COMPUTED_VALUE"""),44786.0119076041)</f>
        <v>44786.01191</v>
      </c>
      <c r="D1018" s="15">
        <f>IFERROR(__xludf.DUMMYFUNCTION("""COMPUTED_VALUE"""),1.004)</f>
        <v>1.004</v>
      </c>
      <c r="E1018" s="16">
        <f>IFERROR(__xludf.DUMMYFUNCTION("""COMPUTED_VALUE"""),68.0)</f>
        <v>68</v>
      </c>
      <c r="F1018" s="19" t="str">
        <f>IFERROR(__xludf.DUMMYFUNCTION("""COMPUTED_VALUE"""),"BLACK")</f>
        <v>BLACK</v>
      </c>
      <c r="G1018" s="20" t="str">
        <f>IFERROR(__xludf.DUMMYFUNCTION("""COMPUTED_VALUE"""),"Uncle Sams Cider (5/13/2022)")</f>
        <v>Uncle Sams Cider (5/13/2022)</v>
      </c>
      <c r="H1018" s="19"/>
    </row>
    <row r="1019">
      <c r="A1019" s="9"/>
      <c r="B1019" s="15"/>
      <c r="C1019" s="9">
        <f>IFERROR(__xludf.DUMMYFUNCTION("""COMPUTED_VALUE"""),44786.0014865046)</f>
        <v>44786.00149</v>
      </c>
      <c r="D1019" s="15">
        <f>IFERROR(__xludf.DUMMYFUNCTION("""COMPUTED_VALUE"""),1.004)</f>
        <v>1.004</v>
      </c>
      <c r="E1019" s="16">
        <f>IFERROR(__xludf.DUMMYFUNCTION("""COMPUTED_VALUE"""),68.0)</f>
        <v>68</v>
      </c>
      <c r="F1019" s="19" t="str">
        <f>IFERROR(__xludf.DUMMYFUNCTION("""COMPUTED_VALUE"""),"BLACK")</f>
        <v>BLACK</v>
      </c>
      <c r="G1019" s="20" t="str">
        <f>IFERROR(__xludf.DUMMYFUNCTION("""COMPUTED_VALUE"""),"Uncle Sams Cider (5/13/2022)")</f>
        <v>Uncle Sams Cider (5/13/2022)</v>
      </c>
      <c r="H1019" s="19"/>
    </row>
    <row r="1020">
      <c r="A1020" s="9"/>
      <c r="B1020" s="15"/>
      <c r="C1020" s="9">
        <f>IFERROR(__xludf.DUMMYFUNCTION("""COMPUTED_VALUE"""),44785.9910657176)</f>
        <v>44785.99107</v>
      </c>
      <c r="D1020" s="15">
        <f>IFERROR(__xludf.DUMMYFUNCTION("""COMPUTED_VALUE"""),1.004)</f>
        <v>1.004</v>
      </c>
      <c r="E1020" s="16">
        <f>IFERROR(__xludf.DUMMYFUNCTION("""COMPUTED_VALUE"""),68.0)</f>
        <v>68</v>
      </c>
      <c r="F1020" s="19" t="str">
        <f>IFERROR(__xludf.DUMMYFUNCTION("""COMPUTED_VALUE"""),"BLACK")</f>
        <v>BLACK</v>
      </c>
      <c r="G1020" s="20" t="str">
        <f>IFERROR(__xludf.DUMMYFUNCTION("""COMPUTED_VALUE"""),"Uncle Sams Cider (5/13/2022)")</f>
        <v>Uncle Sams Cider (5/13/2022)</v>
      </c>
      <c r="H1020" s="19"/>
    </row>
    <row r="1021">
      <c r="A1021" s="9"/>
      <c r="B1021" s="15"/>
      <c r="C1021" s="9">
        <f>IFERROR(__xludf.DUMMYFUNCTION("""COMPUTED_VALUE"""),44785.980646574)</f>
        <v>44785.98065</v>
      </c>
      <c r="D1021" s="15">
        <f>IFERROR(__xludf.DUMMYFUNCTION("""COMPUTED_VALUE"""),1.004)</f>
        <v>1.004</v>
      </c>
      <c r="E1021" s="16">
        <f>IFERROR(__xludf.DUMMYFUNCTION("""COMPUTED_VALUE"""),68.0)</f>
        <v>68</v>
      </c>
      <c r="F1021" s="19" t="str">
        <f>IFERROR(__xludf.DUMMYFUNCTION("""COMPUTED_VALUE"""),"BLACK")</f>
        <v>BLACK</v>
      </c>
      <c r="G1021" s="20" t="str">
        <f>IFERROR(__xludf.DUMMYFUNCTION("""COMPUTED_VALUE"""),"Uncle Sams Cider (5/13/2022)")</f>
        <v>Uncle Sams Cider (5/13/2022)</v>
      </c>
      <c r="H1021" s="19"/>
    </row>
    <row r="1022">
      <c r="A1022" s="9"/>
      <c r="B1022" s="15"/>
      <c r="C1022" s="9">
        <f>IFERROR(__xludf.DUMMYFUNCTION("""COMPUTED_VALUE"""),44785.9702246412)</f>
        <v>44785.97022</v>
      </c>
      <c r="D1022" s="15">
        <f>IFERROR(__xludf.DUMMYFUNCTION("""COMPUTED_VALUE"""),1.004)</f>
        <v>1.004</v>
      </c>
      <c r="E1022" s="16">
        <f>IFERROR(__xludf.DUMMYFUNCTION("""COMPUTED_VALUE"""),68.0)</f>
        <v>68</v>
      </c>
      <c r="F1022" s="19" t="str">
        <f>IFERROR(__xludf.DUMMYFUNCTION("""COMPUTED_VALUE"""),"BLACK")</f>
        <v>BLACK</v>
      </c>
      <c r="G1022" s="20" t="str">
        <f>IFERROR(__xludf.DUMMYFUNCTION("""COMPUTED_VALUE"""),"Uncle Sams Cider (5/13/2022)")</f>
        <v>Uncle Sams Cider (5/13/2022)</v>
      </c>
      <c r="H1022" s="19"/>
    </row>
    <row r="1023">
      <c r="A1023" s="9"/>
      <c r="B1023" s="15"/>
      <c r="C1023" s="9">
        <f>IFERROR(__xludf.DUMMYFUNCTION("""COMPUTED_VALUE"""),44785.9598044097)</f>
        <v>44785.9598</v>
      </c>
      <c r="D1023" s="15">
        <f>IFERROR(__xludf.DUMMYFUNCTION("""COMPUTED_VALUE"""),1.004)</f>
        <v>1.004</v>
      </c>
      <c r="E1023" s="16">
        <f>IFERROR(__xludf.DUMMYFUNCTION("""COMPUTED_VALUE"""),68.0)</f>
        <v>68</v>
      </c>
      <c r="F1023" s="19" t="str">
        <f>IFERROR(__xludf.DUMMYFUNCTION("""COMPUTED_VALUE"""),"BLACK")</f>
        <v>BLACK</v>
      </c>
      <c r="G1023" s="20" t="str">
        <f>IFERROR(__xludf.DUMMYFUNCTION("""COMPUTED_VALUE"""),"Uncle Sams Cider (5/13/2022)")</f>
        <v>Uncle Sams Cider (5/13/2022)</v>
      </c>
      <c r="H1023" s="19"/>
    </row>
    <row r="1024">
      <c r="A1024" s="9"/>
      <c r="B1024" s="15"/>
      <c r="C1024" s="9">
        <f>IFERROR(__xludf.DUMMYFUNCTION("""COMPUTED_VALUE"""),44785.9493720138)</f>
        <v>44785.94937</v>
      </c>
      <c r="D1024" s="15">
        <f>IFERROR(__xludf.DUMMYFUNCTION("""COMPUTED_VALUE"""),1.004)</f>
        <v>1.004</v>
      </c>
      <c r="E1024" s="16">
        <f>IFERROR(__xludf.DUMMYFUNCTION("""COMPUTED_VALUE"""),68.0)</f>
        <v>68</v>
      </c>
      <c r="F1024" s="19" t="str">
        <f>IFERROR(__xludf.DUMMYFUNCTION("""COMPUTED_VALUE"""),"BLACK")</f>
        <v>BLACK</v>
      </c>
      <c r="G1024" s="20" t="str">
        <f>IFERROR(__xludf.DUMMYFUNCTION("""COMPUTED_VALUE"""),"Uncle Sams Cider (5/13/2022)")</f>
        <v>Uncle Sams Cider (5/13/2022)</v>
      </c>
      <c r="H1024" s="19"/>
    </row>
    <row r="1025">
      <c r="A1025" s="9"/>
      <c r="B1025" s="15"/>
      <c r="C1025" s="9">
        <f>IFERROR(__xludf.DUMMYFUNCTION("""COMPUTED_VALUE"""),44785.9389393287)</f>
        <v>44785.93894</v>
      </c>
      <c r="D1025" s="15">
        <f>IFERROR(__xludf.DUMMYFUNCTION("""COMPUTED_VALUE"""),1.004)</f>
        <v>1.004</v>
      </c>
      <c r="E1025" s="16">
        <f>IFERROR(__xludf.DUMMYFUNCTION("""COMPUTED_VALUE"""),68.0)</f>
        <v>68</v>
      </c>
      <c r="F1025" s="19" t="str">
        <f>IFERROR(__xludf.DUMMYFUNCTION("""COMPUTED_VALUE"""),"BLACK")</f>
        <v>BLACK</v>
      </c>
      <c r="G1025" s="20" t="str">
        <f>IFERROR(__xludf.DUMMYFUNCTION("""COMPUTED_VALUE"""),"Uncle Sams Cider (5/13/2022)")</f>
        <v>Uncle Sams Cider (5/13/2022)</v>
      </c>
      <c r="H1025" s="19"/>
    </row>
    <row r="1026">
      <c r="A1026" s="9"/>
      <c r="B1026" s="15"/>
      <c r="C1026" s="9">
        <f>IFERROR(__xludf.DUMMYFUNCTION("""COMPUTED_VALUE"""),44785.9285168981)</f>
        <v>44785.92852</v>
      </c>
      <c r="D1026" s="15">
        <f>IFERROR(__xludf.DUMMYFUNCTION("""COMPUTED_VALUE"""),1.004)</f>
        <v>1.004</v>
      </c>
      <c r="E1026" s="16">
        <f>IFERROR(__xludf.DUMMYFUNCTION("""COMPUTED_VALUE"""),68.0)</f>
        <v>68</v>
      </c>
      <c r="F1026" s="19" t="str">
        <f>IFERROR(__xludf.DUMMYFUNCTION("""COMPUTED_VALUE"""),"BLACK")</f>
        <v>BLACK</v>
      </c>
      <c r="G1026" s="20" t="str">
        <f>IFERROR(__xludf.DUMMYFUNCTION("""COMPUTED_VALUE"""),"Uncle Sams Cider (5/13/2022)")</f>
        <v>Uncle Sams Cider (5/13/2022)</v>
      </c>
      <c r="H1026" s="19"/>
    </row>
    <row r="1027">
      <c r="A1027" s="9"/>
      <c r="B1027" s="15"/>
      <c r="C1027" s="9">
        <f>IFERROR(__xludf.DUMMYFUNCTION("""COMPUTED_VALUE"""),44785.9180954513)</f>
        <v>44785.9181</v>
      </c>
      <c r="D1027" s="15">
        <f>IFERROR(__xludf.DUMMYFUNCTION("""COMPUTED_VALUE"""),1.004)</f>
        <v>1.004</v>
      </c>
      <c r="E1027" s="16">
        <f>IFERROR(__xludf.DUMMYFUNCTION("""COMPUTED_VALUE"""),68.0)</f>
        <v>68</v>
      </c>
      <c r="F1027" s="19" t="str">
        <f>IFERROR(__xludf.DUMMYFUNCTION("""COMPUTED_VALUE"""),"BLACK")</f>
        <v>BLACK</v>
      </c>
      <c r="G1027" s="20" t="str">
        <f>IFERROR(__xludf.DUMMYFUNCTION("""COMPUTED_VALUE"""),"Uncle Sams Cider (5/13/2022)")</f>
        <v>Uncle Sams Cider (5/13/2022)</v>
      </c>
      <c r="H1027" s="19"/>
    </row>
    <row r="1028">
      <c r="A1028" s="9"/>
      <c r="B1028" s="15"/>
      <c r="C1028" s="9">
        <f>IFERROR(__xludf.DUMMYFUNCTION("""COMPUTED_VALUE"""),44785.9076745601)</f>
        <v>44785.90767</v>
      </c>
      <c r="D1028" s="15">
        <f>IFERROR(__xludf.DUMMYFUNCTION("""COMPUTED_VALUE"""),1.004)</f>
        <v>1.004</v>
      </c>
      <c r="E1028" s="16">
        <f>IFERROR(__xludf.DUMMYFUNCTION("""COMPUTED_VALUE"""),68.0)</f>
        <v>68</v>
      </c>
      <c r="F1028" s="19" t="str">
        <f>IFERROR(__xludf.DUMMYFUNCTION("""COMPUTED_VALUE"""),"BLACK")</f>
        <v>BLACK</v>
      </c>
      <c r="G1028" s="20" t="str">
        <f>IFERROR(__xludf.DUMMYFUNCTION("""COMPUTED_VALUE"""),"Uncle Sams Cider (5/13/2022)")</f>
        <v>Uncle Sams Cider (5/13/2022)</v>
      </c>
      <c r="H1028" s="19"/>
    </row>
    <row r="1029">
      <c r="A1029" s="9"/>
      <c r="B1029" s="15"/>
      <c r="C1029" s="9">
        <f>IFERROR(__xludf.DUMMYFUNCTION("""COMPUTED_VALUE"""),44785.8972519675)</f>
        <v>44785.89725</v>
      </c>
      <c r="D1029" s="15">
        <f>IFERROR(__xludf.DUMMYFUNCTION("""COMPUTED_VALUE"""),1.004)</f>
        <v>1.004</v>
      </c>
      <c r="E1029" s="16">
        <f>IFERROR(__xludf.DUMMYFUNCTION("""COMPUTED_VALUE"""),68.0)</f>
        <v>68</v>
      </c>
      <c r="F1029" s="19" t="str">
        <f>IFERROR(__xludf.DUMMYFUNCTION("""COMPUTED_VALUE"""),"BLACK")</f>
        <v>BLACK</v>
      </c>
      <c r="G1029" s="20" t="str">
        <f>IFERROR(__xludf.DUMMYFUNCTION("""COMPUTED_VALUE"""),"Uncle Sams Cider (5/13/2022)")</f>
        <v>Uncle Sams Cider (5/13/2022)</v>
      </c>
      <c r="H1029" s="19"/>
    </row>
    <row r="1030">
      <c r="A1030" s="9"/>
      <c r="B1030" s="15"/>
      <c r="C1030" s="9">
        <f>IFERROR(__xludf.DUMMYFUNCTION("""COMPUTED_VALUE"""),44785.8868308912)</f>
        <v>44785.88683</v>
      </c>
      <c r="D1030" s="15">
        <f>IFERROR(__xludf.DUMMYFUNCTION("""COMPUTED_VALUE"""),1.004)</f>
        <v>1.004</v>
      </c>
      <c r="E1030" s="16">
        <f>IFERROR(__xludf.DUMMYFUNCTION("""COMPUTED_VALUE"""),68.0)</f>
        <v>68</v>
      </c>
      <c r="F1030" s="19" t="str">
        <f>IFERROR(__xludf.DUMMYFUNCTION("""COMPUTED_VALUE"""),"BLACK")</f>
        <v>BLACK</v>
      </c>
      <c r="G1030" s="20" t="str">
        <f>IFERROR(__xludf.DUMMYFUNCTION("""COMPUTED_VALUE"""),"Uncle Sams Cider (5/13/2022)")</f>
        <v>Uncle Sams Cider (5/13/2022)</v>
      </c>
      <c r="H1030" s="19"/>
    </row>
    <row r="1031">
      <c r="A1031" s="9"/>
      <c r="B1031" s="15"/>
      <c r="C1031" s="9">
        <f>IFERROR(__xludf.DUMMYFUNCTION("""COMPUTED_VALUE"""),44785.8764103935)</f>
        <v>44785.87641</v>
      </c>
      <c r="D1031" s="15">
        <f>IFERROR(__xludf.DUMMYFUNCTION("""COMPUTED_VALUE"""),1.004)</f>
        <v>1.004</v>
      </c>
      <c r="E1031" s="16">
        <f>IFERROR(__xludf.DUMMYFUNCTION("""COMPUTED_VALUE"""),68.0)</f>
        <v>68</v>
      </c>
      <c r="F1031" s="19" t="str">
        <f>IFERROR(__xludf.DUMMYFUNCTION("""COMPUTED_VALUE"""),"BLACK")</f>
        <v>BLACK</v>
      </c>
      <c r="G1031" s="20" t="str">
        <f>IFERROR(__xludf.DUMMYFUNCTION("""COMPUTED_VALUE"""),"Uncle Sams Cider (5/13/2022)")</f>
        <v>Uncle Sams Cider (5/13/2022)</v>
      </c>
      <c r="H1031" s="19"/>
    </row>
    <row r="1032">
      <c r="A1032" s="9"/>
      <c r="B1032" s="15"/>
      <c r="C1032" s="9">
        <f>IFERROR(__xludf.DUMMYFUNCTION("""COMPUTED_VALUE"""),44785.865988125)</f>
        <v>44785.86599</v>
      </c>
      <c r="D1032" s="15">
        <f>IFERROR(__xludf.DUMMYFUNCTION("""COMPUTED_VALUE"""),1.004)</f>
        <v>1.004</v>
      </c>
      <c r="E1032" s="16">
        <f>IFERROR(__xludf.DUMMYFUNCTION("""COMPUTED_VALUE"""),67.0)</f>
        <v>67</v>
      </c>
      <c r="F1032" s="19" t="str">
        <f>IFERROR(__xludf.DUMMYFUNCTION("""COMPUTED_VALUE"""),"BLACK")</f>
        <v>BLACK</v>
      </c>
      <c r="G1032" s="20" t="str">
        <f>IFERROR(__xludf.DUMMYFUNCTION("""COMPUTED_VALUE"""),"Uncle Sams Cider (5/13/2022)")</f>
        <v>Uncle Sams Cider (5/13/2022)</v>
      </c>
      <c r="H1032" s="19"/>
    </row>
    <row r="1033">
      <c r="A1033" s="9"/>
      <c r="B1033" s="15"/>
      <c r="C1033" s="9">
        <f>IFERROR(__xludf.DUMMYFUNCTION("""COMPUTED_VALUE"""),44785.8555676851)</f>
        <v>44785.85557</v>
      </c>
      <c r="D1033" s="15">
        <f>IFERROR(__xludf.DUMMYFUNCTION("""COMPUTED_VALUE"""),1.004)</f>
        <v>1.004</v>
      </c>
      <c r="E1033" s="16">
        <f>IFERROR(__xludf.DUMMYFUNCTION("""COMPUTED_VALUE"""),67.0)</f>
        <v>67</v>
      </c>
      <c r="F1033" s="19" t="str">
        <f>IFERROR(__xludf.DUMMYFUNCTION("""COMPUTED_VALUE"""),"BLACK")</f>
        <v>BLACK</v>
      </c>
      <c r="G1033" s="20" t="str">
        <f>IFERROR(__xludf.DUMMYFUNCTION("""COMPUTED_VALUE"""),"Uncle Sams Cider (5/13/2022)")</f>
        <v>Uncle Sams Cider (5/13/2022)</v>
      </c>
      <c r="H1033" s="19"/>
    </row>
    <row r="1034">
      <c r="A1034" s="9"/>
      <c r="B1034" s="15"/>
      <c r="C1034" s="9">
        <f>IFERROR(__xludf.DUMMYFUNCTION("""COMPUTED_VALUE"""),44785.8451449884)</f>
        <v>44785.84514</v>
      </c>
      <c r="D1034" s="15">
        <f>IFERROR(__xludf.DUMMYFUNCTION("""COMPUTED_VALUE"""),1.004)</f>
        <v>1.004</v>
      </c>
      <c r="E1034" s="16">
        <f>IFERROR(__xludf.DUMMYFUNCTION("""COMPUTED_VALUE"""),67.0)</f>
        <v>67</v>
      </c>
      <c r="F1034" s="19" t="str">
        <f>IFERROR(__xludf.DUMMYFUNCTION("""COMPUTED_VALUE"""),"BLACK")</f>
        <v>BLACK</v>
      </c>
      <c r="G1034" s="20" t="str">
        <f>IFERROR(__xludf.DUMMYFUNCTION("""COMPUTED_VALUE"""),"Uncle Sams Cider (5/13/2022)")</f>
        <v>Uncle Sams Cider (5/13/2022)</v>
      </c>
      <c r="H1034" s="19"/>
    </row>
    <row r="1035">
      <c r="A1035" s="9"/>
      <c r="B1035" s="15"/>
      <c r="C1035" s="9">
        <f>IFERROR(__xludf.DUMMYFUNCTION("""COMPUTED_VALUE"""),44785.8347240972)</f>
        <v>44785.83472</v>
      </c>
      <c r="D1035" s="15">
        <f>IFERROR(__xludf.DUMMYFUNCTION("""COMPUTED_VALUE"""),1.004)</f>
        <v>1.004</v>
      </c>
      <c r="E1035" s="16">
        <f>IFERROR(__xludf.DUMMYFUNCTION("""COMPUTED_VALUE"""),67.0)</f>
        <v>67</v>
      </c>
      <c r="F1035" s="19" t="str">
        <f>IFERROR(__xludf.DUMMYFUNCTION("""COMPUTED_VALUE"""),"BLACK")</f>
        <v>BLACK</v>
      </c>
      <c r="G1035" s="20" t="str">
        <f>IFERROR(__xludf.DUMMYFUNCTION("""COMPUTED_VALUE"""),"Uncle Sams Cider (5/13/2022)")</f>
        <v>Uncle Sams Cider (5/13/2022)</v>
      </c>
      <c r="H1035" s="19"/>
    </row>
    <row r="1036">
      <c r="A1036" s="9"/>
      <c r="B1036" s="15"/>
      <c r="C1036" s="9">
        <f>IFERROR(__xludf.DUMMYFUNCTION("""COMPUTED_VALUE"""),44785.8242908564)</f>
        <v>44785.82429</v>
      </c>
      <c r="D1036" s="15">
        <f>IFERROR(__xludf.DUMMYFUNCTION("""COMPUTED_VALUE"""),1.004)</f>
        <v>1.004</v>
      </c>
      <c r="E1036" s="16">
        <f>IFERROR(__xludf.DUMMYFUNCTION("""COMPUTED_VALUE"""),67.0)</f>
        <v>67</v>
      </c>
      <c r="F1036" s="19" t="str">
        <f>IFERROR(__xludf.DUMMYFUNCTION("""COMPUTED_VALUE"""),"BLACK")</f>
        <v>BLACK</v>
      </c>
      <c r="G1036" s="20" t="str">
        <f>IFERROR(__xludf.DUMMYFUNCTION("""COMPUTED_VALUE"""),"Uncle Sams Cider (5/13/2022)")</f>
        <v>Uncle Sams Cider (5/13/2022)</v>
      </c>
      <c r="H1036" s="19"/>
    </row>
    <row r="1037">
      <c r="A1037" s="9"/>
      <c r="B1037" s="15"/>
      <c r="C1037" s="9">
        <f>IFERROR(__xludf.DUMMYFUNCTION("""COMPUTED_VALUE"""),44785.8138712731)</f>
        <v>44785.81387</v>
      </c>
      <c r="D1037" s="15">
        <f>IFERROR(__xludf.DUMMYFUNCTION("""COMPUTED_VALUE"""),1.004)</f>
        <v>1.004</v>
      </c>
      <c r="E1037" s="16">
        <f>IFERROR(__xludf.DUMMYFUNCTION("""COMPUTED_VALUE"""),67.0)</f>
        <v>67</v>
      </c>
      <c r="F1037" s="19" t="str">
        <f>IFERROR(__xludf.DUMMYFUNCTION("""COMPUTED_VALUE"""),"BLACK")</f>
        <v>BLACK</v>
      </c>
      <c r="G1037" s="20" t="str">
        <f>IFERROR(__xludf.DUMMYFUNCTION("""COMPUTED_VALUE"""),"Uncle Sams Cider (5/13/2022)")</f>
        <v>Uncle Sams Cider (5/13/2022)</v>
      </c>
      <c r="H1037" s="19"/>
    </row>
    <row r="1038">
      <c r="A1038" s="9"/>
      <c r="B1038" s="15"/>
      <c r="C1038" s="9">
        <f>IFERROR(__xludf.DUMMYFUNCTION("""COMPUTED_VALUE"""),44785.803425949)</f>
        <v>44785.80343</v>
      </c>
      <c r="D1038" s="15">
        <f>IFERROR(__xludf.DUMMYFUNCTION("""COMPUTED_VALUE"""),1.004)</f>
        <v>1.004</v>
      </c>
      <c r="E1038" s="16">
        <f>IFERROR(__xludf.DUMMYFUNCTION("""COMPUTED_VALUE"""),67.0)</f>
        <v>67</v>
      </c>
      <c r="F1038" s="19" t="str">
        <f>IFERROR(__xludf.DUMMYFUNCTION("""COMPUTED_VALUE"""),"BLACK")</f>
        <v>BLACK</v>
      </c>
      <c r="G1038" s="20" t="str">
        <f>IFERROR(__xludf.DUMMYFUNCTION("""COMPUTED_VALUE"""),"Uncle Sams Cider (5/13/2022)")</f>
        <v>Uncle Sams Cider (5/13/2022)</v>
      </c>
      <c r="H1038" s="19"/>
    </row>
    <row r="1039">
      <c r="A1039" s="9"/>
      <c r="B1039" s="15"/>
      <c r="C1039" s="9">
        <f>IFERROR(__xludf.DUMMYFUNCTION("""COMPUTED_VALUE"""),44785.7930061458)</f>
        <v>44785.79301</v>
      </c>
      <c r="D1039" s="15">
        <f>IFERROR(__xludf.DUMMYFUNCTION("""COMPUTED_VALUE"""),1.004)</f>
        <v>1.004</v>
      </c>
      <c r="E1039" s="16">
        <f>IFERROR(__xludf.DUMMYFUNCTION("""COMPUTED_VALUE"""),67.0)</f>
        <v>67</v>
      </c>
      <c r="F1039" s="19" t="str">
        <f>IFERROR(__xludf.DUMMYFUNCTION("""COMPUTED_VALUE"""),"BLACK")</f>
        <v>BLACK</v>
      </c>
      <c r="G1039" s="20" t="str">
        <f>IFERROR(__xludf.DUMMYFUNCTION("""COMPUTED_VALUE"""),"Uncle Sams Cider (5/13/2022)")</f>
        <v>Uncle Sams Cider (5/13/2022)</v>
      </c>
      <c r="H1039" s="19"/>
    </row>
    <row r="1040">
      <c r="A1040" s="9"/>
      <c r="B1040" s="15"/>
      <c r="C1040" s="9">
        <f>IFERROR(__xludf.DUMMYFUNCTION("""COMPUTED_VALUE"""),44785.7825850925)</f>
        <v>44785.78259</v>
      </c>
      <c r="D1040" s="15">
        <f>IFERROR(__xludf.DUMMYFUNCTION("""COMPUTED_VALUE"""),1.004)</f>
        <v>1.004</v>
      </c>
      <c r="E1040" s="16">
        <f>IFERROR(__xludf.DUMMYFUNCTION("""COMPUTED_VALUE"""),67.0)</f>
        <v>67</v>
      </c>
      <c r="F1040" s="19" t="str">
        <f>IFERROR(__xludf.DUMMYFUNCTION("""COMPUTED_VALUE"""),"BLACK")</f>
        <v>BLACK</v>
      </c>
      <c r="G1040" s="20" t="str">
        <f>IFERROR(__xludf.DUMMYFUNCTION("""COMPUTED_VALUE"""),"Uncle Sams Cider (5/13/2022)")</f>
        <v>Uncle Sams Cider (5/13/2022)</v>
      </c>
      <c r="H1040" s="19"/>
    </row>
    <row r="1041">
      <c r="A1041" s="9"/>
      <c r="B1041" s="15"/>
      <c r="C1041" s="9">
        <f>IFERROR(__xludf.DUMMYFUNCTION("""COMPUTED_VALUE"""),44785.7721645486)</f>
        <v>44785.77216</v>
      </c>
      <c r="D1041" s="15">
        <f>IFERROR(__xludf.DUMMYFUNCTION("""COMPUTED_VALUE"""),1.004)</f>
        <v>1.004</v>
      </c>
      <c r="E1041" s="16">
        <f>IFERROR(__xludf.DUMMYFUNCTION("""COMPUTED_VALUE"""),67.0)</f>
        <v>67</v>
      </c>
      <c r="F1041" s="19" t="str">
        <f>IFERROR(__xludf.DUMMYFUNCTION("""COMPUTED_VALUE"""),"BLACK")</f>
        <v>BLACK</v>
      </c>
      <c r="G1041" s="20" t="str">
        <f>IFERROR(__xludf.DUMMYFUNCTION("""COMPUTED_VALUE"""),"Uncle Sams Cider (5/13/2022)")</f>
        <v>Uncle Sams Cider (5/13/2022)</v>
      </c>
      <c r="H1041" s="19"/>
    </row>
    <row r="1042">
      <c r="A1042" s="9"/>
      <c r="B1042" s="15"/>
      <c r="C1042" s="9">
        <f>IFERROR(__xludf.DUMMYFUNCTION("""COMPUTED_VALUE"""),44785.7617200347)</f>
        <v>44785.76172</v>
      </c>
      <c r="D1042" s="15">
        <f>IFERROR(__xludf.DUMMYFUNCTION("""COMPUTED_VALUE"""),1.004)</f>
        <v>1.004</v>
      </c>
      <c r="E1042" s="16">
        <f>IFERROR(__xludf.DUMMYFUNCTION("""COMPUTED_VALUE"""),67.0)</f>
        <v>67</v>
      </c>
      <c r="F1042" s="19" t="str">
        <f>IFERROR(__xludf.DUMMYFUNCTION("""COMPUTED_VALUE"""),"BLACK")</f>
        <v>BLACK</v>
      </c>
      <c r="G1042" s="20" t="str">
        <f>IFERROR(__xludf.DUMMYFUNCTION("""COMPUTED_VALUE"""),"Uncle Sams Cider (5/13/2022)")</f>
        <v>Uncle Sams Cider (5/13/2022)</v>
      </c>
      <c r="H1042" s="19"/>
    </row>
    <row r="1043">
      <c r="A1043" s="9"/>
      <c r="B1043" s="15"/>
      <c r="C1043" s="9">
        <f>IFERROR(__xludf.DUMMYFUNCTION("""COMPUTED_VALUE"""),44785.7512995254)</f>
        <v>44785.7513</v>
      </c>
      <c r="D1043" s="15">
        <f>IFERROR(__xludf.DUMMYFUNCTION("""COMPUTED_VALUE"""),1.004)</f>
        <v>1.004</v>
      </c>
      <c r="E1043" s="16">
        <f>IFERROR(__xludf.DUMMYFUNCTION("""COMPUTED_VALUE"""),67.0)</f>
        <v>67</v>
      </c>
      <c r="F1043" s="19" t="str">
        <f>IFERROR(__xludf.DUMMYFUNCTION("""COMPUTED_VALUE"""),"BLACK")</f>
        <v>BLACK</v>
      </c>
      <c r="G1043" s="20" t="str">
        <f>IFERROR(__xludf.DUMMYFUNCTION("""COMPUTED_VALUE"""),"Uncle Sams Cider (5/13/2022)")</f>
        <v>Uncle Sams Cider (5/13/2022)</v>
      </c>
      <c r="H1043" s="19"/>
    </row>
    <row r="1044">
      <c r="A1044" s="9"/>
      <c r="B1044" s="15"/>
      <c r="C1044" s="9">
        <f>IFERROR(__xludf.DUMMYFUNCTION("""COMPUTED_VALUE"""),44785.7408666319)</f>
        <v>44785.74087</v>
      </c>
      <c r="D1044" s="15">
        <f>IFERROR(__xludf.DUMMYFUNCTION("""COMPUTED_VALUE"""),1.004)</f>
        <v>1.004</v>
      </c>
      <c r="E1044" s="16">
        <f>IFERROR(__xludf.DUMMYFUNCTION("""COMPUTED_VALUE"""),67.0)</f>
        <v>67</v>
      </c>
      <c r="F1044" s="19" t="str">
        <f>IFERROR(__xludf.DUMMYFUNCTION("""COMPUTED_VALUE"""),"BLACK")</f>
        <v>BLACK</v>
      </c>
      <c r="G1044" s="20" t="str">
        <f>IFERROR(__xludf.DUMMYFUNCTION("""COMPUTED_VALUE"""),"Uncle Sams Cider (5/13/2022)")</f>
        <v>Uncle Sams Cider (5/13/2022)</v>
      </c>
      <c r="H1044" s="19"/>
    </row>
    <row r="1045">
      <c r="A1045" s="9"/>
      <c r="B1045" s="15"/>
      <c r="C1045" s="9">
        <f>IFERROR(__xludf.DUMMYFUNCTION("""COMPUTED_VALUE"""),44785.7304449189)</f>
        <v>44785.73044</v>
      </c>
      <c r="D1045" s="15">
        <f>IFERROR(__xludf.DUMMYFUNCTION("""COMPUTED_VALUE"""),1.004)</f>
        <v>1.004</v>
      </c>
      <c r="E1045" s="16">
        <f>IFERROR(__xludf.DUMMYFUNCTION("""COMPUTED_VALUE"""),67.0)</f>
        <v>67</v>
      </c>
      <c r="F1045" s="19" t="str">
        <f>IFERROR(__xludf.DUMMYFUNCTION("""COMPUTED_VALUE"""),"BLACK")</f>
        <v>BLACK</v>
      </c>
      <c r="G1045" s="20" t="str">
        <f>IFERROR(__xludf.DUMMYFUNCTION("""COMPUTED_VALUE"""),"Uncle Sams Cider (5/13/2022)")</f>
        <v>Uncle Sams Cider (5/13/2022)</v>
      </c>
      <c r="H1045" s="19"/>
    </row>
    <row r="1046">
      <c r="A1046" s="9"/>
      <c r="B1046" s="15"/>
      <c r="C1046" s="9">
        <f>IFERROR(__xludf.DUMMYFUNCTION("""COMPUTED_VALUE"""),44785.7200243171)</f>
        <v>44785.72002</v>
      </c>
      <c r="D1046" s="15">
        <f>IFERROR(__xludf.DUMMYFUNCTION("""COMPUTED_VALUE"""),1.004)</f>
        <v>1.004</v>
      </c>
      <c r="E1046" s="16">
        <f>IFERROR(__xludf.DUMMYFUNCTION("""COMPUTED_VALUE"""),67.0)</f>
        <v>67</v>
      </c>
      <c r="F1046" s="19" t="str">
        <f>IFERROR(__xludf.DUMMYFUNCTION("""COMPUTED_VALUE"""),"BLACK")</f>
        <v>BLACK</v>
      </c>
      <c r="G1046" s="20" t="str">
        <f>IFERROR(__xludf.DUMMYFUNCTION("""COMPUTED_VALUE"""),"Uncle Sams Cider (5/13/2022)")</f>
        <v>Uncle Sams Cider (5/13/2022)</v>
      </c>
      <c r="H1046" s="19"/>
    </row>
    <row r="1047">
      <c r="A1047" s="9"/>
      <c r="B1047" s="15"/>
      <c r="C1047" s="9">
        <f>IFERROR(__xludf.DUMMYFUNCTION("""COMPUTED_VALUE"""),44785.7095780324)</f>
        <v>44785.70958</v>
      </c>
      <c r="D1047" s="15">
        <f>IFERROR(__xludf.DUMMYFUNCTION("""COMPUTED_VALUE"""),1.004)</f>
        <v>1.004</v>
      </c>
      <c r="E1047" s="16">
        <f>IFERROR(__xludf.DUMMYFUNCTION("""COMPUTED_VALUE"""),67.0)</f>
        <v>67</v>
      </c>
      <c r="F1047" s="19" t="str">
        <f>IFERROR(__xludf.DUMMYFUNCTION("""COMPUTED_VALUE"""),"BLACK")</f>
        <v>BLACK</v>
      </c>
      <c r="G1047" s="20" t="str">
        <f>IFERROR(__xludf.DUMMYFUNCTION("""COMPUTED_VALUE"""),"Uncle Sams Cider (5/13/2022)")</f>
        <v>Uncle Sams Cider (5/13/2022)</v>
      </c>
      <c r="H1047" s="19"/>
    </row>
    <row r="1048">
      <c r="A1048" s="9"/>
      <c r="B1048" s="15"/>
      <c r="C1048" s="9">
        <f>IFERROR(__xludf.DUMMYFUNCTION("""COMPUTED_VALUE"""),44785.6991465972)</f>
        <v>44785.69915</v>
      </c>
      <c r="D1048" s="15">
        <f>IFERROR(__xludf.DUMMYFUNCTION("""COMPUTED_VALUE"""),1.004)</f>
        <v>1.004</v>
      </c>
      <c r="E1048" s="16">
        <f>IFERROR(__xludf.DUMMYFUNCTION("""COMPUTED_VALUE"""),67.0)</f>
        <v>67</v>
      </c>
      <c r="F1048" s="19" t="str">
        <f>IFERROR(__xludf.DUMMYFUNCTION("""COMPUTED_VALUE"""),"BLACK")</f>
        <v>BLACK</v>
      </c>
      <c r="G1048" s="20" t="str">
        <f>IFERROR(__xludf.DUMMYFUNCTION("""COMPUTED_VALUE"""),"Uncle Sams Cider (5/13/2022)")</f>
        <v>Uncle Sams Cider (5/13/2022)</v>
      </c>
      <c r="H1048" s="19"/>
    </row>
    <row r="1049">
      <c r="A1049" s="9"/>
      <c r="B1049" s="15"/>
      <c r="C1049" s="9">
        <f>IFERROR(__xludf.DUMMYFUNCTION("""COMPUTED_VALUE"""),44785.6887254745)</f>
        <v>44785.68873</v>
      </c>
      <c r="D1049" s="15">
        <f>IFERROR(__xludf.DUMMYFUNCTION("""COMPUTED_VALUE"""),1.004)</f>
        <v>1.004</v>
      </c>
      <c r="E1049" s="16">
        <f>IFERROR(__xludf.DUMMYFUNCTION("""COMPUTED_VALUE"""),67.0)</f>
        <v>67</v>
      </c>
      <c r="F1049" s="19" t="str">
        <f>IFERROR(__xludf.DUMMYFUNCTION("""COMPUTED_VALUE"""),"BLACK")</f>
        <v>BLACK</v>
      </c>
      <c r="G1049" s="20" t="str">
        <f>IFERROR(__xludf.DUMMYFUNCTION("""COMPUTED_VALUE"""),"Uncle Sams Cider (5/13/2022)")</f>
        <v>Uncle Sams Cider (5/13/2022)</v>
      </c>
      <c r="H1049" s="19"/>
    </row>
    <row r="1050">
      <c r="A1050" s="9"/>
      <c r="B1050" s="15"/>
      <c r="C1050" s="9">
        <f>IFERROR(__xludf.DUMMYFUNCTION("""COMPUTED_VALUE"""),44785.6782932523)</f>
        <v>44785.67829</v>
      </c>
      <c r="D1050" s="15">
        <f>IFERROR(__xludf.DUMMYFUNCTION("""COMPUTED_VALUE"""),1.004)</f>
        <v>1.004</v>
      </c>
      <c r="E1050" s="16">
        <f>IFERROR(__xludf.DUMMYFUNCTION("""COMPUTED_VALUE"""),67.0)</f>
        <v>67</v>
      </c>
      <c r="F1050" s="19" t="str">
        <f>IFERROR(__xludf.DUMMYFUNCTION("""COMPUTED_VALUE"""),"BLACK")</f>
        <v>BLACK</v>
      </c>
      <c r="G1050" s="20" t="str">
        <f>IFERROR(__xludf.DUMMYFUNCTION("""COMPUTED_VALUE"""),"Uncle Sams Cider (5/13/2022)")</f>
        <v>Uncle Sams Cider (5/13/2022)</v>
      </c>
      <c r="H1050" s="19"/>
    </row>
    <row r="1051">
      <c r="A1051" s="9"/>
      <c r="B1051" s="15"/>
      <c r="C1051" s="9">
        <f>IFERROR(__xludf.DUMMYFUNCTION("""COMPUTED_VALUE"""),44785.6678714236)</f>
        <v>44785.66787</v>
      </c>
      <c r="D1051" s="15">
        <f>IFERROR(__xludf.DUMMYFUNCTION("""COMPUTED_VALUE"""),1.004)</f>
        <v>1.004</v>
      </c>
      <c r="E1051" s="16">
        <f>IFERROR(__xludf.DUMMYFUNCTION("""COMPUTED_VALUE"""),67.0)</f>
        <v>67</v>
      </c>
      <c r="F1051" s="19" t="str">
        <f>IFERROR(__xludf.DUMMYFUNCTION("""COMPUTED_VALUE"""),"BLACK")</f>
        <v>BLACK</v>
      </c>
      <c r="G1051" s="20" t="str">
        <f>IFERROR(__xludf.DUMMYFUNCTION("""COMPUTED_VALUE"""),"Uncle Sams Cider (5/13/2022)")</f>
        <v>Uncle Sams Cider (5/13/2022)</v>
      </c>
      <c r="H1051" s="19"/>
    </row>
    <row r="1052">
      <c r="A1052" s="9"/>
      <c r="B1052" s="15"/>
      <c r="C1052" s="9">
        <f>IFERROR(__xludf.DUMMYFUNCTION("""COMPUTED_VALUE"""),44785.657451574)</f>
        <v>44785.65745</v>
      </c>
      <c r="D1052" s="15">
        <f>IFERROR(__xludf.DUMMYFUNCTION("""COMPUTED_VALUE"""),1.004)</f>
        <v>1.004</v>
      </c>
      <c r="E1052" s="16">
        <f>IFERROR(__xludf.DUMMYFUNCTION("""COMPUTED_VALUE"""),67.0)</f>
        <v>67</v>
      </c>
      <c r="F1052" s="19" t="str">
        <f>IFERROR(__xludf.DUMMYFUNCTION("""COMPUTED_VALUE"""),"BLACK")</f>
        <v>BLACK</v>
      </c>
      <c r="G1052" s="20" t="str">
        <f>IFERROR(__xludf.DUMMYFUNCTION("""COMPUTED_VALUE"""),"Uncle Sams Cider (5/13/2022)")</f>
        <v>Uncle Sams Cider (5/13/2022)</v>
      </c>
      <c r="H1052" s="19"/>
    </row>
    <row r="1053">
      <c r="A1053" s="9"/>
      <c r="B1053" s="15"/>
      <c r="C1053" s="9">
        <f>IFERROR(__xludf.DUMMYFUNCTION("""COMPUTED_VALUE"""),44785.647030625)</f>
        <v>44785.64703</v>
      </c>
      <c r="D1053" s="15">
        <f>IFERROR(__xludf.DUMMYFUNCTION("""COMPUTED_VALUE"""),1.004)</f>
        <v>1.004</v>
      </c>
      <c r="E1053" s="16">
        <f>IFERROR(__xludf.DUMMYFUNCTION("""COMPUTED_VALUE"""),67.0)</f>
        <v>67</v>
      </c>
      <c r="F1053" s="19" t="str">
        <f>IFERROR(__xludf.DUMMYFUNCTION("""COMPUTED_VALUE"""),"BLACK")</f>
        <v>BLACK</v>
      </c>
      <c r="G1053" s="20" t="str">
        <f>IFERROR(__xludf.DUMMYFUNCTION("""COMPUTED_VALUE"""),"Uncle Sams Cider (5/13/2022)")</f>
        <v>Uncle Sams Cider (5/13/2022)</v>
      </c>
      <c r="H1053" s="19"/>
    </row>
    <row r="1054">
      <c r="A1054" s="9"/>
      <c r="B1054" s="15"/>
      <c r="C1054" s="9">
        <f>IFERROR(__xludf.DUMMYFUNCTION("""COMPUTED_VALUE"""),44785.6366073495)</f>
        <v>44785.63661</v>
      </c>
      <c r="D1054" s="15">
        <f>IFERROR(__xludf.DUMMYFUNCTION("""COMPUTED_VALUE"""),1.004)</f>
        <v>1.004</v>
      </c>
      <c r="E1054" s="16">
        <f>IFERROR(__xludf.DUMMYFUNCTION("""COMPUTED_VALUE"""),67.0)</f>
        <v>67</v>
      </c>
      <c r="F1054" s="19" t="str">
        <f>IFERROR(__xludf.DUMMYFUNCTION("""COMPUTED_VALUE"""),"BLACK")</f>
        <v>BLACK</v>
      </c>
      <c r="G1054" s="20" t="str">
        <f>IFERROR(__xludf.DUMMYFUNCTION("""COMPUTED_VALUE"""),"Uncle Sams Cider (5/13/2022)")</f>
        <v>Uncle Sams Cider (5/13/2022)</v>
      </c>
      <c r="H1054" s="19"/>
    </row>
    <row r="1055">
      <c r="A1055" s="9"/>
      <c r="B1055" s="15"/>
      <c r="C1055" s="9">
        <f>IFERROR(__xludf.DUMMYFUNCTION("""COMPUTED_VALUE"""),44785.6261728703)</f>
        <v>44785.62617</v>
      </c>
      <c r="D1055" s="15">
        <f>IFERROR(__xludf.DUMMYFUNCTION("""COMPUTED_VALUE"""),1.004)</f>
        <v>1.004</v>
      </c>
      <c r="E1055" s="16">
        <f>IFERROR(__xludf.DUMMYFUNCTION("""COMPUTED_VALUE"""),67.0)</f>
        <v>67</v>
      </c>
      <c r="F1055" s="19" t="str">
        <f>IFERROR(__xludf.DUMMYFUNCTION("""COMPUTED_VALUE"""),"BLACK")</f>
        <v>BLACK</v>
      </c>
      <c r="G1055" s="20" t="str">
        <f>IFERROR(__xludf.DUMMYFUNCTION("""COMPUTED_VALUE"""),"Uncle Sams Cider (5/13/2022)")</f>
        <v>Uncle Sams Cider (5/13/2022)</v>
      </c>
      <c r="H1055" s="19"/>
    </row>
    <row r="1056">
      <c r="A1056" s="9"/>
      <c r="B1056" s="15"/>
      <c r="C1056" s="9">
        <f>IFERROR(__xludf.DUMMYFUNCTION("""COMPUTED_VALUE"""),44785.6157509838)</f>
        <v>44785.61575</v>
      </c>
      <c r="D1056" s="15">
        <f>IFERROR(__xludf.DUMMYFUNCTION("""COMPUTED_VALUE"""),1.004)</f>
        <v>1.004</v>
      </c>
      <c r="E1056" s="16">
        <f>IFERROR(__xludf.DUMMYFUNCTION("""COMPUTED_VALUE"""),67.0)</f>
        <v>67</v>
      </c>
      <c r="F1056" s="19" t="str">
        <f>IFERROR(__xludf.DUMMYFUNCTION("""COMPUTED_VALUE"""),"BLACK")</f>
        <v>BLACK</v>
      </c>
      <c r="G1056" s="20" t="str">
        <f>IFERROR(__xludf.DUMMYFUNCTION("""COMPUTED_VALUE"""),"Uncle Sams Cider (5/13/2022)")</f>
        <v>Uncle Sams Cider (5/13/2022)</v>
      </c>
      <c r="H1056" s="19"/>
    </row>
    <row r="1057">
      <c r="A1057" s="9"/>
      <c r="B1057" s="15"/>
      <c r="C1057" s="9">
        <f>IFERROR(__xludf.DUMMYFUNCTION("""COMPUTED_VALUE"""),44785.6053297916)</f>
        <v>44785.60533</v>
      </c>
      <c r="D1057" s="15">
        <f>IFERROR(__xludf.DUMMYFUNCTION("""COMPUTED_VALUE"""),1.004)</f>
        <v>1.004</v>
      </c>
      <c r="E1057" s="16">
        <f>IFERROR(__xludf.DUMMYFUNCTION("""COMPUTED_VALUE"""),67.0)</f>
        <v>67</v>
      </c>
      <c r="F1057" s="19" t="str">
        <f>IFERROR(__xludf.DUMMYFUNCTION("""COMPUTED_VALUE"""),"BLACK")</f>
        <v>BLACK</v>
      </c>
      <c r="G1057" s="20" t="str">
        <f>IFERROR(__xludf.DUMMYFUNCTION("""COMPUTED_VALUE"""),"Uncle Sams Cider (5/13/2022)")</f>
        <v>Uncle Sams Cider (5/13/2022)</v>
      </c>
      <c r="H1057" s="19"/>
    </row>
    <row r="1058">
      <c r="A1058" s="9"/>
      <c r="B1058" s="15"/>
      <c r="C1058" s="9">
        <f>IFERROR(__xludf.DUMMYFUNCTION("""COMPUTED_VALUE"""),44785.5949089351)</f>
        <v>44785.59491</v>
      </c>
      <c r="D1058" s="15">
        <f>IFERROR(__xludf.DUMMYFUNCTION("""COMPUTED_VALUE"""),1.004)</f>
        <v>1.004</v>
      </c>
      <c r="E1058" s="16">
        <f>IFERROR(__xludf.DUMMYFUNCTION("""COMPUTED_VALUE"""),67.0)</f>
        <v>67</v>
      </c>
      <c r="F1058" s="19" t="str">
        <f>IFERROR(__xludf.DUMMYFUNCTION("""COMPUTED_VALUE"""),"BLACK")</f>
        <v>BLACK</v>
      </c>
      <c r="G1058" s="20" t="str">
        <f>IFERROR(__xludf.DUMMYFUNCTION("""COMPUTED_VALUE"""),"Uncle Sams Cider (5/13/2022)")</f>
        <v>Uncle Sams Cider (5/13/2022)</v>
      </c>
      <c r="H1058" s="19"/>
    </row>
    <row r="1059">
      <c r="A1059" s="9"/>
      <c r="B1059" s="15"/>
      <c r="C1059" s="9">
        <f>IFERROR(__xludf.DUMMYFUNCTION("""COMPUTED_VALUE"""),44785.5844647569)</f>
        <v>44785.58446</v>
      </c>
      <c r="D1059" s="15">
        <f>IFERROR(__xludf.DUMMYFUNCTION("""COMPUTED_VALUE"""),1.004)</f>
        <v>1.004</v>
      </c>
      <c r="E1059" s="16">
        <f>IFERROR(__xludf.DUMMYFUNCTION("""COMPUTED_VALUE"""),67.0)</f>
        <v>67</v>
      </c>
      <c r="F1059" s="19" t="str">
        <f>IFERROR(__xludf.DUMMYFUNCTION("""COMPUTED_VALUE"""),"BLACK")</f>
        <v>BLACK</v>
      </c>
      <c r="G1059" s="20" t="str">
        <f>IFERROR(__xludf.DUMMYFUNCTION("""COMPUTED_VALUE"""),"Uncle Sams Cider (5/13/2022)")</f>
        <v>Uncle Sams Cider (5/13/2022)</v>
      </c>
      <c r="H1059" s="19"/>
    </row>
    <row r="1060">
      <c r="A1060" s="9"/>
      <c r="B1060" s="15"/>
      <c r="C1060" s="9">
        <f>IFERROR(__xludf.DUMMYFUNCTION("""COMPUTED_VALUE"""),44785.5740433449)</f>
        <v>44785.57404</v>
      </c>
      <c r="D1060" s="15">
        <f>IFERROR(__xludf.DUMMYFUNCTION("""COMPUTED_VALUE"""),1.004)</f>
        <v>1.004</v>
      </c>
      <c r="E1060" s="16">
        <f>IFERROR(__xludf.DUMMYFUNCTION("""COMPUTED_VALUE"""),67.0)</f>
        <v>67</v>
      </c>
      <c r="F1060" s="19" t="str">
        <f>IFERROR(__xludf.DUMMYFUNCTION("""COMPUTED_VALUE"""),"BLACK")</f>
        <v>BLACK</v>
      </c>
      <c r="G1060" s="20" t="str">
        <f>IFERROR(__xludf.DUMMYFUNCTION("""COMPUTED_VALUE"""),"Uncle Sams Cider (5/13/2022)")</f>
        <v>Uncle Sams Cider (5/13/2022)</v>
      </c>
      <c r="H1060" s="19"/>
    </row>
    <row r="1061">
      <c r="A1061" s="9"/>
      <c r="B1061" s="15"/>
      <c r="C1061" s="9">
        <f>IFERROR(__xludf.DUMMYFUNCTION("""COMPUTED_VALUE"""),44785.5636229398)</f>
        <v>44785.56362</v>
      </c>
      <c r="D1061" s="15">
        <f>IFERROR(__xludf.DUMMYFUNCTION("""COMPUTED_VALUE"""),1.004)</f>
        <v>1.004</v>
      </c>
      <c r="E1061" s="16">
        <f>IFERROR(__xludf.DUMMYFUNCTION("""COMPUTED_VALUE"""),67.0)</f>
        <v>67</v>
      </c>
      <c r="F1061" s="19" t="str">
        <f>IFERROR(__xludf.DUMMYFUNCTION("""COMPUTED_VALUE"""),"BLACK")</f>
        <v>BLACK</v>
      </c>
      <c r="G1061" s="20" t="str">
        <f>IFERROR(__xludf.DUMMYFUNCTION("""COMPUTED_VALUE"""),"Uncle Sams Cider (5/13/2022)")</f>
        <v>Uncle Sams Cider (5/13/2022)</v>
      </c>
      <c r="H1061" s="19"/>
    </row>
    <row r="1062">
      <c r="A1062" s="9"/>
      <c r="B1062" s="15"/>
      <c r="C1062" s="9">
        <f>IFERROR(__xludf.DUMMYFUNCTION("""COMPUTED_VALUE"""),44785.5532019328)</f>
        <v>44785.5532</v>
      </c>
      <c r="D1062" s="15">
        <f>IFERROR(__xludf.DUMMYFUNCTION("""COMPUTED_VALUE"""),1.004)</f>
        <v>1.004</v>
      </c>
      <c r="E1062" s="16">
        <f>IFERROR(__xludf.DUMMYFUNCTION("""COMPUTED_VALUE"""),67.0)</f>
        <v>67</v>
      </c>
      <c r="F1062" s="19" t="str">
        <f>IFERROR(__xludf.DUMMYFUNCTION("""COMPUTED_VALUE"""),"BLACK")</f>
        <v>BLACK</v>
      </c>
      <c r="G1062" s="20" t="str">
        <f>IFERROR(__xludf.DUMMYFUNCTION("""COMPUTED_VALUE"""),"Uncle Sams Cider (5/13/2022)")</f>
        <v>Uncle Sams Cider (5/13/2022)</v>
      </c>
      <c r="H1062" s="19"/>
    </row>
    <row r="1063">
      <c r="A1063" s="9"/>
      <c r="B1063" s="15"/>
      <c r="C1063" s="9">
        <f>IFERROR(__xludf.DUMMYFUNCTION("""COMPUTED_VALUE"""),44785.542780706)</f>
        <v>44785.54278</v>
      </c>
      <c r="D1063" s="15">
        <f>IFERROR(__xludf.DUMMYFUNCTION("""COMPUTED_VALUE"""),1.004)</f>
        <v>1.004</v>
      </c>
      <c r="E1063" s="16">
        <f>IFERROR(__xludf.DUMMYFUNCTION("""COMPUTED_VALUE"""),67.0)</f>
        <v>67</v>
      </c>
      <c r="F1063" s="19" t="str">
        <f>IFERROR(__xludf.DUMMYFUNCTION("""COMPUTED_VALUE"""),"BLACK")</f>
        <v>BLACK</v>
      </c>
      <c r="G1063" s="20" t="str">
        <f>IFERROR(__xludf.DUMMYFUNCTION("""COMPUTED_VALUE"""),"Uncle Sams Cider (5/13/2022)")</f>
        <v>Uncle Sams Cider (5/13/2022)</v>
      </c>
      <c r="H1063" s="19"/>
    </row>
    <row r="1064">
      <c r="A1064" s="9"/>
      <c r="B1064" s="15"/>
      <c r="C1064" s="9">
        <f>IFERROR(__xludf.DUMMYFUNCTION("""COMPUTED_VALUE"""),44785.5323598611)</f>
        <v>44785.53236</v>
      </c>
      <c r="D1064" s="15">
        <f>IFERROR(__xludf.DUMMYFUNCTION("""COMPUTED_VALUE"""),1.004)</f>
        <v>1.004</v>
      </c>
      <c r="E1064" s="16">
        <f>IFERROR(__xludf.DUMMYFUNCTION("""COMPUTED_VALUE"""),67.0)</f>
        <v>67</v>
      </c>
      <c r="F1064" s="19" t="str">
        <f>IFERROR(__xludf.DUMMYFUNCTION("""COMPUTED_VALUE"""),"BLACK")</f>
        <v>BLACK</v>
      </c>
      <c r="G1064" s="20" t="str">
        <f>IFERROR(__xludf.DUMMYFUNCTION("""COMPUTED_VALUE"""),"Uncle Sams Cider (5/13/2022)")</f>
        <v>Uncle Sams Cider (5/13/2022)</v>
      </c>
      <c r="H1064" s="19"/>
    </row>
    <row r="1065">
      <c r="A1065" s="9"/>
      <c r="B1065" s="15"/>
      <c r="C1065" s="9">
        <f>IFERROR(__xludf.DUMMYFUNCTION("""COMPUTED_VALUE"""),44785.521939074)</f>
        <v>44785.52194</v>
      </c>
      <c r="D1065" s="15">
        <f>IFERROR(__xludf.DUMMYFUNCTION("""COMPUTED_VALUE"""),1.004)</f>
        <v>1.004</v>
      </c>
      <c r="E1065" s="16">
        <f>IFERROR(__xludf.DUMMYFUNCTION("""COMPUTED_VALUE"""),67.0)</f>
        <v>67</v>
      </c>
      <c r="F1065" s="19" t="str">
        <f>IFERROR(__xludf.DUMMYFUNCTION("""COMPUTED_VALUE"""),"BLACK")</f>
        <v>BLACK</v>
      </c>
      <c r="G1065" s="20" t="str">
        <f>IFERROR(__xludf.DUMMYFUNCTION("""COMPUTED_VALUE"""),"Uncle Sams Cider (5/13/2022)")</f>
        <v>Uncle Sams Cider (5/13/2022)</v>
      </c>
      <c r="H1065" s="19"/>
    </row>
    <row r="1066">
      <c r="A1066" s="9"/>
      <c r="B1066" s="15"/>
      <c r="C1066" s="9">
        <f>IFERROR(__xludf.DUMMYFUNCTION("""COMPUTED_VALUE"""),44785.5115182175)</f>
        <v>44785.51152</v>
      </c>
      <c r="D1066" s="15">
        <f>IFERROR(__xludf.DUMMYFUNCTION("""COMPUTED_VALUE"""),1.004)</f>
        <v>1.004</v>
      </c>
      <c r="E1066" s="16">
        <f>IFERROR(__xludf.DUMMYFUNCTION("""COMPUTED_VALUE"""),67.0)</f>
        <v>67</v>
      </c>
      <c r="F1066" s="19" t="str">
        <f>IFERROR(__xludf.DUMMYFUNCTION("""COMPUTED_VALUE"""),"BLACK")</f>
        <v>BLACK</v>
      </c>
      <c r="G1066" s="20" t="str">
        <f>IFERROR(__xludf.DUMMYFUNCTION("""COMPUTED_VALUE"""),"Uncle Sams Cider (5/13/2022)")</f>
        <v>Uncle Sams Cider (5/13/2022)</v>
      </c>
      <c r="H1066" s="19"/>
    </row>
    <row r="1067">
      <c r="A1067" s="9"/>
      <c r="B1067" s="15"/>
      <c r="C1067" s="9">
        <f>IFERROR(__xludf.DUMMYFUNCTION("""COMPUTED_VALUE"""),44785.5010969097)</f>
        <v>44785.5011</v>
      </c>
      <c r="D1067" s="15">
        <f>IFERROR(__xludf.DUMMYFUNCTION("""COMPUTED_VALUE"""),1.004)</f>
        <v>1.004</v>
      </c>
      <c r="E1067" s="16">
        <f>IFERROR(__xludf.DUMMYFUNCTION("""COMPUTED_VALUE"""),67.0)</f>
        <v>67</v>
      </c>
      <c r="F1067" s="19" t="str">
        <f>IFERROR(__xludf.DUMMYFUNCTION("""COMPUTED_VALUE"""),"BLACK")</f>
        <v>BLACK</v>
      </c>
      <c r="G1067" s="20" t="str">
        <f>IFERROR(__xludf.DUMMYFUNCTION("""COMPUTED_VALUE"""),"Uncle Sams Cider (5/13/2022)")</f>
        <v>Uncle Sams Cider (5/13/2022)</v>
      </c>
      <c r="H1067" s="19"/>
    </row>
    <row r="1068">
      <c r="A1068" s="9"/>
      <c r="B1068" s="15"/>
      <c r="C1068" s="9">
        <f>IFERROR(__xludf.DUMMYFUNCTION("""COMPUTED_VALUE"""),44785.4906759953)</f>
        <v>44785.49068</v>
      </c>
      <c r="D1068" s="15">
        <f>IFERROR(__xludf.DUMMYFUNCTION("""COMPUTED_VALUE"""),1.004)</f>
        <v>1.004</v>
      </c>
      <c r="E1068" s="16">
        <f>IFERROR(__xludf.DUMMYFUNCTION("""COMPUTED_VALUE"""),67.0)</f>
        <v>67</v>
      </c>
      <c r="F1068" s="19" t="str">
        <f>IFERROR(__xludf.DUMMYFUNCTION("""COMPUTED_VALUE"""),"BLACK")</f>
        <v>BLACK</v>
      </c>
      <c r="G1068" s="20" t="str">
        <f>IFERROR(__xludf.DUMMYFUNCTION("""COMPUTED_VALUE"""),"Uncle Sams Cider (5/13/2022)")</f>
        <v>Uncle Sams Cider (5/13/2022)</v>
      </c>
      <c r="H1068" s="19"/>
    </row>
    <row r="1069">
      <c r="A1069" s="9"/>
      <c r="B1069" s="15"/>
      <c r="C1069" s="9">
        <f>IFERROR(__xludf.DUMMYFUNCTION("""COMPUTED_VALUE"""),44785.4802531828)</f>
        <v>44785.48025</v>
      </c>
      <c r="D1069" s="15">
        <f>IFERROR(__xludf.DUMMYFUNCTION("""COMPUTED_VALUE"""),1.004)</f>
        <v>1.004</v>
      </c>
      <c r="E1069" s="16">
        <f>IFERROR(__xludf.DUMMYFUNCTION("""COMPUTED_VALUE"""),67.0)</f>
        <v>67</v>
      </c>
      <c r="F1069" s="19" t="str">
        <f>IFERROR(__xludf.DUMMYFUNCTION("""COMPUTED_VALUE"""),"BLACK")</f>
        <v>BLACK</v>
      </c>
      <c r="G1069" s="20" t="str">
        <f>IFERROR(__xludf.DUMMYFUNCTION("""COMPUTED_VALUE"""),"Uncle Sams Cider (5/13/2022)")</f>
        <v>Uncle Sams Cider (5/13/2022)</v>
      </c>
      <c r="H1069" s="19"/>
    </row>
    <row r="1070">
      <c r="A1070" s="9"/>
      <c r="B1070" s="15"/>
      <c r="C1070" s="9">
        <f>IFERROR(__xludf.DUMMYFUNCTION("""COMPUTED_VALUE"""),44785.4698329398)</f>
        <v>44785.46983</v>
      </c>
      <c r="D1070" s="15">
        <f>IFERROR(__xludf.DUMMYFUNCTION("""COMPUTED_VALUE"""),1.004)</f>
        <v>1.004</v>
      </c>
      <c r="E1070" s="16">
        <f>IFERROR(__xludf.DUMMYFUNCTION("""COMPUTED_VALUE"""),67.0)</f>
        <v>67</v>
      </c>
      <c r="F1070" s="19" t="str">
        <f>IFERROR(__xludf.DUMMYFUNCTION("""COMPUTED_VALUE"""),"BLACK")</f>
        <v>BLACK</v>
      </c>
      <c r="G1070" s="20" t="str">
        <f>IFERROR(__xludf.DUMMYFUNCTION("""COMPUTED_VALUE"""),"Uncle Sams Cider (5/13/2022)")</f>
        <v>Uncle Sams Cider (5/13/2022)</v>
      </c>
      <c r="H1070" s="19"/>
    </row>
    <row r="1071">
      <c r="A1071" s="9"/>
      <c r="B1071" s="15"/>
      <c r="C1071" s="9">
        <f>IFERROR(__xludf.DUMMYFUNCTION("""COMPUTED_VALUE"""),44785.4593883217)</f>
        <v>44785.45939</v>
      </c>
      <c r="D1071" s="15">
        <f>IFERROR(__xludf.DUMMYFUNCTION("""COMPUTED_VALUE"""),1.004)</f>
        <v>1.004</v>
      </c>
      <c r="E1071" s="16">
        <f>IFERROR(__xludf.DUMMYFUNCTION("""COMPUTED_VALUE"""),67.0)</f>
        <v>67</v>
      </c>
      <c r="F1071" s="19" t="str">
        <f>IFERROR(__xludf.DUMMYFUNCTION("""COMPUTED_VALUE"""),"BLACK")</f>
        <v>BLACK</v>
      </c>
      <c r="G1071" s="20" t="str">
        <f>IFERROR(__xludf.DUMMYFUNCTION("""COMPUTED_VALUE"""),"Uncle Sams Cider (5/13/2022)")</f>
        <v>Uncle Sams Cider (5/13/2022)</v>
      </c>
      <c r="H1071" s="19"/>
    </row>
    <row r="1072">
      <c r="A1072" s="9"/>
      <c r="B1072" s="15"/>
      <c r="C1072" s="9">
        <f>IFERROR(__xludf.DUMMYFUNCTION("""COMPUTED_VALUE"""),44785.4489676504)</f>
        <v>44785.44897</v>
      </c>
      <c r="D1072" s="15">
        <f>IFERROR(__xludf.DUMMYFUNCTION("""COMPUTED_VALUE"""),1.004)</f>
        <v>1.004</v>
      </c>
      <c r="E1072" s="16">
        <f>IFERROR(__xludf.DUMMYFUNCTION("""COMPUTED_VALUE"""),67.0)</f>
        <v>67</v>
      </c>
      <c r="F1072" s="19" t="str">
        <f>IFERROR(__xludf.DUMMYFUNCTION("""COMPUTED_VALUE"""),"BLACK")</f>
        <v>BLACK</v>
      </c>
      <c r="G1072" s="20" t="str">
        <f>IFERROR(__xludf.DUMMYFUNCTION("""COMPUTED_VALUE"""),"Uncle Sams Cider (5/13/2022)")</f>
        <v>Uncle Sams Cider (5/13/2022)</v>
      </c>
      <c r="H1072" s="19"/>
    </row>
    <row r="1073">
      <c r="A1073" s="9"/>
      <c r="B1073" s="15"/>
      <c r="C1073" s="9">
        <f>IFERROR(__xludf.DUMMYFUNCTION("""COMPUTED_VALUE"""),44785.4385496527)</f>
        <v>44785.43855</v>
      </c>
      <c r="D1073" s="15">
        <f>IFERROR(__xludf.DUMMYFUNCTION("""COMPUTED_VALUE"""),1.004)</f>
        <v>1.004</v>
      </c>
      <c r="E1073" s="16">
        <f>IFERROR(__xludf.DUMMYFUNCTION("""COMPUTED_VALUE"""),67.0)</f>
        <v>67</v>
      </c>
      <c r="F1073" s="19" t="str">
        <f>IFERROR(__xludf.DUMMYFUNCTION("""COMPUTED_VALUE"""),"BLACK")</f>
        <v>BLACK</v>
      </c>
      <c r="G1073" s="20" t="str">
        <f>IFERROR(__xludf.DUMMYFUNCTION("""COMPUTED_VALUE"""),"Uncle Sams Cider (5/13/2022)")</f>
        <v>Uncle Sams Cider (5/13/2022)</v>
      </c>
      <c r="H1073" s="19"/>
    </row>
    <row r="1074">
      <c r="A1074" s="9"/>
      <c r="B1074" s="15"/>
      <c r="C1074" s="9">
        <f>IFERROR(__xludf.DUMMYFUNCTION("""COMPUTED_VALUE"""),44785.4281272916)</f>
        <v>44785.42813</v>
      </c>
      <c r="D1074" s="15">
        <f>IFERROR(__xludf.DUMMYFUNCTION("""COMPUTED_VALUE"""),1.004)</f>
        <v>1.004</v>
      </c>
      <c r="E1074" s="16">
        <f>IFERROR(__xludf.DUMMYFUNCTION("""COMPUTED_VALUE"""),67.0)</f>
        <v>67</v>
      </c>
      <c r="F1074" s="19" t="str">
        <f>IFERROR(__xludf.DUMMYFUNCTION("""COMPUTED_VALUE"""),"BLACK")</f>
        <v>BLACK</v>
      </c>
      <c r="G1074" s="20" t="str">
        <f>IFERROR(__xludf.DUMMYFUNCTION("""COMPUTED_VALUE"""),"Uncle Sams Cider (5/13/2022)")</f>
        <v>Uncle Sams Cider (5/13/2022)</v>
      </c>
      <c r="H1074" s="19"/>
    </row>
    <row r="1075">
      <c r="A1075" s="9"/>
      <c r="B1075" s="15"/>
      <c r="C1075" s="9">
        <f>IFERROR(__xludf.DUMMYFUNCTION("""COMPUTED_VALUE"""),44785.4177062384)</f>
        <v>44785.41771</v>
      </c>
      <c r="D1075" s="15">
        <f>IFERROR(__xludf.DUMMYFUNCTION("""COMPUTED_VALUE"""),1.004)</f>
        <v>1.004</v>
      </c>
      <c r="E1075" s="16">
        <f>IFERROR(__xludf.DUMMYFUNCTION("""COMPUTED_VALUE"""),67.0)</f>
        <v>67</v>
      </c>
      <c r="F1075" s="19" t="str">
        <f>IFERROR(__xludf.DUMMYFUNCTION("""COMPUTED_VALUE"""),"BLACK")</f>
        <v>BLACK</v>
      </c>
      <c r="G1075" s="20" t="str">
        <f>IFERROR(__xludf.DUMMYFUNCTION("""COMPUTED_VALUE"""),"Uncle Sams Cider (5/13/2022)")</f>
        <v>Uncle Sams Cider (5/13/2022)</v>
      </c>
      <c r="H1075" s="19"/>
    </row>
    <row r="1076">
      <c r="A1076" s="9"/>
      <c r="B1076" s="15"/>
      <c r="C1076" s="9">
        <f>IFERROR(__xludf.DUMMYFUNCTION("""COMPUTED_VALUE"""),44785.4072857407)</f>
        <v>44785.40729</v>
      </c>
      <c r="D1076" s="15">
        <f>IFERROR(__xludf.DUMMYFUNCTION("""COMPUTED_VALUE"""),1.004)</f>
        <v>1.004</v>
      </c>
      <c r="E1076" s="16">
        <f>IFERROR(__xludf.DUMMYFUNCTION("""COMPUTED_VALUE"""),67.0)</f>
        <v>67</v>
      </c>
      <c r="F1076" s="19" t="str">
        <f>IFERROR(__xludf.DUMMYFUNCTION("""COMPUTED_VALUE"""),"BLACK")</f>
        <v>BLACK</v>
      </c>
      <c r="G1076" s="20" t="str">
        <f>IFERROR(__xludf.DUMMYFUNCTION("""COMPUTED_VALUE"""),"Uncle Sams Cider (5/13/2022)")</f>
        <v>Uncle Sams Cider (5/13/2022)</v>
      </c>
      <c r="H1076" s="19"/>
    </row>
    <row r="1077">
      <c r="A1077" s="9"/>
      <c r="B1077" s="15"/>
      <c r="C1077" s="9">
        <f>IFERROR(__xludf.DUMMYFUNCTION("""COMPUTED_VALUE"""),44785.3968530671)</f>
        <v>44785.39685</v>
      </c>
      <c r="D1077" s="15">
        <f>IFERROR(__xludf.DUMMYFUNCTION("""COMPUTED_VALUE"""),1.004)</f>
        <v>1.004</v>
      </c>
      <c r="E1077" s="16">
        <f>IFERROR(__xludf.DUMMYFUNCTION("""COMPUTED_VALUE"""),67.0)</f>
        <v>67</v>
      </c>
      <c r="F1077" s="19" t="str">
        <f>IFERROR(__xludf.DUMMYFUNCTION("""COMPUTED_VALUE"""),"BLACK")</f>
        <v>BLACK</v>
      </c>
      <c r="G1077" s="20" t="str">
        <f>IFERROR(__xludf.DUMMYFUNCTION("""COMPUTED_VALUE"""),"Uncle Sams Cider (5/13/2022)")</f>
        <v>Uncle Sams Cider (5/13/2022)</v>
      </c>
      <c r="H1077" s="19"/>
    </row>
    <row r="1078">
      <c r="A1078" s="9"/>
      <c r="B1078" s="15"/>
      <c r="C1078" s="9">
        <f>IFERROR(__xludf.DUMMYFUNCTION("""COMPUTED_VALUE"""),44785.3863959259)</f>
        <v>44785.3864</v>
      </c>
      <c r="D1078" s="15">
        <f>IFERROR(__xludf.DUMMYFUNCTION("""COMPUTED_VALUE"""),1.004)</f>
        <v>1.004</v>
      </c>
      <c r="E1078" s="16">
        <f>IFERROR(__xludf.DUMMYFUNCTION("""COMPUTED_VALUE"""),67.0)</f>
        <v>67</v>
      </c>
      <c r="F1078" s="19" t="str">
        <f>IFERROR(__xludf.DUMMYFUNCTION("""COMPUTED_VALUE"""),"BLACK")</f>
        <v>BLACK</v>
      </c>
      <c r="G1078" s="20" t="str">
        <f>IFERROR(__xludf.DUMMYFUNCTION("""COMPUTED_VALUE"""),"Uncle Sams Cider (5/13/2022)")</f>
        <v>Uncle Sams Cider (5/13/2022)</v>
      </c>
      <c r="H1078" s="19"/>
    </row>
    <row r="1079">
      <c r="A1079" s="9"/>
      <c r="B1079" s="15"/>
      <c r="C1079" s="9">
        <f>IFERROR(__xludf.DUMMYFUNCTION("""COMPUTED_VALUE"""),44785.3759749652)</f>
        <v>44785.37597</v>
      </c>
      <c r="D1079" s="15">
        <f>IFERROR(__xludf.DUMMYFUNCTION("""COMPUTED_VALUE"""),1.004)</f>
        <v>1.004</v>
      </c>
      <c r="E1079" s="16">
        <f>IFERROR(__xludf.DUMMYFUNCTION("""COMPUTED_VALUE"""),67.0)</f>
        <v>67</v>
      </c>
      <c r="F1079" s="19" t="str">
        <f>IFERROR(__xludf.DUMMYFUNCTION("""COMPUTED_VALUE"""),"BLACK")</f>
        <v>BLACK</v>
      </c>
      <c r="G1079" s="20" t="str">
        <f>IFERROR(__xludf.DUMMYFUNCTION("""COMPUTED_VALUE"""),"Uncle Sams Cider (5/13/2022)")</f>
        <v>Uncle Sams Cider (5/13/2022)</v>
      </c>
      <c r="H1079" s="19"/>
    </row>
    <row r="1080">
      <c r="A1080" s="9"/>
      <c r="B1080" s="15"/>
      <c r="C1080" s="9">
        <f>IFERROR(__xludf.DUMMYFUNCTION("""COMPUTED_VALUE"""),44785.3655525115)</f>
        <v>44785.36555</v>
      </c>
      <c r="D1080" s="15">
        <f>IFERROR(__xludf.DUMMYFUNCTION("""COMPUTED_VALUE"""),1.004)</f>
        <v>1.004</v>
      </c>
      <c r="E1080" s="16">
        <f>IFERROR(__xludf.DUMMYFUNCTION("""COMPUTED_VALUE"""),67.0)</f>
        <v>67</v>
      </c>
      <c r="F1080" s="19" t="str">
        <f>IFERROR(__xludf.DUMMYFUNCTION("""COMPUTED_VALUE"""),"BLACK")</f>
        <v>BLACK</v>
      </c>
      <c r="G1080" s="20" t="str">
        <f>IFERROR(__xludf.DUMMYFUNCTION("""COMPUTED_VALUE"""),"Uncle Sams Cider (5/13/2022)")</f>
        <v>Uncle Sams Cider (5/13/2022)</v>
      </c>
      <c r="H1080" s="19"/>
    </row>
    <row r="1081">
      <c r="A1081" s="9"/>
      <c r="B1081" s="15"/>
      <c r="C1081" s="9">
        <f>IFERROR(__xludf.DUMMYFUNCTION("""COMPUTED_VALUE"""),44785.355130949)</f>
        <v>44785.35513</v>
      </c>
      <c r="D1081" s="15">
        <f>IFERROR(__xludf.DUMMYFUNCTION("""COMPUTED_VALUE"""),1.004)</f>
        <v>1.004</v>
      </c>
      <c r="E1081" s="16">
        <f>IFERROR(__xludf.DUMMYFUNCTION("""COMPUTED_VALUE"""),67.0)</f>
        <v>67</v>
      </c>
      <c r="F1081" s="19" t="str">
        <f>IFERROR(__xludf.DUMMYFUNCTION("""COMPUTED_VALUE"""),"BLACK")</f>
        <v>BLACK</v>
      </c>
      <c r="G1081" s="20" t="str">
        <f>IFERROR(__xludf.DUMMYFUNCTION("""COMPUTED_VALUE"""),"Uncle Sams Cider (5/13/2022)")</f>
        <v>Uncle Sams Cider (5/13/2022)</v>
      </c>
      <c r="H1081" s="19"/>
    </row>
    <row r="1082">
      <c r="A1082" s="9"/>
      <c r="B1082" s="15"/>
      <c r="C1082" s="9">
        <f>IFERROR(__xludf.DUMMYFUNCTION("""COMPUTED_VALUE"""),44785.3447107754)</f>
        <v>44785.34471</v>
      </c>
      <c r="D1082" s="15">
        <f>IFERROR(__xludf.DUMMYFUNCTION("""COMPUTED_VALUE"""),1.004)</f>
        <v>1.004</v>
      </c>
      <c r="E1082" s="16">
        <f>IFERROR(__xludf.DUMMYFUNCTION("""COMPUTED_VALUE"""),67.0)</f>
        <v>67</v>
      </c>
      <c r="F1082" s="19" t="str">
        <f>IFERROR(__xludf.DUMMYFUNCTION("""COMPUTED_VALUE"""),"BLACK")</f>
        <v>BLACK</v>
      </c>
      <c r="G1082" s="20" t="str">
        <f>IFERROR(__xludf.DUMMYFUNCTION("""COMPUTED_VALUE"""),"Uncle Sams Cider (5/13/2022)")</f>
        <v>Uncle Sams Cider (5/13/2022)</v>
      </c>
      <c r="H1082" s="19"/>
    </row>
    <row r="1083">
      <c r="A1083" s="9"/>
      <c r="B1083" s="15"/>
      <c r="C1083" s="9">
        <f>IFERROR(__xludf.DUMMYFUNCTION("""COMPUTED_VALUE"""),44785.3342895949)</f>
        <v>44785.33429</v>
      </c>
      <c r="D1083" s="15">
        <f>IFERROR(__xludf.DUMMYFUNCTION("""COMPUTED_VALUE"""),1.004)</f>
        <v>1.004</v>
      </c>
      <c r="E1083" s="16">
        <f>IFERROR(__xludf.DUMMYFUNCTION("""COMPUTED_VALUE"""),67.0)</f>
        <v>67</v>
      </c>
      <c r="F1083" s="19" t="str">
        <f>IFERROR(__xludf.DUMMYFUNCTION("""COMPUTED_VALUE"""),"BLACK")</f>
        <v>BLACK</v>
      </c>
      <c r="G1083" s="20" t="str">
        <f>IFERROR(__xludf.DUMMYFUNCTION("""COMPUTED_VALUE"""),"Uncle Sams Cider (5/13/2022)")</f>
        <v>Uncle Sams Cider (5/13/2022)</v>
      </c>
      <c r="H1083" s="19"/>
    </row>
    <row r="1084">
      <c r="A1084" s="9"/>
      <c r="B1084" s="15"/>
      <c r="C1084" s="9">
        <f>IFERROR(__xludf.DUMMYFUNCTION("""COMPUTED_VALUE"""),44785.3238693634)</f>
        <v>44785.32387</v>
      </c>
      <c r="D1084" s="15">
        <f>IFERROR(__xludf.DUMMYFUNCTION("""COMPUTED_VALUE"""),1.004)</f>
        <v>1.004</v>
      </c>
      <c r="E1084" s="16">
        <f>IFERROR(__xludf.DUMMYFUNCTION("""COMPUTED_VALUE"""),67.0)</f>
        <v>67</v>
      </c>
      <c r="F1084" s="19" t="str">
        <f>IFERROR(__xludf.DUMMYFUNCTION("""COMPUTED_VALUE"""),"BLACK")</f>
        <v>BLACK</v>
      </c>
      <c r="G1084" s="20" t="str">
        <f>IFERROR(__xludf.DUMMYFUNCTION("""COMPUTED_VALUE"""),"Uncle Sams Cider (5/13/2022)")</f>
        <v>Uncle Sams Cider (5/13/2022)</v>
      </c>
      <c r="H1084" s="19"/>
    </row>
    <row r="1085">
      <c r="A1085" s="9"/>
      <c r="B1085" s="15"/>
      <c r="C1085" s="9">
        <f>IFERROR(__xludf.DUMMYFUNCTION("""COMPUTED_VALUE"""),44785.3134484143)</f>
        <v>44785.31345</v>
      </c>
      <c r="D1085" s="15">
        <f>IFERROR(__xludf.DUMMYFUNCTION("""COMPUTED_VALUE"""),1.004)</f>
        <v>1.004</v>
      </c>
      <c r="E1085" s="16">
        <f>IFERROR(__xludf.DUMMYFUNCTION("""COMPUTED_VALUE"""),67.0)</f>
        <v>67</v>
      </c>
      <c r="F1085" s="19" t="str">
        <f>IFERROR(__xludf.DUMMYFUNCTION("""COMPUTED_VALUE"""),"BLACK")</f>
        <v>BLACK</v>
      </c>
      <c r="G1085" s="20" t="str">
        <f>IFERROR(__xludf.DUMMYFUNCTION("""COMPUTED_VALUE"""),"Uncle Sams Cider (5/13/2022)")</f>
        <v>Uncle Sams Cider (5/13/2022)</v>
      </c>
      <c r="H1085" s="19"/>
    </row>
    <row r="1086">
      <c r="A1086" s="9"/>
      <c r="B1086" s="15"/>
      <c r="C1086" s="9">
        <f>IFERROR(__xludf.DUMMYFUNCTION("""COMPUTED_VALUE"""),44785.3030264699)</f>
        <v>44785.30303</v>
      </c>
      <c r="D1086" s="15">
        <f>IFERROR(__xludf.DUMMYFUNCTION("""COMPUTED_VALUE"""),1.004)</f>
        <v>1.004</v>
      </c>
      <c r="E1086" s="16">
        <f>IFERROR(__xludf.DUMMYFUNCTION("""COMPUTED_VALUE"""),67.0)</f>
        <v>67</v>
      </c>
      <c r="F1086" s="19" t="str">
        <f>IFERROR(__xludf.DUMMYFUNCTION("""COMPUTED_VALUE"""),"BLACK")</f>
        <v>BLACK</v>
      </c>
      <c r="G1086" s="20" t="str">
        <f>IFERROR(__xludf.DUMMYFUNCTION("""COMPUTED_VALUE"""),"Uncle Sams Cider (5/13/2022)")</f>
        <v>Uncle Sams Cider (5/13/2022)</v>
      </c>
      <c r="H1086" s="19"/>
    </row>
    <row r="1087">
      <c r="A1087" s="9"/>
      <c r="B1087" s="15"/>
      <c r="C1087" s="9">
        <f>IFERROR(__xludf.DUMMYFUNCTION("""COMPUTED_VALUE"""),44785.2925824421)</f>
        <v>44785.29258</v>
      </c>
      <c r="D1087" s="15">
        <f>IFERROR(__xludf.DUMMYFUNCTION("""COMPUTED_VALUE"""),1.004)</f>
        <v>1.004</v>
      </c>
      <c r="E1087" s="16">
        <f>IFERROR(__xludf.DUMMYFUNCTION("""COMPUTED_VALUE"""),66.0)</f>
        <v>66</v>
      </c>
      <c r="F1087" s="19" t="str">
        <f>IFERROR(__xludf.DUMMYFUNCTION("""COMPUTED_VALUE"""),"BLACK")</f>
        <v>BLACK</v>
      </c>
      <c r="G1087" s="20" t="str">
        <f>IFERROR(__xludf.DUMMYFUNCTION("""COMPUTED_VALUE"""),"Uncle Sams Cider (5/13/2022)")</f>
        <v>Uncle Sams Cider (5/13/2022)</v>
      </c>
      <c r="H1087" s="19"/>
    </row>
    <row r="1088">
      <c r="A1088" s="9"/>
      <c r="B1088" s="15"/>
      <c r="C1088" s="9">
        <f>IFERROR(__xludf.DUMMYFUNCTION("""COMPUTED_VALUE"""),44785.2821593981)</f>
        <v>44785.28216</v>
      </c>
      <c r="D1088" s="15">
        <f>IFERROR(__xludf.DUMMYFUNCTION("""COMPUTED_VALUE"""),1.004)</f>
        <v>1.004</v>
      </c>
      <c r="E1088" s="16">
        <f>IFERROR(__xludf.DUMMYFUNCTION("""COMPUTED_VALUE"""),66.0)</f>
        <v>66</v>
      </c>
      <c r="F1088" s="19" t="str">
        <f>IFERROR(__xludf.DUMMYFUNCTION("""COMPUTED_VALUE"""),"BLACK")</f>
        <v>BLACK</v>
      </c>
      <c r="G1088" s="20" t="str">
        <f>IFERROR(__xludf.DUMMYFUNCTION("""COMPUTED_VALUE"""),"Uncle Sams Cider (5/13/2022)")</f>
        <v>Uncle Sams Cider (5/13/2022)</v>
      </c>
      <c r="H1088" s="19"/>
    </row>
    <row r="1089">
      <c r="A1089" s="9"/>
      <c r="B1089" s="15"/>
      <c r="C1089" s="9">
        <f>IFERROR(__xludf.DUMMYFUNCTION("""COMPUTED_VALUE"""),44785.2717274305)</f>
        <v>44785.27173</v>
      </c>
      <c r="D1089" s="15">
        <f>IFERROR(__xludf.DUMMYFUNCTION("""COMPUTED_VALUE"""),1.004)</f>
        <v>1.004</v>
      </c>
      <c r="E1089" s="16">
        <f>IFERROR(__xludf.DUMMYFUNCTION("""COMPUTED_VALUE"""),66.0)</f>
        <v>66</v>
      </c>
      <c r="F1089" s="19" t="str">
        <f>IFERROR(__xludf.DUMMYFUNCTION("""COMPUTED_VALUE"""),"BLACK")</f>
        <v>BLACK</v>
      </c>
      <c r="G1089" s="20" t="str">
        <f>IFERROR(__xludf.DUMMYFUNCTION("""COMPUTED_VALUE"""),"Uncle Sams Cider (5/13/2022)")</f>
        <v>Uncle Sams Cider (5/13/2022)</v>
      </c>
      <c r="H1089" s="19"/>
    </row>
    <row r="1090">
      <c r="A1090" s="9"/>
      <c r="B1090" s="15"/>
      <c r="C1090" s="9">
        <f>IFERROR(__xludf.DUMMYFUNCTION("""COMPUTED_VALUE"""),44785.2613053935)</f>
        <v>44785.26131</v>
      </c>
      <c r="D1090" s="15">
        <f>IFERROR(__xludf.DUMMYFUNCTION("""COMPUTED_VALUE"""),1.004)</f>
        <v>1.004</v>
      </c>
      <c r="E1090" s="16">
        <f>IFERROR(__xludf.DUMMYFUNCTION("""COMPUTED_VALUE"""),66.0)</f>
        <v>66</v>
      </c>
      <c r="F1090" s="19" t="str">
        <f>IFERROR(__xludf.DUMMYFUNCTION("""COMPUTED_VALUE"""),"BLACK")</f>
        <v>BLACK</v>
      </c>
      <c r="G1090" s="20" t="str">
        <f>IFERROR(__xludf.DUMMYFUNCTION("""COMPUTED_VALUE"""),"Uncle Sams Cider (5/13/2022)")</f>
        <v>Uncle Sams Cider (5/13/2022)</v>
      </c>
      <c r="H1090" s="19"/>
    </row>
    <row r="1091">
      <c r="A1091" s="9"/>
      <c r="B1091" s="15"/>
      <c r="C1091" s="9">
        <f>IFERROR(__xludf.DUMMYFUNCTION("""COMPUTED_VALUE"""),44785.2508830671)</f>
        <v>44785.25088</v>
      </c>
      <c r="D1091" s="15">
        <f>IFERROR(__xludf.DUMMYFUNCTION("""COMPUTED_VALUE"""),1.004)</f>
        <v>1.004</v>
      </c>
      <c r="E1091" s="16">
        <f>IFERROR(__xludf.DUMMYFUNCTION("""COMPUTED_VALUE"""),66.0)</f>
        <v>66</v>
      </c>
      <c r="F1091" s="19" t="str">
        <f>IFERROR(__xludf.DUMMYFUNCTION("""COMPUTED_VALUE"""),"BLACK")</f>
        <v>BLACK</v>
      </c>
      <c r="G1091" s="20" t="str">
        <f>IFERROR(__xludf.DUMMYFUNCTION("""COMPUTED_VALUE"""),"Uncle Sams Cider (5/13/2022)")</f>
        <v>Uncle Sams Cider (5/13/2022)</v>
      </c>
      <c r="H1091" s="19"/>
    </row>
    <row r="1092">
      <c r="A1092" s="9"/>
      <c r="B1092" s="15"/>
      <c r="C1092" s="9">
        <f>IFERROR(__xludf.DUMMYFUNCTION("""COMPUTED_VALUE"""),44785.2404039814)</f>
        <v>44785.2404</v>
      </c>
      <c r="D1092" s="15">
        <f>IFERROR(__xludf.DUMMYFUNCTION("""COMPUTED_VALUE"""),1.004)</f>
        <v>1.004</v>
      </c>
      <c r="E1092" s="16">
        <f>IFERROR(__xludf.DUMMYFUNCTION("""COMPUTED_VALUE"""),66.0)</f>
        <v>66</v>
      </c>
      <c r="F1092" s="19" t="str">
        <f>IFERROR(__xludf.DUMMYFUNCTION("""COMPUTED_VALUE"""),"BLACK")</f>
        <v>BLACK</v>
      </c>
      <c r="G1092" s="20" t="str">
        <f>IFERROR(__xludf.DUMMYFUNCTION("""COMPUTED_VALUE"""),"Uncle Sams Cider (5/13/2022)")</f>
        <v>Uncle Sams Cider (5/13/2022)</v>
      </c>
      <c r="H1092" s="19"/>
    </row>
    <row r="1093">
      <c r="A1093" s="9"/>
      <c r="B1093" s="15"/>
      <c r="C1093" s="9">
        <f>IFERROR(__xludf.DUMMYFUNCTION("""COMPUTED_VALUE"""),44785.2299826736)</f>
        <v>44785.22998</v>
      </c>
      <c r="D1093" s="15">
        <f>IFERROR(__xludf.DUMMYFUNCTION("""COMPUTED_VALUE"""),1.004)</f>
        <v>1.004</v>
      </c>
      <c r="E1093" s="16">
        <f>IFERROR(__xludf.DUMMYFUNCTION("""COMPUTED_VALUE"""),66.0)</f>
        <v>66</v>
      </c>
      <c r="F1093" s="19" t="str">
        <f>IFERROR(__xludf.DUMMYFUNCTION("""COMPUTED_VALUE"""),"BLACK")</f>
        <v>BLACK</v>
      </c>
      <c r="G1093" s="20" t="str">
        <f>IFERROR(__xludf.DUMMYFUNCTION("""COMPUTED_VALUE"""),"Uncle Sams Cider (5/13/2022)")</f>
        <v>Uncle Sams Cider (5/13/2022)</v>
      </c>
      <c r="H1093" s="19"/>
    </row>
    <row r="1094">
      <c r="A1094" s="9"/>
      <c r="B1094" s="15"/>
      <c r="C1094" s="9">
        <f>IFERROR(__xludf.DUMMYFUNCTION("""COMPUTED_VALUE"""),44785.2195612384)</f>
        <v>44785.21956</v>
      </c>
      <c r="D1094" s="15">
        <f>IFERROR(__xludf.DUMMYFUNCTION("""COMPUTED_VALUE"""),1.004)</f>
        <v>1.004</v>
      </c>
      <c r="E1094" s="16">
        <f>IFERROR(__xludf.DUMMYFUNCTION("""COMPUTED_VALUE"""),66.0)</f>
        <v>66</v>
      </c>
      <c r="F1094" s="19" t="str">
        <f>IFERROR(__xludf.DUMMYFUNCTION("""COMPUTED_VALUE"""),"BLACK")</f>
        <v>BLACK</v>
      </c>
      <c r="G1094" s="20" t="str">
        <f>IFERROR(__xludf.DUMMYFUNCTION("""COMPUTED_VALUE"""),"Uncle Sams Cider (5/13/2022)")</f>
        <v>Uncle Sams Cider (5/13/2022)</v>
      </c>
      <c r="H1094" s="19"/>
    </row>
    <row r="1095">
      <c r="A1095" s="9"/>
      <c r="B1095" s="15"/>
      <c r="C1095" s="9">
        <f>IFERROR(__xludf.DUMMYFUNCTION("""COMPUTED_VALUE"""),44785.2091390277)</f>
        <v>44785.20914</v>
      </c>
      <c r="D1095" s="15">
        <f>IFERROR(__xludf.DUMMYFUNCTION("""COMPUTED_VALUE"""),1.004)</f>
        <v>1.004</v>
      </c>
      <c r="E1095" s="16">
        <f>IFERROR(__xludf.DUMMYFUNCTION("""COMPUTED_VALUE"""),66.0)</f>
        <v>66</v>
      </c>
      <c r="F1095" s="19" t="str">
        <f>IFERROR(__xludf.DUMMYFUNCTION("""COMPUTED_VALUE"""),"BLACK")</f>
        <v>BLACK</v>
      </c>
      <c r="G1095" s="20" t="str">
        <f>IFERROR(__xludf.DUMMYFUNCTION("""COMPUTED_VALUE"""),"Uncle Sams Cider (5/13/2022)")</f>
        <v>Uncle Sams Cider (5/13/2022)</v>
      </c>
      <c r="H1095" s="19"/>
    </row>
    <row r="1096">
      <c r="A1096" s="9"/>
      <c r="B1096" s="15"/>
      <c r="C1096" s="9">
        <f>IFERROR(__xludf.DUMMYFUNCTION("""COMPUTED_VALUE"""),44785.1987073148)</f>
        <v>44785.19871</v>
      </c>
      <c r="D1096" s="15">
        <f>IFERROR(__xludf.DUMMYFUNCTION("""COMPUTED_VALUE"""),1.004)</f>
        <v>1.004</v>
      </c>
      <c r="E1096" s="16">
        <f>IFERROR(__xludf.DUMMYFUNCTION("""COMPUTED_VALUE"""),66.0)</f>
        <v>66</v>
      </c>
      <c r="F1096" s="19" t="str">
        <f>IFERROR(__xludf.DUMMYFUNCTION("""COMPUTED_VALUE"""),"BLACK")</f>
        <v>BLACK</v>
      </c>
      <c r="G1096" s="20" t="str">
        <f>IFERROR(__xludf.DUMMYFUNCTION("""COMPUTED_VALUE"""),"Uncle Sams Cider (5/13/2022)")</f>
        <v>Uncle Sams Cider (5/13/2022)</v>
      </c>
      <c r="H1096" s="19"/>
    </row>
    <row r="1097">
      <c r="A1097" s="9"/>
      <c r="B1097" s="15"/>
      <c r="C1097" s="9">
        <f>IFERROR(__xludf.DUMMYFUNCTION("""COMPUTED_VALUE"""),44785.1882868981)</f>
        <v>44785.18829</v>
      </c>
      <c r="D1097" s="15">
        <f>IFERROR(__xludf.DUMMYFUNCTION("""COMPUTED_VALUE"""),1.004)</f>
        <v>1.004</v>
      </c>
      <c r="E1097" s="16">
        <f>IFERROR(__xludf.DUMMYFUNCTION("""COMPUTED_VALUE"""),66.0)</f>
        <v>66</v>
      </c>
      <c r="F1097" s="19" t="str">
        <f>IFERROR(__xludf.DUMMYFUNCTION("""COMPUTED_VALUE"""),"BLACK")</f>
        <v>BLACK</v>
      </c>
      <c r="G1097" s="20" t="str">
        <f>IFERROR(__xludf.DUMMYFUNCTION("""COMPUTED_VALUE"""),"Uncle Sams Cider (5/13/2022)")</f>
        <v>Uncle Sams Cider (5/13/2022)</v>
      </c>
      <c r="H1097" s="19"/>
    </row>
    <row r="1098">
      <c r="A1098" s="9"/>
      <c r="B1098" s="15"/>
      <c r="C1098" s="9">
        <f>IFERROR(__xludf.DUMMYFUNCTION("""COMPUTED_VALUE"""),44785.1778647453)</f>
        <v>44785.17786</v>
      </c>
      <c r="D1098" s="15">
        <f>IFERROR(__xludf.DUMMYFUNCTION("""COMPUTED_VALUE"""),1.004)</f>
        <v>1.004</v>
      </c>
      <c r="E1098" s="16">
        <f>IFERROR(__xludf.DUMMYFUNCTION("""COMPUTED_VALUE"""),66.0)</f>
        <v>66</v>
      </c>
      <c r="F1098" s="19" t="str">
        <f>IFERROR(__xludf.DUMMYFUNCTION("""COMPUTED_VALUE"""),"BLACK")</f>
        <v>BLACK</v>
      </c>
      <c r="G1098" s="20" t="str">
        <f>IFERROR(__xludf.DUMMYFUNCTION("""COMPUTED_VALUE"""),"Uncle Sams Cider (5/13/2022)")</f>
        <v>Uncle Sams Cider (5/13/2022)</v>
      </c>
      <c r="H1098" s="19"/>
    </row>
    <row r="1099">
      <c r="A1099" s="9"/>
      <c r="B1099" s="15"/>
      <c r="C1099" s="9">
        <f>IFERROR(__xludf.DUMMYFUNCTION("""COMPUTED_VALUE"""),44785.1674317939)</f>
        <v>44785.16743</v>
      </c>
      <c r="D1099" s="15">
        <f>IFERROR(__xludf.DUMMYFUNCTION("""COMPUTED_VALUE"""),1.004)</f>
        <v>1.004</v>
      </c>
      <c r="E1099" s="16">
        <f>IFERROR(__xludf.DUMMYFUNCTION("""COMPUTED_VALUE"""),66.0)</f>
        <v>66</v>
      </c>
      <c r="F1099" s="19" t="str">
        <f>IFERROR(__xludf.DUMMYFUNCTION("""COMPUTED_VALUE"""),"BLACK")</f>
        <v>BLACK</v>
      </c>
      <c r="G1099" s="20" t="str">
        <f>IFERROR(__xludf.DUMMYFUNCTION("""COMPUTED_VALUE"""),"Uncle Sams Cider (5/13/2022)")</f>
        <v>Uncle Sams Cider (5/13/2022)</v>
      </c>
      <c r="H1099" s="19"/>
    </row>
    <row r="1100">
      <c r="A1100" s="9"/>
      <c r="B1100" s="15"/>
      <c r="C1100" s="9">
        <f>IFERROR(__xludf.DUMMYFUNCTION("""COMPUTED_VALUE"""),44785.1570096064)</f>
        <v>44785.15701</v>
      </c>
      <c r="D1100" s="15">
        <f>IFERROR(__xludf.DUMMYFUNCTION("""COMPUTED_VALUE"""),1.004)</f>
        <v>1.004</v>
      </c>
      <c r="E1100" s="16">
        <f>IFERROR(__xludf.DUMMYFUNCTION("""COMPUTED_VALUE"""),66.0)</f>
        <v>66</v>
      </c>
      <c r="F1100" s="19" t="str">
        <f>IFERROR(__xludf.DUMMYFUNCTION("""COMPUTED_VALUE"""),"BLACK")</f>
        <v>BLACK</v>
      </c>
      <c r="G1100" s="20" t="str">
        <f>IFERROR(__xludf.DUMMYFUNCTION("""COMPUTED_VALUE"""),"Uncle Sams Cider (5/13/2022)")</f>
        <v>Uncle Sams Cider (5/13/2022)</v>
      </c>
      <c r="H1100" s="19"/>
    </row>
    <row r="1101">
      <c r="A1101" s="9"/>
      <c r="B1101" s="15"/>
      <c r="C1101" s="9">
        <f>IFERROR(__xludf.DUMMYFUNCTION("""COMPUTED_VALUE"""),44785.1465886574)</f>
        <v>44785.14659</v>
      </c>
      <c r="D1101" s="15">
        <f>IFERROR(__xludf.DUMMYFUNCTION("""COMPUTED_VALUE"""),1.004)</f>
        <v>1.004</v>
      </c>
      <c r="E1101" s="16">
        <f>IFERROR(__xludf.DUMMYFUNCTION("""COMPUTED_VALUE"""),66.0)</f>
        <v>66</v>
      </c>
      <c r="F1101" s="19" t="str">
        <f>IFERROR(__xludf.DUMMYFUNCTION("""COMPUTED_VALUE"""),"BLACK")</f>
        <v>BLACK</v>
      </c>
      <c r="G1101" s="20" t="str">
        <f>IFERROR(__xludf.DUMMYFUNCTION("""COMPUTED_VALUE"""),"Uncle Sams Cider (5/13/2022)")</f>
        <v>Uncle Sams Cider (5/13/2022)</v>
      </c>
      <c r="H1101" s="19"/>
    </row>
    <row r="1102">
      <c r="A1102" s="9"/>
      <c r="B1102" s="15"/>
      <c r="C1102" s="9">
        <f>IFERROR(__xludf.DUMMYFUNCTION("""COMPUTED_VALUE"""),44785.1361686111)</f>
        <v>44785.13617</v>
      </c>
      <c r="D1102" s="15">
        <f>IFERROR(__xludf.DUMMYFUNCTION("""COMPUTED_VALUE"""),1.004)</f>
        <v>1.004</v>
      </c>
      <c r="E1102" s="16">
        <f>IFERROR(__xludf.DUMMYFUNCTION("""COMPUTED_VALUE"""),66.0)</f>
        <v>66</v>
      </c>
      <c r="F1102" s="19" t="str">
        <f>IFERROR(__xludf.DUMMYFUNCTION("""COMPUTED_VALUE"""),"BLACK")</f>
        <v>BLACK</v>
      </c>
      <c r="G1102" s="20" t="str">
        <f>IFERROR(__xludf.DUMMYFUNCTION("""COMPUTED_VALUE"""),"Uncle Sams Cider (5/13/2022)")</f>
        <v>Uncle Sams Cider (5/13/2022)</v>
      </c>
      <c r="H1102" s="19"/>
    </row>
    <row r="1103">
      <c r="A1103" s="9"/>
      <c r="B1103" s="15"/>
      <c r="C1103" s="9">
        <f>IFERROR(__xludf.DUMMYFUNCTION("""COMPUTED_VALUE"""),44785.125747662)</f>
        <v>44785.12575</v>
      </c>
      <c r="D1103" s="15">
        <f>IFERROR(__xludf.DUMMYFUNCTION("""COMPUTED_VALUE"""),1.004)</f>
        <v>1.004</v>
      </c>
      <c r="E1103" s="16">
        <f>IFERROR(__xludf.DUMMYFUNCTION("""COMPUTED_VALUE"""),66.0)</f>
        <v>66</v>
      </c>
      <c r="F1103" s="19" t="str">
        <f>IFERROR(__xludf.DUMMYFUNCTION("""COMPUTED_VALUE"""),"BLACK")</f>
        <v>BLACK</v>
      </c>
      <c r="G1103" s="20" t="str">
        <f>IFERROR(__xludf.DUMMYFUNCTION("""COMPUTED_VALUE"""),"Uncle Sams Cider (5/13/2022)")</f>
        <v>Uncle Sams Cider (5/13/2022)</v>
      </c>
      <c r="H1103" s="19"/>
    </row>
    <row r="1104">
      <c r="A1104" s="9"/>
      <c r="B1104" s="15"/>
      <c r="C1104" s="9">
        <f>IFERROR(__xludf.DUMMYFUNCTION("""COMPUTED_VALUE"""),44785.115327662)</f>
        <v>44785.11533</v>
      </c>
      <c r="D1104" s="15">
        <f>IFERROR(__xludf.DUMMYFUNCTION("""COMPUTED_VALUE"""),1.004)</f>
        <v>1.004</v>
      </c>
      <c r="E1104" s="16">
        <f>IFERROR(__xludf.DUMMYFUNCTION("""COMPUTED_VALUE"""),66.0)</f>
        <v>66</v>
      </c>
      <c r="F1104" s="19" t="str">
        <f>IFERROR(__xludf.DUMMYFUNCTION("""COMPUTED_VALUE"""),"BLACK")</f>
        <v>BLACK</v>
      </c>
      <c r="G1104" s="20" t="str">
        <f>IFERROR(__xludf.DUMMYFUNCTION("""COMPUTED_VALUE"""),"Uncle Sams Cider (5/13/2022)")</f>
        <v>Uncle Sams Cider (5/13/2022)</v>
      </c>
      <c r="H1104" s="19"/>
    </row>
    <row r="1105">
      <c r="A1105" s="9"/>
      <c r="B1105" s="15"/>
      <c r="C1105" s="9">
        <f>IFERROR(__xludf.DUMMYFUNCTION("""COMPUTED_VALUE"""),44785.1049055439)</f>
        <v>44785.10491</v>
      </c>
      <c r="D1105" s="15">
        <f>IFERROR(__xludf.DUMMYFUNCTION("""COMPUTED_VALUE"""),1.004)</f>
        <v>1.004</v>
      </c>
      <c r="E1105" s="16">
        <f>IFERROR(__xludf.DUMMYFUNCTION("""COMPUTED_VALUE"""),66.0)</f>
        <v>66</v>
      </c>
      <c r="F1105" s="19" t="str">
        <f>IFERROR(__xludf.DUMMYFUNCTION("""COMPUTED_VALUE"""),"BLACK")</f>
        <v>BLACK</v>
      </c>
      <c r="G1105" s="20" t="str">
        <f>IFERROR(__xludf.DUMMYFUNCTION("""COMPUTED_VALUE"""),"Uncle Sams Cider (5/13/2022)")</f>
        <v>Uncle Sams Cider (5/13/2022)</v>
      </c>
      <c r="H1105" s="19"/>
    </row>
    <row r="1106">
      <c r="A1106" s="9"/>
      <c r="B1106" s="15"/>
      <c r="C1106" s="9">
        <f>IFERROR(__xludf.DUMMYFUNCTION("""COMPUTED_VALUE"""),44785.094483368)</f>
        <v>44785.09448</v>
      </c>
      <c r="D1106" s="15">
        <f>IFERROR(__xludf.DUMMYFUNCTION("""COMPUTED_VALUE"""),1.004)</f>
        <v>1.004</v>
      </c>
      <c r="E1106" s="16">
        <f>IFERROR(__xludf.DUMMYFUNCTION("""COMPUTED_VALUE"""),66.0)</f>
        <v>66</v>
      </c>
      <c r="F1106" s="19" t="str">
        <f>IFERROR(__xludf.DUMMYFUNCTION("""COMPUTED_VALUE"""),"BLACK")</f>
        <v>BLACK</v>
      </c>
      <c r="G1106" s="20" t="str">
        <f>IFERROR(__xludf.DUMMYFUNCTION("""COMPUTED_VALUE"""),"Uncle Sams Cider (5/13/2022)")</f>
        <v>Uncle Sams Cider (5/13/2022)</v>
      </c>
      <c r="H1106" s="19"/>
    </row>
    <row r="1107">
      <c r="A1107" s="9"/>
      <c r="B1107" s="15"/>
      <c r="C1107" s="9">
        <f>IFERROR(__xludf.DUMMYFUNCTION("""COMPUTED_VALUE"""),44785.0840386921)</f>
        <v>44785.08404</v>
      </c>
      <c r="D1107" s="15">
        <f>IFERROR(__xludf.DUMMYFUNCTION("""COMPUTED_VALUE"""),1.004)</f>
        <v>1.004</v>
      </c>
      <c r="E1107" s="16">
        <f>IFERROR(__xludf.DUMMYFUNCTION("""COMPUTED_VALUE"""),66.0)</f>
        <v>66</v>
      </c>
      <c r="F1107" s="19" t="str">
        <f>IFERROR(__xludf.DUMMYFUNCTION("""COMPUTED_VALUE"""),"BLACK")</f>
        <v>BLACK</v>
      </c>
      <c r="G1107" s="20" t="str">
        <f>IFERROR(__xludf.DUMMYFUNCTION("""COMPUTED_VALUE"""),"Uncle Sams Cider (5/13/2022)")</f>
        <v>Uncle Sams Cider (5/13/2022)</v>
      </c>
      <c r="H1107" s="19"/>
    </row>
    <row r="1108">
      <c r="A1108" s="9"/>
      <c r="B1108" s="15"/>
      <c r="C1108" s="9">
        <f>IFERROR(__xludf.DUMMYFUNCTION("""COMPUTED_VALUE"""),44785.0736166551)</f>
        <v>44785.07362</v>
      </c>
      <c r="D1108" s="15">
        <f>IFERROR(__xludf.DUMMYFUNCTION("""COMPUTED_VALUE"""),1.004)</f>
        <v>1.004</v>
      </c>
      <c r="E1108" s="16">
        <f>IFERROR(__xludf.DUMMYFUNCTION("""COMPUTED_VALUE"""),66.0)</f>
        <v>66</v>
      </c>
      <c r="F1108" s="19" t="str">
        <f>IFERROR(__xludf.DUMMYFUNCTION("""COMPUTED_VALUE"""),"BLACK")</f>
        <v>BLACK</v>
      </c>
      <c r="G1108" s="20" t="str">
        <f>IFERROR(__xludf.DUMMYFUNCTION("""COMPUTED_VALUE"""),"Uncle Sams Cider (5/13/2022)")</f>
        <v>Uncle Sams Cider (5/13/2022)</v>
      </c>
      <c r="H1108" s="19"/>
    </row>
    <row r="1109">
      <c r="A1109" s="9"/>
      <c r="B1109" s="15"/>
      <c r="C1109" s="9">
        <f>IFERROR(__xludf.DUMMYFUNCTION("""COMPUTED_VALUE"""),44785.0631954629)</f>
        <v>44785.0632</v>
      </c>
      <c r="D1109" s="15">
        <f>IFERROR(__xludf.DUMMYFUNCTION("""COMPUTED_VALUE"""),1.004)</f>
        <v>1.004</v>
      </c>
      <c r="E1109" s="16">
        <f>IFERROR(__xludf.DUMMYFUNCTION("""COMPUTED_VALUE"""),66.0)</f>
        <v>66</v>
      </c>
      <c r="F1109" s="19" t="str">
        <f>IFERROR(__xludf.DUMMYFUNCTION("""COMPUTED_VALUE"""),"BLACK")</f>
        <v>BLACK</v>
      </c>
      <c r="G1109" s="20" t="str">
        <f>IFERROR(__xludf.DUMMYFUNCTION("""COMPUTED_VALUE"""),"Uncle Sams Cider (5/13/2022)")</f>
        <v>Uncle Sams Cider (5/13/2022)</v>
      </c>
      <c r="H1109" s="19"/>
    </row>
    <row r="1110">
      <c r="A1110" s="9"/>
      <c r="B1110" s="15"/>
      <c r="C1110" s="9">
        <f>IFERROR(__xludf.DUMMYFUNCTION("""COMPUTED_VALUE"""),44785.0527515162)</f>
        <v>44785.05275</v>
      </c>
      <c r="D1110" s="15">
        <f>IFERROR(__xludf.DUMMYFUNCTION("""COMPUTED_VALUE"""),1.004)</f>
        <v>1.004</v>
      </c>
      <c r="E1110" s="16">
        <f>IFERROR(__xludf.DUMMYFUNCTION("""COMPUTED_VALUE"""),66.0)</f>
        <v>66</v>
      </c>
      <c r="F1110" s="19" t="str">
        <f>IFERROR(__xludf.DUMMYFUNCTION("""COMPUTED_VALUE"""),"BLACK")</f>
        <v>BLACK</v>
      </c>
      <c r="G1110" s="20" t="str">
        <f>IFERROR(__xludf.DUMMYFUNCTION("""COMPUTED_VALUE"""),"Uncle Sams Cider (5/13/2022)")</f>
        <v>Uncle Sams Cider (5/13/2022)</v>
      </c>
      <c r="H1110" s="19"/>
    </row>
    <row r="1111">
      <c r="A1111" s="9"/>
      <c r="B1111" s="15"/>
      <c r="C1111" s="9">
        <f>IFERROR(__xludf.DUMMYFUNCTION("""COMPUTED_VALUE"""),44785.0423289351)</f>
        <v>44785.04233</v>
      </c>
      <c r="D1111" s="15">
        <f>IFERROR(__xludf.DUMMYFUNCTION("""COMPUTED_VALUE"""),1.004)</f>
        <v>1.004</v>
      </c>
      <c r="E1111" s="16">
        <f>IFERROR(__xludf.DUMMYFUNCTION("""COMPUTED_VALUE"""),66.0)</f>
        <v>66</v>
      </c>
      <c r="F1111" s="19" t="str">
        <f>IFERROR(__xludf.DUMMYFUNCTION("""COMPUTED_VALUE"""),"BLACK")</f>
        <v>BLACK</v>
      </c>
      <c r="G1111" s="20" t="str">
        <f>IFERROR(__xludf.DUMMYFUNCTION("""COMPUTED_VALUE"""),"Uncle Sams Cider (5/13/2022)")</f>
        <v>Uncle Sams Cider (5/13/2022)</v>
      </c>
      <c r="H1111" s="19"/>
    </row>
    <row r="1112">
      <c r="A1112" s="9"/>
      <c r="B1112" s="15"/>
      <c r="C1112" s="9">
        <f>IFERROR(__xludf.DUMMYFUNCTION("""COMPUTED_VALUE"""),44785.0318965625)</f>
        <v>44785.0319</v>
      </c>
      <c r="D1112" s="15">
        <f>IFERROR(__xludf.DUMMYFUNCTION("""COMPUTED_VALUE"""),1.004)</f>
        <v>1.004</v>
      </c>
      <c r="E1112" s="16">
        <f>IFERROR(__xludf.DUMMYFUNCTION("""COMPUTED_VALUE"""),66.0)</f>
        <v>66</v>
      </c>
      <c r="F1112" s="19" t="str">
        <f>IFERROR(__xludf.DUMMYFUNCTION("""COMPUTED_VALUE"""),"BLACK")</f>
        <v>BLACK</v>
      </c>
      <c r="G1112" s="20" t="str">
        <f>IFERROR(__xludf.DUMMYFUNCTION("""COMPUTED_VALUE"""),"Uncle Sams Cider (5/13/2022)")</f>
        <v>Uncle Sams Cider (5/13/2022)</v>
      </c>
      <c r="H1112" s="19"/>
    </row>
    <row r="1113">
      <c r="A1113" s="9"/>
      <c r="B1113" s="15"/>
      <c r="C1113" s="9">
        <f>IFERROR(__xludf.DUMMYFUNCTION("""COMPUTED_VALUE"""),44785.0214737384)</f>
        <v>44785.02147</v>
      </c>
      <c r="D1113" s="15">
        <f>IFERROR(__xludf.DUMMYFUNCTION("""COMPUTED_VALUE"""),1.004)</f>
        <v>1.004</v>
      </c>
      <c r="E1113" s="16">
        <f>IFERROR(__xludf.DUMMYFUNCTION("""COMPUTED_VALUE"""),66.0)</f>
        <v>66</v>
      </c>
      <c r="F1113" s="19" t="str">
        <f>IFERROR(__xludf.DUMMYFUNCTION("""COMPUTED_VALUE"""),"BLACK")</f>
        <v>BLACK</v>
      </c>
      <c r="G1113" s="20" t="str">
        <f>IFERROR(__xludf.DUMMYFUNCTION("""COMPUTED_VALUE"""),"Uncle Sams Cider (5/13/2022)")</f>
        <v>Uncle Sams Cider (5/13/2022)</v>
      </c>
      <c r="H1113" s="19"/>
    </row>
    <row r="1114">
      <c r="A1114" s="9"/>
      <c r="B1114" s="15"/>
      <c r="C1114" s="9">
        <f>IFERROR(__xludf.DUMMYFUNCTION("""COMPUTED_VALUE"""),44785.0110521527)</f>
        <v>44785.01105</v>
      </c>
      <c r="D1114" s="15">
        <f>IFERROR(__xludf.DUMMYFUNCTION("""COMPUTED_VALUE"""),1.004)</f>
        <v>1.004</v>
      </c>
      <c r="E1114" s="16">
        <f>IFERROR(__xludf.DUMMYFUNCTION("""COMPUTED_VALUE"""),66.0)</f>
        <v>66</v>
      </c>
      <c r="F1114" s="19" t="str">
        <f>IFERROR(__xludf.DUMMYFUNCTION("""COMPUTED_VALUE"""),"BLACK")</f>
        <v>BLACK</v>
      </c>
      <c r="G1114" s="20" t="str">
        <f>IFERROR(__xludf.DUMMYFUNCTION("""COMPUTED_VALUE"""),"Uncle Sams Cider (5/13/2022)")</f>
        <v>Uncle Sams Cider (5/13/2022)</v>
      </c>
      <c r="H1114" s="19"/>
    </row>
    <row r="1115">
      <c r="A1115" s="9"/>
      <c r="B1115" s="15"/>
      <c r="C1115" s="9">
        <f>IFERROR(__xludf.DUMMYFUNCTION("""COMPUTED_VALUE"""),44785.0006183217)</f>
        <v>44785.00062</v>
      </c>
      <c r="D1115" s="15">
        <f>IFERROR(__xludf.DUMMYFUNCTION("""COMPUTED_VALUE"""),1.004)</f>
        <v>1.004</v>
      </c>
      <c r="E1115" s="16">
        <f>IFERROR(__xludf.DUMMYFUNCTION("""COMPUTED_VALUE"""),66.0)</f>
        <v>66</v>
      </c>
      <c r="F1115" s="19" t="str">
        <f>IFERROR(__xludf.DUMMYFUNCTION("""COMPUTED_VALUE"""),"BLACK")</f>
        <v>BLACK</v>
      </c>
      <c r="G1115" s="20" t="str">
        <f>IFERROR(__xludf.DUMMYFUNCTION("""COMPUTED_VALUE"""),"Uncle Sams Cider (5/13/2022)")</f>
        <v>Uncle Sams Cider (5/13/2022)</v>
      </c>
      <c r="H1115" s="19"/>
    </row>
    <row r="1116">
      <c r="A1116" s="9"/>
      <c r="B1116" s="15"/>
      <c r="C1116" s="9">
        <f>IFERROR(__xludf.DUMMYFUNCTION("""COMPUTED_VALUE"""),44784.990184456)</f>
        <v>44784.99018</v>
      </c>
      <c r="D1116" s="15">
        <f>IFERROR(__xludf.DUMMYFUNCTION("""COMPUTED_VALUE"""),1.004)</f>
        <v>1.004</v>
      </c>
      <c r="E1116" s="16">
        <f>IFERROR(__xludf.DUMMYFUNCTION("""COMPUTED_VALUE"""),66.0)</f>
        <v>66</v>
      </c>
      <c r="F1116" s="19" t="str">
        <f>IFERROR(__xludf.DUMMYFUNCTION("""COMPUTED_VALUE"""),"BLACK")</f>
        <v>BLACK</v>
      </c>
      <c r="G1116" s="20" t="str">
        <f>IFERROR(__xludf.DUMMYFUNCTION("""COMPUTED_VALUE"""),"Uncle Sams Cider (5/13/2022)")</f>
        <v>Uncle Sams Cider (5/13/2022)</v>
      </c>
      <c r="H1116" s="19"/>
    </row>
    <row r="1117">
      <c r="A1117" s="9"/>
      <c r="B1117" s="15"/>
      <c r="C1117" s="9">
        <f>IFERROR(__xludf.DUMMYFUNCTION("""COMPUTED_VALUE"""),44784.979761956)</f>
        <v>44784.97976</v>
      </c>
      <c r="D1117" s="15">
        <f>IFERROR(__xludf.DUMMYFUNCTION("""COMPUTED_VALUE"""),1.003)</f>
        <v>1.003</v>
      </c>
      <c r="E1117" s="16">
        <f>IFERROR(__xludf.DUMMYFUNCTION("""COMPUTED_VALUE"""),66.0)</f>
        <v>66</v>
      </c>
      <c r="F1117" s="19" t="str">
        <f>IFERROR(__xludf.DUMMYFUNCTION("""COMPUTED_VALUE"""),"BLACK")</f>
        <v>BLACK</v>
      </c>
      <c r="G1117" s="20" t="str">
        <f>IFERROR(__xludf.DUMMYFUNCTION("""COMPUTED_VALUE"""),"Uncle Sams Cider (5/13/2022)")</f>
        <v>Uncle Sams Cider (5/13/2022)</v>
      </c>
      <c r="H1117" s="19"/>
    </row>
    <row r="1118">
      <c r="A1118" s="9"/>
      <c r="B1118" s="15"/>
      <c r="C1118" s="9">
        <f>IFERROR(__xludf.DUMMYFUNCTION("""COMPUTED_VALUE"""),44784.9693432754)</f>
        <v>44784.96934</v>
      </c>
      <c r="D1118" s="15">
        <f>IFERROR(__xludf.DUMMYFUNCTION("""COMPUTED_VALUE"""),1.003)</f>
        <v>1.003</v>
      </c>
      <c r="E1118" s="16">
        <f>IFERROR(__xludf.DUMMYFUNCTION("""COMPUTED_VALUE"""),67.0)</f>
        <v>67</v>
      </c>
      <c r="F1118" s="19" t="str">
        <f>IFERROR(__xludf.DUMMYFUNCTION("""COMPUTED_VALUE"""),"BLACK")</f>
        <v>BLACK</v>
      </c>
      <c r="G1118" s="20" t="str">
        <f>IFERROR(__xludf.DUMMYFUNCTION("""COMPUTED_VALUE"""),"Uncle Sams Cider (5/13/2022)")</f>
        <v>Uncle Sams Cider (5/13/2022)</v>
      </c>
      <c r="H1118" s="19"/>
    </row>
    <row r="1119">
      <c r="A1119" s="9"/>
      <c r="B1119" s="15"/>
      <c r="C1119" s="9">
        <f>IFERROR(__xludf.DUMMYFUNCTION("""COMPUTED_VALUE"""),44784.9589226967)</f>
        <v>44784.95892</v>
      </c>
      <c r="D1119" s="15">
        <f>IFERROR(__xludf.DUMMYFUNCTION("""COMPUTED_VALUE"""),1.003)</f>
        <v>1.003</v>
      </c>
      <c r="E1119" s="16">
        <f>IFERROR(__xludf.DUMMYFUNCTION("""COMPUTED_VALUE"""),68.0)</f>
        <v>68</v>
      </c>
      <c r="F1119" s="19" t="str">
        <f>IFERROR(__xludf.DUMMYFUNCTION("""COMPUTED_VALUE"""),"BLACK")</f>
        <v>BLACK</v>
      </c>
      <c r="G1119" s="20" t="str">
        <f>IFERROR(__xludf.DUMMYFUNCTION("""COMPUTED_VALUE"""),"Uncle Sams Cider (5/13/2022)")</f>
        <v>Uncle Sams Cider (5/13/2022)</v>
      </c>
      <c r="H1119" s="19"/>
    </row>
    <row r="1120">
      <c r="A1120" s="9"/>
      <c r="B1120" s="15"/>
      <c r="C1120" s="9">
        <f>IFERROR(__xludf.DUMMYFUNCTION("""COMPUTED_VALUE"""),44784.948489699)</f>
        <v>44784.94849</v>
      </c>
      <c r="D1120" s="15">
        <f>IFERROR(__xludf.DUMMYFUNCTION("""COMPUTED_VALUE"""),1.003)</f>
        <v>1.003</v>
      </c>
      <c r="E1120" s="16">
        <f>IFERROR(__xludf.DUMMYFUNCTION("""COMPUTED_VALUE"""),68.0)</f>
        <v>68</v>
      </c>
      <c r="F1120" s="19" t="str">
        <f>IFERROR(__xludf.DUMMYFUNCTION("""COMPUTED_VALUE"""),"BLACK")</f>
        <v>BLACK</v>
      </c>
      <c r="G1120" s="20" t="str">
        <f>IFERROR(__xludf.DUMMYFUNCTION("""COMPUTED_VALUE"""),"Uncle Sams Cider (5/13/2022)")</f>
        <v>Uncle Sams Cider (5/13/2022)</v>
      </c>
      <c r="H1120" s="19"/>
    </row>
    <row r="1121">
      <c r="A1121" s="9"/>
      <c r="B1121" s="15"/>
      <c r="C1121" s="9">
        <f>IFERROR(__xludf.DUMMYFUNCTION("""COMPUTED_VALUE"""),44784.9380693171)</f>
        <v>44784.93807</v>
      </c>
      <c r="D1121" s="15">
        <f>IFERROR(__xludf.DUMMYFUNCTION("""COMPUTED_VALUE"""),1.004)</f>
        <v>1.004</v>
      </c>
      <c r="E1121" s="16">
        <f>IFERROR(__xludf.DUMMYFUNCTION("""COMPUTED_VALUE"""),69.0)</f>
        <v>69</v>
      </c>
      <c r="F1121" s="19" t="str">
        <f>IFERROR(__xludf.DUMMYFUNCTION("""COMPUTED_VALUE"""),"BLACK")</f>
        <v>BLACK</v>
      </c>
      <c r="G1121" s="20" t="str">
        <f>IFERROR(__xludf.DUMMYFUNCTION("""COMPUTED_VALUE"""),"Uncle Sams Cider (5/13/2022)")</f>
        <v>Uncle Sams Cider (5/13/2022)</v>
      </c>
      <c r="H1121" s="19"/>
    </row>
    <row r="1122">
      <c r="A1122" s="9"/>
      <c r="B1122" s="15"/>
      <c r="C1122" s="9">
        <f>IFERROR(__xludf.DUMMYFUNCTION("""COMPUTED_VALUE"""),44784.9276366782)</f>
        <v>44784.92764</v>
      </c>
      <c r="D1122" s="15">
        <f>IFERROR(__xludf.DUMMYFUNCTION("""COMPUTED_VALUE"""),1.004)</f>
        <v>1.004</v>
      </c>
      <c r="E1122" s="16">
        <f>IFERROR(__xludf.DUMMYFUNCTION("""COMPUTED_VALUE"""),70.0)</f>
        <v>70</v>
      </c>
      <c r="F1122" s="19" t="str">
        <f>IFERROR(__xludf.DUMMYFUNCTION("""COMPUTED_VALUE"""),"BLACK")</f>
        <v>BLACK</v>
      </c>
      <c r="G1122" s="20" t="str">
        <f>IFERROR(__xludf.DUMMYFUNCTION("""COMPUTED_VALUE"""),"Uncle Sams Cider (5/13/2022)")</f>
        <v>Uncle Sams Cider (5/13/2022)</v>
      </c>
      <c r="H1122" s="19"/>
    </row>
    <row r="1123">
      <c r="A1123" s="9"/>
      <c r="B1123" s="15"/>
      <c r="C1123" s="9">
        <f>IFERROR(__xludf.DUMMYFUNCTION("""COMPUTED_VALUE"""),44784.9172152199)</f>
        <v>44784.91722</v>
      </c>
      <c r="D1123" s="15">
        <f>IFERROR(__xludf.DUMMYFUNCTION("""COMPUTED_VALUE"""),1.004)</f>
        <v>1.004</v>
      </c>
      <c r="E1123" s="16">
        <f>IFERROR(__xludf.DUMMYFUNCTION("""COMPUTED_VALUE"""),70.0)</f>
        <v>70</v>
      </c>
      <c r="F1123" s="19" t="str">
        <f>IFERROR(__xludf.DUMMYFUNCTION("""COMPUTED_VALUE"""),"BLACK")</f>
        <v>BLACK</v>
      </c>
      <c r="G1123" s="20" t="str">
        <f>IFERROR(__xludf.DUMMYFUNCTION("""COMPUTED_VALUE"""),"Uncle Sams Cider (5/13/2022)")</f>
        <v>Uncle Sams Cider (5/13/2022)</v>
      </c>
      <c r="H1123" s="19"/>
    </row>
    <row r="1124">
      <c r="A1124" s="9"/>
      <c r="B1124" s="15"/>
      <c r="C1124" s="9">
        <f>IFERROR(__xludf.DUMMYFUNCTION("""COMPUTED_VALUE"""),44784.9067950347)</f>
        <v>44784.9068</v>
      </c>
      <c r="D1124" s="15">
        <f>IFERROR(__xludf.DUMMYFUNCTION("""COMPUTED_VALUE"""),1.004)</f>
        <v>1.004</v>
      </c>
      <c r="E1124" s="16">
        <f>IFERROR(__xludf.DUMMYFUNCTION("""COMPUTED_VALUE"""),70.0)</f>
        <v>70</v>
      </c>
      <c r="F1124" s="19" t="str">
        <f>IFERROR(__xludf.DUMMYFUNCTION("""COMPUTED_VALUE"""),"BLACK")</f>
        <v>BLACK</v>
      </c>
      <c r="G1124" s="20" t="str">
        <f>IFERROR(__xludf.DUMMYFUNCTION("""COMPUTED_VALUE"""),"Uncle Sams Cider (5/13/2022)")</f>
        <v>Uncle Sams Cider (5/13/2022)</v>
      </c>
      <c r="H1124" s="19"/>
    </row>
    <row r="1125">
      <c r="A1125" s="9"/>
      <c r="B1125" s="15"/>
      <c r="C1125" s="9">
        <f>IFERROR(__xludf.DUMMYFUNCTION("""COMPUTED_VALUE"""),44784.8963740162)</f>
        <v>44784.89637</v>
      </c>
      <c r="D1125" s="15">
        <f>IFERROR(__xludf.DUMMYFUNCTION("""COMPUTED_VALUE"""),1.004)</f>
        <v>1.004</v>
      </c>
      <c r="E1125" s="16">
        <f>IFERROR(__xludf.DUMMYFUNCTION("""COMPUTED_VALUE"""),70.0)</f>
        <v>70</v>
      </c>
      <c r="F1125" s="19" t="str">
        <f>IFERROR(__xludf.DUMMYFUNCTION("""COMPUTED_VALUE"""),"BLACK")</f>
        <v>BLACK</v>
      </c>
      <c r="G1125" s="20" t="str">
        <f>IFERROR(__xludf.DUMMYFUNCTION("""COMPUTED_VALUE"""),"Uncle Sams Cider (5/13/2022)")</f>
        <v>Uncle Sams Cider (5/13/2022)</v>
      </c>
      <c r="H1125" s="19"/>
    </row>
    <row r="1126">
      <c r="A1126" s="9"/>
      <c r="B1126" s="15"/>
      <c r="C1126" s="9">
        <f>IFERROR(__xludf.DUMMYFUNCTION("""COMPUTED_VALUE"""),44784.8859521759)</f>
        <v>44784.88595</v>
      </c>
      <c r="D1126" s="15">
        <f>IFERROR(__xludf.DUMMYFUNCTION("""COMPUTED_VALUE"""),1.004)</f>
        <v>1.004</v>
      </c>
      <c r="E1126" s="16">
        <f>IFERROR(__xludf.DUMMYFUNCTION("""COMPUTED_VALUE"""),70.0)</f>
        <v>70</v>
      </c>
      <c r="F1126" s="19" t="str">
        <f>IFERROR(__xludf.DUMMYFUNCTION("""COMPUTED_VALUE"""),"BLACK")</f>
        <v>BLACK</v>
      </c>
      <c r="G1126" s="20" t="str">
        <f>IFERROR(__xludf.DUMMYFUNCTION("""COMPUTED_VALUE"""),"Uncle Sams Cider (5/13/2022)")</f>
        <v>Uncle Sams Cider (5/13/2022)</v>
      </c>
      <c r="H1126" s="19"/>
    </row>
    <row r="1127">
      <c r="A1127" s="9"/>
      <c r="B1127" s="15"/>
      <c r="C1127" s="9">
        <f>IFERROR(__xludf.DUMMYFUNCTION("""COMPUTED_VALUE"""),44784.8755320601)</f>
        <v>44784.87553</v>
      </c>
      <c r="D1127" s="15">
        <f>IFERROR(__xludf.DUMMYFUNCTION("""COMPUTED_VALUE"""),1.004)</f>
        <v>1.004</v>
      </c>
      <c r="E1127" s="16">
        <f>IFERROR(__xludf.DUMMYFUNCTION("""COMPUTED_VALUE"""),70.0)</f>
        <v>70</v>
      </c>
      <c r="F1127" s="19" t="str">
        <f>IFERROR(__xludf.DUMMYFUNCTION("""COMPUTED_VALUE"""),"BLACK")</f>
        <v>BLACK</v>
      </c>
      <c r="G1127" s="20" t="str">
        <f>IFERROR(__xludf.DUMMYFUNCTION("""COMPUTED_VALUE"""),"Uncle Sams Cider (5/13/2022)")</f>
        <v>Uncle Sams Cider (5/13/2022)</v>
      </c>
      <c r="H1127" s="19"/>
    </row>
    <row r="1128">
      <c r="A1128" s="9"/>
      <c r="B1128" s="15"/>
      <c r="C1128" s="9">
        <f>IFERROR(__xludf.DUMMYFUNCTION("""COMPUTED_VALUE"""),44784.8651106481)</f>
        <v>44784.86511</v>
      </c>
      <c r="D1128" s="15">
        <f>IFERROR(__xludf.DUMMYFUNCTION("""COMPUTED_VALUE"""),1.004)</f>
        <v>1.004</v>
      </c>
      <c r="E1128" s="16">
        <f>IFERROR(__xludf.DUMMYFUNCTION("""COMPUTED_VALUE"""),70.0)</f>
        <v>70</v>
      </c>
      <c r="F1128" s="19" t="str">
        <f>IFERROR(__xludf.DUMMYFUNCTION("""COMPUTED_VALUE"""),"BLACK")</f>
        <v>BLACK</v>
      </c>
      <c r="G1128" s="20" t="str">
        <f>IFERROR(__xludf.DUMMYFUNCTION("""COMPUTED_VALUE"""),"Uncle Sams Cider (5/13/2022)")</f>
        <v>Uncle Sams Cider (5/13/2022)</v>
      </c>
      <c r="H1128" s="19"/>
    </row>
    <row r="1129">
      <c r="A1129" s="9"/>
      <c r="B1129" s="15"/>
      <c r="C1129" s="9">
        <f>IFERROR(__xludf.DUMMYFUNCTION("""COMPUTED_VALUE"""),44784.854679074)</f>
        <v>44784.85468</v>
      </c>
      <c r="D1129" s="15">
        <f>IFERROR(__xludf.DUMMYFUNCTION("""COMPUTED_VALUE"""),1.004)</f>
        <v>1.004</v>
      </c>
      <c r="E1129" s="16">
        <f>IFERROR(__xludf.DUMMYFUNCTION("""COMPUTED_VALUE"""),70.0)</f>
        <v>70</v>
      </c>
      <c r="F1129" s="19" t="str">
        <f>IFERROR(__xludf.DUMMYFUNCTION("""COMPUTED_VALUE"""),"BLACK")</f>
        <v>BLACK</v>
      </c>
      <c r="G1129" s="20" t="str">
        <f>IFERROR(__xludf.DUMMYFUNCTION("""COMPUTED_VALUE"""),"Uncle Sams Cider (5/13/2022)")</f>
        <v>Uncle Sams Cider (5/13/2022)</v>
      </c>
      <c r="H1129" s="19"/>
    </row>
    <row r="1130">
      <c r="A1130" s="9"/>
      <c r="B1130" s="15"/>
      <c r="C1130" s="9">
        <f>IFERROR(__xludf.DUMMYFUNCTION("""COMPUTED_VALUE"""),44784.8442577893)</f>
        <v>44784.84426</v>
      </c>
      <c r="D1130" s="15">
        <f>IFERROR(__xludf.DUMMYFUNCTION("""COMPUTED_VALUE"""),1.004)</f>
        <v>1.004</v>
      </c>
      <c r="E1130" s="16">
        <f>IFERROR(__xludf.DUMMYFUNCTION("""COMPUTED_VALUE"""),70.0)</f>
        <v>70</v>
      </c>
      <c r="F1130" s="19" t="str">
        <f>IFERROR(__xludf.DUMMYFUNCTION("""COMPUTED_VALUE"""),"BLACK")</f>
        <v>BLACK</v>
      </c>
      <c r="G1130" s="20" t="str">
        <f>IFERROR(__xludf.DUMMYFUNCTION("""COMPUTED_VALUE"""),"Uncle Sams Cider (5/13/2022)")</f>
        <v>Uncle Sams Cider (5/13/2022)</v>
      </c>
      <c r="H1130" s="19"/>
    </row>
    <row r="1131">
      <c r="A1131" s="9"/>
      <c r="B1131" s="15"/>
      <c r="C1131" s="9">
        <f>IFERROR(__xludf.DUMMYFUNCTION("""COMPUTED_VALUE"""),44784.8338375347)</f>
        <v>44784.83384</v>
      </c>
      <c r="D1131" s="15">
        <f>IFERROR(__xludf.DUMMYFUNCTION("""COMPUTED_VALUE"""),1.004)</f>
        <v>1.004</v>
      </c>
      <c r="E1131" s="16">
        <f>IFERROR(__xludf.DUMMYFUNCTION("""COMPUTED_VALUE"""),70.0)</f>
        <v>70</v>
      </c>
      <c r="F1131" s="19" t="str">
        <f>IFERROR(__xludf.DUMMYFUNCTION("""COMPUTED_VALUE"""),"BLACK")</f>
        <v>BLACK</v>
      </c>
      <c r="G1131" s="20" t="str">
        <f>IFERROR(__xludf.DUMMYFUNCTION("""COMPUTED_VALUE"""),"Uncle Sams Cider (5/13/2022)")</f>
        <v>Uncle Sams Cider (5/13/2022)</v>
      </c>
      <c r="H1131" s="19"/>
    </row>
    <row r="1132">
      <c r="A1132" s="9"/>
      <c r="B1132" s="15"/>
      <c r="C1132" s="9">
        <f>IFERROR(__xludf.DUMMYFUNCTION("""COMPUTED_VALUE"""),44784.8234152662)</f>
        <v>44784.82342</v>
      </c>
      <c r="D1132" s="15">
        <f>IFERROR(__xludf.DUMMYFUNCTION("""COMPUTED_VALUE"""),1.004)</f>
        <v>1.004</v>
      </c>
      <c r="E1132" s="16">
        <f>IFERROR(__xludf.DUMMYFUNCTION("""COMPUTED_VALUE"""),70.0)</f>
        <v>70</v>
      </c>
      <c r="F1132" s="19" t="str">
        <f>IFERROR(__xludf.DUMMYFUNCTION("""COMPUTED_VALUE"""),"BLACK")</f>
        <v>BLACK</v>
      </c>
      <c r="G1132" s="20" t="str">
        <f>IFERROR(__xludf.DUMMYFUNCTION("""COMPUTED_VALUE"""),"Uncle Sams Cider (5/13/2022)")</f>
        <v>Uncle Sams Cider (5/13/2022)</v>
      </c>
      <c r="H1132" s="19"/>
    </row>
    <row r="1133">
      <c r="A1133" s="9"/>
      <c r="B1133" s="15"/>
      <c r="C1133" s="9">
        <f>IFERROR(__xludf.DUMMYFUNCTION("""COMPUTED_VALUE"""),44784.8129604398)</f>
        <v>44784.81296</v>
      </c>
      <c r="D1133" s="15">
        <f>IFERROR(__xludf.DUMMYFUNCTION("""COMPUTED_VALUE"""),1.004)</f>
        <v>1.004</v>
      </c>
      <c r="E1133" s="16">
        <f>IFERROR(__xludf.DUMMYFUNCTION("""COMPUTED_VALUE"""),70.0)</f>
        <v>70</v>
      </c>
      <c r="F1133" s="19" t="str">
        <f>IFERROR(__xludf.DUMMYFUNCTION("""COMPUTED_VALUE"""),"BLACK")</f>
        <v>BLACK</v>
      </c>
      <c r="G1133" s="20" t="str">
        <f>IFERROR(__xludf.DUMMYFUNCTION("""COMPUTED_VALUE"""),"Uncle Sams Cider (5/13/2022)")</f>
        <v>Uncle Sams Cider (5/13/2022)</v>
      </c>
      <c r="H1133" s="19"/>
    </row>
    <row r="1134">
      <c r="A1134" s="9"/>
      <c r="B1134" s="15"/>
      <c r="C1134" s="9">
        <f>IFERROR(__xludf.DUMMYFUNCTION("""COMPUTED_VALUE"""),44784.8025396874)</f>
        <v>44784.80254</v>
      </c>
      <c r="D1134" s="15">
        <f>IFERROR(__xludf.DUMMYFUNCTION("""COMPUTED_VALUE"""),1.004)</f>
        <v>1.004</v>
      </c>
      <c r="E1134" s="16">
        <f>IFERROR(__xludf.DUMMYFUNCTION("""COMPUTED_VALUE"""),70.0)</f>
        <v>70</v>
      </c>
      <c r="F1134" s="19" t="str">
        <f>IFERROR(__xludf.DUMMYFUNCTION("""COMPUTED_VALUE"""),"BLACK")</f>
        <v>BLACK</v>
      </c>
      <c r="G1134" s="20" t="str">
        <f>IFERROR(__xludf.DUMMYFUNCTION("""COMPUTED_VALUE"""),"Uncle Sams Cider (5/13/2022)")</f>
        <v>Uncle Sams Cider (5/13/2022)</v>
      </c>
      <c r="H1134" s="19"/>
    </row>
    <row r="1135">
      <c r="A1135" s="9"/>
      <c r="B1135" s="15"/>
      <c r="C1135" s="9">
        <f>IFERROR(__xludf.DUMMYFUNCTION("""COMPUTED_VALUE"""),44784.7920949421)</f>
        <v>44784.79209</v>
      </c>
      <c r="D1135" s="15">
        <f>IFERROR(__xludf.DUMMYFUNCTION("""COMPUTED_VALUE"""),1.004)</f>
        <v>1.004</v>
      </c>
      <c r="E1135" s="16">
        <f>IFERROR(__xludf.DUMMYFUNCTION("""COMPUTED_VALUE"""),70.0)</f>
        <v>70</v>
      </c>
      <c r="F1135" s="19" t="str">
        <f>IFERROR(__xludf.DUMMYFUNCTION("""COMPUTED_VALUE"""),"BLACK")</f>
        <v>BLACK</v>
      </c>
      <c r="G1135" s="20" t="str">
        <f>IFERROR(__xludf.DUMMYFUNCTION("""COMPUTED_VALUE"""),"Uncle Sams Cider (5/13/2022)")</f>
        <v>Uncle Sams Cider (5/13/2022)</v>
      </c>
      <c r="H1135" s="19"/>
    </row>
    <row r="1136">
      <c r="A1136" s="9"/>
      <c r="B1136" s="15"/>
      <c r="C1136" s="9">
        <f>IFERROR(__xludf.DUMMYFUNCTION("""COMPUTED_VALUE"""),44784.7816731134)</f>
        <v>44784.78167</v>
      </c>
      <c r="D1136" s="15">
        <f>IFERROR(__xludf.DUMMYFUNCTION("""COMPUTED_VALUE"""),1.004)</f>
        <v>1.004</v>
      </c>
      <c r="E1136" s="16">
        <f>IFERROR(__xludf.DUMMYFUNCTION("""COMPUTED_VALUE"""),70.0)</f>
        <v>70</v>
      </c>
      <c r="F1136" s="19" t="str">
        <f>IFERROR(__xludf.DUMMYFUNCTION("""COMPUTED_VALUE"""),"BLACK")</f>
        <v>BLACK</v>
      </c>
      <c r="G1136" s="20" t="str">
        <f>IFERROR(__xludf.DUMMYFUNCTION("""COMPUTED_VALUE"""),"Uncle Sams Cider (5/13/2022)")</f>
        <v>Uncle Sams Cider (5/13/2022)</v>
      </c>
      <c r="H1136" s="19"/>
    </row>
    <row r="1137">
      <c r="A1137" s="9"/>
      <c r="B1137" s="15"/>
      <c r="C1137" s="9">
        <f>IFERROR(__xludf.DUMMYFUNCTION("""COMPUTED_VALUE"""),44784.7712515393)</f>
        <v>44784.77125</v>
      </c>
      <c r="D1137" s="15">
        <f>IFERROR(__xludf.DUMMYFUNCTION("""COMPUTED_VALUE"""),1.004)</f>
        <v>1.004</v>
      </c>
      <c r="E1137" s="16">
        <f>IFERROR(__xludf.DUMMYFUNCTION("""COMPUTED_VALUE"""),70.0)</f>
        <v>70</v>
      </c>
      <c r="F1137" s="19" t="str">
        <f>IFERROR(__xludf.DUMMYFUNCTION("""COMPUTED_VALUE"""),"BLACK")</f>
        <v>BLACK</v>
      </c>
      <c r="G1137" s="20" t="str">
        <f>IFERROR(__xludf.DUMMYFUNCTION("""COMPUTED_VALUE"""),"Uncle Sams Cider (5/13/2022)")</f>
        <v>Uncle Sams Cider (5/13/2022)</v>
      </c>
      <c r="H1137" s="19"/>
    </row>
    <row r="1138">
      <c r="A1138" s="9"/>
      <c r="B1138" s="15"/>
      <c r="C1138" s="9">
        <f>IFERROR(__xludf.DUMMYFUNCTION("""COMPUTED_VALUE"""),44784.7608183449)</f>
        <v>44784.76082</v>
      </c>
      <c r="D1138" s="15">
        <f>IFERROR(__xludf.DUMMYFUNCTION("""COMPUTED_VALUE"""),1.004)</f>
        <v>1.004</v>
      </c>
      <c r="E1138" s="16">
        <f>IFERROR(__xludf.DUMMYFUNCTION("""COMPUTED_VALUE"""),70.0)</f>
        <v>70</v>
      </c>
      <c r="F1138" s="19" t="str">
        <f>IFERROR(__xludf.DUMMYFUNCTION("""COMPUTED_VALUE"""),"BLACK")</f>
        <v>BLACK</v>
      </c>
      <c r="G1138" s="20" t="str">
        <f>IFERROR(__xludf.DUMMYFUNCTION("""COMPUTED_VALUE"""),"Uncle Sams Cider (5/13/2022)")</f>
        <v>Uncle Sams Cider (5/13/2022)</v>
      </c>
      <c r="H1138" s="19"/>
    </row>
    <row r="1139">
      <c r="A1139" s="9"/>
      <c r="B1139" s="15"/>
      <c r="C1139" s="9">
        <f>IFERROR(__xludf.DUMMYFUNCTION("""COMPUTED_VALUE"""),44784.7503968171)</f>
        <v>44784.7504</v>
      </c>
      <c r="D1139" s="15">
        <f>IFERROR(__xludf.DUMMYFUNCTION("""COMPUTED_VALUE"""),1.004)</f>
        <v>1.004</v>
      </c>
      <c r="E1139" s="16">
        <f>IFERROR(__xludf.DUMMYFUNCTION("""COMPUTED_VALUE"""),70.0)</f>
        <v>70</v>
      </c>
      <c r="F1139" s="19" t="str">
        <f>IFERROR(__xludf.DUMMYFUNCTION("""COMPUTED_VALUE"""),"BLACK")</f>
        <v>BLACK</v>
      </c>
      <c r="G1139" s="20" t="str">
        <f>IFERROR(__xludf.DUMMYFUNCTION("""COMPUTED_VALUE"""),"Uncle Sams Cider (5/13/2022)")</f>
        <v>Uncle Sams Cider (5/13/2022)</v>
      </c>
      <c r="H1139" s="19"/>
    </row>
    <row r="1140">
      <c r="A1140" s="9"/>
      <c r="B1140" s="15"/>
      <c r="C1140" s="9">
        <f>IFERROR(__xludf.DUMMYFUNCTION("""COMPUTED_VALUE"""),44784.7399760416)</f>
        <v>44784.73998</v>
      </c>
      <c r="D1140" s="15">
        <f>IFERROR(__xludf.DUMMYFUNCTION("""COMPUTED_VALUE"""),1.004)</f>
        <v>1.004</v>
      </c>
      <c r="E1140" s="16">
        <f>IFERROR(__xludf.DUMMYFUNCTION("""COMPUTED_VALUE"""),70.0)</f>
        <v>70</v>
      </c>
      <c r="F1140" s="19" t="str">
        <f>IFERROR(__xludf.DUMMYFUNCTION("""COMPUTED_VALUE"""),"BLACK")</f>
        <v>BLACK</v>
      </c>
      <c r="G1140" s="20" t="str">
        <f>IFERROR(__xludf.DUMMYFUNCTION("""COMPUTED_VALUE"""),"Uncle Sams Cider (5/13/2022)")</f>
        <v>Uncle Sams Cider (5/13/2022)</v>
      </c>
      <c r="H1140" s="19"/>
    </row>
    <row r="1141">
      <c r="A1141" s="9"/>
      <c r="B1141" s="15"/>
      <c r="C1141" s="9">
        <f>IFERROR(__xludf.DUMMYFUNCTION("""COMPUTED_VALUE"""),44784.7295550694)</f>
        <v>44784.72956</v>
      </c>
      <c r="D1141" s="15">
        <f>IFERROR(__xludf.DUMMYFUNCTION("""COMPUTED_VALUE"""),1.004)</f>
        <v>1.004</v>
      </c>
      <c r="E1141" s="16">
        <f>IFERROR(__xludf.DUMMYFUNCTION("""COMPUTED_VALUE"""),70.0)</f>
        <v>70</v>
      </c>
      <c r="F1141" s="19" t="str">
        <f>IFERROR(__xludf.DUMMYFUNCTION("""COMPUTED_VALUE"""),"BLACK")</f>
        <v>BLACK</v>
      </c>
      <c r="G1141" s="20" t="str">
        <f>IFERROR(__xludf.DUMMYFUNCTION("""COMPUTED_VALUE"""),"Uncle Sams Cider (5/13/2022)")</f>
        <v>Uncle Sams Cider (5/13/2022)</v>
      </c>
      <c r="H1141" s="19"/>
    </row>
    <row r="1142">
      <c r="A1142" s="9"/>
      <c r="B1142" s="15"/>
      <c r="C1142" s="9">
        <f>IFERROR(__xludf.DUMMYFUNCTION("""COMPUTED_VALUE"""),44784.7191219791)</f>
        <v>44784.71912</v>
      </c>
      <c r="D1142" s="15">
        <f>IFERROR(__xludf.DUMMYFUNCTION("""COMPUTED_VALUE"""),1.004)</f>
        <v>1.004</v>
      </c>
      <c r="E1142" s="16">
        <f>IFERROR(__xludf.DUMMYFUNCTION("""COMPUTED_VALUE"""),70.0)</f>
        <v>70</v>
      </c>
      <c r="F1142" s="19" t="str">
        <f>IFERROR(__xludf.DUMMYFUNCTION("""COMPUTED_VALUE"""),"BLACK")</f>
        <v>BLACK</v>
      </c>
      <c r="G1142" s="20" t="str">
        <f>IFERROR(__xludf.DUMMYFUNCTION("""COMPUTED_VALUE"""),"Uncle Sams Cider (5/13/2022)")</f>
        <v>Uncle Sams Cider (5/13/2022)</v>
      </c>
      <c r="H1142" s="19"/>
    </row>
    <row r="1143">
      <c r="A1143" s="9"/>
      <c r="B1143" s="15"/>
      <c r="C1143" s="9">
        <f>IFERROR(__xludf.DUMMYFUNCTION("""COMPUTED_VALUE"""),44784.7087008796)</f>
        <v>44784.7087</v>
      </c>
      <c r="D1143" s="15">
        <f>IFERROR(__xludf.DUMMYFUNCTION("""COMPUTED_VALUE"""),1.004)</f>
        <v>1.004</v>
      </c>
      <c r="E1143" s="16">
        <f>IFERROR(__xludf.DUMMYFUNCTION("""COMPUTED_VALUE"""),70.0)</f>
        <v>70</v>
      </c>
      <c r="F1143" s="19" t="str">
        <f>IFERROR(__xludf.DUMMYFUNCTION("""COMPUTED_VALUE"""),"BLACK")</f>
        <v>BLACK</v>
      </c>
      <c r="G1143" s="20" t="str">
        <f>IFERROR(__xludf.DUMMYFUNCTION("""COMPUTED_VALUE"""),"Uncle Sams Cider (5/13/2022)")</f>
        <v>Uncle Sams Cider (5/13/2022)</v>
      </c>
      <c r="H1143" s="19"/>
    </row>
    <row r="1144">
      <c r="A1144" s="9"/>
      <c r="B1144" s="15"/>
      <c r="C1144" s="9">
        <f>IFERROR(__xludf.DUMMYFUNCTION("""COMPUTED_VALUE"""),44784.6982787615)</f>
        <v>44784.69828</v>
      </c>
      <c r="D1144" s="15">
        <f>IFERROR(__xludf.DUMMYFUNCTION("""COMPUTED_VALUE"""),1.004)</f>
        <v>1.004</v>
      </c>
      <c r="E1144" s="16">
        <f>IFERROR(__xludf.DUMMYFUNCTION("""COMPUTED_VALUE"""),70.0)</f>
        <v>70</v>
      </c>
      <c r="F1144" s="19" t="str">
        <f>IFERROR(__xludf.DUMMYFUNCTION("""COMPUTED_VALUE"""),"BLACK")</f>
        <v>BLACK</v>
      </c>
      <c r="G1144" s="20" t="str">
        <f>IFERROR(__xludf.DUMMYFUNCTION("""COMPUTED_VALUE"""),"Uncle Sams Cider (5/13/2022)")</f>
        <v>Uncle Sams Cider (5/13/2022)</v>
      </c>
      <c r="H1144" s="19"/>
    </row>
    <row r="1145">
      <c r="A1145" s="9"/>
      <c r="B1145" s="15"/>
      <c r="C1145" s="9">
        <f>IFERROR(__xludf.DUMMYFUNCTION("""COMPUTED_VALUE"""),44784.6878579282)</f>
        <v>44784.68786</v>
      </c>
      <c r="D1145" s="15">
        <f>IFERROR(__xludf.DUMMYFUNCTION("""COMPUTED_VALUE"""),1.004)</f>
        <v>1.004</v>
      </c>
      <c r="E1145" s="16">
        <f>IFERROR(__xludf.DUMMYFUNCTION("""COMPUTED_VALUE"""),70.0)</f>
        <v>70</v>
      </c>
      <c r="F1145" s="19" t="str">
        <f>IFERROR(__xludf.DUMMYFUNCTION("""COMPUTED_VALUE"""),"BLACK")</f>
        <v>BLACK</v>
      </c>
      <c r="G1145" s="20" t="str">
        <f>IFERROR(__xludf.DUMMYFUNCTION("""COMPUTED_VALUE"""),"Uncle Sams Cider (5/13/2022)")</f>
        <v>Uncle Sams Cider (5/13/2022)</v>
      </c>
      <c r="H1145" s="19"/>
    </row>
    <row r="1146">
      <c r="A1146" s="9"/>
      <c r="B1146" s="15"/>
      <c r="C1146" s="9">
        <f>IFERROR(__xludf.DUMMYFUNCTION("""COMPUTED_VALUE"""),44784.6774360416)</f>
        <v>44784.67744</v>
      </c>
      <c r="D1146" s="15">
        <f>IFERROR(__xludf.DUMMYFUNCTION("""COMPUTED_VALUE"""),1.004)</f>
        <v>1.004</v>
      </c>
      <c r="E1146" s="16">
        <f>IFERROR(__xludf.DUMMYFUNCTION("""COMPUTED_VALUE"""),70.0)</f>
        <v>70</v>
      </c>
      <c r="F1146" s="19" t="str">
        <f>IFERROR(__xludf.DUMMYFUNCTION("""COMPUTED_VALUE"""),"BLACK")</f>
        <v>BLACK</v>
      </c>
      <c r="G1146" s="20" t="str">
        <f>IFERROR(__xludf.DUMMYFUNCTION("""COMPUTED_VALUE"""),"Uncle Sams Cider (5/13/2022)")</f>
        <v>Uncle Sams Cider (5/13/2022)</v>
      </c>
      <c r="H1146" s="19"/>
    </row>
    <row r="1147">
      <c r="A1147" s="9"/>
      <c r="B1147" s="15"/>
      <c r="C1147" s="9">
        <f>IFERROR(__xludf.DUMMYFUNCTION("""COMPUTED_VALUE"""),44784.6670162615)</f>
        <v>44784.66702</v>
      </c>
      <c r="D1147" s="15">
        <f>IFERROR(__xludf.DUMMYFUNCTION("""COMPUTED_VALUE"""),1.004)</f>
        <v>1.004</v>
      </c>
      <c r="E1147" s="16">
        <f>IFERROR(__xludf.DUMMYFUNCTION("""COMPUTED_VALUE"""),70.0)</f>
        <v>70</v>
      </c>
      <c r="F1147" s="19" t="str">
        <f>IFERROR(__xludf.DUMMYFUNCTION("""COMPUTED_VALUE"""),"BLACK")</f>
        <v>BLACK</v>
      </c>
      <c r="G1147" s="20" t="str">
        <f>IFERROR(__xludf.DUMMYFUNCTION("""COMPUTED_VALUE"""),"Uncle Sams Cider (5/13/2022)")</f>
        <v>Uncle Sams Cider (5/13/2022)</v>
      </c>
      <c r="H1147" s="19"/>
    </row>
    <row r="1148">
      <c r="A1148" s="9"/>
      <c r="B1148" s="15"/>
      <c r="C1148" s="9">
        <f>IFERROR(__xludf.DUMMYFUNCTION("""COMPUTED_VALUE"""),44784.6565953009)</f>
        <v>44784.6566</v>
      </c>
      <c r="D1148" s="15">
        <f>IFERROR(__xludf.DUMMYFUNCTION("""COMPUTED_VALUE"""),1.004)</f>
        <v>1.004</v>
      </c>
      <c r="E1148" s="16">
        <f>IFERROR(__xludf.DUMMYFUNCTION("""COMPUTED_VALUE"""),70.0)</f>
        <v>70</v>
      </c>
      <c r="F1148" s="19" t="str">
        <f>IFERROR(__xludf.DUMMYFUNCTION("""COMPUTED_VALUE"""),"BLACK")</f>
        <v>BLACK</v>
      </c>
      <c r="G1148" s="20" t="str">
        <f>IFERROR(__xludf.DUMMYFUNCTION("""COMPUTED_VALUE"""),"Uncle Sams Cider (5/13/2022)")</f>
        <v>Uncle Sams Cider (5/13/2022)</v>
      </c>
      <c r="H1148" s="19"/>
    </row>
    <row r="1149">
      <c r="A1149" s="9"/>
      <c r="B1149" s="15"/>
      <c r="C1149" s="9">
        <f>IFERROR(__xludf.DUMMYFUNCTION("""COMPUTED_VALUE"""),44784.6461741319)</f>
        <v>44784.64617</v>
      </c>
      <c r="D1149" s="15">
        <f>IFERROR(__xludf.DUMMYFUNCTION("""COMPUTED_VALUE"""),1.004)</f>
        <v>1.004</v>
      </c>
      <c r="E1149" s="16">
        <f>IFERROR(__xludf.DUMMYFUNCTION("""COMPUTED_VALUE"""),70.0)</f>
        <v>70</v>
      </c>
      <c r="F1149" s="19" t="str">
        <f>IFERROR(__xludf.DUMMYFUNCTION("""COMPUTED_VALUE"""),"BLACK")</f>
        <v>BLACK</v>
      </c>
      <c r="G1149" s="20" t="str">
        <f>IFERROR(__xludf.DUMMYFUNCTION("""COMPUTED_VALUE"""),"Uncle Sams Cider (5/13/2022)")</f>
        <v>Uncle Sams Cider (5/13/2022)</v>
      </c>
      <c r="H1149" s="19"/>
    </row>
    <row r="1150">
      <c r="A1150" s="9"/>
      <c r="B1150" s="15"/>
      <c r="C1150" s="9">
        <f>IFERROR(__xludf.DUMMYFUNCTION("""COMPUTED_VALUE"""),44784.6357526273)</f>
        <v>44784.63575</v>
      </c>
      <c r="D1150" s="15">
        <f>IFERROR(__xludf.DUMMYFUNCTION("""COMPUTED_VALUE"""),1.004)</f>
        <v>1.004</v>
      </c>
      <c r="E1150" s="16">
        <f>IFERROR(__xludf.DUMMYFUNCTION("""COMPUTED_VALUE"""),70.0)</f>
        <v>70</v>
      </c>
      <c r="F1150" s="19" t="str">
        <f>IFERROR(__xludf.DUMMYFUNCTION("""COMPUTED_VALUE"""),"BLACK")</f>
        <v>BLACK</v>
      </c>
      <c r="G1150" s="20" t="str">
        <f>IFERROR(__xludf.DUMMYFUNCTION("""COMPUTED_VALUE"""),"Uncle Sams Cider (5/13/2022)")</f>
        <v>Uncle Sams Cider (5/13/2022)</v>
      </c>
      <c r="H1150" s="19"/>
    </row>
    <row r="1151">
      <c r="A1151" s="9"/>
      <c r="B1151" s="15"/>
      <c r="C1151" s="9">
        <f>IFERROR(__xludf.DUMMYFUNCTION("""COMPUTED_VALUE"""),44784.6253102777)</f>
        <v>44784.62531</v>
      </c>
      <c r="D1151" s="15">
        <f>IFERROR(__xludf.DUMMYFUNCTION("""COMPUTED_VALUE"""),1.004)</f>
        <v>1.004</v>
      </c>
      <c r="E1151" s="16">
        <f>IFERROR(__xludf.DUMMYFUNCTION("""COMPUTED_VALUE"""),70.0)</f>
        <v>70</v>
      </c>
      <c r="F1151" s="19" t="str">
        <f>IFERROR(__xludf.DUMMYFUNCTION("""COMPUTED_VALUE"""),"BLACK")</f>
        <v>BLACK</v>
      </c>
      <c r="G1151" s="20" t="str">
        <f>IFERROR(__xludf.DUMMYFUNCTION("""COMPUTED_VALUE"""),"Uncle Sams Cider (5/13/2022)")</f>
        <v>Uncle Sams Cider (5/13/2022)</v>
      </c>
      <c r="H1151" s="19"/>
    </row>
    <row r="1152">
      <c r="A1152" s="9"/>
      <c r="B1152" s="15"/>
      <c r="C1152" s="9">
        <f>IFERROR(__xludf.DUMMYFUNCTION("""COMPUTED_VALUE"""),44784.6148766203)</f>
        <v>44784.61488</v>
      </c>
      <c r="D1152" s="15">
        <f>IFERROR(__xludf.DUMMYFUNCTION("""COMPUTED_VALUE"""),1.004)</f>
        <v>1.004</v>
      </c>
      <c r="E1152" s="16">
        <f>IFERROR(__xludf.DUMMYFUNCTION("""COMPUTED_VALUE"""),70.0)</f>
        <v>70</v>
      </c>
      <c r="F1152" s="19" t="str">
        <f>IFERROR(__xludf.DUMMYFUNCTION("""COMPUTED_VALUE"""),"BLACK")</f>
        <v>BLACK</v>
      </c>
      <c r="G1152" s="20" t="str">
        <f>IFERROR(__xludf.DUMMYFUNCTION("""COMPUTED_VALUE"""),"Uncle Sams Cider (5/13/2022)")</f>
        <v>Uncle Sams Cider (5/13/2022)</v>
      </c>
      <c r="H1152" s="19"/>
    </row>
    <row r="1153">
      <c r="A1153" s="9"/>
      <c r="B1153" s="15"/>
      <c r="C1153" s="9">
        <f>IFERROR(__xludf.DUMMYFUNCTION("""COMPUTED_VALUE"""),44784.6044542592)</f>
        <v>44784.60445</v>
      </c>
      <c r="D1153" s="15">
        <f>IFERROR(__xludf.DUMMYFUNCTION("""COMPUTED_VALUE"""),1.004)</f>
        <v>1.004</v>
      </c>
      <c r="E1153" s="16">
        <f>IFERROR(__xludf.DUMMYFUNCTION("""COMPUTED_VALUE"""),70.0)</f>
        <v>70</v>
      </c>
      <c r="F1153" s="19" t="str">
        <f>IFERROR(__xludf.DUMMYFUNCTION("""COMPUTED_VALUE"""),"BLACK")</f>
        <v>BLACK</v>
      </c>
      <c r="G1153" s="20" t="str">
        <f>IFERROR(__xludf.DUMMYFUNCTION("""COMPUTED_VALUE"""),"Uncle Sams Cider (5/13/2022)")</f>
        <v>Uncle Sams Cider (5/13/2022)</v>
      </c>
      <c r="H1153" s="19"/>
    </row>
    <row r="1154">
      <c r="A1154" s="9"/>
      <c r="B1154" s="15"/>
      <c r="C1154" s="9">
        <f>IFERROR(__xludf.DUMMYFUNCTION("""COMPUTED_VALUE"""),44784.5940214814)</f>
        <v>44784.59402</v>
      </c>
      <c r="D1154" s="15">
        <f>IFERROR(__xludf.DUMMYFUNCTION("""COMPUTED_VALUE"""),1.004)</f>
        <v>1.004</v>
      </c>
      <c r="E1154" s="16">
        <f>IFERROR(__xludf.DUMMYFUNCTION("""COMPUTED_VALUE"""),70.0)</f>
        <v>70</v>
      </c>
      <c r="F1154" s="19" t="str">
        <f>IFERROR(__xludf.DUMMYFUNCTION("""COMPUTED_VALUE"""),"BLACK")</f>
        <v>BLACK</v>
      </c>
      <c r="G1154" s="20" t="str">
        <f>IFERROR(__xludf.DUMMYFUNCTION("""COMPUTED_VALUE"""),"Uncle Sams Cider (5/13/2022)")</f>
        <v>Uncle Sams Cider (5/13/2022)</v>
      </c>
      <c r="H1154" s="19"/>
    </row>
    <row r="1155">
      <c r="A1155" s="9"/>
      <c r="B1155" s="15"/>
      <c r="C1155" s="9">
        <f>IFERROR(__xludf.DUMMYFUNCTION("""COMPUTED_VALUE"""),44784.5836004051)</f>
        <v>44784.5836</v>
      </c>
      <c r="D1155" s="15">
        <f>IFERROR(__xludf.DUMMYFUNCTION("""COMPUTED_VALUE"""),1.004)</f>
        <v>1.004</v>
      </c>
      <c r="E1155" s="16">
        <f>IFERROR(__xludf.DUMMYFUNCTION("""COMPUTED_VALUE"""),70.0)</f>
        <v>70</v>
      </c>
      <c r="F1155" s="19" t="str">
        <f>IFERROR(__xludf.DUMMYFUNCTION("""COMPUTED_VALUE"""),"BLACK")</f>
        <v>BLACK</v>
      </c>
      <c r="G1155" s="20" t="str">
        <f>IFERROR(__xludf.DUMMYFUNCTION("""COMPUTED_VALUE"""),"Uncle Sams Cider (5/13/2022)")</f>
        <v>Uncle Sams Cider (5/13/2022)</v>
      </c>
      <c r="H1155" s="19"/>
    </row>
    <row r="1156">
      <c r="A1156" s="9"/>
      <c r="B1156" s="15"/>
      <c r="C1156" s="9">
        <f>IFERROR(__xludf.DUMMYFUNCTION("""COMPUTED_VALUE"""),44784.5731674421)</f>
        <v>44784.57317</v>
      </c>
      <c r="D1156" s="15">
        <f>IFERROR(__xludf.DUMMYFUNCTION("""COMPUTED_VALUE"""),1.004)</f>
        <v>1.004</v>
      </c>
      <c r="E1156" s="16">
        <f>IFERROR(__xludf.DUMMYFUNCTION("""COMPUTED_VALUE"""),70.0)</f>
        <v>70</v>
      </c>
      <c r="F1156" s="19" t="str">
        <f>IFERROR(__xludf.DUMMYFUNCTION("""COMPUTED_VALUE"""),"BLACK")</f>
        <v>BLACK</v>
      </c>
      <c r="G1156" s="20" t="str">
        <f>IFERROR(__xludf.DUMMYFUNCTION("""COMPUTED_VALUE"""),"Uncle Sams Cider (5/13/2022)")</f>
        <v>Uncle Sams Cider (5/13/2022)</v>
      </c>
      <c r="H1156" s="19"/>
    </row>
    <row r="1157">
      <c r="A1157" s="9"/>
      <c r="B1157" s="15"/>
      <c r="C1157" s="9">
        <f>IFERROR(__xludf.DUMMYFUNCTION("""COMPUTED_VALUE"""),44784.5627456713)</f>
        <v>44784.56275</v>
      </c>
      <c r="D1157" s="15">
        <f>IFERROR(__xludf.DUMMYFUNCTION("""COMPUTED_VALUE"""),1.004)</f>
        <v>1.004</v>
      </c>
      <c r="E1157" s="16">
        <f>IFERROR(__xludf.DUMMYFUNCTION("""COMPUTED_VALUE"""),70.0)</f>
        <v>70</v>
      </c>
      <c r="F1157" s="19" t="str">
        <f>IFERROR(__xludf.DUMMYFUNCTION("""COMPUTED_VALUE"""),"BLACK")</f>
        <v>BLACK</v>
      </c>
      <c r="G1157" s="20" t="str">
        <f>IFERROR(__xludf.DUMMYFUNCTION("""COMPUTED_VALUE"""),"Uncle Sams Cider (5/13/2022)")</f>
        <v>Uncle Sams Cider (5/13/2022)</v>
      </c>
      <c r="H1157" s="19"/>
    </row>
    <row r="1158">
      <c r="A1158" s="9"/>
      <c r="B1158" s="15"/>
      <c r="C1158" s="9">
        <f>IFERROR(__xludf.DUMMYFUNCTION("""COMPUTED_VALUE"""),44784.5523246412)</f>
        <v>44784.55232</v>
      </c>
      <c r="D1158" s="15">
        <f>IFERROR(__xludf.DUMMYFUNCTION("""COMPUTED_VALUE"""),1.004)</f>
        <v>1.004</v>
      </c>
      <c r="E1158" s="16">
        <f>IFERROR(__xludf.DUMMYFUNCTION("""COMPUTED_VALUE"""),70.0)</f>
        <v>70</v>
      </c>
      <c r="F1158" s="19" t="str">
        <f>IFERROR(__xludf.DUMMYFUNCTION("""COMPUTED_VALUE"""),"BLACK")</f>
        <v>BLACK</v>
      </c>
      <c r="G1158" s="20" t="str">
        <f>IFERROR(__xludf.DUMMYFUNCTION("""COMPUTED_VALUE"""),"Uncle Sams Cider (5/13/2022)")</f>
        <v>Uncle Sams Cider (5/13/2022)</v>
      </c>
      <c r="H1158" s="19"/>
    </row>
    <row r="1159">
      <c r="A1159" s="9"/>
      <c r="B1159" s="15"/>
      <c r="C1159" s="9">
        <f>IFERROR(__xludf.DUMMYFUNCTION("""COMPUTED_VALUE"""),44784.5419060416)</f>
        <v>44784.54191</v>
      </c>
      <c r="D1159" s="15">
        <f>IFERROR(__xludf.DUMMYFUNCTION("""COMPUTED_VALUE"""),1.004)</f>
        <v>1.004</v>
      </c>
      <c r="E1159" s="16">
        <f>IFERROR(__xludf.DUMMYFUNCTION("""COMPUTED_VALUE"""),70.0)</f>
        <v>70</v>
      </c>
      <c r="F1159" s="19" t="str">
        <f>IFERROR(__xludf.DUMMYFUNCTION("""COMPUTED_VALUE"""),"BLACK")</f>
        <v>BLACK</v>
      </c>
      <c r="G1159" s="20" t="str">
        <f>IFERROR(__xludf.DUMMYFUNCTION("""COMPUTED_VALUE"""),"Uncle Sams Cider (5/13/2022)")</f>
        <v>Uncle Sams Cider (5/13/2022)</v>
      </c>
      <c r="H1159" s="19"/>
    </row>
    <row r="1160">
      <c r="A1160" s="9"/>
      <c r="B1160" s="15"/>
      <c r="C1160" s="9">
        <f>IFERROR(__xludf.DUMMYFUNCTION("""COMPUTED_VALUE"""),44784.531485243)</f>
        <v>44784.53149</v>
      </c>
      <c r="D1160" s="15">
        <f>IFERROR(__xludf.DUMMYFUNCTION("""COMPUTED_VALUE"""),1.004)</f>
        <v>1.004</v>
      </c>
      <c r="E1160" s="16">
        <f>IFERROR(__xludf.DUMMYFUNCTION("""COMPUTED_VALUE"""),70.0)</f>
        <v>70</v>
      </c>
      <c r="F1160" s="19" t="str">
        <f>IFERROR(__xludf.DUMMYFUNCTION("""COMPUTED_VALUE"""),"BLACK")</f>
        <v>BLACK</v>
      </c>
      <c r="G1160" s="20" t="str">
        <f>IFERROR(__xludf.DUMMYFUNCTION("""COMPUTED_VALUE"""),"Uncle Sams Cider (5/13/2022)")</f>
        <v>Uncle Sams Cider (5/13/2022)</v>
      </c>
      <c r="H1160" s="19"/>
    </row>
    <row r="1161">
      <c r="A1161" s="9"/>
      <c r="B1161" s="15"/>
      <c r="C1161" s="9">
        <f>IFERROR(__xludf.DUMMYFUNCTION("""COMPUTED_VALUE"""),44784.5210645717)</f>
        <v>44784.52106</v>
      </c>
      <c r="D1161" s="15">
        <f>IFERROR(__xludf.DUMMYFUNCTION("""COMPUTED_VALUE"""),1.004)</f>
        <v>1.004</v>
      </c>
      <c r="E1161" s="16">
        <f>IFERROR(__xludf.DUMMYFUNCTION("""COMPUTED_VALUE"""),70.0)</f>
        <v>70</v>
      </c>
      <c r="F1161" s="19" t="str">
        <f>IFERROR(__xludf.DUMMYFUNCTION("""COMPUTED_VALUE"""),"BLACK")</f>
        <v>BLACK</v>
      </c>
      <c r="G1161" s="20" t="str">
        <f>IFERROR(__xludf.DUMMYFUNCTION("""COMPUTED_VALUE"""),"Uncle Sams Cider (5/13/2022)")</f>
        <v>Uncle Sams Cider (5/13/2022)</v>
      </c>
      <c r="H1161" s="19"/>
    </row>
    <row r="1162">
      <c r="A1162" s="9"/>
      <c r="B1162" s="15"/>
      <c r="C1162" s="9">
        <f>IFERROR(__xludf.DUMMYFUNCTION("""COMPUTED_VALUE"""),44784.5106427777)</f>
        <v>44784.51064</v>
      </c>
      <c r="D1162" s="15">
        <f>IFERROR(__xludf.DUMMYFUNCTION("""COMPUTED_VALUE"""),1.004)</f>
        <v>1.004</v>
      </c>
      <c r="E1162" s="16">
        <f>IFERROR(__xludf.DUMMYFUNCTION("""COMPUTED_VALUE"""),70.0)</f>
        <v>70</v>
      </c>
      <c r="F1162" s="19" t="str">
        <f>IFERROR(__xludf.DUMMYFUNCTION("""COMPUTED_VALUE"""),"BLACK")</f>
        <v>BLACK</v>
      </c>
      <c r="G1162" s="20" t="str">
        <f>IFERROR(__xludf.DUMMYFUNCTION("""COMPUTED_VALUE"""),"Uncle Sams Cider (5/13/2022)")</f>
        <v>Uncle Sams Cider (5/13/2022)</v>
      </c>
      <c r="H1162" s="19"/>
    </row>
    <row r="1163">
      <c r="A1163" s="9"/>
      <c r="B1163" s="15"/>
      <c r="C1163" s="9">
        <f>IFERROR(__xludf.DUMMYFUNCTION("""COMPUTED_VALUE"""),44784.500222118)</f>
        <v>44784.50022</v>
      </c>
      <c r="D1163" s="15">
        <f>IFERROR(__xludf.DUMMYFUNCTION("""COMPUTED_VALUE"""),1.004)</f>
        <v>1.004</v>
      </c>
      <c r="E1163" s="16">
        <f>IFERROR(__xludf.DUMMYFUNCTION("""COMPUTED_VALUE"""),70.0)</f>
        <v>70</v>
      </c>
      <c r="F1163" s="19" t="str">
        <f>IFERROR(__xludf.DUMMYFUNCTION("""COMPUTED_VALUE"""),"BLACK")</f>
        <v>BLACK</v>
      </c>
      <c r="G1163" s="20" t="str">
        <f>IFERROR(__xludf.DUMMYFUNCTION("""COMPUTED_VALUE"""),"Uncle Sams Cider (5/13/2022)")</f>
        <v>Uncle Sams Cider (5/13/2022)</v>
      </c>
      <c r="H1163" s="19"/>
    </row>
    <row r="1164">
      <c r="A1164" s="9"/>
      <c r="B1164" s="15"/>
      <c r="C1164" s="9">
        <f>IFERROR(__xludf.DUMMYFUNCTION("""COMPUTED_VALUE"""),44784.4898012268)</f>
        <v>44784.4898</v>
      </c>
      <c r="D1164" s="15">
        <f>IFERROR(__xludf.DUMMYFUNCTION("""COMPUTED_VALUE"""),1.004)</f>
        <v>1.004</v>
      </c>
      <c r="E1164" s="16">
        <f>IFERROR(__xludf.DUMMYFUNCTION("""COMPUTED_VALUE"""),70.0)</f>
        <v>70</v>
      </c>
      <c r="F1164" s="19" t="str">
        <f>IFERROR(__xludf.DUMMYFUNCTION("""COMPUTED_VALUE"""),"BLACK")</f>
        <v>BLACK</v>
      </c>
      <c r="G1164" s="20" t="str">
        <f>IFERROR(__xludf.DUMMYFUNCTION("""COMPUTED_VALUE"""),"Uncle Sams Cider (5/13/2022)")</f>
        <v>Uncle Sams Cider (5/13/2022)</v>
      </c>
      <c r="H1164" s="19"/>
    </row>
    <row r="1165">
      <c r="A1165" s="9"/>
      <c r="B1165" s="15"/>
      <c r="C1165" s="9">
        <f>IFERROR(__xludf.DUMMYFUNCTION("""COMPUTED_VALUE"""),44784.4793809837)</f>
        <v>44784.47938</v>
      </c>
      <c r="D1165" s="15">
        <f>IFERROR(__xludf.DUMMYFUNCTION("""COMPUTED_VALUE"""),1.004)</f>
        <v>1.004</v>
      </c>
      <c r="E1165" s="16">
        <f>IFERROR(__xludf.DUMMYFUNCTION("""COMPUTED_VALUE"""),70.0)</f>
        <v>70</v>
      </c>
      <c r="F1165" s="19" t="str">
        <f>IFERROR(__xludf.DUMMYFUNCTION("""COMPUTED_VALUE"""),"BLACK")</f>
        <v>BLACK</v>
      </c>
      <c r="G1165" s="20" t="str">
        <f>IFERROR(__xludf.DUMMYFUNCTION("""COMPUTED_VALUE"""),"Uncle Sams Cider (5/13/2022)")</f>
        <v>Uncle Sams Cider (5/13/2022)</v>
      </c>
      <c r="H1165" s="19"/>
    </row>
    <row r="1166">
      <c r="A1166" s="9"/>
      <c r="B1166" s="15"/>
      <c r="C1166" s="9">
        <f>IFERROR(__xludf.DUMMYFUNCTION("""COMPUTED_VALUE"""),44784.4689468287)</f>
        <v>44784.46895</v>
      </c>
      <c r="D1166" s="15">
        <f>IFERROR(__xludf.DUMMYFUNCTION("""COMPUTED_VALUE"""),1.003)</f>
        <v>1.003</v>
      </c>
      <c r="E1166" s="16">
        <f>IFERROR(__xludf.DUMMYFUNCTION("""COMPUTED_VALUE"""),70.0)</f>
        <v>70</v>
      </c>
      <c r="F1166" s="19" t="str">
        <f>IFERROR(__xludf.DUMMYFUNCTION("""COMPUTED_VALUE"""),"BLACK")</f>
        <v>BLACK</v>
      </c>
      <c r="G1166" s="20" t="str">
        <f>IFERROR(__xludf.DUMMYFUNCTION("""COMPUTED_VALUE"""),"Uncle Sams Cider (5/13/2022)")</f>
        <v>Uncle Sams Cider (5/13/2022)</v>
      </c>
      <c r="H1166" s="19"/>
    </row>
    <row r="1167">
      <c r="A1167" s="9"/>
      <c r="B1167" s="15"/>
      <c r="C1167" s="9">
        <f>IFERROR(__xludf.DUMMYFUNCTION("""COMPUTED_VALUE"""),44784.4585254398)</f>
        <v>44784.45853</v>
      </c>
      <c r="D1167" s="15">
        <f>IFERROR(__xludf.DUMMYFUNCTION("""COMPUTED_VALUE"""),1.004)</f>
        <v>1.004</v>
      </c>
      <c r="E1167" s="16">
        <f>IFERROR(__xludf.DUMMYFUNCTION("""COMPUTED_VALUE"""),70.0)</f>
        <v>70</v>
      </c>
      <c r="F1167" s="19" t="str">
        <f>IFERROR(__xludf.DUMMYFUNCTION("""COMPUTED_VALUE"""),"BLACK")</f>
        <v>BLACK</v>
      </c>
      <c r="G1167" s="20" t="str">
        <f>IFERROR(__xludf.DUMMYFUNCTION("""COMPUTED_VALUE"""),"Uncle Sams Cider (5/13/2022)")</f>
        <v>Uncle Sams Cider (5/13/2022)</v>
      </c>
      <c r="H1167" s="19"/>
    </row>
    <row r="1168">
      <c r="A1168" s="9"/>
      <c r="B1168" s="15"/>
      <c r="C1168" s="9">
        <f>IFERROR(__xludf.DUMMYFUNCTION("""COMPUTED_VALUE"""),44784.4481055092)</f>
        <v>44784.44811</v>
      </c>
      <c r="D1168" s="15">
        <f>IFERROR(__xludf.DUMMYFUNCTION("""COMPUTED_VALUE"""),1.004)</f>
        <v>1.004</v>
      </c>
      <c r="E1168" s="16">
        <f>IFERROR(__xludf.DUMMYFUNCTION("""COMPUTED_VALUE"""),70.0)</f>
        <v>70</v>
      </c>
      <c r="F1168" s="19" t="str">
        <f>IFERROR(__xludf.DUMMYFUNCTION("""COMPUTED_VALUE"""),"BLACK")</f>
        <v>BLACK</v>
      </c>
      <c r="G1168" s="20" t="str">
        <f>IFERROR(__xludf.DUMMYFUNCTION("""COMPUTED_VALUE"""),"Uncle Sams Cider (5/13/2022)")</f>
        <v>Uncle Sams Cider (5/13/2022)</v>
      </c>
      <c r="H1168" s="19"/>
    </row>
    <row r="1169">
      <c r="A1169" s="9"/>
      <c r="B1169" s="15"/>
      <c r="C1169" s="9">
        <f>IFERROR(__xludf.DUMMYFUNCTION("""COMPUTED_VALUE"""),44784.4376842939)</f>
        <v>44784.43768</v>
      </c>
      <c r="D1169" s="15">
        <f>IFERROR(__xludf.DUMMYFUNCTION("""COMPUTED_VALUE"""),1.004)</f>
        <v>1.004</v>
      </c>
      <c r="E1169" s="16">
        <f>IFERROR(__xludf.DUMMYFUNCTION("""COMPUTED_VALUE"""),70.0)</f>
        <v>70</v>
      </c>
      <c r="F1169" s="19" t="str">
        <f>IFERROR(__xludf.DUMMYFUNCTION("""COMPUTED_VALUE"""),"BLACK")</f>
        <v>BLACK</v>
      </c>
      <c r="G1169" s="20" t="str">
        <f>IFERROR(__xludf.DUMMYFUNCTION("""COMPUTED_VALUE"""),"Uncle Sams Cider (5/13/2022)")</f>
        <v>Uncle Sams Cider (5/13/2022)</v>
      </c>
      <c r="H1169" s="19"/>
    </row>
    <row r="1170">
      <c r="A1170" s="9"/>
      <c r="B1170" s="15"/>
      <c r="C1170" s="9">
        <f>IFERROR(__xludf.DUMMYFUNCTION("""COMPUTED_VALUE"""),44784.4272410995)</f>
        <v>44784.42724</v>
      </c>
      <c r="D1170" s="15">
        <f>IFERROR(__xludf.DUMMYFUNCTION("""COMPUTED_VALUE"""),1.004)</f>
        <v>1.004</v>
      </c>
      <c r="E1170" s="16">
        <f>IFERROR(__xludf.DUMMYFUNCTION("""COMPUTED_VALUE"""),70.0)</f>
        <v>70</v>
      </c>
      <c r="F1170" s="19" t="str">
        <f>IFERROR(__xludf.DUMMYFUNCTION("""COMPUTED_VALUE"""),"BLACK")</f>
        <v>BLACK</v>
      </c>
      <c r="G1170" s="20" t="str">
        <f>IFERROR(__xludf.DUMMYFUNCTION("""COMPUTED_VALUE"""),"Uncle Sams Cider (5/13/2022)")</f>
        <v>Uncle Sams Cider (5/13/2022)</v>
      </c>
      <c r="H1170" s="19"/>
    </row>
    <row r="1171">
      <c r="A1171" s="9"/>
      <c r="B1171" s="15"/>
      <c r="C1171" s="9">
        <f>IFERROR(__xludf.DUMMYFUNCTION("""COMPUTED_VALUE"""),44784.4168195023)</f>
        <v>44784.41682</v>
      </c>
      <c r="D1171" s="15">
        <f>IFERROR(__xludf.DUMMYFUNCTION("""COMPUTED_VALUE"""),1.004)</f>
        <v>1.004</v>
      </c>
      <c r="E1171" s="16">
        <f>IFERROR(__xludf.DUMMYFUNCTION("""COMPUTED_VALUE"""),70.0)</f>
        <v>70</v>
      </c>
      <c r="F1171" s="19" t="str">
        <f>IFERROR(__xludf.DUMMYFUNCTION("""COMPUTED_VALUE"""),"BLACK")</f>
        <v>BLACK</v>
      </c>
      <c r="G1171" s="20" t="str">
        <f>IFERROR(__xludf.DUMMYFUNCTION("""COMPUTED_VALUE"""),"Uncle Sams Cider (5/13/2022)")</f>
        <v>Uncle Sams Cider (5/13/2022)</v>
      </c>
      <c r="H1171" s="19"/>
    </row>
    <row r="1172">
      <c r="A1172" s="9"/>
      <c r="B1172" s="15"/>
      <c r="C1172" s="9">
        <f>IFERROR(__xludf.DUMMYFUNCTION("""COMPUTED_VALUE"""),44784.4063975)</f>
        <v>44784.4064</v>
      </c>
      <c r="D1172" s="15">
        <f>IFERROR(__xludf.DUMMYFUNCTION("""COMPUTED_VALUE"""),1.004)</f>
        <v>1.004</v>
      </c>
      <c r="E1172" s="16">
        <f>IFERROR(__xludf.DUMMYFUNCTION("""COMPUTED_VALUE"""),70.0)</f>
        <v>70</v>
      </c>
      <c r="F1172" s="19" t="str">
        <f>IFERROR(__xludf.DUMMYFUNCTION("""COMPUTED_VALUE"""),"BLACK")</f>
        <v>BLACK</v>
      </c>
      <c r="G1172" s="20" t="str">
        <f>IFERROR(__xludf.DUMMYFUNCTION("""COMPUTED_VALUE"""),"Uncle Sams Cider (5/13/2022)")</f>
        <v>Uncle Sams Cider (5/13/2022)</v>
      </c>
      <c r="H1172" s="19"/>
    </row>
    <row r="1173">
      <c r="A1173" s="9"/>
      <c r="B1173" s="15"/>
      <c r="C1173" s="9">
        <f>IFERROR(__xludf.DUMMYFUNCTION("""COMPUTED_VALUE"""),44784.3959768287)</f>
        <v>44784.39598</v>
      </c>
      <c r="D1173" s="15">
        <f>IFERROR(__xludf.DUMMYFUNCTION("""COMPUTED_VALUE"""),1.004)</f>
        <v>1.004</v>
      </c>
      <c r="E1173" s="16">
        <f>IFERROR(__xludf.DUMMYFUNCTION("""COMPUTED_VALUE"""),70.0)</f>
        <v>70</v>
      </c>
      <c r="F1173" s="19" t="str">
        <f>IFERROR(__xludf.DUMMYFUNCTION("""COMPUTED_VALUE"""),"BLACK")</f>
        <v>BLACK</v>
      </c>
      <c r="G1173" s="20" t="str">
        <f>IFERROR(__xludf.DUMMYFUNCTION("""COMPUTED_VALUE"""),"Uncle Sams Cider (5/13/2022)")</f>
        <v>Uncle Sams Cider (5/13/2022)</v>
      </c>
      <c r="H1173" s="19"/>
    </row>
    <row r="1174">
      <c r="A1174" s="9"/>
      <c r="B1174" s="15"/>
      <c r="C1174" s="9">
        <f>IFERROR(__xludf.DUMMYFUNCTION("""COMPUTED_VALUE"""),44784.3855328819)</f>
        <v>44784.38553</v>
      </c>
      <c r="D1174" s="15">
        <f>IFERROR(__xludf.DUMMYFUNCTION("""COMPUTED_VALUE"""),1.004)</f>
        <v>1.004</v>
      </c>
      <c r="E1174" s="16">
        <f>IFERROR(__xludf.DUMMYFUNCTION("""COMPUTED_VALUE"""),70.0)</f>
        <v>70</v>
      </c>
      <c r="F1174" s="19" t="str">
        <f>IFERROR(__xludf.DUMMYFUNCTION("""COMPUTED_VALUE"""),"BLACK")</f>
        <v>BLACK</v>
      </c>
      <c r="G1174" s="20" t="str">
        <f>IFERROR(__xludf.DUMMYFUNCTION("""COMPUTED_VALUE"""),"Uncle Sams Cider (5/13/2022)")</f>
        <v>Uncle Sams Cider (5/13/2022)</v>
      </c>
      <c r="H1174" s="19"/>
    </row>
    <row r="1175">
      <c r="A1175" s="9"/>
      <c r="B1175" s="15"/>
      <c r="C1175" s="9">
        <f>IFERROR(__xludf.DUMMYFUNCTION("""COMPUTED_VALUE"""),44784.3751110069)</f>
        <v>44784.37511</v>
      </c>
      <c r="D1175" s="15">
        <f>IFERROR(__xludf.DUMMYFUNCTION("""COMPUTED_VALUE"""),1.004)</f>
        <v>1.004</v>
      </c>
      <c r="E1175" s="16">
        <f>IFERROR(__xludf.DUMMYFUNCTION("""COMPUTED_VALUE"""),70.0)</f>
        <v>70</v>
      </c>
      <c r="F1175" s="19" t="str">
        <f>IFERROR(__xludf.DUMMYFUNCTION("""COMPUTED_VALUE"""),"BLACK")</f>
        <v>BLACK</v>
      </c>
      <c r="G1175" s="20" t="str">
        <f>IFERROR(__xludf.DUMMYFUNCTION("""COMPUTED_VALUE"""),"Uncle Sams Cider (5/13/2022)")</f>
        <v>Uncle Sams Cider (5/13/2022)</v>
      </c>
      <c r="H1175" s="19"/>
    </row>
    <row r="1176">
      <c r="A1176" s="9"/>
      <c r="B1176" s="15"/>
      <c r="C1176" s="9">
        <f>IFERROR(__xludf.DUMMYFUNCTION("""COMPUTED_VALUE"""),44784.3646899074)</f>
        <v>44784.36469</v>
      </c>
      <c r="D1176" s="15">
        <f>IFERROR(__xludf.DUMMYFUNCTION("""COMPUTED_VALUE"""),1.004)</f>
        <v>1.004</v>
      </c>
      <c r="E1176" s="16">
        <f>IFERROR(__xludf.DUMMYFUNCTION("""COMPUTED_VALUE"""),70.0)</f>
        <v>70</v>
      </c>
      <c r="F1176" s="19" t="str">
        <f>IFERROR(__xludf.DUMMYFUNCTION("""COMPUTED_VALUE"""),"BLACK")</f>
        <v>BLACK</v>
      </c>
      <c r="G1176" s="20" t="str">
        <f>IFERROR(__xludf.DUMMYFUNCTION("""COMPUTED_VALUE"""),"Uncle Sams Cider (5/13/2022)")</f>
        <v>Uncle Sams Cider (5/13/2022)</v>
      </c>
      <c r="H1176" s="19"/>
    </row>
    <row r="1177">
      <c r="A1177" s="9"/>
      <c r="B1177" s="15"/>
      <c r="C1177" s="9">
        <f>IFERROR(__xludf.DUMMYFUNCTION("""COMPUTED_VALUE"""),44784.3542680902)</f>
        <v>44784.35427</v>
      </c>
      <c r="D1177" s="15">
        <f>IFERROR(__xludf.DUMMYFUNCTION("""COMPUTED_VALUE"""),1.004)</f>
        <v>1.004</v>
      </c>
      <c r="E1177" s="16">
        <f>IFERROR(__xludf.DUMMYFUNCTION("""COMPUTED_VALUE"""),70.0)</f>
        <v>70</v>
      </c>
      <c r="F1177" s="19" t="str">
        <f>IFERROR(__xludf.DUMMYFUNCTION("""COMPUTED_VALUE"""),"BLACK")</f>
        <v>BLACK</v>
      </c>
      <c r="G1177" s="20" t="str">
        <f>IFERROR(__xludf.DUMMYFUNCTION("""COMPUTED_VALUE"""),"Uncle Sams Cider (5/13/2022)")</f>
        <v>Uncle Sams Cider (5/13/2022)</v>
      </c>
      <c r="H1177" s="19"/>
    </row>
    <row r="1178">
      <c r="A1178" s="9"/>
      <c r="B1178" s="15"/>
      <c r="C1178" s="9">
        <f>IFERROR(__xludf.DUMMYFUNCTION("""COMPUTED_VALUE"""),44784.3438456828)</f>
        <v>44784.34385</v>
      </c>
      <c r="D1178" s="15">
        <f>IFERROR(__xludf.DUMMYFUNCTION("""COMPUTED_VALUE"""),1.004)</f>
        <v>1.004</v>
      </c>
      <c r="E1178" s="16">
        <f>IFERROR(__xludf.DUMMYFUNCTION("""COMPUTED_VALUE"""),70.0)</f>
        <v>70</v>
      </c>
      <c r="F1178" s="19" t="str">
        <f>IFERROR(__xludf.DUMMYFUNCTION("""COMPUTED_VALUE"""),"BLACK")</f>
        <v>BLACK</v>
      </c>
      <c r="G1178" s="20" t="str">
        <f>IFERROR(__xludf.DUMMYFUNCTION("""COMPUTED_VALUE"""),"Uncle Sams Cider (5/13/2022)")</f>
        <v>Uncle Sams Cider (5/13/2022)</v>
      </c>
      <c r="H1178" s="19"/>
    </row>
    <row r="1179">
      <c r="A1179" s="9"/>
      <c r="B1179" s="15"/>
      <c r="C1179" s="9">
        <f>IFERROR(__xludf.DUMMYFUNCTION("""COMPUTED_VALUE"""),44784.3334237384)</f>
        <v>44784.33342</v>
      </c>
      <c r="D1179" s="15">
        <f>IFERROR(__xludf.DUMMYFUNCTION("""COMPUTED_VALUE"""),1.004)</f>
        <v>1.004</v>
      </c>
      <c r="E1179" s="16">
        <f>IFERROR(__xludf.DUMMYFUNCTION("""COMPUTED_VALUE"""),70.0)</f>
        <v>70</v>
      </c>
      <c r="F1179" s="19" t="str">
        <f>IFERROR(__xludf.DUMMYFUNCTION("""COMPUTED_VALUE"""),"BLACK")</f>
        <v>BLACK</v>
      </c>
      <c r="G1179" s="20" t="str">
        <f>IFERROR(__xludf.DUMMYFUNCTION("""COMPUTED_VALUE"""),"Uncle Sams Cider (5/13/2022)")</f>
        <v>Uncle Sams Cider (5/13/2022)</v>
      </c>
      <c r="H1179" s="19"/>
    </row>
    <row r="1180">
      <c r="A1180" s="9"/>
      <c r="B1180" s="15"/>
      <c r="C1180" s="9">
        <f>IFERROR(__xludf.DUMMYFUNCTION("""COMPUTED_VALUE"""),44784.3230025)</f>
        <v>44784.323</v>
      </c>
      <c r="D1180" s="15">
        <f>IFERROR(__xludf.DUMMYFUNCTION("""COMPUTED_VALUE"""),1.004)</f>
        <v>1.004</v>
      </c>
      <c r="E1180" s="16">
        <f>IFERROR(__xludf.DUMMYFUNCTION("""COMPUTED_VALUE"""),70.0)</f>
        <v>70</v>
      </c>
      <c r="F1180" s="19" t="str">
        <f>IFERROR(__xludf.DUMMYFUNCTION("""COMPUTED_VALUE"""),"BLACK")</f>
        <v>BLACK</v>
      </c>
      <c r="G1180" s="20" t="str">
        <f>IFERROR(__xludf.DUMMYFUNCTION("""COMPUTED_VALUE"""),"Uncle Sams Cider (5/13/2022)")</f>
        <v>Uncle Sams Cider (5/13/2022)</v>
      </c>
      <c r="H1180" s="19"/>
    </row>
    <row r="1181">
      <c r="A1181" s="9"/>
      <c r="B1181" s="15"/>
      <c r="C1181" s="9">
        <f>IFERROR(__xludf.DUMMYFUNCTION("""COMPUTED_VALUE"""),44784.3125824074)</f>
        <v>44784.31258</v>
      </c>
      <c r="D1181" s="15">
        <f>IFERROR(__xludf.DUMMYFUNCTION("""COMPUTED_VALUE"""),1.004)</f>
        <v>1.004</v>
      </c>
      <c r="E1181" s="16">
        <f>IFERROR(__xludf.DUMMYFUNCTION("""COMPUTED_VALUE"""),70.0)</f>
        <v>70</v>
      </c>
      <c r="F1181" s="19" t="str">
        <f>IFERROR(__xludf.DUMMYFUNCTION("""COMPUTED_VALUE"""),"BLACK")</f>
        <v>BLACK</v>
      </c>
      <c r="G1181" s="20" t="str">
        <f>IFERROR(__xludf.DUMMYFUNCTION("""COMPUTED_VALUE"""),"Uncle Sams Cider (5/13/2022)")</f>
        <v>Uncle Sams Cider (5/13/2022)</v>
      </c>
      <c r="H1181" s="19"/>
    </row>
    <row r="1182">
      <c r="A1182" s="9"/>
      <c r="B1182" s="15"/>
      <c r="C1182" s="9">
        <f>IFERROR(__xludf.DUMMYFUNCTION("""COMPUTED_VALUE"""),44784.3021496643)</f>
        <v>44784.30215</v>
      </c>
      <c r="D1182" s="15">
        <f>IFERROR(__xludf.DUMMYFUNCTION("""COMPUTED_VALUE"""),1.004)</f>
        <v>1.004</v>
      </c>
      <c r="E1182" s="16">
        <f>IFERROR(__xludf.DUMMYFUNCTION("""COMPUTED_VALUE"""),69.0)</f>
        <v>69</v>
      </c>
      <c r="F1182" s="19" t="str">
        <f>IFERROR(__xludf.DUMMYFUNCTION("""COMPUTED_VALUE"""),"BLACK")</f>
        <v>BLACK</v>
      </c>
      <c r="G1182" s="20" t="str">
        <f>IFERROR(__xludf.DUMMYFUNCTION("""COMPUTED_VALUE"""),"Uncle Sams Cider (5/13/2022)")</f>
        <v>Uncle Sams Cider (5/13/2022)</v>
      </c>
      <c r="H1182" s="19"/>
    </row>
    <row r="1183">
      <c r="A1183" s="9"/>
      <c r="B1183" s="15"/>
      <c r="C1183" s="9">
        <f>IFERROR(__xludf.DUMMYFUNCTION("""COMPUTED_VALUE"""),44784.2917176851)</f>
        <v>44784.29172</v>
      </c>
      <c r="D1183" s="15">
        <f>IFERROR(__xludf.DUMMYFUNCTION("""COMPUTED_VALUE"""),1.004)</f>
        <v>1.004</v>
      </c>
      <c r="E1183" s="16">
        <f>IFERROR(__xludf.DUMMYFUNCTION("""COMPUTED_VALUE"""),69.0)</f>
        <v>69</v>
      </c>
      <c r="F1183" s="19" t="str">
        <f>IFERROR(__xludf.DUMMYFUNCTION("""COMPUTED_VALUE"""),"BLACK")</f>
        <v>BLACK</v>
      </c>
      <c r="G1183" s="20" t="str">
        <f>IFERROR(__xludf.DUMMYFUNCTION("""COMPUTED_VALUE"""),"Uncle Sams Cider (5/13/2022)")</f>
        <v>Uncle Sams Cider (5/13/2022)</v>
      </c>
      <c r="H1183" s="19"/>
    </row>
    <row r="1184">
      <c r="A1184" s="9"/>
      <c r="B1184" s="15"/>
      <c r="C1184" s="9">
        <f>IFERROR(__xludf.DUMMYFUNCTION("""COMPUTED_VALUE"""),44784.2812953009)</f>
        <v>44784.2813</v>
      </c>
      <c r="D1184" s="15">
        <f>IFERROR(__xludf.DUMMYFUNCTION("""COMPUTED_VALUE"""),1.004)</f>
        <v>1.004</v>
      </c>
      <c r="E1184" s="16">
        <f>IFERROR(__xludf.DUMMYFUNCTION("""COMPUTED_VALUE"""),70.0)</f>
        <v>70</v>
      </c>
      <c r="F1184" s="19" t="str">
        <f>IFERROR(__xludf.DUMMYFUNCTION("""COMPUTED_VALUE"""),"BLACK")</f>
        <v>BLACK</v>
      </c>
      <c r="G1184" s="20" t="str">
        <f>IFERROR(__xludf.DUMMYFUNCTION("""COMPUTED_VALUE"""),"Uncle Sams Cider (5/13/2022)")</f>
        <v>Uncle Sams Cider (5/13/2022)</v>
      </c>
      <c r="H1184" s="19"/>
    </row>
    <row r="1185">
      <c r="A1185" s="9"/>
      <c r="B1185" s="15"/>
      <c r="C1185" s="9">
        <f>IFERROR(__xludf.DUMMYFUNCTION("""COMPUTED_VALUE"""),44784.2708720949)</f>
        <v>44784.27087</v>
      </c>
      <c r="D1185" s="15">
        <f>IFERROR(__xludf.DUMMYFUNCTION("""COMPUTED_VALUE"""),1.004)</f>
        <v>1.004</v>
      </c>
      <c r="E1185" s="16">
        <f>IFERROR(__xludf.DUMMYFUNCTION("""COMPUTED_VALUE"""),69.0)</f>
        <v>69</v>
      </c>
      <c r="F1185" s="19" t="str">
        <f>IFERROR(__xludf.DUMMYFUNCTION("""COMPUTED_VALUE"""),"BLACK")</f>
        <v>BLACK</v>
      </c>
      <c r="G1185" s="20" t="str">
        <f>IFERROR(__xludf.DUMMYFUNCTION("""COMPUTED_VALUE"""),"Uncle Sams Cider (5/13/2022)")</f>
        <v>Uncle Sams Cider (5/13/2022)</v>
      </c>
      <c r="H1185" s="19"/>
    </row>
    <row r="1186">
      <c r="A1186" s="9"/>
      <c r="B1186" s="15"/>
      <c r="C1186" s="9">
        <f>IFERROR(__xludf.DUMMYFUNCTION("""COMPUTED_VALUE"""),44784.2604523842)</f>
        <v>44784.26045</v>
      </c>
      <c r="D1186" s="15">
        <f>IFERROR(__xludf.DUMMYFUNCTION("""COMPUTED_VALUE"""),1.004)</f>
        <v>1.004</v>
      </c>
      <c r="E1186" s="16">
        <f>IFERROR(__xludf.DUMMYFUNCTION("""COMPUTED_VALUE"""),69.0)</f>
        <v>69</v>
      </c>
      <c r="F1186" s="19" t="str">
        <f>IFERROR(__xludf.DUMMYFUNCTION("""COMPUTED_VALUE"""),"BLACK")</f>
        <v>BLACK</v>
      </c>
      <c r="G1186" s="20" t="str">
        <f>IFERROR(__xludf.DUMMYFUNCTION("""COMPUTED_VALUE"""),"Uncle Sams Cider (5/13/2022)")</f>
        <v>Uncle Sams Cider (5/13/2022)</v>
      </c>
      <c r="H1186" s="19"/>
    </row>
    <row r="1187">
      <c r="A1187" s="9"/>
      <c r="B1187" s="15"/>
      <c r="C1187" s="9">
        <f>IFERROR(__xludf.DUMMYFUNCTION("""COMPUTED_VALUE"""),44784.2500191319)</f>
        <v>44784.25002</v>
      </c>
      <c r="D1187" s="15">
        <f>IFERROR(__xludf.DUMMYFUNCTION("""COMPUTED_VALUE"""),1.004)</f>
        <v>1.004</v>
      </c>
      <c r="E1187" s="16">
        <f>IFERROR(__xludf.DUMMYFUNCTION("""COMPUTED_VALUE"""),69.0)</f>
        <v>69</v>
      </c>
      <c r="F1187" s="19" t="str">
        <f>IFERROR(__xludf.DUMMYFUNCTION("""COMPUTED_VALUE"""),"BLACK")</f>
        <v>BLACK</v>
      </c>
      <c r="G1187" s="20" t="str">
        <f>IFERROR(__xludf.DUMMYFUNCTION("""COMPUTED_VALUE"""),"Uncle Sams Cider (5/13/2022)")</f>
        <v>Uncle Sams Cider (5/13/2022)</v>
      </c>
      <c r="H1187" s="19"/>
    </row>
    <row r="1188">
      <c r="A1188" s="9"/>
      <c r="B1188" s="15"/>
      <c r="C1188" s="9">
        <f>IFERROR(__xludf.DUMMYFUNCTION("""COMPUTED_VALUE"""),44784.2395983796)</f>
        <v>44784.2396</v>
      </c>
      <c r="D1188" s="15">
        <f>IFERROR(__xludf.DUMMYFUNCTION("""COMPUTED_VALUE"""),1.004)</f>
        <v>1.004</v>
      </c>
      <c r="E1188" s="16">
        <f>IFERROR(__xludf.DUMMYFUNCTION("""COMPUTED_VALUE"""),69.0)</f>
        <v>69</v>
      </c>
      <c r="F1188" s="19" t="str">
        <f>IFERROR(__xludf.DUMMYFUNCTION("""COMPUTED_VALUE"""),"BLACK")</f>
        <v>BLACK</v>
      </c>
      <c r="G1188" s="20" t="str">
        <f>IFERROR(__xludf.DUMMYFUNCTION("""COMPUTED_VALUE"""),"Uncle Sams Cider (5/13/2022)")</f>
        <v>Uncle Sams Cider (5/13/2022)</v>
      </c>
      <c r="H1188" s="19"/>
    </row>
    <row r="1189">
      <c r="A1189" s="9"/>
      <c r="B1189" s="15"/>
      <c r="C1189" s="9">
        <f>IFERROR(__xludf.DUMMYFUNCTION("""COMPUTED_VALUE"""),44784.2291784837)</f>
        <v>44784.22918</v>
      </c>
      <c r="D1189" s="15">
        <f>IFERROR(__xludf.DUMMYFUNCTION("""COMPUTED_VALUE"""),1.004)</f>
        <v>1.004</v>
      </c>
      <c r="E1189" s="16">
        <f>IFERROR(__xludf.DUMMYFUNCTION("""COMPUTED_VALUE"""),69.0)</f>
        <v>69</v>
      </c>
      <c r="F1189" s="19" t="str">
        <f>IFERROR(__xludf.DUMMYFUNCTION("""COMPUTED_VALUE"""),"BLACK")</f>
        <v>BLACK</v>
      </c>
      <c r="G1189" s="20" t="str">
        <f>IFERROR(__xludf.DUMMYFUNCTION("""COMPUTED_VALUE"""),"Uncle Sams Cider (5/13/2022)")</f>
        <v>Uncle Sams Cider (5/13/2022)</v>
      </c>
      <c r="H1189" s="19"/>
    </row>
    <row r="1190">
      <c r="A1190" s="9"/>
      <c r="B1190" s="15"/>
      <c r="C1190" s="9">
        <f>IFERROR(__xludf.DUMMYFUNCTION("""COMPUTED_VALUE"""),44784.2187564351)</f>
        <v>44784.21876</v>
      </c>
      <c r="D1190" s="15">
        <f>IFERROR(__xludf.DUMMYFUNCTION("""COMPUTED_VALUE"""),1.004)</f>
        <v>1.004</v>
      </c>
      <c r="E1190" s="16">
        <f>IFERROR(__xludf.DUMMYFUNCTION("""COMPUTED_VALUE"""),69.0)</f>
        <v>69</v>
      </c>
      <c r="F1190" s="19" t="str">
        <f>IFERROR(__xludf.DUMMYFUNCTION("""COMPUTED_VALUE"""),"BLACK")</f>
        <v>BLACK</v>
      </c>
      <c r="G1190" s="20" t="str">
        <f>IFERROR(__xludf.DUMMYFUNCTION("""COMPUTED_VALUE"""),"Uncle Sams Cider (5/13/2022)")</f>
        <v>Uncle Sams Cider (5/13/2022)</v>
      </c>
      <c r="H1190" s="19"/>
    </row>
    <row r="1191">
      <c r="A1191" s="9"/>
      <c r="B1191" s="15"/>
      <c r="C1191" s="9">
        <f>IFERROR(__xludf.DUMMYFUNCTION("""COMPUTED_VALUE"""),44784.2083251273)</f>
        <v>44784.20833</v>
      </c>
      <c r="D1191" s="15">
        <f>IFERROR(__xludf.DUMMYFUNCTION("""COMPUTED_VALUE"""),1.004)</f>
        <v>1.004</v>
      </c>
      <c r="E1191" s="16">
        <f>IFERROR(__xludf.DUMMYFUNCTION("""COMPUTED_VALUE"""),69.0)</f>
        <v>69</v>
      </c>
      <c r="F1191" s="19" t="str">
        <f>IFERROR(__xludf.DUMMYFUNCTION("""COMPUTED_VALUE"""),"BLACK")</f>
        <v>BLACK</v>
      </c>
      <c r="G1191" s="20" t="str">
        <f>IFERROR(__xludf.DUMMYFUNCTION("""COMPUTED_VALUE"""),"Uncle Sams Cider (5/13/2022)")</f>
        <v>Uncle Sams Cider (5/13/2022)</v>
      </c>
      <c r="H1191" s="19"/>
    </row>
    <row r="1192">
      <c r="A1192" s="9"/>
      <c r="B1192" s="15"/>
      <c r="C1192" s="9">
        <f>IFERROR(__xludf.DUMMYFUNCTION("""COMPUTED_VALUE"""),44784.1979044213)</f>
        <v>44784.1979</v>
      </c>
      <c r="D1192" s="15">
        <f>IFERROR(__xludf.DUMMYFUNCTION("""COMPUTED_VALUE"""),1.004)</f>
        <v>1.004</v>
      </c>
      <c r="E1192" s="16">
        <f>IFERROR(__xludf.DUMMYFUNCTION("""COMPUTED_VALUE"""),69.0)</f>
        <v>69</v>
      </c>
      <c r="F1192" s="19" t="str">
        <f>IFERROR(__xludf.DUMMYFUNCTION("""COMPUTED_VALUE"""),"BLACK")</f>
        <v>BLACK</v>
      </c>
      <c r="G1192" s="20" t="str">
        <f>IFERROR(__xludf.DUMMYFUNCTION("""COMPUTED_VALUE"""),"Uncle Sams Cider (5/13/2022)")</f>
        <v>Uncle Sams Cider (5/13/2022)</v>
      </c>
      <c r="H1192" s="19"/>
    </row>
    <row r="1193">
      <c r="A1193" s="9"/>
      <c r="B1193" s="15"/>
      <c r="C1193" s="9">
        <f>IFERROR(__xludf.DUMMYFUNCTION("""COMPUTED_VALUE"""),44784.1874838773)</f>
        <v>44784.18748</v>
      </c>
      <c r="D1193" s="15">
        <f>IFERROR(__xludf.DUMMYFUNCTION("""COMPUTED_VALUE"""),1.004)</f>
        <v>1.004</v>
      </c>
      <c r="E1193" s="16">
        <f>IFERROR(__xludf.DUMMYFUNCTION("""COMPUTED_VALUE"""),69.0)</f>
        <v>69</v>
      </c>
      <c r="F1193" s="19" t="str">
        <f>IFERROR(__xludf.DUMMYFUNCTION("""COMPUTED_VALUE"""),"BLACK")</f>
        <v>BLACK</v>
      </c>
      <c r="G1193" s="20" t="str">
        <f>IFERROR(__xludf.DUMMYFUNCTION("""COMPUTED_VALUE"""),"Uncle Sams Cider (5/13/2022)")</f>
        <v>Uncle Sams Cider (5/13/2022)</v>
      </c>
      <c r="H1193" s="19"/>
    </row>
    <row r="1194">
      <c r="A1194" s="9"/>
      <c r="B1194" s="15"/>
      <c r="C1194" s="9">
        <f>IFERROR(__xludf.DUMMYFUNCTION("""COMPUTED_VALUE"""),44784.1770631944)</f>
        <v>44784.17706</v>
      </c>
      <c r="D1194" s="15">
        <f>IFERROR(__xludf.DUMMYFUNCTION("""COMPUTED_VALUE"""),1.004)</f>
        <v>1.004</v>
      </c>
      <c r="E1194" s="16">
        <f>IFERROR(__xludf.DUMMYFUNCTION("""COMPUTED_VALUE"""),69.0)</f>
        <v>69</v>
      </c>
      <c r="F1194" s="19" t="str">
        <f>IFERROR(__xludf.DUMMYFUNCTION("""COMPUTED_VALUE"""),"BLACK")</f>
        <v>BLACK</v>
      </c>
      <c r="G1194" s="20" t="str">
        <f>IFERROR(__xludf.DUMMYFUNCTION("""COMPUTED_VALUE"""),"Uncle Sams Cider (5/13/2022)")</f>
        <v>Uncle Sams Cider (5/13/2022)</v>
      </c>
      <c r="H1194" s="19"/>
    </row>
    <row r="1195">
      <c r="A1195" s="9"/>
      <c r="B1195" s="15"/>
      <c r="C1195" s="9">
        <f>IFERROR(__xludf.DUMMYFUNCTION("""COMPUTED_VALUE"""),44784.1666421875)</f>
        <v>44784.16664</v>
      </c>
      <c r="D1195" s="15">
        <f>IFERROR(__xludf.DUMMYFUNCTION("""COMPUTED_VALUE"""),1.004)</f>
        <v>1.004</v>
      </c>
      <c r="E1195" s="16">
        <f>IFERROR(__xludf.DUMMYFUNCTION("""COMPUTED_VALUE"""),69.0)</f>
        <v>69</v>
      </c>
      <c r="F1195" s="19" t="str">
        <f>IFERROR(__xludf.DUMMYFUNCTION("""COMPUTED_VALUE"""),"BLACK")</f>
        <v>BLACK</v>
      </c>
      <c r="G1195" s="20" t="str">
        <f>IFERROR(__xludf.DUMMYFUNCTION("""COMPUTED_VALUE"""),"Uncle Sams Cider (5/13/2022)")</f>
        <v>Uncle Sams Cider (5/13/2022)</v>
      </c>
      <c r="H1195" s="19"/>
    </row>
    <row r="1196">
      <c r="A1196" s="9"/>
      <c r="B1196" s="15"/>
      <c r="C1196" s="9">
        <f>IFERROR(__xludf.DUMMYFUNCTION("""COMPUTED_VALUE"""),44784.1562207523)</f>
        <v>44784.15622</v>
      </c>
      <c r="D1196" s="15">
        <f>IFERROR(__xludf.DUMMYFUNCTION("""COMPUTED_VALUE"""),1.004)</f>
        <v>1.004</v>
      </c>
      <c r="E1196" s="16">
        <f>IFERROR(__xludf.DUMMYFUNCTION("""COMPUTED_VALUE"""),69.0)</f>
        <v>69</v>
      </c>
      <c r="F1196" s="19" t="str">
        <f>IFERROR(__xludf.DUMMYFUNCTION("""COMPUTED_VALUE"""),"BLACK")</f>
        <v>BLACK</v>
      </c>
      <c r="G1196" s="20" t="str">
        <f>IFERROR(__xludf.DUMMYFUNCTION("""COMPUTED_VALUE"""),"Uncle Sams Cider (5/13/2022)")</f>
        <v>Uncle Sams Cider (5/13/2022)</v>
      </c>
      <c r="H1196" s="19"/>
    </row>
    <row r="1197">
      <c r="A1197" s="9"/>
      <c r="B1197" s="15"/>
      <c r="C1197" s="9">
        <f>IFERROR(__xludf.DUMMYFUNCTION("""COMPUTED_VALUE"""),44784.1457988425)</f>
        <v>44784.1458</v>
      </c>
      <c r="D1197" s="15">
        <f>IFERROR(__xludf.DUMMYFUNCTION("""COMPUTED_VALUE"""),1.004)</f>
        <v>1.004</v>
      </c>
      <c r="E1197" s="16">
        <f>IFERROR(__xludf.DUMMYFUNCTION("""COMPUTED_VALUE"""),69.0)</f>
        <v>69</v>
      </c>
      <c r="F1197" s="19" t="str">
        <f>IFERROR(__xludf.DUMMYFUNCTION("""COMPUTED_VALUE"""),"BLACK")</f>
        <v>BLACK</v>
      </c>
      <c r="G1197" s="20" t="str">
        <f>IFERROR(__xludf.DUMMYFUNCTION("""COMPUTED_VALUE"""),"Uncle Sams Cider (5/13/2022)")</f>
        <v>Uncle Sams Cider (5/13/2022)</v>
      </c>
      <c r="H1197" s="19"/>
    </row>
    <row r="1198">
      <c r="A1198" s="9"/>
      <c r="B1198" s="15"/>
      <c r="C1198" s="9">
        <f>IFERROR(__xludf.DUMMYFUNCTION("""COMPUTED_VALUE"""),44784.1353768171)</f>
        <v>44784.13538</v>
      </c>
      <c r="D1198" s="15">
        <f>IFERROR(__xludf.DUMMYFUNCTION("""COMPUTED_VALUE"""),1.004)</f>
        <v>1.004</v>
      </c>
      <c r="E1198" s="16">
        <f>IFERROR(__xludf.DUMMYFUNCTION("""COMPUTED_VALUE"""),69.0)</f>
        <v>69</v>
      </c>
      <c r="F1198" s="19" t="str">
        <f>IFERROR(__xludf.DUMMYFUNCTION("""COMPUTED_VALUE"""),"BLACK")</f>
        <v>BLACK</v>
      </c>
      <c r="G1198" s="20" t="str">
        <f>IFERROR(__xludf.DUMMYFUNCTION("""COMPUTED_VALUE"""),"Uncle Sams Cider (5/13/2022)")</f>
        <v>Uncle Sams Cider (5/13/2022)</v>
      </c>
      <c r="H1198" s="19"/>
    </row>
    <row r="1199">
      <c r="A1199" s="9"/>
      <c r="B1199" s="15"/>
      <c r="C1199" s="9">
        <f>IFERROR(__xludf.DUMMYFUNCTION("""COMPUTED_VALUE"""),44784.1249543055)</f>
        <v>44784.12495</v>
      </c>
      <c r="D1199" s="15">
        <f>IFERROR(__xludf.DUMMYFUNCTION("""COMPUTED_VALUE"""),1.004)</f>
        <v>1.004</v>
      </c>
      <c r="E1199" s="16">
        <f>IFERROR(__xludf.DUMMYFUNCTION("""COMPUTED_VALUE"""),69.0)</f>
        <v>69</v>
      </c>
      <c r="F1199" s="19" t="str">
        <f>IFERROR(__xludf.DUMMYFUNCTION("""COMPUTED_VALUE"""),"BLACK")</f>
        <v>BLACK</v>
      </c>
      <c r="G1199" s="20" t="str">
        <f>IFERROR(__xludf.DUMMYFUNCTION("""COMPUTED_VALUE"""),"Uncle Sams Cider (5/13/2022)")</f>
        <v>Uncle Sams Cider (5/13/2022)</v>
      </c>
      <c r="H1199" s="19"/>
    </row>
    <row r="1200">
      <c r="A1200" s="9"/>
      <c r="B1200" s="15"/>
      <c r="C1200" s="9">
        <f>IFERROR(__xludf.DUMMYFUNCTION("""COMPUTED_VALUE"""),44784.1145205902)</f>
        <v>44784.11452</v>
      </c>
      <c r="D1200" s="15">
        <f>IFERROR(__xludf.DUMMYFUNCTION("""COMPUTED_VALUE"""),1.004)</f>
        <v>1.004</v>
      </c>
      <c r="E1200" s="16">
        <f>IFERROR(__xludf.DUMMYFUNCTION("""COMPUTED_VALUE"""),69.0)</f>
        <v>69</v>
      </c>
      <c r="F1200" s="19" t="str">
        <f>IFERROR(__xludf.DUMMYFUNCTION("""COMPUTED_VALUE"""),"BLACK")</f>
        <v>BLACK</v>
      </c>
      <c r="G1200" s="20" t="str">
        <f>IFERROR(__xludf.DUMMYFUNCTION("""COMPUTED_VALUE"""),"Uncle Sams Cider (5/13/2022)")</f>
        <v>Uncle Sams Cider (5/13/2022)</v>
      </c>
      <c r="H1200" s="19"/>
    </row>
    <row r="1201">
      <c r="A1201" s="9"/>
      <c r="B1201" s="15"/>
      <c r="C1201" s="9">
        <f>IFERROR(__xludf.DUMMYFUNCTION("""COMPUTED_VALUE"""),44784.1040991435)</f>
        <v>44784.1041</v>
      </c>
      <c r="D1201" s="15">
        <f>IFERROR(__xludf.DUMMYFUNCTION("""COMPUTED_VALUE"""),1.004)</f>
        <v>1.004</v>
      </c>
      <c r="E1201" s="16">
        <f>IFERROR(__xludf.DUMMYFUNCTION("""COMPUTED_VALUE"""),69.0)</f>
        <v>69</v>
      </c>
      <c r="F1201" s="19" t="str">
        <f>IFERROR(__xludf.DUMMYFUNCTION("""COMPUTED_VALUE"""),"BLACK")</f>
        <v>BLACK</v>
      </c>
      <c r="G1201" s="20" t="str">
        <f>IFERROR(__xludf.DUMMYFUNCTION("""COMPUTED_VALUE"""),"Uncle Sams Cider (5/13/2022)")</f>
        <v>Uncle Sams Cider (5/13/2022)</v>
      </c>
      <c r="H1201" s="19"/>
    </row>
    <row r="1202">
      <c r="A1202" s="9"/>
      <c r="B1202" s="15"/>
      <c r="C1202" s="9">
        <f>IFERROR(__xludf.DUMMYFUNCTION("""COMPUTED_VALUE"""),44784.0936664004)</f>
        <v>44784.09367</v>
      </c>
      <c r="D1202" s="15">
        <f>IFERROR(__xludf.DUMMYFUNCTION("""COMPUTED_VALUE"""),1.004)</f>
        <v>1.004</v>
      </c>
      <c r="E1202" s="16">
        <f>IFERROR(__xludf.DUMMYFUNCTION("""COMPUTED_VALUE"""),69.0)</f>
        <v>69</v>
      </c>
      <c r="F1202" s="19" t="str">
        <f>IFERROR(__xludf.DUMMYFUNCTION("""COMPUTED_VALUE"""),"BLACK")</f>
        <v>BLACK</v>
      </c>
      <c r="G1202" s="20" t="str">
        <f>IFERROR(__xludf.DUMMYFUNCTION("""COMPUTED_VALUE"""),"Uncle Sams Cider (5/13/2022)")</f>
        <v>Uncle Sams Cider (5/13/2022)</v>
      </c>
      <c r="H1202" s="19"/>
    </row>
    <row r="1203">
      <c r="A1203" s="9"/>
      <c r="B1203" s="15"/>
      <c r="C1203" s="9">
        <f>IFERROR(__xludf.DUMMYFUNCTION("""COMPUTED_VALUE"""),44784.0832322222)</f>
        <v>44784.08323</v>
      </c>
      <c r="D1203" s="15">
        <f>IFERROR(__xludf.DUMMYFUNCTION("""COMPUTED_VALUE"""),1.004)</f>
        <v>1.004</v>
      </c>
      <c r="E1203" s="16">
        <f>IFERROR(__xludf.DUMMYFUNCTION("""COMPUTED_VALUE"""),69.0)</f>
        <v>69</v>
      </c>
      <c r="F1203" s="19" t="str">
        <f>IFERROR(__xludf.DUMMYFUNCTION("""COMPUTED_VALUE"""),"BLACK")</f>
        <v>BLACK</v>
      </c>
      <c r="G1203" s="20" t="str">
        <f>IFERROR(__xludf.DUMMYFUNCTION("""COMPUTED_VALUE"""),"Uncle Sams Cider (5/13/2022)")</f>
        <v>Uncle Sams Cider (5/13/2022)</v>
      </c>
      <c r="H1203" s="19"/>
    </row>
    <row r="1204">
      <c r="A1204" s="9"/>
      <c r="B1204" s="15"/>
      <c r="C1204" s="9">
        <f>IFERROR(__xludf.DUMMYFUNCTION("""COMPUTED_VALUE"""),44784.0728104282)</f>
        <v>44784.07281</v>
      </c>
      <c r="D1204" s="15">
        <f>IFERROR(__xludf.DUMMYFUNCTION("""COMPUTED_VALUE"""),1.004)</f>
        <v>1.004</v>
      </c>
      <c r="E1204" s="16">
        <f>IFERROR(__xludf.DUMMYFUNCTION("""COMPUTED_VALUE"""),69.0)</f>
        <v>69</v>
      </c>
      <c r="F1204" s="19" t="str">
        <f>IFERROR(__xludf.DUMMYFUNCTION("""COMPUTED_VALUE"""),"BLACK")</f>
        <v>BLACK</v>
      </c>
      <c r="G1204" s="20" t="str">
        <f>IFERROR(__xludf.DUMMYFUNCTION("""COMPUTED_VALUE"""),"Uncle Sams Cider (5/13/2022)")</f>
        <v>Uncle Sams Cider (5/13/2022)</v>
      </c>
      <c r="H1204" s="19"/>
    </row>
    <row r="1205">
      <c r="A1205" s="9"/>
      <c r="B1205" s="15"/>
      <c r="C1205" s="9">
        <f>IFERROR(__xludf.DUMMYFUNCTION("""COMPUTED_VALUE"""),44784.0623892361)</f>
        <v>44784.06239</v>
      </c>
      <c r="D1205" s="15">
        <f>IFERROR(__xludf.DUMMYFUNCTION("""COMPUTED_VALUE"""),1.004)</f>
        <v>1.004</v>
      </c>
      <c r="E1205" s="16">
        <f>IFERROR(__xludf.DUMMYFUNCTION("""COMPUTED_VALUE"""),69.0)</f>
        <v>69</v>
      </c>
      <c r="F1205" s="19" t="str">
        <f>IFERROR(__xludf.DUMMYFUNCTION("""COMPUTED_VALUE"""),"BLACK")</f>
        <v>BLACK</v>
      </c>
      <c r="G1205" s="20" t="str">
        <f>IFERROR(__xludf.DUMMYFUNCTION("""COMPUTED_VALUE"""),"Uncle Sams Cider (5/13/2022)")</f>
        <v>Uncle Sams Cider (5/13/2022)</v>
      </c>
      <c r="H1205" s="19"/>
    </row>
    <row r="1206">
      <c r="A1206" s="9"/>
      <c r="B1206" s="15"/>
      <c r="C1206" s="9">
        <f>IFERROR(__xludf.DUMMYFUNCTION("""COMPUTED_VALUE"""),44784.0519574074)</f>
        <v>44784.05196</v>
      </c>
      <c r="D1206" s="15">
        <f>IFERROR(__xludf.DUMMYFUNCTION("""COMPUTED_VALUE"""),1.004)</f>
        <v>1.004</v>
      </c>
      <c r="E1206" s="16">
        <f>IFERROR(__xludf.DUMMYFUNCTION("""COMPUTED_VALUE"""),69.0)</f>
        <v>69</v>
      </c>
      <c r="F1206" s="19" t="str">
        <f>IFERROR(__xludf.DUMMYFUNCTION("""COMPUTED_VALUE"""),"BLACK")</f>
        <v>BLACK</v>
      </c>
      <c r="G1206" s="20" t="str">
        <f>IFERROR(__xludf.DUMMYFUNCTION("""COMPUTED_VALUE"""),"Uncle Sams Cider (5/13/2022)")</f>
        <v>Uncle Sams Cider (5/13/2022)</v>
      </c>
      <c r="H1206" s="19"/>
    </row>
    <row r="1207">
      <c r="A1207" s="9"/>
      <c r="B1207" s="15"/>
      <c r="C1207" s="9">
        <f>IFERROR(__xludf.DUMMYFUNCTION("""COMPUTED_VALUE"""),44784.0415246643)</f>
        <v>44784.04152</v>
      </c>
      <c r="D1207" s="15">
        <f>IFERROR(__xludf.DUMMYFUNCTION("""COMPUTED_VALUE"""),1.004)</f>
        <v>1.004</v>
      </c>
      <c r="E1207" s="16">
        <f>IFERROR(__xludf.DUMMYFUNCTION("""COMPUTED_VALUE"""),69.0)</f>
        <v>69</v>
      </c>
      <c r="F1207" s="19" t="str">
        <f>IFERROR(__xludf.DUMMYFUNCTION("""COMPUTED_VALUE"""),"BLACK")</f>
        <v>BLACK</v>
      </c>
      <c r="G1207" s="20" t="str">
        <f>IFERROR(__xludf.DUMMYFUNCTION("""COMPUTED_VALUE"""),"Uncle Sams Cider (5/13/2022)")</f>
        <v>Uncle Sams Cider (5/13/2022)</v>
      </c>
      <c r="H1207" s="19"/>
    </row>
    <row r="1208">
      <c r="A1208" s="9"/>
      <c r="B1208" s="15"/>
      <c r="C1208" s="9">
        <f>IFERROR(__xludf.DUMMYFUNCTION("""COMPUTED_VALUE"""),44784.0310911574)</f>
        <v>44784.03109</v>
      </c>
      <c r="D1208" s="15">
        <f>IFERROR(__xludf.DUMMYFUNCTION("""COMPUTED_VALUE"""),1.004)</f>
        <v>1.004</v>
      </c>
      <c r="E1208" s="16">
        <f>IFERROR(__xludf.DUMMYFUNCTION("""COMPUTED_VALUE"""),69.0)</f>
        <v>69</v>
      </c>
      <c r="F1208" s="19" t="str">
        <f>IFERROR(__xludf.DUMMYFUNCTION("""COMPUTED_VALUE"""),"BLACK")</f>
        <v>BLACK</v>
      </c>
      <c r="G1208" s="20" t="str">
        <f>IFERROR(__xludf.DUMMYFUNCTION("""COMPUTED_VALUE"""),"Uncle Sams Cider (5/13/2022)")</f>
        <v>Uncle Sams Cider (5/13/2022)</v>
      </c>
      <c r="H1208" s="19"/>
    </row>
    <row r="1209">
      <c r="A1209" s="9"/>
      <c r="B1209" s="15"/>
      <c r="C1209" s="9">
        <f>IFERROR(__xludf.DUMMYFUNCTION("""COMPUTED_VALUE"""),44784.0206582754)</f>
        <v>44784.02066</v>
      </c>
      <c r="D1209" s="15">
        <f>IFERROR(__xludf.DUMMYFUNCTION("""COMPUTED_VALUE"""),1.004)</f>
        <v>1.004</v>
      </c>
      <c r="E1209" s="16">
        <f>IFERROR(__xludf.DUMMYFUNCTION("""COMPUTED_VALUE"""),69.0)</f>
        <v>69</v>
      </c>
      <c r="F1209" s="19" t="str">
        <f>IFERROR(__xludf.DUMMYFUNCTION("""COMPUTED_VALUE"""),"BLACK")</f>
        <v>BLACK</v>
      </c>
      <c r="G1209" s="20" t="str">
        <f>IFERROR(__xludf.DUMMYFUNCTION("""COMPUTED_VALUE"""),"Uncle Sams Cider (5/13/2022)")</f>
        <v>Uncle Sams Cider (5/13/2022)</v>
      </c>
      <c r="H1209" s="19"/>
    </row>
    <row r="1210">
      <c r="A1210" s="9"/>
      <c r="B1210" s="15"/>
      <c r="C1210" s="9">
        <f>IFERROR(__xludf.DUMMYFUNCTION("""COMPUTED_VALUE"""),44784.0102251736)</f>
        <v>44784.01023</v>
      </c>
      <c r="D1210" s="15">
        <f>IFERROR(__xludf.DUMMYFUNCTION("""COMPUTED_VALUE"""),1.004)</f>
        <v>1.004</v>
      </c>
      <c r="E1210" s="16">
        <f>IFERROR(__xludf.DUMMYFUNCTION("""COMPUTED_VALUE"""),69.0)</f>
        <v>69</v>
      </c>
      <c r="F1210" s="19" t="str">
        <f>IFERROR(__xludf.DUMMYFUNCTION("""COMPUTED_VALUE"""),"BLACK")</f>
        <v>BLACK</v>
      </c>
      <c r="G1210" s="20" t="str">
        <f>IFERROR(__xludf.DUMMYFUNCTION("""COMPUTED_VALUE"""),"Uncle Sams Cider (5/13/2022)")</f>
        <v>Uncle Sams Cider (5/13/2022)</v>
      </c>
      <c r="H1210" s="19"/>
    </row>
    <row r="1211">
      <c r="A1211" s="9"/>
      <c r="B1211" s="15"/>
      <c r="C1211" s="9">
        <f>IFERROR(__xludf.DUMMYFUNCTION("""COMPUTED_VALUE"""),44783.9998057175)</f>
        <v>44783.99981</v>
      </c>
      <c r="D1211" s="15">
        <f>IFERROR(__xludf.DUMMYFUNCTION("""COMPUTED_VALUE"""),1.004)</f>
        <v>1.004</v>
      </c>
      <c r="E1211" s="16">
        <f>IFERROR(__xludf.DUMMYFUNCTION("""COMPUTED_VALUE"""),69.0)</f>
        <v>69</v>
      </c>
      <c r="F1211" s="19" t="str">
        <f>IFERROR(__xludf.DUMMYFUNCTION("""COMPUTED_VALUE"""),"BLACK")</f>
        <v>BLACK</v>
      </c>
      <c r="G1211" s="20" t="str">
        <f>IFERROR(__xludf.DUMMYFUNCTION("""COMPUTED_VALUE"""),"Uncle Sams Cider (5/13/2022)")</f>
        <v>Uncle Sams Cider (5/13/2022)</v>
      </c>
      <c r="H1211" s="19"/>
    </row>
    <row r="1212">
      <c r="A1212" s="9"/>
      <c r="B1212" s="15"/>
      <c r="C1212" s="9">
        <f>IFERROR(__xludf.DUMMYFUNCTION("""COMPUTED_VALUE"""),44783.989371956)</f>
        <v>44783.98937</v>
      </c>
      <c r="D1212" s="15">
        <f>IFERROR(__xludf.DUMMYFUNCTION("""COMPUTED_VALUE"""),1.004)</f>
        <v>1.004</v>
      </c>
      <c r="E1212" s="16">
        <f>IFERROR(__xludf.DUMMYFUNCTION("""COMPUTED_VALUE"""),69.0)</f>
        <v>69</v>
      </c>
      <c r="F1212" s="19" t="str">
        <f>IFERROR(__xludf.DUMMYFUNCTION("""COMPUTED_VALUE"""),"BLACK")</f>
        <v>BLACK</v>
      </c>
      <c r="G1212" s="20" t="str">
        <f>IFERROR(__xludf.DUMMYFUNCTION("""COMPUTED_VALUE"""),"Uncle Sams Cider (5/13/2022)")</f>
        <v>Uncle Sams Cider (5/13/2022)</v>
      </c>
      <c r="H1212" s="19"/>
    </row>
    <row r="1213">
      <c r="A1213" s="9"/>
      <c r="B1213" s="15"/>
      <c r="C1213" s="9">
        <f>IFERROR(__xludf.DUMMYFUNCTION("""COMPUTED_VALUE"""),44783.9789510879)</f>
        <v>44783.97895</v>
      </c>
      <c r="D1213" s="15">
        <f>IFERROR(__xludf.DUMMYFUNCTION("""COMPUTED_VALUE"""),1.004)</f>
        <v>1.004</v>
      </c>
      <c r="E1213" s="16">
        <f>IFERROR(__xludf.DUMMYFUNCTION("""COMPUTED_VALUE"""),69.0)</f>
        <v>69</v>
      </c>
      <c r="F1213" s="19" t="str">
        <f>IFERROR(__xludf.DUMMYFUNCTION("""COMPUTED_VALUE"""),"BLACK")</f>
        <v>BLACK</v>
      </c>
      <c r="G1213" s="20" t="str">
        <f>IFERROR(__xludf.DUMMYFUNCTION("""COMPUTED_VALUE"""),"Uncle Sams Cider (5/13/2022)")</f>
        <v>Uncle Sams Cider (5/13/2022)</v>
      </c>
      <c r="H1213" s="19"/>
    </row>
    <row r="1214">
      <c r="A1214" s="9"/>
      <c r="B1214" s="15"/>
      <c r="C1214" s="9">
        <f>IFERROR(__xludf.DUMMYFUNCTION("""COMPUTED_VALUE"""),44783.9685198495)</f>
        <v>44783.96852</v>
      </c>
      <c r="D1214" s="15">
        <f>IFERROR(__xludf.DUMMYFUNCTION("""COMPUTED_VALUE"""),1.004)</f>
        <v>1.004</v>
      </c>
      <c r="E1214" s="16">
        <f>IFERROR(__xludf.DUMMYFUNCTION("""COMPUTED_VALUE"""),69.0)</f>
        <v>69</v>
      </c>
      <c r="F1214" s="19" t="str">
        <f>IFERROR(__xludf.DUMMYFUNCTION("""COMPUTED_VALUE"""),"BLACK")</f>
        <v>BLACK</v>
      </c>
      <c r="G1214" s="20" t="str">
        <f>IFERROR(__xludf.DUMMYFUNCTION("""COMPUTED_VALUE"""),"Uncle Sams Cider (5/13/2022)")</f>
        <v>Uncle Sams Cider (5/13/2022)</v>
      </c>
      <c r="H1214" s="19"/>
    </row>
    <row r="1215">
      <c r="A1215" s="9"/>
      <c r="B1215" s="15"/>
      <c r="C1215" s="9">
        <f>IFERROR(__xludf.DUMMYFUNCTION("""COMPUTED_VALUE"""),44783.9580855555)</f>
        <v>44783.95809</v>
      </c>
      <c r="D1215" s="15">
        <f>IFERROR(__xludf.DUMMYFUNCTION("""COMPUTED_VALUE"""),1.004)</f>
        <v>1.004</v>
      </c>
      <c r="E1215" s="16">
        <f>IFERROR(__xludf.DUMMYFUNCTION("""COMPUTED_VALUE"""),69.0)</f>
        <v>69</v>
      </c>
      <c r="F1215" s="19" t="str">
        <f>IFERROR(__xludf.DUMMYFUNCTION("""COMPUTED_VALUE"""),"BLACK")</f>
        <v>BLACK</v>
      </c>
      <c r="G1215" s="20" t="str">
        <f>IFERROR(__xludf.DUMMYFUNCTION("""COMPUTED_VALUE"""),"Uncle Sams Cider (5/13/2022)")</f>
        <v>Uncle Sams Cider (5/13/2022)</v>
      </c>
      <c r="H1215" s="19"/>
    </row>
    <row r="1216">
      <c r="A1216" s="9"/>
      <c r="B1216" s="15"/>
      <c r="C1216" s="9">
        <f>IFERROR(__xludf.DUMMYFUNCTION("""COMPUTED_VALUE"""),44783.9476513078)</f>
        <v>44783.94765</v>
      </c>
      <c r="D1216" s="15">
        <f>IFERROR(__xludf.DUMMYFUNCTION("""COMPUTED_VALUE"""),1.004)</f>
        <v>1.004</v>
      </c>
      <c r="E1216" s="16">
        <f>IFERROR(__xludf.DUMMYFUNCTION("""COMPUTED_VALUE"""),69.0)</f>
        <v>69</v>
      </c>
      <c r="F1216" s="19" t="str">
        <f>IFERROR(__xludf.DUMMYFUNCTION("""COMPUTED_VALUE"""),"BLACK")</f>
        <v>BLACK</v>
      </c>
      <c r="G1216" s="20" t="str">
        <f>IFERROR(__xludf.DUMMYFUNCTION("""COMPUTED_VALUE"""),"Uncle Sams Cider (5/13/2022)")</f>
        <v>Uncle Sams Cider (5/13/2022)</v>
      </c>
      <c r="H1216" s="19"/>
    </row>
    <row r="1217">
      <c r="A1217" s="9"/>
      <c r="B1217" s="15"/>
      <c r="C1217" s="9">
        <f>IFERROR(__xludf.DUMMYFUNCTION("""COMPUTED_VALUE"""),44783.9372310185)</f>
        <v>44783.93723</v>
      </c>
      <c r="D1217" s="15">
        <f>IFERROR(__xludf.DUMMYFUNCTION("""COMPUTED_VALUE"""),1.004)</f>
        <v>1.004</v>
      </c>
      <c r="E1217" s="16">
        <f>IFERROR(__xludf.DUMMYFUNCTION("""COMPUTED_VALUE"""),69.0)</f>
        <v>69</v>
      </c>
      <c r="F1217" s="19" t="str">
        <f>IFERROR(__xludf.DUMMYFUNCTION("""COMPUTED_VALUE"""),"BLACK")</f>
        <v>BLACK</v>
      </c>
      <c r="G1217" s="20" t="str">
        <f>IFERROR(__xludf.DUMMYFUNCTION("""COMPUTED_VALUE"""),"Uncle Sams Cider (5/13/2022)")</f>
        <v>Uncle Sams Cider (5/13/2022)</v>
      </c>
      <c r="H1217" s="19"/>
    </row>
    <row r="1218">
      <c r="A1218" s="9"/>
      <c r="B1218" s="15"/>
      <c r="C1218" s="9">
        <f>IFERROR(__xludf.DUMMYFUNCTION("""COMPUTED_VALUE"""),44783.9267973148)</f>
        <v>44783.9268</v>
      </c>
      <c r="D1218" s="15">
        <f>IFERROR(__xludf.DUMMYFUNCTION("""COMPUTED_VALUE"""),1.004)</f>
        <v>1.004</v>
      </c>
      <c r="E1218" s="16">
        <f>IFERROR(__xludf.DUMMYFUNCTION("""COMPUTED_VALUE"""),69.0)</f>
        <v>69</v>
      </c>
      <c r="F1218" s="19" t="str">
        <f>IFERROR(__xludf.DUMMYFUNCTION("""COMPUTED_VALUE"""),"BLACK")</f>
        <v>BLACK</v>
      </c>
      <c r="G1218" s="20" t="str">
        <f>IFERROR(__xludf.DUMMYFUNCTION("""COMPUTED_VALUE"""),"Uncle Sams Cider (5/13/2022)")</f>
        <v>Uncle Sams Cider (5/13/2022)</v>
      </c>
      <c r="H1218" s="19"/>
    </row>
    <row r="1219">
      <c r="A1219" s="9"/>
      <c r="B1219" s="15"/>
      <c r="C1219" s="9">
        <f>IFERROR(__xludf.DUMMYFUNCTION("""COMPUTED_VALUE"""),44783.9163629513)</f>
        <v>44783.91636</v>
      </c>
      <c r="D1219" s="15">
        <f>IFERROR(__xludf.DUMMYFUNCTION("""COMPUTED_VALUE"""),1.004)</f>
        <v>1.004</v>
      </c>
      <c r="E1219" s="16">
        <f>IFERROR(__xludf.DUMMYFUNCTION("""COMPUTED_VALUE"""),69.0)</f>
        <v>69</v>
      </c>
      <c r="F1219" s="19" t="str">
        <f>IFERROR(__xludf.DUMMYFUNCTION("""COMPUTED_VALUE"""),"BLACK")</f>
        <v>BLACK</v>
      </c>
      <c r="G1219" s="20" t="str">
        <f>IFERROR(__xludf.DUMMYFUNCTION("""COMPUTED_VALUE"""),"Uncle Sams Cider (5/13/2022)")</f>
        <v>Uncle Sams Cider (5/13/2022)</v>
      </c>
      <c r="H1219" s="19"/>
    </row>
    <row r="1220">
      <c r="A1220" s="9"/>
      <c r="B1220" s="15"/>
      <c r="C1220" s="9">
        <f>IFERROR(__xludf.DUMMYFUNCTION("""COMPUTED_VALUE"""),44783.9059313888)</f>
        <v>44783.90593</v>
      </c>
      <c r="D1220" s="15">
        <f>IFERROR(__xludf.DUMMYFUNCTION("""COMPUTED_VALUE"""),1.004)</f>
        <v>1.004</v>
      </c>
      <c r="E1220" s="16">
        <f>IFERROR(__xludf.DUMMYFUNCTION("""COMPUTED_VALUE"""),69.0)</f>
        <v>69</v>
      </c>
      <c r="F1220" s="19" t="str">
        <f>IFERROR(__xludf.DUMMYFUNCTION("""COMPUTED_VALUE"""),"BLACK")</f>
        <v>BLACK</v>
      </c>
      <c r="G1220" s="20" t="str">
        <f>IFERROR(__xludf.DUMMYFUNCTION("""COMPUTED_VALUE"""),"Uncle Sams Cider (5/13/2022)")</f>
        <v>Uncle Sams Cider (5/13/2022)</v>
      </c>
      <c r="H1220" s="19"/>
    </row>
    <row r="1221">
      <c r="A1221" s="9"/>
      <c r="B1221" s="15"/>
      <c r="C1221" s="9">
        <f>IFERROR(__xludf.DUMMYFUNCTION("""COMPUTED_VALUE"""),44783.8955123032)</f>
        <v>44783.89551</v>
      </c>
      <c r="D1221" s="15">
        <f>IFERROR(__xludf.DUMMYFUNCTION("""COMPUTED_VALUE"""),1.004)</f>
        <v>1.004</v>
      </c>
      <c r="E1221" s="16">
        <f>IFERROR(__xludf.DUMMYFUNCTION("""COMPUTED_VALUE"""),69.0)</f>
        <v>69</v>
      </c>
      <c r="F1221" s="19" t="str">
        <f>IFERROR(__xludf.DUMMYFUNCTION("""COMPUTED_VALUE"""),"BLACK")</f>
        <v>BLACK</v>
      </c>
      <c r="G1221" s="20" t="str">
        <f>IFERROR(__xludf.DUMMYFUNCTION("""COMPUTED_VALUE"""),"Uncle Sams Cider (5/13/2022)")</f>
        <v>Uncle Sams Cider (5/13/2022)</v>
      </c>
      <c r="H1221" s="19"/>
    </row>
    <row r="1222">
      <c r="A1222" s="9"/>
      <c r="B1222" s="15"/>
      <c r="C1222" s="9">
        <f>IFERROR(__xludf.DUMMYFUNCTION("""COMPUTED_VALUE"""),44783.8850916319)</f>
        <v>44783.88509</v>
      </c>
      <c r="D1222" s="15">
        <f>IFERROR(__xludf.DUMMYFUNCTION("""COMPUTED_VALUE"""),1.004)</f>
        <v>1.004</v>
      </c>
      <c r="E1222" s="16">
        <f>IFERROR(__xludf.DUMMYFUNCTION("""COMPUTED_VALUE"""),69.0)</f>
        <v>69</v>
      </c>
      <c r="F1222" s="19" t="str">
        <f>IFERROR(__xludf.DUMMYFUNCTION("""COMPUTED_VALUE"""),"BLACK")</f>
        <v>BLACK</v>
      </c>
      <c r="G1222" s="20" t="str">
        <f>IFERROR(__xludf.DUMMYFUNCTION("""COMPUTED_VALUE"""),"Uncle Sams Cider (5/13/2022)")</f>
        <v>Uncle Sams Cider (5/13/2022)</v>
      </c>
      <c r="H1222" s="19"/>
    </row>
    <row r="1223">
      <c r="A1223" s="9"/>
      <c r="B1223" s="15"/>
      <c r="C1223" s="9">
        <f>IFERROR(__xludf.DUMMYFUNCTION("""COMPUTED_VALUE"""),44783.8746589814)</f>
        <v>44783.87466</v>
      </c>
      <c r="D1223" s="15">
        <f>IFERROR(__xludf.DUMMYFUNCTION("""COMPUTED_VALUE"""),1.004)</f>
        <v>1.004</v>
      </c>
      <c r="E1223" s="16">
        <f>IFERROR(__xludf.DUMMYFUNCTION("""COMPUTED_VALUE"""),69.0)</f>
        <v>69</v>
      </c>
      <c r="F1223" s="19" t="str">
        <f>IFERROR(__xludf.DUMMYFUNCTION("""COMPUTED_VALUE"""),"BLACK")</f>
        <v>BLACK</v>
      </c>
      <c r="G1223" s="20" t="str">
        <f>IFERROR(__xludf.DUMMYFUNCTION("""COMPUTED_VALUE"""),"Uncle Sams Cider (5/13/2022)")</f>
        <v>Uncle Sams Cider (5/13/2022)</v>
      </c>
      <c r="H1223" s="19"/>
    </row>
    <row r="1224">
      <c r="A1224" s="9"/>
      <c r="B1224" s="15"/>
      <c r="C1224" s="9">
        <f>IFERROR(__xludf.DUMMYFUNCTION("""COMPUTED_VALUE"""),44783.8642287384)</f>
        <v>44783.86423</v>
      </c>
      <c r="D1224" s="15">
        <f>IFERROR(__xludf.DUMMYFUNCTION("""COMPUTED_VALUE"""),1.004)</f>
        <v>1.004</v>
      </c>
      <c r="E1224" s="16">
        <f>IFERROR(__xludf.DUMMYFUNCTION("""COMPUTED_VALUE"""),69.0)</f>
        <v>69</v>
      </c>
      <c r="F1224" s="19" t="str">
        <f>IFERROR(__xludf.DUMMYFUNCTION("""COMPUTED_VALUE"""),"BLACK")</f>
        <v>BLACK</v>
      </c>
      <c r="G1224" s="20" t="str">
        <f>IFERROR(__xludf.DUMMYFUNCTION("""COMPUTED_VALUE"""),"Uncle Sams Cider (5/13/2022)")</f>
        <v>Uncle Sams Cider (5/13/2022)</v>
      </c>
      <c r="H1224" s="19"/>
    </row>
    <row r="1225">
      <c r="A1225" s="9"/>
      <c r="B1225" s="15"/>
      <c r="C1225" s="9">
        <f>IFERROR(__xludf.DUMMYFUNCTION("""COMPUTED_VALUE"""),44783.8538067824)</f>
        <v>44783.85381</v>
      </c>
      <c r="D1225" s="15">
        <f>IFERROR(__xludf.DUMMYFUNCTION("""COMPUTED_VALUE"""),1.004)</f>
        <v>1.004</v>
      </c>
      <c r="E1225" s="16">
        <f>IFERROR(__xludf.DUMMYFUNCTION("""COMPUTED_VALUE"""),69.0)</f>
        <v>69</v>
      </c>
      <c r="F1225" s="19" t="str">
        <f>IFERROR(__xludf.DUMMYFUNCTION("""COMPUTED_VALUE"""),"BLACK")</f>
        <v>BLACK</v>
      </c>
      <c r="G1225" s="20" t="str">
        <f>IFERROR(__xludf.DUMMYFUNCTION("""COMPUTED_VALUE"""),"Uncle Sams Cider (5/13/2022)")</f>
        <v>Uncle Sams Cider (5/13/2022)</v>
      </c>
      <c r="H1225" s="19"/>
    </row>
    <row r="1226">
      <c r="A1226" s="9"/>
      <c r="B1226" s="15"/>
      <c r="C1226" s="9">
        <f>IFERROR(__xludf.DUMMYFUNCTION("""COMPUTED_VALUE"""),44783.8433720486)</f>
        <v>44783.84337</v>
      </c>
      <c r="D1226" s="15">
        <f>IFERROR(__xludf.DUMMYFUNCTION("""COMPUTED_VALUE"""),1.004)</f>
        <v>1.004</v>
      </c>
      <c r="E1226" s="16">
        <f>IFERROR(__xludf.DUMMYFUNCTION("""COMPUTED_VALUE"""),69.0)</f>
        <v>69</v>
      </c>
      <c r="F1226" s="19" t="str">
        <f>IFERROR(__xludf.DUMMYFUNCTION("""COMPUTED_VALUE"""),"BLACK")</f>
        <v>BLACK</v>
      </c>
      <c r="G1226" s="20" t="str">
        <f>IFERROR(__xludf.DUMMYFUNCTION("""COMPUTED_VALUE"""),"Uncle Sams Cider (5/13/2022)")</f>
        <v>Uncle Sams Cider (5/13/2022)</v>
      </c>
      <c r="H1226" s="19"/>
    </row>
    <row r="1227">
      <c r="A1227" s="9"/>
      <c r="B1227" s="15"/>
      <c r="C1227" s="9">
        <f>IFERROR(__xludf.DUMMYFUNCTION("""COMPUTED_VALUE"""),44783.832940081)</f>
        <v>44783.83294</v>
      </c>
      <c r="D1227" s="15">
        <f>IFERROR(__xludf.DUMMYFUNCTION("""COMPUTED_VALUE"""),1.004)</f>
        <v>1.004</v>
      </c>
      <c r="E1227" s="16">
        <f>IFERROR(__xludf.DUMMYFUNCTION("""COMPUTED_VALUE"""),69.0)</f>
        <v>69</v>
      </c>
      <c r="F1227" s="19" t="str">
        <f>IFERROR(__xludf.DUMMYFUNCTION("""COMPUTED_VALUE"""),"BLACK")</f>
        <v>BLACK</v>
      </c>
      <c r="G1227" s="20" t="str">
        <f>IFERROR(__xludf.DUMMYFUNCTION("""COMPUTED_VALUE"""),"Uncle Sams Cider (5/13/2022)")</f>
        <v>Uncle Sams Cider (5/13/2022)</v>
      </c>
      <c r="H1227" s="19"/>
    </row>
    <row r="1228">
      <c r="A1228" s="9"/>
      <c r="B1228" s="15"/>
      <c r="C1228" s="9">
        <f>IFERROR(__xludf.DUMMYFUNCTION("""COMPUTED_VALUE"""),44783.8225190625)</f>
        <v>44783.82252</v>
      </c>
      <c r="D1228" s="15">
        <f>IFERROR(__xludf.DUMMYFUNCTION("""COMPUTED_VALUE"""),1.004)</f>
        <v>1.004</v>
      </c>
      <c r="E1228" s="16">
        <f>IFERROR(__xludf.DUMMYFUNCTION("""COMPUTED_VALUE"""),69.0)</f>
        <v>69</v>
      </c>
      <c r="F1228" s="19" t="str">
        <f>IFERROR(__xludf.DUMMYFUNCTION("""COMPUTED_VALUE"""),"BLACK")</f>
        <v>BLACK</v>
      </c>
      <c r="G1228" s="20" t="str">
        <f>IFERROR(__xludf.DUMMYFUNCTION("""COMPUTED_VALUE"""),"Uncle Sams Cider (5/13/2022)")</f>
        <v>Uncle Sams Cider (5/13/2022)</v>
      </c>
      <c r="H1228" s="19"/>
    </row>
    <row r="1229">
      <c r="A1229" s="9"/>
      <c r="B1229" s="15"/>
      <c r="C1229" s="9">
        <f>IFERROR(__xludf.DUMMYFUNCTION("""COMPUTED_VALUE"""),44783.8120984722)</f>
        <v>44783.8121</v>
      </c>
      <c r="D1229" s="15">
        <f>IFERROR(__xludf.DUMMYFUNCTION("""COMPUTED_VALUE"""),1.004)</f>
        <v>1.004</v>
      </c>
      <c r="E1229" s="16">
        <f>IFERROR(__xludf.DUMMYFUNCTION("""COMPUTED_VALUE"""),69.0)</f>
        <v>69</v>
      </c>
      <c r="F1229" s="19" t="str">
        <f>IFERROR(__xludf.DUMMYFUNCTION("""COMPUTED_VALUE"""),"BLACK")</f>
        <v>BLACK</v>
      </c>
      <c r="G1229" s="20" t="str">
        <f>IFERROR(__xludf.DUMMYFUNCTION("""COMPUTED_VALUE"""),"Uncle Sams Cider (5/13/2022)")</f>
        <v>Uncle Sams Cider (5/13/2022)</v>
      </c>
      <c r="H1229" s="19"/>
    </row>
    <row r="1230">
      <c r="A1230" s="9"/>
      <c r="B1230" s="15"/>
      <c r="C1230" s="9">
        <f>IFERROR(__xludf.DUMMYFUNCTION("""COMPUTED_VALUE"""),44783.8016752777)</f>
        <v>44783.80168</v>
      </c>
      <c r="D1230" s="15">
        <f>IFERROR(__xludf.DUMMYFUNCTION("""COMPUTED_VALUE"""),1.004)</f>
        <v>1.004</v>
      </c>
      <c r="E1230" s="16">
        <f>IFERROR(__xludf.DUMMYFUNCTION("""COMPUTED_VALUE"""),69.0)</f>
        <v>69</v>
      </c>
      <c r="F1230" s="19" t="str">
        <f>IFERROR(__xludf.DUMMYFUNCTION("""COMPUTED_VALUE"""),"BLACK")</f>
        <v>BLACK</v>
      </c>
      <c r="G1230" s="20" t="str">
        <f>IFERROR(__xludf.DUMMYFUNCTION("""COMPUTED_VALUE"""),"Uncle Sams Cider (5/13/2022)")</f>
        <v>Uncle Sams Cider (5/13/2022)</v>
      </c>
      <c r="H1230" s="19"/>
    </row>
    <row r="1231">
      <c r="A1231" s="9"/>
      <c r="B1231" s="15"/>
      <c r="C1231" s="9">
        <f>IFERROR(__xludf.DUMMYFUNCTION("""COMPUTED_VALUE"""),44783.7912538425)</f>
        <v>44783.79125</v>
      </c>
      <c r="D1231" s="15">
        <f>IFERROR(__xludf.DUMMYFUNCTION("""COMPUTED_VALUE"""),1.004)</f>
        <v>1.004</v>
      </c>
      <c r="E1231" s="16">
        <f>IFERROR(__xludf.DUMMYFUNCTION("""COMPUTED_VALUE"""),69.0)</f>
        <v>69</v>
      </c>
      <c r="F1231" s="19" t="str">
        <f>IFERROR(__xludf.DUMMYFUNCTION("""COMPUTED_VALUE"""),"BLACK")</f>
        <v>BLACK</v>
      </c>
      <c r="G1231" s="20" t="str">
        <f>IFERROR(__xludf.DUMMYFUNCTION("""COMPUTED_VALUE"""),"Uncle Sams Cider (5/13/2022)")</f>
        <v>Uncle Sams Cider (5/13/2022)</v>
      </c>
      <c r="H1231" s="19"/>
    </row>
    <row r="1232">
      <c r="A1232" s="9"/>
      <c r="B1232" s="15"/>
      <c r="C1232" s="9">
        <f>IFERROR(__xludf.DUMMYFUNCTION("""COMPUTED_VALUE"""),44783.7808329282)</f>
        <v>44783.78083</v>
      </c>
      <c r="D1232" s="15">
        <f>IFERROR(__xludf.DUMMYFUNCTION("""COMPUTED_VALUE"""),1.004)</f>
        <v>1.004</v>
      </c>
      <c r="E1232" s="16">
        <f>IFERROR(__xludf.DUMMYFUNCTION("""COMPUTED_VALUE"""),69.0)</f>
        <v>69</v>
      </c>
      <c r="F1232" s="19" t="str">
        <f>IFERROR(__xludf.DUMMYFUNCTION("""COMPUTED_VALUE"""),"BLACK")</f>
        <v>BLACK</v>
      </c>
      <c r="G1232" s="20" t="str">
        <f>IFERROR(__xludf.DUMMYFUNCTION("""COMPUTED_VALUE"""),"Uncle Sams Cider (5/13/2022)")</f>
        <v>Uncle Sams Cider (5/13/2022)</v>
      </c>
      <c r="H1232" s="19"/>
    </row>
    <row r="1233">
      <c r="A1233" s="9"/>
      <c r="B1233" s="15"/>
      <c r="C1233" s="9">
        <f>IFERROR(__xludf.DUMMYFUNCTION("""COMPUTED_VALUE"""),44783.7704150694)</f>
        <v>44783.77042</v>
      </c>
      <c r="D1233" s="15">
        <f>IFERROR(__xludf.DUMMYFUNCTION("""COMPUTED_VALUE"""),1.004)</f>
        <v>1.004</v>
      </c>
      <c r="E1233" s="16">
        <f>IFERROR(__xludf.DUMMYFUNCTION("""COMPUTED_VALUE"""),69.0)</f>
        <v>69</v>
      </c>
      <c r="F1233" s="19" t="str">
        <f>IFERROR(__xludf.DUMMYFUNCTION("""COMPUTED_VALUE"""),"BLACK")</f>
        <v>BLACK</v>
      </c>
      <c r="G1233" s="20" t="str">
        <f>IFERROR(__xludf.DUMMYFUNCTION("""COMPUTED_VALUE"""),"Uncle Sams Cider (5/13/2022)")</f>
        <v>Uncle Sams Cider (5/13/2022)</v>
      </c>
      <c r="H1233" s="19"/>
    </row>
    <row r="1234">
      <c r="A1234" s="9"/>
      <c r="B1234" s="15"/>
      <c r="C1234" s="9">
        <f>IFERROR(__xludf.DUMMYFUNCTION("""COMPUTED_VALUE"""),44783.7599812384)</f>
        <v>44783.75998</v>
      </c>
      <c r="D1234" s="15">
        <f>IFERROR(__xludf.DUMMYFUNCTION("""COMPUTED_VALUE"""),1.004)</f>
        <v>1.004</v>
      </c>
      <c r="E1234" s="16">
        <f>IFERROR(__xludf.DUMMYFUNCTION("""COMPUTED_VALUE"""),69.0)</f>
        <v>69</v>
      </c>
      <c r="F1234" s="19" t="str">
        <f>IFERROR(__xludf.DUMMYFUNCTION("""COMPUTED_VALUE"""),"BLACK")</f>
        <v>BLACK</v>
      </c>
      <c r="G1234" s="20" t="str">
        <f>IFERROR(__xludf.DUMMYFUNCTION("""COMPUTED_VALUE"""),"Uncle Sams Cider (5/13/2022)")</f>
        <v>Uncle Sams Cider (5/13/2022)</v>
      </c>
      <c r="H1234" s="19"/>
    </row>
    <row r="1235">
      <c r="A1235" s="9"/>
      <c r="B1235" s="15"/>
      <c r="C1235" s="9">
        <f>IFERROR(__xludf.DUMMYFUNCTION("""COMPUTED_VALUE"""),44783.749549375)</f>
        <v>44783.74955</v>
      </c>
      <c r="D1235" s="15">
        <f>IFERROR(__xludf.DUMMYFUNCTION("""COMPUTED_VALUE"""),1.004)</f>
        <v>1.004</v>
      </c>
      <c r="E1235" s="16">
        <f>IFERROR(__xludf.DUMMYFUNCTION("""COMPUTED_VALUE"""),69.0)</f>
        <v>69</v>
      </c>
      <c r="F1235" s="19" t="str">
        <f>IFERROR(__xludf.DUMMYFUNCTION("""COMPUTED_VALUE"""),"BLACK")</f>
        <v>BLACK</v>
      </c>
      <c r="G1235" s="20" t="str">
        <f>IFERROR(__xludf.DUMMYFUNCTION("""COMPUTED_VALUE"""),"Uncle Sams Cider (5/13/2022)")</f>
        <v>Uncle Sams Cider (5/13/2022)</v>
      </c>
      <c r="H1235" s="19"/>
    </row>
    <row r="1236">
      <c r="A1236" s="9"/>
      <c r="B1236" s="15"/>
      <c r="C1236" s="9">
        <f>IFERROR(__xludf.DUMMYFUNCTION("""COMPUTED_VALUE"""),44783.7391275694)</f>
        <v>44783.73913</v>
      </c>
      <c r="D1236" s="15">
        <f>IFERROR(__xludf.DUMMYFUNCTION("""COMPUTED_VALUE"""),1.004)</f>
        <v>1.004</v>
      </c>
      <c r="E1236" s="16">
        <f>IFERROR(__xludf.DUMMYFUNCTION("""COMPUTED_VALUE"""),69.0)</f>
        <v>69</v>
      </c>
      <c r="F1236" s="19" t="str">
        <f>IFERROR(__xludf.DUMMYFUNCTION("""COMPUTED_VALUE"""),"BLACK")</f>
        <v>BLACK</v>
      </c>
      <c r="G1236" s="20" t="str">
        <f>IFERROR(__xludf.DUMMYFUNCTION("""COMPUTED_VALUE"""),"Uncle Sams Cider (5/13/2022)")</f>
        <v>Uncle Sams Cider (5/13/2022)</v>
      </c>
      <c r="H1236" s="19"/>
    </row>
    <row r="1237">
      <c r="A1237" s="9"/>
      <c r="B1237" s="15"/>
      <c r="C1237" s="9">
        <f>IFERROR(__xludf.DUMMYFUNCTION("""COMPUTED_VALUE"""),44783.7287068287)</f>
        <v>44783.72871</v>
      </c>
      <c r="D1237" s="15">
        <f>IFERROR(__xludf.DUMMYFUNCTION("""COMPUTED_VALUE"""),1.004)</f>
        <v>1.004</v>
      </c>
      <c r="E1237" s="16">
        <f>IFERROR(__xludf.DUMMYFUNCTION("""COMPUTED_VALUE"""),69.0)</f>
        <v>69</v>
      </c>
      <c r="F1237" s="19" t="str">
        <f>IFERROR(__xludf.DUMMYFUNCTION("""COMPUTED_VALUE"""),"BLACK")</f>
        <v>BLACK</v>
      </c>
      <c r="G1237" s="20" t="str">
        <f>IFERROR(__xludf.DUMMYFUNCTION("""COMPUTED_VALUE"""),"Uncle Sams Cider (5/13/2022)")</f>
        <v>Uncle Sams Cider (5/13/2022)</v>
      </c>
      <c r="H1237" s="19"/>
    </row>
    <row r="1238">
      <c r="A1238" s="9"/>
      <c r="B1238" s="15"/>
      <c r="C1238" s="9">
        <f>IFERROR(__xludf.DUMMYFUNCTION("""COMPUTED_VALUE"""),44783.7182858449)</f>
        <v>44783.71829</v>
      </c>
      <c r="D1238" s="15">
        <f>IFERROR(__xludf.DUMMYFUNCTION("""COMPUTED_VALUE"""),1.004)</f>
        <v>1.004</v>
      </c>
      <c r="E1238" s="16">
        <f>IFERROR(__xludf.DUMMYFUNCTION("""COMPUTED_VALUE"""),69.0)</f>
        <v>69</v>
      </c>
      <c r="F1238" s="19" t="str">
        <f>IFERROR(__xludf.DUMMYFUNCTION("""COMPUTED_VALUE"""),"BLACK")</f>
        <v>BLACK</v>
      </c>
      <c r="G1238" s="20" t="str">
        <f>IFERROR(__xludf.DUMMYFUNCTION("""COMPUTED_VALUE"""),"Uncle Sams Cider (5/13/2022)")</f>
        <v>Uncle Sams Cider (5/13/2022)</v>
      </c>
      <c r="H1238" s="19"/>
    </row>
    <row r="1239">
      <c r="A1239" s="9"/>
      <c r="B1239" s="15"/>
      <c r="C1239" s="9">
        <f>IFERROR(__xludf.DUMMYFUNCTION("""COMPUTED_VALUE"""),44783.7078653125)</f>
        <v>44783.70787</v>
      </c>
      <c r="D1239" s="15">
        <f>IFERROR(__xludf.DUMMYFUNCTION("""COMPUTED_VALUE"""),1.004)</f>
        <v>1.004</v>
      </c>
      <c r="E1239" s="16">
        <f>IFERROR(__xludf.DUMMYFUNCTION("""COMPUTED_VALUE"""),69.0)</f>
        <v>69</v>
      </c>
      <c r="F1239" s="19" t="str">
        <f>IFERROR(__xludf.DUMMYFUNCTION("""COMPUTED_VALUE"""),"BLACK")</f>
        <v>BLACK</v>
      </c>
      <c r="G1239" s="20" t="str">
        <f>IFERROR(__xludf.DUMMYFUNCTION("""COMPUTED_VALUE"""),"Uncle Sams Cider (5/13/2022)")</f>
        <v>Uncle Sams Cider (5/13/2022)</v>
      </c>
      <c r="H1239" s="19"/>
    </row>
    <row r="1240">
      <c r="A1240" s="9"/>
      <c r="B1240" s="15"/>
      <c r="C1240" s="9">
        <f>IFERROR(__xludf.DUMMYFUNCTION("""COMPUTED_VALUE"""),44783.6974215509)</f>
        <v>44783.69742</v>
      </c>
      <c r="D1240" s="15">
        <f>IFERROR(__xludf.DUMMYFUNCTION("""COMPUTED_VALUE"""),1.004)</f>
        <v>1.004</v>
      </c>
      <c r="E1240" s="16">
        <f>IFERROR(__xludf.DUMMYFUNCTION("""COMPUTED_VALUE"""),69.0)</f>
        <v>69</v>
      </c>
      <c r="F1240" s="19" t="str">
        <f>IFERROR(__xludf.DUMMYFUNCTION("""COMPUTED_VALUE"""),"BLACK")</f>
        <v>BLACK</v>
      </c>
      <c r="G1240" s="20" t="str">
        <f>IFERROR(__xludf.DUMMYFUNCTION("""COMPUTED_VALUE"""),"Uncle Sams Cider (5/13/2022)")</f>
        <v>Uncle Sams Cider (5/13/2022)</v>
      </c>
      <c r="H1240" s="19"/>
    </row>
    <row r="1241">
      <c r="A1241" s="9"/>
      <c r="B1241" s="15"/>
      <c r="C1241" s="9">
        <f>IFERROR(__xludf.DUMMYFUNCTION("""COMPUTED_VALUE"""),44783.6869992013)</f>
        <v>44783.687</v>
      </c>
      <c r="D1241" s="15">
        <f>IFERROR(__xludf.DUMMYFUNCTION("""COMPUTED_VALUE"""),1.004)</f>
        <v>1.004</v>
      </c>
      <c r="E1241" s="16">
        <f>IFERROR(__xludf.DUMMYFUNCTION("""COMPUTED_VALUE"""),69.0)</f>
        <v>69</v>
      </c>
      <c r="F1241" s="19" t="str">
        <f>IFERROR(__xludf.DUMMYFUNCTION("""COMPUTED_VALUE"""),"BLACK")</f>
        <v>BLACK</v>
      </c>
      <c r="G1241" s="20" t="str">
        <f>IFERROR(__xludf.DUMMYFUNCTION("""COMPUTED_VALUE"""),"Uncle Sams Cider (5/13/2022)")</f>
        <v>Uncle Sams Cider (5/13/2022)</v>
      </c>
      <c r="H1241" s="19"/>
    </row>
    <row r="1242">
      <c r="A1242" s="9"/>
      <c r="B1242" s="15"/>
      <c r="C1242" s="9">
        <f>IFERROR(__xludf.DUMMYFUNCTION("""COMPUTED_VALUE"""),44783.676578831)</f>
        <v>44783.67658</v>
      </c>
      <c r="D1242" s="15">
        <f>IFERROR(__xludf.DUMMYFUNCTION("""COMPUTED_VALUE"""),1.004)</f>
        <v>1.004</v>
      </c>
      <c r="E1242" s="16">
        <f>IFERROR(__xludf.DUMMYFUNCTION("""COMPUTED_VALUE"""),69.0)</f>
        <v>69</v>
      </c>
      <c r="F1242" s="19" t="str">
        <f>IFERROR(__xludf.DUMMYFUNCTION("""COMPUTED_VALUE"""),"BLACK")</f>
        <v>BLACK</v>
      </c>
      <c r="G1242" s="20" t="str">
        <f>IFERROR(__xludf.DUMMYFUNCTION("""COMPUTED_VALUE"""),"Uncle Sams Cider (5/13/2022)")</f>
        <v>Uncle Sams Cider (5/13/2022)</v>
      </c>
      <c r="H1242" s="19"/>
    </row>
    <row r="1243">
      <c r="A1243" s="9"/>
      <c r="B1243" s="15"/>
      <c r="C1243" s="9">
        <f>IFERROR(__xludf.DUMMYFUNCTION("""COMPUTED_VALUE"""),44783.6661574537)</f>
        <v>44783.66616</v>
      </c>
      <c r="D1243" s="15">
        <f>IFERROR(__xludf.DUMMYFUNCTION("""COMPUTED_VALUE"""),1.004)</f>
        <v>1.004</v>
      </c>
      <c r="E1243" s="16">
        <f>IFERROR(__xludf.DUMMYFUNCTION("""COMPUTED_VALUE"""),69.0)</f>
        <v>69</v>
      </c>
      <c r="F1243" s="19" t="str">
        <f>IFERROR(__xludf.DUMMYFUNCTION("""COMPUTED_VALUE"""),"BLACK")</f>
        <v>BLACK</v>
      </c>
      <c r="G1243" s="20" t="str">
        <f>IFERROR(__xludf.DUMMYFUNCTION("""COMPUTED_VALUE"""),"Uncle Sams Cider (5/13/2022)")</f>
        <v>Uncle Sams Cider (5/13/2022)</v>
      </c>
      <c r="H1243" s="19"/>
    </row>
    <row r="1244">
      <c r="A1244" s="9"/>
      <c r="B1244" s="15"/>
      <c r="C1244" s="9">
        <f>IFERROR(__xludf.DUMMYFUNCTION("""COMPUTED_VALUE"""),44783.6557355787)</f>
        <v>44783.65574</v>
      </c>
      <c r="D1244" s="15">
        <f>IFERROR(__xludf.DUMMYFUNCTION("""COMPUTED_VALUE"""),1.004)</f>
        <v>1.004</v>
      </c>
      <c r="E1244" s="16">
        <f>IFERROR(__xludf.DUMMYFUNCTION("""COMPUTED_VALUE"""),69.0)</f>
        <v>69</v>
      </c>
      <c r="F1244" s="19" t="str">
        <f>IFERROR(__xludf.DUMMYFUNCTION("""COMPUTED_VALUE"""),"BLACK")</f>
        <v>BLACK</v>
      </c>
      <c r="G1244" s="20" t="str">
        <f>IFERROR(__xludf.DUMMYFUNCTION("""COMPUTED_VALUE"""),"Uncle Sams Cider (5/13/2022)")</f>
        <v>Uncle Sams Cider (5/13/2022)</v>
      </c>
      <c r="H1244" s="19"/>
    </row>
    <row r="1245">
      <c r="A1245" s="9"/>
      <c r="B1245" s="15"/>
      <c r="C1245" s="9">
        <f>IFERROR(__xludf.DUMMYFUNCTION("""COMPUTED_VALUE"""),44783.6453140393)</f>
        <v>44783.64531</v>
      </c>
      <c r="D1245" s="15">
        <f>IFERROR(__xludf.DUMMYFUNCTION("""COMPUTED_VALUE"""),1.004)</f>
        <v>1.004</v>
      </c>
      <c r="E1245" s="16">
        <f>IFERROR(__xludf.DUMMYFUNCTION("""COMPUTED_VALUE"""),69.0)</f>
        <v>69</v>
      </c>
      <c r="F1245" s="19" t="str">
        <f>IFERROR(__xludf.DUMMYFUNCTION("""COMPUTED_VALUE"""),"BLACK")</f>
        <v>BLACK</v>
      </c>
      <c r="G1245" s="20" t="str">
        <f>IFERROR(__xludf.DUMMYFUNCTION("""COMPUTED_VALUE"""),"Uncle Sams Cider (5/13/2022)")</f>
        <v>Uncle Sams Cider (5/13/2022)</v>
      </c>
      <c r="H1245" s="19"/>
    </row>
    <row r="1246">
      <c r="A1246" s="9"/>
      <c r="B1246" s="15"/>
      <c r="C1246" s="9">
        <f>IFERROR(__xludf.DUMMYFUNCTION("""COMPUTED_VALUE"""),44783.6348928009)</f>
        <v>44783.63489</v>
      </c>
      <c r="D1246" s="15">
        <f>IFERROR(__xludf.DUMMYFUNCTION("""COMPUTED_VALUE"""),1.004)</f>
        <v>1.004</v>
      </c>
      <c r="E1246" s="16">
        <f>IFERROR(__xludf.DUMMYFUNCTION("""COMPUTED_VALUE"""),69.0)</f>
        <v>69</v>
      </c>
      <c r="F1246" s="19" t="str">
        <f>IFERROR(__xludf.DUMMYFUNCTION("""COMPUTED_VALUE"""),"BLACK")</f>
        <v>BLACK</v>
      </c>
      <c r="G1246" s="20" t="str">
        <f>IFERROR(__xludf.DUMMYFUNCTION("""COMPUTED_VALUE"""),"Uncle Sams Cider (5/13/2022)")</f>
        <v>Uncle Sams Cider (5/13/2022)</v>
      </c>
      <c r="H1246" s="19"/>
    </row>
    <row r="1247">
      <c r="A1247" s="9"/>
      <c r="B1247" s="15"/>
      <c r="C1247" s="9">
        <f>IFERROR(__xludf.DUMMYFUNCTION("""COMPUTED_VALUE"""),44783.6244705208)</f>
        <v>44783.62447</v>
      </c>
      <c r="D1247" s="15">
        <f>IFERROR(__xludf.DUMMYFUNCTION("""COMPUTED_VALUE"""),1.004)</f>
        <v>1.004</v>
      </c>
      <c r="E1247" s="16">
        <f>IFERROR(__xludf.DUMMYFUNCTION("""COMPUTED_VALUE"""),69.0)</f>
        <v>69</v>
      </c>
      <c r="F1247" s="19" t="str">
        <f>IFERROR(__xludf.DUMMYFUNCTION("""COMPUTED_VALUE"""),"BLACK")</f>
        <v>BLACK</v>
      </c>
      <c r="G1247" s="20" t="str">
        <f>IFERROR(__xludf.DUMMYFUNCTION("""COMPUTED_VALUE"""),"Uncle Sams Cider (5/13/2022)")</f>
        <v>Uncle Sams Cider (5/13/2022)</v>
      </c>
      <c r="H1247" s="19"/>
    </row>
    <row r="1248">
      <c r="A1248" s="9"/>
      <c r="B1248" s="15"/>
      <c r="C1248" s="9">
        <f>IFERROR(__xludf.DUMMYFUNCTION("""COMPUTED_VALUE"""),44783.6140377662)</f>
        <v>44783.61404</v>
      </c>
      <c r="D1248" s="15">
        <f>IFERROR(__xludf.DUMMYFUNCTION("""COMPUTED_VALUE"""),1.004)</f>
        <v>1.004</v>
      </c>
      <c r="E1248" s="16">
        <f>IFERROR(__xludf.DUMMYFUNCTION("""COMPUTED_VALUE"""),69.0)</f>
        <v>69</v>
      </c>
      <c r="F1248" s="19" t="str">
        <f>IFERROR(__xludf.DUMMYFUNCTION("""COMPUTED_VALUE"""),"BLACK")</f>
        <v>BLACK</v>
      </c>
      <c r="G1248" s="20" t="str">
        <f>IFERROR(__xludf.DUMMYFUNCTION("""COMPUTED_VALUE"""),"Uncle Sams Cider (5/13/2022)")</f>
        <v>Uncle Sams Cider (5/13/2022)</v>
      </c>
      <c r="H1248" s="19"/>
    </row>
    <row r="1249">
      <c r="A1249" s="9"/>
      <c r="B1249" s="15"/>
      <c r="C1249" s="9">
        <f>IFERROR(__xludf.DUMMYFUNCTION("""COMPUTED_VALUE"""),44783.6036165972)</f>
        <v>44783.60362</v>
      </c>
      <c r="D1249" s="15">
        <f>IFERROR(__xludf.DUMMYFUNCTION("""COMPUTED_VALUE"""),1.004)</f>
        <v>1.004</v>
      </c>
      <c r="E1249" s="16">
        <f>IFERROR(__xludf.DUMMYFUNCTION("""COMPUTED_VALUE"""),69.0)</f>
        <v>69</v>
      </c>
      <c r="F1249" s="19" t="str">
        <f>IFERROR(__xludf.DUMMYFUNCTION("""COMPUTED_VALUE"""),"BLACK")</f>
        <v>BLACK</v>
      </c>
      <c r="G1249" s="20" t="str">
        <f>IFERROR(__xludf.DUMMYFUNCTION("""COMPUTED_VALUE"""),"Uncle Sams Cider (5/13/2022)")</f>
        <v>Uncle Sams Cider (5/13/2022)</v>
      </c>
      <c r="H1249" s="19"/>
    </row>
    <row r="1250">
      <c r="A1250" s="9"/>
      <c r="B1250" s="15"/>
      <c r="C1250" s="9">
        <f>IFERROR(__xludf.DUMMYFUNCTION("""COMPUTED_VALUE"""),44783.5931955671)</f>
        <v>44783.5932</v>
      </c>
      <c r="D1250" s="15">
        <f>IFERROR(__xludf.DUMMYFUNCTION("""COMPUTED_VALUE"""),1.004)</f>
        <v>1.004</v>
      </c>
      <c r="E1250" s="16">
        <f>IFERROR(__xludf.DUMMYFUNCTION("""COMPUTED_VALUE"""),69.0)</f>
        <v>69</v>
      </c>
      <c r="F1250" s="19" t="str">
        <f>IFERROR(__xludf.DUMMYFUNCTION("""COMPUTED_VALUE"""),"BLACK")</f>
        <v>BLACK</v>
      </c>
      <c r="G1250" s="20" t="str">
        <f>IFERROR(__xludf.DUMMYFUNCTION("""COMPUTED_VALUE"""),"Uncle Sams Cider (5/13/2022)")</f>
        <v>Uncle Sams Cider (5/13/2022)</v>
      </c>
      <c r="H1250" s="19"/>
    </row>
    <row r="1251">
      <c r="A1251" s="9"/>
      <c r="B1251" s="15"/>
      <c r="C1251" s="9">
        <f>IFERROR(__xludf.DUMMYFUNCTION("""COMPUTED_VALUE"""),44783.5827630439)</f>
        <v>44783.58276</v>
      </c>
      <c r="D1251" s="15">
        <f>IFERROR(__xludf.DUMMYFUNCTION("""COMPUTED_VALUE"""),1.004)</f>
        <v>1.004</v>
      </c>
      <c r="E1251" s="16">
        <f>IFERROR(__xludf.DUMMYFUNCTION("""COMPUTED_VALUE"""),69.0)</f>
        <v>69</v>
      </c>
      <c r="F1251" s="19" t="str">
        <f>IFERROR(__xludf.DUMMYFUNCTION("""COMPUTED_VALUE"""),"BLACK")</f>
        <v>BLACK</v>
      </c>
      <c r="G1251" s="20" t="str">
        <f>IFERROR(__xludf.DUMMYFUNCTION("""COMPUTED_VALUE"""),"Uncle Sams Cider (5/13/2022)")</f>
        <v>Uncle Sams Cider (5/13/2022)</v>
      </c>
      <c r="H1251" s="19"/>
    </row>
    <row r="1252">
      <c r="A1252" s="9"/>
      <c r="B1252" s="15"/>
      <c r="C1252" s="9">
        <f>IFERROR(__xludf.DUMMYFUNCTION("""COMPUTED_VALUE"""),44783.5723402777)</f>
        <v>44783.57234</v>
      </c>
      <c r="D1252" s="15">
        <f>IFERROR(__xludf.DUMMYFUNCTION("""COMPUTED_VALUE"""),1.004)</f>
        <v>1.004</v>
      </c>
      <c r="E1252" s="16">
        <f>IFERROR(__xludf.DUMMYFUNCTION("""COMPUTED_VALUE"""),69.0)</f>
        <v>69</v>
      </c>
      <c r="F1252" s="19" t="str">
        <f>IFERROR(__xludf.DUMMYFUNCTION("""COMPUTED_VALUE"""),"BLACK")</f>
        <v>BLACK</v>
      </c>
      <c r="G1252" s="20" t="str">
        <f>IFERROR(__xludf.DUMMYFUNCTION("""COMPUTED_VALUE"""),"Uncle Sams Cider (5/13/2022)")</f>
        <v>Uncle Sams Cider (5/13/2022)</v>
      </c>
      <c r="H1252" s="19"/>
    </row>
    <row r="1253">
      <c r="A1253" s="9"/>
      <c r="B1253" s="15"/>
      <c r="C1253" s="9">
        <f>IFERROR(__xludf.DUMMYFUNCTION("""COMPUTED_VALUE"""),44783.5619177777)</f>
        <v>44783.56192</v>
      </c>
      <c r="D1253" s="15">
        <f>IFERROR(__xludf.DUMMYFUNCTION("""COMPUTED_VALUE"""),1.004)</f>
        <v>1.004</v>
      </c>
      <c r="E1253" s="16">
        <f>IFERROR(__xludf.DUMMYFUNCTION("""COMPUTED_VALUE"""),69.0)</f>
        <v>69</v>
      </c>
      <c r="F1253" s="19" t="str">
        <f>IFERROR(__xludf.DUMMYFUNCTION("""COMPUTED_VALUE"""),"BLACK")</f>
        <v>BLACK</v>
      </c>
      <c r="G1253" s="20" t="str">
        <f>IFERROR(__xludf.DUMMYFUNCTION("""COMPUTED_VALUE"""),"Uncle Sams Cider (5/13/2022)")</f>
        <v>Uncle Sams Cider (5/13/2022)</v>
      </c>
      <c r="H1253" s="19"/>
    </row>
    <row r="1254">
      <c r="A1254" s="9"/>
      <c r="B1254" s="15"/>
      <c r="C1254" s="9">
        <f>IFERROR(__xludf.DUMMYFUNCTION("""COMPUTED_VALUE"""),44783.5514829513)</f>
        <v>44783.55148</v>
      </c>
      <c r="D1254" s="15">
        <f>IFERROR(__xludf.DUMMYFUNCTION("""COMPUTED_VALUE"""),1.004)</f>
        <v>1.004</v>
      </c>
      <c r="E1254" s="16">
        <f>IFERROR(__xludf.DUMMYFUNCTION("""COMPUTED_VALUE"""),69.0)</f>
        <v>69</v>
      </c>
      <c r="F1254" s="19" t="str">
        <f>IFERROR(__xludf.DUMMYFUNCTION("""COMPUTED_VALUE"""),"BLACK")</f>
        <v>BLACK</v>
      </c>
      <c r="G1254" s="20" t="str">
        <f>IFERROR(__xludf.DUMMYFUNCTION("""COMPUTED_VALUE"""),"Uncle Sams Cider (5/13/2022)")</f>
        <v>Uncle Sams Cider (5/13/2022)</v>
      </c>
      <c r="H1254" s="19"/>
    </row>
    <row r="1255">
      <c r="A1255" s="9"/>
      <c r="B1255" s="15"/>
      <c r="C1255" s="9">
        <f>IFERROR(__xludf.DUMMYFUNCTION("""COMPUTED_VALUE"""),44783.5410501504)</f>
        <v>44783.54105</v>
      </c>
      <c r="D1255" s="15">
        <f>IFERROR(__xludf.DUMMYFUNCTION("""COMPUTED_VALUE"""),1.004)</f>
        <v>1.004</v>
      </c>
      <c r="E1255" s="16">
        <f>IFERROR(__xludf.DUMMYFUNCTION("""COMPUTED_VALUE"""),69.0)</f>
        <v>69</v>
      </c>
      <c r="F1255" s="19" t="str">
        <f>IFERROR(__xludf.DUMMYFUNCTION("""COMPUTED_VALUE"""),"BLACK")</f>
        <v>BLACK</v>
      </c>
      <c r="G1255" s="20" t="str">
        <f>IFERROR(__xludf.DUMMYFUNCTION("""COMPUTED_VALUE"""),"Uncle Sams Cider (5/13/2022)")</f>
        <v>Uncle Sams Cider (5/13/2022)</v>
      </c>
      <c r="H1255" s="19"/>
    </row>
    <row r="1256">
      <c r="A1256" s="9"/>
      <c r="B1256" s="15"/>
      <c r="C1256" s="9">
        <f>IFERROR(__xludf.DUMMYFUNCTION("""COMPUTED_VALUE"""),44783.5306320138)</f>
        <v>44783.53063</v>
      </c>
      <c r="D1256" s="15">
        <f>IFERROR(__xludf.DUMMYFUNCTION("""COMPUTED_VALUE"""),1.004)</f>
        <v>1.004</v>
      </c>
      <c r="E1256" s="16">
        <f>IFERROR(__xludf.DUMMYFUNCTION("""COMPUTED_VALUE"""),69.0)</f>
        <v>69</v>
      </c>
      <c r="F1256" s="19" t="str">
        <f>IFERROR(__xludf.DUMMYFUNCTION("""COMPUTED_VALUE"""),"BLACK")</f>
        <v>BLACK</v>
      </c>
      <c r="G1256" s="20" t="str">
        <f>IFERROR(__xludf.DUMMYFUNCTION("""COMPUTED_VALUE"""),"Uncle Sams Cider (5/13/2022)")</f>
        <v>Uncle Sams Cider (5/13/2022)</v>
      </c>
      <c r="H1256" s="19"/>
    </row>
    <row r="1257">
      <c r="A1257" s="9"/>
      <c r="B1257" s="15"/>
      <c r="C1257" s="9">
        <f>IFERROR(__xludf.DUMMYFUNCTION("""COMPUTED_VALUE"""),44783.5202103356)</f>
        <v>44783.52021</v>
      </c>
      <c r="D1257" s="15">
        <f>IFERROR(__xludf.DUMMYFUNCTION("""COMPUTED_VALUE"""),1.004)</f>
        <v>1.004</v>
      </c>
      <c r="E1257" s="16">
        <f>IFERROR(__xludf.DUMMYFUNCTION("""COMPUTED_VALUE"""),68.0)</f>
        <v>68</v>
      </c>
      <c r="F1257" s="19" t="str">
        <f>IFERROR(__xludf.DUMMYFUNCTION("""COMPUTED_VALUE"""),"BLACK")</f>
        <v>BLACK</v>
      </c>
      <c r="G1257" s="20" t="str">
        <f>IFERROR(__xludf.DUMMYFUNCTION("""COMPUTED_VALUE"""),"Uncle Sams Cider (5/13/2022)")</f>
        <v>Uncle Sams Cider (5/13/2022)</v>
      </c>
      <c r="H1257" s="19"/>
    </row>
    <row r="1258">
      <c r="A1258" s="9"/>
      <c r="B1258" s="15"/>
      <c r="C1258" s="9">
        <f>IFERROR(__xludf.DUMMYFUNCTION("""COMPUTED_VALUE"""),44783.5097889699)</f>
        <v>44783.50979</v>
      </c>
      <c r="D1258" s="15">
        <f>IFERROR(__xludf.DUMMYFUNCTION("""COMPUTED_VALUE"""),1.004)</f>
        <v>1.004</v>
      </c>
      <c r="E1258" s="16">
        <f>IFERROR(__xludf.DUMMYFUNCTION("""COMPUTED_VALUE"""),69.0)</f>
        <v>69</v>
      </c>
      <c r="F1258" s="19" t="str">
        <f>IFERROR(__xludf.DUMMYFUNCTION("""COMPUTED_VALUE"""),"BLACK")</f>
        <v>BLACK</v>
      </c>
      <c r="G1258" s="20" t="str">
        <f>IFERROR(__xludf.DUMMYFUNCTION("""COMPUTED_VALUE"""),"Uncle Sams Cider (5/13/2022)")</f>
        <v>Uncle Sams Cider (5/13/2022)</v>
      </c>
      <c r="H1258" s="19"/>
    </row>
    <row r="1259">
      <c r="A1259" s="9"/>
      <c r="B1259" s="15"/>
      <c r="C1259" s="9">
        <f>IFERROR(__xludf.DUMMYFUNCTION("""COMPUTED_VALUE"""),44783.4993565625)</f>
        <v>44783.49936</v>
      </c>
      <c r="D1259" s="15">
        <f>IFERROR(__xludf.DUMMYFUNCTION("""COMPUTED_VALUE"""),1.004)</f>
        <v>1.004</v>
      </c>
      <c r="E1259" s="16">
        <f>IFERROR(__xludf.DUMMYFUNCTION("""COMPUTED_VALUE"""),69.0)</f>
        <v>69</v>
      </c>
      <c r="F1259" s="19" t="str">
        <f>IFERROR(__xludf.DUMMYFUNCTION("""COMPUTED_VALUE"""),"BLACK")</f>
        <v>BLACK</v>
      </c>
      <c r="G1259" s="20" t="str">
        <f>IFERROR(__xludf.DUMMYFUNCTION("""COMPUTED_VALUE"""),"Uncle Sams Cider (5/13/2022)")</f>
        <v>Uncle Sams Cider (5/13/2022)</v>
      </c>
      <c r="H1259" s="19"/>
    </row>
    <row r="1260">
      <c r="A1260" s="9"/>
      <c r="B1260" s="15"/>
      <c r="C1260" s="9">
        <f>IFERROR(__xludf.DUMMYFUNCTION("""COMPUTED_VALUE"""),44783.48893728)</f>
        <v>44783.48894</v>
      </c>
      <c r="D1260" s="15">
        <f>IFERROR(__xludf.DUMMYFUNCTION("""COMPUTED_VALUE"""),1.004)</f>
        <v>1.004</v>
      </c>
      <c r="E1260" s="16">
        <f>IFERROR(__xludf.DUMMYFUNCTION("""COMPUTED_VALUE"""),68.0)</f>
        <v>68</v>
      </c>
      <c r="F1260" s="19" t="str">
        <f>IFERROR(__xludf.DUMMYFUNCTION("""COMPUTED_VALUE"""),"BLACK")</f>
        <v>BLACK</v>
      </c>
      <c r="G1260" s="20" t="str">
        <f>IFERROR(__xludf.DUMMYFUNCTION("""COMPUTED_VALUE"""),"Uncle Sams Cider (5/13/2022)")</f>
        <v>Uncle Sams Cider (5/13/2022)</v>
      </c>
      <c r="H1260" s="19"/>
    </row>
    <row r="1261">
      <c r="A1261" s="9"/>
      <c r="B1261" s="15"/>
      <c r="C1261" s="9">
        <f>IFERROR(__xludf.DUMMYFUNCTION("""COMPUTED_VALUE"""),44783.4784928703)</f>
        <v>44783.47849</v>
      </c>
      <c r="D1261" s="15">
        <f>IFERROR(__xludf.DUMMYFUNCTION("""COMPUTED_VALUE"""),1.004)</f>
        <v>1.004</v>
      </c>
      <c r="E1261" s="16">
        <f>IFERROR(__xludf.DUMMYFUNCTION("""COMPUTED_VALUE"""),68.0)</f>
        <v>68</v>
      </c>
      <c r="F1261" s="19" t="str">
        <f>IFERROR(__xludf.DUMMYFUNCTION("""COMPUTED_VALUE"""),"BLACK")</f>
        <v>BLACK</v>
      </c>
      <c r="G1261" s="20" t="str">
        <f>IFERROR(__xludf.DUMMYFUNCTION("""COMPUTED_VALUE"""),"Uncle Sams Cider (5/13/2022)")</f>
        <v>Uncle Sams Cider (5/13/2022)</v>
      </c>
      <c r="H1261" s="19"/>
    </row>
    <row r="1262">
      <c r="A1262" s="9"/>
      <c r="B1262" s="15"/>
      <c r="C1262" s="9">
        <f>IFERROR(__xludf.DUMMYFUNCTION("""COMPUTED_VALUE"""),44783.4680608796)</f>
        <v>44783.46806</v>
      </c>
      <c r="D1262" s="15">
        <f>IFERROR(__xludf.DUMMYFUNCTION("""COMPUTED_VALUE"""),1.004)</f>
        <v>1.004</v>
      </c>
      <c r="E1262" s="16">
        <f>IFERROR(__xludf.DUMMYFUNCTION("""COMPUTED_VALUE"""),68.0)</f>
        <v>68</v>
      </c>
      <c r="F1262" s="19" t="str">
        <f>IFERROR(__xludf.DUMMYFUNCTION("""COMPUTED_VALUE"""),"BLACK")</f>
        <v>BLACK</v>
      </c>
      <c r="G1262" s="20" t="str">
        <f>IFERROR(__xludf.DUMMYFUNCTION("""COMPUTED_VALUE"""),"Uncle Sams Cider (5/13/2022)")</f>
        <v>Uncle Sams Cider (5/13/2022)</v>
      </c>
      <c r="H1262" s="19"/>
    </row>
    <row r="1263">
      <c r="A1263" s="9"/>
      <c r="B1263" s="15"/>
      <c r="C1263" s="9">
        <f>IFERROR(__xludf.DUMMYFUNCTION("""COMPUTED_VALUE"""),44783.4576170949)</f>
        <v>44783.45762</v>
      </c>
      <c r="D1263" s="15">
        <f>IFERROR(__xludf.DUMMYFUNCTION("""COMPUTED_VALUE"""),1.004)</f>
        <v>1.004</v>
      </c>
      <c r="E1263" s="16">
        <f>IFERROR(__xludf.DUMMYFUNCTION("""COMPUTED_VALUE"""),68.0)</f>
        <v>68</v>
      </c>
      <c r="F1263" s="19" t="str">
        <f>IFERROR(__xludf.DUMMYFUNCTION("""COMPUTED_VALUE"""),"BLACK")</f>
        <v>BLACK</v>
      </c>
      <c r="G1263" s="20" t="str">
        <f>IFERROR(__xludf.DUMMYFUNCTION("""COMPUTED_VALUE"""),"Uncle Sams Cider (5/13/2022)")</f>
        <v>Uncle Sams Cider (5/13/2022)</v>
      </c>
      <c r="H1263" s="19"/>
    </row>
    <row r="1264">
      <c r="A1264" s="9"/>
      <c r="B1264" s="15"/>
      <c r="C1264" s="9">
        <f>IFERROR(__xludf.DUMMYFUNCTION("""COMPUTED_VALUE"""),44783.4471728703)</f>
        <v>44783.44717</v>
      </c>
      <c r="D1264" s="15">
        <f>IFERROR(__xludf.DUMMYFUNCTION("""COMPUTED_VALUE"""),1.004)</f>
        <v>1.004</v>
      </c>
      <c r="E1264" s="16">
        <f>IFERROR(__xludf.DUMMYFUNCTION("""COMPUTED_VALUE"""),68.0)</f>
        <v>68</v>
      </c>
      <c r="F1264" s="19" t="str">
        <f>IFERROR(__xludf.DUMMYFUNCTION("""COMPUTED_VALUE"""),"BLACK")</f>
        <v>BLACK</v>
      </c>
      <c r="G1264" s="20" t="str">
        <f>IFERROR(__xludf.DUMMYFUNCTION("""COMPUTED_VALUE"""),"Uncle Sams Cider (5/13/2022)")</f>
        <v>Uncle Sams Cider (5/13/2022)</v>
      </c>
      <c r="H1264" s="19"/>
    </row>
    <row r="1265">
      <c r="A1265" s="9"/>
      <c r="B1265" s="15"/>
      <c r="C1265" s="9">
        <f>IFERROR(__xludf.DUMMYFUNCTION("""COMPUTED_VALUE"""),44783.4367519791)</f>
        <v>44783.43675</v>
      </c>
      <c r="D1265" s="15">
        <f>IFERROR(__xludf.DUMMYFUNCTION("""COMPUTED_VALUE"""),1.004)</f>
        <v>1.004</v>
      </c>
      <c r="E1265" s="16">
        <f>IFERROR(__xludf.DUMMYFUNCTION("""COMPUTED_VALUE"""),68.0)</f>
        <v>68</v>
      </c>
      <c r="F1265" s="19" t="str">
        <f>IFERROR(__xludf.DUMMYFUNCTION("""COMPUTED_VALUE"""),"BLACK")</f>
        <v>BLACK</v>
      </c>
      <c r="G1265" s="20" t="str">
        <f>IFERROR(__xludf.DUMMYFUNCTION("""COMPUTED_VALUE"""),"Uncle Sams Cider (5/13/2022)")</f>
        <v>Uncle Sams Cider (5/13/2022)</v>
      </c>
      <c r="H1265" s="19"/>
    </row>
    <row r="1266">
      <c r="A1266" s="9"/>
      <c r="B1266" s="15"/>
      <c r="C1266" s="9">
        <f>IFERROR(__xludf.DUMMYFUNCTION("""COMPUTED_VALUE"""),44783.4263300463)</f>
        <v>44783.42633</v>
      </c>
      <c r="D1266" s="15">
        <f>IFERROR(__xludf.DUMMYFUNCTION("""COMPUTED_VALUE"""),1.004)</f>
        <v>1.004</v>
      </c>
      <c r="E1266" s="16">
        <f>IFERROR(__xludf.DUMMYFUNCTION("""COMPUTED_VALUE"""),68.0)</f>
        <v>68</v>
      </c>
      <c r="F1266" s="19" t="str">
        <f>IFERROR(__xludf.DUMMYFUNCTION("""COMPUTED_VALUE"""),"BLACK")</f>
        <v>BLACK</v>
      </c>
      <c r="G1266" s="20" t="str">
        <f>IFERROR(__xludf.DUMMYFUNCTION("""COMPUTED_VALUE"""),"Uncle Sams Cider (5/13/2022)")</f>
        <v>Uncle Sams Cider (5/13/2022)</v>
      </c>
      <c r="H1266" s="19"/>
    </row>
    <row r="1267">
      <c r="A1267" s="9"/>
      <c r="B1267" s="15"/>
      <c r="C1267" s="9">
        <f>IFERROR(__xludf.DUMMYFUNCTION("""COMPUTED_VALUE"""),44783.4159103125)</f>
        <v>44783.41591</v>
      </c>
      <c r="D1267" s="15">
        <f>IFERROR(__xludf.DUMMYFUNCTION("""COMPUTED_VALUE"""),1.004)</f>
        <v>1.004</v>
      </c>
      <c r="E1267" s="16">
        <f>IFERROR(__xludf.DUMMYFUNCTION("""COMPUTED_VALUE"""),68.0)</f>
        <v>68</v>
      </c>
      <c r="F1267" s="19" t="str">
        <f>IFERROR(__xludf.DUMMYFUNCTION("""COMPUTED_VALUE"""),"BLACK")</f>
        <v>BLACK</v>
      </c>
      <c r="G1267" s="20" t="str">
        <f>IFERROR(__xludf.DUMMYFUNCTION("""COMPUTED_VALUE"""),"Uncle Sams Cider (5/13/2022)")</f>
        <v>Uncle Sams Cider (5/13/2022)</v>
      </c>
      <c r="H1267" s="19"/>
    </row>
    <row r="1268">
      <c r="A1268" s="9"/>
      <c r="B1268" s="15"/>
      <c r="C1268" s="9">
        <f>IFERROR(__xludf.DUMMYFUNCTION("""COMPUTED_VALUE"""),44783.4054875926)</f>
        <v>44783.40549</v>
      </c>
      <c r="D1268" s="15">
        <f>IFERROR(__xludf.DUMMYFUNCTION("""COMPUTED_VALUE"""),1.004)</f>
        <v>1.004</v>
      </c>
      <c r="E1268" s="16">
        <f>IFERROR(__xludf.DUMMYFUNCTION("""COMPUTED_VALUE"""),68.0)</f>
        <v>68</v>
      </c>
      <c r="F1268" s="19" t="str">
        <f>IFERROR(__xludf.DUMMYFUNCTION("""COMPUTED_VALUE"""),"BLACK")</f>
        <v>BLACK</v>
      </c>
      <c r="G1268" s="20" t="str">
        <f>IFERROR(__xludf.DUMMYFUNCTION("""COMPUTED_VALUE"""),"Uncle Sams Cider (5/13/2022)")</f>
        <v>Uncle Sams Cider (5/13/2022)</v>
      </c>
      <c r="H1268" s="19"/>
    </row>
    <row r="1269">
      <c r="A1269" s="9"/>
      <c r="B1269" s="15"/>
      <c r="C1269" s="9">
        <f>IFERROR(__xludf.DUMMYFUNCTION("""COMPUTED_VALUE"""),44783.395066331)</f>
        <v>44783.39507</v>
      </c>
      <c r="D1269" s="15">
        <f>IFERROR(__xludf.DUMMYFUNCTION("""COMPUTED_VALUE"""),1.004)</f>
        <v>1.004</v>
      </c>
      <c r="E1269" s="16">
        <f>IFERROR(__xludf.DUMMYFUNCTION("""COMPUTED_VALUE"""),68.0)</f>
        <v>68</v>
      </c>
      <c r="F1269" s="19" t="str">
        <f>IFERROR(__xludf.DUMMYFUNCTION("""COMPUTED_VALUE"""),"BLACK")</f>
        <v>BLACK</v>
      </c>
      <c r="G1269" s="20" t="str">
        <f>IFERROR(__xludf.DUMMYFUNCTION("""COMPUTED_VALUE"""),"Uncle Sams Cider (5/13/2022)")</f>
        <v>Uncle Sams Cider (5/13/2022)</v>
      </c>
      <c r="H1269" s="19"/>
    </row>
    <row r="1270">
      <c r="A1270" s="9"/>
      <c r="B1270" s="15"/>
      <c r="C1270" s="9">
        <f>IFERROR(__xludf.DUMMYFUNCTION("""COMPUTED_VALUE"""),44783.3846335763)</f>
        <v>44783.38463</v>
      </c>
      <c r="D1270" s="15">
        <f>IFERROR(__xludf.DUMMYFUNCTION("""COMPUTED_VALUE"""),1.004)</f>
        <v>1.004</v>
      </c>
      <c r="E1270" s="16">
        <f>IFERROR(__xludf.DUMMYFUNCTION("""COMPUTED_VALUE"""),68.0)</f>
        <v>68</v>
      </c>
      <c r="F1270" s="19" t="str">
        <f>IFERROR(__xludf.DUMMYFUNCTION("""COMPUTED_VALUE"""),"BLACK")</f>
        <v>BLACK</v>
      </c>
      <c r="G1270" s="20" t="str">
        <f>IFERROR(__xludf.DUMMYFUNCTION("""COMPUTED_VALUE"""),"Uncle Sams Cider (5/13/2022)")</f>
        <v>Uncle Sams Cider (5/13/2022)</v>
      </c>
      <c r="H1270" s="19"/>
    </row>
    <row r="1271">
      <c r="A1271" s="9"/>
      <c r="B1271" s="15"/>
      <c r="C1271" s="9">
        <f>IFERROR(__xludf.DUMMYFUNCTION("""COMPUTED_VALUE"""),44783.3742118518)</f>
        <v>44783.37421</v>
      </c>
      <c r="D1271" s="15">
        <f>IFERROR(__xludf.DUMMYFUNCTION("""COMPUTED_VALUE"""),1.004)</f>
        <v>1.004</v>
      </c>
      <c r="E1271" s="16">
        <f>IFERROR(__xludf.DUMMYFUNCTION("""COMPUTED_VALUE"""),68.0)</f>
        <v>68</v>
      </c>
      <c r="F1271" s="19" t="str">
        <f>IFERROR(__xludf.DUMMYFUNCTION("""COMPUTED_VALUE"""),"BLACK")</f>
        <v>BLACK</v>
      </c>
      <c r="G1271" s="20" t="str">
        <f>IFERROR(__xludf.DUMMYFUNCTION("""COMPUTED_VALUE"""),"Uncle Sams Cider (5/13/2022)")</f>
        <v>Uncle Sams Cider (5/13/2022)</v>
      </c>
      <c r="H1271" s="19"/>
    </row>
    <row r="1272">
      <c r="A1272" s="9"/>
      <c r="B1272" s="15"/>
      <c r="C1272" s="9">
        <f>IFERROR(__xludf.DUMMYFUNCTION("""COMPUTED_VALUE"""),44783.3637925694)</f>
        <v>44783.36379</v>
      </c>
      <c r="D1272" s="15">
        <f>IFERROR(__xludf.DUMMYFUNCTION("""COMPUTED_VALUE"""),1.004)</f>
        <v>1.004</v>
      </c>
      <c r="E1272" s="16">
        <f>IFERROR(__xludf.DUMMYFUNCTION("""COMPUTED_VALUE"""),68.0)</f>
        <v>68</v>
      </c>
      <c r="F1272" s="19" t="str">
        <f>IFERROR(__xludf.DUMMYFUNCTION("""COMPUTED_VALUE"""),"BLACK")</f>
        <v>BLACK</v>
      </c>
      <c r="G1272" s="20" t="str">
        <f>IFERROR(__xludf.DUMMYFUNCTION("""COMPUTED_VALUE"""),"Uncle Sams Cider (5/13/2022)")</f>
        <v>Uncle Sams Cider (5/13/2022)</v>
      </c>
      <c r="H1272" s="19"/>
    </row>
    <row r="1273">
      <c r="A1273" s="9"/>
      <c r="B1273" s="15"/>
      <c r="C1273" s="9">
        <f>IFERROR(__xludf.DUMMYFUNCTION("""COMPUTED_VALUE"""),44783.3533706944)</f>
        <v>44783.35337</v>
      </c>
      <c r="D1273" s="15">
        <f>IFERROR(__xludf.DUMMYFUNCTION("""COMPUTED_VALUE"""),1.004)</f>
        <v>1.004</v>
      </c>
      <c r="E1273" s="16">
        <f>IFERROR(__xludf.DUMMYFUNCTION("""COMPUTED_VALUE"""),68.0)</f>
        <v>68</v>
      </c>
      <c r="F1273" s="19" t="str">
        <f>IFERROR(__xludf.DUMMYFUNCTION("""COMPUTED_VALUE"""),"BLACK")</f>
        <v>BLACK</v>
      </c>
      <c r="G1273" s="20" t="str">
        <f>IFERROR(__xludf.DUMMYFUNCTION("""COMPUTED_VALUE"""),"Uncle Sams Cider (5/13/2022)")</f>
        <v>Uncle Sams Cider (5/13/2022)</v>
      </c>
      <c r="H1273" s="19"/>
    </row>
    <row r="1274">
      <c r="A1274" s="9"/>
      <c r="B1274" s="15"/>
      <c r="C1274" s="9">
        <f>IFERROR(__xludf.DUMMYFUNCTION("""COMPUTED_VALUE"""),44783.3429518402)</f>
        <v>44783.34295</v>
      </c>
      <c r="D1274" s="15">
        <f>IFERROR(__xludf.DUMMYFUNCTION("""COMPUTED_VALUE"""),1.004)</f>
        <v>1.004</v>
      </c>
      <c r="E1274" s="16">
        <f>IFERROR(__xludf.DUMMYFUNCTION("""COMPUTED_VALUE"""),68.0)</f>
        <v>68</v>
      </c>
      <c r="F1274" s="19" t="str">
        <f>IFERROR(__xludf.DUMMYFUNCTION("""COMPUTED_VALUE"""),"BLACK")</f>
        <v>BLACK</v>
      </c>
      <c r="G1274" s="20" t="str">
        <f>IFERROR(__xludf.DUMMYFUNCTION("""COMPUTED_VALUE"""),"Uncle Sams Cider (5/13/2022)")</f>
        <v>Uncle Sams Cider (5/13/2022)</v>
      </c>
      <c r="H1274" s="19"/>
    </row>
    <row r="1275">
      <c r="A1275" s="9"/>
      <c r="B1275" s="15"/>
      <c r="C1275" s="9">
        <f>IFERROR(__xludf.DUMMYFUNCTION("""COMPUTED_VALUE"""),44783.3325325694)</f>
        <v>44783.33253</v>
      </c>
      <c r="D1275" s="15">
        <f>IFERROR(__xludf.DUMMYFUNCTION("""COMPUTED_VALUE"""),1.004)</f>
        <v>1.004</v>
      </c>
      <c r="E1275" s="16">
        <f>IFERROR(__xludf.DUMMYFUNCTION("""COMPUTED_VALUE"""),68.0)</f>
        <v>68</v>
      </c>
      <c r="F1275" s="19" t="str">
        <f>IFERROR(__xludf.DUMMYFUNCTION("""COMPUTED_VALUE"""),"BLACK")</f>
        <v>BLACK</v>
      </c>
      <c r="G1275" s="20" t="str">
        <f>IFERROR(__xludf.DUMMYFUNCTION("""COMPUTED_VALUE"""),"Uncle Sams Cider (5/13/2022)")</f>
        <v>Uncle Sams Cider (5/13/2022)</v>
      </c>
      <c r="H1275" s="19"/>
    </row>
    <row r="1276">
      <c r="A1276" s="9"/>
      <c r="B1276" s="15"/>
      <c r="C1276" s="9">
        <f>IFERROR(__xludf.DUMMYFUNCTION("""COMPUTED_VALUE"""),44783.3220991666)</f>
        <v>44783.3221</v>
      </c>
      <c r="D1276" s="15">
        <f>IFERROR(__xludf.DUMMYFUNCTION("""COMPUTED_VALUE"""),1.004)</f>
        <v>1.004</v>
      </c>
      <c r="E1276" s="16">
        <f>IFERROR(__xludf.DUMMYFUNCTION("""COMPUTED_VALUE"""),68.0)</f>
        <v>68</v>
      </c>
      <c r="F1276" s="19" t="str">
        <f>IFERROR(__xludf.DUMMYFUNCTION("""COMPUTED_VALUE"""),"BLACK")</f>
        <v>BLACK</v>
      </c>
      <c r="G1276" s="20" t="str">
        <f>IFERROR(__xludf.DUMMYFUNCTION("""COMPUTED_VALUE"""),"Uncle Sams Cider (5/13/2022)")</f>
        <v>Uncle Sams Cider (5/13/2022)</v>
      </c>
      <c r="H1276" s="19"/>
    </row>
    <row r="1277">
      <c r="A1277" s="9"/>
      <c r="B1277" s="15"/>
      <c r="C1277" s="9">
        <f>IFERROR(__xludf.DUMMYFUNCTION("""COMPUTED_VALUE"""),44783.3116770717)</f>
        <v>44783.31168</v>
      </c>
      <c r="D1277" s="15">
        <f>IFERROR(__xludf.DUMMYFUNCTION("""COMPUTED_VALUE"""),1.004)</f>
        <v>1.004</v>
      </c>
      <c r="E1277" s="16">
        <f>IFERROR(__xludf.DUMMYFUNCTION("""COMPUTED_VALUE"""),68.0)</f>
        <v>68</v>
      </c>
      <c r="F1277" s="19" t="str">
        <f>IFERROR(__xludf.DUMMYFUNCTION("""COMPUTED_VALUE"""),"BLACK")</f>
        <v>BLACK</v>
      </c>
      <c r="G1277" s="20" t="str">
        <f>IFERROR(__xludf.DUMMYFUNCTION("""COMPUTED_VALUE"""),"Uncle Sams Cider (5/13/2022)")</f>
        <v>Uncle Sams Cider (5/13/2022)</v>
      </c>
      <c r="H1277" s="19"/>
    </row>
    <row r="1278">
      <c r="A1278" s="9"/>
      <c r="B1278" s="15"/>
      <c r="C1278" s="9">
        <f>IFERROR(__xludf.DUMMYFUNCTION("""COMPUTED_VALUE"""),44783.3012564351)</f>
        <v>44783.30126</v>
      </c>
      <c r="D1278" s="15">
        <f>IFERROR(__xludf.DUMMYFUNCTION("""COMPUTED_VALUE"""),1.004)</f>
        <v>1.004</v>
      </c>
      <c r="E1278" s="16">
        <f>IFERROR(__xludf.DUMMYFUNCTION("""COMPUTED_VALUE"""),68.0)</f>
        <v>68</v>
      </c>
      <c r="F1278" s="19" t="str">
        <f>IFERROR(__xludf.DUMMYFUNCTION("""COMPUTED_VALUE"""),"BLACK")</f>
        <v>BLACK</v>
      </c>
      <c r="G1278" s="20" t="str">
        <f>IFERROR(__xludf.DUMMYFUNCTION("""COMPUTED_VALUE"""),"Uncle Sams Cider (5/13/2022)")</f>
        <v>Uncle Sams Cider (5/13/2022)</v>
      </c>
      <c r="H1278" s="19"/>
    </row>
    <row r="1279">
      <c r="A1279" s="9"/>
      <c r="B1279" s="15"/>
      <c r="C1279" s="9">
        <f>IFERROR(__xludf.DUMMYFUNCTION("""COMPUTED_VALUE"""),44783.2908362615)</f>
        <v>44783.29084</v>
      </c>
      <c r="D1279" s="15">
        <f>IFERROR(__xludf.DUMMYFUNCTION("""COMPUTED_VALUE"""),1.004)</f>
        <v>1.004</v>
      </c>
      <c r="E1279" s="16">
        <f>IFERROR(__xludf.DUMMYFUNCTION("""COMPUTED_VALUE"""),68.0)</f>
        <v>68</v>
      </c>
      <c r="F1279" s="19" t="str">
        <f>IFERROR(__xludf.DUMMYFUNCTION("""COMPUTED_VALUE"""),"BLACK")</f>
        <v>BLACK</v>
      </c>
      <c r="G1279" s="20" t="str">
        <f>IFERROR(__xludf.DUMMYFUNCTION("""COMPUTED_VALUE"""),"Uncle Sams Cider (5/13/2022)")</f>
        <v>Uncle Sams Cider (5/13/2022)</v>
      </c>
      <c r="H1279" s="19"/>
    </row>
    <row r="1280">
      <c r="A1280" s="9"/>
      <c r="B1280" s="15"/>
      <c r="C1280" s="9">
        <f>IFERROR(__xludf.DUMMYFUNCTION("""COMPUTED_VALUE"""),44783.2804137731)</f>
        <v>44783.28041</v>
      </c>
      <c r="D1280" s="15">
        <f>IFERROR(__xludf.DUMMYFUNCTION("""COMPUTED_VALUE"""),1.004)</f>
        <v>1.004</v>
      </c>
      <c r="E1280" s="16">
        <f>IFERROR(__xludf.DUMMYFUNCTION("""COMPUTED_VALUE"""),68.0)</f>
        <v>68</v>
      </c>
      <c r="F1280" s="19" t="str">
        <f>IFERROR(__xludf.DUMMYFUNCTION("""COMPUTED_VALUE"""),"BLACK")</f>
        <v>BLACK</v>
      </c>
      <c r="G1280" s="20" t="str">
        <f>IFERROR(__xludf.DUMMYFUNCTION("""COMPUTED_VALUE"""),"Uncle Sams Cider (5/13/2022)")</f>
        <v>Uncle Sams Cider (5/13/2022)</v>
      </c>
      <c r="H1280" s="19"/>
    </row>
    <row r="1281">
      <c r="A1281" s="9"/>
      <c r="B1281" s="15"/>
      <c r="C1281" s="9">
        <f>IFERROR(__xludf.DUMMYFUNCTION("""COMPUTED_VALUE"""),44783.2699922916)</f>
        <v>44783.26999</v>
      </c>
      <c r="D1281" s="15">
        <f>IFERROR(__xludf.DUMMYFUNCTION("""COMPUTED_VALUE"""),1.004)</f>
        <v>1.004</v>
      </c>
      <c r="E1281" s="16">
        <f>IFERROR(__xludf.DUMMYFUNCTION("""COMPUTED_VALUE"""),68.0)</f>
        <v>68</v>
      </c>
      <c r="F1281" s="19" t="str">
        <f>IFERROR(__xludf.DUMMYFUNCTION("""COMPUTED_VALUE"""),"BLACK")</f>
        <v>BLACK</v>
      </c>
      <c r="G1281" s="20" t="str">
        <f>IFERROR(__xludf.DUMMYFUNCTION("""COMPUTED_VALUE"""),"Uncle Sams Cider (5/13/2022)")</f>
        <v>Uncle Sams Cider (5/13/2022)</v>
      </c>
      <c r="H1281" s="19"/>
    </row>
    <row r="1282">
      <c r="A1282" s="9"/>
      <c r="B1282" s="15"/>
      <c r="C1282" s="9">
        <f>IFERROR(__xludf.DUMMYFUNCTION("""COMPUTED_VALUE"""),44783.2595712152)</f>
        <v>44783.25957</v>
      </c>
      <c r="D1282" s="15">
        <f>IFERROR(__xludf.DUMMYFUNCTION("""COMPUTED_VALUE"""),1.004)</f>
        <v>1.004</v>
      </c>
      <c r="E1282" s="16">
        <f>IFERROR(__xludf.DUMMYFUNCTION("""COMPUTED_VALUE"""),68.0)</f>
        <v>68</v>
      </c>
      <c r="F1282" s="19" t="str">
        <f>IFERROR(__xludf.DUMMYFUNCTION("""COMPUTED_VALUE"""),"BLACK")</f>
        <v>BLACK</v>
      </c>
      <c r="G1282" s="20" t="str">
        <f>IFERROR(__xludf.DUMMYFUNCTION("""COMPUTED_VALUE"""),"Uncle Sams Cider (5/13/2022)")</f>
        <v>Uncle Sams Cider (5/13/2022)</v>
      </c>
      <c r="H1282" s="19"/>
    </row>
    <row r="1283">
      <c r="A1283" s="9"/>
      <c r="B1283" s="15"/>
      <c r="C1283" s="9">
        <f>IFERROR(__xludf.DUMMYFUNCTION("""COMPUTED_VALUE"""),44783.2491496643)</f>
        <v>44783.24915</v>
      </c>
      <c r="D1283" s="15">
        <f>IFERROR(__xludf.DUMMYFUNCTION("""COMPUTED_VALUE"""),1.004)</f>
        <v>1.004</v>
      </c>
      <c r="E1283" s="16">
        <f>IFERROR(__xludf.DUMMYFUNCTION("""COMPUTED_VALUE"""),68.0)</f>
        <v>68</v>
      </c>
      <c r="F1283" s="19" t="str">
        <f>IFERROR(__xludf.DUMMYFUNCTION("""COMPUTED_VALUE"""),"BLACK")</f>
        <v>BLACK</v>
      </c>
      <c r="G1283" s="20" t="str">
        <f>IFERROR(__xludf.DUMMYFUNCTION("""COMPUTED_VALUE"""),"Uncle Sams Cider (5/13/2022)")</f>
        <v>Uncle Sams Cider (5/13/2022)</v>
      </c>
      <c r="H1283" s="19"/>
    </row>
    <row r="1284">
      <c r="A1284" s="9"/>
      <c r="B1284" s="15"/>
      <c r="C1284" s="9">
        <f>IFERROR(__xludf.DUMMYFUNCTION("""COMPUTED_VALUE"""),44783.2387286921)</f>
        <v>44783.23873</v>
      </c>
      <c r="D1284" s="15">
        <f>IFERROR(__xludf.DUMMYFUNCTION("""COMPUTED_VALUE"""),1.004)</f>
        <v>1.004</v>
      </c>
      <c r="E1284" s="16">
        <f>IFERROR(__xludf.DUMMYFUNCTION("""COMPUTED_VALUE"""),68.0)</f>
        <v>68</v>
      </c>
      <c r="F1284" s="19" t="str">
        <f>IFERROR(__xludf.DUMMYFUNCTION("""COMPUTED_VALUE"""),"BLACK")</f>
        <v>BLACK</v>
      </c>
      <c r="G1284" s="20" t="str">
        <f>IFERROR(__xludf.DUMMYFUNCTION("""COMPUTED_VALUE"""),"Uncle Sams Cider (5/13/2022)")</f>
        <v>Uncle Sams Cider (5/13/2022)</v>
      </c>
      <c r="H1284" s="19"/>
    </row>
    <row r="1285">
      <c r="A1285" s="9"/>
      <c r="B1285" s="15"/>
      <c r="C1285" s="9">
        <f>IFERROR(__xludf.DUMMYFUNCTION("""COMPUTED_VALUE"""),44783.2283068287)</f>
        <v>44783.22831</v>
      </c>
      <c r="D1285" s="15">
        <f>IFERROR(__xludf.DUMMYFUNCTION("""COMPUTED_VALUE"""),1.004)</f>
        <v>1.004</v>
      </c>
      <c r="E1285" s="16">
        <f>IFERROR(__xludf.DUMMYFUNCTION("""COMPUTED_VALUE"""),68.0)</f>
        <v>68</v>
      </c>
      <c r="F1285" s="19" t="str">
        <f>IFERROR(__xludf.DUMMYFUNCTION("""COMPUTED_VALUE"""),"BLACK")</f>
        <v>BLACK</v>
      </c>
      <c r="G1285" s="20" t="str">
        <f>IFERROR(__xludf.DUMMYFUNCTION("""COMPUTED_VALUE"""),"Uncle Sams Cider (5/13/2022)")</f>
        <v>Uncle Sams Cider (5/13/2022)</v>
      </c>
      <c r="H1285" s="19"/>
    </row>
    <row r="1286">
      <c r="A1286" s="9"/>
      <c r="B1286" s="15"/>
      <c r="C1286" s="9">
        <f>IFERROR(__xludf.DUMMYFUNCTION("""COMPUTED_VALUE"""),44783.2178844213)</f>
        <v>44783.21788</v>
      </c>
      <c r="D1286" s="15">
        <f>IFERROR(__xludf.DUMMYFUNCTION("""COMPUTED_VALUE"""),1.004)</f>
        <v>1.004</v>
      </c>
      <c r="E1286" s="16">
        <f>IFERROR(__xludf.DUMMYFUNCTION("""COMPUTED_VALUE"""),68.0)</f>
        <v>68</v>
      </c>
      <c r="F1286" s="19" t="str">
        <f>IFERROR(__xludf.DUMMYFUNCTION("""COMPUTED_VALUE"""),"BLACK")</f>
        <v>BLACK</v>
      </c>
      <c r="G1286" s="20" t="str">
        <f>IFERROR(__xludf.DUMMYFUNCTION("""COMPUTED_VALUE"""),"Uncle Sams Cider (5/13/2022)")</f>
        <v>Uncle Sams Cider (5/13/2022)</v>
      </c>
      <c r="H1286" s="19"/>
    </row>
    <row r="1287">
      <c r="A1287" s="9"/>
      <c r="B1287" s="15"/>
      <c r="C1287" s="9">
        <f>IFERROR(__xludf.DUMMYFUNCTION("""COMPUTED_VALUE"""),44783.2074626273)</f>
        <v>44783.20746</v>
      </c>
      <c r="D1287" s="15">
        <f>IFERROR(__xludf.DUMMYFUNCTION("""COMPUTED_VALUE"""),1.004)</f>
        <v>1.004</v>
      </c>
      <c r="E1287" s="16">
        <f>IFERROR(__xludf.DUMMYFUNCTION("""COMPUTED_VALUE"""),68.0)</f>
        <v>68</v>
      </c>
      <c r="F1287" s="19" t="str">
        <f>IFERROR(__xludf.DUMMYFUNCTION("""COMPUTED_VALUE"""),"BLACK")</f>
        <v>BLACK</v>
      </c>
      <c r="G1287" s="20" t="str">
        <f>IFERROR(__xludf.DUMMYFUNCTION("""COMPUTED_VALUE"""),"Uncle Sams Cider (5/13/2022)")</f>
        <v>Uncle Sams Cider (5/13/2022)</v>
      </c>
      <c r="H1287" s="19"/>
    </row>
    <row r="1288">
      <c r="A1288" s="9"/>
      <c r="B1288" s="15"/>
      <c r="C1288" s="9">
        <f>IFERROR(__xludf.DUMMYFUNCTION("""COMPUTED_VALUE"""),44783.1970415046)</f>
        <v>44783.19704</v>
      </c>
      <c r="D1288" s="15">
        <f>IFERROR(__xludf.DUMMYFUNCTION("""COMPUTED_VALUE"""),1.004)</f>
        <v>1.004</v>
      </c>
      <c r="E1288" s="16">
        <f>IFERROR(__xludf.DUMMYFUNCTION("""COMPUTED_VALUE"""),68.0)</f>
        <v>68</v>
      </c>
      <c r="F1288" s="19" t="str">
        <f>IFERROR(__xludf.DUMMYFUNCTION("""COMPUTED_VALUE"""),"BLACK")</f>
        <v>BLACK</v>
      </c>
      <c r="G1288" s="20" t="str">
        <f>IFERROR(__xludf.DUMMYFUNCTION("""COMPUTED_VALUE"""),"Uncle Sams Cider (5/13/2022)")</f>
        <v>Uncle Sams Cider (5/13/2022)</v>
      </c>
      <c r="H1288" s="19"/>
    </row>
    <row r="1289">
      <c r="A1289" s="9"/>
      <c r="B1289" s="15"/>
      <c r="C1289" s="9">
        <f>IFERROR(__xludf.DUMMYFUNCTION("""COMPUTED_VALUE"""),44783.1866203819)</f>
        <v>44783.18662</v>
      </c>
      <c r="D1289" s="15">
        <f>IFERROR(__xludf.DUMMYFUNCTION("""COMPUTED_VALUE"""),1.004)</f>
        <v>1.004</v>
      </c>
      <c r="E1289" s="16">
        <f>IFERROR(__xludf.DUMMYFUNCTION("""COMPUTED_VALUE"""),68.0)</f>
        <v>68</v>
      </c>
      <c r="F1289" s="19" t="str">
        <f>IFERROR(__xludf.DUMMYFUNCTION("""COMPUTED_VALUE"""),"BLACK")</f>
        <v>BLACK</v>
      </c>
      <c r="G1289" s="20" t="str">
        <f>IFERROR(__xludf.DUMMYFUNCTION("""COMPUTED_VALUE"""),"Uncle Sams Cider (5/13/2022)")</f>
        <v>Uncle Sams Cider (5/13/2022)</v>
      </c>
      <c r="H1289" s="19"/>
    </row>
    <row r="1290">
      <c r="A1290" s="9"/>
      <c r="B1290" s="15"/>
      <c r="C1290" s="9">
        <f>IFERROR(__xludf.DUMMYFUNCTION("""COMPUTED_VALUE"""),44783.1761877662)</f>
        <v>44783.17619</v>
      </c>
      <c r="D1290" s="15">
        <f>IFERROR(__xludf.DUMMYFUNCTION("""COMPUTED_VALUE"""),1.004)</f>
        <v>1.004</v>
      </c>
      <c r="E1290" s="16">
        <f>IFERROR(__xludf.DUMMYFUNCTION("""COMPUTED_VALUE"""),68.0)</f>
        <v>68</v>
      </c>
      <c r="F1290" s="19" t="str">
        <f>IFERROR(__xludf.DUMMYFUNCTION("""COMPUTED_VALUE"""),"BLACK")</f>
        <v>BLACK</v>
      </c>
      <c r="G1290" s="20" t="str">
        <f>IFERROR(__xludf.DUMMYFUNCTION("""COMPUTED_VALUE"""),"Uncle Sams Cider (5/13/2022)")</f>
        <v>Uncle Sams Cider (5/13/2022)</v>
      </c>
      <c r="H1290" s="19"/>
    </row>
    <row r="1291">
      <c r="A1291" s="9"/>
      <c r="B1291" s="15"/>
      <c r="C1291" s="9">
        <f>IFERROR(__xludf.DUMMYFUNCTION("""COMPUTED_VALUE"""),44783.1657662963)</f>
        <v>44783.16577</v>
      </c>
      <c r="D1291" s="15">
        <f>IFERROR(__xludf.DUMMYFUNCTION("""COMPUTED_VALUE"""),1.004)</f>
        <v>1.004</v>
      </c>
      <c r="E1291" s="16">
        <f>IFERROR(__xludf.DUMMYFUNCTION("""COMPUTED_VALUE"""),68.0)</f>
        <v>68</v>
      </c>
      <c r="F1291" s="19" t="str">
        <f>IFERROR(__xludf.DUMMYFUNCTION("""COMPUTED_VALUE"""),"BLACK")</f>
        <v>BLACK</v>
      </c>
      <c r="G1291" s="20" t="str">
        <f>IFERROR(__xludf.DUMMYFUNCTION("""COMPUTED_VALUE"""),"Uncle Sams Cider (5/13/2022)")</f>
        <v>Uncle Sams Cider (5/13/2022)</v>
      </c>
      <c r="H1291" s="19"/>
    </row>
    <row r="1292">
      <c r="A1292" s="9"/>
      <c r="B1292" s="15"/>
      <c r="C1292" s="9">
        <f>IFERROR(__xludf.DUMMYFUNCTION("""COMPUTED_VALUE"""),44783.1553455324)</f>
        <v>44783.15535</v>
      </c>
      <c r="D1292" s="15">
        <f>IFERROR(__xludf.DUMMYFUNCTION("""COMPUTED_VALUE"""),1.004)</f>
        <v>1.004</v>
      </c>
      <c r="E1292" s="16">
        <f>IFERROR(__xludf.DUMMYFUNCTION("""COMPUTED_VALUE"""),68.0)</f>
        <v>68</v>
      </c>
      <c r="F1292" s="19" t="str">
        <f>IFERROR(__xludf.DUMMYFUNCTION("""COMPUTED_VALUE"""),"BLACK")</f>
        <v>BLACK</v>
      </c>
      <c r="G1292" s="20" t="str">
        <f>IFERROR(__xludf.DUMMYFUNCTION("""COMPUTED_VALUE"""),"Uncle Sams Cider (5/13/2022)")</f>
        <v>Uncle Sams Cider (5/13/2022)</v>
      </c>
      <c r="H1292" s="19"/>
    </row>
    <row r="1293">
      <c r="A1293" s="9"/>
      <c r="B1293" s="15"/>
      <c r="C1293" s="9">
        <f>IFERROR(__xludf.DUMMYFUNCTION("""COMPUTED_VALUE"""),44783.1449244444)</f>
        <v>44783.14492</v>
      </c>
      <c r="D1293" s="15">
        <f>IFERROR(__xludf.DUMMYFUNCTION("""COMPUTED_VALUE"""),1.004)</f>
        <v>1.004</v>
      </c>
      <c r="E1293" s="16">
        <f>IFERROR(__xludf.DUMMYFUNCTION("""COMPUTED_VALUE"""),68.0)</f>
        <v>68</v>
      </c>
      <c r="F1293" s="19" t="str">
        <f>IFERROR(__xludf.DUMMYFUNCTION("""COMPUTED_VALUE"""),"BLACK")</f>
        <v>BLACK</v>
      </c>
      <c r="G1293" s="20" t="str">
        <f>IFERROR(__xludf.DUMMYFUNCTION("""COMPUTED_VALUE"""),"Uncle Sams Cider (5/13/2022)")</f>
        <v>Uncle Sams Cider (5/13/2022)</v>
      </c>
      <c r="H1293" s="19"/>
    </row>
    <row r="1294">
      <c r="A1294" s="9"/>
      <c r="B1294" s="15"/>
      <c r="C1294" s="9">
        <f>IFERROR(__xludf.DUMMYFUNCTION("""COMPUTED_VALUE"""),44783.1344924537)</f>
        <v>44783.13449</v>
      </c>
      <c r="D1294" s="15">
        <f>IFERROR(__xludf.DUMMYFUNCTION("""COMPUTED_VALUE"""),1.004)</f>
        <v>1.004</v>
      </c>
      <c r="E1294" s="16">
        <f>IFERROR(__xludf.DUMMYFUNCTION("""COMPUTED_VALUE"""),68.0)</f>
        <v>68</v>
      </c>
      <c r="F1294" s="19" t="str">
        <f>IFERROR(__xludf.DUMMYFUNCTION("""COMPUTED_VALUE"""),"BLACK")</f>
        <v>BLACK</v>
      </c>
      <c r="G1294" s="20" t="str">
        <f>IFERROR(__xludf.DUMMYFUNCTION("""COMPUTED_VALUE"""),"Uncle Sams Cider (5/13/2022)")</f>
        <v>Uncle Sams Cider (5/13/2022)</v>
      </c>
      <c r="H1294" s="19"/>
    </row>
    <row r="1295">
      <c r="A1295" s="9"/>
      <c r="B1295" s="15"/>
      <c r="C1295" s="9">
        <f>IFERROR(__xludf.DUMMYFUNCTION("""COMPUTED_VALUE"""),44783.1240722338)</f>
        <v>44783.12407</v>
      </c>
      <c r="D1295" s="15">
        <f>IFERROR(__xludf.DUMMYFUNCTION("""COMPUTED_VALUE"""),1.004)</f>
        <v>1.004</v>
      </c>
      <c r="E1295" s="16">
        <f>IFERROR(__xludf.DUMMYFUNCTION("""COMPUTED_VALUE"""),68.0)</f>
        <v>68</v>
      </c>
      <c r="F1295" s="19" t="str">
        <f>IFERROR(__xludf.DUMMYFUNCTION("""COMPUTED_VALUE"""),"BLACK")</f>
        <v>BLACK</v>
      </c>
      <c r="G1295" s="20" t="str">
        <f>IFERROR(__xludf.DUMMYFUNCTION("""COMPUTED_VALUE"""),"Uncle Sams Cider (5/13/2022)")</f>
        <v>Uncle Sams Cider (5/13/2022)</v>
      </c>
      <c r="H1295" s="19"/>
    </row>
    <row r="1296">
      <c r="A1296" s="9"/>
      <c r="B1296" s="15"/>
      <c r="C1296" s="9">
        <f>IFERROR(__xludf.DUMMYFUNCTION("""COMPUTED_VALUE"""),44783.1136514583)</f>
        <v>44783.11365</v>
      </c>
      <c r="D1296" s="15">
        <f>IFERROR(__xludf.DUMMYFUNCTION("""COMPUTED_VALUE"""),1.004)</f>
        <v>1.004</v>
      </c>
      <c r="E1296" s="16">
        <f>IFERROR(__xludf.DUMMYFUNCTION("""COMPUTED_VALUE"""),68.0)</f>
        <v>68</v>
      </c>
      <c r="F1296" s="19" t="str">
        <f>IFERROR(__xludf.DUMMYFUNCTION("""COMPUTED_VALUE"""),"BLACK")</f>
        <v>BLACK</v>
      </c>
      <c r="G1296" s="20" t="str">
        <f>IFERROR(__xludf.DUMMYFUNCTION("""COMPUTED_VALUE"""),"Uncle Sams Cider (5/13/2022)")</f>
        <v>Uncle Sams Cider (5/13/2022)</v>
      </c>
      <c r="H1296" s="19"/>
    </row>
    <row r="1297">
      <c r="A1297" s="9"/>
      <c r="B1297" s="15"/>
      <c r="C1297" s="9">
        <f>IFERROR(__xludf.DUMMYFUNCTION("""COMPUTED_VALUE"""),44783.1032303935)</f>
        <v>44783.10323</v>
      </c>
      <c r="D1297" s="15">
        <f>IFERROR(__xludf.DUMMYFUNCTION("""COMPUTED_VALUE"""),1.004)</f>
        <v>1.004</v>
      </c>
      <c r="E1297" s="16">
        <f>IFERROR(__xludf.DUMMYFUNCTION("""COMPUTED_VALUE"""),68.0)</f>
        <v>68</v>
      </c>
      <c r="F1297" s="19" t="str">
        <f>IFERROR(__xludf.DUMMYFUNCTION("""COMPUTED_VALUE"""),"BLACK")</f>
        <v>BLACK</v>
      </c>
      <c r="G1297" s="20" t="str">
        <f>IFERROR(__xludf.DUMMYFUNCTION("""COMPUTED_VALUE"""),"Uncle Sams Cider (5/13/2022)")</f>
        <v>Uncle Sams Cider (5/13/2022)</v>
      </c>
      <c r="H1297" s="19"/>
    </row>
    <row r="1298">
      <c r="A1298" s="9"/>
      <c r="B1298" s="15"/>
      <c r="C1298" s="9">
        <f>IFERROR(__xludf.DUMMYFUNCTION("""COMPUTED_VALUE"""),44783.092796875)</f>
        <v>44783.0928</v>
      </c>
      <c r="D1298" s="15">
        <f>IFERROR(__xludf.DUMMYFUNCTION("""COMPUTED_VALUE"""),1.004)</f>
        <v>1.004</v>
      </c>
      <c r="E1298" s="16">
        <f>IFERROR(__xludf.DUMMYFUNCTION("""COMPUTED_VALUE"""),68.0)</f>
        <v>68</v>
      </c>
      <c r="F1298" s="19" t="str">
        <f>IFERROR(__xludf.DUMMYFUNCTION("""COMPUTED_VALUE"""),"BLACK")</f>
        <v>BLACK</v>
      </c>
      <c r="G1298" s="20" t="str">
        <f>IFERROR(__xludf.DUMMYFUNCTION("""COMPUTED_VALUE"""),"Uncle Sams Cider (5/13/2022)")</f>
        <v>Uncle Sams Cider (5/13/2022)</v>
      </c>
      <c r="H1298" s="19"/>
    </row>
    <row r="1299">
      <c r="A1299" s="9"/>
      <c r="B1299" s="15"/>
      <c r="C1299" s="9">
        <f>IFERROR(__xludf.DUMMYFUNCTION("""COMPUTED_VALUE"""),44783.0823769791)</f>
        <v>44783.08238</v>
      </c>
      <c r="D1299" s="15">
        <f>IFERROR(__xludf.DUMMYFUNCTION("""COMPUTED_VALUE"""),1.004)</f>
        <v>1.004</v>
      </c>
      <c r="E1299" s="16">
        <f>IFERROR(__xludf.DUMMYFUNCTION("""COMPUTED_VALUE"""),68.0)</f>
        <v>68</v>
      </c>
      <c r="F1299" s="19" t="str">
        <f>IFERROR(__xludf.DUMMYFUNCTION("""COMPUTED_VALUE"""),"BLACK")</f>
        <v>BLACK</v>
      </c>
      <c r="G1299" s="20" t="str">
        <f>IFERROR(__xludf.DUMMYFUNCTION("""COMPUTED_VALUE"""),"Uncle Sams Cider (5/13/2022)")</f>
        <v>Uncle Sams Cider (5/13/2022)</v>
      </c>
      <c r="H1299" s="19"/>
    </row>
    <row r="1300">
      <c r="A1300" s="9"/>
      <c r="B1300" s="15"/>
      <c r="C1300" s="9">
        <f>IFERROR(__xludf.DUMMYFUNCTION("""COMPUTED_VALUE"""),44783.0719565856)</f>
        <v>44783.07196</v>
      </c>
      <c r="D1300" s="15">
        <f>IFERROR(__xludf.DUMMYFUNCTION("""COMPUTED_VALUE"""),1.004)</f>
        <v>1.004</v>
      </c>
      <c r="E1300" s="16">
        <f>IFERROR(__xludf.DUMMYFUNCTION("""COMPUTED_VALUE"""),68.0)</f>
        <v>68</v>
      </c>
      <c r="F1300" s="19" t="str">
        <f>IFERROR(__xludf.DUMMYFUNCTION("""COMPUTED_VALUE"""),"BLACK")</f>
        <v>BLACK</v>
      </c>
      <c r="G1300" s="20" t="str">
        <f>IFERROR(__xludf.DUMMYFUNCTION("""COMPUTED_VALUE"""),"Uncle Sams Cider (5/13/2022)")</f>
        <v>Uncle Sams Cider (5/13/2022)</v>
      </c>
      <c r="H1300" s="19"/>
    </row>
    <row r="1301">
      <c r="A1301" s="9"/>
      <c r="B1301" s="15"/>
      <c r="C1301" s="9">
        <f>IFERROR(__xludf.DUMMYFUNCTION("""COMPUTED_VALUE"""),44783.0615367824)</f>
        <v>44783.06154</v>
      </c>
      <c r="D1301" s="15">
        <f>IFERROR(__xludf.DUMMYFUNCTION("""COMPUTED_VALUE"""),1.004)</f>
        <v>1.004</v>
      </c>
      <c r="E1301" s="16">
        <f>IFERROR(__xludf.DUMMYFUNCTION("""COMPUTED_VALUE"""),68.0)</f>
        <v>68</v>
      </c>
      <c r="F1301" s="19" t="str">
        <f>IFERROR(__xludf.DUMMYFUNCTION("""COMPUTED_VALUE"""),"BLACK")</f>
        <v>BLACK</v>
      </c>
      <c r="G1301" s="20" t="str">
        <f>IFERROR(__xludf.DUMMYFUNCTION("""COMPUTED_VALUE"""),"Uncle Sams Cider (5/13/2022)")</f>
        <v>Uncle Sams Cider (5/13/2022)</v>
      </c>
      <c r="H1301" s="19"/>
    </row>
    <row r="1302">
      <c r="A1302" s="9"/>
      <c r="B1302" s="15"/>
      <c r="C1302" s="9">
        <f>IFERROR(__xludf.DUMMYFUNCTION("""COMPUTED_VALUE"""),44783.0510690509)</f>
        <v>44783.05107</v>
      </c>
      <c r="D1302" s="15">
        <f>IFERROR(__xludf.DUMMYFUNCTION("""COMPUTED_VALUE"""),1.004)</f>
        <v>1.004</v>
      </c>
      <c r="E1302" s="16">
        <f>IFERROR(__xludf.DUMMYFUNCTION("""COMPUTED_VALUE"""),68.0)</f>
        <v>68</v>
      </c>
      <c r="F1302" s="19" t="str">
        <f>IFERROR(__xludf.DUMMYFUNCTION("""COMPUTED_VALUE"""),"BLACK")</f>
        <v>BLACK</v>
      </c>
      <c r="G1302" s="20" t="str">
        <f>IFERROR(__xludf.DUMMYFUNCTION("""COMPUTED_VALUE"""),"Uncle Sams Cider (5/13/2022)")</f>
        <v>Uncle Sams Cider (5/13/2022)</v>
      </c>
      <c r="H1302" s="19"/>
    </row>
    <row r="1303">
      <c r="A1303" s="9"/>
      <c r="B1303" s="15"/>
      <c r="C1303" s="9">
        <f>IFERROR(__xludf.DUMMYFUNCTION("""COMPUTED_VALUE"""),44783.0406481481)</f>
        <v>44783.04065</v>
      </c>
      <c r="D1303" s="15">
        <f>IFERROR(__xludf.DUMMYFUNCTION("""COMPUTED_VALUE"""),1.004)</f>
        <v>1.004</v>
      </c>
      <c r="E1303" s="16">
        <f>IFERROR(__xludf.DUMMYFUNCTION("""COMPUTED_VALUE"""),68.0)</f>
        <v>68</v>
      </c>
      <c r="F1303" s="19" t="str">
        <f>IFERROR(__xludf.DUMMYFUNCTION("""COMPUTED_VALUE"""),"BLACK")</f>
        <v>BLACK</v>
      </c>
      <c r="G1303" s="20" t="str">
        <f>IFERROR(__xludf.DUMMYFUNCTION("""COMPUTED_VALUE"""),"Uncle Sams Cider (5/13/2022)")</f>
        <v>Uncle Sams Cider (5/13/2022)</v>
      </c>
      <c r="H1303" s="19"/>
    </row>
    <row r="1304">
      <c r="A1304" s="9"/>
      <c r="B1304" s="15"/>
      <c r="C1304" s="9">
        <f>IFERROR(__xludf.DUMMYFUNCTION("""COMPUTED_VALUE"""),44783.0302279166)</f>
        <v>44783.03023</v>
      </c>
      <c r="D1304" s="15">
        <f>IFERROR(__xludf.DUMMYFUNCTION("""COMPUTED_VALUE"""),1.004)</f>
        <v>1.004</v>
      </c>
      <c r="E1304" s="16">
        <f>IFERROR(__xludf.DUMMYFUNCTION("""COMPUTED_VALUE"""),68.0)</f>
        <v>68</v>
      </c>
      <c r="F1304" s="19" t="str">
        <f>IFERROR(__xludf.DUMMYFUNCTION("""COMPUTED_VALUE"""),"BLACK")</f>
        <v>BLACK</v>
      </c>
      <c r="G1304" s="20" t="str">
        <f>IFERROR(__xludf.DUMMYFUNCTION("""COMPUTED_VALUE"""),"Uncle Sams Cider (5/13/2022)")</f>
        <v>Uncle Sams Cider (5/13/2022)</v>
      </c>
      <c r="H1304" s="19"/>
    </row>
    <row r="1305">
      <c r="A1305" s="9"/>
      <c r="B1305" s="15"/>
      <c r="C1305" s="9">
        <f>IFERROR(__xludf.DUMMYFUNCTION("""COMPUTED_VALUE"""),44783.0197943981)</f>
        <v>44783.01979</v>
      </c>
      <c r="D1305" s="15">
        <f>IFERROR(__xludf.DUMMYFUNCTION("""COMPUTED_VALUE"""),1.004)</f>
        <v>1.004</v>
      </c>
      <c r="E1305" s="16">
        <f>IFERROR(__xludf.DUMMYFUNCTION("""COMPUTED_VALUE"""),68.0)</f>
        <v>68</v>
      </c>
      <c r="F1305" s="19" t="str">
        <f>IFERROR(__xludf.DUMMYFUNCTION("""COMPUTED_VALUE"""),"BLACK")</f>
        <v>BLACK</v>
      </c>
      <c r="G1305" s="20" t="str">
        <f>IFERROR(__xludf.DUMMYFUNCTION("""COMPUTED_VALUE"""),"Uncle Sams Cider (5/13/2022)")</f>
        <v>Uncle Sams Cider (5/13/2022)</v>
      </c>
      <c r="H1305" s="19"/>
    </row>
    <row r="1306">
      <c r="A1306" s="9"/>
      <c r="B1306" s="15"/>
      <c r="C1306" s="9">
        <f>IFERROR(__xludf.DUMMYFUNCTION("""COMPUTED_VALUE"""),44783.0093607754)</f>
        <v>44783.00936</v>
      </c>
      <c r="D1306" s="15">
        <f>IFERROR(__xludf.DUMMYFUNCTION("""COMPUTED_VALUE"""),1.004)</f>
        <v>1.004</v>
      </c>
      <c r="E1306" s="16">
        <f>IFERROR(__xludf.DUMMYFUNCTION("""COMPUTED_VALUE"""),68.0)</f>
        <v>68</v>
      </c>
      <c r="F1306" s="19" t="str">
        <f>IFERROR(__xludf.DUMMYFUNCTION("""COMPUTED_VALUE"""),"BLACK")</f>
        <v>BLACK</v>
      </c>
      <c r="G1306" s="20" t="str">
        <f>IFERROR(__xludf.DUMMYFUNCTION("""COMPUTED_VALUE"""),"Uncle Sams Cider (5/13/2022)")</f>
        <v>Uncle Sams Cider (5/13/2022)</v>
      </c>
      <c r="H1306" s="19"/>
    </row>
    <row r="1307">
      <c r="A1307" s="9"/>
      <c r="B1307" s="15"/>
      <c r="C1307" s="9">
        <f>IFERROR(__xludf.DUMMYFUNCTION("""COMPUTED_VALUE"""),44782.9989403703)</f>
        <v>44782.99894</v>
      </c>
      <c r="D1307" s="15">
        <f>IFERROR(__xludf.DUMMYFUNCTION("""COMPUTED_VALUE"""),1.004)</f>
        <v>1.004</v>
      </c>
      <c r="E1307" s="16">
        <f>IFERROR(__xludf.DUMMYFUNCTION("""COMPUTED_VALUE"""),68.0)</f>
        <v>68</v>
      </c>
      <c r="F1307" s="19" t="str">
        <f>IFERROR(__xludf.DUMMYFUNCTION("""COMPUTED_VALUE"""),"BLACK")</f>
        <v>BLACK</v>
      </c>
      <c r="G1307" s="20" t="str">
        <f>IFERROR(__xludf.DUMMYFUNCTION("""COMPUTED_VALUE"""),"Uncle Sams Cider (5/13/2022)")</f>
        <v>Uncle Sams Cider (5/13/2022)</v>
      </c>
      <c r="H1307" s="19"/>
    </row>
    <row r="1308">
      <c r="A1308" s="9"/>
      <c r="B1308" s="15"/>
      <c r="C1308" s="9">
        <f>IFERROR(__xludf.DUMMYFUNCTION("""COMPUTED_VALUE"""),44782.9885195949)</f>
        <v>44782.98852</v>
      </c>
      <c r="D1308" s="15">
        <f>IFERROR(__xludf.DUMMYFUNCTION("""COMPUTED_VALUE"""),1.004)</f>
        <v>1.004</v>
      </c>
      <c r="E1308" s="16">
        <f>IFERROR(__xludf.DUMMYFUNCTION("""COMPUTED_VALUE"""),68.0)</f>
        <v>68</v>
      </c>
      <c r="F1308" s="19" t="str">
        <f>IFERROR(__xludf.DUMMYFUNCTION("""COMPUTED_VALUE"""),"BLACK")</f>
        <v>BLACK</v>
      </c>
      <c r="G1308" s="20" t="str">
        <f>IFERROR(__xludf.DUMMYFUNCTION("""COMPUTED_VALUE"""),"Uncle Sams Cider (5/13/2022)")</f>
        <v>Uncle Sams Cider (5/13/2022)</v>
      </c>
      <c r="H1308" s="19"/>
    </row>
    <row r="1309">
      <c r="A1309" s="9"/>
      <c r="B1309" s="15"/>
      <c r="C1309" s="9">
        <f>IFERROR(__xludf.DUMMYFUNCTION("""COMPUTED_VALUE"""),44782.9780992245)</f>
        <v>44782.9781</v>
      </c>
      <c r="D1309" s="15">
        <f>IFERROR(__xludf.DUMMYFUNCTION("""COMPUTED_VALUE"""),1.004)</f>
        <v>1.004</v>
      </c>
      <c r="E1309" s="16">
        <f>IFERROR(__xludf.DUMMYFUNCTION("""COMPUTED_VALUE"""),68.0)</f>
        <v>68</v>
      </c>
      <c r="F1309" s="19" t="str">
        <f>IFERROR(__xludf.DUMMYFUNCTION("""COMPUTED_VALUE"""),"BLACK")</f>
        <v>BLACK</v>
      </c>
      <c r="G1309" s="20" t="str">
        <f>IFERROR(__xludf.DUMMYFUNCTION("""COMPUTED_VALUE"""),"Uncle Sams Cider (5/13/2022)")</f>
        <v>Uncle Sams Cider (5/13/2022)</v>
      </c>
      <c r="H1309" s="19"/>
    </row>
    <row r="1310">
      <c r="A1310" s="9"/>
      <c r="B1310" s="15"/>
      <c r="C1310" s="9">
        <f>IFERROR(__xludf.DUMMYFUNCTION("""COMPUTED_VALUE"""),44782.9676787963)</f>
        <v>44782.96768</v>
      </c>
      <c r="D1310" s="15">
        <f>IFERROR(__xludf.DUMMYFUNCTION("""COMPUTED_VALUE"""),1.004)</f>
        <v>1.004</v>
      </c>
      <c r="E1310" s="16">
        <f>IFERROR(__xludf.DUMMYFUNCTION("""COMPUTED_VALUE"""),68.0)</f>
        <v>68</v>
      </c>
      <c r="F1310" s="19" t="str">
        <f>IFERROR(__xludf.DUMMYFUNCTION("""COMPUTED_VALUE"""),"BLACK")</f>
        <v>BLACK</v>
      </c>
      <c r="G1310" s="20" t="str">
        <f>IFERROR(__xludf.DUMMYFUNCTION("""COMPUTED_VALUE"""),"Uncle Sams Cider (5/13/2022)")</f>
        <v>Uncle Sams Cider (5/13/2022)</v>
      </c>
      <c r="H1310" s="19"/>
    </row>
    <row r="1311">
      <c r="A1311" s="9"/>
      <c r="B1311" s="15"/>
      <c r="C1311" s="9">
        <f>IFERROR(__xludf.DUMMYFUNCTION("""COMPUTED_VALUE"""),44782.9572584606)</f>
        <v>44782.95726</v>
      </c>
      <c r="D1311" s="15">
        <f>IFERROR(__xludf.DUMMYFUNCTION("""COMPUTED_VALUE"""),1.004)</f>
        <v>1.004</v>
      </c>
      <c r="E1311" s="16">
        <f>IFERROR(__xludf.DUMMYFUNCTION("""COMPUTED_VALUE"""),68.0)</f>
        <v>68</v>
      </c>
      <c r="F1311" s="19" t="str">
        <f>IFERROR(__xludf.DUMMYFUNCTION("""COMPUTED_VALUE"""),"BLACK")</f>
        <v>BLACK</v>
      </c>
      <c r="G1311" s="20" t="str">
        <f>IFERROR(__xludf.DUMMYFUNCTION("""COMPUTED_VALUE"""),"Uncle Sams Cider (5/13/2022)")</f>
        <v>Uncle Sams Cider (5/13/2022)</v>
      </c>
      <c r="H1311" s="19"/>
    </row>
    <row r="1312">
      <c r="A1312" s="9"/>
      <c r="B1312" s="15"/>
      <c r="C1312" s="9">
        <f>IFERROR(__xludf.DUMMYFUNCTION("""COMPUTED_VALUE"""),44782.9468256597)</f>
        <v>44782.94683</v>
      </c>
      <c r="D1312" s="15">
        <f>IFERROR(__xludf.DUMMYFUNCTION("""COMPUTED_VALUE"""),1.004)</f>
        <v>1.004</v>
      </c>
      <c r="E1312" s="16">
        <f>IFERROR(__xludf.DUMMYFUNCTION("""COMPUTED_VALUE"""),68.0)</f>
        <v>68</v>
      </c>
      <c r="F1312" s="19" t="str">
        <f>IFERROR(__xludf.DUMMYFUNCTION("""COMPUTED_VALUE"""),"BLACK")</f>
        <v>BLACK</v>
      </c>
      <c r="G1312" s="20" t="str">
        <f>IFERROR(__xludf.DUMMYFUNCTION("""COMPUTED_VALUE"""),"Uncle Sams Cider (5/13/2022)")</f>
        <v>Uncle Sams Cider (5/13/2022)</v>
      </c>
      <c r="H1312" s="19"/>
    </row>
    <row r="1313">
      <c r="A1313" s="9"/>
      <c r="B1313" s="15"/>
      <c r="C1313" s="9">
        <f>IFERROR(__xludf.DUMMYFUNCTION("""COMPUTED_VALUE"""),44782.9364060648)</f>
        <v>44782.93641</v>
      </c>
      <c r="D1313" s="15">
        <f>IFERROR(__xludf.DUMMYFUNCTION("""COMPUTED_VALUE"""),1.004)</f>
        <v>1.004</v>
      </c>
      <c r="E1313" s="16">
        <f>IFERROR(__xludf.DUMMYFUNCTION("""COMPUTED_VALUE"""),68.0)</f>
        <v>68</v>
      </c>
      <c r="F1313" s="19" t="str">
        <f>IFERROR(__xludf.DUMMYFUNCTION("""COMPUTED_VALUE"""),"BLACK")</f>
        <v>BLACK</v>
      </c>
      <c r="G1313" s="20" t="str">
        <f>IFERROR(__xludf.DUMMYFUNCTION("""COMPUTED_VALUE"""),"Uncle Sams Cider (5/13/2022)")</f>
        <v>Uncle Sams Cider (5/13/2022)</v>
      </c>
      <c r="H1313" s="19"/>
    </row>
    <row r="1314">
      <c r="A1314" s="9"/>
      <c r="B1314" s="15"/>
      <c r="C1314" s="9">
        <f>IFERROR(__xludf.DUMMYFUNCTION("""COMPUTED_VALUE"""),44782.9259835069)</f>
        <v>44782.92598</v>
      </c>
      <c r="D1314" s="15">
        <f>IFERROR(__xludf.DUMMYFUNCTION("""COMPUTED_VALUE"""),1.004)</f>
        <v>1.004</v>
      </c>
      <c r="E1314" s="16">
        <f>IFERROR(__xludf.DUMMYFUNCTION("""COMPUTED_VALUE"""),67.0)</f>
        <v>67</v>
      </c>
      <c r="F1314" s="19" t="str">
        <f>IFERROR(__xludf.DUMMYFUNCTION("""COMPUTED_VALUE"""),"BLACK")</f>
        <v>BLACK</v>
      </c>
      <c r="G1314" s="20" t="str">
        <f>IFERROR(__xludf.DUMMYFUNCTION("""COMPUTED_VALUE"""),"Uncle Sams Cider (5/13/2022)")</f>
        <v>Uncle Sams Cider (5/13/2022)</v>
      </c>
      <c r="H1314" s="19"/>
    </row>
    <row r="1315">
      <c r="A1315" s="9"/>
      <c r="B1315" s="15"/>
      <c r="C1315" s="9">
        <f>IFERROR(__xludf.DUMMYFUNCTION("""COMPUTED_VALUE"""),44782.9155631481)</f>
        <v>44782.91556</v>
      </c>
      <c r="D1315" s="15">
        <f>IFERROR(__xludf.DUMMYFUNCTION("""COMPUTED_VALUE"""),1.004)</f>
        <v>1.004</v>
      </c>
      <c r="E1315" s="16">
        <f>IFERROR(__xludf.DUMMYFUNCTION("""COMPUTED_VALUE"""),67.0)</f>
        <v>67</v>
      </c>
      <c r="F1315" s="19" t="str">
        <f>IFERROR(__xludf.DUMMYFUNCTION("""COMPUTED_VALUE"""),"BLACK")</f>
        <v>BLACK</v>
      </c>
      <c r="G1315" s="20" t="str">
        <f>IFERROR(__xludf.DUMMYFUNCTION("""COMPUTED_VALUE"""),"Uncle Sams Cider (5/13/2022)")</f>
        <v>Uncle Sams Cider (5/13/2022)</v>
      </c>
      <c r="H1315" s="19"/>
    </row>
    <row r="1316">
      <c r="A1316" s="9"/>
      <c r="B1316" s="15"/>
      <c r="C1316" s="9">
        <f>IFERROR(__xludf.DUMMYFUNCTION("""COMPUTED_VALUE"""),44782.9051412731)</f>
        <v>44782.90514</v>
      </c>
      <c r="D1316" s="15">
        <f>IFERROR(__xludf.DUMMYFUNCTION("""COMPUTED_VALUE"""),1.004)</f>
        <v>1.004</v>
      </c>
      <c r="E1316" s="16">
        <f>IFERROR(__xludf.DUMMYFUNCTION("""COMPUTED_VALUE"""),67.0)</f>
        <v>67</v>
      </c>
      <c r="F1316" s="19" t="str">
        <f>IFERROR(__xludf.DUMMYFUNCTION("""COMPUTED_VALUE"""),"BLACK")</f>
        <v>BLACK</v>
      </c>
      <c r="G1316" s="20" t="str">
        <f>IFERROR(__xludf.DUMMYFUNCTION("""COMPUTED_VALUE"""),"Uncle Sams Cider (5/13/2022)")</f>
        <v>Uncle Sams Cider (5/13/2022)</v>
      </c>
      <c r="H1316" s="19"/>
    </row>
    <row r="1317">
      <c r="A1317" s="9"/>
      <c r="B1317" s="15"/>
      <c r="C1317" s="9">
        <f>IFERROR(__xludf.DUMMYFUNCTION("""COMPUTED_VALUE"""),44782.8947203356)</f>
        <v>44782.89472</v>
      </c>
      <c r="D1317" s="15">
        <f>IFERROR(__xludf.DUMMYFUNCTION("""COMPUTED_VALUE"""),1.004)</f>
        <v>1.004</v>
      </c>
      <c r="E1317" s="16">
        <f>IFERROR(__xludf.DUMMYFUNCTION("""COMPUTED_VALUE"""),67.0)</f>
        <v>67</v>
      </c>
      <c r="F1317" s="19" t="str">
        <f>IFERROR(__xludf.DUMMYFUNCTION("""COMPUTED_VALUE"""),"BLACK")</f>
        <v>BLACK</v>
      </c>
      <c r="G1317" s="20" t="str">
        <f>IFERROR(__xludf.DUMMYFUNCTION("""COMPUTED_VALUE"""),"Uncle Sams Cider (5/13/2022)")</f>
        <v>Uncle Sams Cider (5/13/2022)</v>
      </c>
      <c r="H1317" s="19"/>
    </row>
    <row r="1318">
      <c r="A1318" s="9"/>
      <c r="B1318" s="15"/>
      <c r="C1318" s="9">
        <f>IFERROR(__xludf.DUMMYFUNCTION("""COMPUTED_VALUE"""),44782.8842993634)</f>
        <v>44782.8843</v>
      </c>
      <c r="D1318" s="15">
        <f>IFERROR(__xludf.DUMMYFUNCTION("""COMPUTED_VALUE"""),1.004)</f>
        <v>1.004</v>
      </c>
      <c r="E1318" s="16">
        <f>IFERROR(__xludf.DUMMYFUNCTION("""COMPUTED_VALUE"""),68.0)</f>
        <v>68</v>
      </c>
      <c r="F1318" s="19" t="str">
        <f>IFERROR(__xludf.DUMMYFUNCTION("""COMPUTED_VALUE"""),"BLACK")</f>
        <v>BLACK</v>
      </c>
      <c r="G1318" s="20" t="str">
        <f>IFERROR(__xludf.DUMMYFUNCTION("""COMPUTED_VALUE"""),"Uncle Sams Cider (5/13/2022)")</f>
        <v>Uncle Sams Cider (5/13/2022)</v>
      </c>
      <c r="H1318" s="19"/>
    </row>
    <row r="1319">
      <c r="A1319" s="9"/>
      <c r="B1319" s="15"/>
      <c r="C1319" s="9">
        <f>IFERROR(__xludf.DUMMYFUNCTION("""COMPUTED_VALUE"""),44782.8738778472)</f>
        <v>44782.87388</v>
      </c>
      <c r="D1319" s="15">
        <f>IFERROR(__xludf.DUMMYFUNCTION("""COMPUTED_VALUE"""),1.004)</f>
        <v>1.004</v>
      </c>
      <c r="E1319" s="16">
        <f>IFERROR(__xludf.DUMMYFUNCTION("""COMPUTED_VALUE"""),67.0)</f>
        <v>67</v>
      </c>
      <c r="F1319" s="19" t="str">
        <f>IFERROR(__xludf.DUMMYFUNCTION("""COMPUTED_VALUE"""),"BLACK")</f>
        <v>BLACK</v>
      </c>
      <c r="G1319" s="20" t="str">
        <f>IFERROR(__xludf.DUMMYFUNCTION("""COMPUTED_VALUE"""),"Uncle Sams Cider (5/13/2022)")</f>
        <v>Uncle Sams Cider (5/13/2022)</v>
      </c>
      <c r="H1319" s="19"/>
    </row>
    <row r="1320">
      <c r="A1320" s="9"/>
      <c r="B1320" s="15"/>
      <c r="C1320" s="9">
        <f>IFERROR(__xludf.DUMMYFUNCTION("""COMPUTED_VALUE"""),44782.8634558217)</f>
        <v>44782.86346</v>
      </c>
      <c r="D1320" s="15">
        <f>IFERROR(__xludf.DUMMYFUNCTION("""COMPUTED_VALUE"""),1.004)</f>
        <v>1.004</v>
      </c>
      <c r="E1320" s="16">
        <f>IFERROR(__xludf.DUMMYFUNCTION("""COMPUTED_VALUE"""),67.0)</f>
        <v>67</v>
      </c>
      <c r="F1320" s="19" t="str">
        <f>IFERROR(__xludf.DUMMYFUNCTION("""COMPUTED_VALUE"""),"BLACK")</f>
        <v>BLACK</v>
      </c>
      <c r="G1320" s="20" t="str">
        <f>IFERROR(__xludf.DUMMYFUNCTION("""COMPUTED_VALUE"""),"Uncle Sams Cider (5/13/2022)")</f>
        <v>Uncle Sams Cider (5/13/2022)</v>
      </c>
      <c r="H1320" s="19"/>
    </row>
    <row r="1321">
      <c r="A1321" s="9"/>
      <c r="B1321" s="15"/>
      <c r="C1321" s="9">
        <f>IFERROR(__xludf.DUMMYFUNCTION("""COMPUTED_VALUE"""),44782.8529877314)</f>
        <v>44782.85299</v>
      </c>
      <c r="D1321" s="15">
        <f>IFERROR(__xludf.DUMMYFUNCTION("""COMPUTED_VALUE"""),1.004)</f>
        <v>1.004</v>
      </c>
      <c r="E1321" s="16">
        <f>IFERROR(__xludf.DUMMYFUNCTION("""COMPUTED_VALUE"""),67.0)</f>
        <v>67</v>
      </c>
      <c r="F1321" s="19" t="str">
        <f>IFERROR(__xludf.DUMMYFUNCTION("""COMPUTED_VALUE"""),"BLACK")</f>
        <v>BLACK</v>
      </c>
      <c r="G1321" s="20" t="str">
        <f>IFERROR(__xludf.DUMMYFUNCTION("""COMPUTED_VALUE"""),"Uncle Sams Cider (5/13/2022)")</f>
        <v>Uncle Sams Cider (5/13/2022)</v>
      </c>
      <c r="H1321" s="19"/>
    </row>
    <row r="1322">
      <c r="A1322" s="9"/>
      <c r="B1322" s="15"/>
      <c r="C1322" s="9">
        <f>IFERROR(__xludf.DUMMYFUNCTION("""COMPUTED_VALUE"""),44782.8425673726)</f>
        <v>44782.84257</v>
      </c>
      <c r="D1322" s="15">
        <f>IFERROR(__xludf.DUMMYFUNCTION("""COMPUTED_VALUE"""),1.004)</f>
        <v>1.004</v>
      </c>
      <c r="E1322" s="16">
        <f>IFERROR(__xludf.DUMMYFUNCTION("""COMPUTED_VALUE"""),67.0)</f>
        <v>67</v>
      </c>
      <c r="F1322" s="19" t="str">
        <f>IFERROR(__xludf.DUMMYFUNCTION("""COMPUTED_VALUE"""),"BLACK")</f>
        <v>BLACK</v>
      </c>
      <c r="G1322" s="20" t="str">
        <f>IFERROR(__xludf.DUMMYFUNCTION("""COMPUTED_VALUE"""),"Uncle Sams Cider (5/13/2022)")</f>
        <v>Uncle Sams Cider (5/13/2022)</v>
      </c>
      <c r="H1322" s="19"/>
    </row>
    <row r="1323">
      <c r="A1323" s="9"/>
      <c r="B1323" s="15"/>
      <c r="C1323" s="9">
        <f>IFERROR(__xludf.DUMMYFUNCTION("""COMPUTED_VALUE"""),44782.8321463657)</f>
        <v>44782.83215</v>
      </c>
      <c r="D1323" s="15">
        <f>IFERROR(__xludf.DUMMYFUNCTION("""COMPUTED_VALUE"""),1.004)</f>
        <v>1.004</v>
      </c>
      <c r="E1323" s="16">
        <f>IFERROR(__xludf.DUMMYFUNCTION("""COMPUTED_VALUE"""),67.0)</f>
        <v>67</v>
      </c>
      <c r="F1323" s="19" t="str">
        <f>IFERROR(__xludf.DUMMYFUNCTION("""COMPUTED_VALUE"""),"BLACK")</f>
        <v>BLACK</v>
      </c>
      <c r="G1323" s="20" t="str">
        <f>IFERROR(__xludf.DUMMYFUNCTION("""COMPUTED_VALUE"""),"Uncle Sams Cider (5/13/2022)")</f>
        <v>Uncle Sams Cider (5/13/2022)</v>
      </c>
      <c r="H1323" s="19"/>
    </row>
    <row r="1324">
      <c r="A1324" s="9"/>
      <c r="B1324" s="15"/>
      <c r="C1324" s="9">
        <f>IFERROR(__xludf.DUMMYFUNCTION("""COMPUTED_VALUE"""),44782.8217125694)</f>
        <v>44782.82171</v>
      </c>
      <c r="D1324" s="15">
        <f>IFERROR(__xludf.DUMMYFUNCTION("""COMPUTED_VALUE"""),1.004)</f>
        <v>1.004</v>
      </c>
      <c r="E1324" s="16">
        <f>IFERROR(__xludf.DUMMYFUNCTION("""COMPUTED_VALUE"""),67.0)</f>
        <v>67</v>
      </c>
      <c r="F1324" s="19" t="str">
        <f>IFERROR(__xludf.DUMMYFUNCTION("""COMPUTED_VALUE"""),"BLACK")</f>
        <v>BLACK</v>
      </c>
      <c r="G1324" s="20" t="str">
        <f>IFERROR(__xludf.DUMMYFUNCTION("""COMPUTED_VALUE"""),"Uncle Sams Cider (5/13/2022)")</f>
        <v>Uncle Sams Cider (5/13/2022)</v>
      </c>
      <c r="H1324" s="19"/>
    </row>
    <row r="1325">
      <c r="A1325" s="9"/>
      <c r="B1325" s="15"/>
      <c r="C1325" s="9">
        <f>IFERROR(__xludf.DUMMYFUNCTION("""COMPUTED_VALUE"""),44782.811291956)</f>
        <v>44782.81129</v>
      </c>
      <c r="D1325" s="15">
        <f>IFERROR(__xludf.DUMMYFUNCTION("""COMPUTED_VALUE"""),1.004)</f>
        <v>1.004</v>
      </c>
      <c r="E1325" s="16">
        <f>IFERROR(__xludf.DUMMYFUNCTION("""COMPUTED_VALUE"""),67.0)</f>
        <v>67</v>
      </c>
      <c r="F1325" s="19" t="str">
        <f>IFERROR(__xludf.DUMMYFUNCTION("""COMPUTED_VALUE"""),"BLACK")</f>
        <v>BLACK</v>
      </c>
      <c r="G1325" s="20" t="str">
        <f>IFERROR(__xludf.DUMMYFUNCTION("""COMPUTED_VALUE"""),"Uncle Sams Cider (5/13/2022)")</f>
        <v>Uncle Sams Cider (5/13/2022)</v>
      </c>
      <c r="H1325" s="19"/>
    </row>
    <row r="1326">
      <c r="A1326" s="9"/>
      <c r="B1326" s="15"/>
      <c r="C1326" s="9">
        <f>IFERROR(__xludf.DUMMYFUNCTION("""COMPUTED_VALUE"""),44782.8008716319)</f>
        <v>44782.80087</v>
      </c>
      <c r="D1326" s="15">
        <f>IFERROR(__xludf.DUMMYFUNCTION("""COMPUTED_VALUE"""),1.004)</f>
        <v>1.004</v>
      </c>
      <c r="E1326" s="16">
        <f>IFERROR(__xludf.DUMMYFUNCTION("""COMPUTED_VALUE"""),67.0)</f>
        <v>67</v>
      </c>
      <c r="F1326" s="19" t="str">
        <f>IFERROR(__xludf.DUMMYFUNCTION("""COMPUTED_VALUE"""),"BLACK")</f>
        <v>BLACK</v>
      </c>
      <c r="G1326" s="20" t="str">
        <f>IFERROR(__xludf.DUMMYFUNCTION("""COMPUTED_VALUE"""),"Uncle Sams Cider (5/13/2022)")</f>
        <v>Uncle Sams Cider (5/13/2022)</v>
      </c>
      <c r="H1326" s="19"/>
    </row>
    <row r="1327">
      <c r="A1327" s="9"/>
      <c r="B1327" s="15"/>
      <c r="C1327" s="9">
        <f>IFERROR(__xludf.DUMMYFUNCTION("""COMPUTED_VALUE"""),44782.7904503588)</f>
        <v>44782.79045</v>
      </c>
      <c r="D1327" s="15">
        <f>IFERROR(__xludf.DUMMYFUNCTION("""COMPUTED_VALUE"""),1.004)</f>
        <v>1.004</v>
      </c>
      <c r="E1327" s="16">
        <f>IFERROR(__xludf.DUMMYFUNCTION("""COMPUTED_VALUE"""),67.0)</f>
        <v>67</v>
      </c>
      <c r="F1327" s="19" t="str">
        <f>IFERROR(__xludf.DUMMYFUNCTION("""COMPUTED_VALUE"""),"BLACK")</f>
        <v>BLACK</v>
      </c>
      <c r="G1327" s="20" t="str">
        <f>IFERROR(__xludf.DUMMYFUNCTION("""COMPUTED_VALUE"""),"Uncle Sams Cider (5/13/2022)")</f>
        <v>Uncle Sams Cider (5/13/2022)</v>
      </c>
      <c r="H1327" s="19"/>
    </row>
    <row r="1328">
      <c r="A1328" s="9"/>
      <c r="B1328" s="15"/>
      <c r="C1328" s="9">
        <f>IFERROR(__xludf.DUMMYFUNCTION("""COMPUTED_VALUE"""),44782.7800280671)</f>
        <v>44782.78003</v>
      </c>
      <c r="D1328" s="15">
        <f>IFERROR(__xludf.DUMMYFUNCTION("""COMPUTED_VALUE"""),1.004)</f>
        <v>1.004</v>
      </c>
      <c r="E1328" s="16">
        <f>IFERROR(__xludf.DUMMYFUNCTION("""COMPUTED_VALUE"""),67.0)</f>
        <v>67</v>
      </c>
      <c r="F1328" s="19" t="str">
        <f>IFERROR(__xludf.DUMMYFUNCTION("""COMPUTED_VALUE"""),"BLACK")</f>
        <v>BLACK</v>
      </c>
      <c r="G1328" s="20" t="str">
        <f>IFERROR(__xludf.DUMMYFUNCTION("""COMPUTED_VALUE"""),"Uncle Sams Cider (5/13/2022)")</f>
        <v>Uncle Sams Cider (5/13/2022)</v>
      </c>
      <c r="H1328" s="19"/>
    </row>
    <row r="1329">
      <c r="A1329" s="9"/>
      <c r="B1329" s="15"/>
      <c r="C1329" s="9">
        <f>IFERROR(__xludf.DUMMYFUNCTION("""COMPUTED_VALUE"""),44782.7695834953)</f>
        <v>44782.76958</v>
      </c>
      <c r="D1329" s="15">
        <f>IFERROR(__xludf.DUMMYFUNCTION("""COMPUTED_VALUE"""),1.004)</f>
        <v>1.004</v>
      </c>
      <c r="E1329" s="16">
        <f>IFERROR(__xludf.DUMMYFUNCTION("""COMPUTED_VALUE"""),67.0)</f>
        <v>67</v>
      </c>
      <c r="F1329" s="19" t="str">
        <f>IFERROR(__xludf.DUMMYFUNCTION("""COMPUTED_VALUE"""),"BLACK")</f>
        <v>BLACK</v>
      </c>
      <c r="G1329" s="20" t="str">
        <f>IFERROR(__xludf.DUMMYFUNCTION("""COMPUTED_VALUE"""),"Uncle Sams Cider (5/13/2022)")</f>
        <v>Uncle Sams Cider (5/13/2022)</v>
      </c>
      <c r="H1329" s="19"/>
    </row>
    <row r="1330">
      <c r="A1330" s="9"/>
      <c r="B1330" s="15"/>
      <c r="C1330" s="9">
        <f>IFERROR(__xludf.DUMMYFUNCTION("""COMPUTED_VALUE"""),44782.7591617013)</f>
        <v>44782.75916</v>
      </c>
      <c r="D1330" s="15">
        <f>IFERROR(__xludf.DUMMYFUNCTION("""COMPUTED_VALUE"""),1.004)</f>
        <v>1.004</v>
      </c>
      <c r="E1330" s="16">
        <f>IFERROR(__xludf.DUMMYFUNCTION("""COMPUTED_VALUE"""),67.0)</f>
        <v>67</v>
      </c>
      <c r="F1330" s="19" t="str">
        <f>IFERROR(__xludf.DUMMYFUNCTION("""COMPUTED_VALUE"""),"BLACK")</f>
        <v>BLACK</v>
      </c>
      <c r="G1330" s="20" t="str">
        <f>IFERROR(__xludf.DUMMYFUNCTION("""COMPUTED_VALUE"""),"Uncle Sams Cider (5/13/2022)")</f>
        <v>Uncle Sams Cider (5/13/2022)</v>
      </c>
      <c r="H1330" s="19"/>
    </row>
    <row r="1331">
      <c r="A1331" s="9"/>
      <c r="B1331" s="15"/>
      <c r="C1331" s="9">
        <f>IFERROR(__xludf.DUMMYFUNCTION("""COMPUTED_VALUE"""),44782.7487275925)</f>
        <v>44782.74873</v>
      </c>
      <c r="D1331" s="15">
        <f>IFERROR(__xludf.DUMMYFUNCTION("""COMPUTED_VALUE"""),1.004)</f>
        <v>1.004</v>
      </c>
      <c r="E1331" s="16">
        <f>IFERROR(__xludf.DUMMYFUNCTION("""COMPUTED_VALUE"""),67.0)</f>
        <v>67</v>
      </c>
      <c r="F1331" s="19" t="str">
        <f>IFERROR(__xludf.DUMMYFUNCTION("""COMPUTED_VALUE"""),"BLACK")</f>
        <v>BLACK</v>
      </c>
      <c r="G1331" s="20" t="str">
        <f>IFERROR(__xludf.DUMMYFUNCTION("""COMPUTED_VALUE"""),"Uncle Sams Cider (5/13/2022)")</f>
        <v>Uncle Sams Cider (5/13/2022)</v>
      </c>
      <c r="H1331" s="19"/>
    </row>
    <row r="1332">
      <c r="A1332" s="9"/>
      <c r="B1332" s="15"/>
      <c r="C1332" s="9">
        <f>IFERROR(__xludf.DUMMYFUNCTION("""COMPUTED_VALUE"""),44782.7383079976)</f>
        <v>44782.73831</v>
      </c>
      <c r="D1332" s="15">
        <f>IFERROR(__xludf.DUMMYFUNCTION("""COMPUTED_VALUE"""),1.004)</f>
        <v>1.004</v>
      </c>
      <c r="E1332" s="16">
        <f>IFERROR(__xludf.DUMMYFUNCTION("""COMPUTED_VALUE"""),67.0)</f>
        <v>67</v>
      </c>
      <c r="F1332" s="19" t="str">
        <f>IFERROR(__xludf.DUMMYFUNCTION("""COMPUTED_VALUE"""),"BLACK")</f>
        <v>BLACK</v>
      </c>
      <c r="G1332" s="20" t="str">
        <f>IFERROR(__xludf.DUMMYFUNCTION("""COMPUTED_VALUE"""),"Uncle Sams Cider (5/13/2022)")</f>
        <v>Uncle Sams Cider (5/13/2022)</v>
      </c>
      <c r="H1332" s="19"/>
    </row>
    <row r="1333">
      <c r="A1333" s="9"/>
      <c r="B1333" s="15"/>
      <c r="C1333" s="9">
        <f>IFERROR(__xludf.DUMMYFUNCTION("""COMPUTED_VALUE"""),44782.7278858796)</f>
        <v>44782.72789</v>
      </c>
      <c r="D1333" s="15">
        <f>IFERROR(__xludf.DUMMYFUNCTION("""COMPUTED_VALUE"""),1.004)</f>
        <v>1.004</v>
      </c>
      <c r="E1333" s="16">
        <f>IFERROR(__xludf.DUMMYFUNCTION("""COMPUTED_VALUE"""),67.0)</f>
        <v>67</v>
      </c>
      <c r="F1333" s="19" t="str">
        <f>IFERROR(__xludf.DUMMYFUNCTION("""COMPUTED_VALUE"""),"BLACK")</f>
        <v>BLACK</v>
      </c>
      <c r="G1333" s="20" t="str">
        <f>IFERROR(__xludf.DUMMYFUNCTION("""COMPUTED_VALUE"""),"Uncle Sams Cider (5/13/2022)")</f>
        <v>Uncle Sams Cider (5/13/2022)</v>
      </c>
      <c r="H1333" s="19"/>
    </row>
    <row r="1334">
      <c r="A1334" s="9"/>
      <c r="B1334" s="15"/>
      <c r="C1334" s="9">
        <f>IFERROR(__xludf.DUMMYFUNCTION("""COMPUTED_VALUE"""),44782.7174539236)</f>
        <v>44782.71745</v>
      </c>
      <c r="D1334" s="15">
        <f>IFERROR(__xludf.DUMMYFUNCTION("""COMPUTED_VALUE"""),1.004)</f>
        <v>1.004</v>
      </c>
      <c r="E1334" s="16">
        <f>IFERROR(__xludf.DUMMYFUNCTION("""COMPUTED_VALUE"""),67.0)</f>
        <v>67</v>
      </c>
      <c r="F1334" s="19" t="str">
        <f>IFERROR(__xludf.DUMMYFUNCTION("""COMPUTED_VALUE"""),"BLACK")</f>
        <v>BLACK</v>
      </c>
      <c r="G1334" s="20" t="str">
        <f>IFERROR(__xludf.DUMMYFUNCTION("""COMPUTED_VALUE"""),"Uncle Sams Cider (5/13/2022)")</f>
        <v>Uncle Sams Cider (5/13/2022)</v>
      </c>
      <c r="H1334" s="19"/>
    </row>
    <row r="1335">
      <c r="A1335" s="9"/>
      <c r="B1335" s="15"/>
      <c r="C1335" s="9">
        <f>IFERROR(__xludf.DUMMYFUNCTION("""COMPUTED_VALUE"""),44782.7070217824)</f>
        <v>44782.70702</v>
      </c>
      <c r="D1335" s="15">
        <f>IFERROR(__xludf.DUMMYFUNCTION("""COMPUTED_VALUE"""),1.004)</f>
        <v>1.004</v>
      </c>
      <c r="E1335" s="16">
        <f>IFERROR(__xludf.DUMMYFUNCTION("""COMPUTED_VALUE"""),67.0)</f>
        <v>67</v>
      </c>
      <c r="F1335" s="19" t="str">
        <f>IFERROR(__xludf.DUMMYFUNCTION("""COMPUTED_VALUE"""),"BLACK")</f>
        <v>BLACK</v>
      </c>
      <c r="G1335" s="20" t="str">
        <f>IFERROR(__xludf.DUMMYFUNCTION("""COMPUTED_VALUE"""),"Uncle Sams Cider (5/13/2022)")</f>
        <v>Uncle Sams Cider (5/13/2022)</v>
      </c>
      <c r="H1335" s="19"/>
    </row>
    <row r="1336">
      <c r="A1336" s="9"/>
      <c r="B1336" s="15"/>
      <c r="C1336" s="9">
        <f>IFERROR(__xludf.DUMMYFUNCTION("""COMPUTED_VALUE"""),44782.6966011111)</f>
        <v>44782.6966</v>
      </c>
      <c r="D1336" s="15">
        <f>IFERROR(__xludf.DUMMYFUNCTION("""COMPUTED_VALUE"""),1.004)</f>
        <v>1.004</v>
      </c>
      <c r="E1336" s="16">
        <f>IFERROR(__xludf.DUMMYFUNCTION("""COMPUTED_VALUE"""),67.0)</f>
        <v>67</v>
      </c>
      <c r="F1336" s="19" t="str">
        <f>IFERROR(__xludf.DUMMYFUNCTION("""COMPUTED_VALUE"""),"BLACK")</f>
        <v>BLACK</v>
      </c>
      <c r="G1336" s="20" t="str">
        <f>IFERROR(__xludf.DUMMYFUNCTION("""COMPUTED_VALUE"""),"Uncle Sams Cider (5/13/2022)")</f>
        <v>Uncle Sams Cider (5/13/2022)</v>
      </c>
      <c r="H1336" s="19"/>
    </row>
    <row r="1337">
      <c r="A1337" s="9"/>
      <c r="B1337" s="15"/>
      <c r="C1337" s="9">
        <f>IFERROR(__xludf.DUMMYFUNCTION("""COMPUTED_VALUE"""),44782.6861799189)</f>
        <v>44782.68618</v>
      </c>
      <c r="D1337" s="15">
        <f>IFERROR(__xludf.DUMMYFUNCTION("""COMPUTED_VALUE"""),1.004)</f>
        <v>1.004</v>
      </c>
      <c r="E1337" s="16">
        <f>IFERROR(__xludf.DUMMYFUNCTION("""COMPUTED_VALUE"""),67.0)</f>
        <v>67</v>
      </c>
      <c r="F1337" s="19" t="str">
        <f>IFERROR(__xludf.DUMMYFUNCTION("""COMPUTED_VALUE"""),"BLACK")</f>
        <v>BLACK</v>
      </c>
      <c r="G1337" s="20" t="str">
        <f>IFERROR(__xludf.DUMMYFUNCTION("""COMPUTED_VALUE"""),"Uncle Sams Cider (5/13/2022)")</f>
        <v>Uncle Sams Cider (5/13/2022)</v>
      </c>
      <c r="H1337" s="19"/>
    </row>
    <row r="1338">
      <c r="A1338" s="9"/>
      <c r="B1338" s="15"/>
      <c r="C1338" s="9">
        <f>IFERROR(__xludf.DUMMYFUNCTION("""COMPUTED_VALUE"""),44782.6757466551)</f>
        <v>44782.67575</v>
      </c>
      <c r="D1338" s="15">
        <f>IFERROR(__xludf.DUMMYFUNCTION("""COMPUTED_VALUE"""),1.004)</f>
        <v>1.004</v>
      </c>
      <c r="E1338" s="16">
        <f>IFERROR(__xludf.DUMMYFUNCTION("""COMPUTED_VALUE"""),67.0)</f>
        <v>67</v>
      </c>
      <c r="F1338" s="19" t="str">
        <f>IFERROR(__xludf.DUMMYFUNCTION("""COMPUTED_VALUE"""),"BLACK")</f>
        <v>BLACK</v>
      </c>
      <c r="G1338" s="20" t="str">
        <f>IFERROR(__xludf.DUMMYFUNCTION("""COMPUTED_VALUE"""),"Uncle Sams Cider (5/13/2022)")</f>
        <v>Uncle Sams Cider (5/13/2022)</v>
      </c>
      <c r="H1338" s="19"/>
    </row>
    <row r="1339">
      <c r="A1339" s="9"/>
      <c r="B1339" s="15"/>
      <c r="C1339" s="9">
        <f>IFERROR(__xludf.DUMMYFUNCTION("""COMPUTED_VALUE"""),44782.6653245601)</f>
        <v>44782.66532</v>
      </c>
      <c r="D1339" s="15">
        <f>IFERROR(__xludf.DUMMYFUNCTION("""COMPUTED_VALUE"""),1.004)</f>
        <v>1.004</v>
      </c>
      <c r="E1339" s="16">
        <f>IFERROR(__xludf.DUMMYFUNCTION("""COMPUTED_VALUE"""),67.0)</f>
        <v>67</v>
      </c>
      <c r="F1339" s="19" t="str">
        <f>IFERROR(__xludf.DUMMYFUNCTION("""COMPUTED_VALUE"""),"BLACK")</f>
        <v>BLACK</v>
      </c>
      <c r="G1339" s="20" t="str">
        <f>IFERROR(__xludf.DUMMYFUNCTION("""COMPUTED_VALUE"""),"Uncle Sams Cider (5/13/2022)")</f>
        <v>Uncle Sams Cider (5/13/2022)</v>
      </c>
      <c r="H1339" s="19"/>
    </row>
    <row r="1340">
      <c r="A1340" s="9"/>
      <c r="B1340" s="15"/>
      <c r="C1340" s="9">
        <f>IFERROR(__xludf.DUMMYFUNCTION("""COMPUTED_VALUE"""),44782.6548925231)</f>
        <v>44782.65489</v>
      </c>
      <c r="D1340" s="15">
        <f>IFERROR(__xludf.DUMMYFUNCTION("""COMPUTED_VALUE"""),1.004)</f>
        <v>1.004</v>
      </c>
      <c r="E1340" s="16">
        <f>IFERROR(__xludf.DUMMYFUNCTION("""COMPUTED_VALUE"""),67.0)</f>
        <v>67</v>
      </c>
      <c r="F1340" s="19" t="str">
        <f>IFERROR(__xludf.DUMMYFUNCTION("""COMPUTED_VALUE"""),"BLACK")</f>
        <v>BLACK</v>
      </c>
      <c r="G1340" s="20" t="str">
        <f>IFERROR(__xludf.DUMMYFUNCTION("""COMPUTED_VALUE"""),"Uncle Sams Cider (5/13/2022)")</f>
        <v>Uncle Sams Cider (5/13/2022)</v>
      </c>
      <c r="H1340" s="19"/>
    </row>
    <row r="1341">
      <c r="A1341" s="9"/>
      <c r="B1341" s="15"/>
      <c r="C1341" s="9">
        <f>IFERROR(__xludf.DUMMYFUNCTION("""COMPUTED_VALUE"""),44782.6444708449)</f>
        <v>44782.64447</v>
      </c>
      <c r="D1341" s="15">
        <f>IFERROR(__xludf.DUMMYFUNCTION("""COMPUTED_VALUE"""),1.004)</f>
        <v>1.004</v>
      </c>
      <c r="E1341" s="16">
        <f>IFERROR(__xludf.DUMMYFUNCTION("""COMPUTED_VALUE"""),67.0)</f>
        <v>67</v>
      </c>
      <c r="F1341" s="19" t="str">
        <f>IFERROR(__xludf.DUMMYFUNCTION("""COMPUTED_VALUE"""),"BLACK")</f>
        <v>BLACK</v>
      </c>
      <c r="G1341" s="20" t="str">
        <f>IFERROR(__xludf.DUMMYFUNCTION("""COMPUTED_VALUE"""),"Uncle Sams Cider (5/13/2022)")</f>
        <v>Uncle Sams Cider (5/13/2022)</v>
      </c>
      <c r="H1341" s="19"/>
    </row>
    <row r="1342">
      <c r="A1342" s="9"/>
      <c r="B1342" s="15"/>
      <c r="C1342" s="9">
        <f>IFERROR(__xludf.DUMMYFUNCTION("""COMPUTED_VALUE"""),44782.6340497338)</f>
        <v>44782.63405</v>
      </c>
      <c r="D1342" s="15">
        <f>IFERROR(__xludf.DUMMYFUNCTION("""COMPUTED_VALUE"""),1.004)</f>
        <v>1.004</v>
      </c>
      <c r="E1342" s="16">
        <f>IFERROR(__xludf.DUMMYFUNCTION("""COMPUTED_VALUE"""),67.0)</f>
        <v>67</v>
      </c>
      <c r="F1342" s="19" t="str">
        <f>IFERROR(__xludf.DUMMYFUNCTION("""COMPUTED_VALUE"""),"BLACK")</f>
        <v>BLACK</v>
      </c>
      <c r="G1342" s="20" t="str">
        <f>IFERROR(__xludf.DUMMYFUNCTION("""COMPUTED_VALUE"""),"Uncle Sams Cider (5/13/2022)")</f>
        <v>Uncle Sams Cider (5/13/2022)</v>
      </c>
      <c r="H1342" s="19"/>
    </row>
    <row r="1343">
      <c r="A1343" s="9"/>
      <c r="B1343" s="15"/>
      <c r="C1343" s="9">
        <f>IFERROR(__xludf.DUMMYFUNCTION("""COMPUTED_VALUE"""),44782.6236285763)</f>
        <v>44782.62363</v>
      </c>
      <c r="D1343" s="15">
        <f>IFERROR(__xludf.DUMMYFUNCTION("""COMPUTED_VALUE"""),1.004)</f>
        <v>1.004</v>
      </c>
      <c r="E1343" s="16">
        <f>IFERROR(__xludf.DUMMYFUNCTION("""COMPUTED_VALUE"""),67.0)</f>
        <v>67</v>
      </c>
      <c r="F1343" s="19" t="str">
        <f>IFERROR(__xludf.DUMMYFUNCTION("""COMPUTED_VALUE"""),"BLACK")</f>
        <v>BLACK</v>
      </c>
      <c r="G1343" s="20" t="str">
        <f>IFERROR(__xludf.DUMMYFUNCTION("""COMPUTED_VALUE"""),"Uncle Sams Cider (5/13/2022)")</f>
        <v>Uncle Sams Cider (5/13/2022)</v>
      </c>
      <c r="H1343" s="19"/>
    </row>
    <row r="1344">
      <c r="A1344" s="9"/>
      <c r="B1344" s="15"/>
      <c r="C1344" s="9">
        <f>IFERROR(__xludf.DUMMYFUNCTION("""COMPUTED_VALUE"""),44782.6131960763)</f>
        <v>44782.6132</v>
      </c>
      <c r="D1344" s="15">
        <f>IFERROR(__xludf.DUMMYFUNCTION("""COMPUTED_VALUE"""),1.004)</f>
        <v>1.004</v>
      </c>
      <c r="E1344" s="16">
        <f>IFERROR(__xludf.DUMMYFUNCTION("""COMPUTED_VALUE"""),67.0)</f>
        <v>67</v>
      </c>
      <c r="F1344" s="19" t="str">
        <f>IFERROR(__xludf.DUMMYFUNCTION("""COMPUTED_VALUE"""),"BLACK")</f>
        <v>BLACK</v>
      </c>
      <c r="G1344" s="20" t="str">
        <f>IFERROR(__xludf.DUMMYFUNCTION("""COMPUTED_VALUE"""),"Uncle Sams Cider (5/13/2022)")</f>
        <v>Uncle Sams Cider (5/13/2022)</v>
      </c>
      <c r="H1344" s="19"/>
    </row>
    <row r="1345">
      <c r="A1345" s="9"/>
      <c r="B1345" s="15"/>
      <c r="C1345" s="9">
        <f>IFERROR(__xludf.DUMMYFUNCTION("""COMPUTED_VALUE"""),44782.6027758449)</f>
        <v>44782.60278</v>
      </c>
      <c r="D1345" s="15">
        <f>IFERROR(__xludf.DUMMYFUNCTION("""COMPUTED_VALUE"""),1.004)</f>
        <v>1.004</v>
      </c>
      <c r="E1345" s="16">
        <f>IFERROR(__xludf.DUMMYFUNCTION("""COMPUTED_VALUE"""),67.0)</f>
        <v>67</v>
      </c>
      <c r="F1345" s="19" t="str">
        <f>IFERROR(__xludf.DUMMYFUNCTION("""COMPUTED_VALUE"""),"BLACK")</f>
        <v>BLACK</v>
      </c>
      <c r="G1345" s="20" t="str">
        <f>IFERROR(__xludf.DUMMYFUNCTION("""COMPUTED_VALUE"""),"Uncle Sams Cider (5/13/2022)")</f>
        <v>Uncle Sams Cider (5/13/2022)</v>
      </c>
      <c r="H1345" s="19"/>
    </row>
    <row r="1346">
      <c r="A1346" s="9"/>
      <c r="B1346" s="15"/>
      <c r="C1346" s="9">
        <f>IFERROR(__xludf.DUMMYFUNCTION("""COMPUTED_VALUE"""),44782.5923445601)</f>
        <v>44782.59234</v>
      </c>
      <c r="D1346" s="15">
        <f>IFERROR(__xludf.DUMMYFUNCTION("""COMPUTED_VALUE"""),1.004)</f>
        <v>1.004</v>
      </c>
      <c r="E1346" s="16">
        <f>IFERROR(__xludf.DUMMYFUNCTION("""COMPUTED_VALUE"""),67.0)</f>
        <v>67</v>
      </c>
      <c r="F1346" s="19" t="str">
        <f>IFERROR(__xludf.DUMMYFUNCTION("""COMPUTED_VALUE"""),"BLACK")</f>
        <v>BLACK</v>
      </c>
      <c r="G1346" s="20" t="str">
        <f>IFERROR(__xludf.DUMMYFUNCTION("""COMPUTED_VALUE"""),"Uncle Sams Cider (5/13/2022)")</f>
        <v>Uncle Sams Cider (5/13/2022)</v>
      </c>
      <c r="H1346" s="19"/>
    </row>
    <row r="1347">
      <c r="A1347" s="9"/>
      <c r="B1347" s="15"/>
      <c r="C1347" s="9">
        <f>IFERROR(__xludf.DUMMYFUNCTION("""COMPUTED_VALUE"""),44782.5819237731)</f>
        <v>44782.58192</v>
      </c>
      <c r="D1347" s="15">
        <f>IFERROR(__xludf.DUMMYFUNCTION("""COMPUTED_VALUE"""),1.004)</f>
        <v>1.004</v>
      </c>
      <c r="E1347" s="16">
        <f>IFERROR(__xludf.DUMMYFUNCTION("""COMPUTED_VALUE"""),67.0)</f>
        <v>67</v>
      </c>
      <c r="F1347" s="19" t="str">
        <f>IFERROR(__xludf.DUMMYFUNCTION("""COMPUTED_VALUE"""),"BLACK")</f>
        <v>BLACK</v>
      </c>
      <c r="G1347" s="20" t="str">
        <f>IFERROR(__xludf.DUMMYFUNCTION("""COMPUTED_VALUE"""),"Uncle Sams Cider (5/13/2022)")</f>
        <v>Uncle Sams Cider (5/13/2022)</v>
      </c>
      <c r="H1347" s="19"/>
    </row>
    <row r="1348">
      <c r="A1348" s="9"/>
      <c r="B1348" s="15"/>
      <c r="C1348" s="9">
        <f>IFERROR(__xludf.DUMMYFUNCTION("""COMPUTED_VALUE"""),44782.5714210763)</f>
        <v>44782.57142</v>
      </c>
      <c r="D1348" s="15">
        <f>IFERROR(__xludf.DUMMYFUNCTION("""COMPUTED_VALUE"""),1.004)</f>
        <v>1.004</v>
      </c>
      <c r="E1348" s="16">
        <f>IFERROR(__xludf.DUMMYFUNCTION("""COMPUTED_VALUE"""),67.0)</f>
        <v>67</v>
      </c>
      <c r="F1348" s="19" t="str">
        <f>IFERROR(__xludf.DUMMYFUNCTION("""COMPUTED_VALUE"""),"BLACK")</f>
        <v>BLACK</v>
      </c>
      <c r="G1348" s="20" t="str">
        <f>IFERROR(__xludf.DUMMYFUNCTION("""COMPUTED_VALUE"""),"Uncle Sams Cider (5/13/2022)")</f>
        <v>Uncle Sams Cider (5/13/2022)</v>
      </c>
      <c r="H1348" s="19"/>
    </row>
    <row r="1349">
      <c r="A1349" s="9"/>
      <c r="B1349" s="15"/>
      <c r="C1349" s="9">
        <f>IFERROR(__xludf.DUMMYFUNCTION("""COMPUTED_VALUE"""),44782.5609995717)</f>
        <v>44782.561</v>
      </c>
      <c r="D1349" s="15">
        <f>IFERROR(__xludf.DUMMYFUNCTION("""COMPUTED_VALUE"""),1.004)</f>
        <v>1.004</v>
      </c>
      <c r="E1349" s="16">
        <f>IFERROR(__xludf.DUMMYFUNCTION("""COMPUTED_VALUE"""),67.0)</f>
        <v>67</v>
      </c>
      <c r="F1349" s="19" t="str">
        <f>IFERROR(__xludf.DUMMYFUNCTION("""COMPUTED_VALUE"""),"BLACK")</f>
        <v>BLACK</v>
      </c>
      <c r="G1349" s="20" t="str">
        <f>IFERROR(__xludf.DUMMYFUNCTION("""COMPUTED_VALUE"""),"Uncle Sams Cider (5/13/2022)")</f>
        <v>Uncle Sams Cider (5/13/2022)</v>
      </c>
      <c r="H1349" s="19"/>
    </row>
    <row r="1350">
      <c r="A1350" s="9"/>
      <c r="B1350" s="15"/>
      <c r="C1350" s="9">
        <f>IFERROR(__xludf.DUMMYFUNCTION("""COMPUTED_VALUE"""),44782.5505773842)</f>
        <v>44782.55058</v>
      </c>
      <c r="D1350" s="15">
        <f>IFERROR(__xludf.DUMMYFUNCTION("""COMPUTED_VALUE"""),1.004)</f>
        <v>1.004</v>
      </c>
      <c r="E1350" s="16">
        <f>IFERROR(__xludf.DUMMYFUNCTION("""COMPUTED_VALUE"""),67.0)</f>
        <v>67</v>
      </c>
      <c r="F1350" s="19" t="str">
        <f>IFERROR(__xludf.DUMMYFUNCTION("""COMPUTED_VALUE"""),"BLACK")</f>
        <v>BLACK</v>
      </c>
      <c r="G1350" s="20" t="str">
        <f>IFERROR(__xludf.DUMMYFUNCTION("""COMPUTED_VALUE"""),"Uncle Sams Cider (5/13/2022)")</f>
        <v>Uncle Sams Cider (5/13/2022)</v>
      </c>
      <c r="H1350" s="19"/>
    </row>
    <row r="1351">
      <c r="A1351" s="9"/>
      <c r="B1351" s="15"/>
      <c r="C1351" s="9">
        <f>IFERROR(__xludf.DUMMYFUNCTION("""COMPUTED_VALUE"""),44782.5401563657)</f>
        <v>44782.54016</v>
      </c>
      <c r="D1351" s="15">
        <f>IFERROR(__xludf.DUMMYFUNCTION("""COMPUTED_VALUE"""),1.004)</f>
        <v>1.004</v>
      </c>
      <c r="E1351" s="16">
        <f>IFERROR(__xludf.DUMMYFUNCTION("""COMPUTED_VALUE"""),67.0)</f>
        <v>67</v>
      </c>
      <c r="F1351" s="19" t="str">
        <f>IFERROR(__xludf.DUMMYFUNCTION("""COMPUTED_VALUE"""),"BLACK")</f>
        <v>BLACK</v>
      </c>
      <c r="G1351" s="20" t="str">
        <f>IFERROR(__xludf.DUMMYFUNCTION("""COMPUTED_VALUE"""),"Uncle Sams Cider (5/13/2022)")</f>
        <v>Uncle Sams Cider (5/13/2022)</v>
      </c>
      <c r="H1351" s="19"/>
    </row>
    <row r="1352">
      <c r="A1352" s="9"/>
      <c r="B1352" s="15"/>
      <c r="C1352" s="9">
        <f>IFERROR(__xludf.DUMMYFUNCTION("""COMPUTED_VALUE"""),44782.5297362384)</f>
        <v>44782.52974</v>
      </c>
      <c r="D1352" s="15">
        <f>IFERROR(__xludf.DUMMYFUNCTION("""COMPUTED_VALUE"""),1.004)</f>
        <v>1.004</v>
      </c>
      <c r="E1352" s="16">
        <f>IFERROR(__xludf.DUMMYFUNCTION("""COMPUTED_VALUE"""),67.0)</f>
        <v>67</v>
      </c>
      <c r="F1352" s="19" t="str">
        <f>IFERROR(__xludf.DUMMYFUNCTION("""COMPUTED_VALUE"""),"BLACK")</f>
        <v>BLACK</v>
      </c>
      <c r="G1352" s="20" t="str">
        <f>IFERROR(__xludf.DUMMYFUNCTION("""COMPUTED_VALUE"""),"Uncle Sams Cider (5/13/2022)")</f>
        <v>Uncle Sams Cider (5/13/2022)</v>
      </c>
      <c r="H1352" s="19"/>
    </row>
    <row r="1353">
      <c r="A1353" s="9"/>
      <c r="B1353" s="15"/>
      <c r="C1353" s="9">
        <f>IFERROR(__xludf.DUMMYFUNCTION("""COMPUTED_VALUE"""),44782.5193155902)</f>
        <v>44782.51932</v>
      </c>
      <c r="D1353" s="15">
        <f>IFERROR(__xludf.DUMMYFUNCTION("""COMPUTED_VALUE"""),1.004)</f>
        <v>1.004</v>
      </c>
      <c r="E1353" s="16">
        <f>IFERROR(__xludf.DUMMYFUNCTION("""COMPUTED_VALUE"""),67.0)</f>
        <v>67</v>
      </c>
      <c r="F1353" s="19" t="str">
        <f>IFERROR(__xludf.DUMMYFUNCTION("""COMPUTED_VALUE"""),"BLACK")</f>
        <v>BLACK</v>
      </c>
      <c r="G1353" s="20" t="str">
        <f>IFERROR(__xludf.DUMMYFUNCTION("""COMPUTED_VALUE"""),"Uncle Sams Cider (5/13/2022)")</f>
        <v>Uncle Sams Cider (5/13/2022)</v>
      </c>
      <c r="H1353" s="19"/>
    </row>
    <row r="1354">
      <c r="A1354" s="9"/>
      <c r="B1354" s="15"/>
      <c r="C1354" s="9">
        <f>IFERROR(__xludf.DUMMYFUNCTION("""COMPUTED_VALUE"""),44782.508894618)</f>
        <v>44782.50889</v>
      </c>
      <c r="D1354" s="15">
        <f>IFERROR(__xludf.DUMMYFUNCTION("""COMPUTED_VALUE"""),1.004)</f>
        <v>1.004</v>
      </c>
      <c r="E1354" s="16">
        <f>IFERROR(__xludf.DUMMYFUNCTION("""COMPUTED_VALUE"""),67.0)</f>
        <v>67</v>
      </c>
      <c r="F1354" s="19" t="str">
        <f>IFERROR(__xludf.DUMMYFUNCTION("""COMPUTED_VALUE"""),"BLACK")</f>
        <v>BLACK</v>
      </c>
      <c r="G1354" s="20" t="str">
        <f>IFERROR(__xludf.DUMMYFUNCTION("""COMPUTED_VALUE"""),"Uncle Sams Cider (5/13/2022)")</f>
        <v>Uncle Sams Cider (5/13/2022)</v>
      </c>
      <c r="H1354" s="19"/>
    </row>
    <row r="1355">
      <c r="A1355" s="9"/>
      <c r="B1355" s="15"/>
      <c r="C1355" s="9">
        <f>IFERROR(__xludf.DUMMYFUNCTION("""COMPUTED_VALUE"""),44782.4984729976)</f>
        <v>44782.49847</v>
      </c>
      <c r="D1355" s="15">
        <f>IFERROR(__xludf.DUMMYFUNCTION("""COMPUTED_VALUE"""),1.004)</f>
        <v>1.004</v>
      </c>
      <c r="E1355" s="16">
        <f>IFERROR(__xludf.DUMMYFUNCTION("""COMPUTED_VALUE"""),67.0)</f>
        <v>67</v>
      </c>
      <c r="F1355" s="19" t="str">
        <f>IFERROR(__xludf.DUMMYFUNCTION("""COMPUTED_VALUE"""),"BLACK")</f>
        <v>BLACK</v>
      </c>
      <c r="G1355" s="20" t="str">
        <f>IFERROR(__xludf.DUMMYFUNCTION("""COMPUTED_VALUE"""),"Uncle Sams Cider (5/13/2022)")</f>
        <v>Uncle Sams Cider (5/13/2022)</v>
      </c>
      <c r="H1355" s="19"/>
    </row>
    <row r="1356">
      <c r="A1356" s="9"/>
      <c r="B1356" s="15"/>
      <c r="C1356" s="9">
        <f>IFERROR(__xludf.DUMMYFUNCTION("""COMPUTED_VALUE"""),44782.4880533796)</f>
        <v>44782.48805</v>
      </c>
      <c r="D1356" s="15">
        <f>IFERROR(__xludf.DUMMYFUNCTION("""COMPUTED_VALUE"""),1.004)</f>
        <v>1.004</v>
      </c>
      <c r="E1356" s="16">
        <f>IFERROR(__xludf.DUMMYFUNCTION("""COMPUTED_VALUE"""),67.0)</f>
        <v>67</v>
      </c>
      <c r="F1356" s="19" t="str">
        <f>IFERROR(__xludf.DUMMYFUNCTION("""COMPUTED_VALUE"""),"BLACK")</f>
        <v>BLACK</v>
      </c>
      <c r="G1356" s="20" t="str">
        <f>IFERROR(__xludf.DUMMYFUNCTION("""COMPUTED_VALUE"""),"Uncle Sams Cider (5/13/2022)")</f>
        <v>Uncle Sams Cider (5/13/2022)</v>
      </c>
      <c r="H1356" s="19"/>
    </row>
    <row r="1357">
      <c r="A1357" s="9"/>
      <c r="B1357" s="15"/>
      <c r="C1357" s="9">
        <f>IFERROR(__xludf.DUMMYFUNCTION("""COMPUTED_VALUE"""),44782.4776318402)</f>
        <v>44782.47763</v>
      </c>
      <c r="D1357" s="15">
        <f>IFERROR(__xludf.DUMMYFUNCTION("""COMPUTED_VALUE"""),1.004)</f>
        <v>1.004</v>
      </c>
      <c r="E1357" s="16">
        <f>IFERROR(__xludf.DUMMYFUNCTION("""COMPUTED_VALUE"""),67.0)</f>
        <v>67</v>
      </c>
      <c r="F1357" s="19" t="str">
        <f>IFERROR(__xludf.DUMMYFUNCTION("""COMPUTED_VALUE"""),"BLACK")</f>
        <v>BLACK</v>
      </c>
      <c r="G1357" s="20" t="str">
        <f>IFERROR(__xludf.DUMMYFUNCTION("""COMPUTED_VALUE"""),"Uncle Sams Cider (5/13/2022)")</f>
        <v>Uncle Sams Cider (5/13/2022)</v>
      </c>
      <c r="H1357" s="19"/>
    </row>
    <row r="1358">
      <c r="A1358" s="9"/>
      <c r="B1358" s="15"/>
      <c r="C1358" s="9">
        <f>IFERROR(__xludf.DUMMYFUNCTION("""COMPUTED_VALUE"""),44782.4672111805)</f>
        <v>44782.46721</v>
      </c>
      <c r="D1358" s="15">
        <f>IFERROR(__xludf.DUMMYFUNCTION("""COMPUTED_VALUE"""),1.003)</f>
        <v>1.003</v>
      </c>
      <c r="E1358" s="16">
        <f>IFERROR(__xludf.DUMMYFUNCTION("""COMPUTED_VALUE"""),67.0)</f>
        <v>67</v>
      </c>
      <c r="F1358" s="19" t="str">
        <f>IFERROR(__xludf.DUMMYFUNCTION("""COMPUTED_VALUE"""),"BLACK")</f>
        <v>BLACK</v>
      </c>
      <c r="G1358" s="20" t="str">
        <f>IFERROR(__xludf.DUMMYFUNCTION("""COMPUTED_VALUE"""),"Uncle Sams Cider (5/13/2022)")</f>
        <v>Uncle Sams Cider (5/13/2022)</v>
      </c>
      <c r="H1358" s="19"/>
    </row>
    <row r="1359">
      <c r="A1359" s="9"/>
      <c r="B1359" s="15"/>
      <c r="C1359" s="9">
        <f>IFERROR(__xludf.DUMMYFUNCTION("""COMPUTED_VALUE"""),44782.4567774652)</f>
        <v>44782.45678</v>
      </c>
      <c r="D1359" s="15">
        <f>IFERROR(__xludf.DUMMYFUNCTION("""COMPUTED_VALUE"""),1.004)</f>
        <v>1.004</v>
      </c>
      <c r="E1359" s="16">
        <f>IFERROR(__xludf.DUMMYFUNCTION("""COMPUTED_VALUE"""),67.0)</f>
        <v>67</v>
      </c>
      <c r="F1359" s="19" t="str">
        <f>IFERROR(__xludf.DUMMYFUNCTION("""COMPUTED_VALUE"""),"BLACK")</f>
        <v>BLACK</v>
      </c>
      <c r="G1359" s="20" t="str">
        <f>IFERROR(__xludf.DUMMYFUNCTION("""COMPUTED_VALUE"""),"Uncle Sams Cider (5/13/2022)")</f>
        <v>Uncle Sams Cider (5/13/2022)</v>
      </c>
      <c r="H1359" s="19"/>
    </row>
    <row r="1360">
      <c r="A1360" s="9"/>
      <c r="B1360" s="15"/>
      <c r="C1360" s="9">
        <f>IFERROR(__xludf.DUMMYFUNCTION("""COMPUTED_VALUE"""),44782.4463550231)</f>
        <v>44782.44636</v>
      </c>
      <c r="D1360" s="15">
        <f>IFERROR(__xludf.DUMMYFUNCTION("""COMPUTED_VALUE"""),1.004)</f>
        <v>1.004</v>
      </c>
      <c r="E1360" s="16">
        <f>IFERROR(__xludf.DUMMYFUNCTION("""COMPUTED_VALUE"""),67.0)</f>
        <v>67</v>
      </c>
      <c r="F1360" s="19" t="str">
        <f>IFERROR(__xludf.DUMMYFUNCTION("""COMPUTED_VALUE"""),"BLACK")</f>
        <v>BLACK</v>
      </c>
      <c r="G1360" s="20" t="str">
        <f>IFERROR(__xludf.DUMMYFUNCTION("""COMPUTED_VALUE"""),"Uncle Sams Cider (5/13/2022)")</f>
        <v>Uncle Sams Cider (5/13/2022)</v>
      </c>
      <c r="H1360" s="19"/>
    </row>
    <row r="1361">
      <c r="A1361" s="9"/>
      <c r="B1361" s="15"/>
      <c r="C1361" s="9">
        <f>IFERROR(__xludf.DUMMYFUNCTION("""COMPUTED_VALUE"""),44782.4359228472)</f>
        <v>44782.43592</v>
      </c>
      <c r="D1361" s="15">
        <f>IFERROR(__xludf.DUMMYFUNCTION("""COMPUTED_VALUE"""),1.004)</f>
        <v>1.004</v>
      </c>
      <c r="E1361" s="16">
        <f>IFERROR(__xludf.DUMMYFUNCTION("""COMPUTED_VALUE"""),67.0)</f>
        <v>67</v>
      </c>
      <c r="F1361" s="19" t="str">
        <f>IFERROR(__xludf.DUMMYFUNCTION("""COMPUTED_VALUE"""),"BLACK")</f>
        <v>BLACK</v>
      </c>
      <c r="G1361" s="20" t="str">
        <f>IFERROR(__xludf.DUMMYFUNCTION("""COMPUTED_VALUE"""),"Uncle Sams Cider (5/13/2022)")</f>
        <v>Uncle Sams Cider (5/13/2022)</v>
      </c>
      <c r="H1361" s="19"/>
    </row>
    <row r="1362">
      <c r="A1362" s="9"/>
      <c r="B1362" s="15"/>
      <c r="C1362" s="9">
        <f>IFERROR(__xludf.DUMMYFUNCTION("""COMPUTED_VALUE"""),44782.4255027314)</f>
        <v>44782.4255</v>
      </c>
      <c r="D1362" s="15">
        <f>IFERROR(__xludf.DUMMYFUNCTION("""COMPUTED_VALUE"""),1.004)</f>
        <v>1.004</v>
      </c>
      <c r="E1362" s="16">
        <f>IFERROR(__xludf.DUMMYFUNCTION("""COMPUTED_VALUE"""),67.0)</f>
        <v>67</v>
      </c>
      <c r="F1362" s="19" t="str">
        <f>IFERROR(__xludf.DUMMYFUNCTION("""COMPUTED_VALUE"""),"BLACK")</f>
        <v>BLACK</v>
      </c>
      <c r="G1362" s="20" t="str">
        <f>IFERROR(__xludf.DUMMYFUNCTION("""COMPUTED_VALUE"""),"Uncle Sams Cider (5/13/2022)")</f>
        <v>Uncle Sams Cider (5/13/2022)</v>
      </c>
      <c r="H1362" s="19"/>
    </row>
    <row r="1363">
      <c r="A1363" s="9"/>
      <c r="B1363" s="15"/>
      <c r="C1363" s="9">
        <f>IFERROR(__xludf.DUMMYFUNCTION("""COMPUTED_VALUE"""),44782.415081331)</f>
        <v>44782.41508</v>
      </c>
      <c r="D1363" s="15">
        <f>IFERROR(__xludf.DUMMYFUNCTION("""COMPUTED_VALUE"""),1.004)</f>
        <v>1.004</v>
      </c>
      <c r="E1363" s="16">
        <f>IFERROR(__xludf.DUMMYFUNCTION("""COMPUTED_VALUE"""),67.0)</f>
        <v>67</v>
      </c>
      <c r="F1363" s="19" t="str">
        <f>IFERROR(__xludf.DUMMYFUNCTION("""COMPUTED_VALUE"""),"BLACK")</f>
        <v>BLACK</v>
      </c>
      <c r="G1363" s="20" t="str">
        <f>IFERROR(__xludf.DUMMYFUNCTION("""COMPUTED_VALUE"""),"Uncle Sams Cider (5/13/2022)")</f>
        <v>Uncle Sams Cider (5/13/2022)</v>
      </c>
      <c r="H1363" s="19"/>
    </row>
    <row r="1364">
      <c r="A1364" s="9"/>
      <c r="B1364" s="15"/>
      <c r="C1364" s="9">
        <f>IFERROR(__xludf.DUMMYFUNCTION("""COMPUTED_VALUE"""),44782.4046603703)</f>
        <v>44782.40466</v>
      </c>
      <c r="D1364" s="15">
        <f>IFERROR(__xludf.DUMMYFUNCTION("""COMPUTED_VALUE"""),1.004)</f>
        <v>1.004</v>
      </c>
      <c r="E1364" s="16">
        <f>IFERROR(__xludf.DUMMYFUNCTION("""COMPUTED_VALUE"""),67.0)</f>
        <v>67</v>
      </c>
      <c r="F1364" s="19" t="str">
        <f>IFERROR(__xludf.DUMMYFUNCTION("""COMPUTED_VALUE"""),"BLACK")</f>
        <v>BLACK</v>
      </c>
      <c r="G1364" s="20" t="str">
        <f>IFERROR(__xludf.DUMMYFUNCTION("""COMPUTED_VALUE"""),"Uncle Sams Cider (5/13/2022)")</f>
        <v>Uncle Sams Cider (5/13/2022)</v>
      </c>
      <c r="H1364" s="19"/>
    </row>
    <row r="1365">
      <c r="A1365" s="9"/>
      <c r="B1365" s="15"/>
      <c r="C1365" s="9">
        <f>IFERROR(__xludf.DUMMYFUNCTION("""COMPUTED_VALUE"""),44782.3942155208)</f>
        <v>44782.39422</v>
      </c>
      <c r="D1365" s="15">
        <f>IFERROR(__xludf.DUMMYFUNCTION("""COMPUTED_VALUE"""),1.004)</f>
        <v>1.004</v>
      </c>
      <c r="E1365" s="16">
        <f>IFERROR(__xludf.DUMMYFUNCTION("""COMPUTED_VALUE"""),67.0)</f>
        <v>67</v>
      </c>
      <c r="F1365" s="19" t="str">
        <f>IFERROR(__xludf.DUMMYFUNCTION("""COMPUTED_VALUE"""),"BLACK")</f>
        <v>BLACK</v>
      </c>
      <c r="G1365" s="20" t="str">
        <f>IFERROR(__xludf.DUMMYFUNCTION("""COMPUTED_VALUE"""),"Uncle Sams Cider (5/13/2022)")</f>
        <v>Uncle Sams Cider (5/13/2022)</v>
      </c>
      <c r="H1365" s="19"/>
    </row>
    <row r="1366">
      <c r="A1366" s="9"/>
      <c r="B1366" s="15"/>
      <c r="C1366" s="9">
        <f>IFERROR(__xludf.DUMMYFUNCTION("""COMPUTED_VALUE"""),44782.3837932291)</f>
        <v>44782.38379</v>
      </c>
      <c r="D1366" s="15">
        <f>IFERROR(__xludf.DUMMYFUNCTION("""COMPUTED_VALUE"""),1.004)</f>
        <v>1.004</v>
      </c>
      <c r="E1366" s="16">
        <f>IFERROR(__xludf.DUMMYFUNCTION("""COMPUTED_VALUE"""),67.0)</f>
        <v>67</v>
      </c>
      <c r="F1366" s="19" t="str">
        <f>IFERROR(__xludf.DUMMYFUNCTION("""COMPUTED_VALUE"""),"BLACK")</f>
        <v>BLACK</v>
      </c>
      <c r="G1366" s="20" t="str">
        <f>IFERROR(__xludf.DUMMYFUNCTION("""COMPUTED_VALUE"""),"Uncle Sams Cider (5/13/2022)")</f>
        <v>Uncle Sams Cider (5/13/2022)</v>
      </c>
      <c r="H1366" s="19"/>
    </row>
    <row r="1367">
      <c r="A1367" s="9"/>
      <c r="B1367" s="15"/>
      <c r="C1367" s="9">
        <f>IFERROR(__xludf.DUMMYFUNCTION("""COMPUTED_VALUE"""),44782.3733707754)</f>
        <v>44782.37337</v>
      </c>
      <c r="D1367" s="15">
        <f>IFERROR(__xludf.DUMMYFUNCTION("""COMPUTED_VALUE"""),1.004)</f>
        <v>1.004</v>
      </c>
      <c r="E1367" s="16">
        <f>IFERROR(__xludf.DUMMYFUNCTION("""COMPUTED_VALUE"""),67.0)</f>
        <v>67</v>
      </c>
      <c r="F1367" s="19" t="str">
        <f>IFERROR(__xludf.DUMMYFUNCTION("""COMPUTED_VALUE"""),"BLACK")</f>
        <v>BLACK</v>
      </c>
      <c r="G1367" s="20" t="str">
        <f>IFERROR(__xludf.DUMMYFUNCTION("""COMPUTED_VALUE"""),"Uncle Sams Cider (5/13/2022)")</f>
        <v>Uncle Sams Cider (5/13/2022)</v>
      </c>
      <c r="H1367" s="19"/>
    </row>
    <row r="1368">
      <c r="A1368" s="9"/>
      <c r="B1368" s="15"/>
      <c r="C1368" s="9">
        <f>IFERROR(__xludf.DUMMYFUNCTION("""COMPUTED_VALUE"""),44782.362949456)</f>
        <v>44782.36295</v>
      </c>
      <c r="D1368" s="15">
        <f>IFERROR(__xludf.DUMMYFUNCTION("""COMPUTED_VALUE"""),1.004)</f>
        <v>1.004</v>
      </c>
      <c r="E1368" s="16">
        <f>IFERROR(__xludf.DUMMYFUNCTION("""COMPUTED_VALUE"""),67.0)</f>
        <v>67</v>
      </c>
      <c r="F1368" s="19" t="str">
        <f>IFERROR(__xludf.DUMMYFUNCTION("""COMPUTED_VALUE"""),"BLACK")</f>
        <v>BLACK</v>
      </c>
      <c r="G1368" s="20" t="str">
        <f>IFERROR(__xludf.DUMMYFUNCTION("""COMPUTED_VALUE"""),"Uncle Sams Cider (5/13/2022)")</f>
        <v>Uncle Sams Cider (5/13/2022)</v>
      </c>
      <c r="H1368" s="19"/>
    </row>
    <row r="1369">
      <c r="A1369" s="9"/>
      <c r="B1369" s="15"/>
      <c r="C1369" s="9">
        <f>IFERROR(__xludf.DUMMYFUNCTION("""COMPUTED_VALUE"""),44782.352527743)</f>
        <v>44782.35253</v>
      </c>
      <c r="D1369" s="15">
        <f>IFERROR(__xludf.DUMMYFUNCTION("""COMPUTED_VALUE"""),1.004)</f>
        <v>1.004</v>
      </c>
      <c r="E1369" s="16">
        <f>IFERROR(__xludf.DUMMYFUNCTION("""COMPUTED_VALUE"""),67.0)</f>
        <v>67</v>
      </c>
      <c r="F1369" s="19" t="str">
        <f>IFERROR(__xludf.DUMMYFUNCTION("""COMPUTED_VALUE"""),"BLACK")</f>
        <v>BLACK</v>
      </c>
      <c r="G1369" s="20" t="str">
        <f>IFERROR(__xludf.DUMMYFUNCTION("""COMPUTED_VALUE"""),"Uncle Sams Cider (5/13/2022)")</f>
        <v>Uncle Sams Cider (5/13/2022)</v>
      </c>
      <c r="H1369" s="19"/>
    </row>
    <row r="1370">
      <c r="A1370" s="9"/>
      <c r="B1370" s="15"/>
      <c r="C1370" s="9">
        <f>IFERROR(__xludf.DUMMYFUNCTION("""COMPUTED_VALUE"""),44782.3421073032)</f>
        <v>44782.34211</v>
      </c>
      <c r="D1370" s="15">
        <f>IFERROR(__xludf.DUMMYFUNCTION("""COMPUTED_VALUE"""),1.004)</f>
        <v>1.004</v>
      </c>
      <c r="E1370" s="16">
        <f>IFERROR(__xludf.DUMMYFUNCTION("""COMPUTED_VALUE"""),67.0)</f>
        <v>67</v>
      </c>
      <c r="F1370" s="19" t="str">
        <f>IFERROR(__xludf.DUMMYFUNCTION("""COMPUTED_VALUE"""),"BLACK")</f>
        <v>BLACK</v>
      </c>
      <c r="G1370" s="20" t="str">
        <f>IFERROR(__xludf.DUMMYFUNCTION("""COMPUTED_VALUE"""),"Uncle Sams Cider (5/13/2022)")</f>
        <v>Uncle Sams Cider (5/13/2022)</v>
      </c>
      <c r="H1370" s="19"/>
    </row>
    <row r="1371">
      <c r="A1371" s="9"/>
      <c r="B1371" s="15"/>
      <c r="C1371" s="9">
        <f>IFERROR(__xludf.DUMMYFUNCTION("""COMPUTED_VALUE"""),44782.3316858101)</f>
        <v>44782.33169</v>
      </c>
      <c r="D1371" s="15">
        <f>IFERROR(__xludf.DUMMYFUNCTION("""COMPUTED_VALUE"""),1.004)</f>
        <v>1.004</v>
      </c>
      <c r="E1371" s="16">
        <f>IFERROR(__xludf.DUMMYFUNCTION("""COMPUTED_VALUE"""),67.0)</f>
        <v>67</v>
      </c>
      <c r="F1371" s="19" t="str">
        <f>IFERROR(__xludf.DUMMYFUNCTION("""COMPUTED_VALUE"""),"BLACK")</f>
        <v>BLACK</v>
      </c>
      <c r="G1371" s="20" t="str">
        <f>IFERROR(__xludf.DUMMYFUNCTION("""COMPUTED_VALUE"""),"Uncle Sams Cider (5/13/2022)")</f>
        <v>Uncle Sams Cider (5/13/2022)</v>
      </c>
      <c r="H1371" s="19"/>
    </row>
    <row r="1372">
      <c r="A1372" s="9"/>
      <c r="B1372" s="15"/>
      <c r="C1372" s="9">
        <f>IFERROR(__xludf.DUMMYFUNCTION("""COMPUTED_VALUE"""),44782.3212653703)</f>
        <v>44782.32127</v>
      </c>
      <c r="D1372" s="15">
        <f>IFERROR(__xludf.DUMMYFUNCTION("""COMPUTED_VALUE"""),1.004)</f>
        <v>1.004</v>
      </c>
      <c r="E1372" s="16">
        <f>IFERROR(__xludf.DUMMYFUNCTION("""COMPUTED_VALUE"""),67.0)</f>
        <v>67</v>
      </c>
      <c r="F1372" s="19" t="str">
        <f>IFERROR(__xludf.DUMMYFUNCTION("""COMPUTED_VALUE"""),"BLACK")</f>
        <v>BLACK</v>
      </c>
      <c r="G1372" s="20" t="str">
        <f>IFERROR(__xludf.DUMMYFUNCTION("""COMPUTED_VALUE"""),"Uncle Sams Cider (5/13/2022)")</f>
        <v>Uncle Sams Cider (5/13/2022)</v>
      </c>
      <c r="H1372" s="19"/>
    </row>
    <row r="1373">
      <c r="A1373" s="9"/>
      <c r="B1373" s="15"/>
      <c r="C1373" s="9">
        <f>IFERROR(__xludf.DUMMYFUNCTION("""COMPUTED_VALUE"""),44782.3108451967)</f>
        <v>44782.31085</v>
      </c>
      <c r="D1373" s="15">
        <f>IFERROR(__xludf.DUMMYFUNCTION("""COMPUTED_VALUE"""),1.004)</f>
        <v>1.004</v>
      </c>
      <c r="E1373" s="16">
        <f>IFERROR(__xludf.DUMMYFUNCTION("""COMPUTED_VALUE"""),67.0)</f>
        <v>67</v>
      </c>
      <c r="F1373" s="19" t="str">
        <f>IFERROR(__xludf.DUMMYFUNCTION("""COMPUTED_VALUE"""),"BLACK")</f>
        <v>BLACK</v>
      </c>
      <c r="G1373" s="20" t="str">
        <f>IFERROR(__xludf.DUMMYFUNCTION("""COMPUTED_VALUE"""),"Uncle Sams Cider (5/13/2022)")</f>
        <v>Uncle Sams Cider (5/13/2022)</v>
      </c>
      <c r="H1373" s="19"/>
    </row>
    <row r="1374">
      <c r="A1374" s="9"/>
      <c r="B1374" s="15"/>
      <c r="C1374" s="9">
        <f>IFERROR(__xludf.DUMMYFUNCTION("""COMPUTED_VALUE"""),44782.3004226388)</f>
        <v>44782.30042</v>
      </c>
      <c r="D1374" s="15">
        <f>IFERROR(__xludf.DUMMYFUNCTION("""COMPUTED_VALUE"""),1.004)</f>
        <v>1.004</v>
      </c>
      <c r="E1374" s="16">
        <f>IFERROR(__xludf.DUMMYFUNCTION("""COMPUTED_VALUE"""),67.0)</f>
        <v>67</v>
      </c>
      <c r="F1374" s="19" t="str">
        <f>IFERROR(__xludf.DUMMYFUNCTION("""COMPUTED_VALUE"""),"BLACK")</f>
        <v>BLACK</v>
      </c>
      <c r="G1374" s="20" t="str">
        <f>IFERROR(__xludf.DUMMYFUNCTION("""COMPUTED_VALUE"""),"Uncle Sams Cider (5/13/2022)")</f>
        <v>Uncle Sams Cider (5/13/2022)</v>
      </c>
      <c r="H1374" s="19"/>
    </row>
    <row r="1375">
      <c r="A1375" s="9"/>
      <c r="B1375" s="15"/>
      <c r="C1375" s="9">
        <f>IFERROR(__xludf.DUMMYFUNCTION("""COMPUTED_VALUE"""),44782.2900016782)</f>
        <v>44782.29</v>
      </c>
      <c r="D1375" s="15">
        <f>IFERROR(__xludf.DUMMYFUNCTION("""COMPUTED_VALUE"""),1.003)</f>
        <v>1.003</v>
      </c>
      <c r="E1375" s="16">
        <f>IFERROR(__xludf.DUMMYFUNCTION("""COMPUTED_VALUE"""),67.0)</f>
        <v>67</v>
      </c>
      <c r="F1375" s="19" t="str">
        <f>IFERROR(__xludf.DUMMYFUNCTION("""COMPUTED_VALUE"""),"BLACK")</f>
        <v>BLACK</v>
      </c>
      <c r="G1375" s="20" t="str">
        <f>IFERROR(__xludf.DUMMYFUNCTION("""COMPUTED_VALUE"""),"Uncle Sams Cider (5/13/2022)")</f>
        <v>Uncle Sams Cider (5/13/2022)</v>
      </c>
      <c r="H1375" s="19"/>
    </row>
    <row r="1376">
      <c r="A1376" s="9"/>
      <c r="B1376" s="15"/>
      <c r="C1376" s="9">
        <f>IFERROR(__xludf.DUMMYFUNCTION("""COMPUTED_VALUE"""),44782.2795802777)</f>
        <v>44782.27958</v>
      </c>
      <c r="D1376" s="15">
        <f>IFERROR(__xludf.DUMMYFUNCTION("""COMPUTED_VALUE"""),1.004)</f>
        <v>1.004</v>
      </c>
      <c r="E1376" s="16">
        <f>IFERROR(__xludf.DUMMYFUNCTION("""COMPUTED_VALUE"""),66.0)</f>
        <v>66</v>
      </c>
      <c r="F1376" s="19" t="str">
        <f>IFERROR(__xludf.DUMMYFUNCTION("""COMPUTED_VALUE"""),"BLACK")</f>
        <v>BLACK</v>
      </c>
      <c r="G1376" s="20" t="str">
        <f>IFERROR(__xludf.DUMMYFUNCTION("""COMPUTED_VALUE"""),"Uncle Sams Cider (5/13/2022)")</f>
        <v>Uncle Sams Cider (5/13/2022)</v>
      </c>
      <c r="H1376" s="19"/>
    </row>
    <row r="1377">
      <c r="A1377" s="9"/>
      <c r="B1377" s="15"/>
      <c r="C1377" s="9">
        <f>IFERROR(__xludf.DUMMYFUNCTION("""COMPUTED_VALUE"""),44782.2691592592)</f>
        <v>44782.26916</v>
      </c>
      <c r="D1377" s="15">
        <f>IFERROR(__xludf.DUMMYFUNCTION("""COMPUTED_VALUE"""),1.004)</f>
        <v>1.004</v>
      </c>
      <c r="E1377" s="16">
        <f>IFERROR(__xludf.DUMMYFUNCTION("""COMPUTED_VALUE"""),67.0)</f>
        <v>67</v>
      </c>
      <c r="F1377" s="19" t="str">
        <f>IFERROR(__xludf.DUMMYFUNCTION("""COMPUTED_VALUE"""),"BLACK")</f>
        <v>BLACK</v>
      </c>
      <c r="G1377" s="20" t="str">
        <f>IFERROR(__xludf.DUMMYFUNCTION("""COMPUTED_VALUE"""),"Uncle Sams Cider (5/13/2022)")</f>
        <v>Uncle Sams Cider (5/13/2022)</v>
      </c>
      <c r="H1377" s="19"/>
    </row>
    <row r="1378">
      <c r="A1378" s="9"/>
      <c r="B1378" s="15"/>
      <c r="C1378" s="9">
        <f>IFERROR(__xludf.DUMMYFUNCTION("""COMPUTED_VALUE"""),44782.2587400578)</f>
        <v>44782.25874</v>
      </c>
      <c r="D1378" s="15">
        <f>IFERROR(__xludf.DUMMYFUNCTION("""COMPUTED_VALUE"""),1.004)</f>
        <v>1.004</v>
      </c>
      <c r="E1378" s="16">
        <f>IFERROR(__xludf.DUMMYFUNCTION("""COMPUTED_VALUE"""),67.0)</f>
        <v>67</v>
      </c>
      <c r="F1378" s="19" t="str">
        <f>IFERROR(__xludf.DUMMYFUNCTION("""COMPUTED_VALUE"""),"BLACK")</f>
        <v>BLACK</v>
      </c>
      <c r="G1378" s="20" t="str">
        <f>IFERROR(__xludf.DUMMYFUNCTION("""COMPUTED_VALUE"""),"Uncle Sams Cider (5/13/2022)")</f>
        <v>Uncle Sams Cider (5/13/2022)</v>
      </c>
      <c r="H1378" s="19"/>
    </row>
    <row r="1379">
      <c r="A1379" s="9"/>
      <c r="B1379" s="15"/>
      <c r="C1379" s="9">
        <f>IFERROR(__xludf.DUMMYFUNCTION("""COMPUTED_VALUE"""),44782.2483169791)</f>
        <v>44782.24832</v>
      </c>
      <c r="D1379" s="15">
        <f>IFERROR(__xludf.DUMMYFUNCTION("""COMPUTED_VALUE"""),1.004)</f>
        <v>1.004</v>
      </c>
      <c r="E1379" s="16">
        <f>IFERROR(__xludf.DUMMYFUNCTION("""COMPUTED_VALUE"""),66.0)</f>
        <v>66</v>
      </c>
      <c r="F1379" s="19" t="str">
        <f>IFERROR(__xludf.DUMMYFUNCTION("""COMPUTED_VALUE"""),"BLACK")</f>
        <v>BLACK</v>
      </c>
      <c r="G1379" s="20" t="str">
        <f>IFERROR(__xludf.DUMMYFUNCTION("""COMPUTED_VALUE"""),"Uncle Sams Cider (5/13/2022)")</f>
        <v>Uncle Sams Cider (5/13/2022)</v>
      </c>
      <c r="H1379" s="19"/>
    </row>
    <row r="1380">
      <c r="A1380" s="9"/>
      <c r="B1380" s="15"/>
      <c r="C1380" s="9">
        <f>IFERROR(__xludf.DUMMYFUNCTION("""COMPUTED_VALUE"""),44782.2378963194)</f>
        <v>44782.2379</v>
      </c>
      <c r="D1380" s="15">
        <f>IFERROR(__xludf.DUMMYFUNCTION("""COMPUTED_VALUE"""),1.004)</f>
        <v>1.004</v>
      </c>
      <c r="E1380" s="16">
        <f>IFERROR(__xludf.DUMMYFUNCTION("""COMPUTED_VALUE"""),66.0)</f>
        <v>66</v>
      </c>
      <c r="F1380" s="19" t="str">
        <f>IFERROR(__xludf.DUMMYFUNCTION("""COMPUTED_VALUE"""),"BLACK")</f>
        <v>BLACK</v>
      </c>
      <c r="G1380" s="20" t="str">
        <f>IFERROR(__xludf.DUMMYFUNCTION("""COMPUTED_VALUE"""),"Uncle Sams Cider (5/13/2022)")</f>
        <v>Uncle Sams Cider (5/13/2022)</v>
      </c>
      <c r="H1380" s="19"/>
    </row>
    <row r="1381">
      <c r="A1381" s="9"/>
      <c r="B1381" s="15"/>
      <c r="C1381" s="9">
        <f>IFERROR(__xludf.DUMMYFUNCTION("""COMPUTED_VALUE"""),44782.2274754976)</f>
        <v>44782.22748</v>
      </c>
      <c r="D1381" s="15">
        <f>IFERROR(__xludf.DUMMYFUNCTION("""COMPUTED_VALUE"""),1.004)</f>
        <v>1.004</v>
      </c>
      <c r="E1381" s="16">
        <f>IFERROR(__xludf.DUMMYFUNCTION("""COMPUTED_VALUE"""),66.0)</f>
        <v>66</v>
      </c>
      <c r="F1381" s="19" t="str">
        <f>IFERROR(__xludf.DUMMYFUNCTION("""COMPUTED_VALUE"""),"BLACK")</f>
        <v>BLACK</v>
      </c>
      <c r="G1381" s="20" t="str">
        <f>IFERROR(__xludf.DUMMYFUNCTION("""COMPUTED_VALUE"""),"Uncle Sams Cider (5/13/2022)")</f>
        <v>Uncle Sams Cider (5/13/2022)</v>
      </c>
      <c r="H1381" s="19"/>
    </row>
    <row r="1382">
      <c r="A1382" s="9"/>
      <c r="B1382" s="15"/>
      <c r="C1382" s="9">
        <f>IFERROR(__xludf.DUMMYFUNCTION("""COMPUTED_VALUE"""),44782.2170550694)</f>
        <v>44782.21706</v>
      </c>
      <c r="D1382" s="15">
        <f>IFERROR(__xludf.DUMMYFUNCTION("""COMPUTED_VALUE"""),1.004)</f>
        <v>1.004</v>
      </c>
      <c r="E1382" s="16">
        <f>IFERROR(__xludf.DUMMYFUNCTION("""COMPUTED_VALUE"""),66.0)</f>
        <v>66</v>
      </c>
      <c r="F1382" s="19" t="str">
        <f>IFERROR(__xludf.DUMMYFUNCTION("""COMPUTED_VALUE"""),"BLACK")</f>
        <v>BLACK</v>
      </c>
      <c r="G1382" s="20" t="str">
        <f>IFERROR(__xludf.DUMMYFUNCTION("""COMPUTED_VALUE"""),"Uncle Sams Cider (5/13/2022)")</f>
        <v>Uncle Sams Cider (5/13/2022)</v>
      </c>
      <c r="H1382" s="19"/>
    </row>
    <row r="1383">
      <c r="A1383" s="9"/>
      <c r="B1383" s="15"/>
      <c r="C1383" s="9">
        <f>IFERROR(__xludf.DUMMYFUNCTION("""COMPUTED_VALUE"""),44782.206632118)</f>
        <v>44782.20663</v>
      </c>
      <c r="D1383" s="15">
        <f>IFERROR(__xludf.DUMMYFUNCTION("""COMPUTED_VALUE"""),1.004)</f>
        <v>1.004</v>
      </c>
      <c r="E1383" s="16">
        <f>IFERROR(__xludf.DUMMYFUNCTION("""COMPUTED_VALUE"""),66.0)</f>
        <v>66</v>
      </c>
      <c r="F1383" s="19" t="str">
        <f>IFERROR(__xludf.DUMMYFUNCTION("""COMPUTED_VALUE"""),"BLACK")</f>
        <v>BLACK</v>
      </c>
      <c r="G1383" s="20" t="str">
        <f>IFERROR(__xludf.DUMMYFUNCTION("""COMPUTED_VALUE"""),"Uncle Sams Cider (5/13/2022)")</f>
        <v>Uncle Sams Cider (5/13/2022)</v>
      </c>
      <c r="H1383" s="19"/>
    </row>
    <row r="1384">
      <c r="A1384" s="9"/>
      <c r="B1384" s="15"/>
      <c r="C1384" s="9">
        <f>IFERROR(__xludf.DUMMYFUNCTION("""COMPUTED_VALUE"""),44782.1962109606)</f>
        <v>44782.19621</v>
      </c>
      <c r="D1384" s="15">
        <f>IFERROR(__xludf.DUMMYFUNCTION("""COMPUTED_VALUE"""),1.004)</f>
        <v>1.004</v>
      </c>
      <c r="E1384" s="16">
        <f>IFERROR(__xludf.DUMMYFUNCTION("""COMPUTED_VALUE"""),66.0)</f>
        <v>66</v>
      </c>
      <c r="F1384" s="19" t="str">
        <f>IFERROR(__xludf.DUMMYFUNCTION("""COMPUTED_VALUE"""),"BLACK")</f>
        <v>BLACK</v>
      </c>
      <c r="G1384" s="20" t="str">
        <f>IFERROR(__xludf.DUMMYFUNCTION("""COMPUTED_VALUE"""),"Uncle Sams Cider (5/13/2022)")</f>
        <v>Uncle Sams Cider (5/13/2022)</v>
      </c>
      <c r="H1384" s="19"/>
    </row>
    <row r="1385">
      <c r="A1385" s="9"/>
      <c r="B1385" s="15"/>
      <c r="C1385" s="9">
        <f>IFERROR(__xludf.DUMMYFUNCTION("""COMPUTED_VALUE"""),44782.1857783217)</f>
        <v>44782.18578</v>
      </c>
      <c r="D1385" s="15">
        <f>IFERROR(__xludf.DUMMYFUNCTION("""COMPUTED_VALUE"""),1.004)</f>
        <v>1.004</v>
      </c>
      <c r="E1385" s="16">
        <f>IFERROR(__xludf.DUMMYFUNCTION("""COMPUTED_VALUE"""),66.0)</f>
        <v>66</v>
      </c>
      <c r="F1385" s="19" t="str">
        <f>IFERROR(__xludf.DUMMYFUNCTION("""COMPUTED_VALUE"""),"BLACK")</f>
        <v>BLACK</v>
      </c>
      <c r="G1385" s="20" t="str">
        <f>IFERROR(__xludf.DUMMYFUNCTION("""COMPUTED_VALUE"""),"Uncle Sams Cider (5/13/2022)")</f>
        <v>Uncle Sams Cider (5/13/2022)</v>
      </c>
      <c r="H1385" s="19"/>
    </row>
    <row r="1386">
      <c r="A1386" s="9"/>
      <c r="B1386" s="15"/>
      <c r="C1386" s="9">
        <f>IFERROR(__xludf.DUMMYFUNCTION("""COMPUTED_VALUE"""),44782.1753576041)</f>
        <v>44782.17536</v>
      </c>
      <c r="D1386" s="15">
        <f>IFERROR(__xludf.DUMMYFUNCTION("""COMPUTED_VALUE"""),1.004)</f>
        <v>1.004</v>
      </c>
      <c r="E1386" s="16">
        <f>IFERROR(__xludf.DUMMYFUNCTION("""COMPUTED_VALUE"""),66.0)</f>
        <v>66</v>
      </c>
      <c r="F1386" s="19" t="str">
        <f>IFERROR(__xludf.DUMMYFUNCTION("""COMPUTED_VALUE"""),"BLACK")</f>
        <v>BLACK</v>
      </c>
      <c r="G1386" s="20" t="str">
        <f>IFERROR(__xludf.DUMMYFUNCTION("""COMPUTED_VALUE"""),"Uncle Sams Cider (5/13/2022)")</f>
        <v>Uncle Sams Cider (5/13/2022)</v>
      </c>
      <c r="H1386" s="19"/>
    </row>
    <row r="1387">
      <c r="A1387" s="9"/>
      <c r="B1387" s="15"/>
      <c r="C1387" s="9">
        <f>IFERROR(__xludf.DUMMYFUNCTION("""COMPUTED_VALUE"""),44782.1649231713)</f>
        <v>44782.16492</v>
      </c>
      <c r="D1387" s="15">
        <f>IFERROR(__xludf.DUMMYFUNCTION("""COMPUTED_VALUE"""),1.004)</f>
        <v>1.004</v>
      </c>
      <c r="E1387" s="16">
        <f>IFERROR(__xludf.DUMMYFUNCTION("""COMPUTED_VALUE"""),66.0)</f>
        <v>66</v>
      </c>
      <c r="F1387" s="19" t="str">
        <f>IFERROR(__xludf.DUMMYFUNCTION("""COMPUTED_VALUE"""),"BLACK")</f>
        <v>BLACK</v>
      </c>
      <c r="G1387" s="20" t="str">
        <f>IFERROR(__xludf.DUMMYFUNCTION("""COMPUTED_VALUE"""),"Uncle Sams Cider (5/13/2022)")</f>
        <v>Uncle Sams Cider (5/13/2022)</v>
      </c>
      <c r="H1387" s="19"/>
    </row>
    <row r="1388">
      <c r="A1388" s="9"/>
      <c r="B1388" s="15"/>
      <c r="C1388" s="9">
        <f>IFERROR(__xludf.DUMMYFUNCTION("""COMPUTED_VALUE"""),44782.154501655)</f>
        <v>44782.1545</v>
      </c>
      <c r="D1388" s="15">
        <f>IFERROR(__xludf.DUMMYFUNCTION("""COMPUTED_VALUE"""),1.004)</f>
        <v>1.004</v>
      </c>
      <c r="E1388" s="16">
        <f>IFERROR(__xludf.DUMMYFUNCTION("""COMPUTED_VALUE"""),66.0)</f>
        <v>66</v>
      </c>
      <c r="F1388" s="19" t="str">
        <f>IFERROR(__xludf.DUMMYFUNCTION("""COMPUTED_VALUE"""),"BLACK")</f>
        <v>BLACK</v>
      </c>
      <c r="G1388" s="20" t="str">
        <f>IFERROR(__xludf.DUMMYFUNCTION("""COMPUTED_VALUE"""),"Uncle Sams Cider (5/13/2022)")</f>
        <v>Uncle Sams Cider (5/13/2022)</v>
      </c>
      <c r="H1388" s="19"/>
    </row>
    <row r="1389">
      <c r="A1389" s="9"/>
      <c r="B1389" s="15"/>
      <c r="C1389" s="9">
        <f>IFERROR(__xludf.DUMMYFUNCTION("""COMPUTED_VALUE"""),44782.1440693634)</f>
        <v>44782.14407</v>
      </c>
      <c r="D1389" s="15">
        <f>IFERROR(__xludf.DUMMYFUNCTION("""COMPUTED_VALUE"""),1.004)</f>
        <v>1.004</v>
      </c>
      <c r="E1389" s="16">
        <f>IFERROR(__xludf.DUMMYFUNCTION("""COMPUTED_VALUE"""),66.0)</f>
        <v>66</v>
      </c>
      <c r="F1389" s="19" t="str">
        <f>IFERROR(__xludf.DUMMYFUNCTION("""COMPUTED_VALUE"""),"BLACK")</f>
        <v>BLACK</v>
      </c>
      <c r="G1389" s="20" t="str">
        <f>IFERROR(__xludf.DUMMYFUNCTION("""COMPUTED_VALUE"""),"Uncle Sams Cider (5/13/2022)")</f>
        <v>Uncle Sams Cider (5/13/2022)</v>
      </c>
      <c r="H1389" s="19"/>
    </row>
    <row r="1390">
      <c r="A1390" s="9"/>
      <c r="B1390" s="15"/>
      <c r="C1390" s="9">
        <f>IFERROR(__xludf.DUMMYFUNCTION("""COMPUTED_VALUE"""),44782.1336495601)</f>
        <v>44782.13365</v>
      </c>
      <c r="D1390" s="15">
        <f>IFERROR(__xludf.DUMMYFUNCTION("""COMPUTED_VALUE"""),1.004)</f>
        <v>1.004</v>
      </c>
      <c r="E1390" s="16">
        <f>IFERROR(__xludf.DUMMYFUNCTION("""COMPUTED_VALUE"""),66.0)</f>
        <v>66</v>
      </c>
      <c r="F1390" s="19" t="str">
        <f>IFERROR(__xludf.DUMMYFUNCTION("""COMPUTED_VALUE"""),"BLACK")</f>
        <v>BLACK</v>
      </c>
      <c r="G1390" s="20" t="str">
        <f>IFERROR(__xludf.DUMMYFUNCTION("""COMPUTED_VALUE"""),"Uncle Sams Cider (5/13/2022)")</f>
        <v>Uncle Sams Cider (5/13/2022)</v>
      </c>
      <c r="H1390" s="19"/>
    </row>
    <row r="1391">
      <c r="A1391" s="9"/>
      <c r="B1391" s="15"/>
      <c r="C1391" s="9">
        <f>IFERROR(__xludf.DUMMYFUNCTION("""COMPUTED_VALUE"""),44782.1232289351)</f>
        <v>44782.12323</v>
      </c>
      <c r="D1391" s="15">
        <f>IFERROR(__xludf.DUMMYFUNCTION("""COMPUTED_VALUE"""),1.004)</f>
        <v>1.004</v>
      </c>
      <c r="E1391" s="16">
        <f>IFERROR(__xludf.DUMMYFUNCTION("""COMPUTED_VALUE"""),66.0)</f>
        <v>66</v>
      </c>
      <c r="F1391" s="19" t="str">
        <f>IFERROR(__xludf.DUMMYFUNCTION("""COMPUTED_VALUE"""),"BLACK")</f>
        <v>BLACK</v>
      </c>
      <c r="G1391" s="20" t="str">
        <f>IFERROR(__xludf.DUMMYFUNCTION("""COMPUTED_VALUE"""),"Uncle Sams Cider (5/13/2022)")</f>
        <v>Uncle Sams Cider (5/13/2022)</v>
      </c>
      <c r="H1391" s="19"/>
    </row>
    <row r="1392">
      <c r="A1392" s="9"/>
      <c r="B1392" s="15"/>
      <c r="C1392" s="9">
        <f>IFERROR(__xludf.DUMMYFUNCTION("""COMPUTED_VALUE"""),44782.1128084838)</f>
        <v>44782.11281</v>
      </c>
      <c r="D1392" s="15">
        <f>IFERROR(__xludf.DUMMYFUNCTION("""COMPUTED_VALUE"""),1.004)</f>
        <v>1.004</v>
      </c>
      <c r="E1392" s="16">
        <f>IFERROR(__xludf.DUMMYFUNCTION("""COMPUTED_VALUE"""),66.0)</f>
        <v>66</v>
      </c>
      <c r="F1392" s="19" t="str">
        <f>IFERROR(__xludf.DUMMYFUNCTION("""COMPUTED_VALUE"""),"BLACK")</f>
        <v>BLACK</v>
      </c>
      <c r="G1392" s="20" t="str">
        <f>IFERROR(__xludf.DUMMYFUNCTION("""COMPUTED_VALUE"""),"Uncle Sams Cider (5/13/2022)")</f>
        <v>Uncle Sams Cider (5/13/2022)</v>
      </c>
      <c r="H1392" s="19"/>
    </row>
    <row r="1393">
      <c r="A1393" s="9"/>
      <c r="B1393" s="15"/>
      <c r="C1393" s="9">
        <f>IFERROR(__xludf.DUMMYFUNCTION("""COMPUTED_VALUE"""),44782.1023871759)</f>
        <v>44782.10239</v>
      </c>
      <c r="D1393" s="15">
        <f>IFERROR(__xludf.DUMMYFUNCTION("""COMPUTED_VALUE"""),1.004)</f>
        <v>1.004</v>
      </c>
      <c r="E1393" s="16">
        <f>IFERROR(__xludf.DUMMYFUNCTION("""COMPUTED_VALUE"""),66.0)</f>
        <v>66</v>
      </c>
      <c r="F1393" s="19" t="str">
        <f>IFERROR(__xludf.DUMMYFUNCTION("""COMPUTED_VALUE"""),"BLACK")</f>
        <v>BLACK</v>
      </c>
      <c r="G1393" s="20" t="str">
        <f>IFERROR(__xludf.DUMMYFUNCTION("""COMPUTED_VALUE"""),"Uncle Sams Cider (5/13/2022)")</f>
        <v>Uncle Sams Cider (5/13/2022)</v>
      </c>
      <c r="H1393" s="19"/>
    </row>
    <row r="1394">
      <c r="A1394" s="9"/>
      <c r="B1394" s="15"/>
      <c r="C1394" s="9">
        <f>IFERROR(__xludf.DUMMYFUNCTION("""COMPUTED_VALUE"""),44782.091965243)</f>
        <v>44782.09197</v>
      </c>
      <c r="D1394" s="15">
        <f>IFERROR(__xludf.DUMMYFUNCTION("""COMPUTED_VALUE"""),1.004)</f>
        <v>1.004</v>
      </c>
      <c r="E1394" s="16">
        <f>IFERROR(__xludf.DUMMYFUNCTION("""COMPUTED_VALUE"""),66.0)</f>
        <v>66</v>
      </c>
      <c r="F1394" s="19" t="str">
        <f>IFERROR(__xludf.DUMMYFUNCTION("""COMPUTED_VALUE"""),"BLACK")</f>
        <v>BLACK</v>
      </c>
      <c r="G1394" s="20" t="str">
        <f>IFERROR(__xludf.DUMMYFUNCTION("""COMPUTED_VALUE"""),"Uncle Sams Cider (5/13/2022)")</f>
        <v>Uncle Sams Cider (5/13/2022)</v>
      </c>
      <c r="H1394" s="19"/>
    </row>
    <row r="1395">
      <c r="A1395" s="9"/>
      <c r="B1395" s="15"/>
      <c r="C1395" s="9">
        <f>IFERROR(__xludf.DUMMYFUNCTION("""COMPUTED_VALUE"""),44782.0815419328)</f>
        <v>44782.08154</v>
      </c>
      <c r="D1395" s="15">
        <f>IFERROR(__xludf.DUMMYFUNCTION("""COMPUTED_VALUE"""),1.004)</f>
        <v>1.004</v>
      </c>
      <c r="E1395" s="16">
        <f>IFERROR(__xludf.DUMMYFUNCTION("""COMPUTED_VALUE"""),66.0)</f>
        <v>66</v>
      </c>
      <c r="F1395" s="19" t="str">
        <f>IFERROR(__xludf.DUMMYFUNCTION("""COMPUTED_VALUE"""),"BLACK")</f>
        <v>BLACK</v>
      </c>
      <c r="G1395" s="20" t="str">
        <f>IFERROR(__xludf.DUMMYFUNCTION("""COMPUTED_VALUE"""),"Uncle Sams Cider (5/13/2022)")</f>
        <v>Uncle Sams Cider (5/13/2022)</v>
      </c>
      <c r="H1395" s="19"/>
    </row>
    <row r="1396">
      <c r="A1396" s="9"/>
      <c r="B1396" s="15"/>
      <c r="C1396" s="9">
        <f>IFERROR(__xludf.DUMMYFUNCTION("""COMPUTED_VALUE"""),44782.0711201041)</f>
        <v>44782.07112</v>
      </c>
      <c r="D1396" s="15">
        <f>IFERROR(__xludf.DUMMYFUNCTION("""COMPUTED_VALUE"""),1.004)</f>
        <v>1.004</v>
      </c>
      <c r="E1396" s="16">
        <f>IFERROR(__xludf.DUMMYFUNCTION("""COMPUTED_VALUE"""),66.0)</f>
        <v>66</v>
      </c>
      <c r="F1396" s="19" t="str">
        <f>IFERROR(__xludf.DUMMYFUNCTION("""COMPUTED_VALUE"""),"BLACK")</f>
        <v>BLACK</v>
      </c>
      <c r="G1396" s="20" t="str">
        <f>IFERROR(__xludf.DUMMYFUNCTION("""COMPUTED_VALUE"""),"Uncle Sams Cider (5/13/2022)")</f>
        <v>Uncle Sams Cider (5/13/2022)</v>
      </c>
      <c r="H1396" s="19"/>
    </row>
    <row r="1397">
      <c r="A1397" s="9"/>
      <c r="B1397" s="15"/>
      <c r="C1397" s="9">
        <f>IFERROR(__xludf.DUMMYFUNCTION("""COMPUTED_VALUE"""),44782.0606982291)</f>
        <v>44782.0607</v>
      </c>
      <c r="D1397" s="15">
        <f>IFERROR(__xludf.DUMMYFUNCTION("""COMPUTED_VALUE"""),1.004)</f>
        <v>1.004</v>
      </c>
      <c r="E1397" s="16">
        <f>IFERROR(__xludf.DUMMYFUNCTION("""COMPUTED_VALUE"""),66.0)</f>
        <v>66</v>
      </c>
      <c r="F1397" s="19" t="str">
        <f>IFERROR(__xludf.DUMMYFUNCTION("""COMPUTED_VALUE"""),"BLACK")</f>
        <v>BLACK</v>
      </c>
      <c r="G1397" s="20" t="str">
        <f>IFERROR(__xludf.DUMMYFUNCTION("""COMPUTED_VALUE"""),"Uncle Sams Cider (5/13/2022)")</f>
        <v>Uncle Sams Cider (5/13/2022)</v>
      </c>
      <c r="H1397" s="19"/>
    </row>
    <row r="1398">
      <c r="A1398" s="9"/>
      <c r="B1398" s="15"/>
      <c r="C1398" s="9">
        <f>IFERROR(__xludf.DUMMYFUNCTION("""COMPUTED_VALUE"""),44782.0502779398)</f>
        <v>44782.05028</v>
      </c>
      <c r="D1398" s="15">
        <f>IFERROR(__xludf.DUMMYFUNCTION("""COMPUTED_VALUE"""),1.004)</f>
        <v>1.004</v>
      </c>
      <c r="E1398" s="16">
        <f>IFERROR(__xludf.DUMMYFUNCTION("""COMPUTED_VALUE"""),66.0)</f>
        <v>66</v>
      </c>
      <c r="F1398" s="19" t="str">
        <f>IFERROR(__xludf.DUMMYFUNCTION("""COMPUTED_VALUE"""),"BLACK")</f>
        <v>BLACK</v>
      </c>
      <c r="G1398" s="20" t="str">
        <f>IFERROR(__xludf.DUMMYFUNCTION("""COMPUTED_VALUE"""),"Uncle Sams Cider (5/13/2022)")</f>
        <v>Uncle Sams Cider (5/13/2022)</v>
      </c>
      <c r="H1398" s="19"/>
    </row>
    <row r="1399">
      <c r="A1399" s="9"/>
      <c r="B1399" s="15"/>
      <c r="C1399" s="9">
        <f>IFERROR(__xludf.DUMMYFUNCTION("""COMPUTED_VALUE"""),44782.0398567245)</f>
        <v>44782.03986</v>
      </c>
      <c r="D1399" s="15">
        <f>IFERROR(__xludf.DUMMYFUNCTION("""COMPUTED_VALUE"""),1.004)</f>
        <v>1.004</v>
      </c>
      <c r="E1399" s="16">
        <f>IFERROR(__xludf.DUMMYFUNCTION("""COMPUTED_VALUE"""),66.0)</f>
        <v>66</v>
      </c>
      <c r="F1399" s="19" t="str">
        <f>IFERROR(__xludf.DUMMYFUNCTION("""COMPUTED_VALUE"""),"BLACK")</f>
        <v>BLACK</v>
      </c>
      <c r="G1399" s="20" t="str">
        <f>IFERROR(__xludf.DUMMYFUNCTION("""COMPUTED_VALUE"""),"Uncle Sams Cider (5/13/2022)")</f>
        <v>Uncle Sams Cider (5/13/2022)</v>
      </c>
      <c r="H1399" s="19"/>
    </row>
    <row r="1400">
      <c r="A1400" s="9"/>
      <c r="B1400" s="15"/>
      <c r="C1400" s="9">
        <f>IFERROR(__xludf.DUMMYFUNCTION("""COMPUTED_VALUE"""),44782.0294140162)</f>
        <v>44782.02941</v>
      </c>
      <c r="D1400" s="15">
        <f>IFERROR(__xludf.DUMMYFUNCTION("""COMPUTED_VALUE"""),1.003)</f>
        <v>1.003</v>
      </c>
      <c r="E1400" s="16">
        <f>IFERROR(__xludf.DUMMYFUNCTION("""COMPUTED_VALUE"""),66.0)</f>
        <v>66</v>
      </c>
      <c r="F1400" s="19" t="str">
        <f>IFERROR(__xludf.DUMMYFUNCTION("""COMPUTED_VALUE"""),"BLACK")</f>
        <v>BLACK</v>
      </c>
      <c r="G1400" s="20" t="str">
        <f>IFERROR(__xludf.DUMMYFUNCTION("""COMPUTED_VALUE"""),"Uncle Sams Cider (5/13/2022)")</f>
        <v>Uncle Sams Cider (5/13/2022)</v>
      </c>
      <c r="H1400" s="19"/>
    </row>
    <row r="1401">
      <c r="A1401" s="9"/>
      <c r="B1401" s="15"/>
      <c r="C1401" s="9">
        <f>IFERROR(__xludf.DUMMYFUNCTION("""COMPUTED_VALUE"""),44782.0189940162)</f>
        <v>44782.01899</v>
      </c>
      <c r="D1401" s="15">
        <f>IFERROR(__xludf.DUMMYFUNCTION("""COMPUTED_VALUE"""),1.004)</f>
        <v>1.004</v>
      </c>
      <c r="E1401" s="16">
        <f>IFERROR(__xludf.DUMMYFUNCTION("""COMPUTED_VALUE"""),66.0)</f>
        <v>66</v>
      </c>
      <c r="F1401" s="19" t="str">
        <f>IFERROR(__xludf.DUMMYFUNCTION("""COMPUTED_VALUE"""),"BLACK")</f>
        <v>BLACK</v>
      </c>
      <c r="G1401" s="20" t="str">
        <f>IFERROR(__xludf.DUMMYFUNCTION("""COMPUTED_VALUE"""),"Uncle Sams Cider (5/13/2022)")</f>
        <v>Uncle Sams Cider (5/13/2022)</v>
      </c>
      <c r="H1401" s="19"/>
    </row>
    <row r="1402">
      <c r="A1402" s="9"/>
      <c r="B1402" s="15"/>
      <c r="C1402" s="9">
        <f>IFERROR(__xludf.DUMMYFUNCTION("""COMPUTED_VALUE"""),44782.0085749305)</f>
        <v>44782.00857</v>
      </c>
      <c r="D1402" s="15">
        <f>IFERROR(__xludf.DUMMYFUNCTION("""COMPUTED_VALUE"""),1.004)</f>
        <v>1.004</v>
      </c>
      <c r="E1402" s="16">
        <f>IFERROR(__xludf.DUMMYFUNCTION("""COMPUTED_VALUE"""),66.0)</f>
        <v>66</v>
      </c>
      <c r="F1402" s="19" t="str">
        <f>IFERROR(__xludf.DUMMYFUNCTION("""COMPUTED_VALUE"""),"BLACK")</f>
        <v>BLACK</v>
      </c>
      <c r="G1402" s="20" t="str">
        <f>IFERROR(__xludf.DUMMYFUNCTION("""COMPUTED_VALUE"""),"Uncle Sams Cider (5/13/2022)")</f>
        <v>Uncle Sams Cider (5/13/2022)</v>
      </c>
      <c r="H1402" s="19"/>
    </row>
    <row r="1403">
      <c r="A1403" s="9"/>
      <c r="B1403" s="15"/>
      <c r="C1403" s="9">
        <f>IFERROR(__xludf.DUMMYFUNCTION("""COMPUTED_VALUE"""),44781.9981538888)</f>
        <v>44781.99815</v>
      </c>
      <c r="D1403" s="15">
        <f>IFERROR(__xludf.DUMMYFUNCTION("""COMPUTED_VALUE"""),1.004)</f>
        <v>1.004</v>
      </c>
      <c r="E1403" s="16">
        <f>IFERROR(__xludf.DUMMYFUNCTION("""COMPUTED_VALUE"""),66.0)</f>
        <v>66</v>
      </c>
      <c r="F1403" s="19" t="str">
        <f>IFERROR(__xludf.DUMMYFUNCTION("""COMPUTED_VALUE"""),"BLACK")</f>
        <v>BLACK</v>
      </c>
      <c r="G1403" s="20" t="str">
        <f>IFERROR(__xludf.DUMMYFUNCTION("""COMPUTED_VALUE"""),"Uncle Sams Cider (5/13/2022)")</f>
        <v>Uncle Sams Cider (5/13/2022)</v>
      </c>
      <c r="H1403" s="19"/>
    </row>
    <row r="1404">
      <c r="A1404" s="9"/>
      <c r="B1404" s="15"/>
      <c r="C1404" s="9">
        <f>IFERROR(__xludf.DUMMYFUNCTION("""COMPUTED_VALUE"""),44781.9877204976)</f>
        <v>44781.98772</v>
      </c>
      <c r="D1404" s="15">
        <f>IFERROR(__xludf.DUMMYFUNCTION("""COMPUTED_VALUE"""),1.004)</f>
        <v>1.004</v>
      </c>
      <c r="E1404" s="16">
        <f>IFERROR(__xludf.DUMMYFUNCTION("""COMPUTED_VALUE"""),66.0)</f>
        <v>66</v>
      </c>
      <c r="F1404" s="19" t="str">
        <f>IFERROR(__xludf.DUMMYFUNCTION("""COMPUTED_VALUE"""),"BLACK")</f>
        <v>BLACK</v>
      </c>
      <c r="G1404" s="20" t="str">
        <f>IFERROR(__xludf.DUMMYFUNCTION("""COMPUTED_VALUE"""),"Uncle Sams Cider (5/13/2022)")</f>
        <v>Uncle Sams Cider (5/13/2022)</v>
      </c>
      <c r="H1404" s="19"/>
    </row>
    <row r="1405">
      <c r="A1405" s="9"/>
      <c r="B1405" s="15"/>
      <c r="C1405" s="9">
        <f>IFERROR(__xludf.DUMMYFUNCTION("""COMPUTED_VALUE"""),44781.9772986458)</f>
        <v>44781.9773</v>
      </c>
      <c r="D1405" s="15">
        <f>IFERROR(__xludf.DUMMYFUNCTION("""COMPUTED_VALUE"""),1.004)</f>
        <v>1.004</v>
      </c>
      <c r="E1405" s="16">
        <f>IFERROR(__xludf.DUMMYFUNCTION("""COMPUTED_VALUE"""),66.0)</f>
        <v>66</v>
      </c>
      <c r="F1405" s="19" t="str">
        <f>IFERROR(__xludf.DUMMYFUNCTION("""COMPUTED_VALUE"""),"BLACK")</f>
        <v>BLACK</v>
      </c>
      <c r="G1405" s="20" t="str">
        <f>IFERROR(__xludf.DUMMYFUNCTION("""COMPUTED_VALUE"""),"Uncle Sams Cider (5/13/2022)")</f>
        <v>Uncle Sams Cider (5/13/2022)</v>
      </c>
      <c r="H1405" s="19"/>
    </row>
    <row r="1406">
      <c r="A1406" s="9"/>
      <c r="B1406" s="15"/>
      <c r="C1406" s="9">
        <f>IFERROR(__xludf.DUMMYFUNCTION("""COMPUTED_VALUE"""),44781.9668768518)</f>
        <v>44781.96688</v>
      </c>
      <c r="D1406" s="15">
        <f>IFERROR(__xludf.DUMMYFUNCTION("""COMPUTED_VALUE"""),1.004)</f>
        <v>1.004</v>
      </c>
      <c r="E1406" s="16">
        <f>IFERROR(__xludf.DUMMYFUNCTION("""COMPUTED_VALUE"""),66.0)</f>
        <v>66</v>
      </c>
      <c r="F1406" s="19" t="str">
        <f>IFERROR(__xludf.DUMMYFUNCTION("""COMPUTED_VALUE"""),"BLACK")</f>
        <v>BLACK</v>
      </c>
      <c r="G1406" s="20" t="str">
        <f>IFERROR(__xludf.DUMMYFUNCTION("""COMPUTED_VALUE"""),"Uncle Sams Cider (5/13/2022)")</f>
        <v>Uncle Sams Cider (5/13/2022)</v>
      </c>
      <c r="H1406" s="19"/>
    </row>
    <row r="1407">
      <c r="A1407" s="9"/>
      <c r="B1407" s="15"/>
      <c r="C1407" s="9">
        <f>IFERROR(__xludf.DUMMYFUNCTION("""COMPUTED_VALUE"""),44781.9564553935)</f>
        <v>44781.95646</v>
      </c>
      <c r="D1407" s="15">
        <f>IFERROR(__xludf.DUMMYFUNCTION("""COMPUTED_VALUE"""),1.004)</f>
        <v>1.004</v>
      </c>
      <c r="E1407" s="16">
        <f>IFERROR(__xludf.DUMMYFUNCTION("""COMPUTED_VALUE"""),66.0)</f>
        <v>66</v>
      </c>
      <c r="F1407" s="19" t="str">
        <f>IFERROR(__xludf.DUMMYFUNCTION("""COMPUTED_VALUE"""),"BLACK")</f>
        <v>BLACK</v>
      </c>
      <c r="G1407" s="20" t="str">
        <f>IFERROR(__xludf.DUMMYFUNCTION("""COMPUTED_VALUE"""),"Uncle Sams Cider (5/13/2022)")</f>
        <v>Uncle Sams Cider (5/13/2022)</v>
      </c>
      <c r="H1407" s="19"/>
    </row>
    <row r="1408">
      <c r="A1408" s="9"/>
      <c r="B1408" s="15"/>
      <c r="C1408" s="9">
        <f>IFERROR(__xludf.DUMMYFUNCTION("""COMPUTED_VALUE"""),44781.9460356828)</f>
        <v>44781.94604</v>
      </c>
      <c r="D1408" s="15">
        <f>IFERROR(__xludf.DUMMYFUNCTION("""COMPUTED_VALUE"""),1.003)</f>
        <v>1.003</v>
      </c>
      <c r="E1408" s="16">
        <f>IFERROR(__xludf.DUMMYFUNCTION("""COMPUTED_VALUE"""),66.0)</f>
        <v>66</v>
      </c>
      <c r="F1408" s="19" t="str">
        <f>IFERROR(__xludf.DUMMYFUNCTION("""COMPUTED_VALUE"""),"BLACK")</f>
        <v>BLACK</v>
      </c>
      <c r="G1408" s="20" t="str">
        <f>IFERROR(__xludf.DUMMYFUNCTION("""COMPUTED_VALUE"""),"Uncle Sams Cider (5/13/2022)")</f>
        <v>Uncle Sams Cider (5/13/2022)</v>
      </c>
      <c r="H1408" s="19"/>
    </row>
    <row r="1409">
      <c r="A1409" s="9"/>
      <c r="B1409" s="15"/>
      <c r="C1409" s="9">
        <f>IFERROR(__xludf.DUMMYFUNCTION("""COMPUTED_VALUE"""),44781.9356150578)</f>
        <v>44781.93562</v>
      </c>
      <c r="D1409" s="15">
        <f>IFERROR(__xludf.DUMMYFUNCTION("""COMPUTED_VALUE"""),1.003)</f>
        <v>1.003</v>
      </c>
      <c r="E1409" s="16">
        <f>IFERROR(__xludf.DUMMYFUNCTION("""COMPUTED_VALUE"""),66.0)</f>
        <v>66</v>
      </c>
      <c r="F1409" s="19" t="str">
        <f>IFERROR(__xludf.DUMMYFUNCTION("""COMPUTED_VALUE"""),"BLACK")</f>
        <v>BLACK</v>
      </c>
      <c r="G1409" s="20" t="str">
        <f>IFERROR(__xludf.DUMMYFUNCTION("""COMPUTED_VALUE"""),"Uncle Sams Cider (5/13/2022)")</f>
        <v>Uncle Sams Cider (5/13/2022)</v>
      </c>
      <c r="H1409" s="19"/>
    </row>
    <row r="1410">
      <c r="A1410" s="9"/>
      <c r="B1410" s="15"/>
      <c r="C1410" s="9">
        <f>IFERROR(__xludf.DUMMYFUNCTION("""COMPUTED_VALUE"""),44781.9251923148)</f>
        <v>44781.92519</v>
      </c>
      <c r="D1410" s="15">
        <f>IFERROR(__xludf.DUMMYFUNCTION("""COMPUTED_VALUE"""),1.004)</f>
        <v>1.004</v>
      </c>
      <c r="E1410" s="16">
        <f>IFERROR(__xludf.DUMMYFUNCTION("""COMPUTED_VALUE"""),66.0)</f>
        <v>66</v>
      </c>
      <c r="F1410" s="19" t="str">
        <f>IFERROR(__xludf.DUMMYFUNCTION("""COMPUTED_VALUE"""),"BLACK")</f>
        <v>BLACK</v>
      </c>
      <c r="G1410" s="20" t="str">
        <f>IFERROR(__xludf.DUMMYFUNCTION("""COMPUTED_VALUE"""),"Uncle Sams Cider (5/13/2022)")</f>
        <v>Uncle Sams Cider (5/13/2022)</v>
      </c>
      <c r="H1410" s="19"/>
    </row>
    <row r="1411">
      <c r="A1411" s="9"/>
      <c r="B1411" s="15"/>
      <c r="C1411" s="9">
        <f>IFERROR(__xludf.DUMMYFUNCTION("""COMPUTED_VALUE"""),44781.9147477314)</f>
        <v>44781.91475</v>
      </c>
      <c r="D1411" s="15">
        <f>IFERROR(__xludf.DUMMYFUNCTION("""COMPUTED_VALUE"""),1.004)</f>
        <v>1.004</v>
      </c>
      <c r="E1411" s="16">
        <f>IFERROR(__xludf.DUMMYFUNCTION("""COMPUTED_VALUE"""),66.0)</f>
        <v>66</v>
      </c>
      <c r="F1411" s="19" t="str">
        <f>IFERROR(__xludf.DUMMYFUNCTION("""COMPUTED_VALUE"""),"BLACK")</f>
        <v>BLACK</v>
      </c>
      <c r="G1411" s="20" t="str">
        <f>IFERROR(__xludf.DUMMYFUNCTION("""COMPUTED_VALUE"""),"Uncle Sams Cider (5/13/2022)")</f>
        <v>Uncle Sams Cider (5/13/2022)</v>
      </c>
      <c r="H1411" s="19"/>
    </row>
    <row r="1412">
      <c r="A1412" s="9"/>
      <c r="B1412" s="15"/>
      <c r="C1412" s="9">
        <f>IFERROR(__xludf.DUMMYFUNCTION("""COMPUTED_VALUE"""),44781.9043290856)</f>
        <v>44781.90433</v>
      </c>
      <c r="D1412" s="15">
        <f>IFERROR(__xludf.DUMMYFUNCTION("""COMPUTED_VALUE"""),1.004)</f>
        <v>1.004</v>
      </c>
      <c r="E1412" s="16">
        <f>IFERROR(__xludf.DUMMYFUNCTION("""COMPUTED_VALUE"""),66.0)</f>
        <v>66</v>
      </c>
      <c r="F1412" s="19" t="str">
        <f>IFERROR(__xludf.DUMMYFUNCTION("""COMPUTED_VALUE"""),"BLACK")</f>
        <v>BLACK</v>
      </c>
      <c r="G1412" s="20" t="str">
        <f>IFERROR(__xludf.DUMMYFUNCTION("""COMPUTED_VALUE"""),"Uncle Sams Cider (5/13/2022)")</f>
        <v>Uncle Sams Cider (5/13/2022)</v>
      </c>
      <c r="H1412" s="19"/>
    </row>
    <row r="1413">
      <c r="A1413" s="9"/>
      <c r="B1413" s="15"/>
      <c r="C1413" s="9">
        <f>IFERROR(__xludf.DUMMYFUNCTION("""COMPUTED_VALUE"""),44781.8939087615)</f>
        <v>44781.89391</v>
      </c>
      <c r="D1413" s="15">
        <f>IFERROR(__xludf.DUMMYFUNCTION("""COMPUTED_VALUE"""),1.003)</f>
        <v>1.003</v>
      </c>
      <c r="E1413" s="16">
        <f>IFERROR(__xludf.DUMMYFUNCTION("""COMPUTED_VALUE"""),66.0)</f>
        <v>66</v>
      </c>
      <c r="F1413" s="19" t="str">
        <f>IFERROR(__xludf.DUMMYFUNCTION("""COMPUTED_VALUE"""),"BLACK")</f>
        <v>BLACK</v>
      </c>
      <c r="G1413" s="20" t="str">
        <f>IFERROR(__xludf.DUMMYFUNCTION("""COMPUTED_VALUE"""),"Uncle Sams Cider (5/13/2022)")</f>
        <v>Uncle Sams Cider (5/13/2022)</v>
      </c>
      <c r="H1413" s="19"/>
    </row>
    <row r="1414">
      <c r="A1414" s="9"/>
      <c r="B1414" s="15"/>
      <c r="C1414" s="9">
        <f>IFERROR(__xludf.DUMMYFUNCTION("""COMPUTED_VALUE"""),44781.8834759953)</f>
        <v>44781.88348</v>
      </c>
      <c r="D1414" s="15">
        <f>IFERROR(__xludf.DUMMYFUNCTION("""COMPUTED_VALUE"""),1.004)</f>
        <v>1.004</v>
      </c>
      <c r="E1414" s="16">
        <f>IFERROR(__xludf.DUMMYFUNCTION("""COMPUTED_VALUE"""),67.0)</f>
        <v>67</v>
      </c>
      <c r="F1414" s="19" t="str">
        <f>IFERROR(__xludf.DUMMYFUNCTION("""COMPUTED_VALUE"""),"BLACK")</f>
        <v>BLACK</v>
      </c>
      <c r="G1414" s="20" t="str">
        <f>IFERROR(__xludf.DUMMYFUNCTION("""COMPUTED_VALUE"""),"Uncle Sams Cider (5/13/2022)")</f>
        <v>Uncle Sams Cider (5/13/2022)</v>
      </c>
      <c r="H1414" s="19"/>
    </row>
    <row r="1415">
      <c r="A1415" s="9"/>
      <c r="B1415" s="15"/>
      <c r="C1415" s="9">
        <f>IFERROR(__xludf.DUMMYFUNCTION("""COMPUTED_VALUE"""),44781.8730547685)</f>
        <v>44781.87305</v>
      </c>
      <c r="D1415" s="15">
        <f>IFERROR(__xludf.DUMMYFUNCTION("""COMPUTED_VALUE"""),1.003)</f>
        <v>1.003</v>
      </c>
      <c r="E1415" s="16">
        <f>IFERROR(__xludf.DUMMYFUNCTION("""COMPUTED_VALUE"""),68.0)</f>
        <v>68</v>
      </c>
      <c r="F1415" s="19" t="str">
        <f>IFERROR(__xludf.DUMMYFUNCTION("""COMPUTED_VALUE"""),"BLACK")</f>
        <v>BLACK</v>
      </c>
      <c r="G1415" s="20" t="str">
        <f>IFERROR(__xludf.DUMMYFUNCTION("""COMPUTED_VALUE"""),"Uncle Sams Cider (5/13/2022)")</f>
        <v>Uncle Sams Cider (5/13/2022)</v>
      </c>
      <c r="H1415" s="19"/>
    </row>
    <row r="1416">
      <c r="A1416" s="9"/>
      <c r="B1416" s="15"/>
      <c r="C1416" s="9">
        <f>IFERROR(__xludf.DUMMYFUNCTION("""COMPUTED_VALUE"""),44781.8626333449)</f>
        <v>44781.86263</v>
      </c>
      <c r="D1416" s="15">
        <f>IFERROR(__xludf.DUMMYFUNCTION("""COMPUTED_VALUE"""),1.004)</f>
        <v>1.004</v>
      </c>
      <c r="E1416" s="16">
        <f>IFERROR(__xludf.DUMMYFUNCTION("""COMPUTED_VALUE"""),69.0)</f>
        <v>69</v>
      </c>
      <c r="F1416" s="19" t="str">
        <f>IFERROR(__xludf.DUMMYFUNCTION("""COMPUTED_VALUE"""),"BLACK")</f>
        <v>BLACK</v>
      </c>
      <c r="G1416" s="20" t="str">
        <f>IFERROR(__xludf.DUMMYFUNCTION("""COMPUTED_VALUE"""),"Uncle Sams Cider (5/13/2022)")</f>
        <v>Uncle Sams Cider (5/13/2022)</v>
      </c>
      <c r="H1416" s="19"/>
    </row>
    <row r="1417">
      <c r="A1417" s="9"/>
      <c r="B1417" s="15"/>
      <c r="C1417" s="9">
        <f>IFERROR(__xludf.DUMMYFUNCTION("""COMPUTED_VALUE"""),44781.8522121296)</f>
        <v>44781.85221</v>
      </c>
      <c r="D1417" s="15">
        <f>IFERROR(__xludf.DUMMYFUNCTION("""COMPUTED_VALUE"""),1.003)</f>
        <v>1.003</v>
      </c>
      <c r="E1417" s="16">
        <f>IFERROR(__xludf.DUMMYFUNCTION("""COMPUTED_VALUE"""),69.0)</f>
        <v>69</v>
      </c>
      <c r="F1417" s="19" t="str">
        <f>IFERROR(__xludf.DUMMYFUNCTION("""COMPUTED_VALUE"""),"BLACK")</f>
        <v>BLACK</v>
      </c>
      <c r="G1417" s="20" t="str">
        <f>IFERROR(__xludf.DUMMYFUNCTION("""COMPUTED_VALUE"""),"Uncle Sams Cider (5/13/2022)")</f>
        <v>Uncle Sams Cider (5/13/2022)</v>
      </c>
      <c r="H1417" s="19"/>
    </row>
    <row r="1418">
      <c r="A1418" s="9"/>
      <c r="B1418" s="15"/>
      <c r="C1418" s="9">
        <f>IFERROR(__xludf.DUMMYFUNCTION("""COMPUTED_VALUE"""),44781.8417566087)</f>
        <v>44781.84176</v>
      </c>
      <c r="D1418" s="15">
        <f>IFERROR(__xludf.DUMMYFUNCTION("""COMPUTED_VALUE"""),1.003)</f>
        <v>1.003</v>
      </c>
      <c r="E1418" s="16">
        <f>IFERROR(__xludf.DUMMYFUNCTION("""COMPUTED_VALUE"""),70.0)</f>
        <v>70</v>
      </c>
      <c r="F1418" s="19" t="str">
        <f>IFERROR(__xludf.DUMMYFUNCTION("""COMPUTED_VALUE"""),"BLACK")</f>
        <v>BLACK</v>
      </c>
      <c r="G1418" s="20" t="str">
        <f>IFERROR(__xludf.DUMMYFUNCTION("""COMPUTED_VALUE"""),"Uncle Sams Cider (5/13/2022)")</f>
        <v>Uncle Sams Cider (5/13/2022)</v>
      </c>
      <c r="H1418" s="19"/>
    </row>
    <row r="1419">
      <c r="A1419" s="9"/>
      <c r="B1419" s="15"/>
      <c r="C1419" s="9">
        <f>IFERROR(__xludf.DUMMYFUNCTION("""COMPUTED_VALUE"""),44781.8313336226)</f>
        <v>44781.83133</v>
      </c>
      <c r="D1419" s="15">
        <f>IFERROR(__xludf.DUMMYFUNCTION("""COMPUTED_VALUE"""),1.004)</f>
        <v>1.004</v>
      </c>
      <c r="E1419" s="16">
        <f>IFERROR(__xludf.DUMMYFUNCTION("""COMPUTED_VALUE"""),70.0)</f>
        <v>70</v>
      </c>
      <c r="F1419" s="19" t="str">
        <f>IFERROR(__xludf.DUMMYFUNCTION("""COMPUTED_VALUE"""),"BLACK")</f>
        <v>BLACK</v>
      </c>
      <c r="G1419" s="20" t="str">
        <f>IFERROR(__xludf.DUMMYFUNCTION("""COMPUTED_VALUE"""),"Uncle Sams Cider (5/13/2022)")</f>
        <v>Uncle Sams Cider (5/13/2022)</v>
      </c>
      <c r="H1419" s="19"/>
    </row>
    <row r="1420">
      <c r="A1420" s="9"/>
      <c r="B1420" s="15"/>
      <c r="C1420" s="9">
        <f>IFERROR(__xludf.DUMMYFUNCTION("""COMPUTED_VALUE"""),44781.8208995138)</f>
        <v>44781.8209</v>
      </c>
      <c r="D1420" s="15">
        <f>IFERROR(__xludf.DUMMYFUNCTION("""COMPUTED_VALUE"""),1.004)</f>
        <v>1.004</v>
      </c>
      <c r="E1420" s="16">
        <f>IFERROR(__xludf.DUMMYFUNCTION("""COMPUTED_VALUE"""),70.0)</f>
        <v>70</v>
      </c>
      <c r="F1420" s="19" t="str">
        <f>IFERROR(__xludf.DUMMYFUNCTION("""COMPUTED_VALUE"""),"BLACK")</f>
        <v>BLACK</v>
      </c>
      <c r="G1420" s="20" t="str">
        <f>IFERROR(__xludf.DUMMYFUNCTION("""COMPUTED_VALUE"""),"Uncle Sams Cider (5/13/2022)")</f>
        <v>Uncle Sams Cider (5/13/2022)</v>
      </c>
      <c r="H1420" s="19"/>
    </row>
    <row r="1421">
      <c r="A1421" s="9"/>
      <c r="B1421" s="15"/>
      <c r="C1421" s="9">
        <f>IFERROR(__xludf.DUMMYFUNCTION("""COMPUTED_VALUE"""),44781.8104781018)</f>
        <v>44781.81048</v>
      </c>
      <c r="D1421" s="15">
        <f>IFERROR(__xludf.DUMMYFUNCTION("""COMPUTED_VALUE"""),1.004)</f>
        <v>1.004</v>
      </c>
      <c r="E1421" s="16">
        <f>IFERROR(__xludf.DUMMYFUNCTION("""COMPUTED_VALUE"""),70.0)</f>
        <v>70</v>
      </c>
      <c r="F1421" s="19" t="str">
        <f>IFERROR(__xludf.DUMMYFUNCTION("""COMPUTED_VALUE"""),"BLACK")</f>
        <v>BLACK</v>
      </c>
      <c r="G1421" s="20" t="str">
        <f>IFERROR(__xludf.DUMMYFUNCTION("""COMPUTED_VALUE"""),"Uncle Sams Cider (5/13/2022)")</f>
        <v>Uncle Sams Cider (5/13/2022)</v>
      </c>
      <c r="H1421" s="19"/>
    </row>
    <row r="1422">
      <c r="A1422" s="9"/>
      <c r="B1422" s="15"/>
      <c r="C1422" s="9">
        <f>IFERROR(__xludf.DUMMYFUNCTION("""COMPUTED_VALUE"""),44781.8000582754)</f>
        <v>44781.80006</v>
      </c>
      <c r="D1422" s="15">
        <f>IFERROR(__xludf.DUMMYFUNCTION("""COMPUTED_VALUE"""),1.004)</f>
        <v>1.004</v>
      </c>
      <c r="E1422" s="16">
        <f>IFERROR(__xludf.DUMMYFUNCTION("""COMPUTED_VALUE"""),70.0)</f>
        <v>70</v>
      </c>
      <c r="F1422" s="19" t="str">
        <f>IFERROR(__xludf.DUMMYFUNCTION("""COMPUTED_VALUE"""),"BLACK")</f>
        <v>BLACK</v>
      </c>
      <c r="G1422" s="20" t="str">
        <f>IFERROR(__xludf.DUMMYFUNCTION("""COMPUTED_VALUE"""),"Uncle Sams Cider (5/13/2022)")</f>
        <v>Uncle Sams Cider (5/13/2022)</v>
      </c>
      <c r="H1422" s="19"/>
    </row>
    <row r="1423">
      <c r="A1423" s="9"/>
      <c r="B1423" s="15"/>
      <c r="C1423" s="9">
        <f>IFERROR(__xludf.DUMMYFUNCTION("""COMPUTED_VALUE"""),44781.7896361226)</f>
        <v>44781.78964</v>
      </c>
      <c r="D1423" s="15">
        <f>IFERROR(__xludf.DUMMYFUNCTION("""COMPUTED_VALUE"""),1.004)</f>
        <v>1.004</v>
      </c>
      <c r="E1423" s="16">
        <f>IFERROR(__xludf.DUMMYFUNCTION("""COMPUTED_VALUE"""),70.0)</f>
        <v>70</v>
      </c>
      <c r="F1423" s="19" t="str">
        <f>IFERROR(__xludf.DUMMYFUNCTION("""COMPUTED_VALUE"""),"BLACK")</f>
        <v>BLACK</v>
      </c>
      <c r="G1423" s="20" t="str">
        <f>IFERROR(__xludf.DUMMYFUNCTION("""COMPUTED_VALUE"""),"Uncle Sams Cider (5/13/2022)")</f>
        <v>Uncle Sams Cider (5/13/2022)</v>
      </c>
      <c r="H1423" s="19"/>
    </row>
    <row r="1424">
      <c r="A1424" s="9"/>
      <c r="B1424" s="15"/>
      <c r="C1424" s="9">
        <f>IFERROR(__xludf.DUMMYFUNCTION("""COMPUTED_VALUE"""),44781.7792142592)</f>
        <v>44781.77921</v>
      </c>
      <c r="D1424" s="15">
        <f>IFERROR(__xludf.DUMMYFUNCTION("""COMPUTED_VALUE"""),1.004)</f>
        <v>1.004</v>
      </c>
      <c r="E1424" s="16">
        <f>IFERROR(__xludf.DUMMYFUNCTION("""COMPUTED_VALUE"""),70.0)</f>
        <v>70</v>
      </c>
      <c r="F1424" s="19" t="str">
        <f>IFERROR(__xludf.DUMMYFUNCTION("""COMPUTED_VALUE"""),"BLACK")</f>
        <v>BLACK</v>
      </c>
      <c r="G1424" s="20" t="str">
        <f>IFERROR(__xludf.DUMMYFUNCTION("""COMPUTED_VALUE"""),"Uncle Sams Cider (5/13/2022)")</f>
        <v>Uncle Sams Cider (5/13/2022)</v>
      </c>
      <c r="H1424" s="19"/>
    </row>
    <row r="1425">
      <c r="A1425" s="9"/>
      <c r="B1425" s="15"/>
      <c r="C1425" s="9">
        <f>IFERROR(__xludf.DUMMYFUNCTION("""COMPUTED_VALUE"""),44781.7687918287)</f>
        <v>44781.76879</v>
      </c>
      <c r="D1425" s="15">
        <f>IFERROR(__xludf.DUMMYFUNCTION("""COMPUTED_VALUE"""),1.004)</f>
        <v>1.004</v>
      </c>
      <c r="E1425" s="16">
        <f>IFERROR(__xludf.DUMMYFUNCTION("""COMPUTED_VALUE"""),70.0)</f>
        <v>70</v>
      </c>
      <c r="F1425" s="19" t="str">
        <f>IFERROR(__xludf.DUMMYFUNCTION("""COMPUTED_VALUE"""),"BLACK")</f>
        <v>BLACK</v>
      </c>
      <c r="G1425" s="20" t="str">
        <f>IFERROR(__xludf.DUMMYFUNCTION("""COMPUTED_VALUE"""),"Uncle Sams Cider (5/13/2022)")</f>
        <v>Uncle Sams Cider (5/13/2022)</v>
      </c>
      <c r="H1425" s="19"/>
    </row>
    <row r="1426">
      <c r="A1426" s="9"/>
      <c r="B1426" s="15"/>
      <c r="C1426" s="9">
        <f>IFERROR(__xludf.DUMMYFUNCTION("""COMPUTED_VALUE"""),44781.7583582986)</f>
        <v>44781.75836</v>
      </c>
      <c r="D1426" s="15">
        <f>IFERROR(__xludf.DUMMYFUNCTION("""COMPUTED_VALUE"""),1.004)</f>
        <v>1.004</v>
      </c>
      <c r="E1426" s="16">
        <f>IFERROR(__xludf.DUMMYFUNCTION("""COMPUTED_VALUE"""),70.0)</f>
        <v>70</v>
      </c>
      <c r="F1426" s="19" t="str">
        <f>IFERROR(__xludf.DUMMYFUNCTION("""COMPUTED_VALUE"""),"BLACK")</f>
        <v>BLACK</v>
      </c>
      <c r="G1426" s="20" t="str">
        <f>IFERROR(__xludf.DUMMYFUNCTION("""COMPUTED_VALUE"""),"Uncle Sams Cider (5/13/2022)")</f>
        <v>Uncle Sams Cider (5/13/2022)</v>
      </c>
      <c r="H1426" s="19"/>
    </row>
    <row r="1427">
      <c r="A1427" s="9"/>
      <c r="B1427" s="15"/>
      <c r="C1427" s="9">
        <f>IFERROR(__xludf.DUMMYFUNCTION("""COMPUTED_VALUE"""),44781.7479375578)</f>
        <v>44781.74794</v>
      </c>
      <c r="D1427" s="15">
        <f>IFERROR(__xludf.DUMMYFUNCTION("""COMPUTED_VALUE"""),1.004)</f>
        <v>1.004</v>
      </c>
      <c r="E1427" s="16">
        <f>IFERROR(__xludf.DUMMYFUNCTION("""COMPUTED_VALUE"""),70.0)</f>
        <v>70</v>
      </c>
      <c r="F1427" s="19" t="str">
        <f>IFERROR(__xludf.DUMMYFUNCTION("""COMPUTED_VALUE"""),"BLACK")</f>
        <v>BLACK</v>
      </c>
      <c r="G1427" s="20" t="str">
        <f>IFERROR(__xludf.DUMMYFUNCTION("""COMPUTED_VALUE"""),"Uncle Sams Cider (5/13/2022)")</f>
        <v>Uncle Sams Cider (5/13/2022)</v>
      </c>
      <c r="H1427" s="19"/>
    </row>
    <row r="1428">
      <c r="A1428" s="9"/>
      <c r="B1428" s="15"/>
      <c r="C1428" s="9">
        <f>IFERROR(__xludf.DUMMYFUNCTION("""COMPUTED_VALUE"""),44781.7375069328)</f>
        <v>44781.73751</v>
      </c>
      <c r="D1428" s="15">
        <f>IFERROR(__xludf.DUMMYFUNCTION("""COMPUTED_VALUE"""),1.004)</f>
        <v>1.004</v>
      </c>
      <c r="E1428" s="16">
        <f>IFERROR(__xludf.DUMMYFUNCTION("""COMPUTED_VALUE"""),70.0)</f>
        <v>70</v>
      </c>
      <c r="F1428" s="19" t="str">
        <f>IFERROR(__xludf.DUMMYFUNCTION("""COMPUTED_VALUE"""),"BLACK")</f>
        <v>BLACK</v>
      </c>
      <c r="G1428" s="20" t="str">
        <f>IFERROR(__xludf.DUMMYFUNCTION("""COMPUTED_VALUE"""),"Uncle Sams Cider (5/13/2022)")</f>
        <v>Uncle Sams Cider (5/13/2022)</v>
      </c>
      <c r="H1428" s="19"/>
    </row>
    <row r="1429">
      <c r="A1429" s="9"/>
      <c r="B1429" s="15"/>
      <c r="C1429" s="9">
        <f>IFERROR(__xludf.DUMMYFUNCTION("""COMPUTED_VALUE"""),44781.7270853588)</f>
        <v>44781.72709</v>
      </c>
      <c r="D1429" s="15">
        <f>IFERROR(__xludf.DUMMYFUNCTION("""COMPUTED_VALUE"""),1.004)</f>
        <v>1.004</v>
      </c>
      <c r="E1429" s="16">
        <f>IFERROR(__xludf.DUMMYFUNCTION("""COMPUTED_VALUE"""),70.0)</f>
        <v>70</v>
      </c>
      <c r="F1429" s="19" t="str">
        <f>IFERROR(__xludf.DUMMYFUNCTION("""COMPUTED_VALUE"""),"BLACK")</f>
        <v>BLACK</v>
      </c>
      <c r="G1429" s="20" t="str">
        <f>IFERROR(__xludf.DUMMYFUNCTION("""COMPUTED_VALUE"""),"Uncle Sams Cider (5/13/2022)")</f>
        <v>Uncle Sams Cider (5/13/2022)</v>
      </c>
      <c r="H1429" s="19"/>
    </row>
    <row r="1430">
      <c r="A1430" s="9"/>
      <c r="B1430" s="15"/>
      <c r="C1430" s="9">
        <f>IFERROR(__xludf.DUMMYFUNCTION("""COMPUTED_VALUE"""),44781.7166639004)</f>
        <v>44781.71666</v>
      </c>
      <c r="D1430" s="15">
        <f>IFERROR(__xludf.DUMMYFUNCTION("""COMPUTED_VALUE"""),1.004)</f>
        <v>1.004</v>
      </c>
      <c r="E1430" s="16">
        <f>IFERROR(__xludf.DUMMYFUNCTION("""COMPUTED_VALUE"""),70.0)</f>
        <v>70</v>
      </c>
      <c r="F1430" s="19" t="str">
        <f>IFERROR(__xludf.DUMMYFUNCTION("""COMPUTED_VALUE"""),"BLACK")</f>
        <v>BLACK</v>
      </c>
      <c r="G1430" s="20" t="str">
        <f>IFERROR(__xludf.DUMMYFUNCTION("""COMPUTED_VALUE"""),"Uncle Sams Cider (5/13/2022)")</f>
        <v>Uncle Sams Cider (5/13/2022)</v>
      </c>
      <c r="H1430" s="19"/>
    </row>
    <row r="1431">
      <c r="A1431" s="9"/>
      <c r="B1431" s="15"/>
      <c r="C1431" s="9">
        <f>IFERROR(__xludf.DUMMYFUNCTION("""COMPUTED_VALUE"""),44781.7062433449)</f>
        <v>44781.70624</v>
      </c>
      <c r="D1431" s="15">
        <f>IFERROR(__xludf.DUMMYFUNCTION("""COMPUTED_VALUE"""),1.004)</f>
        <v>1.004</v>
      </c>
      <c r="E1431" s="16">
        <f>IFERROR(__xludf.DUMMYFUNCTION("""COMPUTED_VALUE"""),70.0)</f>
        <v>70</v>
      </c>
      <c r="F1431" s="19" t="str">
        <f>IFERROR(__xludf.DUMMYFUNCTION("""COMPUTED_VALUE"""),"BLACK")</f>
        <v>BLACK</v>
      </c>
      <c r="G1431" s="20" t="str">
        <f>IFERROR(__xludf.DUMMYFUNCTION("""COMPUTED_VALUE"""),"Uncle Sams Cider (5/13/2022)")</f>
        <v>Uncle Sams Cider (5/13/2022)</v>
      </c>
      <c r="H1431" s="19"/>
    </row>
    <row r="1432">
      <c r="A1432" s="9"/>
      <c r="B1432" s="15"/>
      <c r="C1432" s="9">
        <f>IFERROR(__xludf.DUMMYFUNCTION("""COMPUTED_VALUE"""),44781.6958116782)</f>
        <v>44781.69581</v>
      </c>
      <c r="D1432" s="15">
        <f>IFERROR(__xludf.DUMMYFUNCTION("""COMPUTED_VALUE"""),1.004)</f>
        <v>1.004</v>
      </c>
      <c r="E1432" s="16">
        <f>IFERROR(__xludf.DUMMYFUNCTION("""COMPUTED_VALUE"""),70.0)</f>
        <v>70</v>
      </c>
      <c r="F1432" s="19" t="str">
        <f>IFERROR(__xludf.DUMMYFUNCTION("""COMPUTED_VALUE"""),"BLACK")</f>
        <v>BLACK</v>
      </c>
      <c r="G1432" s="20" t="str">
        <f>IFERROR(__xludf.DUMMYFUNCTION("""COMPUTED_VALUE"""),"Uncle Sams Cider (5/13/2022)")</f>
        <v>Uncle Sams Cider (5/13/2022)</v>
      </c>
      <c r="H1432" s="19"/>
    </row>
    <row r="1433">
      <c r="A1433" s="9"/>
      <c r="B1433" s="15"/>
      <c r="C1433" s="9">
        <f>IFERROR(__xludf.DUMMYFUNCTION("""COMPUTED_VALUE"""),44781.6853678935)</f>
        <v>44781.68537</v>
      </c>
      <c r="D1433" s="15">
        <f>IFERROR(__xludf.DUMMYFUNCTION("""COMPUTED_VALUE"""),1.004)</f>
        <v>1.004</v>
      </c>
      <c r="E1433" s="16">
        <f>IFERROR(__xludf.DUMMYFUNCTION("""COMPUTED_VALUE"""),70.0)</f>
        <v>70</v>
      </c>
      <c r="F1433" s="19" t="str">
        <f>IFERROR(__xludf.DUMMYFUNCTION("""COMPUTED_VALUE"""),"BLACK")</f>
        <v>BLACK</v>
      </c>
      <c r="G1433" s="20" t="str">
        <f>IFERROR(__xludf.DUMMYFUNCTION("""COMPUTED_VALUE"""),"Uncle Sams Cider (5/13/2022)")</f>
        <v>Uncle Sams Cider (5/13/2022)</v>
      </c>
      <c r="H1433" s="19"/>
    </row>
    <row r="1434">
      <c r="A1434" s="9"/>
      <c r="B1434" s="15"/>
      <c r="C1434" s="9">
        <f>IFERROR(__xludf.DUMMYFUNCTION("""COMPUTED_VALUE"""),44781.6749484259)</f>
        <v>44781.67495</v>
      </c>
      <c r="D1434" s="15">
        <f>IFERROR(__xludf.DUMMYFUNCTION("""COMPUTED_VALUE"""),1.004)</f>
        <v>1.004</v>
      </c>
      <c r="E1434" s="16">
        <f>IFERROR(__xludf.DUMMYFUNCTION("""COMPUTED_VALUE"""),70.0)</f>
        <v>70</v>
      </c>
      <c r="F1434" s="19" t="str">
        <f>IFERROR(__xludf.DUMMYFUNCTION("""COMPUTED_VALUE"""),"BLACK")</f>
        <v>BLACK</v>
      </c>
      <c r="G1434" s="20" t="str">
        <f>IFERROR(__xludf.DUMMYFUNCTION("""COMPUTED_VALUE"""),"Uncle Sams Cider (5/13/2022)")</f>
        <v>Uncle Sams Cider (5/13/2022)</v>
      </c>
      <c r="H1434" s="19"/>
    </row>
    <row r="1435">
      <c r="A1435" s="9"/>
      <c r="B1435" s="15"/>
      <c r="C1435" s="9">
        <f>IFERROR(__xludf.DUMMYFUNCTION("""COMPUTED_VALUE"""),44781.6645168171)</f>
        <v>44781.66452</v>
      </c>
      <c r="D1435" s="15">
        <f>IFERROR(__xludf.DUMMYFUNCTION("""COMPUTED_VALUE"""),1.004)</f>
        <v>1.004</v>
      </c>
      <c r="E1435" s="16">
        <f>IFERROR(__xludf.DUMMYFUNCTION("""COMPUTED_VALUE"""),70.0)</f>
        <v>70</v>
      </c>
      <c r="F1435" s="19" t="str">
        <f>IFERROR(__xludf.DUMMYFUNCTION("""COMPUTED_VALUE"""),"BLACK")</f>
        <v>BLACK</v>
      </c>
      <c r="G1435" s="20" t="str">
        <f>IFERROR(__xludf.DUMMYFUNCTION("""COMPUTED_VALUE"""),"Uncle Sams Cider (5/13/2022)")</f>
        <v>Uncle Sams Cider (5/13/2022)</v>
      </c>
      <c r="H1435" s="19"/>
    </row>
    <row r="1436">
      <c r="A1436" s="9"/>
      <c r="B1436" s="15"/>
      <c r="C1436" s="9">
        <f>IFERROR(__xludf.DUMMYFUNCTION("""COMPUTED_VALUE"""),44781.6540944213)</f>
        <v>44781.65409</v>
      </c>
      <c r="D1436" s="15">
        <f>IFERROR(__xludf.DUMMYFUNCTION("""COMPUTED_VALUE"""),1.004)</f>
        <v>1.004</v>
      </c>
      <c r="E1436" s="16">
        <f>IFERROR(__xludf.DUMMYFUNCTION("""COMPUTED_VALUE"""),70.0)</f>
        <v>70</v>
      </c>
      <c r="F1436" s="19" t="str">
        <f>IFERROR(__xludf.DUMMYFUNCTION("""COMPUTED_VALUE"""),"BLACK")</f>
        <v>BLACK</v>
      </c>
      <c r="G1436" s="20" t="str">
        <f>IFERROR(__xludf.DUMMYFUNCTION("""COMPUTED_VALUE"""),"Uncle Sams Cider (5/13/2022)")</f>
        <v>Uncle Sams Cider (5/13/2022)</v>
      </c>
      <c r="H1436" s="19"/>
    </row>
    <row r="1437">
      <c r="A1437" s="9"/>
      <c r="B1437" s="15"/>
      <c r="C1437" s="9">
        <f>IFERROR(__xludf.DUMMYFUNCTION("""COMPUTED_VALUE"""),44781.6436618402)</f>
        <v>44781.64366</v>
      </c>
      <c r="D1437" s="15">
        <f>IFERROR(__xludf.DUMMYFUNCTION("""COMPUTED_VALUE"""),1.004)</f>
        <v>1.004</v>
      </c>
      <c r="E1437" s="16">
        <f>IFERROR(__xludf.DUMMYFUNCTION("""COMPUTED_VALUE"""),70.0)</f>
        <v>70</v>
      </c>
      <c r="F1437" s="19" t="str">
        <f>IFERROR(__xludf.DUMMYFUNCTION("""COMPUTED_VALUE"""),"BLACK")</f>
        <v>BLACK</v>
      </c>
      <c r="G1437" s="20" t="str">
        <f>IFERROR(__xludf.DUMMYFUNCTION("""COMPUTED_VALUE"""),"Uncle Sams Cider (5/13/2022)")</f>
        <v>Uncle Sams Cider (5/13/2022)</v>
      </c>
      <c r="H1437" s="19"/>
    </row>
    <row r="1438">
      <c r="A1438" s="9"/>
      <c r="B1438" s="15"/>
      <c r="C1438" s="9">
        <f>IFERROR(__xludf.DUMMYFUNCTION("""COMPUTED_VALUE"""),44781.6332302546)</f>
        <v>44781.63323</v>
      </c>
      <c r="D1438" s="15">
        <f>IFERROR(__xludf.DUMMYFUNCTION("""COMPUTED_VALUE"""),1.004)</f>
        <v>1.004</v>
      </c>
      <c r="E1438" s="16">
        <f>IFERROR(__xludf.DUMMYFUNCTION("""COMPUTED_VALUE"""),70.0)</f>
        <v>70</v>
      </c>
      <c r="F1438" s="19" t="str">
        <f>IFERROR(__xludf.DUMMYFUNCTION("""COMPUTED_VALUE"""),"BLACK")</f>
        <v>BLACK</v>
      </c>
      <c r="G1438" s="20" t="str">
        <f>IFERROR(__xludf.DUMMYFUNCTION("""COMPUTED_VALUE"""),"Uncle Sams Cider (5/13/2022)")</f>
        <v>Uncle Sams Cider (5/13/2022)</v>
      </c>
      <c r="H1438" s="19"/>
    </row>
    <row r="1439">
      <c r="A1439" s="9"/>
      <c r="B1439" s="15"/>
      <c r="C1439" s="9">
        <f>IFERROR(__xludf.DUMMYFUNCTION("""COMPUTED_VALUE"""),44781.6228075347)</f>
        <v>44781.62281</v>
      </c>
      <c r="D1439" s="15">
        <f>IFERROR(__xludf.DUMMYFUNCTION("""COMPUTED_VALUE"""),1.003)</f>
        <v>1.003</v>
      </c>
      <c r="E1439" s="16">
        <f>IFERROR(__xludf.DUMMYFUNCTION("""COMPUTED_VALUE"""),70.0)</f>
        <v>70</v>
      </c>
      <c r="F1439" s="19" t="str">
        <f>IFERROR(__xludf.DUMMYFUNCTION("""COMPUTED_VALUE"""),"BLACK")</f>
        <v>BLACK</v>
      </c>
      <c r="G1439" s="20" t="str">
        <f>IFERROR(__xludf.DUMMYFUNCTION("""COMPUTED_VALUE"""),"Uncle Sams Cider (5/13/2022)")</f>
        <v>Uncle Sams Cider (5/13/2022)</v>
      </c>
      <c r="H1439" s="19"/>
    </row>
    <row r="1440">
      <c r="A1440" s="9"/>
      <c r="B1440" s="15"/>
      <c r="C1440" s="9">
        <f>IFERROR(__xludf.DUMMYFUNCTION("""COMPUTED_VALUE"""),44781.6123853588)</f>
        <v>44781.61239</v>
      </c>
      <c r="D1440" s="15">
        <f>IFERROR(__xludf.DUMMYFUNCTION("""COMPUTED_VALUE"""),1.004)</f>
        <v>1.004</v>
      </c>
      <c r="E1440" s="16">
        <f>IFERROR(__xludf.DUMMYFUNCTION("""COMPUTED_VALUE"""),70.0)</f>
        <v>70</v>
      </c>
      <c r="F1440" s="19" t="str">
        <f>IFERROR(__xludf.DUMMYFUNCTION("""COMPUTED_VALUE"""),"BLACK")</f>
        <v>BLACK</v>
      </c>
      <c r="G1440" s="20" t="str">
        <f>IFERROR(__xludf.DUMMYFUNCTION("""COMPUTED_VALUE"""),"Uncle Sams Cider (5/13/2022)")</f>
        <v>Uncle Sams Cider (5/13/2022)</v>
      </c>
      <c r="H1440" s="19"/>
    </row>
    <row r="1441">
      <c r="A1441" s="9"/>
      <c r="B1441" s="15"/>
      <c r="C1441" s="9">
        <f>IFERROR(__xludf.DUMMYFUNCTION("""COMPUTED_VALUE"""),44781.6019639236)</f>
        <v>44781.60196</v>
      </c>
      <c r="D1441" s="15">
        <f>IFERROR(__xludf.DUMMYFUNCTION("""COMPUTED_VALUE"""),1.004)</f>
        <v>1.004</v>
      </c>
      <c r="E1441" s="16">
        <f>IFERROR(__xludf.DUMMYFUNCTION("""COMPUTED_VALUE"""),70.0)</f>
        <v>70</v>
      </c>
      <c r="F1441" s="19" t="str">
        <f>IFERROR(__xludf.DUMMYFUNCTION("""COMPUTED_VALUE"""),"BLACK")</f>
        <v>BLACK</v>
      </c>
      <c r="G1441" s="20" t="str">
        <f>IFERROR(__xludf.DUMMYFUNCTION("""COMPUTED_VALUE"""),"Uncle Sams Cider (5/13/2022)")</f>
        <v>Uncle Sams Cider (5/13/2022)</v>
      </c>
      <c r="H1441" s="19"/>
    </row>
    <row r="1442">
      <c r="A1442" s="9"/>
      <c r="B1442" s="15"/>
      <c r="C1442" s="9">
        <f>IFERROR(__xludf.DUMMYFUNCTION("""COMPUTED_VALUE"""),44781.591544537)</f>
        <v>44781.59154</v>
      </c>
      <c r="D1442" s="15">
        <f>IFERROR(__xludf.DUMMYFUNCTION("""COMPUTED_VALUE"""),1.004)</f>
        <v>1.004</v>
      </c>
      <c r="E1442" s="16">
        <f>IFERROR(__xludf.DUMMYFUNCTION("""COMPUTED_VALUE"""),70.0)</f>
        <v>70</v>
      </c>
      <c r="F1442" s="19" t="str">
        <f>IFERROR(__xludf.DUMMYFUNCTION("""COMPUTED_VALUE"""),"BLACK")</f>
        <v>BLACK</v>
      </c>
      <c r="G1442" s="20" t="str">
        <f>IFERROR(__xludf.DUMMYFUNCTION("""COMPUTED_VALUE"""),"Uncle Sams Cider (5/13/2022)")</f>
        <v>Uncle Sams Cider (5/13/2022)</v>
      </c>
      <c r="H1442" s="19"/>
    </row>
    <row r="1443">
      <c r="A1443" s="9"/>
      <c r="B1443" s="15"/>
      <c r="C1443" s="9">
        <f>IFERROR(__xludf.DUMMYFUNCTION("""COMPUTED_VALUE"""),44781.5811122569)</f>
        <v>44781.58111</v>
      </c>
      <c r="D1443" s="15">
        <f>IFERROR(__xludf.DUMMYFUNCTION("""COMPUTED_VALUE"""),1.004)</f>
        <v>1.004</v>
      </c>
      <c r="E1443" s="16">
        <f>IFERROR(__xludf.DUMMYFUNCTION("""COMPUTED_VALUE"""),70.0)</f>
        <v>70</v>
      </c>
      <c r="F1443" s="19" t="str">
        <f>IFERROR(__xludf.DUMMYFUNCTION("""COMPUTED_VALUE"""),"BLACK")</f>
        <v>BLACK</v>
      </c>
      <c r="G1443" s="20" t="str">
        <f>IFERROR(__xludf.DUMMYFUNCTION("""COMPUTED_VALUE"""),"Uncle Sams Cider (5/13/2022)")</f>
        <v>Uncle Sams Cider (5/13/2022)</v>
      </c>
      <c r="H1443" s="19"/>
    </row>
    <row r="1444">
      <c r="A1444" s="9"/>
      <c r="B1444" s="15"/>
      <c r="C1444" s="9">
        <f>IFERROR(__xludf.DUMMYFUNCTION("""COMPUTED_VALUE"""),44781.5706553703)</f>
        <v>44781.57066</v>
      </c>
      <c r="D1444" s="15">
        <f>IFERROR(__xludf.DUMMYFUNCTION("""COMPUTED_VALUE"""),1.004)</f>
        <v>1.004</v>
      </c>
      <c r="E1444" s="16">
        <f>IFERROR(__xludf.DUMMYFUNCTION("""COMPUTED_VALUE"""),70.0)</f>
        <v>70</v>
      </c>
      <c r="F1444" s="19" t="str">
        <f>IFERROR(__xludf.DUMMYFUNCTION("""COMPUTED_VALUE"""),"BLACK")</f>
        <v>BLACK</v>
      </c>
      <c r="G1444" s="20" t="str">
        <f>IFERROR(__xludf.DUMMYFUNCTION("""COMPUTED_VALUE"""),"Uncle Sams Cider (5/13/2022)")</f>
        <v>Uncle Sams Cider (5/13/2022)</v>
      </c>
      <c r="H1444" s="19"/>
    </row>
    <row r="1445">
      <c r="A1445" s="9"/>
      <c r="B1445" s="15"/>
      <c r="C1445" s="9">
        <f>IFERROR(__xludf.DUMMYFUNCTION("""COMPUTED_VALUE"""),44781.5602342129)</f>
        <v>44781.56023</v>
      </c>
      <c r="D1445" s="15">
        <f>IFERROR(__xludf.DUMMYFUNCTION("""COMPUTED_VALUE"""),1.004)</f>
        <v>1.004</v>
      </c>
      <c r="E1445" s="16">
        <f>IFERROR(__xludf.DUMMYFUNCTION("""COMPUTED_VALUE"""),70.0)</f>
        <v>70</v>
      </c>
      <c r="F1445" s="19" t="str">
        <f>IFERROR(__xludf.DUMMYFUNCTION("""COMPUTED_VALUE"""),"BLACK")</f>
        <v>BLACK</v>
      </c>
      <c r="G1445" s="20" t="str">
        <f>IFERROR(__xludf.DUMMYFUNCTION("""COMPUTED_VALUE"""),"Uncle Sams Cider (5/13/2022)")</f>
        <v>Uncle Sams Cider (5/13/2022)</v>
      </c>
      <c r="H1445" s="19"/>
    </row>
    <row r="1446">
      <c r="A1446" s="9"/>
      <c r="B1446" s="15"/>
      <c r="C1446" s="9">
        <f>IFERROR(__xludf.DUMMYFUNCTION("""COMPUTED_VALUE"""),44781.5497908217)</f>
        <v>44781.54979</v>
      </c>
      <c r="D1446" s="15">
        <f>IFERROR(__xludf.DUMMYFUNCTION("""COMPUTED_VALUE"""),1.004)</f>
        <v>1.004</v>
      </c>
      <c r="E1446" s="16">
        <f>IFERROR(__xludf.DUMMYFUNCTION("""COMPUTED_VALUE"""),70.0)</f>
        <v>70</v>
      </c>
      <c r="F1446" s="19" t="str">
        <f>IFERROR(__xludf.DUMMYFUNCTION("""COMPUTED_VALUE"""),"BLACK")</f>
        <v>BLACK</v>
      </c>
      <c r="G1446" s="20" t="str">
        <f>IFERROR(__xludf.DUMMYFUNCTION("""COMPUTED_VALUE"""),"Uncle Sams Cider (5/13/2022)")</f>
        <v>Uncle Sams Cider (5/13/2022)</v>
      </c>
      <c r="H1446" s="19"/>
    </row>
    <row r="1447">
      <c r="A1447" s="9"/>
      <c r="B1447" s="15"/>
      <c r="C1447" s="9">
        <f>IFERROR(__xludf.DUMMYFUNCTION("""COMPUTED_VALUE"""),44781.5393705092)</f>
        <v>44781.53937</v>
      </c>
      <c r="D1447" s="15">
        <f>IFERROR(__xludf.DUMMYFUNCTION("""COMPUTED_VALUE"""),1.004)</f>
        <v>1.004</v>
      </c>
      <c r="E1447" s="16">
        <f>IFERROR(__xludf.DUMMYFUNCTION("""COMPUTED_VALUE"""),70.0)</f>
        <v>70</v>
      </c>
      <c r="F1447" s="19" t="str">
        <f>IFERROR(__xludf.DUMMYFUNCTION("""COMPUTED_VALUE"""),"BLACK")</f>
        <v>BLACK</v>
      </c>
      <c r="G1447" s="20" t="str">
        <f>IFERROR(__xludf.DUMMYFUNCTION("""COMPUTED_VALUE"""),"Uncle Sams Cider (5/13/2022)")</f>
        <v>Uncle Sams Cider (5/13/2022)</v>
      </c>
      <c r="H1447" s="19"/>
    </row>
    <row r="1448">
      <c r="A1448" s="9"/>
      <c r="B1448" s="15"/>
      <c r="C1448" s="9">
        <f>IFERROR(__xludf.DUMMYFUNCTION("""COMPUTED_VALUE"""),44781.5289502083)</f>
        <v>44781.52895</v>
      </c>
      <c r="D1448" s="15">
        <f>IFERROR(__xludf.DUMMYFUNCTION("""COMPUTED_VALUE"""),1.004)</f>
        <v>1.004</v>
      </c>
      <c r="E1448" s="16">
        <f>IFERROR(__xludf.DUMMYFUNCTION("""COMPUTED_VALUE"""),70.0)</f>
        <v>70</v>
      </c>
      <c r="F1448" s="19" t="str">
        <f>IFERROR(__xludf.DUMMYFUNCTION("""COMPUTED_VALUE"""),"BLACK")</f>
        <v>BLACK</v>
      </c>
      <c r="G1448" s="20" t="str">
        <f>IFERROR(__xludf.DUMMYFUNCTION("""COMPUTED_VALUE"""),"Uncle Sams Cider (5/13/2022)")</f>
        <v>Uncle Sams Cider (5/13/2022)</v>
      </c>
      <c r="H1448" s="19"/>
    </row>
    <row r="1449">
      <c r="A1449" s="9"/>
      <c r="B1449" s="15"/>
      <c r="C1449" s="9">
        <f>IFERROR(__xludf.DUMMYFUNCTION("""COMPUTED_VALUE"""),44781.5185161805)</f>
        <v>44781.51852</v>
      </c>
      <c r="D1449" s="15">
        <f>IFERROR(__xludf.DUMMYFUNCTION("""COMPUTED_VALUE"""),1.004)</f>
        <v>1.004</v>
      </c>
      <c r="E1449" s="16">
        <f>IFERROR(__xludf.DUMMYFUNCTION("""COMPUTED_VALUE"""),70.0)</f>
        <v>70</v>
      </c>
      <c r="F1449" s="19" t="str">
        <f>IFERROR(__xludf.DUMMYFUNCTION("""COMPUTED_VALUE"""),"BLACK")</f>
        <v>BLACK</v>
      </c>
      <c r="G1449" s="20" t="str">
        <f>IFERROR(__xludf.DUMMYFUNCTION("""COMPUTED_VALUE"""),"Uncle Sams Cider (5/13/2022)")</f>
        <v>Uncle Sams Cider (5/13/2022)</v>
      </c>
      <c r="H1449" s="19"/>
    </row>
    <row r="1450">
      <c r="A1450" s="9"/>
      <c r="B1450" s="15"/>
      <c r="C1450" s="9">
        <f>IFERROR(__xludf.DUMMYFUNCTION("""COMPUTED_VALUE"""),44781.5080960763)</f>
        <v>44781.5081</v>
      </c>
      <c r="D1450" s="15">
        <f>IFERROR(__xludf.DUMMYFUNCTION("""COMPUTED_VALUE"""),1.004)</f>
        <v>1.004</v>
      </c>
      <c r="E1450" s="16">
        <f>IFERROR(__xludf.DUMMYFUNCTION("""COMPUTED_VALUE"""),70.0)</f>
        <v>70</v>
      </c>
      <c r="F1450" s="19" t="str">
        <f>IFERROR(__xludf.DUMMYFUNCTION("""COMPUTED_VALUE"""),"BLACK")</f>
        <v>BLACK</v>
      </c>
      <c r="G1450" s="20" t="str">
        <f>IFERROR(__xludf.DUMMYFUNCTION("""COMPUTED_VALUE"""),"Uncle Sams Cider (5/13/2022)")</f>
        <v>Uncle Sams Cider (5/13/2022)</v>
      </c>
      <c r="H1450" s="19"/>
    </row>
    <row r="1451">
      <c r="A1451" s="9"/>
      <c r="B1451" s="15"/>
      <c r="C1451" s="9">
        <f>IFERROR(__xludf.DUMMYFUNCTION("""COMPUTED_VALUE"""),44781.4976754513)</f>
        <v>44781.49768</v>
      </c>
      <c r="D1451" s="15">
        <f>IFERROR(__xludf.DUMMYFUNCTION("""COMPUTED_VALUE"""),1.004)</f>
        <v>1.004</v>
      </c>
      <c r="E1451" s="16">
        <f>IFERROR(__xludf.DUMMYFUNCTION("""COMPUTED_VALUE"""),70.0)</f>
        <v>70</v>
      </c>
      <c r="F1451" s="19" t="str">
        <f>IFERROR(__xludf.DUMMYFUNCTION("""COMPUTED_VALUE"""),"BLACK")</f>
        <v>BLACK</v>
      </c>
      <c r="G1451" s="20" t="str">
        <f>IFERROR(__xludf.DUMMYFUNCTION("""COMPUTED_VALUE"""),"Uncle Sams Cider (5/13/2022)")</f>
        <v>Uncle Sams Cider (5/13/2022)</v>
      </c>
      <c r="H1451" s="19"/>
    </row>
    <row r="1452">
      <c r="A1452" s="9"/>
      <c r="B1452" s="15"/>
      <c r="C1452" s="9">
        <f>IFERROR(__xludf.DUMMYFUNCTION("""COMPUTED_VALUE"""),44781.4872420949)</f>
        <v>44781.48724</v>
      </c>
      <c r="D1452" s="15">
        <f>IFERROR(__xludf.DUMMYFUNCTION("""COMPUTED_VALUE"""),1.004)</f>
        <v>1.004</v>
      </c>
      <c r="E1452" s="16">
        <f>IFERROR(__xludf.DUMMYFUNCTION("""COMPUTED_VALUE"""),70.0)</f>
        <v>70</v>
      </c>
      <c r="F1452" s="19" t="str">
        <f>IFERROR(__xludf.DUMMYFUNCTION("""COMPUTED_VALUE"""),"BLACK")</f>
        <v>BLACK</v>
      </c>
      <c r="G1452" s="20" t="str">
        <f>IFERROR(__xludf.DUMMYFUNCTION("""COMPUTED_VALUE"""),"Uncle Sams Cider (5/13/2022)")</f>
        <v>Uncle Sams Cider (5/13/2022)</v>
      </c>
      <c r="H1452" s="19"/>
    </row>
    <row r="1453">
      <c r="A1453" s="9"/>
      <c r="B1453" s="15"/>
      <c r="C1453" s="9">
        <f>IFERROR(__xludf.DUMMYFUNCTION("""COMPUTED_VALUE"""),44781.4768086342)</f>
        <v>44781.47681</v>
      </c>
      <c r="D1453" s="15">
        <f>IFERROR(__xludf.DUMMYFUNCTION("""COMPUTED_VALUE"""),1.004)</f>
        <v>1.004</v>
      </c>
      <c r="E1453" s="16">
        <f>IFERROR(__xludf.DUMMYFUNCTION("""COMPUTED_VALUE"""),70.0)</f>
        <v>70</v>
      </c>
      <c r="F1453" s="19" t="str">
        <f>IFERROR(__xludf.DUMMYFUNCTION("""COMPUTED_VALUE"""),"BLACK")</f>
        <v>BLACK</v>
      </c>
      <c r="G1453" s="20" t="str">
        <f>IFERROR(__xludf.DUMMYFUNCTION("""COMPUTED_VALUE"""),"Uncle Sams Cider (5/13/2022)")</f>
        <v>Uncle Sams Cider (5/13/2022)</v>
      </c>
      <c r="H1453" s="19"/>
    </row>
    <row r="1454">
      <c r="A1454" s="9"/>
      <c r="B1454" s="15"/>
      <c r="C1454" s="9">
        <f>IFERROR(__xludf.DUMMYFUNCTION("""COMPUTED_VALUE"""),44781.4663870601)</f>
        <v>44781.46639</v>
      </c>
      <c r="D1454" s="15">
        <f>IFERROR(__xludf.DUMMYFUNCTION("""COMPUTED_VALUE"""),1.004)</f>
        <v>1.004</v>
      </c>
      <c r="E1454" s="16">
        <f>IFERROR(__xludf.DUMMYFUNCTION("""COMPUTED_VALUE"""),70.0)</f>
        <v>70</v>
      </c>
      <c r="F1454" s="19" t="str">
        <f>IFERROR(__xludf.DUMMYFUNCTION("""COMPUTED_VALUE"""),"BLACK")</f>
        <v>BLACK</v>
      </c>
      <c r="G1454" s="20" t="str">
        <f>IFERROR(__xludf.DUMMYFUNCTION("""COMPUTED_VALUE"""),"Uncle Sams Cider (5/13/2022)")</f>
        <v>Uncle Sams Cider (5/13/2022)</v>
      </c>
      <c r="H1454" s="19"/>
    </row>
    <row r="1455">
      <c r="A1455" s="9"/>
      <c r="B1455" s="15"/>
      <c r="C1455" s="9">
        <f>IFERROR(__xludf.DUMMYFUNCTION("""COMPUTED_VALUE"""),44781.4559668402)</f>
        <v>44781.45597</v>
      </c>
      <c r="D1455" s="15">
        <f>IFERROR(__xludf.DUMMYFUNCTION("""COMPUTED_VALUE"""),1.004)</f>
        <v>1.004</v>
      </c>
      <c r="E1455" s="16">
        <f>IFERROR(__xludf.DUMMYFUNCTION("""COMPUTED_VALUE"""),70.0)</f>
        <v>70</v>
      </c>
      <c r="F1455" s="19" t="str">
        <f>IFERROR(__xludf.DUMMYFUNCTION("""COMPUTED_VALUE"""),"BLACK")</f>
        <v>BLACK</v>
      </c>
      <c r="G1455" s="20" t="str">
        <f>IFERROR(__xludf.DUMMYFUNCTION("""COMPUTED_VALUE"""),"Uncle Sams Cider (5/13/2022)")</f>
        <v>Uncle Sams Cider (5/13/2022)</v>
      </c>
      <c r="H1455" s="19"/>
    </row>
    <row r="1456">
      <c r="A1456" s="9"/>
      <c r="B1456" s="15"/>
      <c r="C1456" s="9">
        <f>IFERROR(__xludf.DUMMYFUNCTION("""COMPUTED_VALUE"""),44781.4455460879)</f>
        <v>44781.44555</v>
      </c>
      <c r="D1456" s="15">
        <f>IFERROR(__xludf.DUMMYFUNCTION("""COMPUTED_VALUE"""),1.004)</f>
        <v>1.004</v>
      </c>
      <c r="E1456" s="16">
        <f>IFERROR(__xludf.DUMMYFUNCTION("""COMPUTED_VALUE"""),70.0)</f>
        <v>70</v>
      </c>
      <c r="F1456" s="19" t="str">
        <f>IFERROR(__xludf.DUMMYFUNCTION("""COMPUTED_VALUE"""),"BLACK")</f>
        <v>BLACK</v>
      </c>
      <c r="G1456" s="20" t="str">
        <f>IFERROR(__xludf.DUMMYFUNCTION("""COMPUTED_VALUE"""),"Uncle Sams Cider (5/13/2022)")</f>
        <v>Uncle Sams Cider (5/13/2022)</v>
      </c>
      <c r="H1456" s="19"/>
    </row>
    <row r="1457">
      <c r="A1457" s="9"/>
      <c r="B1457" s="15"/>
      <c r="C1457" s="9">
        <f>IFERROR(__xludf.DUMMYFUNCTION("""COMPUTED_VALUE"""),44781.4351251041)</f>
        <v>44781.43513</v>
      </c>
      <c r="D1457" s="15">
        <f>IFERROR(__xludf.DUMMYFUNCTION("""COMPUTED_VALUE"""),1.004)</f>
        <v>1.004</v>
      </c>
      <c r="E1457" s="16">
        <f>IFERROR(__xludf.DUMMYFUNCTION("""COMPUTED_VALUE"""),70.0)</f>
        <v>70</v>
      </c>
      <c r="F1457" s="19" t="str">
        <f>IFERROR(__xludf.DUMMYFUNCTION("""COMPUTED_VALUE"""),"BLACK")</f>
        <v>BLACK</v>
      </c>
      <c r="G1457" s="20" t="str">
        <f>IFERROR(__xludf.DUMMYFUNCTION("""COMPUTED_VALUE"""),"Uncle Sams Cider (5/13/2022)")</f>
        <v>Uncle Sams Cider (5/13/2022)</v>
      </c>
      <c r="H1457" s="19"/>
    </row>
    <row r="1458">
      <c r="A1458" s="9"/>
      <c r="B1458" s="15"/>
      <c r="C1458" s="9">
        <f>IFERROR(__xludf.DUMMYFUNCTION("""COMPUTED_VALUE"""),44781.424704456)</f>
        <v>44781.4247</v>
      </c>
      <c r="D1458" s="15">
        <f>IFERROR(__xludf.DUMMYFUNCTION("""COMPUTED_VALUE"""),1.004)</f>
        <v>1.004</v>
      </c>
      <c r="E1458" s="16">
        <f>IFERROR(__xludf.DUMMYFUNCTION("""COMPUTED_VALUE"""),70.0)</f>
        <v>70</v>
      </c>
      <c r="F1458" s="19" t="str">
        <f>IFERROR(__xludf.DUMMYFUNCTION("""COMPUTED_VALUE"""),"BLACK")</f>
        <v>BLACK</v>
      </c>
      <c r="G1458" s="20" t="str">
        <f>IFERROR(__xludf.DUMMYFUNCTION("""COMPUTED_VALUE"""),"Uncle Sams Cider (5/13/2022)")</f>
        <v>Uncle Sams Cider (5/13/2022)</v>
      </c>
      <c r="H1458" s="19"/>
    </row>
    <row r="1459">
      <c r="A1459" s="9"/>
      <c r="B1459" s="15"/>
      <c r="C1459" s="9">
        <f>IFERROR(__xludf.DUMMYFUNCTION("""COMPUTED_VALUE"""),44781.414283993)</f>
        <v>44781.41428</v>
      </c>
      <c r="D1459" s="15">
        <f>IFERROR(__xludf.DUMMYFUNCTION("""COMPUTED_VALUE"""),1.004)</f>
        <v>1.004</v>
      </c>
      <c r="E1459" s="16">
        <f>IFERROR(__xludf.DUMMYFUNCTION("""COMPUTED_VALUE"""),70.0)</f>
        <v>70</v>
      </c>
      <c r="F1459" s="19" t="str">
        <f>IFERROR(__xludf.DUMMYFUNCTION("""COMPUTED_VALUE"""),"BLACK")</f>
        <v>BLACK</v>
      </c>
      <c r="G1459" s="20" t="str">
        <f>IFERROR(__xludf.DUMMYFUNCTION("""COMPUTED_VALUE"""),"Uncle Sams Cider (5/13/2022)")</f>
        <v>Uncle Sams Cider (5/13/2022)</v>
      </c>
      <c r="H1459" s="19"/>
    </row>
    <row r="1460">
      <c r="A1460" s="9"/>
      <c r="B1460" s="15"/>
      <c r="C1460" s="9">
        <f>IFERROR(__xludf.DUMMYFUNCTION("""COMPUTED_VALUE"""),44781.4038272338)</f>
        <v>44781.40383</v>
      </c>
      <c r="D1460" s="15">
        <f>IFERROR(__xludf.DUMMYFUNCTION("""COMPUTED_VALUE"""),1.004)</f>
        <v>1.004</v>
      </c>
      <c r="E1460" s="16">
        <f>IFERROR(__xludf.DUMMYFUNCTION("""COMPUTED_VALUE"""),70.0)</f>
        <v>70</v>
      </c>
      <c r="F1460" s="19" t="str">
        <f>IFERROR(__xludf.DUMMYFUNCTION("""COMPUTED_VALUE"""),"BLACK")</f>
        <v>BLACK</v>
      </c>
      <c r="G1460" s="20" t="str">
        <f>IFERROR(__xludf.DUMMYFUNCTION("""COMPUTED_VALUE"""),"Uncle Sams Cider (5/13/2022)")</f>
        <v>Uncle Sams Cider (5/13/2022)</v>
      </c>
      <c r="H1460" s="19"/>
    </row>
    <row r="1461">
      <c r="A1461" s="9"/>
      <c r="B1461" s="15"/>
      <c r="C1461" s="9">
        <f>IFERROR(__xludf.DUMMYFUNCTION("""COMPUTED_VALUE"""),44781.3934061805)</f>
        <v>44781.39341</v>
      </c>
      <c r="D1461" s="15">
        <f>IFERROR(__xludf.DUMMYFUNCTION("""COMPUTED_VALUE"""),1.004)</f>
        <v>1.004</v>
      </c>
      <c r="E1461" s="16">
        <f>IFERROR(__xludf.DUMMYFUNCTION("""COMPUTED_VALUE"""),70.0)</f>
        <v>70</v>
      </c>
      <c r="F1461" s="19" t="str">
        <f>IFERROR(__xludf.DUMMYFUNCTION("""COMPUTED_VALUE"""),"BLACK")</f>
        <v>BLACK</v>
      </c>
      <c r="G1461" s="20" t="str">
        <f>IFERROR(__xludf.DUMMYFUNCTION("""COMPUTED_VALUE"""),"Uncle Sams Cider (5/13/2022)")</f>
        <v>Uncle Sams Cider (5/13/2022)</v>
      </c>
      <c r="H1461" s="19"/>
    </row>
    <row r="1462">
      <c r="A1462" s="9"/>
      <c r="B1462" s="15"/>
      <c r="C1462" s="9">
        <f>IFERROR(__xludf.DUMMYFUNCTION("""COMPUTED_VALUE"""),44781.3829837731)</f>
        <v>44781.38298</v>
      </c>
      <c r="D1462" s="15">
        <f>IFERROR(__xludf.DUMMYFUNCTION("""COMPUTED_VALUE"""),1.004)</f>
        <v>1.004</v>
      </c>
      <c r="E1462" s="16">
        <f>IFERROR(__xludf.DUMMYFUNCTION("""COMPUTED_VALUE"""),70.0)</f>
        <v>70</v>
      </c>
      <c r="F1462" s="19" t="str">
        <f>IFERROR(__xludf.DUMMYFUNCTION("""COMPUTED_VALUE"""),"BLACK")</f>
        <v>BLACK</v>
      </c>
      <c r="G1462" s="20" t="str">
        <f>IFERROR(__xludf.DUMMYFUNCTION("""COMPUTED_VALUE"""),"Uncle Sams Cider (5/13/2022)")</f>
        <v>Uncle Sams Cider (5/13/2022)</v>
      </c>
      <c r="H1462" s="19"/>
    </row>
    <row r="1463">
      <c r="A1463" s="9"/>
      <c r="B1463" s="15"/>
      <c r="C1463" s="9">
        <f>IFERROR(__xludf.DUMMYFUNCTION("""COMPUTED_VALUE"""),44781.3725503819)</f>
        <v>44781.37255</v>
      </c>
      <c r="D1463" s="15">
        <f>IFERROR(__xludf.DUMMYFUNCTION("""COMPUTED_VALUE"""),1.004)</f>
        <v>1.004</v>
      </c>
      <c r="E1463" s="16">
        <f>IFERROR(__xludf.DUMMYFUNCTION("""COMPUTED_VALUE"""),70.0)</f>
        <v>70</v>
      </c>
      <c r="F1463" s="19" t="str">
        <f>IFERROR(__xludf.DUMMYFUNCTION("""COMPUTED_VALUE"""),"BLACK")</f>
        <v>BLACK</v>
      </c>
      <c r="G1463" s="20" t="str">
        <f>IFERROR(__xludf.DUMMYFUNCTION("""COMPUTED_VALUE"""),"Uncle Sams Cider (5/13/2022)")</f>
        <v>Uncle Sams Cider (5/13/2022)</v>
      </c>
      <c r="H1463" s="19"/>
    </row>
    <row r="1464">
      <c r="A1464" s="9"/>
      <c r="B1464" s="15"/>
      <c r="C1464" s="9">
        <f>IFERROR(__xludf.DUMMYFUNCTION("""COMPUTED_VALUE"""),44781.3621310185)</f>
        <v>44781.36213</v>
      </c>
      <c r="D1464" s="15">
        <f>IFERROR(__xludf.DUMMYFUNCTION("""COMPUTED_VALUE"""),1.004)</f>
        <v>1.004</v>
      </c>
      <c r="E1464" s="16">
        <f>IFERROR(__xludf.DUMMYFUNCTION("""COMPUTED_VALUE"""),70.0)</f>
        <v>70</v>
      </c>
      <c r="F1464" s="19" t="str">
        <f>IFERROR(__xludf.DUMMYFUNCTION("""COMPUTED_VALUE"""),"BLACK")</f>
        <v>BLACK</v>
      </c>
      <c r="G1464" s="20" t="str">
        <f>IFERROR(__xludf.DUMMYFUNCTION("""COMPUTED_VALUE"""),"Uncle Sams Cider (5/13/2022)")</f>
        <v>Uncle Sams Cider (5/13/2022)</v>
      </c>
      <c r="H1464" s="19"/>
    </row>
    <row r="1465">
      <c r="A1465" s="9"/>
      <c r="B1465" s="15"/>
      <c r="C1465" s="9">
        <f>IFERROR(__xludf.DUMMYFUNCTION("""COMPUTED_VALUE"""),44781.3516983217)</f>
        <v>44781.3517</v>
      </c>
      <c r="D1465" s="15">
        <f>IFERROR(__xludf.DUMMYFUNCTION("""COMPUTED_VALUE"""),1.004)</f>
        <v>1.004</v>
      </c>
      <c r="E1465" s="16">
        <f>IFERROR(__xludf.DUMMYFUNCTION("""COMPUTED_VALUE"""),70.0)</f>
        <v>70</v>
      </c>
      <c r="F1465" s="19" t="str">
        <f>IFERROR(__xludf.DUMMYFUNCTION("""COMPUTED_VALUE"""),"BLACK")</f>
        <v>BLACK</v>
      </c>
      <c r="G1465" s="20" t="str">
        <f>IFERROR(__xludf.DUMMYFUNCTION("""COMPUTED_VALUE"""),"Uncle Sams Cider (5/13/2022)")</f>
        <v>Uncle Sams Cider (5/13/2022)</v>
      </c>
      <c r="H1465" s="19"/>
    </row>
    <row r="1466">
      <c r="A1466" s="9"/>
      <c r="B1466" s="15"/>
      <c r="C1466" s="9">
        <f>IFERROR(__xludf.DUMMYFUNCTION("""COMPUTED_VALUE"""),44781.3412771527)</f>
        <v>44781.34128</v>
      </c>
      <c r="D1466" s="15">
        <f>IFERROR(__xludf.DUMMYFUNCTION("""COMPUTED_VALUE"""),1.004)</f>
        <v>1.004</v>
      </c>
      <c r="E1466" s="16">
        <f>IFERROR(__xludf.DUMMYFUNCTION("""COMPUTED_VALUE"""),70.0)</f>
        <v>70</v>
      </c>
      <c r="F1466" s="19" t="str">
        <f>IFERROR(__xludf.DUMMYFUNCTION("""COMPUTED_VALUE"""),"BLACK")</f>
        <v>BLACK</v>
      </c>
      <c r="G1466" s="20" t="str">
        <f>IFERROR(__xludf.DUMMYFUNCTION("""COMPUTED_VALUE"""),"Uncle Sams Cider (5/13/2022)")</f>
        <v>Uncle Sams Cider (5/13/2022)</v>
      </c>
      <c r="H1466" s="19"/>
    </row>
    <row r="1467">
      <c r="A1467" s="9"/>
      <c r="B1467" s="15"/>
      <c r="C1467" s="9">
        <f>IFERROR(__xludf.DUMMYFUNCTION("""COMPUTED_VALUE"""),44781.3308447916)</f>
        <v>44781.33084</v>
      </c>
      <c r="D1467" s="15">
        <f>IFERROR(__xludf.DUMMYFUNCTION("""COMPUTED_VALUE"""),1.004)</f>
        <v>1.004</v>
      </c>
      <c r="E1467" s="16">
        <f>IFERROR(__xludf.DUMMYFUNCTION("""COMPUTED_VALUE"""),70.0)</f>
        <v>70</v>
      </c>
      <c r="F1467" s="19" t="str">
        <f>IFERROR(__xludf.DUMMYFUNCTION("""COMPUTED_VALUE"""),"BLACK")</f>
        <v>BLACK</v>
      </c>
      <c r="G1467" s="20" t="str">
        <f>IFERROR(__xludf.DUMMYFUNCTION("""COMPUTED_VALUE"""),"Uncle Sams Cider (5/13/2022)")</f>
        <v>Uncle Sams Cider (5/13/2022)</v>
      </c>
      <c r="H1467" s="19"/>
    </row>
    <row r="1468">
      <c r="A1468" s="9"/>
      <c r="B1468" s="15"/>
      <c r="C1468" s="9">
        <f>IFERROR(__xludf.DUMMYFUNCTION("""COMPUTED_VALUE"""),44781.3204241435)</f>
        <v>44781.32042</v>
      </c>
      <c r="D1468" s="15">
        <f>IFERROR(__xludf.DUMMYFUNCTION("""COMPUTED_VALUE"""),1.004)</f>
        <v>1.004</v>
      </c>
      <c r="E1468" s="16">
        <f>IFERROR(__xludf.DUMMYFUNCTION("""COMPUTED_VALUE"""),70.0)</f>
        <v>70</v>
      </c>
      <c r="F1468" s="19" t="str">
        <f>IFERROR(__xludf.DUMMYFUNCTION("""COMPUTED_VALUE"""),"BLACK")</f>
        <v>BLACK</v>
      </c>
      <c r="G1468" s="20" t="str">
        <f>IFERROR(__xludf.DUMMYFUNCTION("""COMPUTED_VALUE"""),"Uncle Sams Cider (5/13/2022)")</f>
        <v>Uncle Sams Cider (5/13/2022)</v>
      </c>
      <c r="H1468" s="19"/>
    </row>
    <row r="1469">
      <c r="A1469" s="9"/>
      <c r="B1469" s="15"/>
      <c r="C1469" s="9">
        <f>IFERROR(__xludf.DUMMYFUNCTION("""COMPUTED_VALUE"""),44781.3100030787)</f>
        <v>44781.31</v>
      </c>
      <c r="D1469" s="15">
        <f>IFERROR(__xludf.DUMMYFUNCTION("""COMPUTED_VALUE"""),1.004)</f>
        <v>1.004</v>
      </c>
      <c r="E1469" s="16">
        <f>IFERROR(__xludf.DUMMYFUNCTION("""COMPUTED_VALUE"""),70.0)</f>
        <v>70</v>
      </c>
      <c r="F1469" s="19" t="str">
        <f>IFERROR(__xludf.DUMMYFUNCTION("""COMPUTED_VALUE"""),"BLACK")</f>
        <v>BLACK</v>
      </c>
      <c r="G1469" s="20" t="str">
        <f>IFERROR(__xludf.DUMMYFUNCTION("""COMPUTED_VALUE"""),"Uncle Sams Cider (5/13/2022)")</f>
        <v>Uncle Sams Cider (5/13/2022)</v>
      </c>
      <c r="H1469" s="19"/>
    </row>
    <row r="1470">
      <c r="A1470" s="9"/>
      <c r="B1470" s="15"/>
      <c r="C1470" s="9">
        <f>IFERROR(__xludf.DUMMYFUNCTION("""COMPUTED_VALUE"""),44781.2995457407)</f>
        <v>44781.29955</v>
      </c>
      <c r="D1470" s="15">
        <f>IFERROR(__xludf.DUMMYFUNCTION("""COMPUTED_VALUE"""),1.004)</f>
        <v>1.004</v>
      </c>
      <c r="E1470" s="16">
        <f>IFERROR(__xludf.DUMMYFUNCTION("""COMPUTED_VALUE"""),70.0)</f>
        <v>70</v>
      </c>
      <c r="F1470" s="19" t="str">
        <f>IFERROR(__xludf.DUMMYFUNCTION("""COMPUTED_VALUE"""),"BLACK")</f>
        <v>BLACK</v>
      </c>
      <c r="G1470" s="20" t="str">
        <f>IFERROR(__xludf.DUMMYFUNCTION("""COMPUTED_VALUE"""),"Uncle Sams Cider (5/13/2022)")</f>
        <v>Uncle Sams Cider (5/13/2022)</v>
      </c>
      <c r="H1470" s="19"/>
    </row>
    <row r="1471">
      <c r="A1471" s="9"/>
      <c r="B1471" s="15"/>
      <c r="C1471" s="9">
        <f>IFERROR(__xludf.DUMMYFUNCTION("""COMPUTED_VALUE"""),44781.2891113773)</f>
        <v>44781.28911</v>
      </c>
      <c r="D1471" s="15">
        <f>IFERROR(__xludf.DUMMYFUNCTION("""COMPUTED_VALUE"""),1.004)</f>
        <v>1.004</v>
      </c>
      <c r="E1471" s="16">
        <f>IFERROR(__xludf.DUMMYFUNCTION("""COMPUTED_VALUE"""),70.0)</f>
        <v>70</v>
      </c>
      <c r="F1471" s="19" t="str">
        <f>IFERROR(__xludf.DUMMYFUNCTION("""COMPUTED_VALUE"""),"BLACK")</f>
        <v>BLACK</v>
      </c>
      <c r="G1471" s="20" t="str">
        <f>IFERROR(__xludf.DUMMYFUNCTION("""COMPUTED_VALUE"""),"Uncle Sams Cider (5/13/2022)")</f>
        <v>Uncle Sams Cider (5/13/2022)</v>
      </c>
      <c r="H1471" s="19"/>
    </row>
    <row r="1472">
      <c r="A1472" s="9"/>
      <c r="B1472" s="15"/>
      <c r="C1472" s="9">
        <f>IFERROR(__xludf.DUMMYFUNCTION("""COMPUTED_VALUE"""),44781.2786878009)</f>
        <v>44781.27869</v>
      </c>
      <c r="D1472" s="15">
        <f>IFERROR(__xludf.DUMMYFUNCTION("""COMPUTED_VALUE"""),1.004)</f>
        <v>1.004</v>
      </c>
      <c r="E1472" s="16">
        <f>IFERROR(__xludf.DUMMYFUNCTION("""COMPUTED_VALUE"""),70.0)</f>
        <v>70</v>
      </c>
      <c r="F1472" s="19" t="str">
        <f>IFERROR(__xludf.DUMMYFUNCTION("""COMPUTED_VALUE"""),"BLACK")</f>
        <v>BLACK</v>
      </c>
      <c r="G1472" s="20" t="str">
        <f>IFERROR(__xludf.DUMMYFUNCTION("""COMPUTED_VALUE"""),"Uncle Sams Cider (5/13/2022)")</f>
        <v>Uncle Sams Cider (5/13/2022)</v>
      </c>
      <c r="H1472" s="19"/>
    </row>
    <row r="1473">
      <c r="A1473" s="9"/>
      <c r="B1473" s="15"/>
      <c r="C1473" s="9">
        <f>IFERROR(__xludf.DUMMYFUNCTION("""COMPUTED_VALUE"""),44781.2682649768)</f>
        <v>44781.26826</v>
      </c>
      <c r="D1473" s="15">
        <f>IFERROR(__xludf.DUMMYFUNCTION("""COMPUTED_VALUE"""),1.004)</f>
        <v>1.004</v>
      </c>
      <c r="E1473" s="16">
        <f>IFERROR(__xludf.DUMMYFUNCTION("""COMPUTED_VALUE"""),70.0)</f>
        <v>70</v>
      </c>
      <c r="F1473" s="19" t="str">
        <f>IFERROR(__xludf.DUMMYFUNCTION("""COMPUTED_VALUE"""),"BLACK")</f>
        <v>BLACK</v>
      </c>
      <c r="G1473" s="20" t="str">
        <f>IFERROR(__xludf.DUMMYFUNCTION("""COMPUTED_VALUE"""),"Uncle Sams Cider (5/13/2022)")</f>
        <v>Uncle Sams Cider (5/13/2022)</v>
      </c>
      <c r="H1473" s="19"/>
    </row>
    <row r="1474">
      <c r="A1474" s="9"/>
      <c r="B1474" s="15"/>
      <c r="C1474" s="9">
        <f>IFERROR(__xludf.DUMMYFUNCTION("""COMPUTED_VALUE"""),44781.2578336111)</f>
        <v>44781.25783</v>
      </c>
      <c r="D1474" s="15">
        <f>IFERROR(__xludf.DUMMYFUNCTION("""COMPUTED_VALUE"""),1.004)</f>
        <v>1.004</v>
      </c>
      <c r="E1474" s="16">
        <f>IFERROR(__xludf.DUMMYFUNCTION("""COMPUTED_VALUE"""),70.0)</f>
        <v>70</v>
      </c>
      <c r="F1474" s="19" t="str">
        <f>IFERROR(__xludf.DUMMYFUNCTION("""COMPUTED_VALUE"""),"BLACK")</f>
        <v>BLACK</v>
      </c>
      <c r="G1474" s="20" t="str">
        <f>IFERROR(__xludf.DUMMYFUNCTION("""COMPUTED_VALUE"""),"Uncle Sams Cider (5/13/2022)")</f>
        <v>Uncle Sams Cider (5/13/2022)</v>
      </c>
      <c r="H1474" s="19"/>
    </row>
    <row r="1475">
      <c r="A1475" s="9"/>
      <c r="B1475" s="15"/>
      <c r="C1475" s="9">
        <f>IFERROR(__xludf.DUMMYFUNCTION("""COMPUTED_VALUE"""),44781.2474131944)</f>
        <v>44781.24741</v>
      </c>
      <c r="D1475" s="15">
        <f>IFERROR(__xludf.DUMMYFUNCTION("""COMPUTED_VALUE"""),1.004)</f>
        <v>1.004</v>
      </c>
      <c r="E1475" s="16">
        <f>IFERROR(__xludf.DUMMYFUNCTION("""COMPUTED_VALUE"""),70.0)</f>
        <v>70</v>
      </c>
      <c r="F1475" s="19" t="str">
        <f>IFERROR(__xludf.DUMMYFUNCTION("""COMPUTED_VALUE"""),"BLACK")</f>
        <v>BLACK</v>
      </c>
      <c r="G1475" s="20" t="str">
        <f>IFERROR(__xludf.DUMMYFUNCTION("""COMPUTED_VALUE"""),"Uncle Sams Cider (5/13/2022)")</f>
        <v>Uncle Sams Cider (5/13/2022)</v>
      </c>
      <c r="H1475" s="19"/>
    </row>
    <row r="1476">
      <c r="A1476" s="9"/>
      <c r="B1476" s="15"/>
      <c r="C1476" s="9">
        <f>IFERROR(__xludf.DUMMYFUNCTION("""COMPUTED_VALUE"""),44781.2369923842)</f>
        <v>44781.23699</v>
      </c>
      <c r="D1476" s="15">
        <f>IFERROR(__xludf.DUMMYFUNCTION("""COMPUTED_VALUE"""),1.004)</f>
        <v>1.004</v>
      </c>
      <c r="E1476" s="16">
        <f>IFERROR(__xludf.DUMMYFUNCTION("""COMPUTED_VALUE"""),70.0)</f>
        <v>70</v>
      </c>
      <c r="F1476" s="19" t="str">
        <f>IFERROR(__xludf.DUMMYFUNCTION("""COMPUTED_VALUE"""),"BLACK")</f>
        <v>BLACK</v>
      </c>
      <c r="G1476" s="20" t="str">
        <f>IFERROR(__xludf.DUMMYFUNCTION("""COMPUTED_VALUE"""),"Uncle Sams Cider (5/13/2022)")</f>
        <v>Uncle Sams Cider (5/13/2022)</v>
      </c>
      <c r="H1476" s="19"/>
    </row>
    <row r="1477">
      <c r="A1477" s="9"/>
      <c r="B1477" s="15"/>
      <c r="C1477" s="9">
        <f>IFERROR(__xludf.DUMMYFUNCTION("""COMPUTED_VALUE"""),44781.2265711805)</f>
        <v>44781.22657</v>
      </c>
      <c r="D1477" s="15">
        <f>IFERROR(__xludf.DUMMYFUNCTION("""COMPUTED_VALUE"""),1.004)</f>
        <v>1.004</v>
      </c>
      <c r="E1477" s="16">
        <f>IFERROR(__xludf.DUMMYFUNCTION("""COMPUTED_VALUE"""),70.0)</f>
        <v>70</v>
      </c>
      <c r="F1477" s="19" t="str">
        <f>IFERROR(__xludf.DUMMYFUNCTION("""COMPUTED_VALUE"""),"BLACK")</f>
        <v>BLACK</v>
      </c>
      <c r="G1477" s="20" t="str">
        <f>IFERROR(__xludf.DUMMYFUNCTION("""COMPUTED_VALUE"""),"Uncle Sams Cider (5/13/2022)")</f>
        <v>Uncle Sams Cider (5/13/2022)</v>
      </c>
      <c r="H1477" s="19"/>
    </row>
    <row r="1478">
      <c r="A1478" s="9"/>
      <c r="B1478" s="15"/>
      <c r="C1478" s="9">
        <f>IFERROR(__xludf.DUMMYFUNCTION("""COMPUTED_VALUE"""),44781.2161504282)</f>
        <v>44781.21615</v>
      </c>
      <c r="D1478" s="15">
        <f>IFERROR(__xludf.DUMMYFUNCTION("""COMPUTED_VALUE"""),1.004)</f>
        <v>1.004</v>
      </c>
      <c r="E1478" s="16">
        <f>IFERROR(__xludf.DUMMYFUNCTION("""COMPUTED_VALUE"""),70.0)</f>
        <v>70</v>
      </c>
      <c r="F1478" s="19" t="str">
        <f>IFERROR(__xludf.DUMMYFUNCTION("""COMPUTED_VALUE"""),"BLACK")</f>
        <v>BLACK</v>
      </c>
      <c r="G1478" s="20" t="str">
        <f>IFERROR(__xludf.DUMMYFUNCTION("""COMPUTED_VALUE"""),"Uncle Sams Cider (5/13/2022)")</f>
        <v>Uncle Sams Cider (5/13/2022)</v>
      </c>
      <c r="H1478" s="19"/>
    </row>
    <row r="1479">
      <c r="A1479" s="9"/>
      <c r="B1479" s="15"/>
      <c r="C1479" s="9">
        <f>IFERROR(__xludf.DUMMYFUNCTION("""COMPUTED_VALUE"""),44781.2057047569)</f>
        <v>44781.2057</v>
      </c>
      <c r="D1479" s="15">
        <f>IFERROR(__xludf.DUMMYFUNCTION("""COMPUTED_VALUE"""),1.004)</f>
        <v>1.004</v>
      </c>
      <c r="E1479" s="16">
        <f>IFERROR(__xludf.DUMMYFUNCTION("""COMPUTED_VALUE"""),70.0)</f>
        <v>70</v>
      </c>
      <c r="F1479" s="19" t="str">
        <f>IFERROR(__xludf.DUMMYFUNCTION("""COMPUTED_VALUE"""),"BLACK")</f>
        <v>BLACK</v>
      </c>
      <c r="G1479" s="20" t="str">
        <f>IFERROR(__xludf.DUMMYFUNCTION("""COMPUTED_VALUE"""),"Uncle Sams Cider (5/13/2022)")</f>
        <v>Uncle Sams Cider (5/13/2022)</v>
      </c>
      <c r="H1479" s="19"/>
    </row>
    <row r="1480">
      <c r="A1480" s="9"/>
      <c r="B1480" s="15"/>
      <c r="C1480" s="9">
        <f>IFERROR(__xludf.DUMMYFUNCTION("""COMPUTED_VALUE"""),44781.1952825347)</f>
        <v>44781.19528</v>
      </c>
      <c r="D1480" s="15">
        <f>IFERROR(__xludf.DUMMYFUNCTION("""COMPUTED_VALUE"""),1.004)</f>
        <v>1.004</v>
      </c>
      <c r="E1480" s="16">
        <f>IFERROR(__xludf.DUMMYFUNCTION("""COMPUTED_VALUE"""),70.0)</f>
        <v>70</v>
      </c>
      <c r="F1480" s="19" t="str">
        <f>IFERROR(__xludf.DUMMYFUNCTION("""COMPUTED_VALUE"""),"BLACK")</f>
        <v>BLACK</v>
      </c>
      <c r="G1480" s="20" t="str">
        <f>IFERROR(__xludf.DUMMYFUNCTION("""COMPUTED_VALUE"""),"Uncle Sams Cider (5/13/2022)")</f>
        <v>Uncle Sams Cider (5/13/2022)</v>
      </c>
      <c r="H1480" s="19"/>
    </row>
    <row r="1481">
      <c r="A1481" s="9"/>
      <c r="B1481" s="15"/>
      <c r="C1481" s="9">
        <f>IFERROR(__xludf.DUMMYFUNCTION("""COMPUTED_VALUE"""),44781.1848625578)</f>
        <v>44781.18486</v>
      </c>
      <c r="D1481" s="15">
        <f>IFERROR(__xludf.DUMMYFUNCTION("""COMPUTED_VALUE"""),1.004)</f>
        <v>1.004</v>
      </c>
      <c r="E1481" s="16">
        <f>IFERROR(__xludf.DUMMYFUNCTION("""COMPUTED_VALUE"""),70.0)</f>
        <v>70</v>
      </c>
      <c r="F1481" s="19" t="str">
        <f>IFERROR(__xludf.DUMMYFUNCTION("""COMPUTED_VALUE"""),"BLACK")</f>
        <v>BLACK</v>
      </c>
      <c r="G1481" s="20" t="str">
        <f>IFERROR(__xludf.DUMMYFUNCTION("""COMPUTED_VALUE"""),"Uncle Sams Cider (5/13/2022)")</f>
        <v>Uncle Sams Cider (5/13/2022)</v>
      </c>
      <c r="H1481" s="19"/>
    </row>
    <row r="1482">
      <c r="A1482" s="9"/>
      <c r="B1482" s="15"/>
      <c r="C1482" s="9">
        <f>IFERROR(__xludf.DUMMYFUNCTION("""COMPUTED_VALUE"""),44781.1744410416)</f>
        <v>44781.17444</v>
      </c>
      <c r="D1482" s="15">
        <f>IFERROR(__xludf.DUMMYFUNCTION("""COMPUTED_VALUE"""),1.004)</f>
        <v>1.004</v>
      </c>
      <c r="E1482" s="16">
        <f>IFERROR(__xludf.DUMMYFUNCTION("""COMPUTED_VALUE"""),70.0)</f>
        <v>70</v>
      </c>
      <c r="F1482" s="19" t="str">
        <f>IFERROR(__xludf.DUMMYFUNCTION("""COMPUTED_VALUE"""),"BLACK")</f>
        <v>BLACK</v>
      </c>
      <c r="G1482" s="20" t="str">
        <f>IFERROR(__xludf.DUMMYFUNCTION("""COMPUTED_VALUE"""),"Uncle Sams Cider (5/13/2022)")</f>
        <v>Uncle Sams Cider (5/13/2022)</v>
      </c>
      <c r="H1482" s="19"/>
    </row>
    <row r="1483">
      <c r="A1483" s="9"/>
      <c r="B1483" s="15"/>
      <c r="C1483" s="9">
        <f>IFERROR(__xludf.DUMMYFUNCTION("""COMPUTED_VALUE"""),44781.1640178819)</f>
        <v>44781.16402</v>
      </c>
      <c r="D1483" s="15">
        <f>IFERROR(__xludf.DUMMYFUNCTION("""COMPUTED_VALUE"""),1.004)</f>
        <v>1.004</v>
      </c>
      <c r="E1483" s="16">
        <f>IFERROR(__xludf.DUMMYFUNCTION("""COMPUTED_VALUE"""),70.0)</f>
        <v>70</v>
      </c>
      <c r="F1483" s="19" t="str">
        <f>IFERROR(__xludf.DUMMYFUNCTION("""COMPUTED_VALUE"""),"BLACK")</f>
        <v>BLACK</v>
      </c>
      <c r="G1483" s="20" t="str">
        <f>IFERROR(__xludf.DUMMYFUNCTION("""COMPUTED_VALUE"""),"Uncle Sams Cider (5/13/2022)")</f>
        <v>Uncle Sams Cider (5/13/2022)</v>
      </c>
      <c r="H1483" s="19"/>
    </row>
    <row r="1484">
      <c r="A1484" s="9"/>
      <c r="B1484" s="15"/>
      <c r="C1484" s="9">
        <f>IFERROR(__xludf.DUMMYFUNCTION("""COMPUTED_VALUE"""),44781.1535970254)</f>
        <v>44781.1536</v>
      </c>
      <c r="D1484" s="15">
        <f>IFERROR(__xludf.DUMMYFUNCTION("""COMPUTED_VALUE"""),1.004)</f>
        <v>1.004</v>
      </c>
      <c r="E1484" s="16">
        <f>IFERROR(__xludf.DUMMYFUNCTION("""COMPUTED_VALUE"""),70.0)</f>
        <v>70</v>
      </c>
      <c r="F1484" s="19" t="str">
        <f>IFERROR(__xludf.DUMMYFUNCTION("""COMPUTED_VALUE"""),"BLACK")</f>
        <v>BLACK</v>
      </c>
      <c r="G1484" s="20" t="str">
        <f>IFERROR(__xludf.DUMMYFUNCTION("""COMPUTED_VALUE"""),"Uncle Sams Cider (5/13/2022)")</f>
        <v>Uncle Sams Cider (5/13/2022)</v>
      </c>
      <c r="H1484" s="19"/>
    </row>
    <row r="1485">
      <c r="A1485" s="9"/>
      <c r="B1485" s="15"/>
      <c r="C1485" s="9">
        <f>IFERROR(__xludf.DUMMYFUNCTION("""COMPUTED_VALUE"""),44781.1431762731)</f>
        <v>44781.14318</v>
      </c>
      <c r="D1485" s="15">
        <f>IFERROR(__xludf.DUMMYFUNCTION("""COMPUTED_VALUE"""),1.004)</f>
        <v>1.004</v>
      </c>
      <c r="E1485" s="16">
        <f>IFERROR(__xludf.DUMMYFUNCTION("""COMPUTED_VALUE"""),69.0)</f>
        <v>69</v>
      </c>
      <c r="F1485" s="19" t="str">
        <f>IFERROR(__xludf.DUMMYFUNCTION("""COMPUTED_VALUE"""),"BLACK")</f>
        <v>BLACK</v>
      </c>
      <c r="G1485" s="20" t="str">
        <f>IFERROR(__xludf.DUMMYFUNCTION("""COMPUTED_VALUE"""),"Uncle Sams Cider (5/13/2022)")</f>
        <v>Uncle Sams Cider (5/13/2022)</v>
      </c>
      <c r="H1485" s="19"/>
    </row>
    <row r="1486">
      <c r="A1486" s="9"/>
      <c r="B1486" s="15"/>
      <c r="C1486" s="9">
        <f>IFERROR(__xludf.DUMMYFUNCTION("""COMPUTED_VALUE"""),44781.1327558796)</f>
        <v>44781.13276</v>
      </c>
      <c r="D1486" s="15">
        <f>IFERROR(__xludf.DUMMYFUNCTION("""COMPUTED_VALUE"""),1.004)</f>
        <v>1.004</v>
      </c>
      <c r="E1486" s="16">
        <f>IFERROR(__xludf.DUMMYFUNCTION("""COMPUTED_VALUE"""),69.0)</f>
        <v>69</v>
      </c>
      <c r="F1486" s="19" t="str">
        <f>IFERROR(__xludf.DUMMYFUNCTION("""COMPUTED_VALUE"""),"BLACK")</f>
        <v>BLACK</v>
      </c>
      <c r="G1486" s="20" t="str">
        <f>IFERROR(__xludf.DUMMYFUNCTION("""COMPUTED_VALUE"""),"Uncle Sams Cider (5/13/2022)")</f>
        <v>Uncle Sams Cider (5/13/2022)</v>
      </c>
      <c r="H1486" s="19"/>
    </row>
    <row r="1487">
      <c r="A1487" s="9"/>
      <c r="B1487" s="15"/>
      <c r="C1487" s="9">
        <f>IFERROR(__xludf.DUMMYFUNCTION("""COMPUTED_VALUE"""),44781.1223347222)</f>
        <v>44781.12233</v>
      </c>
      <c r="D1487" s="15">
        <f>IFERROR(__xludf.DUMMYFUNCTION("""COMPUTED_VALUE"""),1.004)</f>
        <v>1.004</v>
      </c>
      <c r="E1487" s="16">
        <f>IFERROR(__xludf.DUMMYFUNCTION("""COMPUTED_VALUE"""),69.0)</f>
        <v>69</v>
      </c>
      <c r="F1487" s="19" t="str">
        <f>IFERROR(__xludf.DUMMYFUNCTION("""COMPUTED_VALUE"""),"BLACK")</f>
        <v>BLACK</v>
      </c>
      <c r="G1487" s="20" t="str">
        <f>IFERROR(__xludf.DUMMYFUNCTION("""COMPUTED_VALUE"""),"Uncle Sams Cider (5/13/2022)")</f>
        <v>Uncle Sams Cider (5/13/2022)</v>
      </c>
      <c r="H1487" s="19"/>
    </row>
    <row r="1488">
      <c r="A1488" s="9"/>
      <c r="B1488" s="15"/>
      <c r="C1488" s="9">
        <f>IFERROR(__xludf.DUMMYFUNCTION("""COMPUTED_VALUE"""),44781.1119133333)</f>
        <v>44781.11191</v>
      </c>
      <c r="D1488" s="15">
        <f>IFERROR(__xludf.DUMMYFUNCTION("""COMPUTED_VALUE"""),1.004)</f>
        <v>1.004</v>
      </c>
      <c r="E1488" s="16">
        <f>IFERROR(__xludf.DUMMYFUNCTION("""COMPUTED_VALUE"""),69.0)</f>
        <v>69</v>
      </c>
      <c r="F1488" s="19" t="str">
        <f>IFERROR(__xludf.DUMMYFUNCTION("""COMPUTED_VALUE"""),"BLACK")</f>
        <v>BLACK</v>
      </c>
      <c r="G1488" s="20" t="str">
        <f>IFERROR(__xludf.DUMMYFUNCTION("""COMPUTED_VALUE"""),"Uncle Sams Cider (5/13/2022)")</f>
        <v>Uncle Sams Cider (5/13/2022)</v>
      </c>
      <c r="H1488" s="19"/>
    </row>
    <row r="1489">
      <c r="A1489" s="9"/>
      <c r="B1489" s="15"/>
      <c r="C1489" s="9">
        <f>IFERROR(__xludf.DUMMYFUNCTION("""COMPUTED_VALUE"""),44781.1014926851)</f>
        <v>44781.10149</v>
      </c>
      <c r="D1489" s="15">
        <f>IFERROR(__xludf.DUMMYFUNCTION("""COMPUTED_VALUE"""),1.004)</f>
        <v>1.004</v>
      </c>
      <c r="E1489" s="16">
        <f>IFERROR(__xludf.DUMMYFUNCTION("""COMPUTED_VALUE"""),69.0)</f>
        <v>69</v>
      </c>
      <c r="F1489" s="19" t="str">
        <f>IFERROR(__xludf.DUMMYFUNCTION("""COMPUTED_VALUE"""),"BLACK")</f>
        <v>BLACK</v>
      </c>
      <c r="G1489" s="20" t="str">
        <f>IFERROR(__xludf.DUMMYFUNCTION("""COMPUTED_VALUE"""),"Uncle Sams Cider (5/13/2022)")</f>
        <v>Uncle Sams Cider (5/13/2022)</v>
      </c>
      <c r="H1489" s="19"/>
    </row>
    <row r="1490">
      <c r="A1490" s="9"/>
      <c r="B1490" s="15"/>
      <c r="C1490" s="9">
        <f>IFERROR(__xludf.DUMMYFUNCTION("""COMPUTED_VALUE"""),44781.0910720717)</f>
        <v>44781.09107</v>
      </c>
      <c r="D1490" s="15">
        <f>IFERROR(__xludf.DUMMYFUNCTION("""COMPUTED_VALUE"""),1.004)</f>
        <v>1.004</v>
      </c>
      <c r="E1490" s="16">
        <f>IFERROR(__xludf.DUMMYFUNCTION("""COMPUTED_VALUE"""),69.0)</f>
        <v>69</v>
      </c>
      <c r="F1490" s="19" t="str">
        <f>IFERROR(__xludf.DUMMYFUNCTION("""COMPUTED_VALUE"""),"BLACK")</f>
        <v>BLACK</v>
      </c>
      <c r="G1490" s="20" t="str">
        <f>IFERROR(__xludf.DUMMYFUNCTION("""COMPUTED_VALUE"""),"Uncle Sams Cider (5/13/2022)")</f>
        <v>Uncle Sams Cider (5/13/2022)</v>
      </c>
      <c r="H1490" s="19"/>
    </row>
    <row r="1491">
      <c r="A1491" s="9"/>
      <c r="B1491" s="15"/>
      <c r="C1491" s="9">
        <f>IFERROR(__xludf.DUMMYFUNCTION("""COMPUTED_VALUE"""),44781.0806521643)</f>
        <v>44781.08065</v>
      </c>
      <c r="D1491" s="15">
        <f>IFERROR(__xludf.DUMMYFUNCTION("""COMPUTED_VALUE"""),1.004)</f>
        <v>1.004</v>
      </c>
      <c r="E1491" s="16">
        <f>IFERROR(__xludf.DUMMYFUNCTION("""COMPUTED_VALUE"""),69.0)</f>
        <v>69</v>
      </c>
      <c r="F1491" s="19" t="str">
        <f>IFERROR(__xludf.DUMMYFUNCTION("""COMPUTED_VALUE"""),"BLACK")</f>
        <v>BLACK</v>
      </c>
      <c r="G1491" s="20" t="str">
        <f>IFERROR(__xludf.DUMMYFUNCTION("""COMPUTED_VALUE"""),"Uncle Sams Cider (5/13/2022)")</f>
        <v>Uncle Sams Cider (5/13/2022)</v>
      </c>
      <c r="H1491" s="19"/>
    </row>
    <row r="1492">
      <c r="A1492" s="9"/>
      <c r="B1492" s="15"/>
      <c r="C1492" s="9">
        <f>IFERROR(__xludf.DUMMYFUNCTION("""COMPUTED_VALUE"""),44781.0702286458)</f>
        <v>44781.07023</v>
      </c>
      <c r="D1492" s="15">
        <f>IFERROR(__xludf.DUMMYFUNCTION("""COMPUTED_VALUE"""),1.004)</f>
        <v>1.004</v>
      </c>
      <c r="E1492" s="16">
        <f>IFERROR(__xludf.DUMMYFUNCTION("""COMPUTED_VALUE"""),69.0)</f>
        <v>69</v>
      </c>
      <c r="F1492" s="19" t="str">
        <f>IFERROR(__xludf.DUMMYFUNCTION("""COMPUTED_VALUE"""),"BLACK")</f>
        <v>BLACK</v>
      </c>
      <c r="G1492" s="20" t="str">
        <f>IFERROR(__xludf.DUMMYFUNCTION("""COMPUTED_VALUE"""),"Uncle Sams Cider (5/13/2022)")</f>
        <v>Uncle Sams Cider (5/13/2022)</v>
      </c>
      <c r="H1492" s="19"/>
    </row>
    <row r="1493">
      <c r="A1493" s="9"/>
      <c r="B1493" s="15"/>
      <c r="C1493" s="9">
        <f>IFERROR(__xludf.DUMMYFUNCTION("""COMPUTED_VALUE"""),44781.0598072106)</f>
        <v>44781.05981</v>
      </c>
      <c r="D1493" s="15">
        <f>IFERROR(__xludf.DUMMYFUNCTION("""COMPUTED_VALUE"""),1.004)</f>
        <v>1.004</v>
      </c>
      <c r="E1493" s="16">
        <f>IFERROR(__xludf.DUMMYFUNCTION("""COMPUTED_VALUE"""),69.0)</f>
        <v>69</v>
      </c>
      <c r="F1493" s="19" t="str">
        <f>IFERROR(__xludf.DUMMYFUNCTION("""COMPUTED_VALUE"""),"BLACK")</f>
        <v>BLACK</v>
      </c>
      <c r="G1493" s="20" t="str">
        <f>IFERROR(__xludf.DUMMYFUNCTION("""COMPUTED_VALUE"""),"Uncle Sams Cider (5/13/2022)")</f>
        <v>Uncle Sams Cider (5/13/2022)</v>
      </c>
      <c r="H1493" s="19"/>
    </row>
    <row r="1494">
      <c r="A1494" s="9"/>
      <c r="B1494" s="15"/>
      <c r="C1494" s="9">
        <f>IFERROR(__xludf.DUMMYFUNCTION("""COMPUTED_VALUE"""),44781.049385706)</f>
        <v>44781.04939</v>
      </c>
      <c r="D1494" s="15">
        <f>IFERROR(__xludf.DUMMYFUNCTION("""COMPUTED_VALUE"""),1.004)</f>
        <v>1.004</v>
      </c>
      <c r="E1494" s="16">
        <f>IFERROR(__xludf.DUMMYFUNCTION("""COMPUTED_VALUE"""),69.0)</f>
        <v>69</v>
      </c>
      <c r="F1494" s="19" t="str">
        <f>IFERROR(__xludf.DUMMYFUNCTION("""COMPUTED_VALUE"""),"BLACK")</f>
        <v>BLACK</v>
      </c>
      <c r="G1494" s="20" t="str">
        <f>IFERROR(__xludf.DUMMYFUNCTION("""COMPUTED_VALUE"""),"Uncle Sams Cider (5/13/2022)")</f>
        <v>Uncle Sams Cider (5/13/2022)</v>
      </c>
      <c r="H1494" s="19"/>
    </row>
    <row r="1495">
      <c r="A1495" s="9"/>
      <c r="B1495" s="15"/>
      <c r="C1495" s="9">
        <f>IFERROR(__xludf.DUMMYFUNCTION("""COMPUTED_VALUE"""),44781.03894125)</f>
        <v>44781.03894</v>
      </c>
      <c r="D1495" s="15">
        <f>IFERROR(__xludf.DUMMYFUNCTION("""COMPUTED_VALUE"""),1.004)</f>
        <v>1.004</v>
      </c>
      <c r="E1495" s="16">
        <f>IFERROR(__xludf.DUMMYFUNCTION("""COMPUTED_VALUE"""),69.0)</f>
        <v>69</v>
      </c>
      <c r="F1495" s="19" t="str">
        <f>IFERROR(__xludf.DUMMYFUNCTION("""COMPUTED_VALUE"""),"BLACK")</f>
        <v>BLACK</v>
      </c>
      <c r="G1495" s="20" t="str">
        <f>IFERROR(__xludf.DUMMYFUNCTION("""COMPUTED_VALUE"""),"Uncle Sams Cider (5/13/2022)")</f>
        <v>Uncle Sams Cider (5/13/2022)</v>
      </c>
      <c r="H1495" s="19"/>
    </row>
    <row r="1496">
      <c r="A1496" s="9"/>
      <c r="B1496" s="15"/>
      <c r="C1496" s="9">
        <f>IFERROR(__xludf.DUMMYFUNCTION("""COMPUTED_VALUE"""),44781.0285209722)</f>
        <v>44781.02852</v>
      </c>
      <c r="D1496" s="15">
        <f>IFERROR(__xludf.DUMMYFUNCTION("""COMPUTED_VALUE"""),1.004)</f>
        <v>1.004</v>
      </c>
      <c r="E1496" s="16">
        <f>IFERROR(__xludf.DUMMYFUNCTION("""COMPUTED_VALUE"""),69.0)</f>
        <v>69</v>
      </c>
      <c r="F1496" s="19" t="str">
        <f>IFERROR(__xludf.DUMMYFUNCTION("""COMPUTED_VALUE"""),"BLACK")</f>
        <v>BLACK</v>
      </c>
      <c r="G1496" s="20" t="str">
        <f>IFERROR(__xludf.DUMMYFUNCTION("""COMPUTED_VALUE"""),"Uncle Sams Cider (5/13/2022)")</f>
        <v>Uncle Sams Cider (5/13/2022)</v>
      </c>
      <c r="H1496" s="19"/>
    </row>
    <row r="1497">
      <c r="A1497" s="9"/>
      <c r="B1497" s="15"/>
      <c r="C1497" s="9">
        <f>IFERROR(__xludf.DUMMYFUNCTION("""COMPUTED_VALUE"""),44781.0180999768)</f>
        <v>44781.0181</v>
      </c>
      <c r="D1497" s="15">
        <f>IFERROR(__xludf.DUMMYFUNCTION("""COMPUTED_VALUE"""),1.004)</f>
        <v>1.004</v>
      </c>
      <c r="E1497" s="16">
        <f>IFERROR(__xludf.DUMMYFUNCTION("""COMPUTED_VALUE"""),69.0)</f>
        <v>69</v>
      </c>
      <c r="F1497" s="19" t="str">
        <f>IFERROR(__xludf.DUMMYFUNCTION("""COMPUTED_VALUE"""),"BLACK")</f>
        <v>BLACK</v>
      </c>
      <c r="G1497" s="20" t="str">
        <f>IFERROR(__xludf.DUMMYFUNCTION("""COMPUTED_VALUE"""),"Uncle Sams Cider (5/13/2022)")</f>
        <v>Uncle Sams Cider (5/13/2022)</v>
      </c>
      <c r="H1497" s="19"/>
    </row>
    <row r="1498">
      <c r="A1498" s="9"/>
      <c r="B1498" s="15"/>
      <c r="C1498" s="9">
        <f>IFERROR(__xludf.DUMMYFUNCTION("""COMPUTED_VALUE"""),44781.0076801851)</f>
        <v>44781.00768</v>
      </c>
      <c r="D1498" s="15">
        <f>IFERROR(__xludf.DUMMYFUNCTION("""COMPUTED_VALUE"""),1.004)</f>
        <v>1.004</v>
      </c>
      <c r="E1498" s="16">
        <f>IFERROR(__xludf.DUMMYFUNCTION("""COMPUTED_VALUE"""),69.0)</f>
        <v>69</v>
      </c>
      <c r="F1498" s="19" t="str">
        <f>IFERROR(__xludf.DUMMYFUNCTION("""COMPUTED_VALUE"""),"BLACK")</f>
        <v>BLACK</v>
      </c>
      <c r="G1498" s="20" t="str">
        <f>IFERROR(__xludf.DUMMYFUNCTION("""COMPUTED_VALUE"""),"Uncle Sams Cider (5/13/2022)")</f>
        <v>Uncle Sams Cider (5/13/2022)</v>
      </c>
      <c r="H1498" s="19"/>
    </row>
    <row r="1499">
      <c r="A1499" s="9"/>
      <c r="B1499" s="15"/>
      <c r="C1499" s="9">
        <f>IFERROR(__xludf.DUMMYFUNCTION("""COMPUTED_VALUE"""),44780.997248449)</f>
        <v>44780.99725</v>
      </c>
      <c r="D1499" s="15">
        <f>IFERROR(__xludf.DUMMYFUNCTION("""COMPUTED_VALUE"""),1.004)</f>
        <v>1.004</v>
      </c>
      <c r="E1499" s="16">
        <f>IFERROR(__xludf.DUMMYFUNCTION("""COMPUTED_VALUE"""),69.0)</f>
        <v>69</v>
      </c>
      <c r="F1499" s="19" t="str">
        <f>IFERROR(__xludf.DUMMYFUNCTION("""COMPUTED_VALUE"""),"BLACK")</f>
        <v>BLACK</v>
      </c>
      <c r="G1499" s="20" t="str">
        <f>IFERROR(__xludf.DUMMYFUNCTION("""COMPUTED_VALUE"""),"Uncle Sams Cider (5/13/2022)")</f>
        <v>Uncle Sams Cider (5/13/2022)</v>
      </c>
      <c r="H1499" s="19"/>
    </row>
    <row r="1500">
      <c r="A1500" s="9"/>
      <c r="B1500" s="15"/>
      <c r="C1500" s="9">
        <f>IFERROR(__xludf.DUMMYFUNCTION("""COMPUTED_VALUE"""),44780.9867928588)</f>
        <v>44780.98679</v>
      </c>
      <c r="D1500" s="15">
        <f>IFERROR(__xludf.DUMMYFUNCTION("""COMPUTED_VALUE"""),1.004)</f>
        <v>1.004</v>
      </c>
      <c r="E1500" s="16">
        <f>IFERROR(__xludf.DUMMYFUNCTION("""COMPUTED_VALUE"""),69.0)</f>
        <v>69</v>
      </c>
      <c r="F1500" s="19" t="str">
        <f>IFERROR(__xludf.DUMMYFUNCTION("""COMPUTED_VALUE"""),"BLACK")</f>
        <v>BLACK</v>
      </c>
      <c r="G1500" s="20" t="str">
        <f>IFERROR(__xludf.DUMMYFUNCTION("""COMPUTED_VALUE"""),"Uncle Sams Cider (5/13/2022)")</f>
        <v>Uncle Sams Cider (5/13/2022)</v>
      </c>
      <c r="H1500" s="19"/>
    </row>
    <row r="1501">
      <c r="A1501" s="9"/>
      <c r="B1501" s="15"/>
      <c r="C1501" s="9">
        <f>IFERROR(__xludf.DUMMYFUNCTION("""COMPUTED_VALUE"""),44780.9763713888)</f>
        <v>44780.97637</v>
      </c>
      <c r="D1501" s="15">
        <f>IFERROR(__xludf.DUMMYFUNCTION("""COMPUTED_VALUE"""),1.004)</f>
        <v>1.004</v>
      </c>
      <c r="E1501" s="16">
        <f>IFERROR(__xludf.DUMMYFUNCTION("""COMPUTED_VALUE"""),69.0)</f>
        <v>69</v>
      </c>
      <c r="F1501" s="19" t="str">
        <f>IFERROR(__xludf.DUMMYFUNCTION("""COMPUTED_VALUE"""),"BLACK")</f>
        <v>BLACK</v>
      </c>
      <c r="G1501" s="20" t="str">
        <f>IFERROR(__xludf.DUMMYFUNCTION("""COMPUTED_VALUE"""),"Uncle Sams Cider (5/13/2022)")</f>
        <v>Uncle Sams Cider (5/13/2022)</v>
      </c>
      <c r="H1501" s="19"/>
    </row>
    <row r="1502">
      <c r="A1502" s="9"/>
      <c r="B1502" s="15"/>
      <c r="C1502" s="9">
        <f>IFERROR(__xludf.DUMMYFUNCTION("""COMPUTED_VALUE"""),44780.9659520254)</f>
        <v>44780.96595</v>
      </c>
      <c r="D1502" s="15">
        <f>IFERROR(__xludf.DUMMYFUNCTION("""COMPUTED_VALUE"""),1.004)</f>
        <v>1.004</v>
      </c>
      <c r="E1502" s="16">
        <f>IFERROR(__xludf.DUMMYFUNCTION("""COMPUTED_VALUE"""),69.0)</f>
        <v>69</v>
      </c>
      <c r="F1502" s="19" t="str">
        <f>IFERROR(__xludf.DUMMYFUNCTION("""COMPUTED_VALUE"""),"BLACK")</f>
        <v>BLACK</v>
      </c>
      <c r="G1502" s="20" t="str">
        <f>IFERROR(__xludf.DUMMYFUNCTION("""COMPUTED_VALUE"""),"Uncle Sams Cider (5/13/2022)")</f>
        <v>Uncle Sams Cider (5/13/2022)</v>
      </c>
      <c r="H1502" s="19"/>
    </row>
    <row r="1503">
      <c r="A1503" s="9"/>
      <c r="B1503" s="15"/>
      <c r="C1503" s="9">
        <f>IFERROR(__xludf.DUMMYFUNCTION("""COMPUTED_VALUE"""),44780.9554725347)</f>
        <v>44780.95547</v>
      </c>
      <c r="D1503" s="15">
        <f>IFERROR(__xludf.DUMMYFUNCTION("""COMPUTED_VALUE"""),1.004)</f>
        <v>1.004</v>
      </c>
      <c r="E1503" s="16">
        <f>IFERROR(__xludf.DUMMYFUNCTION("""COMPUTED_VALUE"""),69.0)</f>
        <v>69</v>
      </c>
      <c r="F1503" s="19" t="str">
        <f>IFERROR(__xludf.DUMMYFUNCTION("""COMPUTED_VALUE"""),"BLACK")</f>
        <v>BLACK</v>
      </c>
      <c r="G1503" s="20" t="str">
        <f>IFERROR(__xludf.DUMMYFUNCTION("""COMPUTED_VALUE"""),"Uncle Sams Cider (5/13/2022)")</f>
        <v>Uncle Sams Cider (5/13/2022)</v>
      </c>
      <c r="H1503" s="19"/>
    </row>
    <row r="1504">
      <c r="A1504" s="9"/>
      <c r="B1504" s="15"/>
      <c r="C1504" s="9">
        <f>IFERROR(__xludf.DUMMYFUNCTION("""COMPUTED_VALUE"""),44780.9450519791)</f>
        <v>44780.94505</v>
      </c>
      <c r="D1504" s="15">
        <f>IFERROR(__xludf.DUMMYFUNCTION("""COMPUTED_VALUE"""),1.004)</f>
        <v>1.004</v>
      </c>
      <c r="E1504" s="16">
        <f>IFERROR(__xludf.DUMMYFUNCTION("""COMPUTED_VALUE"""),69.0)</f>
        <v>69</v>
      </c>
      <c r="F1504" s="19" t="str">
        <f>IFERROR(__xludf.DUMMYFUNCTION("""COMPUTED_VALUE"""),"BLACK")</f>
        <v>BLACK</v>
      </c>
      <c r="G1504" s="20" t="str">
        <f>IFERROR(__xludf.DUMMYFUNCTION("""COMPUTED_VALUE"""),"Uncle Sams Cider (5/13/2022)")</f>
        <v>Uncle Sams Cider (5/13/2022)</v>
      </c>
      <c r="H1504" s="19"/>
    </row>
    <row r="1505">
      <c r="A1505" s="9"/>
      <c r="B1505" s="15"/>
      <c r="C1505" s="9">
        <f>IFERROR(__xludf.DUMMYFUNCTION("""COMPUTED_VALUE"""),44780.9346311111)</f>
        <v>44780.93463</v>
      </c>
      <c r="D1505" s="15">
        <f>IFERROR(__xludf.DUMMYFUNCTION("""COMPUTED_VALUE"""),1.004)</f>
        <v>1.004</v>
      </c>
      <c r="E1505" s="16">
        <f>IFERROR(__xludf.DUMMYFUNCTION("""COMPUTED_VALUE"""),69.0)</f>
        <v>69</v>
      </c>
      <c r="F1505" s="19" t="str">
        <f>IFERROR(__xludf.DUMMYFUNCTION("""COMPUTED_VALUE"""),"BLACK")</f>
        <v>BLACK</v>
      </c>
      <c r="G1505" s="20" t="str">
        <f>IFERROR(__xludf.DUMMYFUNCTION("""COMPUTED_VALUE"""),"Uncle Sams Cider (5/13/2022)")</f>
        <v>Uncle Sams Cider (5/13/2022)</v>
      </c>
      <c r="H1505" s="19"/>
    </row>
    <row r="1506">
      <c r="A1506" s="9"/>
      <c r="B1506" s="15"/>
      <c r="C1506" s="9">
        <f>IFERROR(__xludf.DUMMYFUNCTION("""COMPUTED_VALUE"""),44780.9242110879)</f>
        <v>44780.92421</v>
      </c>
      <c r="D1506" s="15">
        <f>IFERROR(__xludf.DUMMYFUNCTION("""COMPUTED_VALUE"""),1.004)</f>
        <v>1.004</v>
      </c>
      <c r="E1506" s="16">
        <f>IFERROR(__xludf.DUMMYFUNCTION("""COMPUTED_VALUE"""),69.0)</f>
        <v>69</v>
      </c>
      <c r="F1506" s="19" t="str">
        <f>IFERROR(__xludf.DUMMYFUNCTION("""COMPUTED_VALUE"""),"BLACK")</f>
        <v>BLACK</v>
      </c>
      <c r="G1506" s="20" t="str">
        <f>IFERROR(__xludf.DUMMYFUNCTION("""COMPUTED_VALUE"""),"Uncle Sams Cider (5/13/2022)")</f>
        <v>Uncle Sams Cider (5/13/2022)</v>
      </c>
      <c r="H1506" s="19"/>
    </row>
    <row r="1507">
      <c r="A1507" s="9"/>
      <c r="B1507" s="15"/>
      <c r="C1507" s="9">
        <f>IFERROR(__xludf.DUMMYFUNCTION("""COMPUTED_VALUE"""),44780.9137908101)</f>
        <v>44780.91379</v>
      </c>
      <c r="D1507" s="15">
        <f>IFERROR(__xludf.DUMMYFUNCTION("""COMPUTED_VALUE"""),1.004)</f>
        <v>1.004</v>
      </c>
      <c r="E1507" s="16">
        <f>IFERROR(__xludf.DUMMYFUNCTION("""COMPUTED_VALUE"""),69.0)</f>
        <v>69</v>
      </c>
      <c r="F1507" s="19" t="str">
        <f>IFERROR(__xludf.DUMMYFUNCTION("""COMPUTED_VALUE"""),"BLACK")</f>
        <v>BLACK</v>
      </c>
      <c r="G1507" s="20" t="str">
        <f>IFERROR(__xludf.DUMMYFUNCTION("""COMPUTED_VALUE"""),"Uncle Sams Cider (5/13/2022)")</f>
        <v>Uncle Sams Cider (5/13/2022)</v>
      </c>
      <c r="H1507" s="19"/>
    </row>
    <row r="1508">
      <c r="A1508" s="9"/>
      <c r="B1508" s="15"/>
      <c r="C1508" s="9">
        <f>IFERROR(__xludf.DUMMYFUNCTION("""COMPUTED_VALUE"""),44780.9033697106)</f>
        <v>44780.90337</v>
      </c>
      <c r="D1508" s="15">
        <f>IFERROR(__xludf.DUMMYFUNCTION("""COMPUTED_VALUE"""),1.004)</f>
        <v>1.004</v>
      </c>
      <c r="E1508" s="16">
        <f>IFERROR(__xludf.DUMMYFUNCTION("""COMPUTED_VALUE"""),69.0)</f>
        <v>69</v>
      </c>
      <c r="F1508" s="19" t="str">
        <f>IFERROR(__xludf.DUMMYFUNCTION("""COMPUTED_VALUE"""),"BLACK")</f>
        <v>BLACK</v>
      </c>
      <c r="G1508" s="20" t="str">
        <f>IFERROR(__xludf.DUMMYFUNCTION("""COMPUTED_VALUE"""),"Uncle Sams Cider (5/13/2022)")</f>
        <v>Uncle Sams Cider (5/13/2022)</v>
      </c>
      <c r="H1508" s="19"/>
    </row>
    <row r="1509">
      <c r="A1509" s="9"/>
      <c r="B1509" s="15"/>
      <c r="C1509" s="9">
        <f>IFERROR(__xludf.DUMMYFUNCTION("""COMPUTED_VALUE"""),44780.8929268055)</f>
        <v>44780.89293</v>
      </c>
      <c r="D1509" s="15">
        <f>IFERROR(__xludf.DUMMYFUNCTION("""COMPUTED_VALUE"""),1.004)</f>
        <v>1.004</v>
      </c>
      <c r="E1509" s="16">
        <f>IFERROR(__xludf.DUMMYFUNCTION("""COMPUTED_VALUE"""),69.0)</f>
        <v>69</v>
      </c>
      <c r="F1509" s="19" t="str">
        <f>IFERROR(__xludf.DUMMYFUNCTION("""COMPUTED_VALUE"""),"BLACK")</f>
        <v>BLACK</v>
      </c>
      <c r="G1509" s="20" t="str">
        <f>IFERROR(__xludf.DUMMYFUNCTION("""COMPUTED_VALUE"""),"Uncle Sams Cider (5/13/2022)")</f>
        <v>Uncle Sams Cider (5/13/2022)</v>
      </c>
      <c r="H1509" s="19"/>
    </row>
    <row r="1510">
      <c r="A1510" s="9"/>
      <c r="B1510" s="15"/>
      <c r="C1510" s="9">
        <f>IFERROR(__xludf.DUMMYFUNCTION("""COMPUTED_VALUE"""),44780.8824830902)</f>
        <v>44780.88248</v>
      </c>
      <c r="D1510" s="15">
        <f>IFERROR(__xludf.DUMMYFUNCTION("""COMPUTED_VALUE"""),1.004)</f>
        <v>1.004</v>
      </c>
      <c r="E1510" s="16">
        <f>IFERROR(__xludf.DUMMYFUNCTION("""COMPUTED_VALUE"""),69.0)</f>
        <v>69</v>
      </c>
      <c r="F1510" s="19" t="str">
        <f>IFERROR(__xludf.DUMMYFUNCTION("""COMPUTED_VALUE"""),"BLACK")</f>
        <v>BLACK</v>
      </c>
      <c r="G1510" s="20" t="str">
        <f>IFERROR(__xludf.DUMMYFUNCTION("""COMPUTED_VALUE"""),"Uncle Sams Cider (5/13/2022)")</f>
        <v>Uncle Sams Cider (5/13/2022)</v>
      </c>
      <c r="H1510" s="19"/>
    </row>
    <row r="1511">
      <c r="A1511" s="9"/>
      <c r="B1511" s="15"/>
      <c r="C1511" s="9">
        <f>IFERROR(__xludf.DUMMYFUNCTION("""COMPUTED_VALUE"""),44780.8720624421)</f>
        <v>44780.87206</v>
      </c>
      <c r="D1511" s="15">
        <f>IFERROR(__xludf.DUMMYFUNCTION("""COMPUTED_VALUE"""),1.004)</f>
        <v>1.004</v>
      </c>
      <c r="E1511" s="16">
        <f>IFERROR(__xludf.DUMMYFUNCTION("""COMPUTED_VALUE"""),69.0)</f>
        <v>69</v>
      </c>
      <c r="F1511" s="19" t="str">
        <f>IFERROR(__xludf.DUMMYFUNCTION("""COMPUTED_VALUE"""),"BLACK")</f>
        <v>BLACK</v>
      </c>
      <c r="G1511" s="20" t="str">
        <f>IFERROR(__xludf.DUMMYFUNCTION("""COMPUTED_VALUE"""),"Uncle Sams Cider (5/13/2022)")</f>
        <v>Uncle Sams Cider (5/13/2022)</v>
      </c>
      <c r="H1511" s="19"/>
    </row>
    <row r="1512">
      <c r="A1512" s="9"/>
      <c r="B1512" s="15"/>
      <c r="C1512" s="9">
        <f>IFERROR(__xludf.DUMMYFUNCTION("""COMPUTED_VALUE"""),44780.8616430787)</f>
        <v>44780.86164</v>
      </c>
      <c r="D1512" s="15">
        <f>IFERROR(__xludf.DUMMYFUNCTION("""COMPUTED_VALUE"""),1.004)</f>
        <v>1.004</v>
      </c>
      <c r="E1512" s="16">
        <f>IFERROR(__xludf.DUMMYFUNCTION("""COMPUTED_VALUE"""),69.0)</f>
        <v>69</v>
      </c>
      <c r="F1512" s="19" t="str">
        <f>IFERROR(__xludf.DUMMYFUNCTION("""COMPUTED_VALUE"""),"BLACK")</f>
        <v>BLACK</v>
      </c>
      <c r="G1512" s="20" t="str">
        <f>IFERROR(__xludf.DUMMYFUNCTION("""COMPUTED_VALUE"""),"Uncle Sams Cider (5/13/2022)")</f>
        <v>Uncle Sams Cider (5/13/2022)</v>
      </c>
      <c r="H1512" s="19"/>
    </row>
    <row r="1513">
      <c r="A1513" s="9"/>
      <c r="B1513" s="15"/>
      <c r="C1513" s="9">
        <f>IFERROR(__xludf.DUMMYFUNCTION("""COMPUTED_VALUE"""),44780.8512102893)</f>
        <v>44780.85121</v>
      </c>
      <c r="D1513" s="15">
        <f>IFERROR(__xludf.DUMMYFUNCTION("""COMPUTED_VALUE"""),1.004)</f>
        <v>1.004</v>
      </c>
      <c r="E1513" s="16">
        <f>IFERROR(__xludf.DUMMYFUNCTION("""COMPUTED_VALUE"""),69.0)</f>
        <v>69</v>
      </c>
      <c r="F1513" s="19" t="str">
        <f>IFERROR(__xludf.DUMMYFUNCTION("""COMPUTED_VALUE"""),"BLACK")</f>
        <v>BLACK</v>
      </c>
      <c r="G1513" s="20" t="str">
        <f>IFERROR(__xludf.DUMMYFUNCTION("""COMPUTED_VALUE"""),"Uncle Sams Cider (5/13/2022)")</f>
        <v>Uncle Sams Cider (5/13/2022)</v>
      </c>
      <c r="H1513" s="19"/>
    </row>
    <row r="1514">
      <c r="A1514" s="9"/>
      <c r="B1514" s="15"/>
      <c r="C1514" s="9">
        <f>IFERROR(__xludf.DUMMYFUNCTION("""COMPUTED_VALUE"""),44780.840789456)</f>
        <v>44780.84079</v>
      </c>
      <c r="D1514" s="15">
        <f>IFERROR(__xludf.DUMMYFUNCTION("""COMPUTED_VALUE"""),1.004)</f>
        <v>1.004</v>
      </c>
      <c r="E1514" s="16">
        <f>IFERROR(__xludf.DUMMYFUNCTION("""COMPUTED_VALUE"""),69.0)</f>
        <v>69</v>
      </c>
      <c r="F1514" s="19" t="str">
        <f>IFERROR(__xludf.DUMMYFUNCTION("""COMPUTED_VALUE"""),"BLACK")</f>
        <v>BLACK</v>
      </c>
      <c r="G1514" s="20" t="str">
        <f>IFERROR(__xludf.DUMMYFUNCTION("""COMPUTED_VALUE"""),"Uncle Sams Cider (5/13/2022)")</f>
        <v>Uncle Sams Cider (5/13/2022)</v>
      </c>
      <c r="H1514" s="19"/>
    </row>
    <row r="1515">
      <c r="A1515" s="9"/>
      <c r="B1515" s="15"/>
      <c r="C1515" s="9">
        <f>IFERROR(__xludf.DUMMYFUNCTION("""COMPUTED_VALUE"""),44780.830356493)</f>
        <v>44780.83036</v>
      </c>
      <c r="D1515" s="15">
        <f>IFERROR(__xludf.DUMMYFUNCTION("""COMPUTED_VALUE"""),1.004)</f>
        <v>1.004</v>
      </c>
      <c r="E1515" s="16">
        <f>IFERROR(__xludf.DUMMYFUNCTION("""COMPUTED_VALUE"""),69.0)</f>
        <v>69</v>
      </c>
      <c r="F1515" s="19" t="str">
        <f>IFERROR(__xludf.DUMMYFUNCTION("""COMPUTED_VALUE"""),"BLACK")</f>
        <v>BLACK</v>
      </c>
      <c r="G1515" s="20" t="str">
        <f>IFERROR(__xludf.DUMMYFUNCTION("""COMPUTED_VALUE"""),"Uncle Sams Cider (5/13/2022)")</f>
        <v>Uncle Sams Cider (5/13/2022)</v>
      </c>
      <c r="H1515" s="19"/>
    </row>
    <row r="1516">
      <c r="A1516" s="9"/>
      <c r="B1516" s="15"/>
      <c r="C1516" s="9">
        <f>IFERROR(__xludf.DUMMYFUNCTION("""COMPUTED_VALUE"""),44780.8199228935)</f>
        <v>44780.81992</v>
      </c>
      <c r="D1516" s="15">
        <f>IFERROR(__xludf.DUMMYFUNCTION("""COMPUTED_VALUE"""),1.004)</f>
        <v>1.004</v>
      </c>
      <c r="E1516" s="16">
        <f>IFERROR(__xludf.DUMMYFUNCTION("""COMPUTED_VALUE"""),69.0)</f>
        <v>69</v>
      </c>
      <c r="F1516" s="19" t="str">
        <f>IFERROR(__xludf.DUMMYFUNCTION("""COMPUTED_VALUE"""),"BLACK")</f>
        <v>BLACK</v>
      </c>
      <c r="G1516" s="20" t="str">
        <f>IFERROR(__xludf.DUMMYFUNCTION("""COMPUTED_VALUE"""),"Uncle Sams Cider (5/13/2022)")</f>
        <v>Uncle Sams Cider (5/13/2022)</v>
      </c>
      <c r="H1516" s="19"/>
    </row>
    <row r="1517">
      <c r="A1517" s="9"/>
      <c r="B1517" s="15"/>
      <c r="C1517" s="9">
        <f>IFERROR(__xludf.DUMMYFUNCTION("""COMPUTED_VALUE"""),44780.8095027777)</f>
        <v>44780.8095</v>
      </c>
      <c r="D1517" s="15">
        <f>IFERROR(__xludf.DUMMYFUNCTION("""COMPUTED_VALUE"""),1.004)</f>
        <v>1.004</v>
      </c>
      <c r="E1517" s="16">
        <f>IFERROR(__xludf.DUMMYFUNCTION("""COMPUTED_VALUE"""),69.0)</f>
        <v>69</v>
      </c>
      <c r="F1517" s="19" t="str">
        <f>IFERROR(__xludf.DUMMYFUNCTION("""COMPUTED_VALUE"""),"BLACK")</f>
        <v>BLACK</v>
      </c>
      <c r="G1517" s="20" t="str">
        <f>IFERROR(__xludf.DUMMYFUNCTION("""COMPUTED_VALUE"""),"Uncle Sams Cider (5/13/2022)")</f>
        <v>Uncle Sams Cider (5/13/2022)</v>
      </c>
      <c r="H1517" s="19"/>
    </row>
    <row r="1518">
      <c r="A1518" s="9"/>
      <c r="B1518" s="15"/>
      <c r="C1518" s="9">
        <f>IFERROR(__xludf.DUMMYFUNCTION("""COMPUTED_VALUE"""),44780.7990825925)</f>
        <v>44780.79908</v>
      </c>
      <c r="D1518" s="15">
        <f>IFERROR(__xludf.DUMMYFUNCTION("""COMPUTED_VALUE"""),1.004)</f>
        <v>1.004</v>
      </c>
      <c r="E1518" s="16">
        <f>IFERROR(__xludf.DUMMYFUNCTION("""COMPUTED_VALUE"""),69.0)</f>
        <v>69</v>
      </c>
      <c r="F1518" s="19" t="str">
        <f>IFERROR(__xludf.DUMMYFUNCTION("""COMPUTED_VALUE"""),"BLACK")</f>
        <v>BLACK</v>
      </c>
      <c r="G1518" s="20" t="str">
        <f>IFERROR(__xludf.DUMMYFUNCTION("""COMPUTED_VALUE"""),"Uncle Sams Cider (5/13/2022)")</f>
        <v>Uncle Sams Cider (5/13/2022)</v>
      </c>
      <c r="H1518" s="19"/>
    </row>
    <row r="1519">
      <c r="A1519" s="9"/>
      <c r="B1519" s="15"/>
      <c r="C1519" s="9">
        <f>IFERROR(__xludf.DUMMYFUNCTION("""COMPUTED_VALUE"""),44780.7886619791)</f>
        <v>44780.78866</v>
      </c>
      <c r="D1519" s="15">
        <f>IFERROR(__xludf.DUMMYFUNCTION("""COMPUTED_VALUE"""),1.004)</f>
        <v>1.004</v>
      </c>
      <c r="E1519" s="16">
        <f>IFERROR(__xludf.DUMMYFUNCTION("""COMPUTED_VALUE"""),69.0)</f>
        <v>69</v>
      </c>
      <c r="F1519" s="19" t="str">
        <f>IFERROR(__xludf.DUMMYFUNCTION("""COMPUTED_VALUE"""),"BLACK")</f>
        <v>BLACK</v>
      </c>
      <c r="G1519" s="20" t="str">
        <f>IFERROR(__xludf.DUMMYFUNCTION("""COMPUTED_VALUE"""),"Uncle Sams Cider (5/13/2022)")</f>
        <v>Uncle Sams Cider (5/13/2022)</v>
      </c>
      <c r="H1519" s="19"/>
    </row>
    <row r="1520">
      <c r="A1520" s="9"/>
      <c r="B1520" s="15"/>
      <c r="C1520" s="9">
        <f>IFERROR(__xludf.DUMMYFUNCTION("""COMPUTED_VALUE"""),44780.7782410764)</f>
        <v>44780.77824</v>
      </c>
      <c r="D1520" s="15">
        <f>IFERROR(__xludf.DUMMYFUNCTION("""COMPUTED_VALUE"""),1.004)</f>
        <v>1.004</v>
      </c>
      <c r="E1520" s="16">
        <f>IFERROR(__xludf.DUMMYFUNCTION("""COMPUTED_VALUE"""),69.0)</f>
        <v>69</v>
      </c>
      <c r="F1520" s="19" t="str">
        <f>IFERROR(__xludf.DUMMYFUNCTION("""COMPUTED_VALUE"""),"BLACK")</f>
        <v>BLACK</v>
      </c>
      <c r="G1520" s="20" t="str">
        <f>IFERROR(__xludf.DUMMYFUNCTION("""COMPUTED_VALUE"""),"Uncle Sams Cider (5/13/2022)")</f>
        <v>Uncle Sams Cider (5/13/2022)</v>
      </c>
      <c r="H1520" s="19"/>
    </row>
    <row r="1521">
      <c r="A1521" s="9"/>
      <c r="B1521" s="15"/>
      <c r="C1521" s="9">
        <f>IFERROR(__xludf.DUMMYFUNCTION("""COMPUTED_VALUE"""),44780.7678191319)</f>
        <v>44780.76782</v>
      </c>
      <c r="D1521" s="15">
        <f>IFERROR(__xludf.DUMMYFUNCTION("""COMPUTED_VALUE"""),1.004)</f>
        <v>1.004</v>
      </c>
      <c r="E1521" s="16">
        <f>IFERROR(__xludf.DUMMYFUNCTION("""COMPUTED_VALUE"""),69.0)</f>
        <v>69</v>
      </c>
      <c r="F1521" s="19" t="str">
        <f>IFERROR(__xludf.DUMMYFUNCTION("""COMPUTED_VALUE"""),"BLACK")</f>
        <v>BLACK</v>
      </c>
      <c r="G1521" s="20" t="str">
        <f>IFERROR(__xludf.DUMMYFUNCTION("""COMPUTED_VALUE"""),"Uncle Sams Cider (5/13/2022)")</f>
        <v>Uncle Sams Cider (5/13/2022)</v>
      </c>
      <c r="H1521" s="19"/>
    </row>
    <row r="1522">
      <c r="A1522" s="9"/>
      <c r="B1522" s="15"/>
      <c r="C1522" s="9">
        <f>IFERROR(__xludf.DUMMYFUNCTION("""COMPUTED_VALUE"""),44780.7573967013)</f>
        <v>44780.7574</v>
      </c>
      <c r="D1522" s="15">
        <f>IFERROR(__xludf.DUMMYFUNCTION("""COMPUTED_VALUE"""),1.004)</f>
        <v>1.004</v>
      </c>
      <c r="E1522" s="16">
        <f>IFERROR(__xludf.DUMMYFUNCTION("""COMPUTED_VALUE"""),69.0)</f>
        <v>69</v>
      </c>
      <c r="F1522" s="19" t="str">
        <f>IFERROR(__xludf.DUMMYFUNCTION("""COMPUTED_VALUE"""),"BLACK")</f>
        <v>BLACK</v>
      </c>
      <c r="G1522" s="20" t="str">
        <f>IFERROR(__xludf.DUMMYFUNCTION("""COMPUTED_VALUE"""),"Uncle Sams Cider (5/13/2022)")</f>
        <v>Uncle Sams Cider (5/13/2022)</v>
      </c>
      <c r="H1522" s="19"/>
    </row>
    <row r="1523">
      <c r="A1523" s="9"/>
      <c r="B1523" s="15"/>
      <c r="C1523" s="9">
        <f>IFERROR(__xludf.DUMMYFUNCTION("""COMPUTED_VALUE"""),44780.7469768171)</f>
        <v>44780.74698</v>
      </c>
      <c r="D1523" s="15">
        <f>IFERROR(__xludf.DUMMYFUNCTION("""COMPUTED_VALUE"""),1.004)</f>
        <v>1.004</v>
      </c>
      <c r="E1523" s="16">
        <f>IFERROR(__xludf.DUMMYFUNCTION("""COMPUTED_VALUE"""),69.0)</f>
        <v>69</v>
      </c>
      <c r="F1523" s="19" t="str">
        <f>IFERROR(__xludf.DUMMYFUNCTION("""COMPUTED_VALUE"""),"BLACK")</f>
        <v>BLACK</v>
      </c>
      <c r="G1523" s="20" t="str">
        <f>IFERROR(__xludf.DUMMYFUNCTION("""COMPUTED_VALUE"""),"Uncle Sams Cider (5/13/2022)")</f>
        <v>Uncle Sams Cider (5/13/2022)</v>
      </c>
      <c r="H1523" s="19"/>
    </row>
    <row r="1524">
      <c r="A1524" s="9"/>
      <c r="B1524" s="15"/>
      <c r="C1524" s="9">
        <f>IFERROR(__xludf.DUMMYFUNCTION("""COMPUTED_VALUE"""),44780.7365451504)</f>
        <v>44780.73655</v>
      </c>
      <c r="D1524" s="15">
        <f>IFERROR(__xludf.DUMMYFUNCTION("""COMPUTED_VALUE"""),1.004)</f>
        <v>1.004</v>
      </c>
      <c r="E1524" s="16">
        <f>IFERROR(__xludf.DUMMYFUNCTION("""COMPUTED_VALUE"""),69.0)</f>
        <v>69</v>
      </c>
      <c r="F1524" s="19" t="str">
        <f>IFERROR(__xludf.DUMMYFUNCTION("""COMPUTED_VALUE"""),"BLACK")</f>
        <v>BLACK</v>
      </c>
      <c r="G1524" s="20" t="str">
        <f>IFERROR(__xludf.DUMMYFUNCTION("""COMPUTED_VALUE"""),"Uncle Sams Cider (5/13/2022)")</f>
        <v>Uncle Sams Cider (5/13/2022)</v>
      </c>
      <c r="H1524" s="19"/>
    </row>
    <row r="1525">
      <c r="A1525" s="9"/>
      <c r="B1525" s="15"/>
      <c r="C1525" s="9">
        <f>IFERROR(__xludf.DUMMYFUNCTION("""COMPUTED_VALUE"""),44780.7261232291)</f>
        <v>44780.72612</v>
      </c>
      <c r="D1525" s="15">
        <f>IFERROR(__xludf.DUMMYFUNCTION("""COMPUTED_VALUE"""),1.004)</f>
        <v>1.004</v>
      </c>
      <c r="E1525" s="16">
        <f>IFERROR(__xludf.DUMMYFUNCTION("""COMPUTED_VALUE"""),69.0)</f>
        <v>69</v>
      </c>
      <c r="F1525" s="19" t="str">
        <f>IFERROR(__xludf.DUMMYFUNCTION("""COMPUTED_VALUE"""),"BLACK")</f>
        <v>BLACK</v>
      </c>
      <c r="G1525" s="20" t="str">
        <f>IFERROR(__xludf.DUMMYFUNCTION("""COMPUTED_VALUE"""),"Uncle Sams Cider (5/13/2022)")</f>
        <v>Uncle Sams Cider (5/13/2022)</v>
      </c>
      <c r="H1525" s="19"/>
    </row>
    <row r="1526">
      <c r="A1526" s="9"/>
      <c r="B1526" s="15"/>
      <c r="C1526" s="9">
        <f>IFERROR(__xludf.DUMMYFUNCTION("""COMPUTED_VALUE"""),44780.715688125)</f>
        <v>44780.71569</v>
      </c>
      <c r="D1526" s="15">
        <f>IFERROR(__xludf.DUMMYFUNCTION("""COMPUTED_VALUE"""),1.004)</f>
        <v>1.004</v>
      </c>
      <c r="E1526" s="16">
        <f>IFERROR(__xludf.DUMMYFUNCTION("""COMPUTED_VALUE"""),69.0)</f>
        <v>69</v>
      </c>
      <c r="F1526" s="19" t="str">
        <f>IFERROR(__xludf.DUMMYFUNCTION("""COMPUTED_VALUE"""),"BLACK")</f>
        <v>BLACK</v>
      </c>
      <c r="G1526" s="20" t="str">
        <f>IFERROR(__xludf.DUMMYFUNCTION("""COMPUTED_VALUE"""),"Uncle Sams Cider (5/13/2022)")</f>
        <v>Uncle Sams Cider (5/13/2022)</v>
      </c>
      <c r="H1526" s="19"/>
    </row>
    <row r="1527">
      <c r="A1527" s="9"/>
      <c r="B1527" s="15"/>
      <c r="C1527" s="9">
        <f>IFERROR(__xludf.DUMMYFUNCTION("""COMPUTED_VALUE"""),44780.7052675)</f>
        <v>44780.70527</v>
      </c>
      <c r="D1527" s="15">
        <f>IFERROR(__xludf.DUMMYFUNCTION("""COMPUTED_VALUE"""),1.004)</f>
        <v>1.004</v>
      </c>
      <c r="E1527" s="16">
        <f>IFERROR(__xludf.DUMMYFUNCTION("""COMPUTED_VALUE"""),69.0)</f>
        <v>69</v>
      </c>
      <c r="F1527" s="19" t="str">
        <f>IFERROR(__xludf.DUMMYFUNCTION("""COMPUTED_VALUE"""),"BLACK")</f>
        <v>BLACK</v>
      </c>
      <c r="G1527" s="20" t="str">
        <f>IFERROR(__xludf.DUMMYFUNCTION("""COMPUTED_VALUE"""),"Uncle Sams Cider (5/13/2022)")</f>
        <v>Uncle Sams Cider (5/13/2022)</v>
      </c>
      <c r="H1527" s="19"/>
    </row>
    <row r="1528">
      <c r="A1528" s="9"/>
      <c r="B1528" s="15"/>
      <c r="C1528" s="9">
        <f>IFERROR(__xludf.DUMMYFUNCTION("""COMPUTED_VALUE"""),44780.6948224537)</f>
        <v>44780.69482</v>
      </c>
      <c r="D1528" s="15">
        <f>IFERROR(__xludf.DUMMYFUNCTION("""COMPUTED_VALUE"""),1.004)</f>
        <v>1.004</v>
      </c>
      <c r="E1528" s="16">
        <f>IFERROR(__xludf.DUMMYFUNCTION("""COMPUTED_VALUE"""),69.0)</f>
        <v>69</v>
      </c>
      <c r="F1528" s="19" t="str">
        <f>IFERROR(__xludf.DUMMYFUNCTION("""COMPUTED_VALUE"""),"BLACK")</f>
        <v>BLACK</v>
      </c>
      <c r="G1528" s="20" t="str">
        <f>IFERROR(__xludf.DUMMYFUNCTION("""COMPUTED_VALUE"""),"Uncle Sams Cider (5/13/2022)")</f>
        <v>Uncle Sams Cider (5/13/2022)</v>
      </c>
      <c r="H1528" s="19"/>
    </row>
    <row r="1529">
      <c r="A1529" s="9"/>
      <c r="B1529" s="15"/>
      <c r="C1529" s="9">
        <f>IFERROR(__xludf.DUMMYFUNCTION("""COMPUTED_VALUE"""),44780.6843998032)</f>
        <v>44780.6844</v>
      </c>
      <c r="D1529" s="15">
        <f>IFERROR(__xludf.DUMMYFUNCTION("""COMPUTED_VALUE"""),1.004)</f>
        <v>1.004</v>
      </c>
      <c r="E1529" s="16">
        <f>IFERROR(__xludf.DUMMYFUNCTION("""COMPUTED_VALUE"""),69.0)</f>
        <v>69</v>
      </c>
      <c r="F1529" s="19" t="str">
        <f>IFERROR(__xludf.DUMMYFUNCTION("""COMPUTED_VALUE"""),"BLACK")</f>
        <v>BLACK</v>
      </c>
      <c r="G1529" s="20" t="str">
        <f>IFERROR(__xludf.DUMMYFUNCTION("""COMPUTED_VALUE"""),"Uncle Sams Cider (5/13/2022)")</f>
        <v>Uncle Sams Cider (5/13/2022)</v>
      </c>
      <c r="H1529" s="19"/>
    </row>
    <row r="1530">
      <c r="A1530" s="9"/>
      <c r="B1530" s="15"/>
      <c r="C1530" s="9">
        <f>IFERROR(__xludf.DUMMYFUNCTION("""COMPUTED_VALUE"""),44780.6739673958)</f>
        <v>44780.67397</v>
      </c>
      <c r="D1530" s="15">
        <f>IFERROR(__xludf.DUMMYFUNCTION("""COMPUTED_VALUE"""),1.004)</f>
        <v>1.004</v>
      </c>
      <c r="E1530" s="16">
        <f>IFERROR(__xludf.DUMMYFUNCTION("""COMPUTED_VALUE"""),69.0)</f>
        <v>69</v>
      </c>
      <c r="F1530" s="19" t="str">
        <f>IFERROR(__xludf.DUMMYFUNCTION("""COMPUTED_VALUE"""),"BLACK")</f>
        <v>BLACK</v>
      </c>
      <c r="G1530" s="20" t="str">
        <f>IFERROR(__xludf.DUMMYFUNCTION("""COMPUTED_VALUE"""),"Uncle Sams Cider (5/13/2022)")</f>
        <v>Uncle Sams Cider (5/13/2022)</v>
      </c>
      <c r="H1530" s="19"/>
    </row>
    <row r="1531">
      <c r="A1531" s="9"/>
      <c r="B1531" s="15"/>
      <c r="C1531" s="9">
        <f>IFERROR(__xludf.DUMMYFUNCTION("""COMPUTED_VALUE"""),44780.6635465625)</f>
        <v>44780.66355</v>
      </c>
      <c r="D1531" s="15">
        <f>IFERROR(__xludf.DUMMYFUNCTION("""COMPUTED_VALUE"""),1.004)</f>
        <v>1.004</v>
      </c>
      <c r="E1531" s="16">
        <f>IFERROR(__xludf.DUMMYFUNCTION("""COMPUTED_VALUE"""),69.0)</f>
        <v>69</v>
      </c>
      <c r="F1531" s="19" t="str">
        <f>IFERROR(__xludf.DUMMYFUNCTION("""COMPUTED_VALUE"""),"BLACK")</f>
        <v>BLACK</v>
      </c>
      <c r="G1531" s="20" t="str">
        <f>IFERROR(__xludf.DUMMYFUNCTION("""COMPUTED_VALUE"""),"Uncle Sams Cider (5/13/2022)")</f>
        <v>Uncle Sams Cider (5/13/2022)</v>
      </c>
      <c r="H1531" s="19"/>
    </row>
    <row r="1532">
      <c r="A1532" s="9"/>
      <c r="B1532" s="15"/>
      <c r="C1532" s="9">
        <f>IFERROR(__xludf.DUMMYFUNCTION("""COMPUTED_VALUE"""),44780.6531128703)</f>
        <v>44780.65311</v>
      </c>
      <c r="D1532" s="15">
        <f>IFERROR(__xludf.DUMMYFUNCTION("""COMPUTED_VALUE"""),1.004)</f>
        <v>1.004</v>
      </c>
      <c r="E1532" s="16">
        <f>IFERROR(__xludf.DUMMYFUNCTION("""COMPUTED_VALUE"""),69.0)</f>
        <v>69</v>
      </c>
      <c r="F1532" s="19" t="str">
        <f>IFERROR(__xludf.DUMMYFUNCTION("""COMPUTED_VALUE"""),"BLACK")</f>
        <v>BLACK</v>
      </c>
      <c r="G1532" s="20" t="str">
        <f>IFERROR(__xludf.DUMMYFUNCTION("""COMPUTED_VALUE"""),"Uncle Sams Cider (5/13/2022)")</f>
        <v>Uncle Sams Cider (5/13/2022)</v>
      </c>
      <c r="H1532" s="19"/>
    </row>
    <row r="1533">
      <c r="A1533" s="9"/>
      <c r="B1533" s="15"/>
      <c r="C1533" s="9">
        <f>IFERROR(__xludf.DUMMYFUNCTION("""COMPUTED_VALUE"""),44780.6426923263)</f>
        <v>44780.64269</v>
      </c>
      <c r="D1533" s="15">
        <f>IFERROR(__xludf.DUMMYFUNCTION("""COMPUTED_VALUE"""),1.004)</f>
        <v>1.004</v>
      </c>
      <c r="E1533" s="16">
        <f>IFERROR(__xludf.DUMMYFUNCTION("""COMPUTED_VALUE"""),69.0)</f>
        <v>69</v>
      </c>
      <c r="F1533" s="19" t="str">
        <f>IFERROR(__xludf.DUMMYFUNCTION("""COMPUTED_VALUE"""),"BLACK")</f>
        <v>BLACK</v>
      </c>
      <c r="G1533" s="20" t="str">
        <f>IFERROR(__xludf.DUMMYFUNCTION("""COMPUTED_VALUE"""),"Uncle Sams Cider (5/13/2022)")</f>
        <v>Uncle Sams Cider (5/13/2022)</v>
      </c>
      <c r="H1533" s="19"/>
    </row>
    <row r="1534">
      <c r="A1534" s="9"/>
      <c r="B1534" s="15"/>
      <c r="C1534" s="9">
        <f>IFERROR(__xludf.DUMMYFUNCTION("""COMPUTED_VALUE"""),44780.632271412)</f>
        <v>44780.63227</v>
      </c>
      <c r="D1534" s="15">
        <f>IFERROR(__xludf.DUMMYFUNCTION("""COMPUTED_VALUE"""),1.004)</f>
        <v>1.004</v>
      </c>
      <c r="E1534" s="16">
        <f>IFERROR(__xludf.DUMMYFUNCTION("""COMPUTED_VALUE"""),69.0)</f>
        <v>69</v>
      </c>
      <c r="F1534" s="19" t="str">
        <f>IFERROR(__xludf.DUMMYFUNCTION("""COMPUTED_VALUE"""),"BLACK")</f>
        <v>BLACK</v>
      </c>
      <c r="G1534" s="20" t="str">
        <f>IFERROR(__xludf.DUMMYFUNCTION("""COMPUTED_VALUE"""),"Uncle Sams Cider (5/13/2022)")</f>
        <v>Uncle Sams Cider (5/13/2022)</v>
      </c>
      <c r="H1534" s="19"/>
    </row>
    <row r="1535">
      <c r="A1535" s="9"/>
      <c r="B1535" s="15"/>
      <c r="C1535" s="9">
        <f>IFERROR(__xludf.DUMMYFUNCTION("""COMPUTED_VALUE"""),44780.6218487963)</f>
        <v>44780.62185</v>
      </c>
      <c r="D1535" s="15">
        <f>IFERROR(__xludf.DUMMYFUNCTION("""COMPUTED_VALUE"""),1.004)</f>
        <v>1.004</v>
      </c>
      <c r="E1535" s="16">
        <f>IFERROR(__xludf.DUMMYFUNCTION("""COMPUTED_VALUE"""),69.0)</f>
        <v>69</v>
      </c>
      <c r="F1535" s="19" t="str">
        <f>IFERROR(__xludf.DUMMYFUNCTION("""COMPUTED_VALUE"""),"BLACK")</f>
        <v>BLACK</v>
      </c>
      <c r="G1535" s="20" t="str">
        <f>IFERROR(__xludf.DUMMYFUNCTION("""COMPUTED_VALUE"""),"Uncle Sams Cider (5/13/2022)")</f>
        <v>Uncle Sams Cider (5/13/2022)</v>
      </c>
      <c r="H1535" s="19"/>
    </row>
    <row r="1536">
      <c r="A1536" s="9"/>
      <c r="B1536" s="15"/>
      <c r="C1536" s="9">
        <f>IFERROR(__xludf.DUMMYFUNCTION("""COMPUTED_VALUE"""),44780.6114282638)</f>
        <v>44780.61143</v>
      </c>
      <c r="D1536" s="15">
        <f>IFERROR(__xludf.DUMMYFUNCTION("""COMPUTED_VALUE"""),1.004)</f>
        <v>1.004</v>
      </c>
      <c r="E1536" s="16">
        <f>IFERROR(__xludf.DUMMYFUNCTION("""COMPUTED_VALUE"""),69.0)</f>
        <v>69</v>
      </c>
      <c r="F1536" s="19" t="str">
        <f>IFERROR(__xludf.DUMMYFUNCTION("""COMPUTED_VALUE"""),"BLACK")</f>
        <v>BLACK</v>
      </c>
      <c r="G1536" s="20" t="str">
        <f>IFERROR(__xludf.DUMMYFUNCTION("""COMPUTED_VALUE"""),"Uncle Sams Cider (5/13/2022)")</f>
        <v>Uncle Sams Cider (5/13/2022)</v>
      </c>
      <c r="H1536" s="19"/>
    </row>
    <row r="1537">
      <c r="A1537" s="9"/>
      <c r="B1537" s="15"/>
      <c r="C1537" s="9">
        <f>IFERROR(__xludf.DUMMYFUNCTION("""COMPUTED_VALUE"""),44780.6009970949)</f>
        <v>44780.601</v>
      </c>
      <c r="D1537" s="15">
        <f>IFERROR(__xludf.DUMMYFUNCTION("""COMPUTED_VALUE"""),1.004)</f>
        <v>1.004</v>
      </c>
      <c r="E1537" s="16">
        <f>IFERROR(__xludf.DUMMYFUNCTION("""COMPUTED_VALUE"""),69.0)</f>
        <v>69</v>
      </c>
      <c r="F1537" s="19" t="str">
        <f>IFERROR(__xludf.DUMMYFUNCTION("""COMPUTED_VALUE"""),"BLACK")</f>
        <v>BLACK</v>
      </c>
      <c r="G1537" s="20" t="str">
        <f>IFERROR(__xludf.DUMMYFUNCTION("""COMPUTED_VALUE"""),"Uncle Sams Cider (5/13/2022)")</f>
        <v>Uncle Sams Cider (5/13/2022)</v>
      </c>
      <c r="H1537" s="19"/>
    </row>
    <row r="1538">
      <c r="A1538" s="9"/>
      <c r="B1538" s="15"/>
      <c r="C1538" s="9">
        <f>IFERROR(__xludf.DUMMYFUNCTION("""COMPUTED_VALUE"""),44780.5905769675)</f>
        <v>44780.59058</v>
      </c>
      <c r="D1538" s="15">
        <f>IFERROR(__xludf.DUMMYFUNCTION("""COMPUTED_VALUE"""),1.004)</f>
        <v>1.004</v>
      </c>
      <c r="E1538" s="16">
        <f>IFERROR(__xludf.DUMMYFUNCTION("""COMPUTED_VALUE"""),69.0)</f>
        <v>69</v>
      </c>
      <c r="F1538" s="19" t="str">
        <f>IFERROR(__xludf.DUMMYFUNCTION("""COMPUTED_VALUE"""),"BLACK")</f>
        <v>BLACK</v>
      </c>
      <c r="G1538" s="20" t="str">
        <f>IFERROR(__xludf.DUMMYFUNCTION("""COMPUTED_VALUE"""),"Uncle Sams Cider (5/13/2022)")</f>
        <v>Uncle Sams Cider (5/13/2022)</v>
      </c>
      <c r="H1538" s="19"/>
    </row>
    <row r="1539">
      <c r="A1539" s="9"/>
      <c r="B1539" s="15"/>
      <c r="C1539" s="9">
        <f>IFERROR(__xludf.DUMMYFUNCTION("""COMPUTED_VALUE"""),44780.5801544328)</f>
        <v>44780.58015</v>
      </c>
      <c r="D1539" s="15">
        <f>IFERROR(__xludf.DUMMYFUNCTION("""COMPUTED_VALUE"""),1.004)</f>
        <v>1.004</v>
      </c>
      <c r="E1539" s="16">
        <f>IFERROR(__xludf.DUMMYFUNCTION("""COMPUTED_VALUE"""),69.0)</f>
        <v>69</v>
      </c>
      <c r="F1539" s="19" t="str">
        <f>IFERROR(__xludf.DUMMYFUNCTION("""COMPUTED_VALUE"""),"BLACK")</f>
        <v>BLACK</v>
      </c>
      <c r="G1539" s="20" t="str">
        <f>IFERROR(__xludf.DUMMYFUNCTION("""COMPUTED_VALUE"""),"Uncle Sams Cider (5/13/2022)")</f>
        <v>Uncle Sams Cider (5/13/2022)</v>
      </c>
      <c r="H1539" s="19"/>
    </row>
    <row r="1540">
      <c r="A1540" s="9"/>
      <c r="B1540" s="15"/>
      <c r="C1540" s="9">
        <f>IFERROR(__xludf.DUMMYFUNCTION("""COMPUTED_VALUE"""),44780.569722662)</f>
        <v>44780.56972</v>
      </c>
      <c r="D1540" s="15">
        <f>IFERROR(__xludf.DUMMYFUNCTION("""COMPUTED_VALUE"""),1.004)</f>
        <v>1.004</v>
      </c>
      <c r="E1540" s="16">
        <f>IFERROR(__xludf.DUMMYFUNCTION("""COMPUTED_VALUE"""),69.0)</f>
        <v>69</v>
      </c>
      <c r="F1540" s="19" t="str">
        <f>IFERROR(__xludf.DUMMYFUNCTION("""COMPUTED_VALUE"""),"BLACK")</f>
        <v>BLACK</v>
      </c>
      <c r="G1540" s="20" t="str">
        <f>IFERROR(__xludf.DUMMYFUNCTION("""COMPUTED_VALUE"""),"Uncle Sams Cider (5/13/2022)")</f>
        <v>Uncle Sams Cider (5/13/2022)</v>
      </c>
      <c r="H1540" s="19"/>
    </row>
    <row r="1541">
      <c r="A1541" s="9"/>
      <c r="B1541" s="15"/>
      <c r="C1541" s="9">
        <f>IFERROR(__xludf.DUMMYFUNCTION("""COMPUTED_VALUE"""),44780.5593011342)</f>
        <v>44780.5593</v>
      </c>
      <c r="D1541" s="15">
        <f>IFERROR(__xludf.DUMMYFUNCTION("""COMPUTED_VALUE"""),1.004)</f>
        <v>1.004</v>
      </c>
      <c r="E1541" s="16">
        <f>IFERROR(__xludf.DUMMYFUNCTION("""COMPUTED_VALUE"""),69.0)</f>
        <v>69</v>
      </c>
      <c r="F1541" s="19" t="str">
        <f>IFERROR(__xludf.DUMMYFUNCTION("""COMPUTED_VALUE"""),"BLACK")</f>
        <v>BLACK</v>
      </c>
      <c r="G1541" s="20" t="str">
        <f>IFERROR(__xludf.DUMMYFUNCTION("""COMPUTED_VALUE"""),"Uncle Sams Cider (5/13/2022)")</f>
        <v>Uncle Sams Cider (5/13/2022)</v>
      </c>
      <c r="H1541" s="19"/>
    </row>
    <row r="1542">
      <c r="A1542" s="9"/>
      <c r="B1542" s="15"/>
      <c r="C1542" s="9">
        <f>IFERROR(__xludf.DUMMYFUNCTION("""COMPUTED_VALUE"""),44780.5488812731)</f>
        <v>44780.54888</v>
      </c>
      <c r="D1542" s="15">
        <f>IFERROR(__xludf.DUMMYFUNCTION("""COMPUTED_VALUE"""),1.004)</f>
        <v>1.004</v>
      </c>
      <c r="E1542" s="16">
        <f>IFERROR(__xludf.DUMMYFUNCTION("""COMPUTED_VALUE"""),69.0)</f>
        <v>69</v>
      </c>
      <c r="F1542" s="19" t="str">
        <f>IFERROR(__xludf.DUMMYFUNCTION("""COMPUTED_VALUE"""),"BLACK")</f>
        <v>BLACK</v>
      </c>
      <c r="G1542" s="20" t="str">
        <f>IFERROR(__xludf.DUMMYFUNCTION("""COMPUTED_VALUE"""),"Uncle Sams Cider (5/13/2022)")</f>
        <v>Uncle Sams Cider (5/13/2022)</v>
      </c>
      <c r="H1542" s="19"/>
    </row>
    <row r="1543">
      <c r="A1543" s="9"/>
      <c r="B1543" s="15"/>
      <c r="C1543" s="9">
        <f>IFERROR(__xludf.DUMMYFUNCTION("""COMPUTED_VALUE"""),44780.53846125)</f>
        <v>44780.53846</v>
      </c>
      <c r="D1543" s="15">
        <f>IFERROR(__xludf.DUMMYFUNCTION("""COMPUTED_VALUE"""),1.004)</f>
        <v>1.004</v>
      </c>
      <c r="E1543" s="16">
        <f>IFERROR(__xludf.DUMMYFUNCTION("""COMPUTED_VALUE"""),69.0)</f>
        <v>69</v>
      </c>
      <c r="F1543" s="19" t="str">
        <f>IFERROR(__xludf.DUMMYFUNCTION("""COMPUTED_VALUE"""),"BLACK")</f>
        <v>BLACK</v>
      </c>
      <c r="G1543" s="20" t="str">
        <f>IFERROR(__xludf.DUMMYFUNCTION("""COMPUTED_VALUE"""),"Uncle Sams Cider (5/13/2022)")</f>
        <v>Uncle Sams Cider (5/13/2022)</v>
      </c>
      <c r="H1543" s="19"/>
    </row>
    <row r="1544">
      <c r="A1544" s="9"/>
      <c r="B1544" s="15"/>
      <c r="C1544" s="9">
        <f>IFERROR(__xludf.DUMMYFUNCTION("""COMPUTED_VALUE"""),44780.5280282638)</f>
        <v>44780.52803</v>
      </c>
      <c r="D1544" s="15">
        <f>IFERROR(__xludf.DUMMYFUNCTION("""COMPUTED_VALUE"""),1.004)</f>
        <v>1.004</v>
      </c>
      <c r="E1544" s="16">
        <f>IFERROR(__xludf.DUMMYFUNCTION("""COMPUTED_VALUE"""),69.0)</f>
        <v>69</v>
      </c>
      <c r="F1544" s="19" t="str">
        <f>IFERROR(__xludf.DUMMYFUNCTION("""COMPUTED_VALUE"""),"BLACK")</f>
        <v>BLACK</v>
      </c>
      <c r="G1544" s="20" t="str">
        <f>IFERROR(__xludf.DUMMYFUNCTION("""COMPUTED_VALUE"""),"Uncle Sams Cider (5/13/2022)")</f>
        <v>Uncle Sams Cider (5/13/2022)</v>
      </c>
      <c r="H1544" s="19"/>
    </row>
    <row r="1545">
      <c r="A1545" s="9"/>
      <c r="B1545" s="15"/>
      <c r="C1545" s="9">
        <f>IFERROR(__xludf.DUMMYFUNCTION("""COMPUTED_VALUE"""),44780.517607824)</f>
        <v>44780.51761</v>
      </c>
      <c r="D1545" s="15">
        <f>IFERROR(__xludf.DUMMYFUNCTION("""COMPUTED_VALUE"""),1.004)</f>
        <v>1.004</v>
      </c>
      <c r="E1545" s="16">
        <f>IFERROR(__xludf.DUMMYFUNCTION("""COMPUTED_VALUE"""),69.0)</f>
        <v>69</v>
      </c>
      <c r="F1545" s="19" t="str">
        <f>IFERROR(__xludf.DUMMYFUNCTION("""COMPUTED_VALUE"""),"BLACK")</f>
        <v>BLACK</v>
      </c>
      <c r="G1545" s="20" t="str">
        <f>IFERROR(__xludf.DUMMYFUNCTION("""COMPUTED_VALUE"""),"Uncle Sams Cider (5/13/2022)")</f>
        <v>Uncle Sams Cider (5/13/2022)</v>
      </c>
      <c r="H1545" s="19"/>
    </row>
    <row r="1546">
      <c r="A1546" s="9"/>
      <c r="B1546" s="15"/>
      <c r="C1546" s="9">
        <f>IFERROR(__xludf.DUMMYFUNCTION("""COMPUTED_VALUE"""),44780.5071748611)</f>
        <v>44780.50717</v>
      </c>
      <c r="D1546" s="15">
        <f>IFERROR(__xludf.DUMMYFUNCTION("""COMPUTED_VALUE"""),1.004)</f>
        <v>1.004</v>
      </c>
      <c r="E1546" s="16">
        <f>IFERROR(__xludf.DUMMYFUNCTION("""COMPUTED_VALUE"""),69.0)</f>
        <v>69</v>
      </c>
      <c r="F1546" s="19" t="str">
        <f>IFERROR(__xludf.DUMMYFUNCTION("""COMPUTED_VALUE"""),"BLACK")</f>
        <v>BLACK</v>
      </c>
      <c r="G1546" s="20" t="str">
        <f>IFERROR(__xludf.DUMMYFUNCTION("""COMPUTED_VALUE"""),"Uncle Sams Cider (5/13/2022)")</f>
        <v>Uncle Sams Cider (5/13/2022)</v>
      </c>
      <c r="H1546" s="19"/>
    </row>
    <row r="1547">
      <c r="A1547" s="9"/>
      <c r="B1547" s="15"/>
      <c r="C1547" s="9">
        <f>IFERROR(__xludf.DUMMYFUNCTION("""COMPUTED_VALUE"""),44780.4967533796)</f>
        <v>44780.49675</v>
      </c>
      <c r="D1547" s="15">
        <f>IFERROR(__xludf.DUMMYFUNCTION("""COMPUTED_VALUE"""),1.004)</f>
        <v>1.004</v>
      </c>
      <c r="E1547" s="16">
        <f>IFERROR(__xludf.DUMMYFUNCTION("""COMPUTED_VALUE"""),69.0)</f>
        <v>69</v>
      </c>
      <c r="F1547" s="19" t="str">
        <f>IFERROR(__xludf.DUMMYFUNCTION("""COMPUTED_VALUE"""),"BLACK")</f>
        <v>BLACK</v>
      </c>
      <c r="G1547" s="20" t="str">
        <f>IFERROR(__xludf.DUMMYFUNCTION("""COMPUTED_VALUE"""),"Uncle Sams Cider (5/13/2022)")</f>
        <v>Uncle Sams Cider (5/13/2022)</v>
      </c>
      <c r="H1547" s="19"/>
    </row>
    <row r="1548">
      <c r="A1548" s="9"/>
      <c r="B1548" s="15"/>
      <c r="C1548" s="9">
        <f>IFERROR(__xludf.DUMMYFUNCTION("""COMPUTED_VALUE"""),44780.4863194675)</f>
        <v>44780.48632</v>
      </c>
      <c r="D1548" s="15">
        <f>IFERROR(__xludf.DUMMYFUNCTION("""COMPUTED_VALUE"""),1.004)</f>
        <v>1.004</v>
      </c>
      <c r="E1548" s="16">
        <f>IFERROR(__xludf.DUMMYFUNCTION("""COMPUTED_VALUE"""),69.0)</f>
        <v>69</v>
      </c>
      <c r="F1548" s="19" t="str">
        <f>IFERROR(__xludf.DUMMYFUNCTION("""COMPUTED_VALUE"""),"BLACK")</f>
        <v>BLACK</v>
      </c>
      <c r="G1548" s="20" t="str">
        <f>IFERROR(__xludf.DUMMYFUNCTION("""COMPUTED_VALUE"""),"Uncle Sams Cider (5/13/2022)")</f>
        <v>Uncle Sams Cider (5/13/2022)</v>
      </c>
      <c r="H1548" s="19"/>
    </row>
    <row r="1549">
      <c r="A1549" s="9"/>
      <c r="B1549" s="15"/>
      <c r="C1549" s="9">
        <f>IFERROR(__xludf.DUMMYFUNCTION("""COMPUTED_VALUE"""),44780.4758979513)</f>
        <v>44780.4759</v>
      </c>
      <c r="D1549" s="15">
        <f>IFERROR(__xludf.DUMMYFUNCTION("""COMPUTED_VALUE"""),1.004)</f>
        <v>1.004</v>
      </c>
      <c r="E1549" s="16">
        <f>IFERROR(__xludf.DUMMYFUNCTION("""COMPUTED_VALUE"""),69.0)</f>
        <v>69</v>
      </c>
      <c r="F1549" s="19" t="str">
        <f>IFERROR(__xludf.DUMMYFUNCTION("""COMPUTED_VALUE"""),"BLACK")</f>
        <v>BLACK</v>
      </c>
      <c r="G1549" s="20" t="str">
        <f>IFERROR(__xludf.DUMMYFUNCTION("""COMPUTED_VALUE"""),"Uncle Sams Cider (5/13/2022)")</f>
        <v>Uncle Sams Cider (5/13/2022)</v>
      </c>
      <c r="H1549" s="19"/>
    </row>
    <row r="1550">
      <c r="A1550" s="9"/>
      <c r="B1550" s="15"/>
      <c r="C1550" s="9">
        <f>IFERROR(__xludf.DUMMYFUNCTION("""COMPUTED_VALUE"""),44780.4654761805)</f>
        <v>44780.46548</v>
      </c>
      <c r="D1550" s="15">
        <f>IFERROR(__xludf.DUMMYFUNCTION("""COMPUTED_VALUE"""),1.004)</f>
        <v>1.004</v>
      </c>
      <c r="E1550" s="16">
        <f>IFERROR(__xludf.DUMMYFUNCTION("""COMPUTED_VALUE"""),69.0)</f>
        <v>69</v>
      </c>
      <c r="F1550" s="19" t="str">
        <f>IFERROR(__xludf.DUMMYFUNCTION("""COMPUTED_VALUE"""),"BLACK")</f>
        <v>BLACK</v>
      </c>
      <c r="G1550" s="20" t="str">
        <f>IFERROR(__xludf.DUMMYFUNCTION("""COMPUTED_VALUE"""),"Uncle Sams Cider (5/13/2022)")</f>
        <v>Uncle Sams Cider (5/13/2022)</v>
      </c>
      <c r="H1550" s="19"/>
    </row>
    <row r="1551">
      <c r="A1551" s="9"/>
      <c r="B1551" s="15"/>
      <c r="C1551" s="9">
        <f>IFERROR(__xludf.DUMMYFUNCTION("""COMPUTED_VALUE"""),44780.4550541319)</f>
        <v>44780.45505</v>
      </c>
      <c r="D1551" s="15">
        <f>IFERROR(__xludf.DUMMYFUNCTION("""COMPUTED_VALUE"""),1.004)</f>
        <v>1.004</v>
      </c>
      <c r="E1551" s="16">
        <f>IFERROR(__xludf.DUMMYFUNCTION("""COMPUTED_VALUE"""),69.0)</f>
        <v>69</v>
      </c>
      <c r="F1551" s="19" t="str">
        <f>IFERROR(__xludf.DUMMYFUNCTION("""COMPUTED_VALUE"""),"BLACK")</f>
        <v>BLACK</v>
      </c>
      <c r="G1551" s="20" t="str">
        <f>IFERROR(__xludf.DUMMYFUNCTION("""COMPUTED_VALUE"""),"Uncle Sams Cider (5/13/2022)")</f>
        <v>Uncle Sams Cider (5/13/2022)</v>
      </c>
      <c r="H1551" s="19"/>
    </row>
    <row r="1552">
      <c r="A1552" s="9"/>
      <c r="B1552" s="15"/>
      <c r="C1552" s="9">
        <f>IFERROR(__xludf.DUMMYFUNCTION("""COMPUTED_VALUE"""),44780.4446333333)</f>
        <v>44780.44463</v>
      </c>
      <c r="D1552" s="15">
        <f>IFERROR(__xludf.DUMMYFUNCTION("""COMPUTED_VALUE"""),1.004)</f>
        <v>1.004</v>
      </c>
      <c r="E1552" s="16">
        <f>IFERROR(__xludf.DUMMYFUNCTION("""COMPUTED_VALUE"""),69.0)</f>
        <v>69</v>
      </c>
      <c r="F1552" s="19" t="str">
        <f>IFERROR(__xludf.DUMMYFUNCTION("""COMPUTED_VALUE"""),"BLACK")</f>
        <v>BLACK</v>
      </c>
      <c r="G1552" s="20" t="str">
        <f>IFERROR(__xludf.DUMMYFUNCTION("""COMPUTED_VALUE"""),"Uncle Sams Cider (5/13/2022)")</f>
        <v>Uncle Sams Cider (5/13/2022)</v>
      </c>
      <c r="H1552" s="19"/>
    </row>
    <row r="1553">
      <c r="A1553" s="9"/>
      <c r="B1553" s="15"/>
      <c r="C1553" s="9">
        <f>IFERROR(__xludf.DUMMYFUNCTION("""COMPUTED_VALUE"""),44780.4342145949)</f>
        <v>44780.43421</v>
      </c>
      <c r="D1553" s="15">
        <f>IFERROR(__xludf.DUMMYFUNCTION("""COMPUTED_VALUE"""),1.004)</f>
        <v>1.004</v>
      </c>
      <c r="E1553" s="16">
        <f>IFERROR(__xludf.DUMMYFUNCTION("""COMPUTED_VALUE"""),69.0)</f>
        <v>69</v>
      </c>
      <c r="F1553" s="19" t="str">
        <f>IFERROR(__xludf.DUMMYFUNCTION("""COMPUTED_VALUE"""),"BLACK")</f>
        <v>BLACK</v>
      </c>
      <c r="G1553" s="20" t="str">
        <f>IFERROR(__xludf.DUMMYFUNCTION("""COMPUTED_VALUE"""),"Uncle Sams Cider (5/13/2022)")</f>
        <v>Uncle Sams Cider (5/13/2022)</v>
      </c>
      <c r="H1553" s="19"/>
    </row>
    <row r="1554">
      <c r="A1554" s="9"/>
      <c r="B1554" s="15"/>
      <c r="C1554" s="9">
        <f>IFERROR(__xludf.DUMMYFUNCTION("""COMPUTED_VALUE"""),44780.4237933333)</f>
        <v>44780.42379</v>
      </c>
      <c r="D1554" s="15">
        <f>IFERROR(__xludf.DUMMYFUNCTION("""COMPUTED_VALUE"""),1.004)</f>
        <v>1.004</v>
      </c>
      <c r="E1554" s="16">
        <f>IFERROR(__xludf.DUMMYFUNCTION("""COMPUTED_VALUE"""),69.0)</f>
        <v>69</v>
      </c>
      <c r="F1554" s="19" t="str">
        <f>IFERROR(__xludf.DUMMYFUNCTION("""COMPUTED_VALUE"""),"BLACK")</f>
        <v>BLACK</v>
      </c>
      <c r="G1554" s="20" t="str">
        <f>IFERROR(__xludf.DUMMYFUNCTION("""COMPUTED_VALUE"""),"Uncle Sams Cider (5/13/2022)")</f>
        <v>Uncle Sams Cider (5/13/2022)</v>
      </c>
      <c r="H1554" s="19"/>
    </row>
    <row r="1555">
      <c r="A1555" s="9"/>
      <c r="B1555" s="15"/>
      <c r="C1555" s="9">
        <f>IFERROR(__xludf.DUMMYFUNCTION("""COMPUTED_VALUE"""),44780.4133490972)</f>
        <v>44780.41335</v>
      </c>
      <c r="D1555" s="15">
        <f>IFERROR(__xludf.DUMMYFUNCTION("""COMPUTED_VALUE"""),1.004)</f>
        <v>1.004</v>
      </c>
      <c r="E1555" s="16">
        <f>IFERROR(__xludf.DUMMYFUNCTION("""COMPUTED_VALUE"""),69.0)</f>
        <v>69</v>
      </c>
      <c r="F1555" s="19" t="str">
        <f>IFERROR(__xludf.DUMMYFUNCTION("""COMPUTED_VALUE"""),"BLACK")</f>
        <v>BLACK</v>
      </c>
      <c r="G1555" s="20" t="str">
        <f>IFERROR(__xludf.DUMMYFUNCTION("""COMPUTED_VALUE"""),"Uncle Sams Cider (5/13/2022)")</f>
        <v>Uncle Sams Cider (5/13/2022)</v>
      </c>
      <c r="H1555" s="19"/>
    </row>
    <row r="1556">
      <c r="A1556" s="9"/>
      <c r="B1556" s="15"/>
      <c r="C1556" s="9">
        <f>IFERROR(__xludf.DUMMYFUNCTION("""COMPUTED_VALUE"""),44780.4029264583)</f>
        <v>44780.40293</v>
      </c>
      <c r="D1556" s="15">
        <f>IFERROR(__xludf.DUMMYFUNCTION("""COMPUTED_VALUE"""),1.004)</f>
        <v>1.004</v>
      </c>
      <c r="E1556" s="16">
        <f>IFERROR(__xludf.DUMMYFUNCTION("""COMPUTED_VALUE"""),69.0)</f>
        <v>69</v>
      </c>
      <c r="F1556" s="19" t="str">
        <f>IFERROR(__xludf.DUMMYFUNCTION("""COMPUTED_VALUE"""),"BLACK")</f>
        <v>BLACK</v>
      </c>
      <c r="G1556" s="20" t="str">
        <f>IFERROR(__xludf.DUMMYFUNCTION("""COMPUTED_VALUE"""),"Uncle Sams Cider (5/13/2022)")</f>
        <v>Uncle Sams Cider (5/13/2022)</v>
      </c>
      <c r="H1556" s="19"/>
    </row>
    <row r="1557">
      <c r="A1557" s="9"/>
      <c r="B1557" s="15"/>
      <c r="C1557" s="9">
        <f>IFERROR(__xludf.DUMMYFUNCTION("""COMPUTED_VALUE"""),44780.3925059374)</f>
        <v>44780.39251</v>
      </c>
      <c r="D1557" s="15">
        <f>IFERROR(__xludf.DUMMYFUNCTION("""COMPUTED_VALUE"""),1.004)</f>
        <v>1.004</v>
      </c>
      <c r="E1557" s="16">
        <f>IFERROR(__xludf.DUMMYFUNCTION("""COMPUTED_VALUE"""),69.0)</f>
        <v>69</v>
      </c>
      <c r="F1557" s="19" t="str">
        <f>IFERROR(__xludf.DUMMYFUNCTION("""COMPUTED_VALUE"""),"BLACK")</f>
        <v>BLACK</v>
      </c>
      <c r="G1557" s="20" t="str">
        <f>IFERROR(__xludf.DUMMYFUNCTION("""COMPUTED_VALUE"""),"Uncle Sams Cider (5/13/2022)")</f>
        <v>Uncle Sams Cider (5/13/2022)</v>
      </c>
      <c r="H1557" s="19"/>
    </row>
    <row r="1558">
      <c r="A1558" s="9"/>
      <c r="B1558" s="15"/>
      <c r="C1558" s="9">
        <f>IFERROR(__xludf.DUMMYFUNCTION("""COMPUTED_VALUE"""),44780.3820854282)</f>
        <v>44780.38209</v>
      </c>
      <c r="D1558" s="15">
        <f>IFERROR(__xludf.DUMMYFUNCTION("""COMPUTED_VALUE"""),1.004)</f>
        <v>1.004</v>
      </c>
      <c r="E1558" s="16">
        <f>IFERROR(__xludf.DUMMYFUNCTION("""COMPUTED_VALUE"""),69.0)</f>
        <v>69</v>
      </c>
      <c r="F1558" s="19" t="str">
        <f>IFERROR(__xludf.DUMMYFUNCTION("""COMPUTED_VALUE"""),"BLACK")</f>
        <v>BLACK</v>
      </c>
      <c r="G1558" s="20" t="str">
        <f>IFERROR(__xludf.DUMMYFUNCTION("""COMPUTED_VALUE"""),"Uncle Sams Cider (5/13/2022)")</f>
        <v>Uncle Sams Cider (5/13/2022)</v>
      </c>
      <c r="H1558" s="19"/>
    </row>
    <row r="1559">
      <c r="A1559" s="9"/>
      <c r="B1559" s="15"/>
      <c r="C1559" s="9">
        <f>IFERROR(__xludf.DUMMYFUNCTION("""COMPUTED_VALUE"""),44780.3716508912)</f>
        <v>44780.37165</v>
      </c>
      <c r="D1559" s="15">
        <f>IFERROR(__xludf.DUMMYFUNCTION("""COMPUTED_VALUE"""),1.004)</f>
        <v>1.004</v>
      </c>
      <c r="E1559" s="16">
        <f>IFERROR(__xludf.DUMMYFUNCTION("""COMPUTED_VALUE"""),69.0)</f>
        <v>69</v>
      </c>
      <c r="F1559" s="19" t="str">
        <f>IFERROR(__xludf.DUMMYFUNCTION("""COMPUTED_VALUE"""),"BLACK")</f>
        <v>BLACK</v>
      </c>
      <c r="G1559" s="20" t="str">
        <f>IFERROR(__xludf.DUMMYFUNCTION("""COMPUTED_VALUE"""),"Uncle Sams Cider (5/13/2022)")</f>
        <v>Uncle Sams Cider (5/13/2022)</v>
      </c>
      <c r="H1559" s="19"/>
    </row>
    <row r="1560">
      <c r="A1560" s="9"/>
      <c r="B1560" s="15"/>
      <c r="C1560" s="9">
        <f>IFERROR(__xludf.DUMMYFUNCTION("""COMPUTED_VALUE"""),44780.3612297453)</f>
        <v>44780.36123</v>
      </c>
      <c r="D1560" s="15">
        <f>IFERROR(__xludf.DUMMYFUNCTION("""COMPUTED_VALUE"""),1.004)</f>
        <v>1.004</v>
      </c>
      <c r="E1560" s="16">
        <f>IFERROR(__xludf.DUMMYFUNCTION("""COMPUTED_VALUE"""),69.0)</f>
        <v>69</v>
      </c>
      <c r="F1560" s="19" t="str">
        <f>IFERROR(__xludf.DUMMYFUNCTION("""COMPUTED_VALUE"""),"BLACK")</f>
        <v>BLACK</v>
      </c>
      <c r="G1560" s="20" t="str">
        <f>IFERROR(__xludf.DUMMYFUNCTION("""COMPUTED_VALUE"""),"Uncle Sams Cider (5/13/2022)")</f>
        <v>Uncle Sams Cider (5/13/2022)</v>
      </c>
      <c r="H1560" s="19"/>
    </row>
    <row r="1561">
      <c r="A1561" s="9"/>
      <c r="B1561" s="15"/>
      <c r="C1561" s="9">
        <f>IFERROR(__xludf.DUMMYFUNCTION("""COMPUTED_VALUE"""),44780.3508092824)</f>
        <v>44780.35081</v>
      </c>
      <c r="D1561" s="15">
        <f>IFERROR(__xludf.DUMMYFUNCTION("""COMPUTED_VALUE"""),1.004)</f>
        <v>1.004</v>
      </c>
      <c r="E1561" s="16">
        <f>IFERROR(__xludf.DUMMYFUNCTION("""COMPUTED_VALUE"""),69.0)</f>
        <v>69</v>
      </c>
      <c r="F1561" s="19" t="str">
        <f>IFERROR(__xludf.DUMMYFUNCTION("""COMPUTED_VALUE"""),"BLACK")</f>
        <v>BLACK</v>
      </c>
      <c r="G1561" s="20" t="str">
        <f>IFERROR(__xludf.DUMMYFUNCTION("""COMPUTED_VALUE"""),"Uncle Sams Cider (5/13/2022)")</f>
        <v>Uncle Sams Cider (5/13/2022)</v>
      </c>
      <c r="H1561" s="19"/>
    </row>
    <row r="1562">
      <c r="A1562" s="9"/>
      <c r="B1562" s="15"/>
      <c r="C1562" s="9">
        <f>IFERROR(__xludf.DUMMYFUNCTION("""COMPUTED_VALUE"""),44780.3403639236)</f>
        <v>44780.34036</v>
      </c>
      <c r="D1562" s="15">
        <f>IFERROR(__xludf.DUMMYFUNCTION("""COMPUTED_VALUE"""),1.004)</f>
        <v>1.004</v>
      </c>
      <c r="E1562" s="16">
        <f>IFERROR(__xludf.DUMMYFUNCTION("""COMPUTED_VALUE"""),69.0)</f>
        <v>69</v>
      </c>
      <c r="F1562" s="19" t="str">
        <f>IFERROR(__xludf.DUMMYFUNCTION("""COMPUTED_VALUE"""),"BLACK")</f>
        <v>BLACK</v>
      </c>
      <c r="G1562" s="20" t="str">
        <f>IFERROR(__xludf.DUMMYFUNCTION("""COMPUTED_VALUE"""),"Uncle Sams Cider (5/13/2022)")</f>
        <v>Uncle Sams Cider (5/13/2022)</v>
      </c>
      <c r="H1562" s="19"/>
    </row>
    <row r="1563">
      <c r="A1563" s="9"/>
      <c r="B1563" s="15"/>
      <c r="C1563" s="9">
        <f>IFERROR(__xludf.DUMMYFUNCTION("""COMPUTED_VALUE"""),44780.3299436921)</f>
        <v>44780.32994</v>
      </c>
      <c r="D1563" s="15">
        <f>IFERROR(__xludf.DUMMYFUNCTION("""COMPUTED_VALUE"""),1.004)</f>
        <v>1.004</v>
      </c>
      <c r="E1563" s="16">
        <f>IFERROR(__xludf.DUMMYFUNCTION("""COMPUTED_VALUE"""),69.0)</f>
        <v>69</v>
      </c>
      <c r="F1563" s="19" t="str">
        <f>IFERROR(__xludf.DUMMYFUNCTION("""COMPUTED_VALUE"""),"BLACK")</f>
        <v>BLACK</v>
      </c>
      <c r="G1563" s="20" t="str">
        <f>IFERROR(__xludf.DUMMYFUNCTION("""COMPUTED_VALUE"""),"Uncle Sams Cider (5/13/2022)")</f>
        <v>Uncle Sams Cider (5/13/2022)</v>
      </c>
      <c r="H1563" s="19"/>
    </row>
    <row r="1564">
      <c r="A1564" s="9"/>
      <c r="B1564" s="15"/>
      <c r="C1564" s="9">
        <f>IFERROR(__xludf.DUMMYFUNCTION("""COMPUTED_VALUE"""),44780.31952228)</f>
        <v>44780.31952</v>
      </c>
      <c r="D1564" s="15">
        <f>IFERROR(__xludf.DUMMYFUNCTION("""COMPUTED_VALUE"""),1.004)</f>
        <v>1.004</v>
      </c>
      <c r="E1564" s="16">
        <f>IFERROR(__xludf.DUMMYFUNCTION("""COMPUTED_VALUE"""),69.0)</f>
        <v>69</v>
      </c>
      <c r="F1564" s="19" t="str">
        <f>IFERROR(__xludf.DUMMYFUNCTION("""COMPUTED_VALUE"""),"BLACK")</f>
        <v>BLACK</v>
      </c>
      <c r="G1564" s="20" t="str">
        <f>IFERROR(__xludf.DUMMYFUNCTION("""COMPUTED_VALUE"""),"Uncle Sams Cider (5/13/2022)")</f>
        <v>Uncle Sams Cider (5/13/2022)</v>
      </c>
      <c r="H1564" s="19"/>
    </row>
    <row r="1565">
      <c r="A1565" s="9"/>
      <c r="B1565" s="15"/>
      <c r="C1565" s="9">
        <f>IFERROR(__xludf.DUMMYFUNCTION("""COMPUTED_VALUE"""),44780.3090913078)</f>
        <v>44780.30909</v>
      </c>
      <c r="D1565" s="15">
        <f>IFERROR(__xludf.DUMMYFUNCTION("""COMPUTED_VALUE"""),1.004)</f>
        <v>1.004</v>
      </c>
      <c r="E1565" s="16">
        <f>IFERROR(__xludf.DUMMYFUNCTION("""COMPUTED_VALUE"""),69.0)</f>
        <v>69</v>
      </c>
      <c r="F1565" s="19" t="str">
        <f>IFERROR(__xludf.DUMMYFUNCTION("""COMPUTED_VALUE"""),"BLACK")</f>
        <v>BLACK</v>
      </c>
      <c r="G1565" s="20" t="str">
        <f>IFERROR(__xludf.DUMMYFUNCTION("""COMPUTED_VALUE"""),"Uncle Sams Cider (5/13/2022)")</f>
        <v>Uncle Sams Cider (5/13/2022)</v>
      </c>
      <c r="H1565" s="19"/>
    </row>
    <row r="1566">
      <c r="A1566" s="9"/>
      <c r="B1566" s="15"/>
      <c r="C1566" s="9">
        <f>IFERROR(__xludf.DUMMYFUNCTION("""COMPUTED_VALUE"""),44780.2986555671)</f>
        <v>44780.29866</v>
      </c>
      <c r="D1566" s="15">
        <f>IFERROR(__xludf.DUMMYFUNCTION("""COMPUTED_VALUE"""),1.004)</f>
        <v>1.004</v>
      </c>
      <c r="E1566" s="16">
        <f>IFERROR(__xludf.DUMMYFUNCTION("""COMPUTED_VALUE"""),69.0)</f>
        <v>69</v>
      </c>
      <c r="F1566" s="19" t="str">
        <f>IFERROR(__xludf.DUMMYFUNCTION("""COMPUTED_VALUE"""),"BLACK")</f>
        <v>BLACK</v>
      </c>
      <c r="G1566" s="20" t="str">
        <f>IFERROR(__xludf.DUMMYFUNCTION("""COMPUTED_VALUE"""),"Uncle Sams Cider (5/13/2022)")</f>
        <v>Uncle Sams Cider (5/13/2022)</v>
      </c>
      <c r="H1566" s="19"/>
    </row>
    <row r="1567">
      <c r="A1567" s="9"/>
      <c r="B1567" s="15"/>
      <c r="C1567" s="9">
        <f>IFERROR(__xludf.DUMMYFUNCTION("""COMPUTED_VALUE"""),44780.2882342476)</f>
        <v>44780.28823</v>
      </c>
      <c r="D1567" s="15">
        <f>IFERROR(__xludf.DUMMYFUNCTION("""COMPUTED_VALUE"""),1.004)</f>
        <v>1.004</v>
      </c>
      <c r="E1567" s="16">
        <f>IFERROR(__xludf.DUMMYFUNCTION("""COMPUTED_VALUE"""),69.0)</f>
        <v>69</v>
      </c>
      <c r="F1567" s="19" t="str">
        <f>IFERROR(__xludf.DUMMYFUNCTION("""COMPUTED_VALUE"""),"BLACK")</f>
        <v>BLACK</v>
      </c>
      <c r="G1567" s="20" t="str">
        <f>IFERROR(__xludf.DUMMYFUNCTION("""COMPUTED_VALUE"""),"Uncle Sams Cider (5/13/2022)")</f>
        <v>Uncle Sams Cider (5/13/2022)</v>
      </c>
      <c r="H1567" s="19"/>
    </row>
    <row r="1568">
      <c r="A1568" s="9"/>
      <c r="B1568" s="15"/>
      <c r="C1568" s="9">
        <f>IFERROR(__xludf.DUMMYFUNCTION("""COMPUTED_VALUE"""),44780.2778145949)</f>
        <v>44780.27781</v>
      </c>
      <c r="D1568" s="15">
        <f>IFERROR(__xludf.DUMMYFUNCTION("""COMPUTED_VALUE"""),1.004)</f>
        <v>1.004</v>
      </c>
      <c r="E1568" s="16">
        <f>IFERROR(__xludf.DUMMYFUNCTION("""COMPUTED_VALUE"""),69.0)</f>
        <v>69</v>
      </c>
      <c r="F1568" s="19" t="str">
        <f>IFERROR(__xludf.DUMMYFUNCTION("""COMPUTED_VALUE"""),"BLACK")</f>
        <v>BLACK</v>
      </c>
      <c r="G1568" s="20" t="str">
        <f>IFERROR(__xludf.DUMMYFUNCTION("""COMPUTED_VALUE"""),"Uncle Sams Cider (5/13/2022)")</f>
        <v>Uncle Sams Cider (5/13/2022)</v>
      </c>
      <c r="H1568" s="19"/>
    </row>
    <row r="1569">
      <c r="A1569" s="9"/>
      <c r="B1569" s="15"/>
      <c r="C1569" s="9">
        <f>IFERROR(__xludf.DUMMYFUNCTION("""COMPUTED_VALUE"""),44780.2673937963)</f>
        <v>44780.26739</v>
      </c>
      <c r="D1569" s="15">
        <f>IFERROR(__xludf.DUMMYFUNCTION("""COMPUTED_VALUE"""),1.004)</f>
        <v>1.004</v>
      </c>
      <c r="E1569" s="16">
        <f>IFERROR(__xludf.DUMMYFUNCTION("""COMPUTED_VALUE"""),69.0)</f>
        <v>69</v>
      </c>
      <c r="F1569" s="19" t="str">
        <f>IFERROR(__xludf.DUMMYFUNCTION("""COMPUTED_VALUE"""),"BLACK")</f>
        <v>BLACK</v>
      </c>
      <c r="G1569" s="20" t="str">
        <f>IFERROR(__xludf.DUMMYFUNCTION("""COMPUTED_VALUE"""),"Uncle Sams Cider (5/13/2022)")</f>
        <v>Uncle Sams Cider (5/13/2022)</v>
      </c>
      <c r="H1569" s="19"/>
    </row>
    <row r="1570">
      <c r="A1570" s="9"/>
      <c r="B1570" s="15"/>
      <c r="C1570" s="9">
        <f>IFERROR(__xludf.DUMMYFUNCTION("""COMPUTED_VALUE"""),44780.2569726504)</f>
        <v>44780.25697</v>
      </c>
      <c r="D1570" s="15">
        <f>IFERROR(__xludf.DUMMYFUNCTION("""COMPUTED_VALUE"""),1.004)</f>
        <v>1.004</v>
      </c>
      <c r="E1570" s="16">
        <f>IFERROR(__xludf.DUMMYFUNCTION("""COMPUTED_VALUE"""),69.0)</f>
        <v>69</v>
      </c>
      <c r="F1570" s="19" t="str">
        <f>IFERROR(__xludf.DUMMYFUNCTION("""COMPUTED_VALUE"""),"BLACK")</f>
        <v>BLACK</v>
      </c>
      <c r="G1570" s="20" t="str">
        <f>IFERROR(__xludf.DUMMYFUNCTION("""COMPUTED_VALUE"""),"Uncle Sams Cider (5/13/2022)")</f>
        <v>Uncle Sams Cider (5/13/2022)</v>
      </c>
      <c r="H1570" s="19"/>
    </row>
    <row r="1571">
      <c r="A1571" s="9"/>
      <c r="B1571" s="15"/>
      <c r="C1571" s="9">
        <f>IFERROR(__xludf.DUMMYFUNCTION("""COMPUTED_VALUE"""),44780.246540243)</f>
        <v>44780.24654</v>
      </c>
      <c r="D1571" s="15">
        <f>IFERROR(__xludf.DUMMYFUNCTION("""COMPUTED_VALUE"""),1.004)</f>
        <v>1.004</v>
      </c>
      <c r="E1571" s="16">
        <f>IFERROR(__xludf.DUMMYFUNCTION("""COMPUTED_VALUE"""),69.0)</f>
        <v>69</v>
      </c>
      <c r="F1571" s="19" t="str">
        <f>IFERROR(__xludf.DUMMYFUNCTION("""COMPUTED_VALUE"""),"BLACK")</f>
        <v>BLACK</v>
      </c>
      <c r="G1571" s="20" t="str">
        <f>IFERROR(__xludf.DUMMYFUNCTION("""COMPUTED_VALUE"""),"Uncle Sams Cider (5/13/2022)")</f>
        <v>Uncle Sams Cider (5/13/2022)</v>
      </c>
      <c r="H1571" s="19"/>
    </row>
    <row r="1572">
      <c r="A1572" s="9"/>
      <c r="B1572" s="15"/>
      <c r="C1572" s="9">
        <f>IFERROR(__xludf.DUMMYFUNCTION("""COMPUTED_VALUE"""),44780.2361199421)</f>
        <v>44780.23612</v>
      </c>
      <c r="D1572" s="15">
        <f>IFERROR(__xludf.DUMMYFUNCTION("""COMPUTED_VALUE"""),1.004)</f>
        <v>1.004</v>
      </c>
      <c r="E1572" s="16">
        <f>IFERROR(__xludf.DUMMYFUNCTION("""COMPUTED_VALUE"""),69.0)</f>
        <v>69</v>
      </c>
      <c r="F1572" s="19" t="str">
        <f>IFERROR(__xludf.DUMMYFUNCTION("""COMPUTED_VALUE"""),"BLACK")</f>
        <v>BLACK</v>
      </c>
      <c r="G1572" s="20" t="str">
        <f>IFERROR(__xludf.DUMMYFUNCTION("""COMPUTED_VALUE"""),"Uncle Sams Cider (5/13/2022)")</f>
        <v>Uncle Sams Cider (5/13/2022)</v>
      </c>
      <c r="H1572" s="19"/>
    </row>
    <row r="1573">
      <c r="A1573" s="9"/>
      <c r="B1573" s="15"/>
      <c r="C1573" s="9">
        <f>IFERROR(__xludf.DUMMYFUNCTION("""COMPUTED_VALUE"""),44780.2257002893)</f>
        <v>44780.2257</v>
      </c>
      <c r="D1573" s="15">
        <f>IFERROR(__xludf.DUMMYFUNCTION("""COMPUTED_VALUE"""),1.004)</f>
        <v>1.004</v>
      </c>
      <c r="E1573" s="16">
        <f>IFERROR(__xludf.DUMMYFUNCTION("""COMPUTED_VALUE"""),69.0)</f>
        <v>69</v>
      </c>
      <c r="F1573" s="19" t="str">
        <f>IFERROR(__xludf.DUMMYFUNCTION("""COMPUTED_VALUE"""),"BLACK")</f>
        <v>BLACK</v>
      </c>
      <c r="G1573" s="20" t="str">
        <f>IFERROR(__xludf.DUMMYFUNCTION("""COMPUTED_VALUE"""),"Uncle Sams Cider (5/13/2022)")</f>
        <v>Uncle Sams Cider (5/13/2022)</v>
      </c>
      <c r="H1573" s="19"/>
    </row>
    <row r="1574">
      <c r="A1574" s="9"/>
      <c r="B1574" s="15"/>
      <c r="C1574" s="9">
        <f>IFERROR(__xludf.DUMMYFUNCTION("""COMPUTED_VALUE"""),44780.2152778356)</f>
        <v>44780.21528</v>
      </c>
      <c r="D1574" s="15">
        <f>IFERROR(__xludf.DUMMYFUNCTION("""COMPUTED_VALUE"""),1.004)</f>
        <v>1.004</v>
      </c>
      <c r="E1574" s="16">
        <f>IFERROR(__xludf.DUMMYFUNCTION("""COMPUTED_VALUE"""),69.0)</f>
        <v>69</v>
      </c>
      <c r="F1574" s="19" t="str">
        <f>IFERROR(__xludf.DUMMYFUNCTION("""COMPUTED_VALUE"""),"BLACK")</f>
        <v>BLACK</v>
      </c>
      <c r="G1574" s="20" t="str">
        <f>IFERROR(__xludf.DUMMYFUNCTION("""COMPUTED_VALUE"""),"Uncle Sams Cider (5/13/2022)")</f>
        <v>Uncle Sams Cider (5/13/2022)</v>
      </c>
      <c r="H1574" s="19"/>
    </row>
    <row r="1575">
      <c r="A1575" s="9"/>
      <c r="B1575" s="15"/>
      <c r="C1575" s="9">
        <f>IFERROR(__xludf.DUMMYFUNCTION("""COMPUTED_VALUE"""),44780.2048581018)</f>
        <v>44780.20486</v>
      </c>
      <c r="D1575" s="15">
        <f>IFERROR(__xludf.DUMMYFUNCTION("""COMPUTED_VALUE"""),1.004)</f>
        <v>1.004</v>
      </c>
      <c r="E1575" s="16">
        <f>IFERROR(__xludf.DUMMYFUNCTION("""COMPUTED_VALUE"""),68.0)</f>
        <v>68</v>
      </c>
      <c r="F1575" s="19" t="str">
        <f>IFERROR(__xludf.DUMMYFUNCTION("""COMPUTED_VALUE"""),"BLACK")</f>
        <v>BLACK</v>
      </c>
      <c r="G1575" s="20" t="str">
        <f>IFERROR(__xludf.DUMMYFUNCTION("""COMPUTED_VALUE"""),"Uncle Sams Cider (5/13/2022)")</f>
        <v>Uncle Sams Cider (5/13/2022)</v>
      </c>
      <c r="H1575" s="19"/>
    </row>
    <row r="1576">
      <c r="A1576" s="9"/>
      <c r="B1576" s="15"/>
      <c r="C1576" s="9">
        <f>IFERROR(__xludf.DUMMYFUNCTION("""COMPUTED_VALUE"""),44780.1944373495)</f>
        <v>44780.19444</v>
      </c>
      <c r="D1576" s="15">
        <f>IFERROR(__xludf.DUMMYFUNCTION("""COMPUTED_VALUE"""),1.004)</f>
        <v>1.004</v>
      </c>
      <c r="E1576" s="16">
        <f>IFERROR(__xludf.DUMMYFUNCTION("""COMPUTED_VALUE"""),69.0)</f>
        <v>69</v>
      </c>
      <c r="F1576" s="19" t="str">
        <f>IFERROR(__xludf.DUMMYFUNCTION("""COMPUTED_VALUE"""),"BLACK")</f>
        <v>BLACK</v>
      </c>
      <c r="G1576" s="20" t="str">
        <f>IFERROR(__xludf.DUMMYFUNCTION("""COMPUTED_VALUE"""),"Uncle Sams Cider (5/13/2022)")</f>
        <v>Uncle Sams Cider (5/13/2022)</v>
      </c>
      <c r="H1576" s="19"/>
    </row>
    <row r="1577">
      <c r="A1577" s="9"/>
      <c r="B1577" s="15"/>
      <c r="C1577" s="9">
        <f>IFERROR(__xludf.DUMMYFUNCTION("""COMPUTED_VALUE"""),44780.1840061574)</f>
        <v>44780.18401</v>
      </c>
      <c r="D1577" s="15">
        <f>IFERROR(__xludf.DUMMYFUNCTION("""COMPUTED_VALUE"""),1.004)</f>
        <v>1.004</v>
      </c>
      <c r="E1577" s="16">
        <f>IFERROR(__xludf.DUMMYFUNCTION("""COMPUTED_VALUE"""),69.0)</f>
        <v>69</v>
      </c>
      <c r="F1577" s="19" t="str">
        <f>IFERROR(__xludf.DUMMYFUNCTION("""COMPUTED_VALUE"""),"BLACK")</f>
        <v>BLACK</v>
      </c>
      <c r="G1577" s="20" t="str">
        <f>IFERROR(__xludf.DUMMYFUNCTION("""COMPUTED_VALUE"""),"Uncle Sams Cider (5/13/2022)")</f>
        <v>Uncle Sams Cider (5/13/2022)</v>
      </c>
      <c r="H1577" s="19"/>
    </row>
    <row r="1578">
      <c r="A1578" s="9"/>
      <c r="B1578" s="15"/>
      <c r="C1578" s="9">
        <f>IFERROR(__xludf.DUMMYFUNCTION("""COMPUTED_VALUE"""),44780.1735513773)</f>
        <v>44780.17355</v>
      </c>
      <c r="D1578" s="15">
        <f>IFERROR(__xludf.DUMMYFUNCTION("""COMPUTED_VALUE"""),1.004)</f>
        <v>1.004</v>
      </c>
      <c r="E1578" s="16">
        <f>IFERROR(__xludf.DUMMYFUNCTION("""COMPUTED_VALUE"""),68.0)</f>
        <v>68</v>
      </c>
      <c r="F1578" s="19" t="str">
        <f>IFERROR(__xludf.DUMMYFUNCTION("""COMPUTED_VALUE"""),"BLACK")</f>
        <v>BLACK</v>
      </c>
      <c r="G1578" s="20" t="str">
        <f>IFERROR(__xludf.DUMMYFUNCTION("""COMPUTED_VALUE"""),"Uncle Sams Cider (5/13/2022)")</f>
        <v>Uncle Sams Cider (5/13/2022)</v>
      </c>
      <c r="H1578" s="19"/>
    </row>
    <row r="1579">
      <c r="A1579" s="9"/>
      <c r="B1579" s="15"/>
      <c r="C1579" s="9">
        <f>IFERROR(__xludf.DUMMYFUNCTION("""COMPUTED_VALUE"""),44780.1631282986)</f>
        <v>44780.16313</v>
      </c>
      <c r="D1579" s="15">
        <f>IFERROR(__xludf.DUMMYFUNCTION("""COMPUTED_VALUE"""),1.004)</f>
        <v>1.004</v>
      </c>
      <c r="E1579" s="16">
        <f>IFERROR(__xludf.DUMMYFUNCTION("""COMPUTED_VALUE"""),68.0)</f>
        <v>68</v>
      </c>
      <c r="F1579" s="19" t="str">
        <f>IFERROR(__xludf.DUMMYFUNCTION("""COMPUTED_VALUE"""),"BLACK")</f>
        <v>BLACK</v>
      </c>
      <c r="G1579" s="20" t="str">
        <f>IFERROR(__xludf.DUMMYFUNCTION("""COMPUTED_VALUE"""),"Uncle Sams Cider (5/13/2022)")</f>
        <v>Uncle Sams Cider (5/13/2022)</v>
      </c>
      <c r="H1579" s="19"/>
    </row>
    <row r="1580">
      <c r="A1580" s="9"/>
      <c r="B1580" s="15"/>
      <c r="C1580" s="9">
        <f>IFERROR(__xludf.DUMMYFUNCTION("""COMPUTED_VALUE"""),44780.1527053819)</f>
        <v>44780.15271</v>
      </c>
      <c r="D1580" s="15">
        <f>IFERROR(__xludf.DUMMYFUNCTION("""COMPUTED_VALUE"""),1.004)</f>
        <v>1.004</v>
      </c>
      <c r="E1580" s="16">
        <f>IFERROR(__xludf.DUMMYFUNCTION("""COMPUTED_VALUE"""),68.0)</f>
        <v>68</v>
      </c>
      <c r="F1580" s="19" t="str">
        <f>IFERROR(__xludf.DUMMYFUNCTION("""COMPUTED_VALUE"""),"BLACK")</f>
        <v>BLACK</v>
      </c>
      <c r="G1580" s="20" t="str">
        <f>IFERROR(__xludf.DUMMYFUNCTION("""COMPUTED_VALUE"""),"Uncle Sams Cider (5/13/2022)")</f>
        <v>Uncle Sams Cider (5/13/2022)</v>
      </c>
      <c r="H1580" s="19"/>
    </row>
    <row r="1581">
      <c r="A1581" s="9"/>
      <c r="B1581" s="15"/>
      <c r="C1581" s="9">
        <f>IFERROR(__xludf.DUMMYFUNCTION("""COMPUTED_VALUE"""),44780.1422837615)</f>
        <v>44780.14228</v>
      </c>
      <c r="D1581" s="15">
        <f>IFERROR(__xludf.DUMMYFUNCTION("""COMPUTED_VALUE"""),1.004)</f>
        <v>1.004</v>
      </c>
      <c r="E1581" s="16">
        <f>IFERROR(__xludf.DUMMYFUNCTION("""COMPUTED_VALUE"""),68.0)</f>
        <v>68</v>
      </c>
      <c r="F1581" s="19" t="str">
        <f>IFERROR(__xludf.DUMMYFUNCTION("""COMPUTED_VALUE"""),"BLACK")</f>
        <v>BLACK</v>
      </c>
      <c r="G1581" s="20" t="str">
        <f>IFERROR(__xludf.DUMMYFUNCTION("""COMPUTED_VALUE"""),"Uncle Sams Cider (5/13/2022)")</f>
        <v>Uncle Sams Cider (5/13/2022)</v>
      </c>
      <c r="H1581" s="19"/>
    </row>
    <row r="1582">
      <c r="A1582" s="9"/>
      <c r="B1582" s="15"/>
      <c r="C1582" s="9">
        <f>IFERROR(__xludf.DUMMYFUNCTION("""COMPUTED_VALUE"""),44780.1318622453)</f>
        <v>44780.13186</v>
      </c>
      <c r="D1582" s="15">
        <f>IFERROR(__xludf.DUMMYFUNCTION("""COMPUTED_VALUE"""),1.004)</f>
        <v>1.004</v>
      </c>
      <c r="E1582" s="16">
        <f>IFERROR(__xludf.DUMMYFUNCTION("""COMPUTED_VALUE"""),68.0)</f>
        <v>68</v>
      </c>
      <c r="F1582" s="19" t="str">
        <f>IFERROR(__xludf.DUMMYFUNCTION("""COMPUTED_VALUE"""),"BLACK")</f>
        <v>BLACK</v>
      </c>
      <c r="G1582" s="20" t="str">
        <f>IFERROR(__xludf.DUMMYFUNCTION("""COMPUTED_VALUE"""),"Uncle Sams Cider (5/13/2022)")</f>
        <v>Uncle Sams Cider (5/13/2022)</v>
      </c>
      <c r="H1582" s="19"/>
    </row>
    <row r="1583">
      <c r="A1583" s="9"/>
      <c r="B1583" s="15"/>
      <c r="C1583" s="9">
        <f>IFERROR(__xludf.DUMMYFUNCTION("""COMPUTED_VALUE"""),44780.1214433217)</f>
        <v>44780.12144</v>
      </c>
      <c r="D1583" s="15">
        <f>IFERROR(__xludf.DUMMYFUNCTION("""COMPUTED_VALUE"""),1.004)</f>
        <v>1.004</v>
      </c>
      <c r="E1583" s="16">
        <f>IFERROR(__xludf.DUMMYFUNCTION("""COMPUTED_VALUE"""),68.0)</f>
        <v>68</v>
      </c>
      <c r="F1583" s="19" t="str">
        <f>IFERROR(__xludf.DUMMYFUNCTION("""COMPUTED_VALUE"""),"BLACK")</f>
        <v>BLACK</v>
      </c>
      <c r="G1583" s="20" t="str">
        <f>IFERROR(__xludf.DUMMYFUNCTION("""COMPUTED_VALUE"""),"Uncle Sams Cider (5/13/2022)")</f>
        <v>Uncle Sams Cider (5/13/2022)</v>
      </c>
      <c r="H1583" s="19"/>
    </row>
    <row r="1584">
      <c r="A1584" s="9"/>
      <c r="B1584" s="15"/>
      <c r="C1584" s="9">
        <f>IFERROR(__xludf.DUMMYFUNCTION("""COMPUTED_VALUE"""),44780.1110216782)</f>
        <v>44780.11102</v>
      </c>
      <c r="D1584" s="15">
        <f>IFERROR(__xludf.DUMMYFUNCTION("""COMPUTED_VALUE"""),1.004)</f>
        <v>1.004</v>
      </c>
      <c r="E1584" s="16">
        <f>IFERROR(__xludf.DUMMYFUNCTION("""COMPUTED_VALUE"""),68.0)</f>
        <v>68</v>
      </c>
      <c r="F1584" s="19" t="str">
        <f>IFERROR(__xludf.DUMMYFUNCTION("""COMPUTED_VALUE"""),"BLACK")</f>
        <v>BLACK</v>
      </c>
      <c r="G1584" s="20" t="str">
        <f>IFERROR(__xludf.DUMMYFUNCTION("""COMPUTED_VALUE"""),"Uncle Sams Cider (5/13/2022)")</f>
        <v>Uncle Sams Cider (5/13/2022)</v>
      </c>
      <c r="H1584" s="19"/>
    </row>
    <row r="1585">
      <c r="A1585" s="9"/>
      <c r="B1585" s="15"/>
      <c r="C1585" s="9">
        <f>IFERROR(__xludf.DUMMYFUNCTION("""COMPUTED_VALUE"""),44780.1005994907)</f>
        <v>44780.1006</v>
      </c>
      <c r="D1585" s="15">
        <f>IFERROR(__xludf.DUMMYFUNCTION("""COMPUTED_VALUE"""),1.004)</f>
        <v>1.004</v>
      </c>
      <c r="E1585" s="16">
        <f>IFERROR(__xludf.DUMMYFUNCTION("""COMPUTED_VALUE"""),68.0)</f>
        <v>68</v>
      </c>
      <c r="F1585" s="19" t="str">
        <f>IFERROR(__xludf.DUMMYFUNCTION("""COMPUTED_VALUE"""),"BLACK")</f>
        <v>BLACK</v>
      </c>
      <c r="G1585" s="20" t="str">
        <f>IFERROR(__xludf.DUMMYFUNCTION("""COMPUTED_VALUE"""),"Uncle Sams Cider (5/13/2022)")</f>
        <v>Uncle Sams Cider (5/13/2022)</v>
      </c>
      <c r="H1585" s="19"/>
    </row>
    <row r="1586">
      <c r="A1586" s="9"/>
      <c r="B1586" s="15"/>
      <c r="C1586" s="9">
        <f>IFERROR(__xludf.DUMMYFUNCTION("""COMPUTED_VALUE"""),44780.0901794791)</f>
        <v>44780.09018</v>
      </c>
      <c r="D1586" s="15">
        <f>IFERROR(__xludf.DUMMYFUNCTION("""COMPUTED_VALUE"""),1.004)</f>
        <v>1.004</v>
      </c>
      <c r="E1586" s="16">
        <f>IFERROR(__xludf.DUMMYFUNCTION("""COMPUTED_VALUE"""),68.0)</f>
        <v>68</v>
      </c>
      <c r="F1586" s="19" t="str">
        <f>IFERROR(__xludf.DUMMYFUNCTION("""COMPUTED_VALUE"""),"BLACK")</f>
        <v>BLACK</v>
      </c>
      <c r="G1586" s="20" t="str">
        <f>IFERROR(__xludf.DUMMYFUNCTION("""COMPUTED_VALUE"""),"Uncle Sams Cider (5/13/2022)")</f>
        <v>Uncle Sams Cider (5/13/2022)</v>
      </c>
      <c r="H1586" s="19"/>
    </row>
    <row r="1587">
      <c r="A1587" s="9"/>
      <c r="B1587" s="15"/>
      <c r="C1587" s="9">
        <f>IFERROR(__xludf.DUMMYFUNCTION("""COMPUTED_VALUE"""),44780.0797577083)</f>
        <v>44780.07976</v>
      </c>
      <c r="D1587" s="15">
        <f>IFERROR(__xludf.DUMMYFUNCTION("""COMPUTED_VALUE"""),1.004)</f>
        <v>1.004</v>
      </c>
      <c r="E1587" s="16">
        <f>IFERROR(__xludf.DUMMYFUNCTION("""COMPUTED_VALUE"""),68.0)</f>
        <v>68</v>
      </c>
      <c r="F1587" s="19" t="str">
        <f>IFERROR(__xludf.DUMMYFUNCTION("""COMPUTED_VALUE"""),"BLACK")</f>
        <v>BLACK</v>
      </c>
      <c r="G1587" s="20" t="str">
        <f>IFERROR(__xludf.DUMMYFUNCTION("""COMPUTED_VALUE"""),"Uncle Sams Cider (5/13/2022)")</f>
        <v>Uncle Sams Cider (5/13/2022)</v>
      </c>
      <c r="H1587" s="19"/>
    </row>
    <row r="1588">
      <c r="A1588" s="9"/>
      <c r="B1588" s="15"/>
      <c r="C1588" s="9">
        <f>IFERROR(__xludf.DUMMYFUNCTION("""COMPUTED_VALUE"""),44780.0693378472)</f>
        <v>44780.06934</v>
      </c>
      <c r="D1588" s="15">
        <f>IFERROR(__xludf.DUMMYFUNCTION("""COMPUTED_VALUE"""),1.004)</f>
        <v>1.004</v>
      </c>
      <c r="E1588" s="16">
        <f>IFERROR(__xludf.DUMMYFUNCTION("""COMPUTED_VALUE"""),68.0)</f>
        <v>68</v>
      </c>
      <c r="F1588" s="19" t="str">
        <f>IFERROR(__xludf.DUMMYFUNCTION("""COMPUTED_VALUE"""),"BLACK")</f>
        <v>BLACK</v>
      </c>
      <c r="G1588" s="20" t="str">
        <f>IFERROR(__xludf.DUMMYFUNCTION("""COMPUTED_VALUE"""),"Uncle Sams Cider (5/13/2022)")</f>
        <v>Uncle Sams Cider (5/13/2022)</v>
      </c>
      <c r="H1588" s="19"/>
    </row>
    <row r="1589">
      <c r="A1589" s="9"/>
      <c r="B1589" s="15"/>
      <c r="C1589" s="9">
        <f>IFERROR(__xludf.DUMMYFUNCTION("""COMPUTED_VALUE"""),44780.0589175231)</f>
        <v>44780.05892</v>
      </c>
      <c r="D1589" s="15">
        <f>IFERROR(__xludf.DUMMYFUNCTION("""COMPUTED_VALUE"""),1.004)</f>
        <v>1.004</v>
      </c>
      <c r="E1589" s="16">
        <f>IFERROR(__xludf.DUMMYFUNCTION("""COMPUTED_VALUE"""),68.0)</f>
        <v>68</v>
      </c>
      <c r="F1589" s="19" t="str">
        <f>IFERROR(__xludf.DUMMYFUNCTION("""COMPUTED_VALUE"""),"BLACK")</f>
        <v>BLACK</v>
      </c>
      <c r="G1589" s="20" t="str">
        <f>IFERROR(__xludf.DUMMYFUNCTION("""COMPUTED_VALUE"""),"Uncle Sams Cider (5/13/2022)")</f>
        <v>Uncle Sams Cider (5/13/2022)</v>
      </c>
      <c r="H1589" s="19"/>
    </row>
    <row r="1590">
      <c r="A1590" s="9"/>
      <c r="B1590" s="15"/>
      <c r="C1590" s="9">
        <f>IFERROR(__xludf.DUMMYFUNCTION("""COMPUTED_VALUE"""),44780.0484972337)</f>
        <v>44780.0485</v>
      </c>
      <c r="D1590" s="15">
        <f>IFERROR(__xludf.DUMMYFUNCTION("""COMPUTED_VALUE"""),1.004)</f>
        <v>1.004</v>
      </c>
      <c r="E1590" s="16">
        <f>IFERROR(__xludf.DUMMYFUNCTION("""COMPUTED_VALUE"""),68.0)</f>
        <v>68</v>
      </c>
      <c r="F1590" s="19" t="str">
        <f>IFERROR(__xludf.DUMMYFUNCTION("""COMPUTED_VALUE"""),"BLACK")</f>
        <v>BLACK</v>
      </c>
      <c r="G1590" s="20" t="str">
        <f>IFERROR(__xludf.DUMMYFUNCTION("""COMPUTED_VALUE"""),"Uncle Sams Cider (5/13/2022)")</f>
        <v>Uncle Sams Cider (5/13/2022)</v>
      </c>
      <c r="H1590" s="19"/>
    </row>
    <row r="1591">
      <c r="A1591" s="9"/>
      <c r="B1591" s="15"/>
      <c r="C1591" s="9">
        <f>IFERROR(__xludf.DUMMYFUNCTION("""COMPUTED_VALUE"""),44780.0380668518)</f>
        <v>44780.03807</v>
      </c>
      <c r="D1591" s="15">
        <f>IFERROR(__xludf.DUMMYFUNCTION("""COMPUTED_VALUE"""),1.004)</f>
        <v>1.004</v>
      </c>
      <c r="E1591" s="16">
        <f>IFERROR(__xludf.DUMMYFUNCTION("""COMPUTED_VALUE"""),68.0)</f>
        <v>68</v>
      </c>
      <c r="F1591" s="19" t="str">
        <f>IFERROR(__xludf.DUMMYFUNCTION("""COMPUTED_VALUE"""),"BLACK")</f>
        <v>BLACK</v>
      </c>
      <c r="G1591" s="20" t="str">
        <f>IFERROR(__xludf.DUMMYFUNCTION("""COMPUTED_VALUE"""),"Uncle Sams Cider (5/13/2022)")</f>
        <v>Uncle Sams Cider (5/13/2022)</v>
      </c>
      <c r="H1591" s="19"/>
    </row>
    <row r="1592">
      <c r="A1592" s="9"/>
      <c r="B1592" s="15"/>
      <c r="C1592" s="9">
        <f>IFERROR(__xludf.DUMMYFUNCTION("""COMPUTED_VALUE"""),44780.0276452777)</f>
        <v>44780.02765</v>
      </c>
      <c r="D1592" s="15">
        <f>IFERROR(__xludf.DUMMYFUNCTION("""COMPUTED_VALUE"""),1.004)</f>
        <v>1.004</v>
      </c>
      <c r="E1592" s="16">
        <f>IFERROR(__xludf.DUMMYFUNCTION("""COMPUTED_VALUE"""),68.0)</f>
        <v>68</v>
      </c>
      <c r="F1592" s="19" t="str">
        <f>IFERROR(__xludf.DUMMYFUNCTION("""COMPUTED_VALUE"""),"BLACK")</f>
        <v>BLACK</v>
      </c>
      <c r="G1592" s="20" t="str">
        <f>IFERROR(__xludf.DUMMYFUNCTION("""COMPUTED_VALUE"""),"Uncle Sams Cider (5/13/2022)")</f>
        <v>Uncle Sams Cider (5/13/2022)</v>
      </c>
      <c r="H1592" s="19"/>
    </row>
    <row r="1593">
      <c r="A1593" s="9"/>
      <c r="B1593" s="15"/>
      <c r="C1593" s="9">
        <f>IFERROR(__xludf.DUMMYFUNCTION("""COMPUTED_VALUE"""),44780.0172249074)</f>
        <v>44780.01722</v>
      </c>
      <c r="D1593" s="15">
        <f>IFERROR(__xludf.DUMMYFUNCTION("""COMPUTED_VALUE"""),1.004)</f>
        <v>1.004</v>
      </c>
      <c r="E1593" s="16">
        <f>IFERROR(__xludf.DUMMYFUNCTION("""COMPUTED_VALUE"""),68.0)</f>
        <v>68</v>
      </c>
      <c r="F1593" s="19" t="str">
        <f>IFERROR(__xludf.DUMMYFUNCTION("""COMPUTED_VALUE"""),"BLACK")</f>
        <v>BLACK</v>
      </c>
      <c r="G1593" s="20" t="str">
        <f>IFERROR(__xludf.DUMMYFUNCTION("""COMPUTED_VALUE"""),"Uncle Sams Cider (5/13/2022)")</f>
        <v>Uncle Sams Cider (5/13/2022)</v>
      </c>
      <c r="H1593" s="19"/>
    </row>
    <row r="1594">
      <c r="A1594" s="9"/>
      <c r="B1594" s="15"/>
      <c r="C1594" s="9">
        <f>IFERROR(__xludf.DUMMYFUNCTION("""COMPUTED_VALUE"""),44780.0068049305)</f>
        <v>44780.0068</v>
      </c>
      <c r="D1594" s="15">
        <f>IFERROR(__xludf.DUMMYFUNCTION("""COMPUTED_VALUE"""),1.004)</f>
        <v>1.004</v>
      </c>
      <c r="E1594" s="16">
        <f>IFERROR(__xludf.DUMMYFUNCTION("""COMPUTED_VALUE"""),68.0)</f>
        <v>68</v>
      </c>
      <c r="F1594" s="19" t="str">
        <f>IFERROR(__xludf.DUMMYFUNCTION("""COMPUTED_VALUE"""),"BLACK")</f>
        <v>BLACK</v>
      </c>
      <c r="G1594" s="20" t="str">
        <f>IFERROR(__xludf.DUMMYFUNCTION("""COMPUTED_VALUE"""),"Uncle Sams Cider (5/13/2022)")</f>
        <v>Uncle Sams Cider (5/13/2022)</v>
      </c>
      <c r="H1594" s="19"/>
    </row>
    <row r="1595">
      <c r="A1595" s="9"/>
      <c r="B1595" s="15"/>
      <c r="C1595" s="9">
        <f>IFERROR(__xludf.DUMMYFUNCTION("""COMPUTED_VALUE"""),44779.9963837847)</f>
        <v>44779.99638</v>
      </c>
      <c r="D1595" s="15">
        <f>IFERROR(__xludf.DUMMYFUNCTION("""COMPUTED_VALUE"""),1.004)</f>
        <v>1.004</v>
      </c>
      <c r="E1595" s="16">
        <f>IFERROR(__xludf.DUMMYFUNCTION("""COMPUTED_VALUE"""),68.0)</f>
        <v>68</v>
      </c>
      <c r="F1595" s="19" t="str">
        <f>IFERROR(__xludf.DUMMYFUNCTION("""COMPUTED_VALUE"""),"BLACK")</f>
        <v>BLACK</v>
      </c>
      <c r="G1595" s="20" t="str">
        <f>IFERROR(__xludf.DUMMYFUNCTION("""COMPUTED_VALUE"""),"Uncle Sams Cider (5/13/2022)")</f>
        <v>Uncle Sams Cider (5/13/2022)</v>
      </c>
      <c r="H1595" s="19"/>
    </row>
    <row r="1596">
      <c r="A1596" s="9"/>
      <c r="B1596" s="15"/>
      <c r="C1596" s="9">
        <f>IFERROR(__xludf.DUMMYFUNCTION("""COMPUTED_VALUE"""),44779.9859628587)</f>
        <v>44779.98596</v>
      </c>
      <c r="D1596" s="15">
        <f>IFERROR(__xludf.DUMMYFUNCTION("""COMPUTED_VALUE"""),1.004)</f>
        <v>1.004</v>
      </c>
      <c r="E1596" s="16">
        <f>IFERROR(__xludf.DUMMYFUNCTION("""COMPUTED_VALUE"""),68.0)</f>
        <v>68</v>
      </c>
      <c r="F1596" s="19" t="str">
        <f>IFERROR(__xludf.DUMMYFUNCTION("""COMPUTED_VALUE"""),"BLACK")</f>
        <v>BLACK</v>
      </c>
      <c r="G1596" s="20" t="str">
        <f>IFERROR(__xludf.DUMMYFUNCTION("""COMPUTED_VALUE"""),"Uncle Sams Cider (5/13/2022)")</f>
        <v>Uncle Sams Cider (5/13/2022)</v>
      </c>
      <c r="H1596" s="19"/>
    </row>
    <row r="1597">
      <c r="A1597" s="9"/>
      <c r="B1597" s="15"/>
      <c r="C1597" s="9">
        <f>IFERROR(__xludf.DUMMYFUNCTION("""COMPUTED_VALUE"""),44779.9755437384)</f>
        <v>44779.97554</v>
      </c>
      <c r="D1597" s="15">
        <f>IFERROR(__xludf.DUMMYFUNCTION("""COMPUTED_VALUE"""),1.004)</f>
        <v>1.004</v>
      </c>
      <c r="E1597" s="16">
        <f>IFERROR(__xludf.DUMMYFUNCTION("""COMPUTED_VALUE"""),68.0)</f>
        <v>68</v>
      </c>
      <c r="F1597" s="19" t="str">
        <f>IFERROR(__xludf.DUMMYFUNCTION("""COMPUTED_VALUE"""),"BLACK")</f>
        <v>BLACK</v>
      </c>
      <c r="G1597" s="20" t="str">
        <f>IFERROR(__xludf.DUMMYFUNCTION("""COMPUTED_VALUE"""),"Uncle Sams Cider (5/13/2022)")</f>
        <v>Uncle Sams Cider (5/13/2022)</v>
      </c>
      <c r="H1597" s="19"/>
    </row>
    <row r="1598">
      <c r="A1598" s="9"/>
      <c r="B1598" s="15"/>
      <c r="C1598" s="9">
        <f>IFERROR(__xludf.DUMMYFUNCTION("""COMPUTED_VALUE"""),44779.9651214351)</f>
        <v>44779.96512</v>
      </c>
      <c r="D1598" s="15">
        <f>IFERROR(__xludf.DUMMYFUNCTION("""COMPUTED_VALUE"""),1.004)</f>
        <v>1.004</v>
      </c>
      <c r="E1598" s="16">
        <f>IFERROR(__xludf.DUMMYFUNCTION("""COMPUTED_VALUE"""),68.0)</f>
        <v>68</v>
      </c>
      <c r="F1598" s="19" t="str">
        <f>IFERROR(__xludf.DUMMYFUNCTION("""COMPUTED_VALUE"""),"BLACK")</f>
        <v>BLACK</v>
      </c>
      <c r="G1598" s="20" t="str">
        <f>IFERROR(__xludf.DUMMYFUNCTION("""COMPUTED_VALUE"""),"Uncle Sams Cider (5/13/2022)")</f>
        <v>Uncle Sams Cider (5/13/2022)</v>
      </c>
      <c r="H1598" s="19"/>
    </row>
    <row r="1599">
      <c r="A1599" s="9"/>
      <c r="B1599" s="15"/>
      <c r="C1599" s="9">
        <f>IFERROR(__xludf.DUMMYFUNCTION("""COMPUTED_VALUE"""),44779.954699155)</f>
        <v>44779.9547</v>
      </c>
      <c r="D1599" s="15">
        <f>IFERROR(__xludf.DUMMYFUNCTION("""COMPUTED_VALUE"""),1.004)</f>
        <v>1.004</v>
      </c>
      <c r="E1599" s="16">
        <f>IFERROR(__xludf.DUMMYFUNCTION("""COMPUTED_VALUE"""),68.0)</f>
        <v>68</v>
      </c>
      <c r="F1599" s="19" t="str">
        <f>IFERROR(__xludf.DUMMYFUNCTION("""COMPUTED_VALUE"""),"BLACK")</f>
        <v>BLACK</v>
      </c>
      <c r="G1599" s="20" t="str">
        <f>IFERROR(__xludf.DUMMYFUNCTION("""COMPUTED_VALUE"""),"Uncle Sams Cider (5/13/2022)")</f>
        <v>Uncle Sams Cider (5/13/2022)</v>
      </c>
      <c r="H1599" s="19"/>
    </row>
    <row r="1600">
      <c r="A1600" s="9"/>
      <c r="B1600" s="15"/>
      <c r="C1600" s="9">
        <f>IFERROR(__xludf.DUMMYFUNCTION("""COMPUTED_VALUE"""),44779.9442673726)</f>
        <v>44779.94427</v>
      </c>
      <c r="D1600" s="15">
        <f>IFERROR(__xludf.DUMMYFUNCTION("""COMPUTED_VALUE"""),1.004)</f>
        <v>1.004</v>
      </c>
      <c r="E1600" s="16">
        <f>IFERROR(__xludf.DUMMYFUNCTION("""COMPUTED_VALUE"""),68.0)</f>
        <v>68</v>
      </c>
      <c r="F1600" s="19" t="str">
        <f>IFERROR(__xludf.DUMMYFUNCTION("""COMPUTED_VALUE"""),"BLACK")</f>
        <v>BLACK</v>
      </c>
      <c r="G1600" s="20" t="str">
        <f>IFERROR(__xludf.DUMMYFUNCTION("""COMPUTED_VALUE"""),"Uncle Sams Cider (5/13/2022)")</f>
        <v>Uncle Sams Cider (5/13/2022)</v>
      </c>
      <c r="H1600" s="19"/>
    </row>
    <row r="1601">
      <c r="A1601" s="9"/>
      <c r="B1601" s="15"/>
      <c r="C1601" s="9">
        <f>IFERROR(__xludf.DUMMYFUNCTION("""COMPUTED_VALUE"""),44779.9338465162)</f>
        <v>44779.93385</v>
      </c>
      <c r="D1601" s="15">
        <f>IFERROR(__xludf.DUMMYFUNCTION("""COMPUTED_VALUE"""),1.004)</f>
        <v>1.004</v>
      </c>
      <c r="E1601" s="16">
        <f>IFERROR(__xludf.DUMMYFUNCTION("""COMPUTED_VALUE"""),68.0)</f>
        <v>68</v>
      </c>
      <c r="F1601" s="19" t="str">
        <f>IFERROR(__xludf.DUMMYFUNCTION("""COMPUTED_VALUE"""),"BLACK")</f>
        <v>BLACK</v>
      </c>
      <c r="G1601" s="20" t="str">
        <f>IFERROR(__xludf.DUMMYFUNCTION("""COMPUTED_VALUE"""),"Uncle Sams Cider (5/13/2022)")</f>
        <v>Uncle Sams Cider (5/13/2022)</v>
      </c>
      <c r="H1601" s="19"/>
    </row>
    <row r="1602">
      <c r="A1602" s="9"/>
      <c r="B1602" s="15"/>
      <c r="C1602" s="9">
        <f>IFERROR(__xludf.DUMMYFUNCTION("""COMPUTED_VALUE"""),44779.9234254861)</f>
        <v>44779.92343</v>
      </c>
      <c r="D1602" s="15">
        <f>IFERROR(__xludf.DUMMYFUNCTION("""COMPUTED_VALUE"""),1.004)</f>
        <v>1.004</v>
      </c>
      <c r="E1602" s="16">
        <f>IFERROR(__xludf.DUMMYFUNCTION("""COMPUTED_VALUE"""),68.0)</f>
        <v>68</v>
      </c>
      <c r="F1602" s="19" t="str">
        <f>IFERROR(__xludf.DUMMYFUNCTION("""COMPUTED_VALUE"""),"BLACK")</f>
        <v>BLACK</v>
      </c>
      <c r="G1602" s="20" t="str">
        <f>IFERROR(__xludf.DUMMYFUNCTION("""COMPUTED_VALUE"""),"Uncle Sams Cider (5/13/2022)")</f>
        <v>Uncle Sams Cider (5/13/2022)</v>
      </c>
      <c r="H1602" s="19"/>
    </row>
    <row r="1603">
      <c r="A1603" s="9"/>
      <c r="B1603" s="15"/>
      <c r="C1603" s="9">
        <f>IFERROR(__xludf.DUMMYFUNCTION("""COMPUTED_VALUE"""),44779.9130039814)</f>
        <v>44779.913</v>
      </c>
      <c r="D1603" s="15">
        <f>IFERROR(__xludf.DUMMYFUNCTION("""COMPUTED_VALUE"""),1.004)</f>
        <v>1.004</v>
      </c>
      <c r="E1603" s="16">
        <f>IFERROR(__xludf.DUMMYFUNCTION("""COMPUTED_VALUE"""),68.0)</f>
        <v>68</v>
      </c>
      <c r="F1603" s="19" t="str">
        <f>IFERROR(__xludf.DUMMYFUNCTION("""COMPUTED_VALUE"""),"BLACK")</f>
        <v>BLACK</v>
      </c>
      <c r="G1603" s="20" t="str">
        <f>IFERROR(__xludf.DUMMYFUNCTION("""COMPUTED_VALUE"""),"Uncle Sams Cider (5/13/2022)")</f>
        <v>Uncle Sams Cider (5/13/2022)</v>
      </c>
      <c r="H1603" s="19"/>
    </row>
    <row r="1604">
      <c r="A1604" s="9"/>
      <c r="B1604" s="15"/>
      <c r="C1604" s="9">
        <f>IFERROR(__xludf.DUMMYFUNCTION("""COMPUTED_VALUE"""),44779.9025828472)</f>
        <v>44779.90258</v>
      </c>
      <c r="D1604" s="15">
        <f>IFERROR(__xludf.DUMMYFUNCTION("""COMPUTED_VALUE"""),1.004)</f>
        <v>1.004</v>
      </c>
      <c r="E1604" s="16">
        <f>IFERROR(__xludf.DUMMYFUNCTION("""COMPUTED_VALUE"""),68.0)</f>
        <v>68</v>
      </c>
      <c r="F1604" s="19" t="str">
        <f>IFERROR(__xludf.DUMMYFUNCTION("""COMPUTED_VALUE"""),"BLACK")</f>
        <v>BLACK</v>
      </c>
      <c r="G1604" s="20" t="str">
        <f>IFERROR(__xludf.DUMMYFUNCTION("""COMPUTED_VALUE"""),"Uncle Sams Cider (5/13/2022)")</f>
        <v>Uncle Sams Cider (5/13/2022)</v>
      </c>
      <c r="H1604" s="19"/>
    </row>
    <row r="1605">
      <c r="A1605" s="9"/>
      <c r="B1605" s="15"/>
      <c r="C1605" s="9">
        <f>IFERROR(__xludf.DUMMYFUNCTION("""COMPUTED_VALUE"""),44779.8921493981)</f>
        <v>44779.89215</v>
      </c>
      <c r="D1605" s="15">
        <f>IFERROR(__xludf.DUMMYFUNCTION("""COMPUTED_VALUE"""),1.004)</f>
        <v>1.004</v>
      </c>
      <c r="E1605" s="16">
        <f>IFERROR(__xludf.DUMMYFUNCTION("""COMPUTED_VALUE"""),68.0)</f>
        <v>68</v>
      </c>
      <c r="F1605" s="19" t="str">
        <f>IFERROR(__xludf.DUMMYFUNCTION("""COMPUTED_VALUE"""),"BLACK")</f>
        <v>BLACK</v>
      </c>
      <c r="G1605" s="20" t="str">
        <f>IFERROR(__xludf.DUMMYFUNCTION("""COMPUTED_VALUE"""),"Uncle Sams Cider (5/13/2022)")</f>
        <v>Uncle Sams Cider (5/13/2022)</v>
      </c>
      <c r="H1605" s="19"/>
    </row>
    <row r="1606">
      <c r="A1606" s="9"/>
      <c r="B1606" s="15"/>
      <c r="C1606" s="9">
        <f>IFERROR(__xludf.DUMMYFUNCTION("""COMPUTED_VALUE"""),44779.8817284375)</f>
        <v>44779.88173</v>
      </c>
      <c r="D1606" s="15">
        <f>IFERROR(__xludf.DUMMYFUNCTION("""COMPUTED_VALUE"""),1.004)</f>
        <v>1.004</v>
      </c>
      <c r="E1606" s="16">
        <f>IFERROR(__xludf.DUMMYFUNCTION("""COMPUTED_VALUE"""),68.0)</f>
        <v>68</v>
      </c>
      <c r="F1606" s="19" t="str">
        <f>IFERROR(__xludf.DUMMYFUNCTION("""COMPUTED_VALUE"""),"BLACK")</f>
        <v>BLACK</v>
      </c>
      <c r="G1606" s="20" t="str">
        <f>IFERROR(__xludf.DUMMYFUNCTION("""COMPUTED_VALUE"""),"Uncle Sams Cider (5/13/2022)")</f>
        <v>Uncle Sams Cider (5/13/2022)</v>
      </c>
      <c r="H1606" s="19"/>
    </row>
    <row r="1607">
      <c r="A1607" s="9"/>
      <c r="B1607" s="15"/>
      <c r="C1607" s="9">
        <f>IFERROR(__xludf.DUMMYFUNCTION("""COMPUTED_VALUE"""),44779.8712732407)</f>
        <v>44779.87127</v>
      </c>
      <c r="D1607" s="15">
        <f>IFERROR(__xludf.DUMMYFUNCTION("""COMPUTED_VALUE"""),1.004)</f>
        <v>1.004</v>
      </c>
      <c r="E1607" s="16">
        <f>IFERROR(__xludf.DUMMYFUNCTION("""COMPUTED_VALUE"""),68.0)</f>
        <v>68</v>
      </c>
      <c r="F1607" s="19" t="str">
        <f>IFERROR(__xludf.DUMMYFUNCTION("""COMPUTED_VALUE"""),"BLACK")</f>
        <v>BLACK</v>
      </c>
      <c r="G1607" s="20" t="str">
        <f>IFERROR(__xludf.DUMMYFUNCTION("""COMPUTED_VALUE"""),"Uncle Sams Cider (5/13/2022)")</f>
        <v>Uncle Sams Cider (5/13/2022)</v>
      </c>
      <c r="H1607" s="19"/>
    </row>
    <row r="1608">
      <c r="A1608" s="9"/>
      <c r="B1608" s="15"/>
      <c r="C1608" s="9">
        <f>IFERROR(__xludf.DUMMYFUNCTION("""COMPUTED_VALUE"""),44779.8608398264)</f>
        <v>44779.86084</v>
      </c>
      <c r="D1608" s="15">
        <f>IFERROR(__xludf.DUMMYFUNCTION("""COMPUTED_VALUE"""),1.004)</f>
        <v>1.004</v>
      </c>
      <c r="E1608" s="16">
        <f>IFERROR(__xludf.DUMMYFUNCTION("""COMPUTED_VALUE"""),68.0)</f>
        <v>68</v>
      </c>
      <c r="F1608" s="19" t="str">
        <f>IFERROR(__xludf.DUMMYFUNCTION("""COMPUTED_VALUE"""),"BLACK")</f>
        <v>BLACK</v>
      </c>
      <c r="G1608" s="20" t="str">
        <f>IFERROR(__xludf.DUMMYFUNCTION("""COMPUTED_VALUE"""),"Uncle Sams Cider (5/13/2022)")</f>
        <v>Uncle Sams Cider (5/13/2022)</v>
      </c>
      <c r="H1608" s="19"/>
    </row>
    <row r="1609">
      <c r="A1609" s="9"/>
      <c r="B1609" s="15"/>
      <c r="C1609" s="9">
        <f>IFERROR(__xludf.DUMMYFUNCTION("""COMPUTED_VALUE"""),44779.850418287)</f>
        <v>44779.85042</v>
      </c>
      <c r="D1609" s="15">
        <f>IFERROR(__xludf.DUMMYFUNCTION("""COMPUTED_VALUE"""),1.004)</f>
        <v>1.004</v>
      </c>
      <c r="E1609" s="16">
        <f>IFERROR(__xludf.DUMMYFUNCTION("""COMPUTED_VALUE"""),68.0)</f>
        <v>68</v>
      </c>
      <c r="F1609" s="19" t="str">
        <f>IFERROR(__xludf.DUMMYFUNCTION("""COMPUTED_VALUE"""),"BLACK")</f>
        <v>BLACK</v>
      </c>
      <c r="G1609" s="20" t="str">
        <f>IFERROR(__xludf.DUMMYFUNCTION("""COMPUTED_VALUE"""),"Uncle Sams Cider (5/13/2022)")</f>
        <v>Uncle Sams Cider (5/13/2022)</v>
      </c>
      <c r="H1609" s="19"/>
    </row>
    <row r="1610">
      <c r="A1610" s="9"/>
      <c r="B1610" s="15"/>
      <c r="C1610" s="9">
        <f>IFERROR(__xludf.DUMMYFUNCTION("""COMPUTED_VALUE"""),44779.8399975463)</f>
        <v>44779.84</v>
      </c>
      <c r="D1610" s="15">
        <f>IFERROR(__xludf.DUMMYFUNCTION("""COMPUTED_VALUE"""),1.004)</f>
        <v>1.004</v>
      </c>
      <c r="E1610" s="16">
        <f>IFERROR(__xludf.DUMMYFUNCTION("""COMPUTED_VALUE"""),68.0)</f>
        <v>68</v>
      </c>
      <c r="F1610" s="19" t="str">
        <f>IFERROR(__xludf.DUMMYFUNCTION("""COMPUTED_VALUE"""),"BLACK")</f>
        <v>BLACK</v>
      </c>
      <c r="G1610" s="20" t="str">
        <f>IFERROR(__xludf.DUMMYFUNCTION("""COMPUTED_VALUE"""),"Uncle Sams Cider (5/13/2022)")</f>
        <v>Uncle Sams Cider (5/13/2022)</v>
      </c>
      <c r="H1610" s="19"/>
    </row>
    <row r="1611">
      <c r="A1611" s="9"/>
      <c r="B1611" s="15"/>
      <c r="C1611" s="9">
        <f>IFERROR(__xludf.DUMMYFUNCTION("""COMPUTED_VALUE"""),44779.8295764467)</f>
        <v>44779.82958</v>
      </c>
      <c r="D1611" s="15">
        <f>IFERROR(__xludf.DUMMYFUNCTION("""COMPUTED_VALUE"""),1.004)</f>
        <v>1.004</v>
      </c>
      <c r="E1611" s="16">
        <f>IFERROR(__xludf.DUMMYFUNCTION("""COMPUTED_VALUE"""),68.0)</f>
        <v>68</v>
      </c>
      <c r="F1611" s="19" t="str">
        <f>IFERROR(__xludf.DUMMYFUNCTION("""COMPUTED_VALUE"""),"BLACK")</f>
        <v>BLACK</v>
      </c>
      <c r="G1611" s="20" t="str">
        <f>IFERROR(__xludf.DUMMYFUNCTION("""COMPUTED_VALUE"""),"Uncle Sams Cider (5/13/2022)")</f>
        <v>Uncle Sams Cider (5/13/2022)</v>
      </c>
      <c r="H1611" s="19"/>
    </row>
    <row r="1612">
      <c r="A1612" s="9"/>
      <c r="B1612" s="15"/>
      <c r="C1612" s="9">
        <f>IFERROR(__xludf.DUMMYFUNCTION("""COMPUTED_VALUE"""),44779.8191555324)</f>
        <v>44779.81916</v>
      </c>
      <c r="D1612" s="15">
        <f>IFERROR(__xludf.DUMMYFUNCTION("""COMPUTED_VALUE"""),1.004)</f>
        <v>1.004</v>
      </c>
      <c r="E1612" s="16">
        <f>IFERROR(__xludf.DUMMYFUNCTION("""COMPUTED_VALUE"""),68.0)</f>
        <v>68</v>
      </c>
      <c r="F1612" s="19" t="str">
        <f>IFERROR(__xludf.DUMMYFUNCTION("""COMPUTED_VALUE"""),"BLACK")</f>
        <v>BLACK</v>
      </c>
      <c r="G1612" s="20" t="str">
        <f>IFERROR(__xludf.DUMMYFUNCTION("""COMPUTED_VALUE"""),"Uncle Sams Cider (5/13/2022)")</f>
        <v>Uncle Sams Cider (5/13/2022)</v>
      </c>
      <c r="H1612" s="19"/>
    </row>
    <row r="1613">
      <c r="A1613" s="9"/>
      <c r="B1613" s="15"/>
      <c r="C1613" s="9">
        <f>IFERROR(__xludf.DUMMYFUNCTION("""COMPUTED_VALUE"""),44779.8087327662)</f>
        <v>44779.80873</v>
      </c>
      <c r="D1613" s="15">
        <f>IFERROR(__xludf.DUMMYFUNCTION("""COMPUTED_VALUE"""),1.004)</f>
        <v>1.004</v>
      </c>
      <c r="E1613" s="16">
        <f>IFERROR(__xludf.DUMMYFUNCTION("""COMPUTED_VALUE"""),68.0)</f>
        <v>68</v>
      </c>
      <c r="F1613" s="19" t="str">
        <f>IFERROR(__xludf.DUMMYFUNCTION("""COMPUTED_VALUE"""),"BLACK")</f>
        <v>BLACK</v>
      </c>
      <c r="G1613" s="20" t="str">
        <f>IFERROR(__xludf.DUMMYFUNCTION("""COMPUTED_VALUE"""),"Uncle Sams Cider (5/13/2022)")</f>
        <v>Uncle Sams Cider (5/13/2022)</v>
      </c>
      <c r="H1613" s="19"/>
    </row>
    <row r="1614">
      <c r="A1614" s="9"/>
      <c r="B1614" s="15"/>
      <c r="C1614" s="9">
        <f>IFERROR(__xludf.DUMMYFUNCTION("""COMPUTED_VALUE"""),44779.7983107176)</f>
        <v>44779.79831</v>
      </c>
      <c r="D1614" s="15">
        <f>IFERROR(__xludf.DUMMYFUNCTION("""COMPUTED_VALUE"""),1.004)</f>
        <v>1.004</v>
      </c>
      <c r="E1614" s="16">
        <f>IFERROR(__xludf.DUMMYFUNCTION("""COMPUTED_VALUE"""),68.0)</f>
        <v>68</v>
      </c>
      <c r="F1614" s="19" t="str">
        <f>IFERROR(__xludf.DUMMYFUNCTION("""COMPUTED_VALUE"""),"BLACK")</f>
        <v>BLACK</v>
      </c>
      <c r="G1614" s="20" t="str">
        <f>IFERROR(__xludf.DUMMYFUNCTION("""COMPUTED_VALUE"""),"Uncle Sams Cider (5/13/2022)")</f>
        <v>Uncle Sams Cider (5/13/2022)</v>
      </c>
      <c r="H1614" s="19"/>
    </row>
    <row r="1615">
      <c r="A1615" s="9"/>
      <c r="B1615" s="15"/>
      <c r="C1615" s="9">
        <f>IFERROR(__xludf.DUMMYFUNCTION("""COMPUTED_VALUE"""),44779.787878206)</f>
        <v>44779.78788</v>
      </c>
      <c r="D1615" s="15">
        <f>IFERROR(__xludf.DUMMYFUNCTION("""COMPUTED_VALUE"""),1.004)</f>
        <v>1.004</v>
      </c>
      <c r="E1615" s="16">
        <f>IFERROR(__xludf.DUMMYFUNCTION("""COMPUTED_VALUE"""),68.0)</f>
        <v>68</v>
      </c>
      <c r="F1615" s="19" t="str">
        <f>IFERROR(__xludf.DUMMYFUNCTION("""COMPUTED_VALUE"""),"BLACK")</f>
        <v>BLACK</v>
      </c>
      <c r="G1615" s="20" t="str">
        <f>IFERROR(__xludf.DUMMYFUNCTION("""COMPUTED_VALUE"""),"Uncle Sams Cider (5/13/2022)")</f>
        <v>Uncle Sams Cider (5/13/2022)</v>
      </c>
      <c r="H1615" s="19"/>
    </row>
    <row r="1616">
      <c r="A1616" s="9"/>
      <c r="B1616" s="15"/>
      <c r="C1616" s="9">
        <f>IFERROR(__xludf.DUMMYFUNCTION("""COMPUTED_VALUE"""),44779.7774580671)</f>
        <v>44779.77746</v>
      </c>
      <c r="D1616" s="15">
        <f>IFERROR(__xludf.DUMMYFUNCTION("""COMPUTED_VALUE"""),1.004)</f>
        <v>1.004</v>
      </c>
      <c r="E1616" s="16">
        <f>IFERROR(__xludf.DUMMYFUNCTION("""COMPUTED_VALUE"""),68.0)</f>
        <v>68</v>
      </c>
      <c r="F1616" s="19" t="str">
        <f>IFERROR(__xludf.DUMMYFUNCTION("""COMPUTED_VALUE"""),"BLACK")</f>
        <v>BLACK</v>
      </c>
      <c r="G1616" s="20" t="str">
        <f>IFERROR(__xludf.DUMMYFUNCTION("""COMPUTED_VALUE"""),"Uncle Sams Cider (5/13/2022)")</f>
        <v>Uncle Sams Cider (5/13/2022)</v>
      </c>
      <c r="H1616" s="19"/>
    </row>
    <row r="1617">
      <c r="A1617" s="9"/>
      <c r="B1617" s="15"/>
      <c r="C1617" s="9">
        <f>IFERROR(__xludf.DUMMYFUNCTION("""COMPUTED_VALUE"""),44779.7670237037)</f>
        <v>44779.76702</v>
      </c>
      <c r="D1617" s="15">
        <f>IFERROR(__xludf.DUMMYFUNCTION("""COMPUTED_VALUE"""),1.004)</f>
        <v>1.004</v>
      </c>
      <c r="E1617" s="16">
        <f>IFERROR(__xludf.DUMMYFUNCTION("""COMPUTED_VALUE"""),68.0)</f>
        <v>68</v>
      </c>
      <c r="F1617" s="19" t="str">
        <f>IFERROR(__xludf.DUMMYFUNCTION("""COMPUTED_VALUE"""),"BLACK")</f>
        <v>BLACK</v>
      </c>
      <c r="G1617" s="20" t="str">
        <f>IFERROR(__xludf.DUMMYFUNCTION("""COMPUTED_VALUE"""),"Uncle Sams Cider (5/13/2022)")</f>
        <v>Uncle Sams Cider (5/13/2022)</v>
      </c>
      <c r="H1617" s="19"/>
    </row>
    <row r="1618">
      <c r="A1618" s="9"/>
      <c r="B1618" s="15"/>
      <c r="C1618" s="9">
        <f>IFERROR(__xludf.DUMMYFUNCTION("""COMPUTED_VALUE"""),44779.7566024884)</f>
        <v>44779.7566</v>
      </c>
      <c r="D1618" s="15">
        <f>IFERROR(__xludf.DUMMYFUNCTION("""COMPUTED_VALUE"""),1.004)</f>
        <v>1.004</v>
      </c>
      <c r="E1618" s="16">
        <f>IFERROR(__xludf.DUMMYFUNCTION("""COMPUTED_VALUE"""),68.0)</f>
        <v>68</v>
      </c>
      <c r="F1618" s="19" t="str">
        <f>IFERROR(__xludf.DUMMYFUNCTION("""COMPUTED_VALUE"""),"BLACK")</f>
        <v>BLACK</v>
      </c>
      <c r="G1618" s="20" t="str">
        <f>IFERROR(__xludf.DUMMYFUNCTION("""COMPUTED_VALUE"""),"Uncle Sams Cider (5/13/2022)")</f>
        <v>Uncle Sams Cider (5/13/2022)</v>
      </c>
      <c r="H1618" s="19"/>
    </row>
    <row r="1619">
      <c r="A1619" s="9"/>
      <c r="B1619" s="15"/>
      <c r="C1619" s="9">
        <f>IFERROR(__xludf.DUMMYFUNCTION("""COMPUTED_VALUE"""),44779.7461805555)</f>
        <v>44779.74618</v>
      </c>
      <c r="D1619" s="15">
        <f>IFERROR(__xludf.DUMMYFUNCTION("""COMPUTED_VALUE"""),1.004)</f>
        <v>1.004</v>
      </c>
      <c r="E1619" s="16">
        <f>IFERROR(__xludf.DUMMYFUNCTION("""COMPUTED_VALUE"""),68.0)</f>
        <v>68</v>
      </c>
      <c r="F1619" s="19" t="str">
        <f>IFERROR(__xludf.DUMMYFUNCTION("""COMPUTED_VALUE"""),"BLACK")</f>
        <v>BLACK</v>
      </c>
      <c r="G1619" s="20" t="str">
        <f>IFERROR(__xludf.DUMMYFUNCTION("""COMPUTED_VALUE"""),"Uncle Sams Cider (5/13/2022)")</f>
        <v>Uncle Sams Cider (5/13/2022)</v>
      </c>
      <c r="H1619" s="19"/>
    </row>
    <row r="1620">
      <c r="A1620" s="9"/>
      <c r="B1620" s="15"/>
      <c r="C1620" s="9">
        <f>IFERROR(__xludf.DUMMYFUNCTION("""COMPUTED_VALUE"""),44779.7357595254)</f>
        <v>44779.73576</v>
      </c>
      <c r="D1620" s="15">
        <f>IFERROR(__xludf.DUMMYFUNCTION("""COMPUTED_VALUE"""),1.004)</f>
        <v>1.004</v>
      </c>
      <c r="E1620" s="16">
        <f>IFERROR(__xludf.DUMMYFUNCTION("""COMPUTED_VALUE"""),68.0)</f>
        <v>68</v>
      </c>
      <c r="F1620" s="19" t="str">
        <f>IFERROR(__xludf.DUMMYFUNCTION("""COMPUTED_VALUE"""),"BLACK")</f>
        <v>BLACK</v>
      </c>
      <c r="G1620" s="20" t="str">
        <f>IFERROR(__xludf.DUMMYFUNCTION("""COMPUTED_VALUE"""),"Uncle Sams Cider (5/13/2022)")</f>
        <v>Uncle Sams Cider (5/13/2022)</v>
      </c>
      <c r="H1620" s="19"/>
    </row>
    <row r="1621">
      <c r="A1621" s="9"/>
      <c r="B1621" s="15"/>
      <c r="C1621" s="9">
        <f>IFERROR(__xludf.DUMMYFUNCTION("""COMPUTED_VALUE"""),44779.7253279398)</f>
        <v>44779.72533</v>
      </c>
      <c r="D1621" s="15">
        <f>IFERROR(__xludf.DUMMYFUNCTION("""COMPUTED_VALUE"""),1.004)</f>
        <v>1.004</v>
      </c>
      <c r="E1621" s="16">
        <f>IFERROR(__xludf.DUMMYFUNCTION("""COMPUTED_VALUE"""),68.0)</f>
        <v>68</v>
      </c>
      <c r="F1621" s="19" t="str">
        <f>IFERROR(__xludf.DUMMYFUNCTION("""COMPUTED_VALUE"""),"BLACK")</f>
        <v>BLACK</v>
      </c>
      <c r="G1621" s="20" t="str">
        <f>IFERROR(__xludf.DUMMYFUNCTION("""COMPUTED_VALUE"""),"Uncle Sams Cider (5/13/2022)")</f>
        <v>Uncle Sams Cider (5/13/2022)</v>
      </c>
      <c r="H1621" s="19"/>
    </row>
    <row r="1622">
      <c r="A1622" s="9"/>
      <c r="B1622" s="15"/>
      <c r="C1622" s="9">
        <f>IFERROR(__xludf.DUMMYFUNCTION("""COMPUTED_VALUE"""),44779.7148951967)</f>
        <v>44779.7149</v>
      </c>
      <c r="D1622" s="15">
        <f>IFERROR(__xludf.DUMMYFUNCTION("""COMPUTED_VALUE"""),1.004)</f>
        <v>1.004</v>
      </c>
      <c r="E1622" s="16">
        <f>IFERROR(__xludf.DUMMYFUNCTION("""COMPUTED_VALUE"""),68.0)</f>
        <v>68</v>
      </c>
      <c r="F1622" s="19" t="str">
        <f>IFERROR(__xludf.DUMMYFUNCTION("""COMPUTED_VALUE"""),"BLACK")</f>
        <v>BLACK</v>
      </c>
      <c r="G1622" s="20" t="str">
        <f>IFERROR(__xludf.DUMMYFUNCTION("""COMPUTED_VALUE"""),"Uncle Sams Cider (5/13/2022)")</f>
        <v>Uncle Sams Cider (5/13/2022)</v>
      </c>
      <c r="H1622" s="19"/>
    </row>
    <row r="1623">
      <c r="A1623" s="9"/>
      <c r="B1623" s="15"/>
      <c r="C1623" s="9">
        <f>IFERROR(__xludf.DUMMYFUNCTION("""COMPUTED_VALUE"""),44779.7044747569)</f>
        <v>44779.70447</v>
      </c>
      <c r="D1623" s="15">
        <f>IFERROR(__xludf.DUMMYFUNCTION("""COMPUTED_VALUE"""),1.004)</f>
        <v>1.004</v>
      </c>
      <c r="E1623" s="16">
        <f>IFERROR(__xludf.DUMMYFUNCTION("""COMPUTED_VALUE"""),68.0)</f>
        <v>68</v>
      </c>
      <c r="F1623" s="19" t="str">
        <f>IFERROR(__xludf.DUMMYFUNCTION("""COMPUTED_VALUE"""),"BLACK")</f>
        <v>BLACK</v>
      </c>
      <c r="G1623" s="20" t="str">
        <f>IFERROR(__xludf.DUMMYFUNCTION("""COMPUTED_VALUE"""),"Uncle Sams Cider (5/13/2022)")</f>
        <v>Uncle Sams Cider (5/13/2022)</v>
      </c>
      <c r="H1623" s="19"/>
    </row>
    <row r="1624">
      <c r="A1624" s="9"/>
      <c r="B1624" s="15"/>
      <c r="C1624" s="9">
        <f>IFERROR(__xludf.DUMMYFUNCTION("""COMPUTED_VALUE"""),44779.694042199)</f>
        <v>44779.69404</v>
      </c>
      <c r="D1624" s="15">
        <f>IFERROR(__xludf.DUMMYFUNCTION("""COMPUTED_VALUE"""),1.004)</f>
        <v>1.004</v>
      </c>
      <c r="E1624" s="16">
        <f>IFERROR(__xludf.DUMMYFUNCTION("""COMPUTED_VALUE"""),68.0)</f>
        <v>68</v>
      </c>
      <c r="F1624" s="19" t="str">
        <f>IFERROR(__xludf.DUMMYFUNCTION("""COMPUTED_VALUE"""),"BLACK")</f>
        <v>BLACK</v>
      </c>
      <c r="G1624" s="20" t="str">
        <f>IFERROR(__xludf.DUMMYFUNCTION("""COMPUTED_VALUE"""),"Uncle Sams Cider (5/13/2022)")</f>
        <v>Uncle Sams Cider (5/13/2022)</v>
      </c>
      <c r="H1624" s="19"/>
    </row>
    <row r="1625">
      <c r="A1625" s="9"/>
      <c r="B1625" s="15"/>
      <c r="C1625" s="9">
        <f>IFERROR(__xludf.DUMMYFUNCTION("""COMPUTED_VALUE"""),44779.6836230787)</f>
        <v>44779.68362</v>
      </c>
      <c r="D1625" s="15">
        <f>IFERROR(__xludf.DUMMYFUNCTION("""COMPUTED_VALUE"""),1.004)</f>
        <v>1.004</v>
      </c>
      <c r="E1625" s="16">
        <f>IFERROR(__xludf.DUMMYFUNCTION("""COMPUTED_VALUE"""),68.0)</f>
        <v>68</v>
      </c>
      <c r="F1625" s="19" t="str">
        <f>IFERROR(__xludf.DUMMYFUNCTION("""COMPUTED_VALUE"""),"BLACK")</f>
        <v>BLACK</v>
      </c>
      <c r="G1625" s="20" t="str">
        <f>IFERROR(__xludf.DUMMYFUNCTION("""COMPUTED_VALUE"""),"Uncle Sams Cider (5/13/2022)")</f>
        <v>Uncle Sams Cider (5/13/2022)</v>
      </c>
      <c r="H1625" s="19"/>
    </row>
    <row r="1626">
      <c r="A1626" s="9"/>
      <c r="B1626" s="15"/>
      <c r="C1626" s="9">
        <f>IFERROR(__xludf.DUMMYFUNCTION("""COMPUTED_VALUE"""),44779.6732014699)</f>
        <v>44779.6732</v>
      </c>
      <c r="D1626" s="15">
        <f>IFERROR(__xludf.DUMMYFUNCTION("""COMPUTED_VALUE"""),1.004)</f>
        <v>1.004</v>
      </c>
      <c r="E1626" s="16">
        <f>IFERROR(__xludf.DUMMYFUNCTION("""COMPUTED_VALUE"""),68.0)</f>
        <v>68</v>
      </c>
      <c r="F1626" s="19" t="str">
        <f>IFERROR(__xludf.DUMMYFUNCTION("""COMPUTED_VALUE"""),"BLACK")</f>
        <v>BLACK</v>
      </c>
      <c r="G1626" s="20" t="str">
        <f>IFERROR(__xludf.DUMMYFUNCTION("""COMPUTED_VALUE"""),"Uncle Sams Cider (5/13/2022)")</f>
        <v>Uncle Sams Cider (5/13/2022)</v>
      </c>
      <c r="H1626" s="19"/>
    </row>
    <row r="1627">
      <c r="A1627" s="9"/>
      <c r="B1627" s="15"/>
      <c r="C1627" s="9">
        <f>IFERROR(__xludf.DUMMYFUNCTION("""COMPUTED_VALUE"""),44779.6627812384)</f>
        <v>44779.66278</v>
      </c>
      <c r="D1627" s="15">
        <f>IFERROR(__xludf.DUMMYFUNCTION("""COMPUTED_VALUE"""),1.004)</f>
        <v>1.004</v>
      </c>
      <c r="E1627" s="16">
        <f>IFERROR(__xludf.DUMMYFUNCTION("""COMPUTED_VALUE"""),68.0)</f>
        <v>68</v>
      </c>
      <c r="F1627" s="19" t="str">
        <f>IFERROR(__xludf.DUMMYFUNCTION("""COMPUTED_VALUE"""),"BLACK")</f>
        <v>BLACK</v>
      </c>
      <c r="G1627" s="20" t="str">
        <f>IFERROR(__xludf.DUMMYFUNCTION("""COMPUTED_VALUE"""),"Uncle Sams Cider (5/13/2022)")</f>
        <v>Uncle Sams Cider (5/13/2022)</v>
      </c>
      <c r="H1627" s="19"/>
    </row>
    <row r="1628">
      <c r="A1628" s="9"/>
      <c r="B1628" s="15"/>
      <c r="C1628" s="9">
        <f>IFERROR(__xludf.DUMMYFUNCTION("""COMPUTED_VALUE"""),44779.6523605787)</f>
        <v>44779.65236</v>
      </c>
      <c r="D1628" s="15">
        <f>IFERROR(__xludf.DUMMYFUNCTION("""COMPUTED_VALUE"""),1.004)</f>
        <v>1.004</v>
      </c>
      <c r="E1628" s="16">
        <f>IFERROR(__xludf.DUMMYFUNCTION("""COMPUTED_VALUE"""),68.0)</f>
        <v>68</v>
      </c>
      <c r="F1628" s="19" t="str">
        <f>IFERROR(__xludf.DUMMYFUNCTION("""COMPUTED_VALUE"""),"BLACK")</f>
        <v>BLACK</v>
      </c>
      <c r="G1628" s="20" t="str">
        <f>IFERROR(__xludf.DUMMYFUNCTION("""COMPUTED_VALUE"""),"Uncle Sams Cider (5/13/2022)")</f>
        <v>Uncle Sams Cider (5/13/2022)</v>
      </c>
      <c r="H1628" s="19"/>
    </row>
    <row r="1629">
      <c r="A1629" s="9"/>
      <c r="B1629" s="15"/>
      <c r="C1629" s="9">
        <f>IFERROR(__xludf.DUMMYFUNCTION("""COMPUTED_VALUE"""),44779.6419256597)</f>
        <v>44779.64193</v>
      </c>
      <c r="D1629" s="15">
        <f>IFERROR(__xludf.DUMMYFUNCTION("""COMPUTED_VALUE"""),1.004)</f>
        <v>1.004</v>
      </c>
      <c r="E1629" s="16">
        <f>IFERROR(__xludf.DUMMYFUNCTION("""COMPUTED_VALUE"""),68.0)</f>
        <v>68</v>
      </c>
      <c r="F1629" s="19" t="str">
        <f>IFERROR(__xludf.DUMMYFUNCTION("""COMPUTED_VALUE"""),"BLACK")</f>
        <v>BLACK</v>
      </c>
      <c r="G1629" s="20" t="str">
        <f>IFERROR(__xludf.DUMMYFUNCTION("""COMPUTED_VALUE"""),"Uncle Sams Cider (5/13/2022)")</f>
        <v>Uncle Sams Cider (5/13/2022)</v>
      </c>
      <c r="H1629" s="19"/>
    </row>
    <row r="1630">
      <c r="A1630" s="9"/>
      <c r="B1630" s="15"/>
      <c r="C1630" s="9">
        <f>IFERROR(__xludf.DUMMYFUNCTION("""COMPUTED_VALUE"""),44779.6315047106)</f>
        <v>44779.6315</v>
      </c>
      <c r="D1630" s="15">
        <f>IFERROR(__xludf.DUMMYFUNCTION("""COMPUTED_VALUE"""),1.004)</f>
        <v>1.004</v>
      </c>
      <c r="E1630" s="16">
        <f>IFERROR(__xludf.DUMMYFUNCTION("""COMPUTED_VALUE"""),68.0)</f>
        <v>68</v>
      </c>
      <c r="F1630" s="19" t="str">
        <f>IFERROR(__xludf.DUMMYFUNCTION("""COMPUTED_VALUE"""),"BLACK")</f>
        <v>BLACK</v>
      </c>
      <c r="G1630" s="20" t="str">
        <f>IFERROR(__xludf.DUMMYFUNCTION("""COMPUTED_VALUE"""),"Uncle Sams Cider (5/13/2022)")</f>
        <v>Uncle Sams Cider (5/13/2022)</v>
      </c>
      <c r="H1630" s="19"/>
    </row>
    <row r="1631">
      <c r="A1631" s="9"/>
      <c r="B1631" s="15"/>
      <c r="C1631" s="9">
        <f>IFERROR(__xludf.DUMMYFUNCTION("""COMPUTED_VALUE"""),44779.621082824)</f>
        <v>44779.62108</v>
      </c>
      <c r="D1631" s="15">
        <f>IFERROR(__xludf.DUMMYFUNCTION("""COMPUTED_VALUE"""),1.004)</f>
        <v>1.004</v>
      </c>
      <c r="E1631" s="16">
        <f>IFERROR(__xludf.DUMMYFUNCTION("""COMPUTED_VALUE"""),68.0)</f>
        <v>68</v>
      </c>
      <c r="F1631" s="19" t="str">
        <f>IFERROR(__xludf.DUMMYFUNCTION("""COMPUTED_VALUE"""),"BLACK")</f>
        <v>BLACK</v>
      </c>
      <c r="G1631" s="20" t="str">
        <f>IFERROR(__xludf.DUMMYFUNCTION("""COMPUTED_VALUE"""),"Uncle Sams Cider (5/13/2022)")</f>
        <v>Uncle Sams Cider (5/13/2022)</v>
      </c>
      <c r="H1631" s="19"/>
    </row>
    <row r="1632">
      <c r="A1632" s="9"/>
      <c r="B1632" s="15"/>
      <c r="C1632" s="9">
        <f>IFERROR(__xludf.DUMMYFUNCTION("""COMPUTED_VALUE"""),44779.6106488078)</f>
        <v>44779.61065</v>
      </c>
      <c r="D1632" s="15">
        <f>IFERROR(__xludf.DUMMYFUNCTION("""COMPUTED_VALUE"""),1.004)</f>
        <v>1.004</v>
      </c>
      <c r="E1632" s="16">
        <f>IFERROR(__xludf.DUMMYFUNCTION("""COMPUTED_VALUE"""),68.0)</f>
        <v>68</v>
      </c>
      <c r="F1632" s="19" t="str">
        <f>IFERROR(__xludf.DUMMYFUNCTION("""COMPUTED_VALUE"""),"BLACK")</f>
        <v>BLACK</v>
      </c>
      <c r="G1632" s="20" t="str">
        <f>IFERROR(__xludf.DUMMYFUNCTION("""COMPUTED_VALUE"""),"Uncle Sams Cider (5/13/2022)")</f>
        <v>Uncle Sams Cider (5/13/2022)</v>
      </c>
      <c r="H1632" s="19"/>
    </row>
    <row r="1633">
      <c r="A1633" s="9"/>
      <c r="B1633" s="15"/>
      <c r="C1633" s="9">
        <f>IFERROR(__xludf.DUMMYFUNCTION("""COMPUTED_VALUE"""),44779.6002178703)</f>
        <v>44779.60022</v>
      </c>
      <c r="D1633" s="15">
        <f>IFERROR(__xludf.DUMMYFUNCTION("""COMPUTED_VALUE"""),1.004)</f>
        <v>1.004</v>
      </c>
      <c r="E1633" s="16">
        <f>IFERROR(__xludf.DUMMYFUNCTION("""COMPUTED_VALUE"""),68.0)</f>
        <v>68</v>
      </c>
      <c r="F1633" s="19" t="str">
        <f>IFERROR(__xludf.DUMMYFUNCTION("""COMPUTED_VALUE"""),"BLACK")</f>
        <v>BLACK</v>
      </c>
      <c r="G1633" s="20" t="str">
        <f>IFERROR(__xludf.DUMMYFUNCTION("""COMPUTED_VALUE"""),"Uncle Sams Cider (5/13/2022)")</f>
        <v>Uncle Sams Cider (5/13/2022)</v>
      </c>
      <c r="H1633" s="19"/>
    </row>
    <row r="1634">
      <c r="A1634" s="9"/>
      <c r="B1634" s="15"/>
      <c r="C1634" s="9">
        <f>IFERROR(__xludf.DUMMYFUNCTION("""COMPUTED_VALUE"""),44779.5897853588)</f>
        <v>44779.58979</v>
      </c>
      <c r="D1634" s="15">
        <f>IFERROR(__xludf.DUMMYFUNCTION("""COMPUTED_VALUE"""),1.004)</f>
        <v>1.004</v>
      </c>
      <c r="E1634" s="16">
        <f>IFERROR(__xludf.DUMMYFUNCTION("""COMPUTED_VALUE"""),68.0)</f>
        <v>68</v>
      </c>
      <c r="F1634" s="19" t="str">
        <f>IFERROR(__xludf.DUMMYFUNCTION("""COMPUTED_VALUE"""),"BLACK")</f>
        <v>BLACK</v>
      </c>
      <c r="G1634" s="20" t="str">
        <f>IFERROR(__xludf.DUMMYFUNCTION("""COMPUTED_VALUE"""),"Uncle Sams Cider (5/13/2022)")</f>
        <v>Uncle Sams Cider (5/13/2022)</v>
      </c>
      <c r="H1634" s="19"/>
    </row>
    <row r="1635">
      <c r="A1635" s="9"/>
      <c r="B1635" s="15"/>
      <c r="C1635" s="9">
        <f>IFERROR(__xludf.DUMMYFUNCTION("""COMPUTED_VALUE"""),44779.5793634259)</f>
        <v>44779.57936</v>
      </c>
      <c r="D1635" s="15">
        <f>IFERROR(__xludf.DUMMYFUNCTION("""COMPUTED_VALUE"""),1.004)</f>
        <v>1.004</v>
      </c>
      <c r="E1635" s="16">
        <f>IFERROR(__xludf.DUMMYFUNCTION("""COMPUTED_VALUE"""),68.0)</f>
        <v>68</v>
      </c>
      <c r="F1635" s="19" t="str">
        <f>IFERROR(__xludf.DUMMYFUNCTION("""COMPUTED_VALUE"""),"BLACK")</f>
        <v>BLACK</v>
      </c>
      <c r="G1635" s="20" t="str">
        <f>IFERROR(__xludf.DUMMYFUNCTION("""COMPUTED_VALUE"""),"Uncle Sams Cider (5/13/2022)")</f>
        <v>Uncle Sams Cider (5/13/2022)</v>
      </c>
      <c r="H1635" s="19"/>
    </row>
    <row r="1636">
      <c r="A1636" s="9"/>
      <c r="B1636" s="15"/>
      <c r="C1636" s="9">
        <f>IFERROR(__xludf.DUMMYFUNCTION("""COMPUTED_VALUE"""),44779.5689418634)</f>
        <v>44779.56894</v>
      </c>
      <c r="D1636" s="15">
        <f>IFERROR(__xludf.DUMMYFUNCTION("""COMPUTED_VALUE"""),1.004)</f>
        <v>1.004</v>
      </c>
      <c r="E1636" s="16">
        <f>IFERROR(__xludf.DUMMYFUNCTION("""COMPUTED_VALUE"""),68.0)</f>
        <v>68</v>
      </c>
      <c r="F1636" s="19" t="str">
        <f>IFERROR(__xludf.DUMMYFUNCTION("""COMPUTED_VALUE"""),"BLACK")</f>
        <v>BLACK</v>
      </c>
      <c r="G1636" s="20" t="str">
        <f>IFERROR(__xludf.DUMMYFUNCTION("""COMPUTED_VALUE"""),"Uncle Sams Cider (5/13/2022)")</f>
        <v>Uncle Sams Cider (5/13/2022)</v>
      </c>
      <c r="H1636" s="19"/>
    </row>
    <row r="1637">
      <c r="A1637" s="9"/>
      <c r="B1637" s="15"/>
      <c r="C1637" s="9">
        <f>IFERROR(__xludf.DUMMYFUNCTION("""COMPUTED_VALUE"""),44779.5585211111)</f>
        <v>44779.55852</v>
      </c>
      <c r="D1637" s="15">
        <f>IFERROR(__xludf.DUMMYFUNCTION("""COMPUTED_VALUE"""),1.004)</f>
        <v>1.004</v>
      </c>
      <c r="E1637" s="16">
        <f>IFERROR(__xludf.DUMMYFUNCTION("""COMPUTED_VALUE"""),68.0)</f>
        <v>68</v>
      </c>
      <c r="F1637" s="19" t="str">
        <f>IFERROR(__xludf.DUMMYFUNCTION("""COMPUTED_VALUE"""),"BLACK")</f>
        <v>BLACK</v>
      </c>
      <c r="G1637" s="20" t="str">
        <f>IFERROR(__xludf.DUMMYFUNCTION("""COMPUTED_VALUE"""),"Uncle Sams Cider (5/13/2022)")</f>
        <v>Uncle Sams Cider (5/13/2022)</v>
      </c>
      <c r="H1637" s="19"/>
    </row>
    <row r="1638">
      <c r="A1638" s="9"/>
      <c r="B1638" s="15"/>
      <c r="C1638" s="9">
        <f>IFERROR(__xludf.DUMMYFUNCTION("""COMPUTED_VALUE"""),44779.548090162)</f>
        <v>44779.54809</v>
      </c>
      <c r="D1638" s="15">
        <f>IFERROR(__xludf.DUMMYFUNCTION("""COMPUTED_VALUE"""),1.004)</f>
        <v>1.004</v>
      </c>
      <c r="E1638" s="16">
        <f>IFERROR(__xludf.DUMMYFUNCTION("""COMPUTED_VALUE"""),68.0)</f>
        <v>68</v>
      </c>
      <c r="F1638" s="19" t="str">
        <f>IFERROR(__xludf.DUMMYFUNCTION("""COMPUTED_VALUE"""),"BLACK")</f>
        <v>BLACK</v>
      </c>
      <c r="G1638" s="20" t="str">
        <f>IFERROR(__xludf.DUMMYFUNCTION("""COMPUTED_VALUE"""),"Uncle Sams Cider (5/13/2022)")</f>
        <v>Uncle Sams Cider (5/13/2022)</v>
      </c>
      <c r="H1638" s="19"/>
    </row>
    <row r="1639">
      <c r="A1639" s="9"/>
      <c r="B1639" s="15"/>
      <c r="C1639" s="9">
        <f>IFERROR(__xludf.DUMMYFUNCTION("""COMPUTED_VALUE"""),44779.5376567013)</f>
        <v>44779.53766</v>
      </c>
      <c r="D1639" s="15">
        <f>IFERROR(__xludf.DUMMYFUNCTION("""COMPUTED_VALUE"""),1.004)</f>
        <v>1.004</v>
      </c>
      <c r="E1639" s="16">
        <f>IFERROR(__xludf.DUMMYFUNCTION("""COMPUTED_VALUE"""),68.0)</f>
        <v>68</v>
      </c>
      <c r="F1639" s="19" t="str">
        <f>IFERROR(__xludf.DUMMYFUNCTION("""COMPUTED_VALUE"""),"BLACK")</f>
        <v>BLACK</v>
      </c>
      <c r="G1639" s="20" t="str">
        <f>IFERROR(__xludf.DUMMYFUNCTION("""COMPUTED_VALUE"""),"Uncle Sams Cider (5/13/2022)")</f>
        <v>Uncle Sams Cider (5/13/2022)</v>
      </c>
      <c r="H1639" s="19"/>
    </row>
    <row r="1640">
      <c r="A1640" s="9"/>
      <c r="B1640" s="15"/>
      <c r="C1640" s="9">
        <f>IFERROR(__xludf.DUMMYFUNCTION("""COMPUTED_VALUE"""),44779.52723625)</f>
        <v>44779.52724</v>
      </c>
      <c r="D1640" s="15">
        <f>IFERROR(__xludf.DUMMYFUNCTION("""COMPUTED_VALUE"""),1.004)</f>
        <v>1.004</v>
      </c>
      <c r="E1640" s="16">
        <f>IFERROR(__xludf.DUMMYFUNCTION("""COMPUTED_VALUE"""),68.0)</f>
        <v>68</v>
      </c>
      <c r="F1640" s="19" t="str">
        <f>IFERROR(__xludf.DUMMYFUNCTION("""COMPUTED_VALUE"""),"BLACK")</f>
        <v>BLACK</v>
      </c>
      <c r="G1640" s="20" t="str">
        <f>IFERROR(__xludf.DUMMYFUNCTION("""COMPUTED_VALUE"""),"Uncle Sams Cider (5/13/2022)")</f>
        <v>Uncle Sams Cider (5/13/2022)</v>
      </c>
      <c r="H1640" s="19"/>
    </row>
    <row r="1641">
      <c r="A1641" s="9"/>
      <c r="B1641" s="15"/>
      <c r="C1641" s="9">
        <f>IFERROR(__xludf.DUMMYFUNCTION("""COMPUTED_VALUE"""),44779.5168144675)</f>
        <v>44779.51681</v>
      </c>
      <c r="D1641" s="15">
        <f>IFERROR(__xludf.DUMMYFUNCTION("""COMPUTED_VALUE"""),1.004)</f>
        <v>1.004</v>
      </c>
      <c r="E1641" s="16">
        <f>IFERROR(__xludf.DUMMYFUNCTION("""COMPUTED_VALUE"""),68.0)</f>
        <v>68</v>
      </c>
      <c r="F1641" s="19" t="str">
        <f>IFERROR(__xludf.DUMMYFUNCTION("""COMPUTED_VALUE"""),"BLACK")</f>
        <v>BLACK</v>
      </c>
      <c r="G1641" s="20" t="str">
        <f>IFERROR(__xludf.DUMMYFUNCTION("""COMPUTED_VALUE"""),"Uncle Sams Cider (5/13/2022)")</f>
        <v>Uncle Sams Cider (5/13/2022)</v>
      </c>
      <c r="H1641" s="19"/>
    </row>
    <row r="1642">
      <c r="A1642" s="9"/>
      <c r="B1642" s="15"/>
      <c r="C1642" s="9">
        <f>IFERROR(__xludf.DUMMYFUNCTION("""COMPUTED_VALUE"""),44779.5063818981)</f>
        <v>44779.50638</v>
      </c>
      <c r="D1642" s="15">
        <f>IFERROR(__xludf.DUMMYFUNCTION("""COMPUTED_VALUE"""),1.004)</f>
        <v>1.004</v>
      </c>
      <c r="E1642" s="16">
        <f>IFERROR(__xludf.DUMMYFUNCTION("""COMPUTED_VALUE"""),68.0)</f>
        <v>68</v>
      </c>
      <c r="F1642" s="19" t="str">
        <f>IFERROR(__xludf.DUMMYFUNCTION("""COMPUTED_VALUE"""),"BLACK")</f>
        <v>BLACK</v>
      </c>
      <c r="G1642" s="20" t="str">
        <f>IFERROR(__xludf.DUMMYFUNCTION("""COMPUTED_VALUE"""),"Uncle Sams Cider (5/13/2022)")</f>
        <v>Uncle Sams Cider (5/13/2022)</v>
      </c>
      <c r="H1642" s="19"/>
    </row>
    <row r="1643">
      <c r="A1643" s="9"/>
      <c r="B1643" s="15"/>
      <c r="C1643" s="9">
        <f>IFERROR(__xludf.DUMMYFUNCTION("""COMPUTED_VALUE"""),44779.4959602662)</f>
        <v>44779.49596</v>
      </c>
      <c r="D1643" s="15">
        <f>IFERROR(__xludf.DUMMYFUNCTION("""COMPUTED_VALUE"""),1.004)</f>
        <v>1.004</v>
      </c>
      <c r="E1643" s="16">
        <f>IFERROR(__xludf.DUMMYFUNCTION("""COMPUTED_VALUE"""),68.0)</f>
        <v>68</v>
      </c>
      <c r="F1643" s="19" t="str">
        <f>IFERROR(__xludf.DUMMYFUNCTION("""COMPUTED_VALUE"""),"BLACK")</f>
        <v>BLACK</v>
      </c>
      <c r="G1643" s="20" t="str">
        <f>IFERROR(__xludf.DUMMYFUNCTION("""COMPUTED_VALUE"""),"Uncle Sams Cider (5/13/2022)")</f>
        <v>Uncle Sams Cider (5/13/2022)</v>
      </c>
      <c r="H1643" s="19"/>
    </row>
    <row r="1644">
      <c r="A1644" s="9"/>
      <c r="B1644" s="15"/>
      <c r="C1644" s="9">
        <f>IFERROR(__xludf.DUMMYFUNCTION("""COMPUTED_VALUE"""),44779.4855262152)</f>
        <v>44779.48553</v>
      </c>
      <c r="D1644" s="15">
        <f>IFERROR(__xludf.DUMMYFUNCTION("""COMPUTED_VALUE"""),1.004)</f>
        <v>1.004</v>
      </c>
      <c r="E1644" s="16">
        <f>IFERROR(__xludf.DUMMYFUNCTION("""COMPUTED_VALUE"""),68.0)</f>
        <v>68</v>
      </c>
      <c r="F1644" s="19" t="str">
        <f>IFERROR(__xludf.DUMMYFUNCTION("""COMPUTED_VALUE"""),"BLACK")</f>
        <v>BLACK</v>
      </c>
      <c r="G1644" s="20" t="str">
        <f>IFERROR(__xludf.DUMMYFUNCTION("""COMPUTED_VALUE"""),"Uncle Sams Cider (5/13/2022)")</f>
        <v>Uncle Sams Cider (5/13/2022)</v>
      </c>
      <c r="H1644" s="19"/>
    </row>
    <row r="1645">
      <c r="A1645" s="9"/>
      <c r="B1645" s="15"/>
      <c r="C1645" s="9">
        <f>IFERROR(__xludf.DUMMYFUNCTION("""COMPUTED_VALUE"""),44779.4751052314)</f>
        <v>44779.47511</v>
      </c>
      <c r="D1645" s="15">
        <f>IFERROR(__xludf.DUMMYFUNCTION("""COMPUTED_VALUE"""),1.004)</f>
        <v>1.004</v>
      </c>
      <c r="E1645" s="16">
        <f>IFERROR(__xludf.DUMMYFUNCTION("""COMPUTED_VALUE"""),68.0)</f>
        <v>68</v>
      </c>
      <c r="F1645" s="19" t="str">
        <f>IFERROR(__xludf.DUMMYFUNCTION("""COMPUTED_VALUE"""),"BLACK")</f>
        <v>BLACK</v>
      </c>
      <c r="G1645" s="20" t="str">
        <f>IFERROR(__xludf.DUMMYFUNCTION("""COMPUTED_VALUE"""),"Uncle Sams Cider (5/13/2022)")</f>
        <v>Uncle Sams Cider (5/13/2022)</v>
      </c>
      <c r="H1645" s="19"/>
    </row>
    <row r="1646">
      <c r="A1646" s="9"/>
      <c r="B1646" s="15"/>
      <c r="C1646" s="9">
        <f>IFERROR(__xludf.DUMMYFUNCTION("""COMPUTED_VALUE"""),44779.4646610532)</f>
        <v>44779.46466</v>
      </c>
      <c r="D1646" s="15">
        <f>IFERROR(__xludf.DUMMYFUNCTION("""COMPUTED_VALUE"""),1.004)</f>
        <v>1.004</v>
      </c>
      <c r="E1646" s="16">
        <f>IFERROR(__xludf.DUMMYFUNCTION("""COMPUTED_VALUE"""),68.0)</f>
        <v>68</v>
      </c>
      <c r="F1646" s="19" t="str">
        <f>IFERROR(__xludf.DUMMYFUNCTION("""COMPUTED_VALUE"""),"BLACK")</f>
        <v>BLACK</v>
      </c>
      <c r="G1646" s="20" t="str">
        <f>IFERROR(__xludf.DUMMYFUNCTION("""COMPUTED_VALUE"""),"Uncle Sams Cider (5/13/2022)")</f>
        <v>Uncle Sams Cider (5/13/2022)</v>
      </c>
      <c r="H1646" s="19"/>
    </row>
    <row r="1647">
      <c r="A1647" s="9"/>
      <c r="B1647" s="15"/>
      <c r="C1647" s="9">
        <f>IFERROR(__xludf.DUMMYFUNCTION("""COMPUTED_VALUE"""),44779.4542303819)</f>
        <v>44779.45423</v>
      </c>
      <c r="D1647" s="15">
        <f>IFERROR(__xludf.DUMMYFUNCTION("""COMPUTED_VALUE"""),1.004)</f>
        <v>1.004</v>
      </c>
      <c r="E1647" s="16">
        <f>IFERROR(__xludf.DUMMYFUNCTION("""COMPUTED_VALUE"""),68.0)</f>
        <v>68</v>
      </c>
      <c r="F1647" s="19" t="str">
        <f>IFERROR(__xludf.DUMMYFUNCTION("""COMPUTED_VALUE"""),"BLACK")</f>
        <v>BLACK</v>
      </c>
      <c r="G1647" s="20" t="str">
        <f>IFERROR(__xludf.DUMMYFUNCTION("""COMPUTED_VALUE"""),"Uncle Sams Cider (5/13/2022)")</f>
        <v>Uncle Sams Cider (5/13/2022)</v>
      </c>
      <c r="H1647" s="19"/>
    </row>
    <row r="1648">
      <c r="A1648" s="9"/>
      <c r="B1648" s="15"/>
      <c r="C1648" s="9">
        <f>IFERROR(__xludf.DUMMYFUNCTION("""COMPUTED_VALUE"""),44779.4438088541)</f>
        <v>44779.44381</v>
      </c>
      <c r="D1648" s="15">
        <f>IFERROR(__xludf.DUMMYFUNCTION("""COMPUTED_VALUE"""),1.004)</f>
        <v>1.004</v>
      </c>
      <c r="E1648" s="16">
        <f>IFERROR(__xludf.DUMMYFUNCTION("""COMPUTED_VALUE"""),68.0)</f>
        <v>68</v>
      </c>
      <c r="F1648" s="19" t="str">
        <f>IFERROR(__xludf.DUMMYFUNCTION("""COMPUTED_VALUE"""),"BLACK")</f>
        <v>BLACK</v>
      </c>
      <c r="G1648" s="20" t="str">
        <f>IFERROR(__xludf.DUMMYFUNCTION("""COMPUTED_VALUE"""),"Uncle Sams Cider (5/13/2022)")</f>
        <v>Uncle Sams Cider (5/13/2022)</v>
      </c>
      <c r="H1648" s="19"/>
    </row>
    <row r="1649">
      <c r="A1649" s="9"/>
      <c r="B1649" s="15"/>
      <c r="C1649" s="9">
        <f>IFERROR(__xludf.DUMMYFUNCTION("""COMPUTED_VALUE"""),44779.4333876041)</f>
        <v>44779.43339</v>
      </c>
      <c r="D1649" s="15">
        <f>IFERROR(__xludf.DUMMYFUNCTION("""COMPUTED_VALUE"""),1.004)</f>
        <v>1.004</v>
      </c>
      <c r="E1649" s="16">
        <f>IFERROR(__xludf.DUMMYFUNCTION("""COMPUTED_VALUE"""),68.0)</f>
        <v>68</v>
      </c>
      <c r="F1649" s="19" t="str">
        <f>IFERROR(__xludf.DUMMYFUNCTION("""COMPUTED_VALUE"""),"BLACK")</f>
        <v>BLACK</v>
      </c>
      <c r="G1649" s="20" t="str">
        <f>IFERROR(__xludf.DUMMYFUNCTION("""COMPUTED_VALUE"""),"Uncle Sams Cider (5/13/2022)")</f>
        <v>Uncle Sams Cider (5/13/2022)</v>
      </c>
      <c r="H1649" s="19"/>
    </row>
    <row r="1650">
      <c r="A1650" s="9"/>
      <c r="B1650" s="15"/>
      <c r="C1650" s="9">
        <f>IFERROR(__xludf.DUMMYFUNCTION("""COMPUTED_VALUE"""),44779.4229667361)</f>
        <v>44779.42297</v>
      </c>
      <c r="D1650" s="15">
        <f>IFERROR(__xludf.DUMMYFUNCTION("""COMPUTED_VALUE"""),1.004)</f>
        <v>1.004</v>
      </c>
      <c r="E1650" s="16">
        <f>IFERROR(__xludf.DUMMYFUNCTION("""COMPUTED_VALUE"""),67.0)</f>
        <v>67</v>
      </c>
      <c r="F1650" s="19" t="str">
        <f>IFERROR(__xludf.DUMMYFUNCTION("""COMPUTED_VALUE"""),"BLACK")</f>
        <v>BLACK</v>
      </c>
      <c r="G1650" s="20" t="str">
        <f>IFERROR(__xludf.DUMMYFUNCTION("""COMPUTED_VALUE"""),"Uncle Sams Cider (5/13/2022)")</f>
        <v>Uncle Sams Cider (5/13/2022)</v>
      </c>
      <c r="H1650" s="19"/>
    </row>
    <row r="1651">
      <c r="A1651" s="9"/>
      <c r="B1651" s="15"/>
      <c r="C1651" s="9">
        <f>IFERROR(__xludf.DUMMYFUNCTION("""COMPUTED_VALUE"""),44779.4125457291)</f>
        <v>44779.41255</v>
      </c>
      <c r="D1651" s="15">
        <f>IFERROR(__xludf.DUMMYFUNCTION("""COMPUTED_VALUE"""),1.004)</f>
        <v>1.004</v>
      </c>
      <c r="E1651" s="16">
        <f>IFERROR(__xludf.DUMMYFUNCTION("""COMPUTED_VALUE"""),68.0)</f>
        <v>68</v>
      </c>
      <c r="F1651" s="19" t="str">
        <f>IFERROR(__xludf.DUMMYFUNCTION("""COMPUTED_VALUE"""),"BLACK")</f>
        <v>BLACK</v>
      </c>
      <c r="G1651" s="20" t="str">
        <f>IFERROR(__xludf.DUMMYFUNCTION("""COMPUTED_VALUE"""),"Uncle Sams Cider (5/13/2022)")</f>
        <v>Uncle Sams Cider (5/13/2022)</v>
      </c>
      <c r="H1651" s="19"/>
    </row>
    <row r="1652">
      <c r="A1652" s="9"/>
      <c r="B1652" s="15"/>
      <c r="C1652" s="9">
        <f>IFERROR(__xludf.DUMMYFUNCTION("""COMPUTED_VALUE"""),44779.4021227199)</f>
        <v>44779.40212</v>
      </c>
      <c r="D1652" s="15">
        <f>IFERROR(__xludf.DUMMYFUNCTION("""COMPUTED_VALUE"""),1.004)</f>
        <v>1.004</v>
      </c>
      <c r="E1652" s="16">
        <f>IFERROR(__xludf.DUMMYFUNCTION("""COMPUTED_VALUE"""),67.0)</f>
        <v>67</v>
      </c>
      <c r="F1652" s="19" t="str">
        <f>IFERROR(__xludf.DUMMYFUNCTION("""COMPUTED_VALUE"""),"BLACK")</f>
        <v>BLACK</v>
      </c>
      <c r="G1652" s="20" t="str">
        <f>IFERROR(__xludf.DUMMYFUNCTION("""COMPUTED_VALUE"""),"Uncle Sams Cider (5/13/2022)")</f>
        <v>Uncle Sams Cider (5/13/2022)</v>
      </c>
      <c r="H1652" s="19"/>
    </row>
    <row r="1653">
      <c r="A1653" s="9"/>
      <c r="B1653" s="15"/>
      <c r="C1653" s="9">
        <f>IFERROR(__xludf.DUMMYFUNCTION("""COMPUTED_VALUE"""),44779.3917012963)</f>
        <v>44779.3917</v>
      </c>
      <c r="D1653" s="15">
        <f>IFERROR(__xludf.DUMMYFUNCTION("""COMPUTED_VALUE"""),1.004)</f>
        <v>1.004</v>
      </c>
      <c r="E1653" s="16">
        <f>IFERROR(__xludf.DUMMYFUNCTION("""COMPUTED_VALUE"""),68.0)</f>
        <v>68</v>
      </c>
      <c r="F1653" s="19" t="str">
        <f>IFERROR(__xludf.DUMMYFUNCTION("""COMPUTED_VALUE"""),"BLACK")</f>
        <v>BLACK</v>
      </c>
      <c r="G1653" s="20" t="str">
        <f>IFERROR(__xludf.DUMMYFUNCTION("""COMPUTED_VALUE"""),"Uncle Sams Cider (5/13/2022)")</f>
        <v>Uncle Sams Cider (5/13/2022)</v>
      </c>
      <c r="H1653" s="19"/>
    </row>
    <row r="1654">
      <c r="A1654" s="9"/>
      <c r="B1654" s="15"/>
      <c r="C1654" s="9">
        <f>IFERROR(__xludf.DUMMYFUNCTION("""COMPUTED_VALUE"""),44779.3812795254)</f>
        <v>44779.38128</v>
      </c>
      <c r="D1654" s="15">
        <f>IFERROR(__xludf.DUMMYFUNCTION("""COMPUTED_VALUE"""),1.004)</f>
        <v>1.004</v>
      </c>
      <c r="E1654" s="16">
        <f>IFERROR(__xludf.DUMMYFUNCTION("""COMPUTED_VALUE"""),67.0)</f>
        <v>67</v>
      </c>
      <c r="F1654" s="19" t="str">
        <f>IFERROR(__xludf.DUMMYFUNCTION("""COMPUTED_VALUE"""),"BLACK")</f>
        <v>BLACK</v>
      </c>
      <c r="G1654" s="20" t="str">
        <f>IFERROR(__xludf.DUMMYFUNCTION("""COMPUTED_VALUE"""),"Uncle Sams Cider (5/13/2022)")</f>
        <v>Uncle Sams Cider (5/13/2022)</v>
      </c>
      <c r="H1654" s="19"/>
    </row>
    <row r="1655">
      <c r="A1655" s="9"/>
      <c r="B1655" s="15"/>
      <c r="C1655" s="9">
        <f>IFERROR(__xludf.DUMMYFUNCTION("""COMPUTED_VALUE"""),44779.3708458333)</f>
        <v>44779.37085</v>
      </c>
      <c r="D1655" s="15">
        <f>IFERROR(__xludf.DUMMYFUNCTION("""COMPUTED_VALUE"""),1.004)</f>
        <v>1.004</v>
      </c>
      <c r="E1655" s="16">
        <f>IFERROR(__xludf.DUMMYFUNCTION("""COMPUTED_VALUE"""),67.0)</f>
        <v>67</v>
      </c>
      <c r="F1655" s="19" t="str">
        <f>IFERROR(__xludf.DUMMYFUNCTION("""COMPUTED_VALUE"""),"BLACK")</f>
        <v>BLACK</v>
      </c>
      <c r="G1655" s="20" t="str">
        <f>IFERROR(__xludf.DUMMYFUNCTION("""COMPUTED_VALUE"""),"Uncle Sams Cider (5/13/2022)")</f>
        <v>Uncle Sams Cider (5/13/2022)</v>
      </c>
      <c r="H1655" s="19"/>
    </row>
    <row r="1656">
      <c r="A1656" s="9"/>
      <c r="B1656" s="15"/>
      <c r="C1656" s="9">
        <f>IFERROR(__xludf.DUMMYFUNCTION("""COMPUTED_VALUE"""),44779.3604254398)</f>
        <v>44779.36043</v>
      </c>
      <c r="D1656" s="15">
        <f>IFERROR(__xludf.DUMMYFUNCTION("""COMPUTED_VALUE"""),1.004)</f>
        <v>1.004</v>
      </c>
      <c r="E1656" s="16">
        <f>IFERROR(__xludf.DUMMYFUNCTION("""COMPUTED_VALUE"""),67.0)</f>
        <v>67</v>
      </c>
      <c r="F1656" s="19" t="str">
        <f>IFERROR(__xludf.DUMMYFUNCTION("""COMPUTED_VALUE"""),"BLACK")</f>
        <v>BLACK</v>
      </c>
      <c r="G1656" s="20" t="str">
        <f>IFERROR(__xludf.DUMMYFUNCTION("""COMPUTED_VALUE"""),"Uncle Sams Cider (5/13/2022)")</f>
        <v>Uncle Sams Cider (5/13/2022)</v>
      </c>
      <c r="H1656" s="19"/>
    </row>
    <row r="1657">
      <c r="A1657" s="9"/>
      <c r="B1657" s="15"/>
      <c r="C1657" s="9">
        <f>IFERROR(__xludf.DUMMYFUNCTION("""COMPUTED_VALUE"""),44779.3500019444)</f>
        <v>44779.35</v>
      </c>
      <c r="D1657" s="15">
        <f>IFERROR(__xludf.DUMMYFUNCTION("""COMPUTED_VALUE"""),1.004)</f>
        <v>1.004</v>
      </c>
      <c r="E1657" s="16">
        <f>IFERROR(__xludf.DUMMYFUNCTION("""COMPUTED_VALUE"""),67.0)</f>
        <v>67</v>
      </c>
      <c r="F1657" s="19" t="str">
        <f>IFERROR(__xludf.DUMMYFUNCTION("""COMPUTED_VALUE"""),"BLACK")</f>
        <v>BLACK</v>
      </c>
      <c r="G1657" s="20" t="str">
        <f>IFERROR(__xludf.DUMMYFUNCTION("""COMPUTED_VALUE"""),"Uncle Sams Cider (5/13/2022)")</f>
        <v>Uncle Sams Cider (5/13/2022)</v>
      </c>
      <c r="H1657" s="19"/>
    </row>
    <row r="1658">
      <c r="A1658" s="9"/>
      <c r="B1658" s="15"/>
      <c r="C1658" s="9">
        <f>IFERROR(__xludf.DUMMYFUNCTION("""COMPUTED_VALUE"""),44779.3395688657)</f>
        <v>44779.33957</v>
      </c>
      <c r="D1658" s="15">
        <f>IFERROR(__xludf.DUMMYFUNCTION("""COMPUTED_VALUE"""),1.004)</f>
        <v>1.004</v>
      </c>
      <c r="E1658" s="16">
        <f>IFERROR(__xludf.DUMMYFUNCTION("""COMPUTED_VALUE"""),67.0)</f>
        <v>67</v>
      </c>
      <c r="F1658" s="19" t="str">
        <f>IFERROR(__xludf.DUMMYFUNCTION("""COMPUTED_VALUE"""),"BLACK")</f>
        <v>BLACK</v>
      </c>
      <c r="G1658" s="20" t="str">
        <f>IFERROR(__xludf.DUMMYFUNCTION("""COMPUTED_VALUE"""),"Uncle Sams Cider (5/13/2022)")</f>
        <v>Uncle Sams Cider (5/13/2022)</v>
      </c>
      <c r="H1658" s="19"/>
    </row>
    <row r="1659">
      <c r="A1659" s="9"/>
      <c r="B1659" s="15"/>
      <c r="C1659" s="9">
        <f>IFERROR(__xludf.DUMMYFUNCTION("""COMPUTED_VALUE"""),44779.3291459143)</f>
        <v>44779.32915</v>
      </c>
      <c r="D1659" s="15">
        <f>IFERROR(__xludf.DUMMYFUNCTION("""COMPUTED_VALUE"""),1.004)</f>
        <v>1.004</v>
      </c>
      <c r="E1659" s="16">
        <f>IFERROR(__xludf.DUMMYFUNCTION("""COMPUTED_VALUE"""),67.0)</f>
        <v>67</v>
      </c>
      <c r="F1659" s="19" t="str">
        <f>IFERROR(__xludf.DUMMYFUNCTION("""COMPUTED_VALUE"""),"BLACK")</f>
        <v>BLACK</v>
      </c>
      <c r="G1659" s="20" t="str">
        <f>IFERROR(__xludf.DUMMYFUNCTION("""COMPUTED_VALUE"""),"Uncle Sams Cider (5/13/2022)")</f>
        <v>Uncle Sams Cider (5/13/2022)</v>
      </c>
      <c r="H1659" s="19"/>
    </row>
    <row r="1660">
      <c r="A1660" s="9"/>
      <c r="B1660" s="15"/>
      <c r="C1660" s="9">
        <f>IFERROR(__xludf.DUMMYFUNCTION("""COMPUTED_VALUE"""),44779.3187250925)</f>
        <v>44779.31873</v>
      </c>
      <c r="D1660" s="15">
        <f>IFERROR(__xludf.DUMMYFUNCTION("""COMPUTED_VALUE"""),1.004)</f>
        <v>1.004</v>
      </c>
      <c r="E1660" s="16">
        <f>IFERROR(__xludf.DUMMYFUNCTION("""COMPUTED_VALUE"""),67.0)</f>
        <v>67</v>
      </c>
      <c r="F1660" s="19" t="str">
        <f>IFERROR(__xludf.DUMMYFUNCTION("""COMPUTED_VALUE"""),"BLACK")</f>
        <v>BLACK</v>
      </c>
      <c r="G1660" s="20" t="str">
        <f>IFERROR(__xludf.DUMMYFUNCTION("""COMPUTED_VALUE"""),"Uncle Sams Cider (5/13/2022)")</f>
        <v>Uncle Sams Cider (5/13/2022)</v>
      </c>
      <c r="H1660" s="19"/>
    </row>
    <row r="1661">
      <c r="A1661" s="9"/>
      <c r="B1661" s="15"/>
      <c r="C1661" s="9">
        <f>IFERROR(__xludf.DUMMYFUNCTION("""COMPUTED_VALUE"""),44779.3083032407)</f>
        <v>44779.3083</v>
      </c>
      <c r="D1661" s="15">
        <f>IFERROR(__xludf.DUMMYFUNCTION("""COMPUTED_VALUE"""),1.004)</f>
        <v>1.004</v>
      </c>
      <c r="E1661" s="16">
        <f>IFERROR(__xludf.DUMMYFUNCTION("""COMPUTED_VALUE"""),67.0)</f>
        <v>67</v>
      </c>
      <c r="F1661" s="19" t="str">
        <f>IFERROR(__xludf.DUMMYFUNCTION("""COMPUTED_VALUE"""),"BLACK")</f>
        <v>BLACK</v>
      </c>
      <c r="G1661" s="20" t="str">
        <f>IFERROR(__xludf.DUMMYFUNCTION("""COMPUTED_VALUE"""),"Uncle Sams Cider (5/13/2022)")</f>
        <v>Uncle Sams Cider (5/13/2022)</v>
      </c>
      <c r="H1661" s="19"/>
    </row>
    <row r="1662">
      <c r="A1662" s="9"/>
      <c r="B1662" s="15"/>
      <c r="C1662" s="9">
        <f>IFERROR(__xludf.DUMMYFUNCTION("""COMPUTED_VALUE"""),44779.2978820254)</f>
        <v>44779.29788</v>
      </c>
      <c r="D1662" s="15">
        <f>IFERROR(__xludf.DUMMYFUNCTION("""COMPUTED_VALUE"""),1.004)</f>
        <v>1.004</v>
      </c>
      <c r="E1662" s="16">
        <f>IFERROR(__xludf.DUMMYFUNCTION("""COMPUTED_VALUE"""),67.0)</f>
        <v>67</v>
      </c>
      <c r="F1662" s="19" t="str">
        <f>IFERROR(__xludf.DUMMYFUNCTION("""COMPUTED_VALUE"""),"BLACK")</f>
        <v>BLACK</v>
      </c>
      <c r="G1662" s="20" t="str">
        <f>IFERROR(__xludf.DUMMYFUNCTION("""COMPUTED_VALUE"""),"Uncle Sams Cider (5/13/2022)")</f>
        <v>Uncle Sams Cider (5/13/2022)</v>
      </c>
      <c r="H1662" s="19"/>
    </row>
    <row r="1663">
      <c r="A1663" s="9"/>
      <c r="B1663" s="15"/>
      <c r="C1663" s="9">
        <f>IFERROR(__xludf.DUMMYFUNCTION("""COMPUTED_VALUE"""),44779.287460243)</f>
        <v>44779.28746</v>
      </c>
      <c r="D1663" s="15">
        <f>IFERROR(__xludf.DUMMYFUNCTION("""COMPUTED_VALUE"""),1.004)</f>
        <v>1.004</v>
      </c>
      <c r="E1663" s="16">
        <f>IFERROR(__xludf.DUMMYFUNCTION("""COMPUTED_VALUE"""),67.0)</f>
        <v>67</v>
      </c>
      <c r="F1663" s="19" t="str">
        <f>IFERROR(__xludf.DUMMYFUNCTION("""COMPUTED_VALUE"""),"BLACK")</f>
        <v>BLACK</v>
      </c>
      <c r="G1663" s="20" t="str">
        <f>IFERROR(__xludf.DUMMYFUNCTION("""COMPUTED_VALUE"""),"Uncle Sams Cider (5/13/2022)")</f>
        <v>Uncle Sams Cider (5/13/2022)</v>
      </c>
      <c r="H1663" s="19"/>
    </row>
    <row r="1664">
      <c r="A1664" s="9"/>
      <c r="B1664" s="15"/>
      <c r="C1664" s="9">
        <f>IFERROR(__xludf.DUMMYFUNCTION("""COMPUTED_VALUE"""),44779.2770391319)</f>
        <v>44779.27704</v>
      </c>
      <c r="D1664" s="15">
        <f>IFERROR(__xludf.DUMMYFUNCTION("""COMPUTED_VALUE"""),1.004)</f>
        <v>1.004</v>
      </c>
      <c r="E1664" s="16">
        <f>IFERROR(__xludf.DUMMYFUNCTION("""COMPUTED_VALUE"""),67.0)</f>
        <v>67</v>
      </c>
      <c r="F1664" s="19" t="str">
        <f>IFERROR(__xludf.DUMMYFUNCTION("""COMPUTED_VALUE"""),"BLACK")</f>
        <v>BLACK</v>
      </c>
      <c r="G1664" s="20" t="str">
        <f>IFERROR(__xludf.DUMMYFUNCTION("""COMPUTED_VALUE"""),"Uncle Sams Cider (5/13/2022)")</f>
        <v>Uncle Sams Cider (5/13/2022)</v>
      </c>
      <c r="H1664" s="19"/>
    </row>
    <row r="1665">
      <c r="A1665" s="9"/>
      <c r="B1665" s="15"/>
      <c r="C1665" s="9">
        <f>IFERROR(__xludf.DUMMYFUNCTION("""COMPUTED_VALUE"""),44779.2666182986)</f>
        <v>44779.26662</v>
      </c>
      <c r="D1665" s="15">
        <f>IFERROR(__xludf.DUMMYFUNCTION("""COMPUTED_VALUE"""),1.004)</f>
        <v>1.004</v>
      </c>
      <c r="E1665" s="16">
        <f>IFERROR(__xludf.DUMMYFUNCTION("""COMPUTED_VALUE"""),67.0)</f>
        <v>67</v>
      </c>
      <c r="F1665" s="19" t="str">
        <f>IFERROR(__xludf.DUMMYFUNCTION("""COMPUTED_VALUE"""),"BLACK")</f>
        <v>BLACK</v>
      </c>
      <c r="G1665" s="20" t="str">
        <f>IFERROR(__xludf.DUMMYFUNCTION("""COMPUTED_VALUE"""),"Uncle Sams Cider (5/13/2022)")</f>
        <v>Uncle Sams Cider (5/13/2022)</v>
      </c>
      <c r="H1665" s="19"/>
    </row>
    <row r="1666">
      <c r="A1666" s="9"/>
      <c r="B1666" s="15"/>
      <c r="C1666" s="9">
        <f>IFERROR(__xludf.DUMMYFUNCTION("""COMPUTED_VALUE"""),44779.2561869791)</f>
        <v>44779.25619</v>
      </c>
      <c r="D1666" s="15">
        <f>IFERROR(__xludf.DUMMYFUNCTION("""COMPUTED_VALUE"""),1.004)</f>
        <v>1.004</v>
      </c>
      <c r="E1666" s="16">
        <f>IFERROR(__xludf.DUMMYFUNCTION("""COMPUTED_VALUE"""),67.0)</f>
        <v>67</v>
      </c>
      <c r="F1666" s="19" t="str">
        <f>IFERROR(__xludf.DUMMYFUNCTION("""COMPUTED_VALUE"""),"BLACK")</f>
        <v>BLACK</v>
      </c>
      <c r="G1666" s="20" t="str">
        <f>IFERROR(__xludf.DUMMYFUNCTION("""COMPUTED_VALUE"""),"Uncle Sams Cider (5/13/2022)")</f>
        <v>Uncle Sams Cider (5/13/2022)</v>
      </c>
      <c r="H1666" s="19"/>
    </row>
    <row r="1667">
      <c r="A1667" s="9"/>
      <c r="B1667" s="15"/>
      <c r="C1667" s="9">
        <f>IFERROR(__xludf.DUMMYFUNCTION("""COMPUTED_VALUE"""),44779.2457657638)</f>
        <v>44779.24577</v>
      </c>
      <c r="D1667" s="15">
        <f>IFERROR(__xludf.DUMMYFUNCTION("""COMPUTED_VALUE"""),1.004)</f>
        <v>1.004</v>
      </c>
      <c r="E1667" s="16">
        <f>IFERROR(__xludf.DUMMYFUNCTION("""COMPUTED_VALUE"""),67.0)</f>
        <v>67</v>
      </c>
      <c r="F1667" s="19" t="str">
        <f>IFERROR(__xludf.DUMMYFUNCTION("""COMPUTED_VALUE"""),"BLACK")</f>
        <v>BLACK</v>
      </c>
      <c r="G1667" s="20" t="str">
        <f>IFERROR(__xludf.DUMMYFUNCTION("""COMPUTED_VALUE"""),"Uncle Sams Cider (5/13/2022)")</f>
        <v>Uncle Sams Cider (5/13/2022)</v>
      </c>
      <c r="H1667" s="19"/>
    </row>
    <row r="1668">
      <c r="A1668" s="9"/>
      <c r="B1668" s="15"/>
      <c r="C1668" s="9">
        <f>IFERROR(__xludf.DUMMYFUNCTION("""COMPUTED_VALUE"""),44779.2353454745)</f>
        <v>44779.23535</v>
      </c>
      <c r="D1668" s="15">
        <f>IFERROR(__xludf.DUMMYFUNCTION("""COMPUTED_VALUE"""),1.004)</f>
        <v>1.004</v>
      </c>
      <c r="E1668" s="16">
        <f>IFERROR(__xludf.DUMMYFUNCTION("""COMPUTED_VALUE"""),67.0)</f>
        <v>67</v>
      </c>
      <c r="F1668" s="19" t="str">
        <f>IFERROR(__xludf.DUMMYFUNCTION("""COMPUTED_VALUE"""),"BLACK")</f>
        <v>BLACK</v>
      </c>
      <c r="G1668" s="20" t="str">
        <f>IFERROR(__xludf.DUMMYFUNCTION("""COMPUTED_VALUE"""),"Uncle Sams Cider (5/13/2022)")</f>
        <v>Uncle Sams Cider (5/13/2022)</v>
      </c>
      <c r="H1668" s="19"/>
    </row>
    <row r="1669">
      <c r="A1669" s="9"/>
      <c r="B1669" s="15"/>
      <c r="C1669" s="9">
        <f>IFERROR(__xludf.DUMMYFUNCTION("""COMPUTED_VALUE"""),44779.2249248726)</f>
        <v>44779.22492</v>
      </c>
      <c r="D1669" s="15">
        <f>IFERROR(__xludf.DUMMYFUNCTION("""COMPUTED_VALUE"""),1.004)</f>
        <v>1.004</v>
      </c>
      <c r="E1669" s="16">
        <f>IFERROR(__xludf.DUMMYFUNCTION("""COMPUTED_VALUE"""),67.0)</f>
        <v>67</v>
      </c>
      <c r="F1669" s="19" t="str">
        <f>IFERROR(__xludf.DUMMYFUNCTION("""COMPUTED_VALUE"""),"BLACK")</f>
        <v>BLACK</v>
      </c>
      <c r="G1669" s="20" t="str">
        <f>IFERROR(__xludf.DUMMYFUNCTION("""COMPUTED_VALUE"""),"Uncle Sams Cider (5/13/2022)")</f>
        <v>Uncle Sams Cider (5/13/2022)</v>
      </c>
      <c r="H1669" s="19"/>
    </row>
    <row r="1670">
      <c r="A1670" s="9"/>
      <c r="B1670" s="15"/>
      <c r="C1670" s="9">
        <f>IFERROR(__xludf.DUMMYFUNCTION("""COMPUTED_VALUE"""),44779.2145040856)</f>
        <v>44779.2145</v>
      </c>
      <c r="D1670" s="15">
        <f>IFERROR(__xludf.DUMMYFUNCTION("""COMPUTED_VALUE"""),1.004)</f>
        <v>1.004</v>
      </c>
      <c r="E1670" s="16">
        <f>IFERROR(__xludf.DUMMYFUNCTION("""COMPUTED_VALUE"""),67.0)</f>
        <v>67</v>
      </c>
      <c r="F1670" s="19" t="str">
        <f>IFERROR(__xludf.DUMMYFUNCTION("""COMPUTED_VALUE"""),"BLACK")</f>
        <v>BLACK</v>
      </c>
      <c r="G1670" s="20" t="str">
        <f>IFERROR(__xludf.DUMMYFUNCTION("""COMPUTED_VALUE"""),"Uncle Sams Cider (5/13/2022)")</f>
        <v>Uncle Sams Cider (5/13/2022)</v>
      </c>
      <c r="H1670" s="19"/>
    </row>
    <row r="1671">
      <c r="A1671" s="9"/>
      <c r="B1671" s="15"/>
      <c r="C1671" s="9">
        <f>IFERROR(__xludf.DUMMYFUNCTION("""COMPUTED_VALUE"""),44779.2040826851)</f>
        <v>44779.20408</v>
      </c>
      <c r="D1671" s="15">
        <f>IFERROR(__xludf.DUMMYFUNCTION("""COMPUTED_VALUE"""),1.004)</f>
        <v>1.004</v>
      </c>
      <c r="E1671" s="16">
        <f>IFERROR(__xludf.DUMMYFUNCTION("""COMPUTED_VALUE"""),67.0)</f>
        <v>67</v>
      </c>
      <c r="F1671" s="19" t="str">
        <f>IFERROR(__xludf.DUMMYFUNCTION("""COMPUTED_VALUE"""),"BLACK")</f>
        <v>BLACK</v>
      </c>
      <c r="G1671" s="20" t="str">
        <f>IFERROR(__xludf.DUMMYFUNCTION("""COMPUTED_VALUE"""),"Uncle Sams Cider (5/13/2022)")</f>
        <v>Uncle Sams Cider (5/13/2022)</v>
      </c>
      <c r="H1671" s="19"/>
    </row>
    <row r="1672">
      <c r="A1672" s="9"/>
      <c r="B1672" s="15"/>
      <c r="C1672" s="9">
        <f>IFERROR(__xludf.DUMMYFUNCTION("""COMPUTED_VALUE"""),44779.1936512037)</f>
        <v>44779.19365</v>
      </c>
      <c r="D1672" s="15">
        <f>IFERROR(__xludf.DUMMYFUNCTION("""COMPUTED_VALUE"""),1.004)</f>
        <v>1.004</v>
      </c>
      <c r="E1672" s="16">
        <f>IFERROR(__xludf.DUMMYFUNCTION("""COMPUTED_VALUE"""),67.0)</f>
        <v>67</v>
      </c>
      <c r="F1672" s="19" t="str">
        <f>IFERROR(__xludf.DUMMYFUNCTION("""COMPUTED_VALUE"""),"BLACK")</f>
        <v>BLACK</v>
      </c>
      <c r="G1672" s="20" t="str">
        <f>IFERROR(__xludf.DUMMYFUNCTION("""COMPUTED_VALUE"""),"Uncle Sams Cider (5/13/2022)")</f>
        <v>Uncle Sams Cider (5/13/2022)</v>
      </c>
      <c r="H1672" s="19"/>
    </row>
    <row r="1673">
      <c r="A1673" s="9"/>
      <c r="B1673" s="15"/>
      <c r="C1673" s="9">
        <f>IFERROR(__xludf.DUMMYFUNCTION("""COMPUTED_VALUE"""),44779.1832185648)</f>
        <v>44779.18322</v>
      </c>
      <c r="D1673" s="15">
        <f>IFERROR(__xludf.DUMMYFUNCTION("""COMPUTED_VALUE"""),1.004)</f>
        <v>1.004</v>
      </c>
      <c r="E1673" s="16">
        <f>IFERROR(__xludf.DUMMYFUNCTION("""COMPUTED_VALUE"""),67.0)</f>
        <v>67</v>
      </c>
      <c r="F1673" s="19" t="str">
        <f>IFERROR(__xludf.DUMMYFUNCTION("""COMPUTED_VALUE"""),"BLACK")</f>
        <v>BLACK</v>
      </c>
      <c r="G1673" s="20" t="str">
        <f>IFERROR(__xludf.DUMMYFUNCTION("""COMPUTED_VALUE"""),"Uncle Sams Cider (5/13/2022)")</f>
        <v>Uncle Sams Cider (5/13/2022)</v>
      </c>
      <c r="H1673" s="19"/>
    </row>
    <row r="1674">
      <c r="A1674" s="9"/>
      <c r="B1674" s="15"/>
      <c r="C1674" s="9">
        <f>IFERROR(__xludf.DUMMYFUNCTION("""COMPUTED_VALUE"""),44779.1727967824)</f>
        <v>44779.1728</v>
      </c>
      <c r="D1674" s="15">
        <f>IFERROR(__xludf.DUMMYFUNCTION("""COMPUTED_VALUE"""),1.004)</f>
        <v>1.004</v>
      </c>
      <c r="E1674" s="16">
        <f>IFERROR(__xludf.DUMMYFUNCTION("""COMPUTED_VALUE"""),67.0)</f>
        <v>67</v>
      </c>
      <c r="F1674" s="19" t="str">
        <f>IFERROR(__xludf.DUMMYFUNCTION("""COMPUTED_VALUE"""),"BLACK")</f>
        <v>BLACK</v>
      </c>
      <c r="G1674" s="20" t="str">
        <f>IFERROR(__xludf.DUMMYFUNCTION("""COMPUTED_VALUE"""),"Uncle Sams Cider (5/13/2022)")</f>
        <v>Uncle Sams Cider (5/13/2022)</v>
      </c>
      <c r="H1674" s="19"/>
    </row>
    <row r="1675">
      <c r="A1675" s="9"/>
      <c r="B1675" s="15"/>
      <c r="C1675" s="9">
        <f>IFERROR(__xludf.DUMMYFUNCTION("""COMPUTED_VALUE"""),44779.1623748958)</f>
        <v>44779.16237</v>
      </c>
      <c r="D1675" s="15">
        <f>IFERROR(__xludf.DUMMYFUNCTION("""COMPUTED_VALUE"""),1.004)</f>
        <v>1.004</v>
      </c>
      <c r="E1675" s="16">
        <f>IFERROR(__xludf.DUMMYFUNCTION("""COMPUTED_VALUE"""),67.0)</f>
        <v>67</v>
      </c>
      <c r="F1675" s="19" t="str">
        <f>IFERROR(__xludf.DUMMYFUNCTION("""COMPUTED_VALUE"""),"BLACK")</f>
        <v>BLACK</v>
      </c>
      <c r="G1675" s="20" t="str">
        <f>IFERROR(__xludf.DUMMYFUNCTION("""COMPUTED_VALUE"""),"Uncle Sams Cider (5/13/2022)")</f>
        <v>Uncle Sams Cider (5/13/2022)</v>
      </c>
      <c r="H1675" s="19"/>
    </row>
    <row r="1676">
      <c r="A1676" s="9"/>
      <c r="B1676" s="15"/>
      <c r="C1676" s="9">
        <f>IFERROR(__xludf.DUMMYFUNCTION("""COMPUTED_VALUE"""),44779.1519548726)</f>
        <v>44779.15195</v>
      </c>
      <c r="D1676" s="15">
        <f>IFERROR(__xludf.DUMMYFUNCTION("""COMPUTED_VALUE"""),1.004)</f>
        <v>1.004</v>
      </c>
      <c r="E1676" s="16">
        <f>IFERROR(__xludf.DUMMYFUNCTION("""COMPUTED_VALUE"""),67.0)</f>
        <v>67</v>
      </c>
      <c r="F1676" s="19" t="str">
        <f>IFERROR(__xludf.DUMMYFUNCTION("""COMPUTED_VALUE"""),"BLACK")</f>
        <v>BLACK</v>
      </c>
      <c r="G1676" s="20" t="str">
        <f>IFERROR(__xludf.DUMMYFUNCTION("""COMPUTED_VALUE"""),"Uncle Sams Cider (5/13/2022)")</f>
        <v>Uncle Sams Cider (5/13/2022)</v>
      </c>
      <c r="H1676" s="19"/>
    </row>
    <row r="1677">
      <c r="A1677" s="9"/>
      <c r="B1677" s="15"/>
      <c r="C1677" s="9">
        <f>IFERROR(__xludf.DUMMYFUNCTION("""COMPUTED_VALUE"""),44779.1415318865)</f>
        <v>44779.14153</v>
      </c>
      <c r="D1677" s="15">
        <f>IFERROR(__xludf.DUMMYFUNCTION("""COMPUTED_VALUE"""),1.004)</f>
        <v>1.004</v>
      </c>
      <c r="E1677" s="16">
        <f>IFERROR(__xludf.DUMMYFUNCTION("""COMPUTED_VALUE"""),67.0)</f>
        <v>67</v>
      </c>
      <c r="F1677" s="19" t="str">
        <f>IFERROR(__xludf.DUMMYFUNCTION("""COMPUTED_VALUE"""),"BLACK")</f>
        <v>BLACK</v>
      </c>
      <c r="G1677" s="20" t="str">
        <f>IFERROR(__xludf.DUMMYFUNCTION("""COMPUTED_VALUE"""),"Uncle Sams Cider (5/13/2022)")</f>
        <v>Uncle Sams Cider (5/13/2022)</v>
      </c>
      <c r="H1677" s="19"/>
    </row>
    <row r="1678">
      <c r="A1678" s="9"/>
      <c r="B1678" s="15"/>
      <c r="C1678" s="9">
        <f>IFERROR(__xludf.DUMMYFUNCTION("""COMPUTED_VALUE"""),44779.1311088889)</f>
        <v>44779.13111</v>
      </c>
      <c r="D1678" s="15">
        <f>IFERROR(__xludf.DUMMYFUNCTION("""COMPUTED_VALUE"""),1.004)</f>
        <v>1.004</v>
      </c>
      <c r="E1678" s="16">
        <f>IFERROR(__xludf.DUMMYFUNCTION("""COMPUTED_VALUE"""),67.0)</f>
        <v>67</v>
      </c>
      <c r="F1678" s="19" t="str">
        <f>IFERROR(__xludf.DUMMYFUNCTION("""COMPUTED_VALUE"""),"BLACK")</f>
        <v>BLACK</v>
      </c>
      <c r="G1678" s="20" t="str">
        <f>IFERROR(__xludf.DUMMYFUNCTION("""COMPUTED_VALUE"""),"Uncle Sams Cider (5/13/2022)")</f>
        <v>Uncle Sams Cider (5/13/2022)</v>
      </c>
      <c r="H1678" s="19"/>
    </row>
    <row r="1679">
      <c r="A1679" s="9"/>
      <c r="B1679" s="15"/>
      <c r="C1679" s="9">
        <f>IFERROR(__xludf.DUMMYFUNCTION("""COMPUTED_VALUE"""),44779.1206876504)</f>
        <v>44779.12069</v>
      </c>
      <c r="D1679" s="15">
        <f>IFERROR(__xludf.DUMMYFUNCTION("""COMPUTED_VALUE"""),1.004)</f>
        <v>1.004</v>
      </c>
      <c r="E1679" s="16">
        <f>IFERROR(__xludf.DUMMYFUNCTION("""COMPUTED_VALUE"""),67.0)</f>
        <v>67</v>
      </c>
      <c r="F1679" s="19" t="str">
        <f>IFERROR(__xludf.DUMMYFUNCTION("""COMPUTED_VALUE"""),"BLACK")</f>
        <v>BLACK</v>
      </c>
      <c r="G1679" s="20" t="str">
        <f>IFERROR(__xludf.DUMMYFUNCTION("""COMPUTED_VALUE"""),"Uncle Sams Cider (5/13/2022)")</f>
        <v>Uncle Sams Cider (5/13/2022)</v>
      </c>
      <c r="H1679" s="19"/>
    </row>
    <row r="1680">
      <c r="A1680" s="9"/>
      <c r="B1680" s="15"/>
      <c r="C1680" s="9">
        <f>IFERROR(__xludf.DUMMYFUNCTION("""COMPUTED_VALUE"""),44779.1102679745)</f>
        <v>44779.11027</v>
      </c>
      <c r="D1680" s="15">
        <f>IFERROR(__xludf.DUMMYFUNCTION("""COMPUTED_VALUE"""),1.004)</f>
        <v>1.004</v>
      </c>
      <c r="E1680" s="16">
        <f>IFERROR(__xludf.DUMMYFUNCTION("""COMPUTED_VALUE"""),67.0)</f>
        <v>67</v>
      </c>
      <c r="F1680" s="19" t="str">
        <f>IFERROR(__xludf.DUMMYFUNCTION("""COMPUTED_VALUE"""),"BLACK")</f>
        <v>BLACK</v>
      </c>
      <c r="G1680" s="20" t="str">
        <f>IFERROR(__xludf.DUMMYFUNCTION("""COMPUTED_VALUE"""),"Uncle Sams Cider (5/13/2022)")</f>
        <v>Uncle Sams Cider (5/13/2022)</v>
      </c>
      <c r="H1680" s="19"/>
    </row>
    <row r="1681">
      <c r="A1681" s="9"/>
      <c r="B1681" s="15"/>
      <c r="C1681" s="9">
        <f>IFERROR(__xludf.DUMMYFUNCTION("""COMPUTED_VALUE"""),44779.0998485995)</f>
        <v>44779.09985</v>
      </c>
      <c r="D1681" s="15">
        <f>IFERROR(__xludf.DUMMYFUNCTION("""COMPUTED_VALUE"""),1.004)</f>
        <v>1.004</v>
      </c>
      <c r="E1681" s="16">
        <f>IFERROR(__xludf.DUMMYFUNCTION("""COMPUTED_VALUE"""),67.0)</f>
        <v>67</v>
      </c>
      <c r="F1681" s="19" t="str">
        <f>IFERROR(__xludf.DUMMYFUNCTION("""COMPUTED_VALUE"""),"BLACK")</f>
        <v>BLACK</v>
      </c>
      <c r="G1681" s="20" t="str">
        <f>IFERROR(__xludf.DUMMYFUNCTION("""COMPUTED_VALUE"""),"Uncle Sams Cider (5/13/2022)")</f>
        <v>Uncle Sams Cider (5/13/2022)</v>
      </c>
      <c r="H1681" s="19"/>
    </row>
    <row r="1682">
      <c r="A1682" s="9"/>
      <c r="B1682" s="15"/>
      <c r="C1682" s="9">
        <f>IFERROR(__xludf.DUMMYFUNCTION("""COMPUTED_VALUE"""),44779.0894276851)</f>
        <v>44779.08943</v>
      </c>
      <c r="D1682" s="15">
        <f>IFERROR(__xludf.DUMMYFUNCTION("""COMPUTED_VALUE"""),1.004)</f>
        <v>1.004</v>
      </c>
      <c r="E1682" s="16">
        <f>IFERROR(__xludf.DUMMYFUNCTION("""COMPUTED_VALUE"""),67.0)</f>
        <v>67</v>
      </c>
      <c r="F1682" s="19" t="str">
        <f>IFERROR(__xludf.DUMMYFUNCTION("""COMPUTED_VALUE"""),"BLACK")</f>
        <v>BLACK</v>
      </c>
      <c r="G1682" s="20" t="str">
        <f>IFERROR(__xludf.DUMMYFUNCTION("""COMPUTED_VALUE"""),"Uncle Sams Cider (5/13/2022)")</f>
        <v>Uncle Sams Cider (5/13/2022)</v>
      </c>
      <c r="H1682" s="19"/>
    </row>
    <row r="1683">
      <c r="A1683" s="9"/>
      <c r="B1683" s="15"/>
      <c r="C1683" s="9">
        <f>IFERROR(__xludf.DUMMYFUNCTION("""COMPUTED_VALUE"""),44779.0789940046)</f>
        <v>44779.07899</v>
      </c>
      <c r="D1683" s="15">
        <f>IFERROR(__xludf.DUMMYFUNCTION("""COMPUTED_VALUE"""),1.004)</f>
        <v>1.004</v>
      </c>
      <c r="E1683" s="16">
        <f>IFERROR(__xludf.DUMMYFUNCTION("""COMPUTED_VALUE"""),67.0)</f>
        <v>67</v>
      </c>
      <c r="F1683" s="19" t="str">
        <f>IFERROR(__xludf.DUMMYFUNCTION("""COMPUTED_VALUE"""),"BLACK")</f>
        <v>BLACK</v>
      </c>
      <c r="G1683" s="20" t="str">
        <f>IFERROR(__xludf.DUMMYFUNCTION("""COMPUTED_VALUE"""),"Uncle Sams Cider (5/13/2022)")</f>
        <v>Uncle Sams Cider (5/13/2022)</v>
      </c>
      <c r="H1683" s="19"/>
    </row>
    <row r="1684">
      <c r="A1684" s="9"/>
      <c r="B1684" s="15"/>
      <c r="C1684" s="9">
        <f>IFERROR(__xludf.DUMMYFUNCTION("""COMPUTED_VALUE"""),44779.0685726736)</f>
        <v>44779.06857</v>
      </c>
      <c r="D1684" s="15">
        <f>IFERROR(__xludf.DUMMYFUNCTION("""COMPUTED_VALUE"""),1.004)</f>
        <v>1.004</v>
      </c>
      <c r="E1684" s="16">
        <f>IFERROR(__xludf.DUMMYFUNCTION("""COMPUTED_VALUE"""),67.0)</f>
        <v>67</v>
      </c>
      <c r="F1684" s="19" t="str">
        <f>IFERROR(__xludf.DUMMYFUNCTION("""COMPUTED_VALUE"""),"BLACK")</f>
        <v>BLACK</v>
      </c>
      <c r="G1684" s="20" t="str">
        <f>IFERROR(__xludf.DUMMYFUNCTION("""COMPUTED_VALUE"""),"Uncle Sams Cider (5/13/2022)")</f>
        <v>Uncle Sams Cider (5/13/2022)</v>
      </c>
      <c r="H1684" s="19"/>
    </row>
    <row r="1685">
      <c r="A1685" s="9"/>
      <c r="B1685" s="15"/>
      <c r="C1685" s="9">
        <f>IFERROR(__xludf.DUMMYFUNCTION("""COMPUTED_VALUE"""),44779.0581391898)</f>
        <v>44779.05814</v>
      </c>
      <c r="D1685" s="15">
        <f>IFERROR(__xludf.DUMMYFUNCTION("""COMPUTED_VALUE"""),1.004)</f>
        <v>1.004</v>
      </c>
      <c r="E1685" s="16">
        <f>IFERROR(__xludf.DUMMYFUNCTION("""COMPUTED_VALUE"""),67.0)</f>
        <v>67</v>
      </c>
      <c r="F1685" s="19" t="str">
        <f>IFERROR(__xludf.DUMMYFUNCTION("""COMPUTED_VALUE"""),"BLACK")</f>
        <v>BLACK</v>
      </c>
      <c r="G1685" s="20" t="str">
        <f>IFERROR(__xludf.DUMMYFUNCTION("""COMPUTED_VALUE"""),"Uncle Sams Cider (5/13/2022)")</f>
        <v>Uncle Sams Cider (5/13/2022)</v>
      </c>
      <c r="H1685" s="19"/>
    </row>
    <row r="1686">
      <c r="A1686" s="9"/>
      <c r="B1686" s="15"/>
      <c r="C1686" s="9">
        <f>IFERROR(__xludf.DUMMYFUNCTION("""COMPUTED_VALUE"""),44779.0476952662)</f>
        <v>44779.0477</v>
      </c>
      <c r="D1686" s="15">
        <f>IFERROR(__xludf.DUMMYFUNCTION("""COMPUTED_VALUE"""),1.004)</f>
        <v>1.004</v>
      </c>
      <c r="E1686" s="16">
        <f>IFERROR(__xludf.DUMMYFUNCTION("""COMPUTED_VALUE"""),67.0)</f>
        <v>67</v>
      </c>
      <c r="F1686" s="19" t="str">
        <f>IFERROR(__xludf.DUMMYFUNCTION("""COMPUTED_VALUE"""),"BLACK")</f>
        <v>BLACK</v>
      </c>
      <c r="G1686" s="20" t="str">
        <f>IFERROR(__xludf.DUMMYFUNCTION("""COMPUTED_VALUE"""),"Uncle Sams Cider (5/13/2022)")</f>
        <v>Uncle Sams Cider (5/13/2022)</v>
      </c>
      <c r="H1686" s="19"/>
    </row>
    <row r="1687">
      <c r="A1687" s="9"/>
      <c r="B1687" s="15"/>
      <c r="C1687" s="9">
        <f>IFERROR(__xludf.DUMMYFUNCTION("""COMPUTED_VALUE"""),44779.0372631365)</f>
        <v>44779.03726</v>
      </c>
      <c r="D1687" s="15">
        <f>IFERROR(__xludf.DUMMYFUNCTION("""COMPUTED_VALUE"""),1.004)</f>
        <v>1.004</v>
      </c>
      <c r="E1687" s="16">
        <f>IFERROR(__xludf.DUMMYFUNCTION("""COMPUTED_VALUE"""),67.0)</f>
        <v>67</v>
      </c>
      <c r="F1687" s="19" t="str">
        <f>IFERROR(__xludf.DUMMYFUNCTION("""COMPUTED_VALUE"""),"BLACK")</f>
        <v>BLACK</v>
      </c>
      <c r="G1687" s="20" t="str">
        <f>IFERROR(__xludf.DUMMYFUNCTION("""COMPUTED_VALUE"""),"Uncle Sams Cider (5/13/2022)")</f>
        <v>Uncle Sams Cider (5/13/2022)</v>
      </c>
      <c r="H1687" s="19"/>
    </row>
    <row r="1688">
      <c r="A1688" s="9"/>
      <c r="B1688" s="15"/>
      <c r="C1688" s="9">
        <f>IFERROR(__xludf.DUMMYFUNCTION("""COMPUTED_VALUE"""),44779.0268310532)</f>
        <v>44779.02683</v>
      </c>
      <c r="D1688" s="15">
        <f>IFERROR(__xludf.DUMMYFUNCTION("""COMPUTED_VALUE"""),1.004)</f>
        <v>1.004</v>
      </c>
      <c r="E1688" s="16">
        <f>IFERROR(__xludf.DUMMYFUNCTION("""COMPUTED_VALUE"""),67.0)</f>
        <v>67</v>
      </c>
      <c r="F1688" s="19" t="str">
        <f>IFERROR(__xludf.DUMMYFUNCTION("""COMPUTED_VALUE"""),"BLACK")</f>
        <v>BLACK</v>
      </c>
      <c r="G1688" s="20" t="str">
        <f>IFERROR(__xludf.DUMMYFUNCTION("""COMPUTED_VALUE"""),"Uncle Sams Cider (5/13/2022)")</f>
        <v>Uncle Sams Cider (5/13/2022)</v>
      </c>
      <c r="H1688" s="19"/>
    </row>
    <row r="1689">
      <c r="A1689" s="9"/>
      <c r="B1689" s="15"/>
      <c r="C1689" s="9">
        <f>IFERROR(__xludf.DUMMYFUNCTION("""COMPUTED_VALUE"""),44779.0164106018)</f>
        <v>44779.01641</v>
      </c>
      <c r="D1689" s="15">
        <f>IFERROR(__xludf.DUMMYFUNCTION("""COMPUTED_VALUE"""),1.004)</f>
        <v>1.004</v>
      </c>
      <c r="E1689" s="16">
        <f>IFERROR(__xludf.DUMMYFUNCTION("""COMPUTED_VALUE"""),67.0)</f>
        <v>67</v>
      </c>
      <c r="F1689" s="19" t="str">
        <f>IFERROR(__xludf.DUMMYFUNCTION("""COMPUTED_VALUE"""),"BLACK")</f>
        <v>BLACK</v>
      </c>
      <c r="G1689" s="20" t="str">
        <f>IFERROR(__xludf.DUMMYFUNCTION("""COMPUTED_VALUE"""),"Uncle Sams Cider (5/13/2022)")</f>
        <v>Uncle Sams Cider (5/13/2022)</v>
      </c>
      <c r="H1689" s="19"/>
    </row>
    <row r="1690">
      <c r="A1690" s="9"/>
      <c r="B1690" s="15"/>
      <c r="C1690" s="9">
        <f>IFERROR(__xludf.DUMMYFUNCTION("""COMPUTED_VALUE"""),44779.0059893865)</f>
        <v>44779.00599</v>
      </c>
      <c r="D1690" s="15">
        <f>IFERROR(__xludf.DUMMYFUNCTION("""COMPUTED_VALUE"""),1.004)</f>
        <v>1.004</v>
      </c>
      <c r="E1690" s="16">
        <f>IFERROR(__xludf.DUMMYFUNCTION("""COMPUTED_VALUE"""),67.0)</f>
        <v>67</v>
      </c>
      <c r="F1690" s="19" t="str">
        <f>IFERROR(__xludf.DUMMYFUNCTION("""COMPUTED_VALUE"""),"BLACK")</f>
        <v>BLACK</v>
      </c>
      <c r="G1690" s="20" t="str">
        <f>IFERROR(__xludf.DUMMYFUNCTION("""COMPUTED_VALUE"""),"Uncle Sams Cider (5/13/2022)")</f>
        <v>Uncle Sams Cider (5/13/2022)</v>
      </c>
      <c r="H1690" s="19"/>
    </row>
    <row r="1691">
      <c r="A1691" s="9"/>
      <c r="B1691" s="15"/>
      <c r="C1691" s="9">
        <f>IFERROR(__xludf.DUMMYFUNCTION("""COMPUTED_VALUE"""),44778.9955685532)</f>
        <v>44778.99557</v>
      </c>
      <c r="D1691" s="15">
        <f>IFERROR(__xludf.DUMMYFUNCTION("""COMPUTED_VALUE"""),1.004)</f>
        <v>1.004</v>
      </c>
      <c r="E1691" s="16">
        <f>IFERROR(__xludf.DUMMYFUNCTION("""COMPUTED_VALUE"""),67.0)</f>
        <v>67</v>
      </c>
      <c r="F1691" s="19" t="str">
        <f>IFERROR(__xludf.DUMMYFUNCTION("""COMPUTED_VALUE"""),"BLACK")</f>
        <v>BLACK</v>
      </c>
      <c r="G1691" s="20" t="str">
        <f>IFERROR(__xludf.DUMMYFUNCTION("""COMPUTED_VALUE"""),"Uncle Sams Cider (5/13/2022)")</f>
        <v>Uncle Sams Cider (5/13/2022)</v>
      </c>
      <c r="H1691" s="19"/>
    </row>
    <row r="1692">
      <c r="A1692" s="9"/>
      <c r="B1692" s="15"/>
      <c r="C1692" s="9">
        <f>IFERROR(__xludf.DUMMYFUNCTION("""COMPUTED_VALUE"""),44778.9851136226)</f>
        <v>44778.98511</v>
      </c>
      <c r="D1692" s="15">
        <f>IFERROR(__xludf.DUMMYFUNCTION("""COMPUTED_VALUE"""),1.004)</f>
        <v>1.004</v>
      </c>
      <c r="E1692" s="16">
        <f>IFERROR(__xludf.DUMMYFUNCTION("""COMPUTED_VALUE"""),67.0)</f>
        <v>67</v>
      </c>
      <c r="F1692" s="19" t="str">
        <f>IFERROR(__xludf.DUMMYFUNCTION("""COMPUTED_VALUE"""),"BLACK")</f>
        <v>BLACK</v>
      </c>
      <c r="G1692" s="20" t="str">
        <f>IFERROR(__xludf.DUMMYFUNCTION("""COMPUTED_VALUE"""),"Uncle Sams Cider (5/13/2022)")</f>
        <v>Uncle Sams Cider (5/13/2022)</v>
      </c>
      <c r="H1692" s="19"/>
    </row>
    <row r="1693">
      <c r="A1693" s="9"/>
      <c r="B1693" s="15"/>
      <c r="C1693" s="9">
        <f>IFERROR(__xludf.DUMMYFUNCTION("""COMPUTED_VALUE"""),44778.9746927893)</f>
        <v>44778.97469</v>
      </c>
      <c r="D1693" s="15">
        <f>IFERROR(__xludf.DUMMYFUNCTION("""COMPUTED_VALUE"""),1.004)</f>
        <v>1.004</v>
      </c>
      <c r="E1693" s="16">
        <f>IFERROR(__xludf.DUMMYFUNCTION("""COMPUTED_VALUE"""),67.0)</f>
        <v>67</v>
      </c>
      <c r="F1693" s="19" t="str">
        <f>IFERROR(__xludf.DUMMYFUNCTION("""COMPUTED_VALUE"""),"BLACK")</f>
        <v>BLACK</v>
      </c>
      <c r="G1693" s="20" t="str">
        <f>IFERROR(__xludf.DUMMYFUNCTION("""COMPUTED_VALUE"""),"Uncle Sams Cider (5/13/2022)")</f>
        <v>Uncle Sams Cider (5/13/2022)</v>
      </c>
      <c r="H1693" s="19"/>
    </row>
    <row r="1694">
      <c r="A1694" s="9"/>
      <c r="B1694" s="15"/>
      <c r="C1694" s="9">
        <f>IFERROR(__xludf.DUMMYFUNCTION("""COMPUTED_VALUE"""),44778.9642715856)</f>
        <v>44778.96427</v>
      </c>
      <c r="D1694" s="15">
        <f>IFERROR(__xludf.DUMMYFUNCTION("""COMPUTED_VALUE"""),1.004)</f>
        <v>1.004</v>
      </c>
      <c r="E1694" s="16">
        <f>IFERROR(__xludf.DUMMYFUNCTION("""COMPUTED_VALUE"""),67.0)</f>
        <v>67</v>
      </c>
      <c r="F1694" s="19" t="str">
        <f>IFERROR(__xludf.DUMMYFUNCTION("""COMPUTED_VALUE"""),"BLACK")</f>
        <v>BLACK</v>
      </c>
      <c r="G1694" s="20" t="str">
        <f>IFERROR(__xludf.DUMMYFUNCTION("""COMPUTED_VALUE"""),"Uncle Sams Cider (5/13/2022)")</f>
        <v>Uncle Sams Cider (5/13/2022)</v>
      </c>
      <c r="H1694" s="19"/>
    </row>
    <row r="1695">
      <c r="A1695" s="9"/>
      <c r="B1695" s="15"/>
      <c r="C1695" s="9">
        <f>IFERROR(__xludf.DUMMYFUNCTION("""COMPUTED_VALUE"""),44778.9538398495)</f>
        <v>44778.95384</v>
      </c>
      <c r="D1695" s="15">
        <f>IFERROR(__xludf.DUMMYFUNCTION("""COMPUTED_VALUE"""),1.004)</f>
        <v>1.004</v>
      </c>
      <c r="E1695" s="16">
        <f>IFERROR(__xludf.DUMMYFUNCTION("""COMPUTED_VALUE"""),67.0)</f>
        <v>67</v>
      </c>
      <c r="F1695" s="19" t="str">
        <f>IFERROR(__xludf.DUMMYFUNCTION("""COMPUTED_VALUE"""),"BLACK")</f>
        <v>BLACK</v>
      </c>
      <c r="G1695" s="20" t="str">
        <f>IFERROR(__xludf.DUMMYFUNCTION("""COMPUTED_VALUE"""),"Uncle Sams Cider (5/13/2022)")</f>
        <v>Uncle Sams Cider (5/13/2022)</v>
      </c>
      <c r="H1695" s="19"/>
    </row>
    <row r="1696">
      <c r="A1696" s="9"/>
      <c r="B1696" s="15"/>
      <c r="C1696" s="9">
        <f>IFERROR(__xludf.DUMMYFUNCTION("""COMPUTED_VALUE"""),44778.9434191088)</f>
        <v>44778.94342</v>
      </c>
      <c r="D1696" s="15">
        <f>IFERROR(__xludf.DUMMYFUNCTION("""COMPUTED_VALUE"""),1.004)</f>
        <v>1.004</v>
      </c>
      <c r="E1696" s="16">
        <f>IFERROR(__xludf.DUMMYFUNCTION("""COMPUTED_VALUE"""),67.0)</f>
        <v>67</v>
      </c>
      <c r="F1696" s="19" t="str">
        <f>IFERROR(__xludf.DUMMYFUNCTION("""COMPUTED_VALUE"""),"BLACK")</f>
        <v>BLACK</v>
      </c>
      <c r="G1696" s="20" t="str">
        <f>IFERROR(__xludf.DUMMYFUNCTION("""COMPUTED_VALUE"""),"Uncle Sams Cider (5/13/2022)")</f>
        <v>Uncle Sams Cider (5/13/2022)</v>
      </c>
      <c r="H1696" s="19"/>
    </row>
    <row r="1697">
      <c r="A1697" s="9"/>
      <c r="B1697" s="15"/>
      <c r="C1697" s="9">
        <f>IFERROR(__xludf.DUMMYFUNCTION("""COMPUTED_VALUE"""),44778.9329976504)</f>
        <v>44778.933</v>
      </c>
      <c r="D1697" s="15">
        <f>IFERROR(__xludf.DUMMYFUNCTION("""COMPUTED_VALUE"""),1.004)</f>
        <v>1.004</v>
      </c>
      <c r="E1697" s="16">
        <f>IFERROR(__xludf.DUMMYFUNCTION("""COMPUTED_VALUE"""),67.0)</f>
        <v>67</v>
      </c>
      <c r="F1697" s="19" t="str">
        <f>IFERROR(__xludf.DUMMYFUNCTION("""COMPUTED_VALUE"""),"BLACK")</f>
        <v>BLACK</v>
      </c>
      <c r="G1697" s="20" t="str">
        <f>IFERROR(__xludf.DUMMYFUNCTION("""COMPUTED_VALUE"""),"Uncle Sams Cider (5/13/2022)")</f>
        <v>Uncle Sams Cider (5/13/2022)</v>
      </c>
      <c r="H1697" s="19"/>
    </row>
    <row r="1698">
      <c r="A1698" s="9"/>
      <c r="B1698" s="15"/>
      <c r="C1698" s="9">
        <f>IFERROR(__xludf.DUMMYFUNCTION("""COMPUTED_VALUE"""),44778.9225760879)</f>
        <v>44778.92258</v>
      </c>
      <c r="D1698" s="15">
        <f>IFERROR(__xludf.DUMMYFUNCTION("""COMPUTED_VALUE"""),1.004)</f>
        <v>1.004</v>
      </c>
      <c r="E1698" s="16">
        <f>IFERROR(__xludf.DUMMYFUNCTION("""COMPUTED_VALUE"""),67.0)</f>
        <v>67</v>
      </c>
      <c r="F1698" s="19" t="str">
        <f>IFERROR(__xludf.DUMMYFUNCTION("""COMPUTED_VALUE"""),"BLACK")</f>
        <v>BLACK</v>
      </c>
      <c r="G1698" s="20" t="str">
        <f>IFERROR(__xludf.DUMMYFUNCTION("""COMPUTED_VALUE"""),"Uncle Sams Cider (5/13/2022)")</f>
        <v>Uncle Sams Cider (5/13/2022)</v>
      </c>
      <c r="H1698" s="19"/>
    </row>
    <row r="1699">
      <c r="A1699" s="9"/>
      <c r="B1699" s="15"/>
      <c r="C1699" s="9">
        <f>IFERROR(__xludf.DUMMYFUNCTION("""COMPUTED_VALUE"""),44778.9121537731)</f>
        <v>44778.91215</v>
      </c>
      <c r="D1699" s="15">
        <f>IFERROR(__xludf.DUMMYFUNCTION("""COMPUTED_VALUE"""),1.004)</f>
        <v>1.004</v>
      </c>
      <c r="E1699" s="16">
        <f>IFERROR(__xludf.DUMMYFUNCTION("""COMPUTED_VALUE"""),67.0)</f>
        <v>67</v>
      </c>
      <c r="F1699" s="19" t="str">
        <f>IFERROR(__xludf.DUMMYFUNCTION("""COMPUTED_VALUE"""),"BLACK")</f>
        <v>BLACK</v>
      </c>
      <c r="G1699" s="20" t="str">
        <f>IFERROR(__xludf.DUMMYFUNCTION("""COMPUTED_VALUE"""),"Uncle Sams Cider (5/13/2022)")</f>
        <v>Uncle Sams Cider (5/13/2022)</v>
      </c>
      <c r="H1699" s="19"/>
    </row>
    <row r="1700">
      <c r="A1700" s="9"/>
      <c r="B1700" s="15"/>
      <c r="C1700" s="9">
        <f>IFERROR(__xludf.DUMMYFUNCTION("""COMPUTED_VALUE"""),44778.9017243055)</f>
        <v>44778.90172</v>
      </c>
      <c r="D1700" s="15">
        <f>IFERROR(__xludf.DUMMYFUNCTION("""COMPUTED_VALUE"""),1.004)</f>
        <v>1.004</v>
      </c>
      <c r="E1700" s="16">
        <f>IFERROR(__xludf.DUMMYFUNCTION("""COMPUTED_VALUE"""),67.0)</f>
        <v>67</v>
      </c>
      <c r="F1700" s="19" t="str">
        <f>IFERROR(__xludf.DUMMYFUNCTION("""COMPUTED_VALUE"""),"BLACK")</f>
        <v>BLACK</v>
      </c>
      <c r="G1700" s="20" t="str">
        <f>IFERROR(__xludf.DUMMYFUNCTION("""COMPUTED_VALUE"""),"Uncle Sams Cider (5/13/2022)")</f>
        <v>Uncle Sams Cider (5/13/2022)</v>
      </c>
      <c r="H1700" s="19"/>
    </row>
    <row r="1701">
      <c r="A1701" s="9"/>
      <c r="B1701" s="15"/>
      <c r="C1701" s="9">
        <f>IFERROR(__xludf.DUMMYFUNCTION("""COMPUTED_VALUE"""),44778.8913032176)</f>
        <v>44778.8913</v>
      </c>
      <c r="D1701" s="15">
        <f>IFERROR(__xludf.DUMMYFUNCTION("""COMPUTED_VALUE"""),1.004)</f>
        <v>1.004</v>
      </c>
      <c r="E1701" s="16">
        <f>IFERROR(__xludf.DUMMYFUNCTION("""COMPUTED_VALUE"""),67.0)</f>
        <v>67</v>
      </c>
      <c r="F1701" s="19" t="str">
        <f>IFERROR(__xludf.DUMMYFUNCTION("""COMPUTED_VALUE"""),"BLACK")</f>
        <v>BLACK</v>
      </c>
      <c r="G1701" s="20" t="str">
        <f>IFERROR(__xludf.DUMMYFUNCTION("""COMPUTED_VALUE"""),"Uncle Sams Cider (5/13/2022)")</f>
        <v>Uncle Sams Cider (5/13/2022)</v>
      </c>
      <c r="H1701" s="19"/>
    </row>
    <row r="1702">
      <c r="A1702" s="9"/>
      <c r="B1702" s="15"/>
      <c r="C1702" s="9">
        <f>IFERROR(__xludf.DUMMYFUNCTION("""COMPUTED_VALUE"""),44778.8808824074)</f>
        <v>44778.88088</v>
      </c>
      <c r="D1702" s="15">
        <f>IFERROR(__xludf.DUMMYFUNCTION("""COMPUTED_VALUE"""),1.004)</f>
        <v>1.004</v>
      </c>
      <c r="E1702" s="16">
        <f>IFERROR(__xludf.DUMMYFUNCTION("""COMPUTED_VALUE"""),67.0)</f>
        <v>67</v>
      </c>
      <c r="F1702" s="19" t="str">
        <f>IFERROR(__xludf.DUMMYFUNCTION("""COMPUTED_VALUE"""),"BLACK")</f>
        <v>BLACK</v>
      </c>
      <c r="G1702" s="20" t="str">
        <f>IFERROR(__xludf.DUMMYFUNCTION("""COMPUTED_VALUE"""),"Uncle Sams Cider (5/13/2022)")</f>
        <v>Uncle Sams Cider (5/13/2022)</v>
      </c>
      <c r="H1702" s="19"/>
    </row>
    <row r="1703">
      <c r="A1703" s="9"/>
      <c r="B1703" s="15"/>
      <c r="C1703" s="9">
        <f>IFERROR(__xludf.DUMMYFUNCTION("""COMPUTED_VALUE"""),44778.8704587615)</f>
        <v>44778.87046</v>
      </c>
      <c r="D1703" s="15">
        <f>IFERROR(__xludf.DUMMYFUNCTION("""COMPUTED_VALUE"""),1.004)</f>
        <v>1.004</v>
      </c>
      <c r="E1703" s="16">
        <f>IFERROR(__xludf.DUMMYFUNCTION("""COMPUTED_VALUE"""),66.0)</f>
        <v>66</v>
      </c>
      <c r="F1703" s="19" t="str">
        <f>IFERROR(__xludf.DUMMYFUNCTION("""COMPUTED_VALUE"""),"BLACK")</f>
        <v>BLACK</v>
      </c>
      <c r="G1703" s="20" t="str">
        <f>IFERROR(__xludf.DUMMYFUNCTION("""COMPUTED_VALUE"""),"Uncle Sams Cider (5/13/2022)")</f>
        <v>Uncle Sams Cider (5/13/2022)</v>
      </c>
      <c r="H1703" s="19"/>
    </row>
    <row r="1704">
      <c r="A1704" s="9"/>
      <c r="B1704" s="15"/>
      <c r="C1704" s="9">
        <f>IFERROR(__xludf.DUMMYFUNCTION("""COMPUTED_VALUE"""),44778.8600254282)</f>
        <v>44778.86003</v>
      </c>
      <c r="D1704" s="15">
        <f>IFERROR(__xludf.DUMMYFUNCTION("""COMPUTED_VALUE"""),1.004)</f>
        <v>1.004</v>
      </c>
      <c r="E1704" s="16">
        <f>IFERROR(__xludf.DUMMYFUNCTION("""COMPUTED_VALUE"""),67.0)</f>
        <v>67</v>
      </c>
      <c r="F1704" s="19" t="str">
        <f>IFERROR(__xludf.DUMMYFUNCTION("""COMPUTED_VALUE"""),"BLACK")</f>
        <v>BLACK</v>
      </c>
      <c r="G1704" s="20" t="str">
        <f>IFERROR(__xludf.DUMMYFUNCTION("""COMPUTED_VALUE"""),"Uncle Sams Cider (5/13/2022)")</f>
        <v>Uncle Sams Cider (5/13/2022)</v>
      </c>
      <c r="H1704" s="19"/>
    </row>
    <row r="1705">
      <c r="A1705" s="9"/>
      <c r="B1705" s="15"/>
      <c r="C1705" s="9">
        <f>IFERROR(__xludf.DUMMYFUNCTION("""COMPUTED_VALUE"""),44778.8496063773)</f>
        <v>44778.84961</v>
      </c>
      <c r="D1705" s="15">
        <f>IFERROR(__xludf.DUMMYFUNCTION("""COMPUTED_VALUE"""),1.004)</f>
        <v>1.004</v>
      </c>
      <c r="E1705" s="16">
        <f>IFERROR(__xludf.DUMMYFUNCTION("""COMPUTED_VALUE"""),67.0)</f>
        <v>67</v>
      </c>
      <c r="F1705" s="19" t="str">
        <f>IFERROR(__xludf.DUMMYFUNCTION("""COMPUTED_VALUE"""),"BLACK")</f>
        <v>BLACK</v>
      </c>
      <c r="G1705" s="20" t="str">
        <f>IFERROR(__xludf.DUMMYFUNCTION("""COMPUTED_VALUE"""),"Uncle Sams Cider (5/13/2022)")</f>
        <v>Uncle Sams Cider (5/13/2022)</v>
      </c>
      <c r="H1705" s="19"/>
    </row>
    <row r="1706">
      <c r="A1706" s="9"/>
      <c r="B1706" s="15"/>
      <c r="C1706" s="9">
        <f>IFERROR(__xludf.DUMMYFUNCTION("""COMPUTED_VALUE"""),44778.8391848958)</f>
        <v>44778.83918</v>
      </c>
      <c r="D1706" s="15">
        <f>IFERROR(__xludf.DUMMYFUNCTION("""COMPUTED_VALUE"""),1.004)</f>
        <v>1.004</v>
      </c>
      <c r="E1706" s="16">
        <f>IFERROR(__xludf.DUMMYFUNCTION("""COMPUTED_VALUE"""),66.0)</f>
        <v>66</v>
      </c>
      <c r="F1706" s="19" t="str">
        <f>IFERROR(__xludf.DUMMYFUNCTION("""COMPUTED_VALUE"""),"BLACK")</f>
        <v>BLACK</v>
      </c>
      <c r="G1706" s="20" t="str">
        <f>IFERROR(__xludf.DUMMYFUNCTION("""COMPUTED_VALUE"""),"Uncle Sams Cider (5/13/2022)")</f>
        <v>Uncle Sams Cider (5/13/2022)</v>
      </c>
      <c r="H1706" s="19"/>
    </row>
    <row r="1707">
      <c r="A1707" s="9"/>
      <c r="B1707" s="15"/>
      <c r="C1707" s="9">
        <f>IFERROR(__xludf.DUMMYFUNCTION("""COMPUTED_VALUE"""),44778.8287618865)</f>
        <v>44778.82876</v>
      </c>
      <c r="D1707" s="15">
        <f>IFERROR(__xludf.DUMMYFUNCTION("""COMPUTED_VALUE"""),1.004)</f>
        <v>1.004</v>
      </c>
      <c r="E1707" s="16">
        <f>IFERROR(__xludf.DUMMYFUNCTION("""COMPUTED_VALUE"""),66.0)</f>
        <v>66</v>
      </c>
      <c r="F1707" s="19" t="str">
        <f>IFERROR(__xludf.DUMMYFUNCTION("""COMPUTED_VALUE"""),"BLACK")</f>
        <v>BLACK</v>
      </c>
      <c r="G1707" s="20" t="str">
        <f>IFERROR(__xludf.DUMMYFUNCTION("""COMPUTED_VALUE"""),"Uncle Sams Cider (5/13/2022)")</f>
        <v>Uncle Sams Cider (5/13/2022)</v>
      </c>
      <c r="H1707" s="19"/>
    </row>
    <row r="1708">
      <c r="A1708" s="9"/>
      <c r="B1708" s="15"/>
      <c r="C1708" s="9">
        <f>IFERROR(__xludf.DUMMYFUNCTION("""COMPUTED_VALUE"""),44778.8183286342)</f>
        <v>44778.81833</v>
      </c>
      <c r="D1708" s="15">
        <f>IFERROR(__xludf.DUMMYFUNCTION("""COMPUTED_VALUE"""),1.004)</f>
        <v>1.004</v>
      </c>
      <c r="E1708" s="16">
        <f>IFERROR(__xludf.DUMMYFUNCTION("""COMPUTED_VALUE"""),66.0)</f>
        <v>66</v>
      </c>
      <c r="F1708" s="19" t="str">
        <f>IFERROR(__xludf.DUMMYFUNCTION("""COMPUTED_VALUE"""),"BLACK")</f>
        <v>BLACK</v>
      </c>
      <c r="G1708" s="20" t="str">
        <f>IFERROR(__xludf.DUMMYFUNCTION("""COMPUTED_VALUE"""),"Uncle Sams Cider (5/13/2022)")</f>
        <v>Uncle Sams Cider (5/13/2022)</v>
      </c>
      <c r="H1708" s="19"/>
    </row>
    <row r="1709">
      <c r="A1709" s="9"/>
      <c r="B1709" s="15"/>
      <c r="C1709" s="9">
        <f>IFERROR(__xludf.DUMMYFUNCTION("""COMPUTED_VALUE"""),44778.8079071296)</f>
        <v>44778.80791</v>
      </c>
      <c r="D1709" s="15">
        <f>IFERROR(__xludf.DUMMYFUNCTION("""COMPUTED_VALUE"""),1.004)</f>
        <v>1.004</v>
      </c>
      <c r="E1709" s="16">
        <f>IFERROR(__xludf.DUMMYFUNCTION("""COMPUTED_VALUE"""),66.0)</f>
        <v>66</v>
      </c>
      <c r="F1709" s="19" t="str">
        <f>IFERROR(__xludf.DUMMYFUNCTION("""COMPUTED_VALUE"""),"BLACK")</f>
        <v>BLACK</v>
      </c>
      <c r="G1709" s="20" t="str">
        <f>IFERROR(__xludf.DUMMYFUNCTION("""COMPUTED_VALUE"""),"Uncle Sams Cider (5/13/2022)")</f>
        <v>Uncle Sams Cider (5/13/2022)</v>
      </c>
      <c r="H1709" s="19"/>
    </row>
    <row r="1710">
      <c r="A1710" s="9"/>
      <c r="B1710" s="15"/>
      <c r="C1710" s="9">
        <f>IFERROR(__xludf.DUMMYFUNCTION("""COMPUTED_VALUE"""),44778.797487199)</f>
        <v>44778.79749</v>
      </c>
      <c r="D1710" s="15">
        <f>IFERROR(__xludf.DUMMYFUNCTION("""COMPUTED_VALUE"""),1.004)</f>
        <v>1.004</v>
      </c>
      <c r="E1710" s="16">
        <f>IFERROR(__xludf.DUMMYFUNCTION("""COMPUTED_VALUE"""),66.0)</f>
        <v>66</v>
      </c>
      <c r="F1710" s="19" t="str">
        <f>IFERROR(__xludf.DUMMYFUNCTION("""COMPUTED_VALUE"""),"BLACK")</f>
        <v>BLACK</v>
      </c>
      <c r="G1710" s="20" t="str">
        <f>IFERROR(__xludf.DUMMYFUNCTION("""COMPUTED_VALUE"""),"Uncle Sams Cider (5/13/2022)")</f>
        <v>Uncle Sams Cider (5/13/2022)</v>
      </c>
      <c r="H1710" s="19"/>
    </row>
    <row r="1711">
      <c r="A1711" s="9"/>
      <c r="B1711" s="15"/>
      <c r="C1711" s="9">
        <f>IFERROR(__xludf.DUMMYFUNCTION("""COMPUTED_VALUE"""),44778.7870545949)</f>
        <v>44778.78705</v>
      </c>
      <c r="D1711" s="15">
        <f>IFERROR(__xludf.DUMMYFUNCTION("""COMPUTED_VALUE"""),1.004)</f>
        <v>1.004</v>
      </c>
      <c r="E1711" s="16">
        <f>IFERROR(__xludf.DUMMYFUNCTION("""COMPUTED_VALUE"""),66.0)</f>
        <v>66</v>
      </c>
      <c r="F1711" s="19" t="str">
        <f>IFERROR(__xludf.DUMMYFUNCTION("""COMPUTED_VALUE"""),"BLACK")</f>
        <v>BLACK</v>
      </c>
      <c r="G1711" s="20" t="str">
        <f>IFERROR(__xludf.DUMMYFUNCTION("""COMPUTED_VALUE"""),"Uncle Sams Cider (5/13/2022)")</f>
        <v>Uncle Sams Cider (5/13/2022)</v>
      </c>
      <c r="H1711" s="19"/>
    </row>
    <row r="1712">
      <c r="A1712" s="9"/>
      <c r="B1712" s="15"/>
      <c r="C1712" s="9">
        <f>IFERROR(__xludf.DUMMYFUNCTION("""COMPUTED_VALUE"""),44778.7766327546)</f>
        <v>44778.77663</v>
      </c>
      <c r="D1712" s="15">
        <f>IFERROR(__xludf.DUMMYFUNCTION("""COMPUTED_VALUE"""),1.004)</f>
        <v>1.004</v>
      </c>
      <c r="E1712" s="16">
        <f>IFERROR(__xludf.DUMMYFUNCTION("""COMPUTED_VALUE"""),66.0)</f>
        <v>66</v>
      </c>
      <c r="F1712" s="19" t="str">
        <f>IFERROR(__xludf.DUMMYFUNCTION("""COMPUTED_VALUE"""),"BLACK")</f>
        <v>BLACK</v>
      </c>
      <c r="G1712" s="20" t="str">
        <f>IFERROR(__xludf.DUMMYFUNCTION("""COMPUTED_VALUE"""),"Uncle Sams Cider (5/13/2022)")</f>
        <v>Uncle Sams Cider (5/13/2022)</v>
      </c>
      <c r="H1712" s="19"/>
    </row>
    <row r="1713">
      <c r="A1713" s="9"/>
      <c r="B1713" s="15"/>
      <c r="C1713" s="9">
        <f>IFERROR(__xludf.DUMMYFUNCTION("""COMPUTED_VALUE"""),44778.76621228)</f>
        <v>44778.76621</v>
      </c>
      <c r="D1713" s="15">
        <f>IFERROR(__xludf.DUMMYFUNCTION("""COMPUTED_VALUE"""),1.004)</f>
        <v>1.004</v>
      </c>
      <c r="E1713" s="16">
        <f>IFERROR(__xludf.DUMMYFUNCTION("""COMPUTED_VALUE"""),66.0)</f>
        <v>66</v>
      </c>
      <c r="F1713" s="19" t="str">
        <f>IFERROR(__xludf.DUMMYFUNCTION("""COMPUTED_VALUE"""),"BLACK")</f>
        <v>BLACK</v>
      </c>
      <c r="G1713" s="20" t="str">
        <f>IFERROR(__xludf.DUMMYFUNCTION("""COMPUTED_VALUE"""),"Uncle Sams Cider (5/13/2022)")</f>
        <v>Uncle Sams Cider (5/13/2022)</v>
      </c>
      <c r="H1713" s="19"/>
    </row>
    <row r="1714">
      <c r="A1714" s="9"/>
      <c r="B1714" s="15"/>
      <c r="C1714" s="9">
        <f>IFERROR(__xludf.DUMMYFUNCTION("""COMPUTED_VALUE"""),44778.7557908796)</f>
        <v>44778.75579</v>
      </c>
      <c r="D1714" s="15">
        <f>IFERROR(__xludf.DUMMYFUNCTION("""COMPUTED_VALUE"""),1.004)</f>
        <v>1.004</v>
      </c>
      <c r="E1714" s="16">
        <f>IFERROR(__xludf.DUMMYFUNCTION("""COMPUTED_VALUE"""),66.0)</f>
        <v>66</v>
      </c>
      <c r="F1714" s="19" t="str">
        <f>IFERROR(__xludf.DUMMYFUNCTION("""COMPUTED_VALUE"""),"BLACK")</f>
        <v>BLACK</v>
      </c>
      <c r="G1714" s="20" t="str">
        <f>IFERROR(__xludf.DUMMYFUNCTION("""COMPUTED_VALUE"""),"Uncle Sams Cider (5/13/2022)")</f>
        <v>Uncle Sams Cider (5/13/2022)</v>
      </c>
      <c r="H1714" s="19"/>
    </row>
    <row r="1715">
      <c r="A1715" s="9"/>
      <c r="B1715" s="15"/>
      <c r="C1715" s="9">
        <f>IFERROR(__xludf.DUMMYFUNCTION("""COMPUTED_VALUE"""),44778.7453694907)</f>
        <v>44778.74537</v>
      </c>
      <c r="D1715" s="15">
        <f>IFERROR(__xludf.DUMMYFUNCTION("""COMPUTED_VALUE"""),1.004)</f>
        <v>1.004</v>
      </c>
      <c r="E1715" s="16">
        <f>IFERROR(__xludf.DUMMYFUNCTION("""COMPUTED_VALUE"""),66.0)</f>
        <v>66</v>
      </c>
      <c r="F1715" s="19" t="str">
        <f>IFERROR(__xludf.DUMMYFUNCTION("""COMPUTED_VALUE"""),"BLACK")</f>
        <v>BLACK</v>
      </c>
      <c r="G1715" s="20" t="str">
        <f>IFERROR(__xludf.DUMMYFUNCTION("""COMPUTED_VALUE"""),"Uncle Sams Cider (5/13/2022)")</f>
        <v>Uncle Sams Cider (5/13/2022)</v>
      </c>
      <c r="H1715" s="19"/>
    </row>
    <row r="1716">
      <c r="A1716" s="9"/>
      <c r="B1716" s="15"/>
      <c r="C1716" s="9">
        <f>IFERROR(__xludf.DUMMYFUNCTION("""COMPUTED_VALUE"""),44778.7349488425)</f>
        <v>44778.73495</v>
      </c>
      <c r="D1716" s="15">
        <f>IFERROR(__xludf.DUMMYFUNCTION("""COMPUTED_VALUE"""),1.004)</f>
        <v>1.004</v>
      </c>
      <c r="E1716" s="16">
        <f>IFERROR(__xludf.DUMMYFUNCTION("""COMPUTED_VALUE"""),66.0)</f>
        <v>66</v>
      </c>
      <c r="F1716" s="19" t="str">
        <f>IFERROR(__xludf.DUMMYFUNCTION("""COMPUTED_VALUE"""),"BLACK")</f>
        <v>BLACK</v>
      </c>
      <c r="G1716" s="20" t="str">
        <f>IFERROR(__xludf.DUMMYFUNCTION("""COMPUTED_VALUE"""),"Uncle Sams Cider (5/13/2022)")</f>
        <v>Uncle Sams Cider (5/13/2022)</v>
      </c>
      <c r="H1716" s="19"/>
    </row>
    <row r="1717">
      <c r="A1717" s="9"/>
      <c r="B1717" s="15"/>
      <c r="C1717" s="9">
        <f>IFERROR(__xludf.DUMMYFUNCTION("""COMPUTED_VALUE"""),44778.7245266898)</f>
        <v>44778.72453</v>
      </c>
      <c r="D1717" s="15">
        <f>IFERROR(__xludf.DUMMYFUNCTION("""COMPUTED_VALUE"""),1.004)</f>
        <v>1.004</v>
      </c>
      <c r="E1717" s="16">
        <f>IFERROR(__xludf.DUMMYFUNCTION("""COMPUTED_VALUE"""),66.0)</f>
        <v>66</v>
      </c>
      <c r="F1717" s="19" t="str">
        <f>IFERROR(__xludf.DUMMYFUNCTION("""COMPUTED_VALUE"""),"BLACK")</f>
        <v>BLACK</v>
      </c>
      <c r="G1717" s="20" t="str">
        <f>IFERROR(__xludf.DUMMYFUNCTION("""COMPUTED_VALUE"""),"Uncle Sams Cider (5/13/2022)")</f>
        <v>Uncle Sams Cider (5/13/2022)</v>
      </c>
      <c r="H1717" s="19"/>
    </row>
    <row r="1718">
      <c r="A1718" s="9"/>
      <c r="B1718" s="15"/>
      <c r="C1718" s="9">
        <f>IFERROR(__xludf.DUMMYFUNCTION("""COMPUTED_VALUE"""),44778.7141055671)</f>
        <v>44778.71411</v>
      </c>
      <c r="D1718" s="15">
        <f>IFERROR(__xludf.DUMMYFUNCTION("""COMPUTED_VALUE"""),1.004)</f>
        <v>1.004</v>
      </c>
      <c r="E1718" s="16">
        <f>IFERROR(__xludf.DUMMYFUNCTION("""COMPUTED_VALUE"""),66.0)</f>
        <v>66</v>
      </c>
      <c r="F1718" s="19" t="str">
        <f>IFERROR(__xludf.DUMMYFUNCTION("""COMPUTED_VALUE"""),"BLACK")</f>
        <v>BLACK</v>
      </c>
      <c r="G1718" s="20" t="str">
        <f>IFERROR(__xludf.DUMMYFUNCTION("""COMPUTED_VALUE"""),"Uncle Sams Cider (5/13/2022)")</f>
        <v>Uncle Sams Cider (5/13/2022)</v>
      </c>
      <c r="H1718" s="19"/>
    </row>
    <row r="1719">
      <c r="A1719" s="9"/>
      <c r="B1719" s="15"/>
      <c r="C1719" s="9">
        <f>IFERROR(__xludf.DUMMYFUNCTION("""COMPUTED_VALUE"""),44778.7036847916)</f>
        <v>44778.70368</v>
      </c>
      <c r="D1719" s="15">
        <f>IFERROR(__xludf.DUMMYFUNCTION("""COMPUTED_VALUE"""),1.004)</f>
        <v>1.004</v>
      </c>
      <c r="E1719" s="16">
        <f>IFERROR(__xludf.DUMMYFUNCTION("""COMPUTED_VALUE"""),66.0)</f>
        <v>66</v>
      </c>
      <c r="F1719" s="19" t="str">
        <f>IFERROR(__xludf.DUMMYFUNCTION("""COMPUTED_VALUE"""),"BLACK")</f>
        <v>BLACK</v>
      </c>
      <c r="G1719" s="20" t="str">
        <f>IFERROR(__xludf.DUMMYFUNCTION("""COMPUTED_VALUE"""),"Uncle Sams Cider (5/13/2022)")</f>
        <v>Uncle Sams Cider (5/13/2022)</v>
      </c>
      <c r="H1719" s="19"/>
    </row>
    <row r="1720">
      <c r="A1720" s="9"/>
      <c r="B1720" s="15"/>
      <c r="C1720" s="9">
        <f>IFERROR(__xludf.DUMMYFUNCTION("""COMPUTED_VALUE"""),44778.6932634722)</f>
        <v>44778.69326</v>
      </c>
      <c r="D1720" s="15">
        <f>IFERROR(__xludf.DUMMYFUNCTION("""COMPUTED_VALUE"""),1.004)</f>
        <v>1.004</v>
      </c>
      <c r="E1720" s="16">
        <f>IFERROR(__xludf.DUMMYFUNCTION("""COMPUTED_VALUE"""),66.0)</f>
        <v>66</v>
      </c>
      <c r="F1720" s="19" t="str">
        <f>IFERROR(__xludf.DUMMYFUNCTION("""COMPUTED_VALUE"""),"BLACK")</f>
        <v>BLACK</v>
      </c>
      <c r="G1720" s="20" t="str">
        <f>IFERROR(__xludf.DUMMYFUNCTION("""COMPUTED_VALUE"""),"Uncle Sams Cider (5/13/2022)")</f>
        <v>Uncle Sams Cider (5/13/2022)</v>
      </c>
      <c r="H1720" s="19"/>
    </row>
    <row r="1721">
      <c r="A1721" s="9"/>
      <c r="B1721" s="15"/>
      <c r="C1721" s="9">
        <f>IFERROR(__xludf.DUMMYFUNCTION("""COMPUTED_VALUE"""),44778.6828413657)</f>
        <v>44778.68284</v>
      </c>
      <c r="D1721" s="15">
        <f>IFERROR(__xludf.DUMMYFUNCTION("""COMPUTED_VALUE"""),1.004)</f>
        <v>1.004</v>
      </c>
      <c r="E1721" s="16">
        <f>IFERROR(__xludf.DUMMYFUNCTION("""COMPUTED_VALUE"""),66.0)</f>
        <v>66</v>
      </c>
      <c r="F1721" s="19" t="str">
        <f>IFERROR(__xludf.DUMMYFUNCTION("""COMPUTED_VALUE"""),"BLACK")</f>
        <v>BLACK</v>
      </c>
      <c r="G1721" s="20" t="str">
        <f>IFERROR(__xludf.DUMMYFUNCTION("""COMPUTED_VALUE"""),"Uncle Sams Cider (5/13/2022)")</f>
        <v>Uncle Sams Cider (5/13/2022)</v>
      </c>
      <c r="H1721" s="19"/>
    </row>
    <row r="1722">
      <c r="A1722" s="9"/>
      <c r="B1722" s="15"/>
      <c r="C1722" s="9">
        <f>IFERROR(__xludf.DUMMYFUNCTION("""COMPUTED_VALUE"""),44778.672421331)</f>
        <v>44778.67242</v>
      </c>
      <c r="D1722" s="15">
        <f>IFERROR(__xludf.DUMMYFUNCTION("""COMPUTED_VALUE"""),1.004)</f>
        <v>1.004</v>
      </c>
      <c r="E1722" s="16">
        <f>IFERROR(__xludf.DUMMYFUNCTION("""COMPUTED_VALUE"""),66.0)</f>
        <v>66</v>
      </c>
      <c r="F1722" s="19" t="str">
        <f>IFERROR(__xludf.DUMMYFUNCTION("""COMPUTED_VALUE"""),"BLACK")</f>
        <v>BLACK</v>
      </c>
      <c r="G1722" s="20" t="str">
        <f>IFERROR(__xludf.DUMMYFUNCTION("""COMPUTED_VALUE"""),"Uncle Sams Cider (5/13/2022)")</f>
        <v>Uncle Sams Cider (5/13/2022)</v>
      </c>
      <c r="H1722" s="19"/>
    </row>
    <row r="1723">
      <c r="A1723" s="9"/>
      <c r="B1723" s="15"/>
      <c r="C1723" s="9">
        <f>IFERROR(__xludf.DUMMYFUNCTION("""COMPUTED_VALUE"""),44778.6620002777)</f>
        <v>44778.662</v>
      </c>
      <c r="D1723" s="15">
        <f>IFERROR(__xludf.DUMMYFUNCTION("""COMPUTED_VALUE"""),1.004)</f>
        <v>1.004</v>
      </c>
      <c r="E1723" s="16">
        <f>IFERROR(__xludf.DUMMYFUNCTION("""COMPUTED_VALUE"""),66.0)</f>
        <v>66</v>
      </c>
      <c r="F1723" s="19" t="str">
        <f>IFERROR(__xludf.DUMMYFUNCTION("""COMPUTED_VALUE"""),"BLACK")</f>
        <v>BLACK</v>
      </c>
      <c r="G1723" s="20" t="str">
        <f>IFERROR(__xludf.DUMMYFUNCTION("""COMPUTED_VALUE"""),"Uncle Sams Cider (5/13/2022)")</f>
        <v>Uncle Sams Cider (5/13/2022)</v>
      </c>
      <c r="H1723" s="19"/>
    </row>
    <row r="1724">
      <c r="A1724" s="9"/>
      <c r="B1724" s="15"/>
      <c r="C1724" s="9">
        <f>IFERROR(__xludf.DUMMYFUNCTION("""COMPUTED_VALUE"""),44778.6515697685)</f>
        <v>44778.65157</v>
      </c>
      <c r="D1724" s="15">
        <f>IFERROR(__xludf.DUMMYFUNCTION("""COMPUTED_VALUE"""),1.004)</f>
        <v>1.004</v>
      </c>
      <c r="E1724" s="16">
        <f>IFERROR(__xludf.DUMMYFUNCTION("""COMPUTED_VALUE"""),66.0)</f>
        <v>66</v>
      </c>
      <c r="F1724" s="19" t="str">
        <f>IFERROR(__xludf.DUMMYFUNCTION("""COMPUTED_VALUE"""),"BLACK")</f>
        <v>BLACK</v>
      </c>
      <c r="G1724" s="20" t="str">
        <f>IFERROR(__xludf.DUMMYFUNCTION("""COMPUTED_VALUE"""),"Uncle Sams Cider (5/13/2022)")</f>
        <v>Uncle Sams Cider (5/13/2022)</v>
      </c>
      <c r="H1724" s="19"/>
    </row>
    <row r="1725">
      <c r="A1725" s="9"/>
      <c r="B1725" s="15"/>
      <c r="C1725" s="9">
        <f>IFERROR(__xludf.DUMMYFUNCTION("""COMPUTED_VALUE"""),44778.6411482754)</f>
        <v>44778.64115</v>
      </c>
      <c r="D1725" s="15">
        <f>IFERROR(__xludf.DUMMYFUNCTION("""COMPUTED_VALUE"""),1.004)</f>
        <v>1.004</v>
      </c>
      <c r="E1725" s="16">
        <f>IFERROR(__xludf.DUMMYFUNCTION("""COMPUTED_VALUE"""),66.0)</f>
        <v>66</v>
      </c>
      <c r="F1725" s="19" t="str">
        <f>IFERROR(__xludf.DUMMYFUNCTION("""COMPUTED_VALUE"""),"BLACK")</f>
        <v>BLACK</v>
      </c>
      <c r="G1725" s="20" t="str">
        <f>IFERROR(__xludf.DUMMYFUNCTION("""COMPUTED_VALUE"""),"Uncle Sams Cider (5/13/2022)")</f>
        <v>Uncle Sams Cider (5/13/2022)</v>
      </c>
      <c r="H1725" s="19"/>
    </row>
    <row r="1726">
      <c r="A1726" s="9"/>
      <c r="B1726" s="15"/>
      <c r="C1726" s="9">
        <f>IFERROR(__xludf.DUMMYFUNCTION("""COMPUTED_VALUE"""),44778.6307144328)</f>
        <v>44778.63071</v>
      </c>
      <c r="D1726" s="15">
        <f>IFERROR(__xludf.DUMMYFUNCTION("""COMPUTED_VALUE"""),1.004)</f>
        <v>1.004</v>
      </c>
      <c r="E1726" s="16">
        <f>IFERROR(__xludf.DUMMYFUNCTION("""COMPUTED_VALUE"""),66.0)</f>
        <v>66</v>
      </c>
      <c r="F1726" s="19" t="str">
        <f>IFERROR(__xludf.DUMMYFUNCTION("""COMPUTED_VALUE"""),"BLACK")</f>
        <v>BLACK</v>
      </c>
      <c r="G1726" s="20" t="str">
        <f>IFERROR(__xludf.DUMMYFUNCTION("""COMPUTED_VALUE"""),"Uncle Sams Cider (5/13/2022)")</f>
        <v>Uncle Sams Cider (5/13/2022)</v>
      </c>
      <c r="H1726" s="19"/>
    </row>
    <row r="1727">
      <c r="A1727" s="9"/>
      <c r="B1727" s="15"/>
      <c r="C1727" s="9">
        <f>IFERROR(__xludf.DUMMYFUNCTION("""COMPUTED_VALUE"""),44778.6202941203)</f>
        <v>44778.62029</v>
      </c>
      <c r="D1727" s="15">
        <f>IFERROR(__xludf.DUMMYFUNCTION("""COMPUTED_VALUE"""),1.004)</f>
        <v>1.004</v>
      </c>
      <c r="E1727" s="16">
        <f>IFERROR(__xludf.DUMMYFUNCTION("""COMPUTED_VALUE"""),66.0)</f>
        <v>66</v>
      </c>
      <c r="F1727" s="19" t="str">
        <f>IFERROR(__xludf.DUMMYFUNCTION("""COMPUTED_VALUE"""),"BLACK")</f>
        <v>BLACK</v>
      </c>
      <c r="G1727" s="20" t="str">
        <f>IFERROR(__xludf.DUMMYFUNCTION("""COMPUTED_VALUE"""),"Uncle Sams Cider (5/13/2022)")</f>
        <v>Uncle Sams Cider (5/13/2022)</v>
      </c>
      <c r="H1727" s="19"/>
    </row>
    <row r="1728">
      <c r="A1728" s="9"/>
      <c r="B1728" s="15"/>
      <c r="C1728" s="9">
        <f>IFERROR(__xludf.DUMMYFUNCTION("""COMPUTED_VALUE"""),44778.6098725115)</f>
        <v>44778.60987</v>
      </c>
      <c r="D1728" s="15">
        <f>IFERROR(__xludf.DUMMYFUNCTION("""COMPUTED_VALUE"""),1.004)</f>
        <v>1.004</v>
      </c>
      <c r="E1728" s="16">
        <f>IFERROR(__xludf.DUMMYFUNCTION("""COMPUTED_VALUE"""),66.0)</f>
        <v>66</v>
      </c>
      <c r="F1728" s="19" t="str">
        <f>IFERROR(__xludf.DUMMYFUNCTION("""COMPUTED_VALUE"""),"BLACK")</f>
        <v>BLACK</v>
      </c>
      <c r="G1728" s="20" t="str">
        <f>IFERROR(__xludf.DUMMYFUNCTION("""COMPUTED_VALUE"""),"Uncle Sams Cider (5/13/2022)")</f>
        <v>Uncle Sams Cider (5/13/2022)</v>
      </c>
      <c r="H1728" s="19"/>
    </row>
    <row r="1729">
      <c r="A1729" s="9"/>
      <c r="B1729" s="15"/>
      <c r="C1729" s="9">
        <f>IFERROR(__xludf.DUMMYFUNCTION("""COMPUTED_VALUE"""),44778.5994402893)</f>
        <v>44778.59944</v>
      </c>
      <c r="D1729" s="15">
        <f>IFERROR(__xludf.DUMMYFUNCTION("""COMPUTED_VALUE"""),1.004)</f>
        <v>1.004</v>
      </c>
      <c r="E1729" s="16">
        <f>IFERROR(__xludf.DUMMYFUNCTION("""COMPUTED_VALUE"""),66.0)</f>
        <v>66</v>
      </c>
      <c r="F1729" s="19" t="str">
        <f>IFERROR(__xludf.DUMMYFUNCTION("""COMPUTED_VALUE"""),"BLACK")</f>
        <v>BLACK</v>
      </c>
      <c r="G1729" s="20" t="str">
        <f>IFERROR(__xludf.DUMMYFUNCTION("""COMPUTED_VALUE"""),"Uncle Sams Cider (5/13/2022)")</f>
        <v>Uncle Sams Cider (5/13/2022)</v>
      </c>
      <c r="H1729" s="19"/>
    </row>
    <row r="1730">
      <c r="A1730" s="9"/>
      <c r="B1730" s="15"/>
      <c r="C1730" s="9">
        <f>IFERROR(__xludf.DUMMYFUNCTION("""COMPUTED_VALUE"""),44778.5890066319)</f>
        <v>44778.58901</v>
      </c>
      <c r="D1730" s="15">
        <f>IFERROR(__xludf.DUMMYFUNCTION("""COMPUTED_VALUE"""),1.004)</f>
        <v>1.004</v>
      </c>
      <c r="E1730" s="16">
        <f>IFERROR(__xludf.DUMMYFUNCTION("""COMPUTED_VALUE"""),66.0)</f>
        <v>66</v>
      </c>
      <c r="F1730" s="19" t="str">
        <f>IFERROR(__xludf.DUMMYFUNCTION("""COMPUTED_VALUE"""),"BLACK")</f>
        <v>BLACK</v>
      </c>
      <c r="G1730" s="20" t="str">
        <f>IFERROR(__xludf.DUMMYFUNCTION("""COMPUTED_VALUE"""),"Uncle Sams Cider (5/13/2022)")</f>
        <v>Uncle Sams Cider (5/13/2022)</v>
      </c>
      <c r="H1730" s="19"/>
    </row>
    <row r="1731">
      <c r="A1731" s="9"/>
      <c r="B1731" s="15"/>
      <c r="C1731" s="9">
        <f>IFERROR(__xludf.DUMMYFUNCTION("""COMPUTED_VALUE"""),44778.5785842361)</f>
        <v>44778.57858</v>
      </c>
      <c r="D1731" s="15">
        <f>IFERROR(__xludf.DUMMYFUNCTION("""COMPUTED_VALUE"""),1.004)</f>
        <v>1.004</v>
      </c>
      <c r="E1731" s="16">
        <f>IFERROR(__xludf.DUMMYFUNCTION("""COMPUTED_VALUE"""),66.0)</f>
        <v>66</v>
      </c>
      <c r="F1731" s="19" t="str">
        <f>IFERROR(__xludf.DUMMYFUNCTION("""COMPUTED_VALUE"""),"BLACK")</f>
        <v>BLACK</v>
      </c>
      <c r="G1731" s="20" t="str">
        <f>IFERROR(__xludf.DUMMYFUNCTION("""COMPUTED_VALUE"""),"Uncle Sams Cider (5/13/2022)")</f>
        <v>Uncle Sams Cider (5/13/2022)</v>
      </c>
      <c r="H1731" s="19"/>
    </row>
    <row r="1732">
      <c r="A1732" s="9"/>
      <c r="B1732" s="15"/>
      <c r="C1732" s="9">
        <f>IFERROR(__xludf.DUMMYFUNCTION("""COMPUTED_VALUE"""),44778.5681512615)</f>
        <v>44778.56815</v>
      </c>
      <c r="D1732" s="15">
        <f>IFERROR(__xludf.DUMMYFUNCTION("""COMPUTED_VALUE"""),1.004)</f>
        <v>1.004</v>
      </c>
      <c r="E1732" s="16">
        <f>IFERROR(__xludf.DUMMYFUNCTION("""COMPUTED_VALUE"""),66.0)</f>
        <v>66</v>
      </c>
      <c r="F1732" s="19" t="str">
        <f>IFERROR(__xludf.DUMMYFUNCTION("""COMPUTED_VALUE"""),"BLACK")</f>
        <v>BLACK</v>
      </c>
      <c r="G1732" s="20" t="str">
        <f>IFERROR(__xludf.DUMMYFUNCTION("""COMPUTED_VALUE"""),"Uncle Sams Cider (5/13/2022)")</f>
        <v>Uncle Sams Cider (5/13/2022)</v>
      </c>
      <c r="H1732" s="19"/>
    </row>
    <row r="1733">
      <c r="A1733" s="9"/>
      <c r="B1733" s="15"/>
      <c r="C1733" s="9">
        <f>IFERROR(__xludf.DUMMYFUNCTION("""COMPUTED_VALUE"""),44778.557730949)</f>
        <v>44778.55773</v>
      </c>
      <c r="D1733" s="15">
        <f>IFERROR(__xludf.DUMMYFUNCTION("""COMPUTED_VALUE"""),1.004)</f>
        <v>1.004</v>
      </c>
      <c r="E1733" s="16">
        <f>IFERROR(__xludf.DUMMYFUNCTION("""COMPUTED_VALUE"""),66.0)</f>
        <v>66</v>
      </c>
      <c r="F1733" s="19" t="str">
        <f>IFERROR(__xludf.DUMMYFUNCTION("""COMPUTED_VALUE"""),"BLACK")</f>
        <v>BLACK</v>
      </c>
      <c r="G1733" s="20" t="str">
        <f>IFERROR(__xludf.DUMMYFUNCTION("""COMPUTED_VALUE"""),"Uncle Sams Cider (5/13/2022)")</f>
        <v>Uncle Sams Cider (5/13/2022)</v>
      </c>
      <c r="H1733" s="19"/>
    </row>
    <row r="1734">
      <c r="A1734" s="9"/>
      <c r="B1734" s="15"/>
      <c r="C1734" s="9">
        <f>IFERROR(__xludf.DUMMYFUNCTION("""COMPUTED_VALUE"""),44778.5473081018)</f>
        <v>44778.54731</v>
      </c>
      <c r="D1734" s="15">
        <f>IFERROR(__xludf.DUMMYFUNCTION("""COMPUTED_VALUE"""),1.004)</f>
        <v>1.004</v>
      </c>
      <c r="E1734" s="16">
        <f>IFERROR(__xludf.DUMMYFUNCTION("""COMPUTED_VALUE"""),66.0)</f>
        <v>66</v>
      </c>
      <c r="F1734" s="19" t="str">
        <f>IFERROR(__xludf.DUMMYFUNCTION("""COMPUTED_VALUE"""),"BLACK")</f>
        <v>BLACK</v>
      </c>
      <c r="G1734" s="20" t="str">
        <f>IFERROR(__xludf.DUMMYFUNCTION("""COMPUTED_VALUE"""),"Uncle Sams Cider (5/13/2022)")</f>
        <v>Uncle Sams Cider (5/13/2022)</v>
      </c>
      <c r="H1734" s="19"/>
    </row>
    <row r="1735">
      <c r="A1735" s="9"/>
      <c r="B1735" s="15"/>
      <c r="C1735" s="9">
        <f>IFERROR(__xludf.DUMMYFUNCTION("""COMPUTED_VALUE"""),44778.5368855671)</f>
        <v>44778.53689</v>
      </c>
      <c r="D1735" s="15">
        <f>IFERROR(__xludf.DUMMYFUNCTION("""COMPUTED_VALUE"""),1.004)</f>
        <v>1.004</v>
      </c>
      <c r="E1735" s="16">
        <f>IFERROR(__xludf.DUMMYFUNCTION("""COMPUTED_VALUE"""),66.0)</f>
        <v>66</v>
      </c>
      <c r="F1735" s="19" t="str">
        <f>IFERROR(__xludf.DUMMYFUNCTION("""COMPUTED_VALUE"""),"BLACK")</f>
        <v>BLACK</v>
      </c>
      <c r="G1735" s="20" t="str">
        <f>IFERROR(__xludf.DUMMYFUNCTION("""COMPUTED_VALUE"""),"Uncle Sams Cider (5/13/2022)")</f>
        <v>Uncle Sams Cider (5/13/2022)</v>
      </c>
      <c r="H1735" s="19"/>
    </row>
    <row r="1736">
      <c r="A1736" s="9"/>
      <c r="B1736" s="15"/>
      <c r="C1736" s="9">
        <f>IFERROR(__xludf.DUMMYFUNCTION("""COMPUTED_VALUE"""),44778.5264526504)</f>
        <v>44778.52645</v>
      </c>
      <c r="D1736" s="15">
        <f>IFERROR(__xludf.DUMMYFUNCTION("""COMPUTED_VALUE"""),1.004)</f>
        <v>1.004</v>
      </c>
      <c r="E1736" s="16">
        <f>IFERROR(__xludf.DUMMYFUNCTION("""COMPUTED_VALUE"""),66.0)</f>
        <v>66</v>
      </c>
      <c r="F1736" s="19" t="str">
        <f>IFERROR(__xludf.DUMMYFUNCTION("""COMPUTED_VALUE"""),"BLACK")</f>
        <v>BLACK</v>
      </c>
      <c r="G1736" s="20" t="str">
        <f>IFERROR(__xludf.DUMMYFUNCTION("""COMPUTED_VALUE"""),"Uncle Sams Cider (5/13/2022)")</f>
        <v>Uncle Sams Cider (5/13/2022)</v>
      </c>
      <c r="H1736" s="19"/>
    </row>
    <row r="1737">
      <c r="A1737" s="9"/>
      <c r="B1737" s="15"/>
      <c r="C1737" s="9">
        <f>IFERROR(__xludf.DUMMYFUNCTION("""COMPUTED_VALUE"""),44778.516032905)</f>
        <v>44778.51603</v>
      </c>
      <c r="D1737" s="15">
        <f>IFERROR(__xludf.DUMMYFUNCTION("""COMPUTED_VALUE"""),1.004)</f>
        <v>1.004</v>
      </c>
      <c r="E1737" s="16">
        <f>IFERROR(__xludf.DUMMYFUNCTION("""COMPUTED_VALUE"""),66.0)</f>
        <v>66</v>
      </c>
      <c r="F1737" s="19" t="str">
        <f>IFERROR(__xludf.DUMMYFUNCTION("""COMPUTED_VALUE"""),"BLACK")</f>
        <v>BLACK</v>
      </c>
      <c r="G1737" s="20" t="str">
        <f>IFERROR(__xludf.DUMMYFUNCTION("""COMPUTED_VALUE"""),"Uncle Sams Cider (5/13/2022)")</f>
        <v>Uncle Sams Cider (5/13/2022)</v>
      </c>
      <c r="H1737" s="19"/>
    </row>
    <row r="1738">
      <c r="A1738" s="9"/>
      <c r="B1738" s="15"/>
      <c r="C1738" s="9">
        <f>IFERROR(__xludf.DUMMYFUNCTION("""COMPUTED_VALUE"""),44778.5056104976)</f>
        <v>44778.50561</v>
      </c>
      <c r="D1738" s="15">
        <f>IFERROR(__xludf.DUMMYFUNCTION("""COMPUTED_VALUE"""),1.004)</f>
        <v>1.004</v>
      </c>
      <c r="E1738" s="16">
        <f>IFERROR(__xludf.DUMMYFUNCTION("""COMPUTED_VALUE"""),66.0)</f>
        <v>66</v>
      </c>
      <c r="F1738" s="19" t="str">
        <f>IFERROR(__xludf.DUMMYFUNCTION("""COMPUTED_VALUE"""),"BLACK")</f>
        <v>BLACK</v>
      </c>
      <c r="G1738" s="20" t="str">
        <f>IFERROR(__xludf.DUMMYFUNCTION("""COMPUTED_VALUE"""),"Uncle Sams Cider (5/13/2022)")</f>
        <v>Uncle Sams Cider (5/13/2022)</v>
      </c>
      <c r="H1738" s="19"/>
    </row>
    <row r="1739">
      <c r="A1739" s="9"/>
      <c r="B1739" s="15"/>
      <c r="C1739" s="9">
        <f>IFERROR(__xludf.DUMMYFUNCTION("""COMPUTED_VALUE"""),44778.4951907291)</f>
        <v>44778.49519</v>
      </c>
      <c r="D1739" s="15">
        <f>IFERROR(__xludf.DUMMYFUNCTION("""COMPUTED_VALUE"""),1.004)</f>
        <v>1.004</v>
      </c>
      <c r="E1739" s="16">
        <f>IFERROR(__xludf.DUMMYFUNCTION("""COMPUTED_VALUE"""),66.0)</f>
        <v>66</v>
      </c>
      <c r="F1739" s="19" t="str">
        <f>IFERROR(__xludf.DUMMYFUNCTION("""COMPUTED_VALUE"""),"BLACK")</f>
        <v>BLACK</v>
      </c>
      <c r="G1739" s="20" t="str">
        <f>IFERROR(__xludf.DUMMYFUNCTION("""COMPUTED_VALUE"""),"Uncle Sams Cider (5/13/2022)")</f>
        <v>Uncle Sams Cider (5/13/2022)</v>
      </c>
      <c r="H1739" s="19"/>
    </row>
    <row r="1740">
      <c r="A1740" s="9"/>
      <c r="B1740" s="15"/>
      <c r="C1740" s="9">
        <f>IFERROR(__xludf.DUMMYFUNCTION("""COMPUTED_VALUE"""),44778.4847697916)</f>
        <v>44778.48477</v>
      </c>
      <c r="D1740" s="15">
        <f>IFERROR(__xludf.DUMMYFUNCTION("""COMPUTED_VALUE"""),1.004)</f>
        <v>1.004</v>
      </c>
      <c r="E1740" s="16">
        <f>IFERROR(__xludf.DUMMYFUNCTION("""COMPUTED_VALUE"""),66.0)</f>
        <v>66</v>
      </c>
      <c r="F1740" s="19" t="str">
        <f>IFERROR(__xludf.DUMMYFUNCTION("""COMPUTED_VALUE"""),"BLACK")</f>
        <v>BLACK</v>
      </c>
      <c r="G1740" s="20" t="str">
        <f>IFERROR(__xludf.DUMMYFUNCTION("""COMPUTED_VALUE"""),"Uncle Sams Cider (5/13/2022)")</f>
        <v>Uncle Sams Cider (5/13/2022)</v>
      </c>
      <c r="H1740" s="19"/>
    </row>
    <row r="1741">
      <c r="A1741" s="9"/>
      <c r="B1741" s="15"/>
      <c r="C1741" s="9">
        <f>IFERROR(__xludf.DUMMYFUNCTION("""COMPUTED_VALUE"""),44778.4743504398)</f>
        <v>44778.47435</v>
      </c>
      <c r="D1741" s="15">
        <f>IFERROR(__xludf.DUMMYFUNCTION("""COMPUTED_VALUE"""),1.004)</f>
        <v>1.004</v>
      </c>
      <c r="E1741" s="16">
        <f>IFERROR(__xludf.DUMMYFUNCTION("""COMPUTED_VALUE"""),66.0)</f>
        <v>66</v>
      </c>
      <c r="F1741" s="19" t="str">
        <f>IFERROR(__xludf.DUMMYFUNCTION("""COMPUTED_VALUE"""),"BLACK")</f>
        <v>BLACK</v>
      </c>
      <c r="G1741" s="20" t="str">
        <f>IFERROR(__xludf.DUMMYFUNCTION("""COMPUTED_VALUE"""),"Uncle Sams Cider (5/13/2022)")</f>
        <v>Uncle Sams Cider (5/13/2022)</v>
      </c>
      <c r="H1741" s="19"/>
    </row>
    <row r="1742">
      <c r="A1742" s="9"/>
      <c r="B1742" s="15"/>
      <c r="C1742" s="9">
        <f>IFERROR(__xludf.DUMMYFUNCTION("""COMPUTED_VALUE"""),44778.463929074)</f>
        <v>44778.46393</v>
      </c>
      <c r="D1742" s="15">
        <f>IFERROR(__xludf.DUMMYFUNCTION("""COMPUTED_VALUE"""),1.003)</f>
        <v>1.003</v>
      </c>
      <c r="E1742" s="16">
        <f>IFERROR(__xludf.DUMMYFUNCTION("""COMPUTED_VALUE"""),67.0)</f>
        <v>67</v>
      </c>
      <c r="F1742" s="19" t="str">
        <f>IFERROR(__xludf.DUMMYFUNCTION("""COMPUTED_VALUE"""),"BLACK")</f>
        <v>BLACK</v>
      </c>
      <c r="G1742" s="20" t="str">
        <f>IFERROR(__xludf.DUMMYFUNCTION("""COMPUTED_VALUE"""),"Uncle Sams Cider (5/13/2022)")</f>
        <v>Uncle Sams Cider (5/13/2022)</v>
      </c>
      <c r="H1742" s="19"/>
    </row>
    <row r="1743">
      <c r="A1743" s="9"/>
      <c r="B1743" s="15"/>
      <c r="C1743" s="9">
        <f>IFERROR(__xludf.DUMMYFUNCTION("""COMPUTED_VALUE"""),44778.4535083101)</f>
        <v>44778.45351</v>
      </c>
      <c r="D1743" s="15">
        <f>IFERROR(__xludf.DUMMYFUNCTION("""COMPUTED_VALUE"""),1.004)</f>
        <v>1.004</v>
      </c>
      <c r="E1743" s="16">
        <f>IFERROR(__xludf.DUMMYFUNCTION("""COMPUTED_VALUE"""),67.0)</f>
        <v>67</v>
      </c>
      <c r="F1743" s="19" t="str">
        <f>IFERROR(__xludf.DUMMYFUNCTION("""COMPUTED_VALUE"""),"BLACK")</f>
        <v>BLACK</v>
      </c>
      <c r="G1743" s="20" t="str">
        <f>IFERROR(__xludf.DUMMYFUNCTION("""COMPUTED_VALUE"""),"Uncle Sams Cider (5/13/2022)")</f>
        <v>Uncle Sams Cider (5/13/2022)</v>
      </c>
      <c r="H1743" s="19"/>
    </row>
    <row r="1744">
      <c r="A1744" s="9"/>
      <c r="B1744" s="15"/>
      <c r="C1744" s="9">
        <f>IFERROR(__xludf.DUMMYFUNCTION("""COMPUTED_VALUE"""),44778.4430866666)</f>
        <v>44778.44309</v>
      </c>
      <c r="D1744" s="15">
        <f>IFERROR(__xludf.DUMMYFUNCTION("""COMPUTED_VALUE"""),1.004)</f>
        <v>1.004</v>
      </c>
      <c r="E1744" s="16">
        <f>IFERROR(__xludf.DUMMYFUNCTION("""COMPUTED_VALUE"""),68.0)</f>
        <v>68</v>
      </c>
      <c r="F1744" s="19" t="str">
        <f>IFERROR(__xludf.DUMMYFUNCTION("""COMPUTED_VALUE"""),"BLACK")</f>
        <v>BLACK</v>
      </c>
      <c r="G1744" s="20" t="str">
        <f>IFERROR(__xludf.DUMMYFUNCTION("""COMPUTED_VALUE"""),"Uncle Sams Cider (5/13/2022)")</f>
        <v>Uncle Sams Cider (5/13/2022)</v>
      </c>
      <c r="H1744" s="19"/>
    </row>
    <row r="1745">
      <c r="A1745" s="9"/>
      <c r="B1745" s="15"/>
      <c r="C1745" s="9">
        <f>IFERROR(__xludf.DUMMYFUNCTION("""COMPUTED_VALUE"""),44778.4326536226)</f>
        <v>44778.43265</v>
      </c>
      <c r="D1745" s="15">
        <f>IFERROR(__xludf.DUMMYFUNCTION("""COMPUTED_VALUE"""),1.003)</f>
        <v>1.003</v>
      </c>
      <c r="E1745" s="16">
        <f>IFERROR(__xludf.DUMMYFUNCTION("""COMPUTED_VALUE"""),68.0)</f>
        <v>68</v>
      </c>
      <c r="F1745" s="19" t="str">
        <f>IFERROR(__xludf.DUMMYFUNCTION("""COMPUTED_VALUE"""),"BLACK")</f>
        <v>BLACK</v>
      </c>
      <c r="G1745" s="20" t="str">
        <f>IFERROR(__xludf.DUMMYFUNCTION("""COMPUTED_VALUE"""),"Uncle Sams Cider (5/13/2022)")</f>
        <v>Uncle Sams Cider (5/13/2022)</v>
      </c>
      <c r="H1745" s="19"/>
    </row>
    <row r="1746">
      <c r="A1746" s="9"/>
      <c r="B1746" s="15"/>
      <c r="C1746" s="9">
        <f>IFERROR(__xludf.DUMMYFUNCTION("""COMPUTED_VALUE"""),44778.4222095949)</f>
        <v>44778.42221</v>
      </c>
      <c r="D1746" s="15">
        <f>IFERROR(__xludf.DUMMYFUNCTION("""COMPUTED_VALUE"""),1.004)</f>
        <v>1.004</v>
      </c>
      <c r="E1746" s="16">
        <f>IFERROR(__xludf.DUMMYFUNCTION("""COMPUTED_VALUE"""),69.0)</f>
        <v>69</v>
      </c>
      <c r="F1746" s="19" t="str">
        <f>IFERROR(__xludf.DUMMYFUNCTION("""COMPUTED_VALUE"""),"BLACK")</f>
        <v>BLACK</v>
      </c>
      <c r="G1746" s="20" t="str">
        <f>IFERROR(__xludf.DUMMYFUNCTION("""COMPUTED_VALUE"""),"Uncle Sams Cider (5/13/2022)")</f>
        <v>Uncle Sams Cider (5/13/2022)</v>
      </c>
      <c r="H1746" s="19"/>
    </row>
    <row r="1747">
      <c r="A1747" s="9"/>
      <c r="B1747" s="15"/>
      <c r="C1747" s="9">
        <f>IFERROR(__xludf.DUMMYFUNCTION("""COMPUTED_VALUE"""),44778.4117885416)</f>
        <v>44778.41179</v>
      </c>
      <c r="D1747" s="15">
        <f>IFERROR(__xludf.DUMMYFUNCTION("""COMPUTED_VALUE"""),1.003)</f>
        <v>1.003</v>
      </c>
      <c r="E1747" s="16">
        <f>IFERROR(__xludf.DUMMYFUNCTION("""COMPUTED_VALUE"""),70.0)</f>
        <v>70</v>
      </c>
      <c r="F1747" s="19" t="str">
        <f>IFERROR(__xludf.DUMMYFUNCTION("""COMPUTED_VALUE"""),"BLACK")</f>
        <v>BLACK</v>
      </c>
      <c r="G1747" s="20" t="str">
        <f>IFERROR(__xludf.DUMMYFUNCTION("""COMPUTED_VALUE"""),"Uncle Sams Cider (5/13/2022)")</f>
        <v>Uncle Sams Cider (5/13/2022)</v>
      </c>
      <c r="H1747" s="19"/>
    </row>
    <row r="1748">
      <c r="A1748" s="9"/>
      <c r="B1748" s="15"/>
      <c r="C1748" s="9">
        <f>IFERROR(__xludf.DUMMYFUNCTION("""COMPUTED_VALUE"""),44778.4013669212)</f>
        <v>44778.40137</v>
      </c>
      <c r="D1748" s="15">
        <f>IFERROR(__xludf.DUMMYFUNCTION("""COMPUTED_VALUE"""),1.004)</f>
        <v>1.004</v>
      </c>
      <c r="E1748" s="16">
        <f>IFERROR(__xludf.DUMMYFUNCTION("""COMPUTED_VALUE"""),70.0)</f>
        <v>70</v>
      </c>
      <c r="F1748" s="19" t="str">
        <f>IFERROR(__xludf.DUMMYFUNCTION("""COMPUTED_VALUE"""),"BLACK")</f>
        <v>BLACK</v>
      </c>
      <c r="G1748" s="20" t="str">
        <f>IFERROR(__xludf.DUMMYFUNCTION("""COMPUTED_VALUE"""),"Uncle Sams Cider (5/13/2022)")</f>
        <v>Uncle Sams Cider (5/13/2022)</v>
      </c>
      <c r="H1748" s="19"/>
    </row>
    <row r="1749">
      <c r="A1749" s="9"/>
      <c r="B1749" s="15"/>
      <c r="C1749" s="9">
        <f>IFERROR(__xludf.DUMMYFUNCTION("""COMPUTED_VALUE"""),44778.3909236111)</f>
        <v>44778.39092</v>
      </c>
      <c r="D1749" s="15">
        <f>IFERROR(__xludf.DUMMYFUNCTION("""COMPUTED_VALUE"""),1.004)</f>
        <v>1.004</v>
      </c>
      <c r="E1749" s="16">
        <f>IFERROR(__xludf.DUMMYFUNCTION("""COMPUTED_VALUE"""),70.0)</f>
        <v>70</v>
      </c>
      <c r="F1749" s="19" t="str">
        <f>IFERROR(__xludf.DUMMYFUNCTION("""COMPUTED_VALUE"""),"BLACK")</f>
        <v>BLACK</v>
      </c>
      <c r="G1749" s="20" t="str">
        <f>IFERROR(__xludf.DUMMYFUNCTION("""COMPUTED_VALUE"""),"Uncle Sams Cider (5/13/2022)")</f>
        <v>Uncle Sams Cider (5/13/2022)</v>
      </c>
      <c r="H1749" s="19"/>
    </row>
    <row r="1750">
      <c r="A1750" s="9"/>
      <c r="B1750" s="15"/>
      <c r="C1750" s="9">
        <f>IFERROR(__xludf.DUMMYFUNCTION("""COMPUTED_VALUE"""),44778.3805029745)</f>
        <v>44778.3805</v>
      </c>
      <c r="D1750" s="15">
        <f>IFERROR(__xludf.DUMMYFUNCTION("""COMPUTED_VALUE"""),1.004)</f>
        <v>1.004</v>
      </c>
      <c r="E1750" s="16">
        <f>IFERROR(__xludf.DUMMYFUNCTION("""COMPUTED_VALUE"""),70.0)</f>
        <v>70</v>
      </c>
      <c r="F1750" s="19" t="str">
        <f>IFERROR(__xludf.DUMMYFUNCTION("""COMPUTED_VALUE"""),"BLACK")</f>
        <v>BLACK</v>
      </c>
      <c r="G1750" s="20" t="str">
        <f>IFERROR(__xludf.DUMMYFUNCTION("""COMPUTED_VALUE"""),"Uncle Sams Cider (5/13/2022)")</f>
        <v>Uncle Sams Cider (5/13/2022)</v>
      </c>
      <c r="H1750" s="19"/>
    </row>
    <row r="1751">
      <c r="A1751" s="9"/>
      <c r="B1751" s="15"/>
      <c r="C1751" s="9">
        <f>IFERROR(__xludf.DUMMYFUNCTION("""COMPUTED_VALUE"""),44778.3700822222)</f>
        <v>44778.37008</v>
      </c>
      <c r="D1751" s="15">
        <f>IFERROR(__xludf.DUMMYFUNCTION("""COMPUTED_VALUE"""),1.004)</f>
        <v>1.004</v>
      </c>
      <c r="E1751" s="16">
        <f>IFERROR(__xludf.DUMMYFUNCTION("""COMPUTED_VALUE"""),70.0)</f>
        <v>70</v>
      </c>
      <c r="F1751" s="19" t="str">
        <f>IFERROR(__xludf.DUMMYFUNCTION("""COMPUTED_VALUE"""),"BLACK")</f>
        <v>BLACK</v>
      </c>
      <c r="G1751" s="20" t="str">
        <f>IFERROR(__xludf.DUMMYFUNCTION("""COMPUTED_VALUE"""),"Uncle Sams Cider (5/13/2022)")</f>
        <v>Uncle Sams Cider (5/13/2022)</v>
      </c>
      <c r="H1751" s="19"/>
    </row>
    <row r="1752">
      <c r="A1752" s="9"/>
      <c r="B1752" s="15"/>
      <c r="C1752" s="9">
        <f>IFERROR(__xludf.DUMMYFUNCTION("""COMPUTED_VALUE"""),44778.3596607407)</f>
        <v>44778.35966</v>
      </c>
      <c r="D1752" s="15">
        <f>IFERROR(__xludf.DUMMYFUNCTION("""COMPUTED_VALUE"""),1.004)</f>
        <v>1.004</v>
      </c>
      <c r="E1752" s="16">
        <f>IFERROR(__xludf.DUMMYFUNCTION("""COMPUTED_VALUE"""),70.0)</f>
        <v>70</v>
      </c>
      <c r="F1752" s="19" t="str">
        <f>IFERROR(__xludf.DUMMYFUNCTION("""COMPUTED_VALUE"""),"BLACK")</f>
        <v>BLACK</v>
      </c>
      <c r="G1752" s="20" t="str">
        <f>IFERROR(__xludf.DUMMYFUNCTION("""COMPUTED_VALUE"""),"Uncle Sams Cider (5/13/2022)")</f>
        <v>Uncle Sams Cider (5/13/2022)</v>
      </c>
      <c r="H1752" s="19"/>
    </row>
    <row r="1753">
      <c r="A1753" s="9"/>
      <c r="B1753" s="15"/>
      <c r="C1753" s="9">
        <f>IFERROR(__xludf.DUMMYFUNCTION("""COMPUTED_VALUE"""),44778.3492397453)</f>
        <v>44778.34924</v>
      </c>
      <c r="D1753" s="15">
        <f>IFERROR(__xludf.DUMMYFUNCTION("""COMPUTED_VALUE"""),1.004)</f>
        <v>1.004</v>
      </c>
      <c r="E1753" s="16">
        <f>IFERROR(__xludf.DUMMYFUNCTION("""COMPUTED_VALUE"""),70.0)</f>
        <v>70</v>
      </c>
      <c r="F1753" s="19" t="str">
        <f>IFERROR(__xludf.DUMMYFUNCTION("""COMPUTED_VALUE"""),"BLACK")</f>
        <v>BLACK</v>
      </c>
      <c r="G1753" s="20" t="str">
        <f>IFERROR(__xludf.DUMMYFUNCTION("""COMPUTED_VALUE"""),"Uncle Sams Cider (5/13/2022)")</f>
        <v>Uncle Sams Cider (5/13/2022)</v>
      </c>
      <c r="H1753" s="19"/>
    </row>
    <row r="1754">
      <c r="A1754" s="9"/>
      <c r="B1754" s="15"/>
      <c r="C1754" s="9">
        <f>IFERROR(__xludf.DUMMYFUNCTION("""COMPUTED_VALUE"""),44778.3388078125)</f>
        <v>44778.33881</v>
      </c>
      <c r="D1754" s="15">
        <f>IFERROR(__xludf.DUMMYFUNCTION("""COMPUTED_VALUE"""),1.004)</f>
        <v>1.004</v>
      </c>
      <c r="E1754" s="16">
        <f>IFERROR(__xludf.DUMMYFUNCTION("""COMPUTED_VALUE"""),70.0)</f>
        <v>70</v>
      </c>
      <c r="F1754" s="19" t="str">
        <f>IFERROR(__xludf.DUMMYFUNCTION("""COMPUTED_VALUE"""),"BLACK")</f>
        <v>BLACK</v>
      </c>
      <c r="G1754" s="20" t="str">
        <f>IFERROR(__xludf.DUMMYFUNCTION("""COMPUTED_VALUE"""),"Uncle Sams Cider (5/13/2022)")</f>
        <v>Uncle Sams Cider (5/13/2022)</v>
      </c>
      <c r="H1754" s="19"/>
    </row>
    <row r="1755">
      <c r="A1755" s="9"/>
      <c r="B1755" s="15"/>
      <c r="C1755" s="9">
        <f>IFERROR(__xludf.DUMMYFUNCTION("""COMPUTED_VALUE"""),44778.3283839814)</f>
        <v>44778.32838</v>
      </c>
      <c r="D1755" s="15">
        <f>IFERROR(__xludf.DUMMYFUNCTION("""COMPUTED_VALUE"""),1.004)</f>
        <v>1.004</v>
      </c>
      <c r="E1755" s="16">
        <f>IFERROR(__xludf.DUMMYFUNCTION("""COMPUTED_VALUE"""),70.0)</f>
        <v>70</v>
      </c>
      <c r="F1755" s="19" t="str">
        <f>IFERROR(__xludf.DUMMYFUNCTION("""COMPUTED_VALUE"""),"BLACK")</f>
        <v>BLACK</v>
      </c>
      <c r="G1755" s="20" t="str">
        <f>IFERROR(__xludf.DUMMYFUNCTION("""COMPUTED_VALUE"""),"Uncle Sams Cider (5/13/2022)")</f>
        <v>Uncle Sams Cider (5/13/2022)</v>
      </c>
      <c r="H1755" s="19"/>
    </row>
    <row r="1756">
      <c r="A1756" s="9"/>
      <c r="B1756" s="15"/>
      <c r="C1756" s="9">
        <f>IFERROR(__xludf.DUMMYFUNCTION("""COMPUTED_VALUE"""),44778.3179517824)</f>
        <v>44778.31795</v>
      </c>
      <c r="D1756" s="15">
        <f>IFERROR(__xludf.DUMMYFUNCTION("""COMPUTED_VALUE"""),1.004)</f>
        <v>1.004</v>
      </c>
      <c r="E1756" s="16">
        <f>IFERROR(__xludf.DUMMYFUNCTION("""COMPUTED_VALUE"""),70.0)</f>
        <v>70</v>
      </c>
      <c r="F1756" s="19" t="str">
        <f>IFERROR(__xludf.DUMMYFUNCTION("""COMPUTED_VALUE"""),"BLACK")</f>
        <v>BLACK</v>
      </c>
      <c r="G1756" s="20" t="str">
        <f>IFERROR(__xludf.DUMMYFUNCTION("""COMPUTED_VALUE"""),"Uncle Sams Cider (5/13/2022)")</f>
        <v>Uncle Sams Cider (5/13/2022)</v>
      </c>
      <c r="H1756" s="19"/>
    </row>
    <row r="1757">
      <c r="A1757" s="9"/>
      <c r="B1757" s="15"/>
      <c r="C1757" s="9">
        <f>IFERROR(__xludf.DUMMYFUNCTION("""COMPUTED_VALUE"""),44778.3075295486)</f>
        <v>44778.30753</v>
      </c>
      <c r="D1757" s="15">
        <f>IFERROR(__xludf.DUMMYFUNCTION("""COMPUTED_VALUE"""),1.004)</f>
        <v>1.004</v>
      </c>
      <c r="E1757" s="16">
        <f>IFERROR(__xludf.DUMMYFUNCTION("""COMPUTED_VALUE"""),70.0)</f>
        <v>70</v>
      </c>
      <c r="F1757" s="19" t="str">
        <f>IFERROR(__xludf.DUMMYFUNCTION("""COMPUTED_VALUE"""),"BLACK")</f>
        <v>BLACK</v>
      </c>
      <c r="G1757" s="20" t="str">
        <f>IFERROR(__xludf.DUMMYFUNCTION("""COMPUTED_VALUE"""),"Uncle Sams Cider (5/13/2022)")</f>
        <v>Uncle Sams Cider (5/13/2022)</v>
      </c>
      <c r="H1757" s="19"/>
    </row>
    <row r="1758">
      <c r="A1758" s="9"/>
      <c r="B1758" s="15"/>
      <c r="C1758" s="9">
        <f>IFERROR(__xludf.DUMMYFUNCTION("""COMPUTED_VALUE"""),44778.2970963888)</f>
        <v>44778.2971</v>
      </c>
      <c r="D1758" s="15">
        <f>IFERROR(__xludf.DUMMYFUNCTION("""COMPUTED_VALUE"""),1.004)</f>
        <v>1.004</v>
      </c>
      <c r="E1758" s="16">
        <f>IFERROR(__xludf.DUMMYFUNCTION("""COMPUTED_VALUE"""),70.0)</f>
        <v>70</v>
      </c>
      <c r="F1758" s="19" t="str">
        <f>IFERROR(__xludf.DUMMYFUNCTION("""COMPUTED_VALUE"""),"BLACK")</f>
        <v>BLACK</v>
      </c>
      <c r="G1758" s="20" t="str">
        <f>IFERROR(__xludf.DUMMYFUNCTION("""COMPUTED_VALUE"""),"Uncle Sams Cider (5/13/2022)")</f>
        <v>Uncle Sams Cider (5/13/2022)</v>
      </c>
      <c r="H1758" s="19"/>
    </row>
    <row r="1759">
      <c r="A1759" s="9"/>
      <c r="B1759" s="15"/>
      <c r="C1759" s="9">
        <f>IFERROR(__xludf.DUMMYFUNCTION("""COMPUTED_VALUE"""),44778.2866506134)</f>
        <v>44778.28665</v>
      </c>
      <c r="D1759" s="15">
        <f>IFERROR(__xludf.DUMMYFUNCTION("""COMPUTED_VALUE"""),1.004)</f>
        <v>1.004</v>
      </c>
      <c r="E1759" s="16">
        <f>IFERROR(__xludf.DUMMYFUNCTION("""COMPUTED_VALUE"""),70.0)</f>
        <v>70</v>
      </c>
      <c r="F1759" s="19" t="str">
        <f>IFERROR(__xludf.DUMMYFUNCTION("""COMPUTED_VALUE"""),"BLACK")</f>
        <v>BLACK</v>
      </c>
      <c r="G1759" s="20" t="str">
        <f>IFERROR(__xludf.DUMMYFUNCTION("""COMPUTED_VALUE"""),"Uncle Sams Cider (5/13/2022)")</f>
        <v>Uncle Sams Cider (5/13/2022)</v>
      </c>
      <c r="H1759" s="19"/>
    </row>
    <row r="1760">
      <c r="A1760" s="9"/>
      <c r="B1760" s="15"/>
      <c r="C1760" s="9">
        <f>IFERROR(__xludf.DUMMYFUNCTION("""COMPUTED_VALUE"""),44778.2762285879)</f>
        <v>44778.27623</v>
      </c>
      <c r="D1760" s="15">
        <f>IFERROR(__xludf.DUMMYFUNCTION("""COMPUTED_VALUE"""),1.004)</f>
        <v>1.004</v>
      </c>
      <c r="E1760" s="16">
        <f>IFERROR(__xludf.DUMMYFUNCTION("""COMPUTED_VALUE"""),70.0)</f>
        <v>70</v>
      </c>
      <c r="F1760" s="19" t="str">
        <f>IFERROR(__xludf.DUMMYFUNCTION("""COMPUTED_VALUE"""),"BLACK")</f>
        <v>BLACK</v>
      </c>
      <c r="G1760" s="20" t="str">
        <f>IFERROR(__xludf.DUMMYFUNCTION("""COMPUTED_VALUE"""),"Uncle Sams Cider (5/13/2022)")</f>
        <v>Uncle Sams Cider (5/13/2022)</v>
      </c>
      <c r="H1760" s="19"/>
    </row>
    <row r="1761">
      <c r="A1761" s="9"/>
      <c r="B1761" s="15"/>
      <c r="C1761" s="9">
        <f>IFERROR(__xludf.DUMMYFUNCTION("""COMPUTED_VALUE"""),44778.2658099768)</f>
        <v>44778.26581</v>
      </c>
      <c r="D1761" s="15">
        <f>IFERROR(__xludf.DUMMYFUNCTION("""COMPUTED_VALUE"""),1.004)</f>
        <v>1.004</v>
      </c>
      <c r="E1761" s="16">
        <f>IFERROR(__xludf.DUMMYFUNCTION("""COMPUTED_VALUE"""),70.0)</f>
        <v>70</v>
      </c>
      <c r="F1761" s="19" t="str">
        <f>IFERROR(__xludf.DUMMYFUNCTION("""COMPUTED_VALUE"""),"BLACK")</f>
        <v>BLACK</v>
      </c>
      <c r="G1761" s="20" t="str">
        <f>IFERROR(__xludf.DUMMYFUNCTION("""COMPUTED_VALUE"""),"Uncle Sams Cider (5/13/2022)")</f>
        <v>Uncle Sams Cider (5/13/2022)</v>
      </c>
      <c r="H1761" s="19"/>
    </row>
    <row r="1762">
      <c r="A1762" s="9"/>
      <c r="B1762" s="15"/>
      <c r="C1762" s="9">
        <f>IFERROR(__xludf.DUMMYFUNCTION("""COMPUTED_VALUE"""),44778.2553764004)</f>
        <v>44778.25538</v>
      </c>
      <c r="D1762" s="15">
        <f>IFERROR(__xludf.DUMMYFUNCTION("""COMPUTED_VALUE"""),1.004)</f>
        <v>1.004</v>
      </c>
      <c r="E1762" s="16">
        <f>IFERROR(__xludf.DUMMYFUNCTION("""COMPUTED_VALUE"""),70.0)</f>
        <v>70</v>
      </c>
      <c r="F1762" s="19" t="str">
        <f>IFERROR(__xludf.DUMMYFUNCTION("""COMPUTED_VALUE"""),"BLACK")</f>
        <v>BLACK</v>
      </c>
      <c r="G1762" s="20" t="str">
        <f>IFERROR(__xludf.DUMMYFUNCTION("""COMPUTED_VALUE"""),"Uncle Sams Cider (5/13/2022)")</f>
        <v>Uncle Sams Cider (5/13/2022)</v>
      </c>
      <c r="H1762" s="19"/>
    </row>
    <row r="1763">
      <c r="A1763" s="9"/>
      <c r="B1763" s="15"/>
      <c r="C1763" s="9">
        <f>IFERROR(__xludf.DUMMYFUNCTION("""COMPUTED_VALUE"""),44778.2449561458)</f>
        <v>44778.24496</v>
      </c>
      <c r="D1763" s="15">
        <f>IFERROR(__xludf.DUMMYFUNCTION("""COMPUTED_VALUE"""),1.004)</f>
        <v>1.004</v>
      </c>
      <c r="E1763" s="16">
        <f>IFERROR(__xludf.DUMMYFUNCTION("""COMPUTED_VALUE"""),70.0)</f>
        <v>70</v>
      </c>
      <c r="F1763" s="19" t="str">
        <f>IFERROR(__xludf.DUMMYFUNCTION("""COMPUTED_VALUE"""),"BLACK")</f>
        <v>BLACK</v>
      </c>
      <c r="G1763" s="20" t="str">
        <f>IFERROR(__xludf.DUMMYFUNCTION("""COMPUTED_VALUE"""),"Uncle Sams Cider (5/13/2022)")</f>
        <v>Uncle Sams Cider (5/13/2022)</v>
      </c>
      <c r="H1763" s="19"/>
    </row>
    <row r="1764">
      <c r="A1764" s="9"/>
      <c r="B1764" s="15"/>
      <c r="C1764" s="9">
        <f>IFERROR(__xludf.DUMMYFUNCTION("""COMPUTED_VALUE"""),44778.2345351967)</f>
        <v>44778.23454</v>
      </c>
      <c r="D1764" s="15">
        <f>IFERROR(__xludf.DUMMYFUNCTION("""COMPUTED_VALUE"""),1.004)</f>
        <v>1.004</v>
      </c>
      <c r="E1764" s="16">
        <f>IFERROR(__xludf.DUMMYFUNCTION("""COMPUTED_VALUE"""),70.0)</f>
        <v>70</v>
      </c>
      <c r="F1764" s="19" t="str">
        <f>IFERROR(__xludf.DUMMYFUNCTION("""COMPUTED_VALUE"""),"BLACK")</f>
        <v>BLACK</v>
      </c>
      <c r="G1764" s="20" t="str">
        <f>IFERROR(__xludf.DUMMYFUNCTION("""COMPUTED_VALUE"""),"Uncle Sams Cider (5/13/2022)")</f>
        <v>Uncle Sams Cider (5/13/2022)</v>
      </c>
      <c r="H1764" s="19"/>
    </row>
    <row r="1765">
      <c r="A1765" s="9"/>
      <c r="B1765" s="15"/>
      <c r="C1765" s="9">
        <f>IFERROR(__xludf.DUMMYFUNCTION("""COMPUTED_VALUE"""),44778.2241134259)</f>
        <v>44778.22411</v>
      </c>
      <c r="D1765" s="15">
        <f>IFERROR(__xludf.DUMMYFUNCTION("""COMPUTED_VALUE"""),1.004)</f>
        <v>1.004</v>
      </c>
      <c r="E1765" s="16">
        <f>IFERROR(__xludf.DUMMYFUNCTION("""COMPUTED_VALUE"""),70.0)</f>
        <v>70</v>
      </c>
      <c r="F1765" s="19" t="str">
        <f>IFERROR(__xludf.DUMMYFUNCTION("""COMPUTED_VALUE"""),"BLACK")</f>
        <v>BLACK</v>
      </c>
      <c r="G1765" s="20" t="str">
        <f>IFERROR(__xludf.DUMMYFUNCTION("""COMPUTED_VALUE"""),"Uncle Sams Cider (5/13/2022)")</f>
        <v>Uncle Sams Cider (5/13/2022)</v>
      </c>
      <c r="H1765" s="19"/>
    </row>
    <row r="1766">
      <c r="A1766" s="9"/>
      <c r="B1766" s="15"/>
      <c r="C1766" s="9">
        <f>IFERROR(__xludf.DUMMYFUNCTION("""COMPUTED_VALUE"""),44778.2136913657)</f>
        <v>44778.21369</v>
      </c>
      <c r="D1766" s="15">
        <f>IFERROR(__xludf.DUMMYFUNCTION("""COMPUTED_VALUE"""),1.004)</f>
        <v>1.004</v>
      </c>
      <c r="E1766" s="16">
        <f>IFERROR(__xludf.DUMMYFUNCTION("""COMPUTED_VALUE"""),70.0)</f>
        <v>70</v>
      </c>
      <c r="F1766" s="19" t="str">
        <f>IFERROR(__xludf.DUMMYFUNCTION("""COMPUTED_VALUE"""),"BLACK")</f>
        <v>BLACK</v>
      </c>
      <c r="G1766" s="20" t="str">
        <f>IFERROR(__xludf.DUMMYFUNCTION("""COMPUTED_VALUE"""),"Uncle Sams Cider (5/13/2022)")</f>
        <v>Uncle Sams Cider (5/13/2022)</v>
      </c>
      <c r="H1766" s="19"/>
    </row>
    <row r="1767">
      <c r="A1767" s="9"/>
      <c r="B1767" s="15"/>
      <c r="C1767" s="9">
        <f>IFERROR(__xludf.DUMMYFUNCTION("""COMPUTED_VALUE"""),44778.2032702314)</f>
        <v>44778.20327</v>
      </c>
      <c r="D1767" s="15">
        <f>IFERROR(__xludf.DUMMYFUNCTION("""COMPUTED_VALUE"""),1.004)</f>
        <v>1.004</v>
      </c>
      <c r="E1767" s="16">
        <f>IFERROR(__xludf.DUMMYFUNCTION("""COMPUTED_VALUE"""),70.0)</f>
        <v>70</v>
      </c>
      <c r="F1767" s="19" t="str">
        <f>IFERROR(__xludf.DUMMYFUNCTION("""COMPUTED_VALUE"""),"BLACK")</f>
        <v>BLACK</v>
      </c>
      <c r="G1767" s="20" t="str">
        <f>IFERROR(__xludf.DUMMYFUNCTION("""COMPUTED_VALUE"""),"Uncle Sams Cider (5/13/2022)")</f>
        <v>Uncle Sams Cider (5/13/2022)</v>
      </c>
      <c r="H1767" s="19"/>
    </row>
    <row r="1768">
      <c r="A1768" s="9"/>
      <c r="B1768" s="15"/>
      <c r="C1768" s="9">
        <f>IFERROR(__xludf.DUMMYFUNCTION("""COMPUTED_VALUE"""),44778.1928507523)</f>
        <v>44778.19285</v>
      </c>
      <c r="D1768" s="15">
        <f>IFERROR(__xludf.DUMMYFUNCTION("""COMPUTED_VALUE"""),1.004)</f>
        <v>1.004</v>
      </c>
      <c r="E1768" s="16">
        <f>IFERROR(__xludf.DUMMYFUNCTION("""COMPUTED_VALUE"""),70.0)</f>
        <v>70</v>
      </c>
      <c r="F1768" s="19" t="str">
        <f>IFERROR(__xludf.DUMMYFUNCTION("""COMPUTED_VALUE"""),"BLACK")</f>
        <v>BLACK</v>
      </c>
      <c r="G1768" s="20" t="str">
        <f>IFERROR(__xludf.DUMMYFUNCTION("""COMPUTED_VALUE"""),"Uncle Sams Cider (5/13/2022)")</f>
        <v>Uncle Sams Cider (5/13/2022)</v>
      </c>
      <c r="H1768" s="19"/>
    </row>
    <row r="1769">
      <c r="A1769" s="9"/>
      <c r="B1769" s="15"/>
      <c r="C1769" s="9">
        <f>IFERROR(__xludf.DUMMYFUNCTION("""COMPUTED_VALUE"""),44778.1824278472)</f>
        <v>44778.18243</v>
      </c>
      <c r="D1769" s="15">
        <f>IFERROR(__xludf.DUMMYFUNCTION("""COMPUTED_VALUE"""),1.004)</f>
        <v>1.004</v>
      </c>
      <c r="E1769" s="16">
        <f>IFERROR(__xludf.DUMMYFUNCTION("""COMPUTED_VALUE"""),70.0)</f>
        <v>70</v>
      </c>
      <c r="F1769" s="19" t="str">
        <f>IFERROR(__xludf.DUMMYFUNCTION("""COMPUTED_VALUE"""),"BLACK")</f>
        <v>BLACK</v>
      </c>
      <c r="G1769" s="20" t="str">
        <f>IFERROR(__xludf.DUMMYFUNCTION("""COMPUTED_VALUE"""),"Uncle Sams Cider (5/13/2022)")</f>
        <v>Uncle Sams Cider (5/13/2022)</v>
      </c>
      <c r="H1769" s="19"/>
    </row>
    <row r="1770">
      <c r="A1770" s="9"/>
      <c r="B1770" s="15"/>
      <c r="C1770" s="9">
        <f>IFERROR(__xludf.DUMMYFUNCTION("""COMPUTED_VALUE"""),44778.1720071759)</f>
        <v>44778.17201</v>
      </c>
      <c r="D1770" s="15">
        <f>IFERROR(__xludf.DUMMYFUNCTION("""COMPUTED_VALUE"""),1.004)</f>
        <v>1.004</v>
      </c>
      <c r="E1770" s="16">
        <f>IFERROR(__xludf.DUMMYFUNCTION("""COMPUTED_VALUE"""),70.0)</f>
        <v>70</v>
      </c>
      <c r="F1770" s="19" t="str">
        <f>IFERROR(__xludf.DUMMYFUNCTION("""COMPUTED_VALUE"""),"BLACK")</f>
        <v>BLACK</v>
      </c>
      <c r="G1770" s="20" t="str">
        <f>IFERROR(__xludf.DUMMYFUNCTION("""COMPUTED_VALUE"""),"Uncle Sams Cider (5/13/2022)")</f>
        <v>Uncle Sams Cider (5/13/2022)</v>
      </c>
      <c r="H1770" s="19"/>
    </row>
    <row r="1771">
      <c r="A1771" s="9"/>
      <c r="B1771" s="15"/>
      <c r="C1771" s="9">
        <f>IFERROR(__xludf.DUMMYFUNCTION("""COMPUTED_VALUE"""),44778.1615842939)</f>
        <v>44778.16158</v>
      </c>
      <c r="D1771" s="15">
        <f>IFERROR(__xludf.DUMMYFUNCTION("""COMPUTED_VALUE"""),1.004)</f>
        <v>1.004</v>
      </c>
      <c r="E1771" s="16">
        <f>IFERROR(__xludf.DUMMYFUNCTION("""COMPUTED_VALUE"""),70.0)</f>
        <v>70</v>
      </c>
      <c r="F1771" s="19" t="str">
        <f>IFERROR(__xludf.DUMMYFUNCTION("""COMPUTED_VALUE"""),"BLACK")</f>
        <v>BLACK</v>
      </c>
      <c r="G1771" s="20" t="str">
        <f>IFERROR(__xludf.DUMMYFUNCTION("""COMPUTED_VALUE"""),"Uncle Sams Cider (5/13/2022)")</f>
        <v>Uncle Sams Cider (5/13/2022)</v>
      </c>
      <c r="H1771" s="19"/>
    </row>
    <row r="1772">
      <c r="A1772" s="9"/>
      <c r="B1772" s="15"/>
      <c r="C1772" s="9">
        <f>IFERROR(__xludf.DUMMYFUNCTION("""COMPUTED_VALUE"""),44778.15116353)</f>
        <v>44778.15116</v>
      </c>
      <c r="D1772" s="15">
        <f>IFERROR(__xludf.DUMMYFUNCTION("""COMPUTED_VALUE"""),1.004)</f>
        <v>1.004</v>
      </c>
      <c r="E1772" s="16">
        <f>IFERROR(__xludf.DUMMYFUNCTION("""COMPUTED_VALUE"""),70.0)</f>
        <v>70</v>
      </c>
      <c r="F1772" s="19" t="str">
        <f>IFERROR(__xludf.DUMMYFUNCTION("""COMPUTED_VALUE"""),"BLACK")</f>
        <v>BLACK</v>
      </c>
      <c r="G1772" s="20" t="str">
        <f>IFERROR(__xludf.DUMMYFUNCTION("""COMPUTED_VALUE"""),"Uncle Sams Cider (5/13/2022)")</f>
        <v>Uncle Sams Cider (5/13/2022)</v>
      </c>
      <c r="H1772" s="19"/>
    </row>
    <row r="1773">
      <c r="A1773" s="9"/>
      <c r="B1773" s="15"/>
      <c r="C1773" s="9">
        <f>IFERROR(__xludf.DUMMYFUNCTION("""COMPUTED_VALUE"""),44778.1407419907)</f>
        <v>44778.14074</v>
      </c>
      <c r="D1773" s="15">
        <f>IFERROR(__xludf.DUMMYFUNCTION("""COMPUTED_VALUE"""),1.004)</f>
        <v>1.004</v>
      </c>
      <c r="E1773" s="16">
        <f>IFERROR(__xludf.DUMMYFUNCTION("""COMPUTED_VALUE"""),70.0)</f>
        <v>70</v>
      </c>
      <c r="F1773" s="19" t="str">
        <f>IFERROR(__xludf.DUMMYFUNCTION("""COMPUTED_VALUE"""),"BLACK")</f>
        <v>BLACK</v>
      </c>
      <c r="G1773" s="20" t="str">
        <f>IFERROR(__xludf.DUMMYFUNCTION("""COMPUTED_VALUE"""),"Uncle Sams Cider (5/13/2022)")</f>
        <v>Uncle Sams Cider (5/13/2022)</v>
      </c>
      <c r="H1773" s="19"/>
    </row>
    <row r="1774">
      <c r="A1774" s="9"/>
      <c r="B1774" s="15"/>
      <c r="C1774" s="9">
        <f>IFERROR(__xludf.DUMMYFUNCTION("""COMPUTED_VALUE"""),44778.1303210532)</f>
        <v>44778.13032</v>
      </c>
      <c r="D1774" s="15">
        <f>IFERROR(__xludf.DUMMYFUNCTION("""COMPUTED_VALUE"""),1.004)</f>
        <v>1.004</v>
      </c>
      <c r="E1774" s="16">
        <f>IFERROR(__xludf.DUMMYFUNCTION("""COMPUTED_VALUE"""),70.0)</f>
        <v>70</v>
      </c>
      <c r="F1774" s="19" t="str">
        <f>IFERROR(__xludf.DUMMYFUNCTION("""COMPUTED_VALUE"""),"BLACK")</f>
        <v>BLACK</v>
      </c>
      <c r="G1774" s="20" t="str">
        <f>IFERROR(__xludf.DUMMYFUNCTION("""COMPUTED_VALUE"""),"Uncle Sams Cider (5/13/2022)")</f>
        <v>Uncle Sams Cider (5/13/2022)</v>
      </c>
      <c r="H1774" s="19"/>
    </row>
    <row r="1775">
      <c r="A1775" s="9"/>
      <c r="B1775" s="15"/>
      <c r="C1775" s="9">
        <f>IFERROR(__xludf.DUMMYFUNCTION("""COMPUTED_VALUE"""),44778.1198991435)</f>
        <v>44778.1199</v>
      </c>
      <c r="D1775" s="15">
        <f>IFERROR(__xludf.DUMMYFUNCTION("""COMPUTED_VALUE"""),1.004)</f>
        <v>1.004</v>
      </c>
      <c r="E1775" s="16">
        <f>IFERROR(__xludf.DUMMYFUNCTION("""COMPUTED_VALUE"""),70.0)</f>
        <v>70</v>
      </c>
      <c r="F1775" s="19" t="str">
        <f>IFERROR(__xludf.DUMMYFUNCTION("""COMPUTED_VALUE"""),"BLACK")</f>
        <v>BLACK</v>
      </c>
      <c r="G1775" s="20" t="str">
        <f>IFERROR(__xludf.DUMMYFUNCTION("""COMPUTED_VALUE"""),"Uncle Sams Cider (5/13/2022)")</f>
        <v>Uncle Sams Cider (5/13/2022)</v>
      </c>
      <c r="H1775" s="19"/>
    </row>
    <row r="1776">
      <c r="A1776" s="9"/>
      <c r="B1776" s="15"/>
      <c r="C1776" s="9">
        <f>IFERROR(__xludf.DUMMYFUNCTION("""COMPUTED_VALUE"""),44778.1094782407)</f>
        <v>44778.10948</v>
      </c>
      <c r="D1776" s="15">
        <f>IFERROR(__xludf.DUMMYFUNCTION("""COMPUTED_VALUE"""),1.004)</f>
        <v>1.004</v>
      </c>
      <c r="E1776" s="16">
        <f>IFERROR(__xludf.DUMMYFUNCTION("""COMPUTED_VALUE"""),70.0)</f>
        <v>70</v>
      </c>
      <c r="F1776" s="19" t="str">
        <f>IFERROR(__xludf.DUMMYFUNCTION("""COMPUTED_VALUE"""),"BLACK")</f>
        <v>BLACK</v>
      </c>
      <c r="G1776" s="20" t="str">
        <f>IFERROR(__xludf.DUMMYFUNCTION("""COMPUTED_VALUE"""),"Uncle Sams Cider (5/13/2022)")</f>
        <v>Uncle Sams Cider (5/13/2022)</v>
      </c>
      <c r="H1776" s="19"/>
    </row>
    <row r="1777">
      <c r="A1777" s="9"/>
      <c r="B1777" s="15"/>
      <c r="C1777" s="9">
        <f>IFERROR(__xludf.DUMMYFUNCTION("""COMPUTED_VALUE"""),44778.0990449884)</f>
        <v>44778.09904</v>
      </c>
      <c r="D1777" s="15">
        <f>IFERROR(__xludf.DUMMYFUNCTION("""COMPUTED_VALUE"""),1.004)</f>
        <v>1.004</v>
      </c>
      <c r="E1777" s="16">
        <f>IFERROR(__xludf.DUMMYFUNCTION("""COMPUTED_VALUE"""),70.0)</f>
        <v>70</v>
      </c>
      <c r="F1777" s="19" t="str">
        <f>IFERROR(__xludf.DUMMYFUNCTION("""COMPUTED_VALUE"""),"BLACK")</f>
        <v>BLACK</v>
      </c>
      <c r="G1777" s="20" t="str">
        <f>IFERROR(__xludf.DUMMYFUNCTION("""COMPUTED_VALUE"""),"Uncle Sams Cider (5/13/2022)")</f>
        <v>Uncle Sams Cider (5/13/2022)</v>
      </c>
      <c r="H1777" s="19"/>
    </row>
    <row r="1778">
      <c r="A1778" s="9"/>
      <c r="B1778" s="15"/>
      <c r="C1778" s="9">
        <f>IFERROR(__xludf.DUMMYFUNCTION("""COMPUTED_VALUE"""),44778.088623831)</f>
        <v>44778.08862</v>
      </c>
      <c r="D1778" s="15">
        <f>IFERROR(__xludf.DUMMYFUNCTION("""COMPUTED_VALUE"""),1.004)</f>
        <v>1.004</v>
      </c>
      <c r="E1778" s="16">
        <f>IFERROR(__xludf.DUMMYFUNCTION("""COMPUTED_VALUE"""),70.0)</f>
        <v>70</v>
      </c>
      <c r="F1778" s="19" t="str">
        <f>IFERROR(__xludf.DUMMYFUNCTION("""COMPUTED_VALUE"""),"BLACK")</f>
        <v>BLACK</v>
      </c>
      <c r="G1778" s="20" t="str">
        <f>IFERROR(__xludf.DUMMYFUNCTION("""COMPUTED_VALUE"""),"Uncle Sams Cider (5/13/2022)")</f>
        <v>Uncle Sams Cider (5/13/2022)</v>
      </c>
      <c r="H1778" s="19"/>
    </row>
    <row r="1779">
      <c r="A1779" s="9"/>
      <c r="B1779" s="15"/>
      <c r="C1779" s="9">
        <f>IFERROR(__xludf.DUMMYFUNCTION("""COMPUTED_VALUE"""),44778.0782023264)</f>
        <v>44778.0782</v>
      </c>
      <c r="D1779" s="15">
        <f>IFERROR(__xludf.DUMMYFUNCTION("""COMPUTED_VALUE"""),1.004)</f>
        <v>1.004</v>
      </c>
      <c r="E1779" s="16">
        <f>IFERROR(__xludf.DUMMYFUNCTION("""COMPUTED_VALUE"""),70.0)</f>
        <v>70</v>
      </c>
      <c r="F1779" s="19" t="str">
        <f>IFERROR(__xludf.DUMMYFUNCTION("""COMPUTED_VALUE"""),"BLACK")</f>
        <v>BLACK</v>
      </c>
      <c r="G1779" s="20" t="str">
        <f>IFERROR(__xludf.DUMMYFUNCTION("""COMPUTED_VALUE"""),"Uncle Sams Cider (5/13/2022)")</f>
        <v>Uncle Sams Cider (5/13/2022)</v>
      </c>
      <c r="H1779" s="19"/>
    </row>
    <row r="1780">
      <c r="A1780" s="9"/>
      <c r="B1780" s="15"/>
      <c r="C1780" s="9">
        <f>IFERROR(__xludf.DUMMYFUNCTION("""COMPUTED_VALUE"""),44778.0677803935)</f>
        <v>44778.06778</v>
      </c>
      <c r="D1780" s="15">
        <f>IFERROR(__xludf.DUMMYFUNCTION("""COMPUTED_VALUE"""),1.004)</f>
        <v>1.004</v>
      </c>
      <c r="E1780" s="16">
        <f>IFERROR(__xludf.DUMMYFUNCTION("""COMPUTED_VALUE"""),70.0)</f>
        <v>70</v>
      </c>
      <c r="F1780" s="19" t="str">
        <f>IFERROR(__xludf.DUMMYFUNCTION("""COMPUTED_VALUE"""),"BLACK")</f>
        <v>BLACK</v>
      </c>
      <c r="G1780" s="20" t="str">
        <f>IFERROR(__xludf.DUMMYFUNCTION("""COMPUTED_VALUE"""),"Uncle Sams Cider (5/13/2022)")</f>
        <v>Uncle Sams Cider (5/13/2022)</v>
      </c>
      <c r="H1780" s="19"/>
    </row>
    <row r="1781">
      <c r="A1781" s="9"/>
      <c r="B1781" s="15"/>
      <c r="C1781" s="9">
        <f>IFERROR(__xludf.DUMMYFUNCTION("""COMPUTED_VALUE"""),44778.0573601388)</f>
        <v>44778.05736</v>
      </c>
      <c r="D1781" s="15">
        <f>IFERROR(__xludf.DUMMYFUNCTION("""COMPUTED_VALUE"""),1.004)</f>
        <v>1.004</v>
      </c>
      <c r="E1781" s="16">
        <f>IFERROR(__xludf.DUMMYFUNCTION("""COMPUTED_VALUE"""),70.0)</f>
        <v>70</v>
      </c>
      <c r="F1781" s="19" t="str">
        <f>IFERROR(__xludf.DUMMYFUNCTION("""COMPUTED_VALUE"""),"BLACK")</f>
        <v>BLACK</v>
      </c>
      <c r="G1781" s="20" t="str">
        <f>IFERROR(__xludf.DUMMYFUNCTION("""COMPUTED_VALUE"""),"Uncle Sams Cider (5/13/2022)")</f>
        <v>Uncle Sams Cider (5/13/2022)</v>
      </c>
      <c r="H1781" s="19"/>
    </row>
    <row r="1782">
      <c r="A1782" s="9"/>
      <c r="B1782" s="15"/>
      <c r="C1782" s="9">
        <f>IFERROR(__xludf.DUMMYFUNCTION("""COMPUTED_VALUE"""),44778.0469379398)</f>
        <v>44778.04694</v>
      </c>
      <c r="D1782" s="15">
        <f>IFERROR(__xludf.DUMMYFUNCTION("""COMPUTED_VALUE"""),1.004)</f>
        <v>1.004</v>
      </c>
      <c r="E1782" s="16">
        <f>IFERROR(__xludf.DUMMYFUNCTION("""COMPUTED_VALUE"""),70.0)</f>
        <v>70</v>
      </c>
      <c r="F1782" s="19" t="str">
        <f>IFERROR(__xludf.DUMMYFUNCTION("""COMPUTED_VALUE"""),"BLACK")</f>
        <v>BLACK</v>
      </c>
      <c r="G1782" s="20" t="str">
        <f>IFERROR(__xludf.DUMMYFUNCTION("""COMPUTED_VALUE"""),"Uncle Sams Cider (5/13/2022)")</f>
        <v>Uncle Sams Cider (5/13/2022)</v>
      </c>
      <c r="H1782" s="19"/>
    </row>
    <row r="1783">
      <c r="A1783" s="9"/>
      <c r="B1783" s="15"/>
      <c r="C1783" s="9">
        <f>IFERROR(__xludf.DUMMYFUNCTION("""COMPUTED_VALUE"""),44778.036516875)</f>
        <v>44778.03652</v>
      </c>
      <c r="D1783" s="15">
        <f>IFERROR(__xludf.DUMMYFUNCTION("""COMPUTED_VALUE"""),1.004)</f>
        <v>1.004</v>
      </c>
      <c r="E1783" s="16">
        <f>IFERROR(__xludf.DUMMYFUNCTION("""COMPUTED_VALUE"""),70.0)</f>
        <v>70</v>
      </c>
      <c r="F1783" s="19" t="str">
        <f>IFERROR(__xludf.DUMMYFUNCTION("""COMPUTED_VALUE"""),"BLACK")</f>
        <v>BLACK</v>
      </c>
      <c r="G1783" s="20" t="str">
        <f>IFERROR(__xludf.DUMMYFUNCTION("""COMPUTED_VALUE"""),"Uncle Sams Cider (5/13/2022)")</f>
        <v>Uncle Sams Cider (5/13/2022)</v>
      </c>
      <c r="H1783" s="19"/>
    </row>
    <row r="1784">
      <c r="A1784" s="9"/>
      <c r="B1784" s="15"/>
      <c r="C1784" s="9">
        <f>IFERROR(__xludf.DUMMYFUNCTION("""COMPUTED_VALUE"""),44778.0260973842)</f>
        <v>44778.0261</v>
      </c>
      <c r="D1784" s="15">
        <f>IFERROR(__xludf.DUMMYFUNCTION("""COMPUTED_VALUE"""),1.004)</f>
        <v>1.004</v>
      </c>
      <c r="E1784" s="16">
        <f>IFERROR(__xludf.DUMMYFUNCTION("""COMPUTED_VALUE"""),70.0)</f>
        <v>70</v>
      </c>
      <c r="F1784" s="19" t="str">
        <f>IFERROR(__xludf.DUMMYFUNCTION("""COMPUTED_VALUE"""),"BLACK")</f>
        <v>BLACK</v>
      </c>
      <c r="G1784" s="20" t="str">
        <f>IFERROR(__xludf.DUMMYFUNCTION("""COMPUTED_VALUE"""),"Uncle Sams Cider (5/13/2022)")</f>
        <v>Uncle Sams Cider (5/13/2022)</v>
      </c>
      <c r="H1784" s="19"/>
    </row>
    <row r="1785">
      <c r="A1785" s="9"/>
      <c r="B1785" s="15"/>
      <c r="C1785" s="9">
        <f>IFERROR(__xludf.DUMMYFUNCTION("""COMPUTED_VALUE"""),44778.0156756018)</f>
        <v>44778.01568</v>
      </c>
      <c r="D1785" s="15">
        <f>IFERROR(__xludf.DUMMYFUNCTION("""COMPUTED_VALUE"""),1.004)</f>
        <v>1.004</v>
      </c>
      <c r="E1785" s="16">
        <f>IFERROR(__xludf.DUMMYFUNCTION("""COMPUTED_VALUE"""),70.0)</f>
        <v>70</v>
      </c>
      <c r="F1785" s="19" t="str">
        <f>IFERROR(__xludf.DUMMYFUNCTION("""COMPUTED_VALUE"""),"BLACK")</f>
        <v>BLACK</v>
      </c>
      <c r="G1785" s="20" t="str">
        <f>IFERROR(__xludf.DUMMYFUNCTION("""COMPUTED_VALUE"""),"Uncle Sams Cider (5/13/2022)")</f>
        <v>Uncle Sams Cider (5/13/2022)</v>
      </c>
      <c r="H1785" s="19"/>
    </row>
    <row r="1786">
      <c r="A1786" s="9"/>
      <c r="B1786" s="15"/>
      <c r="C1786" s="9">
        <f>IFERROR(__xludf.DUMMYFUNCTION("""COMPUTED_VALUE"""),44778.005252662)</f>
        <v>44778.00525</v>
      </c>
      <c r="D1786" s="15">
        <f>IFERROR(__xludf.DUMMYFUNCTION("""COMPUTED_VALUE"""),1.004)</f>
        <v>1.004</v>
      </c>
      <c r="E1786" s="16">
        <f>IFERROR(__xludf.DUMMYFUNCTION("""COMPUTED_VALUE"""),70.0)</f>
        <v>70</v>
      </c>
      <c r="F1786" s="19" t="str">
        <f>IFERROR(__xludf.DUMMYFUNCTION("""COMPUTED_VALUE"""),"BLACK")</f>
        <v>BLACK</v>
      </c>
      <c r="G1786" s="20" t="str">
        <f>IFERROR(__xludf.DUMMYFUNCTION("""COMPUTED_VALUE"""),"Uncle Sams Cider (5/13/2022)")</f>
        <v>Uncle Sams Cider (5/13/2022)</v>
      </c>
      <c r="H1786" s="19"/>
    </row>
    <row r="1787">
      <c r="A1787" s="9"/>
      <c r="B1787" s="15"/>
      <c r="C1787" s="9">
        <f>IFERROR(__xludf.DUMMYFUNCTION("""COMPUTED_VALUE"""),44777.9948314351)</f>
        <v>44777.99483</v>
      </c>
      <c r="D1787" s="15">
        <f>IFERROR(__xludf.DUMMYFUNCTION("""COMPUTED_VALUE"""),1.004)</f>
        <v>1.004</v>
      </c>
      <c r="E1787" s="16">
        <f>IFERROR(__xludf.DUMMYFUNCTION("""COMPUTED_VALUE"""),70.0)</f>
        <v>70</v>
      </c>
      <c r="F1787" s="19" t="str">
        <f>IFERROR(__xludf.DUMMYFUNCTION("""COMPUTED_VALUE"""),"BLACK")</f>
        <v>BLACK</v>
      </c>
      <c r="G1787" s="20" t="str">
        <f>IFERROR(__xludf.DUMMYFUNCTION("""COMPUTED_VALUE"""),"Uncle Sams Cider (5/13/2022)")</f>
        <v>Uncle Sams Cider (5/13/2022)</v>
      </c>
      <c r="H1787" s="19"/>
    </row>
    <row r="1788">
      <c r="A1788" s="9"/>
      <c r="B1788" s="15"/>
      <c r="C1788" s="9">
        <f>IFERROR(__xludf.DUMMYFUNCTION("""COMPUTED_VALUE"""),44777.984412199)</f>
        <v>44777.98441</v>
      </c>
      <c r="D1788" s="15">
        <f>IFERROR(__xludf.DUMMYFUNCTION("""COMPUTED_VALUE"""),1.003)</f>
        <v>1.003</v>
      </c>
      <c r="E1788" s="16">
        <f>IFERROR(__xludf.DUMMYFUNCTION("""COMPUTED_VALUE"""),70.0)</f>
        <v>70</v>
      </c>
      <c r="F1788" s="19" t="str">
        <f>IFERROR(__xludf.DUMMYFUNCTION("""COMPUTED_VALUE"""),"BLACK")</f>
        <v>BLACK</v>
      </c>
      <c r="G1788" s="20" t="str">
        <f>IFERROR(__xludf.DUMMYFUNCTION("""COMPUTED_VALUE"""),"Uncle Sams Cider (5/13/2022)")</f>
        <v>Uncle Sams Cider (5/13/2022)</v>
      </c>
      <c r="H1788" s="19"/>
    </row>
    <row r="1789">
      <c r="A1789" s="9"/>
      <c r="B1789" s="15"/>
      <c r="C1789" s="9">
        <f>IFERROR(__xludf.DUMMYFUNCTION("""COMPUTED_VALUE"""),44777.9739905092)</f>
        <v>44777.97399</v>
      </c>
      <c r="D1789" s="15">
        <f>IFERROR(__xludf.DUMMYFUNCTION("""COMPUTED_VALUE"""),1.004)</f>
        <v>1.004</v>
      </c>
      <c r="E1789" s="16">
        <f>IFERROR(__xludf.DUMMYFUNCTION("""COMPUTED_VALUE"""),70.0)</f>
        <v>70</v>
      </c>
      <c r="F1789" s="19" t="str">
        <f>IFERROR(__xludf.DUMMYFUNCTION("""COMPUTED_VALUE"""),"BLACK")</f>
        <v>BLACK</v>
      </c>
      <c r="G1789" s="20" t="str">
        <f>IFERROR(__xludf.DUMMYFUNCTION("""COMPUTED_VALUE"""),"Uncle Sams Cider (5/13/2022)")</f>
        <v>Uncle Sams Cider (5/13/2022)</v>
      </c>
      <c r="H1789" s="19"/>
    </row>
    <row r="1790">
      <c r="A1790" s="9"/>
      <c r="B1790" s="15"/>
      <c r="C1790" s="9">
        <f>IFERROR(__xludf.DUMMYFUNCTION("""COMPUTED_VALUE"""),44777.9635684027)</f>
        <v>44777.96357</v>
      </c>
      <c r="D1790" s="15">
        <f>IFERROR(__xludf.DUMMYFUNCTION("""COMPUTED_VALUE"""),1.004)</f>
        <v>1.004</v>
      </c>
      <c r="E1790" s="16">
        <f>IFERROR(__xludf.DUMMYFUNCTION("""COMPUTED_VALUE"""),70.0)</f>
        <v>70</v>
      </c>
      <c r="F1790" s="19" t="str">
        <f>IFERROR(__xludf.DUMMYFUNCTION("""COMPUTED_VALUE"""),"BLACK")</f>
        <v>BLACK</v>
      </c>
      <c r="G1790" s="20" t="str">
        <f>IFERROR(__xludf.DUMMYFUNCTION("""COMPUTED_VALUE"""),"Uncle Sams Cider (5/13/2022)")</f>
        <v>Uncle Sams Cider (5/13/2022)</v>
      </c>
      <c r="H1790" s="19"/>
    </row>
    <row r="1791">
      <c r="A1791" s="9"/>
      <c r="B1791" s="15"/>
      <c r="C1791" s="9">
        <f>IFERROR(__xludf.DUMMYFUNCTION("""COMPUTED_VALUE"""),44777.9531466435)</f>
        <v>44777.95315</v>
      </c>
      <c r="D1791" s="15">
        <f>IFERROR(__xludf.DUMMYFUNCTION("""COMPUTED_VALUE"""),1.004)</f>
        <v>1.004</v>
      </c>
      <c r="E1791" s="16">
        <f>IFERROR(__xludf.DUMMYFUNCTION("""COMPUTED_VALUE"""),70.0)</f>
        <v>70</v>
      </c>
      <c r="F1791" s="19" t="str">
        <f>IFERROR(__xludf.DUMMYFUNCTION("""COMPUTED_VALUE"""),"BLACK")</f>
        <v>BLACK</v>
      </c>
      <c r="G1791" s="20" t="str">
        <f>IFERROR(__xludf.DUMMYFUNCTION("""COMPUTED_VALUE"""),"Uncle Sams Cider (5/13/2022)")</f>
        <v>Uncle Sams Cider (5/13/2022)</v>
      </c>
      <c r="H1791" s="19"/>
    </row>
    <row r="1792">
      <c r="A1792" s="9"/>
      <c r="B1792" s="15"/>
      <c r="C1792" s="9">
        <f>IFERROR(__xludf.DUMMYFUNCTION("""COMPUTED_VALUE"""),44777.9427135879)</f>
        <v>44777.94271</v>
      </c>
      <c r="D1792" s="15">
        <f>IFERROR(__xludf.DUMMYFUNCTION("""COMPUTED_VALUE"""),1.004)</f>
        <v>1.004</v>
      </c>
      <c r="E1792" s="16">
        <f>IFERROR(__xludf.DUMMYFUNCTION("""COMPUTED_VALUE"""),70.0)</f>
        <v>70</v>
      </c>
      <c r="F1792" s="19" t="str">
        <f>IFERROR(__xludf.DUMMYFUNCTION("""COMPUTED_VALUE"""),"BLACK")</f>
        <v>BLACK</v>
      </c>
      <c r="G1792" s="20" t="str">
        <f>IFERROR(__xludf.DUMMYFUNCTION("""COMPUTED_VALUE"""),"Uncle Sams Cider (5/13/2022)")</f>
        <v>Uncle Sams Cider (5/13/2022)</v>
      </c>
      <c r="H1792" s="19"/>
    </row>
    <row r="1793">
      <c r="A1793" s="9"/>
      <c r="B1793" s="15"/>
      <c r="C1793" s="9">
        <f>IFERROR(__xludf.DUMMYFUNCTION("""COMPUTED_VALUE"""),44777.9322913889)</f>
        <v>44777.93229</v>
      </c>
      <c r="D1793" s="15">
        <f>IFERROR(__xludf.DUMMYFUNCTION("""COMPUTED_VALUE"""),1.004)</f>
        <v>1.004</v>
      </c>
      <c r="E1793" s="16">
        <f>IFERROR(__xludf.DUMMYFUNCTION("""COMPUTED_VALUE"""),70.0)</f>
        <v>70</v>
      </c>
      <c r="F1793" s="19" t="str">
        <f>IFERROR(__xludf.DUMMYFUNCTION("""COMPUTED_VALUE"""),"BLACK")</f>
        <v>BLACK</v>
      </c>
      <c r="G1793" s="20" t="str">
        <f>IFERROR(__xludf.DUMMYFUNCTION("""COMPUTED_VALUE"""),"Uncle Sams Cider (5/13/2022)")</f>
        <v>Uncle Sams Cider (5/13/2022)</v>
      </c>
      <c r="H1793" s="19"/>
    </row>
    <row r="1794">
      <c r="A1794" s="9"/>
      <c r="B1794" s="15"/>
      <c r="C1794" s="9">
        <f>IFERROR(__xludf.DUMMYFUNCTION("""COMPUTED_VALUE"""),44777.921868831)</f>
        <v>44777.92187</v>
      </c>
      <c r="D1794" s="15">
        <f>IFERROR(__xludf.DUMMYFUNCTION("""COMPUTED_VALUE"""),1.004)</f>
        <v>1.004</v>
      </c>
      <c r="E1794" s="16">
        <f>IFERROR(__xludf.DUMMYFUNCTION("""COMPUTED_VALUE"""),70.0)</f>
        <v>70</v>
      </c>
      <c r="F1794" s="19" t="str">
        <f>IFERROR(__xludf.DUMMYFUNCTION("""COMPUTED_VALUE"""),"BLACK")</f>
        <v>BLACK</v>
      </c>
      <c r="G1794" s="20" t="str">
        <f>IFERROR(__xludf.DUMMYFUNCTION("""COMPUTED_VALUE"""),"Uncle Sams Cider (5/13/2022)")</f>
        <v>Uncle Sams Cider (5/13/2022)</v>
      </c>
      <c r="H1794" s="19"/>
    </row>
    <row r="1795">
      <c r="A1795" s="9"/>
      <c r="B1795" s="15"/>
      <c r="C1795" s="9">
        <f>IFERROR(__xludf.DUMMYFUNCTION("""COMPUTED_VALUE"""),44777.9114466782)</f>
        <v>44777.91145</v>
      </c>
      <c r="D1795" s="15">
        <f>IFERROR(__xludf.DUMMYFUNCTION("""COMPUTED_VALUE"""),1.004)</f>
        <v>1.004</v>
      </c>
      <c r="E1795" s="16">
        <f>IFERROR(__xludf.DUMMYFUNCTION("""COMPUTED_VALUE"""),70.0)</f>
        <v>70</v>
      </c>
      <c r="F1795" s="19" t="str">
        <f>IFERROR(__xludf.DUMMYFUNCTION("""COMPUTED_VALUE"""),"BLACK")</f>
        <v>BLACK</v>
      </c>
      <c r="G1795" s="20" t="str">
        <f>IFERROR(__xludf.DUMMYFUNCTION("""COMPUTED_VALUE"""),"Uncle Sams Cider (5/13/2022)")</f>
        <v>Uncle Sams Cider (5/13/2022)</v>
      </c>
      <c r="H1795" s="19"/>
    </row>
    <row r="1796">
      <c r="A1796" s="9"/>
      <c r="B1796" s="15"/>
      <c r="C1796" s="9">
        <f>IFERROR(__xludf.DUMMYFUNCTION("""COMPUTED_VALUE"""),44777.9010256597)</f>
        <v>44777.90103</v>
      </c>
      <c r="D1796" s="15">
        <f>IFERROR(__xludf.DUMMYFUNCTION("""COMPUTED_VALUE"""),1.004)</f>
        <v>1.004</v>
      </c>
      <c r="E1796" s="16">
        <f>IFERROR(__xludf.DUMMYFUNCTION("""COMPUTED_VALUE"""),70.0)</f>
        <v>70</v>
      </c>
      <c r="F1796" s="19" t="str">
        <f>IFERROR(__xludf.DUMMYFUNCTION("""COMPUTED_VALUE"""),"BLACK")</f>
        <v>BLACK</v>
      </c>
      <c r="G1796" s="20" t="str">
        <f>IFERROR(__xludf.DUMMYFUNCTION("""COMPUTED_VALUE"""),"Uncle Sams Cider (5/13/2022)")</f>
        <v>Uncle Sams Cider (5/13/2022)</v>
      </c>
      <c r="H1796" s="19"/>
    </row>
    <row r="1797">
      <c r="A1797" s="9"/>
      <c r="B1797" s="15"/>
      <c r="C1797" s="9">
        <f>IFERROR(__xludf.DUMMYFUNCTION("""COMPUTED_VALUE"""),44777.8906030902)</f>
        <v>44777.8906</v>
      </c>
      <c r="D1797" s="15">
        <f>IFERROR(__xludf.DUMMYFUNCTION("""COMPUTED_VALUE"""),1.004)</f>
        <v>1.004</v>
      </c>
      <c r="E1797" s="16">
        <f>IFERROR(__xludf.DUMMYFUNCTION("""COMPUTED_VALUE"""),70.0)</f>
        <v>70</v>
      </c>
      <c r="F1797" s="19" t="str">
        <f>IFERROR(__xludf.DUMMYFUNCTION("""COMPUTED_VALUE"""),"BLACK")</f>
        <v>BLACK</v>
      </c>
      <c r="G1797" s="20" t="str">
        <f>IFERROR(__xludf.DUMMYFUNCTION("""COMPUTED_VALUE"""),"Uncle Sams Cider (5/13/2022)")</f>
        <v>Uncle Sams Cider (5/13/2022)</v>
      </c>
      <c r="H1797" s="19"/>
    </row>
    <row r="1798">
      <c r="A1798" s="9"/>
      <c r="B1798" s="15"/>
      <c r="C1798" s="9">
        <f>IFERROR(__xludf.DUMMYFUNCTION("""COMPUTED_VALUE"""),44777.8801821759)</f>
        <v>44777.88018</v>
      </c>
      <c r="D1798" s="15">
        <f>IFERROR(__xludf.DUMMYFUNCTION("""COMPUTED_VALUE"""),1.004)</f>
        <v>1.004</v>
      </c>
      <c r="E1798" s="16">
        <f>IFERROR(__xludf.DUMMYFUNCTION("""COMPUTED_VALUE"""),70.0)</f>
        <v>70</v>
      </c>
      <c r="F1798" s="19" t="str">
        <f>IFERROR(__xludf.DUMMYFUNCTION("""COMPUTED_VALUE"""),"BLACK")</f>
        <v>BLACK</v>
      </c>
      <c r="G1798" s="20" t="str">
        <f>IFERROR(__xludf.DUMMYFUNCTION("""COMPUTED_VALUE"""),"Uncle Sams Cider (5/13/2022)")</f>
        <v>Uncle Sams Cider (5/13/2022)</v>
      </c>
      <c r="H1798" s="19"/>
    </row>
    <row r="1799">
      <c r="A1799" s="9"/>
      <c r="B1799" s="15"/>
      <c r="C1799" s="9">
        <f>IFERROR(__xludf.DUMMYFUNCTION("""COMPUTED_VALUE"""),44777.8697617361)</f>
        <v>44777.86976</v>
      </c>
      <c r="D1799" s="15">
        <f>IFERROR(__xludf.DUMMYFUNCTION("""COMPUTED_VALUE"""),1.004)</f>
        <v>1.004</v>
      </c>
      <c r="E1799" s="16">
        <f>IFERROR(__xludf.DUMMYFUNCTION("""COMPUTED_VALUE"""),70.0)</f>
        <v>70</v>
      </c>
      <c r="F1799" s="19" t="str">
        <f>IFERROR(__xludf.DUMMYFUNCTION("""COMPUTED_VALUE"""),"BLACK")</f>
        <v>BLACK</v>
      </c>
      <c r="G1799" s="20" t="str">
        <f>IFERROR(__xludf.DUMMYFUNCTION("""COMPUTED_VALUE"""),"Uncle Sams Cider (5/13/2022)")</f>
        <v>Uncle Sams Cider (5/13/2022)</v>
      </c>
      <c r="H1799" s="19"/>
    </row>
    <row r="1800">
      <c r="A1800" s="9"/>
      <c r="B1800" s="15"/>
      <c r="C1800" s="9">
        <f>IFERROR(__xludf.DUMMYFUNCTION("""COMPUTED_VALUE"""),44777.8593285763)</f>
        <v>44777.85933</v>
      </c>
      <c r="D1800" s="15">
        <f>IFERROR(__xludf.DUMMYFUNCTION("""COMPUTED_VALUE"""),1.004)</f>
        <v>1.004</v>
      </c>
      <c r="E1800" s="16">
        <f>IFERROR(__xludf.DUMMYFUNCTION("""COMPUTED_VALUE"""),70.0)</f>
        <v>70</v>
      </c>
      <c r="F1800" s="19" t="str">
        <f>IFERROR(__xludf.DUMMYFUNCTION("""COMPUTED_VALUE"""),"BLACK")</f>
        <v>BLACK</v>
      </c>
      <c r="G1800" s="20" t="str">
        <f>IFERROR(__xludf.DUMMYFUNCTION("""COMPUTED_VALUE"""),"Uncle Sams Cider (5/13/2022)")</f>
        <v>Uncle Sams Cider (5/13/2022)</v>
      </c>
      <c r="H1800" s="19"/>
    </row>
    <row r="1801">
      <c r="A1801" s="9"/>
      <c r="B1801" s="15"/>
      <c r="C1801" s="9">
        <f>IFERROR(__xludf.DUMMYFUNCTION("""COMPUTED_VALUE"""),44777.8489085416)</f>
        <v>44777.84891</v>
      </c>
      <c r="D1801" s="15">
        <f>IFERROR(__xludf.DUMMYFUNCTION("""COMPUTED_VALUE"""),1.004)</f>
        <v>1.004</v>
      </c>
      <c r="E1801" s="16">
        <f>IFERROR(__xludf.DUMMYFUNCTION("""COMPUTED_VALUE"""),70.0)</f>
        <v>70</v>
      </c>
      <c r="F1801" s="19" t="str">
        <f>IFERROR(__xludf.DUMMYFUNCTION("""COMPUTED_VALUE"""),"BLACK")</f>
        <v>BLACK</v>
      </c>
      <c r="G1801" s="20" t="str">
        <f>IFERROR(__xludf.DUMMYFUNCTION("""COMPUTED_VALUE"""),"Uncle Sams Cider (5/13/2022)")</f>
        <v>Uncle Sams Cider (5/13/2022)</v>
      </c>
      <c r="H1801" s="19"/>
    </row>
    <row r="1802">
      <c r="A1802" s="9"/>
      <c r="B1802" s="15"/>
      <c r="C1802" s="9">
        <f>IFERROR(__xludf.DUMMYFUNCTION("""COMPUTED_VALUE"""),44777.8384870949)</f>
        <v>44777.83849</v>
      </c>
      <c r="D1802" s="15">
        <f>IFERROR(__xludf.DUMMYFUNCTION("""COMPUTED_VALUE"""),1.004)</f>
        <v>1.004</v>
      </c>
      <c r="E1802" s="16">
        <f>IFERROR(__xludf.DUMMYFUNCTION("""COMPUTED_VALUE"""),70.0)</f>
        <v>70</v>
      </c>
      <c r="F1802" s="19" t="str">
        <f>IFERROR(__xludf.DUMMYFUNCTION("""COMPUTED_VALUE"""),"BLACK")</f>
        <v>BLACK</v>
      </c>
      <c r="G1802" s="20" t="str">
        <f>IFERROR(__xludf.DUMMYFUNCTION("""COMPUTED_VALUE"""),"Uncle Sams Cider (5/13/2022)")</f>
        <v>Uncle Sams Cider (5/13/2022)</v>
      </c>
      <c r="H1802" s="19"/>
    </row>
    <row r="1803">
      <c r="A1803" s="9"/>
      <c r="B1803" s="15"/>
      <c r="C1803" s="9">
        <f>IFERROR(__xludf.DUMMYFUNCTION("""COMPUTED_VALUE"""),44777.8280659606)</f>
        <v>44777.82807</v>
      </c>
      <c r="D1803" s="15">
        <f>IFERROR(__xludf.DUMMYFUNCTION("""COMPUTED_VALUE"""),1.004)</f>
        <v>1.004</v>
      </c>
      <c r="E1803" s="16">
        <f>IFERROR(__xludf.DUMMYFUNCTION("""COMPUTED_VALUE"""),69.0)</f>
        <v>69</v>
      </c>
      <c r="F1803" s="19" t="str">
        <f>IFERROR(__xludf.DUMMYFUNCTION("""COMPUTED_VALUE"""),"BLACK")</f>
        <v>BLACK</v>
      </c>
      <c r="G1803" s="20" t="str">
        <f>IFERROR(__xludf.DUMMYFUNCTION("""COMPUTED_VALUE"""),"Uncle Sams Cider (5/13/2022)")</f>
        <v>Uncle Sams Cider (5/13/2022)</v>
      </c>
      <c r="H1803" s="19"/>
    </row>
    <row r="1804">
      <c r="A1804" s="9"/>
      <c r="B1804" s="15"/>
      <c r="C1804" s="9">
        <f>IFERROR(__xludf.DUMMYFUNCTION("""COMPUTED_VALUE"""),44777.8176460069)</f>
        <v>44777.81765</v>
      </c>
      <c r="D1804" s="15">
        <f>IFERROR(__xludf.DUMMYFUNCTION("""COMPUTED_VALUE"""),1.004)</f>
        <v>1.004</v>
      </c>
      <c r="E1804" s="16">
        <f>IFERROR(__xludf.DUMMYFUNCTION("""COMPUTED_VALUE"""),70.0)</f>
        <v>70</v>
      </c>
      <c r="F1804" s="19" t="str">
        <f>IFERROR(__xludf.DUMMYFUNCTION("""COMPUTED_VALUE"""),"BLACK")</f>
        <v>BLACK</v>
      </c>
      <c r="G1804" s="20" t="str">
        <f>IFERROR(__xludf.DUMMYFUNCTION("""COMPUTED_VALUE"""),"Uncle Sams Cider (5/13/2022)")</f>
        <v>Uncle Sams Cider (5/13/2022)</v>
      </c>
      <c r="H1804" s="19"/>
    </row>
    <row r="1805">
      <c r="A1805" s="9"/>
      <c r="B1805" s="15"/>
      <c r="C1805" s="9">
        <f>IFERROR(__xludf.DUMMYFUNCTION("""COMPUTED_VALUE"""),44777.8072254861)</f>
        <v>44777.80723</v>
      </c>
      <c r="D1805" s="15">
        <f>IFERROR(__xludf.DUMMYFUNCTION("""COMPUTED_VALUE"""),1.004)</f>
        <v>1.004</v>
      </c>
      <c r="E1805" s="16">
        <f>IFERROR(__xludf.DUMMYFUNCTION("""COMPUTED_VALUE"""),70.0)</f>
        <v>70</v>
      </c>
      <c r="F1805" s="19" t="str">
        <f>IFERROR(__xludf.DUMMYFUNCTION("""COMPUTED_VALUE"""),"BLACK")</f>
        <v>BLACK</v>
      </c>
      <c r="G1805" s="20" t="str">
        <f>IFERROR(__xludf.DUMMYFUNCTION("""COMPUTED_VALUE"""),"Uncle Sams Cider (5/13/2022)")</f>
        <v>Uncle Sams Cider (5/13/2022)</v>
      </c>
      <c r="H1805" s="19"/>
    </row>
    <row r="1806">
      <c r="A1806" s="9"/>
      <c r="B1806" s="15"/>
      <c r="C1806" s="9">
        <f>IFERROR(__xludf.DUMMYFUNCTION("""COMPUTED_VALUE"""),44777.7968051157)</f>
        <v>44777.79681</v>
      </c>
      <c r="D1806" s="15">
        <f>IFERROR(__xludf.DUMMYFUNCTION("""COMPUTED_VALUE"""),1.004)</f>
        <v>1.004</v>
      </c>
      <c r="E1806" s="16">
        <f>IFERROR(__xludf.DUMMYFUNCTION("""COMPUTED_VALUE"""),69.0)</f>
        <v>69</v>
      </c>
      <c r="F1806" s="19" t="str">
        <f>IFERROR(__xludf.DUMMYFUNCTION("""COMPUTED_VALUE"""),"BLACK")</f>
        <v>BLACK</v>
      </c>
      <c r="G1806" s="20" t="str">
        <f>IFERROR(__xludf.DUMMYFUNCTION("""COMPUTED_VALUE"""),"Uncle Sams Cider (5/13/2022)")</f>
        <v>Uncle Sams Cider (5/13/2022)</v>
      </c>
      <c r="H1806" s="19"/>
    </row>
    <row r="1807">
      <c r="A1807" s="9"/>
      <c r="B1807" s="15"/>
      <c r="C1807" s="9">
        <f>IFERROR(__xludf.DUMMYFUNCTION("""COMPUTED_VALUE"""),44777.7863713541)</f>
        <v>44777.78637</v>
      </c>
      <c r="D1807" s="15">
        <f>IFERROR(__xludf.DUMMYFUNCTION("""COMPUTED_VALUE"""),1.004)</f>
        <v>1.004</v>
      </c>
      <c r="E1807" s="16">
        <f>IFERROR(__xludf.DUMMYFUNCTION("""COMPUTED_VALUE"""),69.0)</f>
        <v>69</v>
      </c>
      <c r="F1807" s="19" t="str">
        <f>IFERROR(__xludf.DUMMYFUNCTION("""COMPUTED_VALUE"""),"BLACK")</f>
        <v>BLACK</v>
      </c>
      <c r="G1807" s="20" t="str">
        <f>IFERROR(__xludf.DUMMYFUNCTION("""COMPUTED_VALUE"""),"Uncle Sams Cider (5/13/2022)")</f>
        <v>Uncle Sams Cider (5/13/2022)</v>
      </c>
      <c r="H1807" s="19"/>
    </row>
    <row r="1808">
      <c r="A1808" s="9"/>
      <c r="B1808" s="15"/>
      <c r="C1808" s="9">
        <f>IFERROR(__xludf.DUMMYFUNCTION("""COMPUTED_VALUE"""),44777.7759512268)</f>
        <v>44777.77595</v>
      </c>
      <c r="D1808" s="15">
        <f>IFERROR(__xludf.DUMMYFUNCTION("""COMPUTED_VALUE"""),1.004)</f>
        <v>1.004</v>
      </c>
      <c r="E1808" s="16">
        <f>IFERROR(__xludf.DUMMYFUNCTION("""COMPUTED_VALUE"""),69.0)</f>
        <v>69</v>
      </c>
      <c r="F1808" s="19" t="str">
        <f>IFERROR(__xludf.DUMMYFUNCTION("""COMPUTED_VALUE"""),"BLACK")</f>
        <v>BLACK</v>
      </c>
      <c r="G1808" s="20" t="str">
        <f>IFERROR(__xludf.DUMMYFUNCTION("""COMPUTED_VALUE"""),"Uncle Sams Cider (5/13/2022)")</f>
        <v>Uncle Sams Cider (5/13/2022)</v>
      </c>
      <c r="H1808" s="19"/>
    </row>
    <row r="1809">
      <c r="A1809" s="9"/>
      <c r="B1809" s="15"/>
      <c r="C1809" s="9">
        <f>IFERROR(__xludf.DUMMYFUNCTION("""COMPUTED_VALUE"""),44777.7655191666)</f>
        <v>44777.76552</v>
      </c>
      <c r="D1809" s="15">
        <f>IFERROR(__xludf.DUMMYFUNCTION("""COMPUTED_VALUE"""),1.004)</f>
        <v>1.004</v>
      </c>
      <c r="E1809" s="16">
        <f>IFERROR(__xludf.DUMMYFUNCTION("""COMPUTED_VALUE"""),69.0)</f>
        <v>69</v>
      </c>
      <c r="F1809" s="19" t="str">
        <f>IFERROR(__xludf.DUMMYFUNCTION("""COMPUTED_VALUE"""),"BLACK")</f>
        <v>BLACK</v>
      </c>
      <c r="G1809" s="20" t="str">
        <f>IFERROR(__xludf.DUMMYFUNCTION("""COMPUTED_VALUE"""),"Uncle Sams Cider (5/13/2022)")</f>
        <v>Uncle Sams Cider (5/13/2022)</v>
      </c>
      <c r="H1809" s="19"/>
    </row>
    <row r="1810">
      <c r="A1810" s="9"/>
      <c r="B1810" s="15"/>
      <c r="C1810" s="9">
        <f>IFERROR(__xludf.DUMMYFUNCTION("""COMPUTED_VALUE"""),44777.7551002662)</f>
        <v>44777.7551</v>
      </c>
      <c r="D1810" s="15">
        <f>IFERROR(__xludf.DUMMYFUNCTION("""COMPUTED_VALUE"""),1.004)</f>
        <v>1.004</v>
      </c>
      <c r="E1810" s="16">
        <f>IFERROR(__xludf.DUMMYFUNCTION("""COMPUTED_VALUE"""),69.0)</f>
        <v>69</v>
      </c>
      <c r="F1810" s="19" t="str">
        <f>IFERROR(__xludf.DUMMYFUNCTION("""COMPUTED_VALUE"""),"BLACK")</f>
        <v>BLACK</v>
      </c>
      <c r="G1810" s="20" t="str">
        <f>IFERROR(__xludf.DUMMYFUNCTION("""COMPUTED_VALUE"""),"Uncle Sams Cider (5/13/2022)")</f>
        <v>Uncle Sams Cider (5/13/2022)</v>
      </c>
      <c r="H1810" s="19"/>
    </row>
    <row r="1811">
      <c r="A1811" s="9"/>
      <c r="B1811" s="15"/>
      <c r="C1811" s="9">
        <f>IFERROR(__xludf.DUMMYFUNCTION("""COMPUTED_VALUE"""),44777.7446802546)</f>
        <v>44777.74468</v>
      </c>
      <c r="D1811" s="15">
        <f>IFERROR(__xludf.DUMMYFUNCTION("""COMPUTED_VALUE"""),1.004)</f>
        <v>1.004</v>
      </c>
      <c r="E1811" s="16">
        <f>IFERROR(__xludf.DUMMYFUNCTION("""COMPUTED_VALUE"""),70.0)</f>
        <v>70</v>
      </c>
      <c r="F1811" s="19" t="str">
        <f>IFERROR(__xludf.DUMMYFUNCTION("""COMPUTED_VALUE"""),"BLACK")</f>
        <v>BLACK</v>
      </c>
      <c r="G1811" s="20" t="str">
        <f>IFERROR(__xludf.DUMMYFUNCTION("""COMPUTED_VALUE"""),"Uncle Sams Cider (5/13/2022)")</f>
        <v>Uncle Sams Cider (5/13/2022)</v>
      </c>
      <c r="H1811" s="19"/>
    </row>
    <row r="1812">
      <c r="A1812" s="9"/>
      <c r="B1812" s="15"/>
      <c r="C1812" s="9">
        <f>IFERROR(__xludf.DUMMYFUNCTION("""COMPUTED_VALUE"""),44777.7342592476)</f>
        <v>44777.73426</v>
      </c>
      <c r="D1812" s="15">
        <f>IFERROR(__xludf.DUMMYFUNCTION("""COMPUTED_VALUE"""),1.004)</f>
        <v>1.004</v>
      </c>
      <c r="E1812" s="16">
        <f>IFERROR(__xludf.DUMMYFUNCTION("""COMPUTED_VALUE"""),69.0)</f>
        <v>69</v>
      </c>
      <c r="F1812" s="19" t="str">
        <f>IFERROR(__xludf.DUMMYFUNCTION("""COMPUTED_VALUE"""),"BLACK")</f>
        <v>BLACK</v>
      </c>
      <c r="G1812" s="20" t="str">
        <f>IFERROR(__xludf.DUMMYFUNCTION("""COMPUTED_VALUE"""),"Uncle Sams Cider (5/13/2022)")</f>
        <v>Uncle Sams Cider (5/13/2022)</v>
      </c>
      <c r="H1812" s="19"/>
    </row>
    <row r="1813">
      <c r="A1813" s="9"/>
      <c r="B1813" s="15"/>
      <c r="C1813" s="9">
        <f>IFERROR(__xludf.DUMMYFUNCTION("""COMPUTED_VALUE"""),44777.7238400347)</f>
        <v>44777.72384</v>
      </c>
      <c r="D1813" s="15">
        <f>IFERROR(__xludf.DUMMYFUNCTION("""COMPUTED_VALUE"""),1.004)</f>
        <v>1.004</v>
      </c>
      <c r="E1813" s="16">
        <f>IFERROR(__xludf.DUMMYFUNCTION("""COMPUTED_VALUE"""),69.0)</f>
        <v>69</v>
      </c>
      <c r="F1813" s="19" t="str">
        <f>IFERROR(__xludf.DUMMYFUNCTION("""COMPUTED_VALUE"""),"BLACK")</f>
        <v>BLACK</v>
      </c>
      <c r="G1813" s="20" t="str">
        <f>IFERROR(__xludf.DUMMYFUNCTION("""COMPUTED_VALUE"""),"Uncle Sams Cider (5/13/2022)")</f>
        <v>Uncle Sams Cider (5/13/2022)</v>
      </c>
      <c r="H1813" s="19"/>
    </row>
    <row r="1814">
      <c r="A1814" s="9"/>
      <c r="B1814" s="15"/>
      <c r="C1814" s="9">
        <f>IFERROR(__xludf.DUMMYFUNCTION("""COMPUTED_VALUE"""),44777.713405868)</f>
        <v>44777.71341</v>
      </c>
      <c r="D1814" s="15">
        <f>IFERROR(__xludf.DUMMYFUNCTION("""COMPUTED_VALUE"""),1.004)</f>
        <v>1.004</v>
      </c>
      <c r="E1814" s="16">
        <f>IFERROR(__xludf.DUMMYFUNCTION("""COMPUTED_VALUE"""),69.0)</f>
        <v>69</v>
      </c>
      <c r="F1814" s="19" t="str">
        <f>IFERROR(__xludf.DUMMYFUNCTION("""COMPUTED_VALUE"""),"BLACK")</f>
        <v>BLACK</v>
      </c>
      <c r="G1814" s="20" t="str">
        <f>IFERROR(__xludf.DUMMYFUNCTION("""COMPUTED_VALUE"""),"Uncle Sams Cider (5/13/2022)")</f>
        <v>Uncle Sams Cider (5/13/2022)</v>
      </c>
      <c r="H1814" s="19"/>
    </row>
    <row r="1815">
      <c r="A1815" s="9"/>
      <c r="B1815" s="15"/>
      <c r="C1815" s="9">
        <f>IFERROR(__xludf.DUMMYFUNCTION("""COMPUTED_VALUE"""),44777.7029830324)</f>
        <v>44777.70298</v>
      </c>
      <c r="D1815" s="15">
        <f>IFERROR(__xludf.DUMMYFUNCTION("""COMPUTED_VALUE"""),1.004)</f>
        <v>1.004</v>
      </c>
      <c r="E1815" s="16">
        <f>IFERROR(__xludf.DUMMYFUNCTION("""COMPUTED_VALUE"""),69.0)</f>
        <v>69</v>
      </c>
      <c r="F1815" s="19" t="str">
        <f>IFERROR(__xludf.DUMMYFUNCTION("""COMPUTED_VALUE"""),"BLACK")</f>
        <v>BLACK</v>
      </c>
      <c r="G1815" s="20" t="str">
        <f>IFERROR(__xludf.DUMMYFUNCTION("""COMPUTED_VALUE"""),"Uncle Sams Cider (5/13/2022)")</f>
        <v>Uncle Sams Cider (5/13/2022)</v>
      </c>
      <c r="H1815" s="19"/>
    </row>
    <row r="1816">
      <c r="A1816" s="9"/>
      <c r="B1816" s="15"/>
      <c r="C1816" s="9">
        <f>IFERROR(__xludf.DUMMYFUNCTION("""COMPUTED_VALUE"""),44777.6925629398)</f>
        <v>44777.69256</v>
      </c>
      <c r="D1816" s="15">
        <f>IFERROR(__xludf.DUMMYFUNCTION("""COMPUTED_VALUE"""),1.004)</f>
        <v>1.004</v>
      </c>
      <c r="E1816" s="16">
        <f>IFERROR(__xludf.DUMMYFUNCTION("""COMPUTED_VALUE"""),69.0)</f>
        <v>69</v>
      </c>
      <c r="F1816" s="19" t="str">
        <f>IFERROR(__xludf.DUMMYFUNCTION("""COMPUTED_VALUE"""),"BLACK")</f>
        <v>BLACK</v>
      </c>
      <c r="G1816" s="20" t="str">
        <f>IFERROR(__xludf.DUMMYFUNCTION("""COMPUTED_VALUE"""),"Uncle Sams Cider (5/13/2022)")</f>
        <v>Uncle Sams Cider (5/13/2022)</v>
      </c>
      <c r="H1816" s="19"/>
    </row>
    <row r="1817">
      <c r="A1817" s="9"/>
      <c r="B1817" s="15"/>
      <c r="C1817" s="9">
        <f>IFERROR(__xludf.DUMMYFUNCTION("""COMPUTED_VALUE"""),44777.6821417476)</f>
        <v>44777.68214</v>
      </c>
      <c r="D1817" s="15">
        <f>IFERROR(__xludf.DUMMYFUNCTION("""COMPUTED_VALUE"""),1.004)</f>
        <v>1.004</v>
      </c>
      <c r="E1817" s="16">
        <f>IFERROR(__xludf.DUMMYFUNCTION("""COMPUTED_VALUE"""),69.0)</f>
        <v>69</v>
      </c>
      <c r="F1817" s="19" t="str">
        <f>IFERROR(__xludf.DUMMYFUNCTION("""COMPUTED_VALUE"""),"BLACK")</f>
        <v>BLACK</v>
      </c>
      <c r="G1817" s="20" t="str">
        <f>IFERROR(__xludf.DUMMYFUNCTION("""COMPUTED_VALUE"""),"Uncle Sams Cider (5/13/2022)")</f>
        <v>Uncle Sams Cider (5/13/2022)</v>
      </c>
      <c r="H1817" s="19"/>
    </row>
    <row r="1818">
      <c r="A1818" s="9"/>
      <c r="B1818" s="15"/>
      <c r="C1818" s="9">
        <f>IFERROR(__xludf.DUMMYFUNCTION("""COMPUTED_VALUE"""),44777.6717196064)</f>
        <v>44777.67172</v>
      </c>
      <c r="D1818" s="15">
        <f>IFERROR(__xludf.DUMMYFUNCTION("""COMPUTED_VALUE"""),1.004)</f>
        <v>1.004</v>
      </c>
      <c r="E1818" s="16">
        <f>IFERROR(__xludf.DUMMYFUNCTION("""COMPUTED_VALUE"""),70.0)</f>
        <v>70</v>
      </c>
      <c r="F1818" s="19" t="str">
        <f>IFERROR(__xludf.DUMMYFUNCTION("""COMPUTED_VALUE"""),"BLACK")</f>
        <v>BLACK</v>
      </c>
      <c r="G1818" s="20" t="str">
        <f>IFERROR(__xludf.DUMMYFUNCTION("""COMPUTED_VALUE"""),"Uncle Sams Cider (5/13/2022)")</f>
        <v>Uncle Sams Cider (5/13/2022)</v>
      </c>
      <c r="H1818" s="19"/>
    </row>
    <row r="1819">
      <c r="A1819" s="9"/>
      <c r="B1819" s="15"/>
      <c r="C1819" s="9">
        <f>IFERROR(__xludf.DUMMYFUNCTION("""COMPUTED_VALUE"""),44777.6612765046)</f>
        <v>44777.66128</v>
      </c>
      <c r="D1819" s="15">
        <f>IFERROR(__xludf.DUMMYFUNCTION("""COMPUTED_VALUE"""),1.004)</f>
        <v>1.004</v>
      </c>
      <c r="E1819" s="16">
        <f>IFERROR(__xludf.DUMMYFUNCTION("""COMPUTED_VALUE"""),69.0)</f>
        <v>69</v>
      </c>
      <c r="F1819" s="19" t="str">
        <f>IFERROR(__xludf.DUMMYFUNCTION("""COMPUTED_VALUE"""),"BLACK")</f>
        <v>BLACK</v>
      </c>
      <c r="G1819" s="20" t="str">
        <f>IFERROR(__xludf.DUMMYFUNCTION("""COMPUTED_VALUE"""),"Uncle Sams Cider (5/13/2022)")</f>
        <v>Uncle Sams Cider (5/13/2022)</v>
      </c>
      <c r="H1819" s="19"/>
    </row>
    <row r="1820">
      <c r="A1820" s="9"/>
      <c r="B1820" s="15"/>
      <c r="C1820" s="9">
        <f>IFERROR(__xludf.DUMMYFUNCTION("""COMPUTED_VALUE"""),44777.6508439583)</f>
        <v>44777.65084</v>
      </c>
      <c r="D1820" s="15">
        <f>IFERROR(__xludf.DUMMYFUNCTION("""COMPUTED_VALUE"""),1.004)</f>
        <v>1.004</v>
      </c>
      <c r="E1820" s="16">
        <f>IFERROR(__xludf.DUMMYFUNCTION("""COMPUTED_VALUE"""),69.0)</f>
        <v>69</v>
      </c>
      <c r="F1820" s="19" t="str">
        <f>IFERROR(__xludf.DUMMYFUNCTION("""COMPUTED_VALUE"""),"BLACK")</f>
        <v>BLACK</v>
      </c>
      <c r="G1820" s="20" t="str">
        <f>IFERROR(__xludf.DUMMYFUNCTION("""COMPUTED_VALUE"""),"Uncle Sams Cider (5/13/2022)")</f>
        <v>Uncle Sams Cider (5/13/2022)</v>
      </c>
      <c r="H1820" s="19"/>
    </row>
    <row r="1821">
      <c r="A1821" s="9"/>
      <c r="B1821" s="15"/>
      <c r="C1821" s="9">
        <f>IFERROR(__xludf.DUMMYFUNCTION("""COMPUTED_VALUE"""),44777.6404224884)</f>
        <v>44777.64042</v>
      </c>
      <c r="D1821" s="15">
        <f>IFERROR(__xludf.DUMMYFUNCTION("""COMPUTED_VALUE"""),1.004)</f>
        <v>1.004</v>
      </c>
      <c r="E1821" s="16">
        <f>IFERROR(__xludf.DUMMYFUNCTION("""COMPUTED_VALUE"""),70.0)</f>
        <v>70</v>
      </c>
      <c r="F1821" s="19" t="str">
        <f>IFERROR(__xludf.DUMMYFUNCTION("""COMPUTED_VALUE"""),"BLACK")</f>
        <v>BLACK</v>
      </c>
      <c r="G1821" s="20" t="str">
        <f>IFERROR(__xludf.DUMMYFUNCTION("""COMPUTED_VALUE"""),"Uncle Sams Cider (5/13/2022)")</f>
        <v>Uncle Sams Cider (5/13/2022)</v>
      </c>
      <c r="H1821" s="19"/>
    </row>
    <row r="1822">
      <c r="A1822" s="9"/>
      <c r="B1822" s="15"/>
      <c r="C1822" s="9">
        <f>IFERROR(__xludf.DUMMYFUNCTION("""COMPUTED_VALUE"""),44777.6300026157)</f>
        <v>44777.63</v>
      </c>
      <c r="D1822" s="15">
        <f>IFERROR(__xludf.DUMMYFUNCTION("""COMPUTED_VALUE"""),1.004)</f>
        <v>1.004</v>
      </c>
      <c r="E1822" s="16">
        <f>IFERROR(__xludf.DUMMYFUNCTION("""COMPUTED_VALUE"""),69.0)</f>
        <v>69</v>
      </c>
      <c r="F1822" s="19" t="str">
        <f>IFERROR(__xludf.DUMMYFUNCTION("""COMPUTED_VALUE"""),"BLACK")</f>
        <v>BLACK</v>
      </c>
      <c r="G1822" s="20" t="str">
        <f>IFERROR(__xludf.DUMMYFUNCTION("""COMPUTED_VALUE"""),"Uncle Sams Cider (5/13/2022)")</f>
        <v>Uncle Sams Cider (5/13/2022)</v>
      </c>
      <c r="H1822" s="19"/>
    </row>
    <row r="1823">
      <c r="A1823" s="9"/>
      <c r="B1823" s="15"/>
      <c r="C1823" s="9">
        <f>IFERROR(__xludf.DUMMYFUNCTION("""COMPUTED_VALUE"""),44777.6195823148)</f>
        <v>44777.61958</v>
      </c>
      <c r="D1823" s="15">
        <f>IFERROR(__xludf.DUMMYFUNCTION("""COMPUTED_VALUE"""),1.004)</f>
        <v>1.004</v>
      </c>
      <c r="E1823" s="16">
        <f>IFERROR(__xludf.DUMMYFUNCTION("""COMPUTED_VALUE"""),69.0)</f>
        <v>69</v>
      </c>
      <c r="F1823" s="19" t="str">
        <f>IFERROR(__xludf.DUMMYFUNCTION("""COMPUTED_VALUE"""),"BLACK")</f>
        <v>BLACK</v>
      </c>
      <c r="G1823" s="20" t="str">
        <f>IFERROR(__xludf.DUMMYFUNCTION("""COMPUTED_VALUE"""),"Uncle Sams Cider (5/13/2022)")</f>
        <v>Uncle Sams Cider (5/13/2022)</v>
      </c>
      <c r="H1823" s="19"/>
    </row>
    <row r="1824">
      <c r="A1824" s="9"/>
      <c r="B1824" s="15"/>
      <c r="C1824" s="9">
        <f>IFERROR(__xludf.DUMMYFUNCTION("""COMPUTED_VALUE"""),44777.6091386921)</f>
        <v>44777.60914</v>
      </c>
      <c r="D1824" s="15">
        <f>IFERROR(__xludf.DUMMYFUNCTION("""COMPUTED_VALUE"""),1.004)</f>
        <v>1.004</v>
      </c>
      <c r="E1824" s="16">
        <f>IFERROR(__xludf.DUMMYFUNCTION("""COMPUTED_VALUE"""),69.0)</f>
        <v>69</v>
      </c>
      <c r="F1824" s="19" t="str">
        <f>IFERROR(__xludf.DUMMYFUNCTION("""COMPUTED_VALUE"""),"BLACK")</f>
        <v>BLACK</v>
      </c>
      <c r="G1824" s="20" t="str">
        <f>IFERROR(__xludf.DUMMYFUNCTION("""COMPUTED_VALUE"""),"Uncle Sams Cider (5/13/2022)")</f>
        <v>Uncle Sams Cider (5/13/2022)</v>
      </c>
      <c r="H1824" s="19"/>
    </row>
    <row r="1825">
      <c r="A1825" s="9"/>
      <c r="B1825" s="15"/>
      <c r="C1825" s="9">
        <f>IFERROR(__xludf.DUMMYFUNCTION("""COMPUTED_VALUE"""),44777.5987062268)</f>
        <v>44777.59871</v>
      </c>
      <c r="D1825" s="15">
        <f>IFERROR(__xludf.DUMMYFUNCTION("""COMPUTED_VALUE"""),1.004)</f>
        <v>1.004</v>
      </c>
      <c r="E1825" s="16">
        <f>IFERROR(__xludf.DUMMYFUNCTION("""COMPUTED_VALUE"""),69.0)</f>
        <v>69</v>
      </c>
      <c r="F1825" s="19" t="str">
        <f>IFERROR(__xludf.DUMMYFUNCTION("""COMPUTED_VALUE"""),"BLACK")</f>
        <v>BLACK</v>
      </c>
      <c r="G1825" s="20" t="str">
        <f>IFERROR(__xludf.DUMMYFUNCTION("""COMPUTED_VALUE"""),"Uncle Sams Cider (5/13/2022)")</f>
        <v>Uncle Sams Cider (5/13/2022)</v>
      </c>
      <c r="H1825" s="19"/>
    </row>
    <row r="1826">
      <c r="A1826" s="9"/>
      <c r="B1826" s="15"/>
      <c r="C1826" s="9">
        <f>IFERROR(__xludf.DUMMYFUNCTION("""COMPUTED_VALUE"""),44777.5882841203)</f>
        <v>44777.58828</v>
      </c>
      <c r="D1826" s="15">
        <f>IFERROR(__xludf.DUMMYFUNCTION("""COMPUTED_VALUE"""),1.004)</f>
        <v>1.004</v>
      </c>
      <c r="E1826" s="16">
        <f>IFERROR(__xludf.DUMMYFUNCTION("""COMPUTED_VALUE"""),69.0)</f>
        <v>69</v>
      </c>
      <c r="F1826" s="19" t="str">
        <f>IFERROR(__xludf.DUMMYFUNCTION("""COMPUTED_VALUE"""),"BLACK")</f>
        <v>BLACK</v>
      </c>
      <c r="G1826" s="20" t="str">
        <f>IFERROR(__xludf.DUMMYFUNCTION("""COMPUTED_VALUE"""),"Uncle Sams Cider (5/13/2022)")</f>
        <v>Uncle Sams Cider (5/13/2022)</v>
      </c>
      <c r="H1826" s="19"/>
    </row>
    <row r="1827">
      <c r="A1827" s="9"/>
      <c r="B1827" s="15"/>
      <c r="C1827" s="9">
        <f>IFERROR(__xludf.DUMMYFUNCTION("""COMPUTED_VALUE"""),44777.577850949)</f>
        <v>44777.57785</v>
      </c>
      <c r="D1827" s="15">
        <f>IFERROR(__xludf.DUMMYFUNCTION("""COMPUTED_VALUE"""),1.004)</f>
        <v>1.004</v>
      </c>
      <c r="E1827" s="16">
        <f>IFERROR(__xludf.DUMMYFUNCTION("""COMPUTED_VALUE"""),69.0)</f>
        <v>69</v>
      </c>
      <c r="F1827" s="19" t="str">
        <f>IFERROR(__xludf.DUMMYFUNCTION("""COMPUTED_VALUE"""),"BLACK")</f>
        <v>BLACK</v>
      </c>
      <c r="G1827" s="20" t="str">
        <f>IFERROR(__xludf.DUMMYFUNCTION("""COMPUTED_VALUE"""),"Uncle Sams Cider (5/13/2022)")</f>
        <v>Uncle Sams Cider (5/13/2022)</v>
      </c>
      <c r="H1827" s="19"/>
    </row>
    <row r="1828">
      <c r="A1828" s="9"/>
      <c r="B1828" s="15"/>
      <c r="C1828" s="9">
        <f>IFERROR(__xludf.DUMMYFUNCTION("""COMPUTED_VALUE"""),44777.567430868)</f>
        <v>44777.56743</v>
      </c>
      <c r="D1828" s="15">
        <f>IFERROR(__xludf.DUMMYFUNCTION("""COMPUTED_VALUE"""),1.004)</f>
        <v>1.004</v>
      </c>
      <c r="E1828" s="16">
        <f>IFERROR(__xludf.DUMMYFUNCTION("""COMPUTED_VALUE"""),69.0)</f>
        <v>69</v>
      </c>
      <c r="F1828" s="19" t="str">
        <f>IFERROR(__xludf.DUMMYFUNCTION("""COMPUTED_VALUE"""),"BLACK")</f>
        <v>BLACK</v>
      </c>
      <c r="G1828" s="20" t="str">
        <f>IFERROR(__xludf.DUMMYFUNCTION("""COMPUTED_VALUE"""),"Uncle Sams Cider (5/13/2022)")</f>
        <v>Uncle Sams Cider (5/13/2022)</v>
      </c>
      <c r="H1828" s="19"/>
    </row>
    <row r="1829">
      <c r="A1829" s="9"/>
      <c r="B1829" s="15"/>
      <c r="C1829" s="9">
        <f>IFERROR(__xludf.DUMMYFUNCTION("""COMPUTED_VALUE"""),44777.557009456)</f>
        <v>44777.55701</v>
      </c>
      <c r="D1829" s="15">
        <f>IFERROR(__xludf.DUMMYFUNCTION("""COMPUTED_VALUE"""),1.004)</f>
        <v>1.004</v>
      </c>
      <c r="E1829" s="16">
        <f>IFERROR(__xludf.DUMMYFUNCTION("""COMPUTED_VALUE"""),69.0)</f>
        <v>69</v>
      </c>
      <c r="F1829" s="19" t="str">
        <f>IFERROR(__xludf.DUMMYFUNCTION("""COMPUTED_VALUE"""),"BLACK")</f>
        <v>BLACK</v>
      </c>
      <c r="G1829" s="20" t="str">
        <f>IFERROR(__xludf.DUMMYFUNCTION("""COMPUTED_VALUE"""),"Uncle Sams Cider (5/13/2022)")</f>
        <v>Uncle Sams Cider (5/13/2022)</v>
      </c>
      <c r="H1829" s="19"/>
    </row>
    <row r="1830">
      <c r="A1830" s="9"/>
      <c r="B1830" s="15"/>
      <c r="C1830" s="9">
        <f>IFERROR(__xludf.DUMMYFUNCTION("""COMPUTED_VALUE"""),44777.546575868)</f>
        <v>44777.54658</v>
      </c>
      <c r="D1830" s="15">
        <f>IFERROR(__xludf.DUMMYFUNCTION("""COMPUTED_VALUE"""),1.004)</f>
        <v>1.004</v>
      </c>
      <c r="E1830" s="16">
        <f>IFERROR(__xludf.DUMMYFUNCTION("""COMPUTED_VALUE"""),69.0)</f>
        <v>69</v>
      </c>
      <c r="F1830" s="19" t="str">
        <f>IFERROR(__xludf.DUMMYFUNCTION("""COMPUTED_VALUE"""),"BLACK")</f>
        <v>BLACK</v>
      </c>
      <c r="G1830" s="20" t="str">
        <f>IFERROR(__xludf.DUMMYFUNCTION("""COMPUTED_VALUE"""),"Uncle Sams Cider (5/13/2022)")</f>
        <v>Uncle Sams Cider (5/13/2022)</v>
      </c>
      <c r="H1830" s="19"/>
    </row>
    <row r="1831">
      <c r="A1831" s="9"/>
      <c r="B1831" s="15"/>
      <c r="C1831" s="9">
        <f>IFERROR(__xludf.DUMMYFUNCTION("""COMPUTED_VALUE"""),44777.5361428009)</f>
        <v>44777.53614</v>
      </c>
      <c r="D1831" s="15">
        <f>IFERROR(__xludf.DUMMYFUNCTION("""COMPUTED_VALUE"""),1.004)</f>
        <v>1.004</v>
      </c>
      <c r="E1831" s="16">
        <f>IFERROR(__xludf.DUMMYFUNCTION("""COMPUTED_VALUE"""),69.0)</f>
        <v>69</v>
      </c>
      <c r="F1831" s="19" t="str">
        <f>IFERROR(__xludf.DUMMYFUNCTION("""COMPUTED_VALUE"""),"BLACK")</f>
        <v>BLACK</v>
      </c>
      <c r="G1831" s="20" t="str">
        <f>IFERROR(__xludf.DUMMYFUNCTION("""COMPUTED_VALUE"""),"Uncle Sams Cider (5/13/2022)")</f>
        <v>Uncle Sams Cider (5/13/2022)</v>
      </c>
      <c r="H1831" s="19"/>
    </row>
    <row r="1832">
      <c r="A1832" s="9"/>
      <c r="B1832" s="15"/>
      <c r="C1832" s="9">
        <f>IFERROR(__xludf.DUMMYFUNCTION("""COMPUTED_VALUE"""),44777.5257206365)</f>
        <v>44777.52572</v>
      </c>
      <c r="D1832" s="15">
        <f>IFERROR(__xludf.DUMMYFUNCTION("""COMPUTED_VALUE"""),1.004)</f>
        <v>1.004</v>
      </c>
      <c r="E1832" s="16">
        <f>IFERROR(__xludf.DUMMYFUNCTION("""COMPUTED_VALUE"""),69.0)</f>
        <v>69</v>
      </c>
      <c r="F1832" s="19" t="str">
        <f>IFERROR(__xludf.DUMMYFUNCTION("""COMPUTED_VALUE"""),"BLACK")</f>
        <v>BLACK</v>
      </c>
      <c r="G1832" s="20" t="str">
        <f>IFERROR(__xludf.DUMMYFUNCTION("""COMPUTED_VALUE"""),"Uncle Sams Cider (5/13/2022)")</f>
        <v>Uncle Sams Cider (5/13/2022)</v>
      </c>
      <c r="H1832" s="19"/>
    </row>
    <row r="1833">
      <c r="A1833" s="9"/>
      <c r="B1833" s="15"/>
      <c r="C1833" s="9">
        <f>IFERROR(__xludf.DUMMYFUNCTION("""COMPUTED_VALUE"""),44777.5152998263)</f>
        <v>44777.5153</v>
      </c>
      <c r="D1833" s="15">
        <f>IFERROR(__xludf.DUMMYFUNCTION("""COMPUTED_VALUE"""),1.004)</f>
        <v>1.004</v>
      </c>
      <c r="E1833" s="16">
        <f>IFERROR(__xludf.DUMMYFUNCTION("""COMPUTED_VALUE"""),69.0)</f>
        <v>69</v>
      </c>
      <c r="F1833" s="19" t="str">
        <f>IFERROR(__xludf.DUMMYFUNCTION("""COMPUTED_VALUE"""),"BLACK")</f>
        <v>BLACK</v>
      </c>
      <c r="G1833" s="20" t="str">
        <f>IFERROR(__xludf.DUMMYFUNCTION("""COMPUTED_VALUE"""),"Uncle Sams Cider (5/13/2022)")</f>
        <v>Uncle Sams Cider (5/13/2022)</v>
      </c>
      <c r="H1833" s="19"/>
    </row>
    <row r="1834">
      <c r="A1834" s="9"/>
      <c r="B1834" s="15"/>
      <c r="C1834" s="9">
        <f>IFERROR(__xludf.DUMMYFUNCTION("""COMPUTED_VALUE"""),44777.5048804861)</f>
        <v>44777.50488</v>
      </c>
      <c r="D1834" s="15">
        <f>IFERROR(__xludf.DUMMYFUNCTION("""COMPUTED_VALUE"""),1.004)</f>
        <v>1.004</v>
      </c>
      <c r="E1834" s="16">
        <f>IFERROR(__xludf.DUMMYFUNCTION("""COMPUTED_VALUE"""),69.0)</f>
        <v>69</v>
      </c>
      <c r="F1834" s="19" t="str">
        <f>IFERROR(__xludf.DUMMYFUNCTION("""COMPUTED_VALUE"""),"BLACK")</f>
        <v>BLACK</v>
      </c>
      <c r="G1834" s="20" t="str">
        <f>IFERROR(__xludf.DUMMYFUNCTION("""COMPUTED_VALUE"""),"Uncle Sams Cider (5/13/2022)")</f>
        <v>Uncle Sams Cider (5/13/2022)</v>
      </c>
      <c r="H1834" s="19"/>
    </row>
    <row r="1835">
      <c r="A1835" s="9"/>
      <c r="B1835" s="15"/>
      <c r="C1835" s="9">
        <f>IFERROR(__xludf.DUMMYFUNCTION("""COMPUTED_VALUE"""),44777.4944480439)</f>
        <v>44777.49445</v>
      </c>
      <c r="D1835" s="15">
        <f>IFERROR(__xludf.DUMMYFUNCTION("""COMPUTED_VALUE"""),1.004)</f>
        <v>1.004</v>
      </c>
      <c r="E1835" s="16">
        <f>IFERROR(__xludf.DUMMYFUNCTION("""COMPUTED_VALUE"""),69.0)</f>
        <v>69</v>
      </c>
      <c r="F1835" s="19" t="str">
        <f>IFERROR(__xludf.DUMMYFUNCTION("""COMPUTED_VALUE"""),"BLACK")</f>
        <v>BLACK</v>
      </c>
      <c r="G1835" s="20" t="str">
        <f>IFERROR(__xludf.DUMMYFUNCTION("""COMPUTED_VALUE"""),"Uncle Sams Cider (5/13/2022)")</f>
        <v>Uncle Sams Cider (5/13/2022)</v>
      </c>
      <c r="H1835" s="19"/>
    </row>
    <row r="1836">
      <c r="A1836" s="9"/>
      <c r="B1836" s="15"/>
      <c r="C1836" s="9">
        <f>IFERROR(__xludf.DUMMYFUNCTION("""COMPUTED_VALUE"""),44777.4840245601)</f>
        <v>44777.48402</v>
      </c>
      <c r="D1836" s="15">
        <f>IFERROR(__xludf.DUMMYFUNCTION("""COMPUTED_VALUE"""),1.004)</f>
        <v>1.004</v>
      </c>
      <c r="E1836" s="16">
        <f>IFERROR(__xludf.DUMMYFUNCTION("""COMPUTED_VALUE"""),69.0)</f>
        <v>69</v>
      </c>
      <c r="F1836" s="19" t="str">
        <f>IFERROR(__xludf.DUMMYFUNCTION("""COMPUTED_VALUE"""),"BLACK")</f>
        <v>BLACK</v>
      </c>
      <c r="G1836" s="20" t="str">
        <f>IFERROR(__xludf.DUMMYFUNCTION("""COMPUTED_VALUE"""),"Uncle Sams Cider (5/13/2022)")</f>
        <v>Uncle Sams Cider (5/13/2022)</v>
      </c>
      <c r="H1836" s="19"/>
    </row>
    <row r="1837">
      <c r="A1837" s="9"/>
      <c r="B1837" s="15"/>
      <c r="C1837" s="9">
        <f>IFERROR(__xludf.DUMMYFUNCTION("""COMPUTED_VALUE"""),44777.473590787)</f>
        <v>44777.47359</v>
      </c>
      <c r="D1837" s="15">
        <f>IFERROR(__xludf.DUMMYFUNCTION("""COMPUTED_VALUE"""),1.004)</f>
        <v>1.004</v>
      </c>
      <c r="E1837" s="16">
        <f>IFERROR(__xludf.DUMMYFUNCTION("""COMPUTED_VALUE"""),69.0)</f>
        <v>69</v>
      </c>
      <c r="F1837" s="19" t="str">
        <f>IFERROR(__xludf.DUMMYFUNCTION("""COMPUTED_VALUE"""),"BLACK")</f>
        <v>BLACK</v>
      </c>
      <c r="G1837" s="20" t="str">
        <f>IFERROR(__xludf.DUMMYFUNCTION("""COMPUTED_VALUE"""),"Uncle Sams Cider (5/13/2022)")</f>
        <v>Uncle Sams Cider (5/13/2022)</v>
      </c>
      <c r="H1837" s="19"/>
    </row>
    <row r="1838">
      <c r="A1838" s="9"/>
      <c r="B1838" s="15"/>
      <c r="C1838" s="9">
        <f>IFERROR(__xludf.DUMMYFUNCTION("""COMPUTED_VALUE"""),44777.46317125)</f>
        <v>44777.46317</v>
      </c>
      <c r="D1838" s="15">
        <f>IFERROR(__xludf.DUMMYFUNCTION("""COMPUTED_VALUE"""),1.004)</f>
        <v>1.004</v>
      </c>
      <c r="E1838" s="16">
        <f>IFERROR(__xludf.DUMMYFUNCTION("""COMPUTED_VALUE"""),69.0)</f>
        <v>69</v>
      </c>
      <c r="F1838" s="19" t="str">
        <f>IFERROR(__xludf.DUMMYFUNCTION("""COMPUTED_VALUE"""),"BLACK")</f>
        <v>BLACK</v>
      </c>
      <c r="G1838" s="20" t="str">
        <f>IFERROR(__xludf.DUMMYFUNCTION("""COMPUTED_VALUE"""),"Uncle Sams Cider (5/13/2022)")</f>
        <v>Uncle Sams Cider (5/13/2022)</v>
      </c>
      <c r="H1838" s="19"/>
    </row>
    <row r="1839">
      <c r="A1839" s="9"/>
      <c r="B1839" s="15"/>
      <c r="C1839" s="9">
        <f>IFERROR(__xludf.DUMMYFUNCTION("""COMPUTED_VALUE"""),44777.4527500578)</f>
        <v>44777.45275</v>
      </c>
      <c r="D1839" s="15">
        <f>IFERROR(__xludf.DUMMYFUNCTION("""COMPUTED_VALUE"""),1.004)</f>
        <v>1.004</v>
      </c>
      <c r="E1839" s="16">
        <f>IFERROR(__xludf.DUMMYFUNCTION("""COMPUTED_VALUE"""),69.0)</f>
        <v>69</v>
      </c>
      <c r="F1839" s="19" t="str">
        <f>IFERROR(__xludf.DUMMYFUNCTION("""COMPUTED_VALUE"""),"BLACK")</f>
        <v>BLACK</v>
      </c>
      <c r="G1839" s="20" t="str">
        <f>IFERROR(__xludf.DUMMYFUNCTION("""COMPUTED_VALUE"""),"Uncle Sams Cider (5/13/2022)")</f>
        <v>Uncle Sams Cider (5/13/2022)</v>
      </c>
      <c r="H1839" s="19"/>
    </row>
    <row r="1840">
      <c r="A1840" s="9"/>
      <c r="B1840" s="15"/>
      <c r="C1840" s="9">
        <f>IFERROR(__xludf.DUMMYFUNCTION("""COMPUTED_VALUE"""),44777.4423277314)</f>
        <v>44777.44233</v>
      </c>
      <c r="D1840" s="15">
        <f>IFERROR(__xludf.DUMMYFUNCTION("""COMPUTED_VALUE"""),1.004)</f>
        <v>1.004</v>
      </c>
      <c r="E1840" s="16">
        <f>IFERROR(__xludf.DUMMYFUNCTION("""COMPUTED_VALUE"""),69.0)</f>
        <v>69</v>
      </c>
      <c r="F1840" s="19" t="str">
        <f>IFERROR(__xludf.DUMMYFUNCTION("""COMPUTED_VALUE"""),"BLACK")</f>
        <v>BLACK</v>
      </c>
      <c r="G1840" s="20" t="str">
        <f>IFERROR(__xludf.DUMMYFUNCTION("""COMPUTED_VALUE"""),"Uncle Sams Cider (5/13/2022)")</f>
        <v>Uncle Sams Cider (5/13/2022)</v>
      </c>
      <c r="H1840" s="19"/>
    </row>
    <row r="1841">
      <c r="A1841" s="9"/>
      <c r="B1841" s="15"/>
      <c r="C1841" s="9">
        <f>IFERROR(__xludf.DUMMYFUNCTION("""COMPUTED_VALUE"""),44777.4318831712)</f>
        <v>44777.43188</v>
      </c>
      <c r="D1841" s="15">
        <f>IFERROR(__xludf.DUMMYFUNCTION("""COMPUTED_VALUE"""),1.004)</f>
        <v>1.004</v>
      </c>
      <c r="E1841" s="16">
        <f>IFERROR(__xludf.DUMMYFUNCTION("""COMPUTED_VALUE"""),69.0)</f>
        <v>69</v>
      </c>
      <c r="F1841" s="19" t="str">
        <f>IFERROR(__xludf.DUMMYFUNCTION("""COMPUTED_VALUE"""),"BLACK")</f>
        <v>BLACK</v>
      </c>
      <c r="G1841" s="20" t="str">
        <f>IFERROR(__xludf.DUMMYFUNCTION("""COMPUTED_VALUE"""),"Uncle Sams Cider (5/13/2022)")</f>
        <v>Uncle Sams Cider (5/13/2022)</v>
      </c>
      <c r="H1841" s="19"/>
    </row>
    <row r="1842">
      <c r="A1842" s="9"/>
      <c r="B1842" s="15"/>
      <c r="C1842" s="9">
        <f>IFERROR(__xludf.DUMMYFUNCTION("""COMPUTED_VALUE"""),44777.4214621643)</f>
        <v>44777.42146</v>
      </c>
      <c r="D1842" s="15">
        <f>IFERROR(__xludf.DUMMYFUNCTION("""COMPUTED_VALUE"""),1.004)</f>
        <v>1.004</v>
      </c>
      <c r="E1842" s="16">
        <f>IFERROR(__xludf.DUMMYFUNCTION("""COMPUTED_VALUE"""),69.0)</f>
        <v>69</v>
      </c>
      <c r="F1842" s="19" t="str">
        <f>IFERROR(__xludf.DUMMYFUNCTION("""COMPUTED_VALUE"""),"BLACK")</f>
        <v>BLACK</v>
      </c>
      <c r="G1842" s="20" t="str">
        <f>IFERROR(__xludf.DUMMYFUNCTION("""COMPUTED_VALUE"""),"Uncle Sams Cider (5/13/2022)")</f>
        <v>Uncle Sams Cider (5/13/2022)</v>
      </c>
      <c r="H1842" s="19"/>
    </row>
    <row r="1843">
      <c r="A1843" s="9"/>
      <c r="B1843" s="15"/>
      <c r="C1843" s="9">
        <f>IFERROR(__xludf.DUMMYFUNCTION("""COMPUTED_VALUE"""),44777.4110294907)</f>
        <v>44777.41103</v>
      </c>
      <c r="D1843" s="15">
        <f>IFERROR(__xludf.DUMMYFUNCTION("""COMPUTED_VALUE"""),1.004)</f>
        <v>1.004</v>
      </c>
      <c r="E1843" s="16">
        <f>IFERROR(__xludf.DUMMYFUNCTION("""COMPUTED_VALUE"""),69.0)</f>
        <v>69</v>
      </c>
      <c r="F1843" s="19" t="str">
        <f>IFERROR(__xludf.DUMMYFUNCTION("""COMPUTED_VALUE"""),"BLACK")</f>
        <v>BLACK</v>
      </c>
      <c r="G1843" s="20" t="str">
        <f>IFERROR(__xludf.DUMMYFUNCTION("""COMPUTED_VALUE"""),"Uncle Sams Cider (5/13/2022)")</f>
        <v>Uncle Sams Cider (5/13/2022)</v>
      </c>
      <c r="H1843" s="19"/>
    </row>
    <row r="1844">
      <c r="A1844" s="9"/>
      <c r="B1844" s="15"/>
      <c r="C1844" s="9">
        <f>IFERROR(__xludf.DUMMYFUNCTION("""COMPUTED_VALUE"""),44777.4005967361)</f>
        <v>44777.4006</v>
      </c>
      <c r="D1844" s="15">
        <f>IFERROR(__xludf.DUMMYFUNCTION("""COMPUTED_VALUE"""),1.004)</f>
        <v>1.004</v>
      </c>
      <c r="E1844" s="16">
        <f>IFERROR(__xludf.DUMMYFUNCTION("""COMPUTED_VALUE"""),69.0)</f>
        <v>69</v>
      </c>
      <c r="F1844" s="19" t="str">
        <f>IFERROR(__xludf.DUMMYFUNCTION("""COMPUTED_VALUE"""),"BLACK")</f>
        <v>BLACK</v>
      </c>
      <c r="G1844" s="20" t="str">
        <f>IFERROR(__xludf.DUMMYFUNCTION("""COMPUTED_VALUE"""),"Uncle Sams Cider (5/13/2022)")</f>
        <v>Uncle Sams Cider (5/13/2022)</v>
      </c>
      <c r="H1844" s="19"/>
    </row>
    <row r="1845">
      <c r="A1845" s="9"/>
      <c r="B1845" s="15"/>
      <c r="C1845" s="9">
        <f>IFERROR(__xludf.DUMMYFUNCTION("""COMPUTED_VALUE"""),44777.3901755092)</f>
        <v>44777.39018</v>
      </c>
      <c r="D1845" s="15">
        <f>IFERROR(__xludf.DUMMYFUNCTION("""COMPUTED_VALUE"""),1.004)</f>
        <v>1.004</v>
      </c>
      <c r="E1845" s="16">
        <f>IFERROR(__xludf.DUMMYFUNCTION("""COMPUTED_VALUE"""),69.0)</f>
        <v>69</v>
      </c>
      <c r="F1845" s="19" t="str">
        <f>IFERROR(__xludf.DUMMYFUNCTION("""COMPUTED_VALUE"""),"BLACK")</f>
        <v>BLACK</v>
      </c>
      <c r="G1845" s="20" t="str">
        <f>IFERROR(__xludf.DUMMYFUNCTION("""COMPUTED_VALUE"""),"Uncle Sams Cider (5/13/2022)")</f>
        <v>Uncle Sams Cider (5/13/2022)</v>
      </c>
      <c r="H1845" s="19"/>
    </row>
    <row r="1846">
      <c r="A1846" s="9"/>
      <c r="B1846" s="15"/>
      <c r="C1846" s="9">
        <f>IFERROR(__xludf.DUMMYFUNCTION("""COMPUTED_VALUE"""),44777.3797547106)</f>
        <v>44777.37975</v>
      </c>
      <c r="D1846" s="15">
        <f>IFERROR(__xludf.DUMMYFUNCTION("""COMPUTED_VALUE"""),1.004)</f>
        <v>1.004</v>
      </c>
      <c r="E1846" s="16">
        <f>IFERROR(__xludf.DUMMYFUNCTION("""COMPUTED_VALUE"""),69.0)</f>
        <v>69</v>
      </c>
      <c r="F1846" s="19" t="str">
        <f>IFERROR(__xludf.DUMMYFUNCTION("""COMPUTED_VALUE"""),"BLACK")</f>
        <v>BLACK</v>
      </c>
      <c r="G1846" s="20" t="str">
        <f>IFERROR(__xludf.DUMMYFUNCTION("""COMPUTED_VALUE"""),"Uncle Sams Cider (5/13/2022)")</f>
        <v>Uncle Sams Cider (5/13/2022)</v>
      </c>
      <c r="H1846" s="19"/>
    </row>
    <row r="1847">
      <c r="A1847" s="9"/>
      <c r="B1847" s="15"/>
      <c r="C1847" s="9">
        <f>IFERROR(__xludf.DUMMYFUNCTION("""COMPUTED_VALUE"""),44777.3693223958)</f>
        <v>44777.36932</v>
      </c>
      <c r="D1847" s="15">
        <f>IFERROR(__xludf.DUMMYFUNCTION("""COMPUTED_VALUE"""),1.004)</f>
        <v>1.004</v>
      </c>
      <c r="E1847" s="16">
        <f>IFERROR(__xludf.DUMMYFUNCTION("""COMPUTED_VALUE"""),69.0)</f>
        <v>69</v>
      </c>
      <c r="F1847" s="19" t="str">
        <f>IFERROR(__xludf.DUMMYFUNCTION("""COMPUTED_VALUE"""),"BLACK")</f>
        <v>BLACK</v>
      </c>
      <c r="G1847" s="20" t="str">
        <f>IFERROR(__xludf.DUMMYFUNCTION("""COMPUTED_VALUE"""),"Uncle Sams Cider (5/13/2022)")</f>
        <v>Uncle Sams Cider (5/13/2022)</v>
      </c>
      <c r="H1847" s="19"/>
    </row>
    <row r="1848">
      <c r="A1848" s="9"/>
      <c r="B1848" s="15"/>
      <c r="C1848" s="9">
        <f>IFERROR(__xludf.DUMMYFUNCTION("""COMPUTED_VALUE"""),44777.3588992939)</f>
        <v>44777.3589</v>
      </c>
      <c r="D1848" s="15">
        <f>IFERROR(__xludf.DUMMYFUNCTION("""COMPUTED_VALUE"""),1.004)</f>
        <v>1.004</v>
      </c>
      <c r="E1848" s="16">
        <f>IFERROR(__xludf.DUMMYFUNCTION("""COMPUTED_VALUE"""),69.0)</f>
        <v>69</v>
      </c>
      <c r="F1848" s="19" t="str">
        <f>IFERROR(__xludf.DUMMYFUNCTION("""COMPUTED_VALUE"""),"BLACK")</f>
        <v>BLACK</v>
      </c>
      <c r="G1848" s="20" t="str">
        <f>IFERROR(__xludf.DUMMYFUNCTION("""COMPUTED_VALUE"""),"Uncle Sams Cider (5/13/2022)")</f>
        <v>Uncle Sams Cider (5/13/2022)</v>
      </c>
      <c r="H1848" s="19"/>
    </row>
    <row r="1849">
      <c r="A1849" s="9"/>
      <c r="B1849" s="15"/>
      <c r="C1849" s="9">
        <f>IFERROR(__xludf.DUMMYFUNCTION("""COMPUTED_VALUE"""),44777.3484786921)</f>
        <v>44777.34848</v>
      </c>
      <c r="D1849" s="15">
        <f>IFERROR(__xludf.DUMMYFUNCTION("""COMPUTED_VALUE"""),1.004)</f>
        <v>1.004</v>
      </c>
      <c r="E1849" s="16">
        <f>IFERROR(__xludf.DUMMYFUNCTION("""COMPUTED_VALUE"""),69.0)</f>
        <v>69</v>
      </c>
      <c r="F1849" s="19" t="str">
        <f>IFERROR(__xludf.DUMMYFUNCTION("""COMPUTED_VALUE"""),"BLACK")</f>
        <v>BLACK</v>
      </c>
      <c r="G1849" s="20" t="str">
        <f>IFERROR(__xludf.DUMMYFUNCTION("""COMPUTED_VALUE"""),"Uncle Sams Cider (5/13/2022)")</f>
        <v>Uncle Sams Cider (5/13/2022)</v>
      </c>
      <c r="H1849" s="19"/>
    </row>
    <row r="1850">
      <c r="A1850" s="9"/>
      <c r="B1850" s="15"/>
      <c r="C1850" s="9">
        <f>IFERROR(__xludf.DUMMYFUNCTION("""COMPUTED_VALUE"""),44777.3380472453)</f>
        <v>44777.33805</v>
      </c>
      <c r="D1850" s="15">
        <f>IFERROR(__xludf.DUMMYFUNCTION("""COMPUTED_VALUE"""),1.004)</f>
        <v>1.004</v>
      </c>
      <c r="E1850" s="16">
        <f>IFERROR(__xludf.DUMMYFUNCTION("""COMPUTED_VALUE"""),69.0)</f>
        <v>69</v>
      </c>
      <c r="F1850" s="19" t="str">
        <f>IFERROR(__xludf.DUMMYFUNCTION("""COMPUTED_VALUE"""),"BLACK")</f>
        <v>BLACK</v>
      </c>
      <c r="G1850" s="20" t="str">
        <f>IFERROR(__xludf.DUMMYFUNCTION("""COMPUTED_VALUE"""),"Uncle Sams Cider (5/13/2022)")</f>
        <v>Uncle Sams Cider (5/13/2022)</v>
      </c>
      <c r="H1850" s="19"/>
    </row>
    <row r="1851">
      <c r="A1851" s="9"/>
      <c r="B1851" s="15"/>
      <c r="C1851" s="9">
        <f>IFERROR(__xludf.DUMMYFUNCTION("""COMPUTED_VALUE"""),44777.3276258449)</f>
        <v>44777.32763</v>
      </c>
      <c r="D1851" s="15">
        <f>IFERROR(__xludf.DUMMYFUNCTION("""COMPUTED_VALUE"""),1.004)</f>
        <v>1.004</v>
      </c>
      <c r="E1851" s="16">
        <f>IFERROR(__xludf.DUMMYFUNCTION("""COMPUTED_VALUE"""),69.0)</f>
        <v>69</v>
      </c>
      <c r="F1851" s="19" t="str">
        <f>IFERROR(__xludf.DUMMYFUNCTION("""COMPUTED_VALUE"""),"BLACK")</f>
        <v>BLACK</v>
      </c>
      <c r="G1851" s="20" t="str">
        <f>IFERROR(__xludf.DUMMYFUNCTION("""COMPUTED_VALUE"""),"Uncle Sams Cider (5/13/2022)")</f>
        <v>Uncle Sams Cider (5/13/2022)</v>
      </c>
      <c r="H1851" s="19"/>
    </row>
    <row r="1852">
      <c r="A1852" s="9"/>
      <c r="B1852" s="15"/>
      <c r="C1852" s="9">
        <f>IFERROR(__xludf.DUMMYFUNCTION("""COMPUTED_VALUE"""),44777.3172052662)</f>
        <v>44777.31721</v>
      </c>
      <c r="D1852" s="15">
        <f>IFERROR(__xludf.DUMMYFUNCTION("""COMPUTED_VALUE"""),1.004)</f>
        <v>1.004</v>
      </c>
      <c r="E1852" s="16">
        <f>IFERROR(__xludf.DUMMYFUNCTION("""COMPUTED_VALUE"""),69.0)</f>
        <v>69</v>
      </c>
      <c r="F1852" s="19" t="str">
        <f>IFERROR(__xludf.DUMMYFUNCTION("""COMPUTED_VALUE"""),"BLACK")</f>
        <v>BLACK</v>
      </c>
      <c r="G1852" s="20" t="str">
        <f>IFERROR(__xludf.DUMMYFUNCTION("""COMPUTED_VALUE"""),"Uncle Sams Cider (5/13/2022)")</f>
        <v>Uncle Sams Cider (5/13/2022)</v>
      </c>
      <c r="H1852" s="19"/>
    </row>
    <row r="1853">
      <c r="A1853" s="9"/>
      <c r="B1853" s="15"/>
      <c r="C1853" s="9">
        <f>IFERROR(__xludf.DUMMYFUNCTION("""COMPUTED_VALUE"""),44777.3067851041)</f>
        <v>44777.30679</v>
      </c>
      <c r="D1853" s="15">
        <f>IFERROR(__xludf.DUMMYFUNCTION("""COMPUTED_VALUE"""),1.004)</f>
        <v>1.004</v>
      </c>
      <c r="E1853" s="16">
        <f>IFERROR(__xludf.DUMMYFUNCTION("""COMPUTED_VALUE"""),69.0)</f>
        <v>69</v>
      </c>
      <c r="F1853" s="19" t="str">
        <f>IFERROR(__xludf.DUMMYFUNCTION("""COMPUTED_VALUE"""),"BLACK")</f>
        <v>BLACK</v>
      </c>
      <c r="G1853" s="20" t="str">
        <f>IFERROR(__xludf.DUMMYFUNCTION("""COMPUTED_VALUE"""),"Uncle Sams Cider (5/13/2022)")</f>
        <v>Uncle Sams Cider (5/13/2022)</v>
      </c>
      <c r="H1853" s="19"/>
    </row>
    <row r="1854">
      <c r="A1854" s="9"/>
      <c r="B1854" s="15"/>
      <c r="C1854" s="9">
        <f>IFERROR(__xludf.DUMMYFUNCTION("""COMPUTED_VALUE"""),44777.296340162)</f>
        <v>44777.29634</v>
      </c>
      <c r="D1854" s="15">
        <f>IFERROR(__xludf.DUMMYFUNCTION("""COMPUTED_VALUE"""),1.004)</f>
        <v>1.004</v>
      </c>
      <c r="E1854" s="16">
        <f>IFERROR(__xludf.DUMMYFUNCTION("""COMPUTED_VALUE"""),69.0)</f>
        <v>69</v>
      </c>
      <c r="F1854" s="19" t="str">
        <f>IFERROR(__xludf.DUMMYFUNCTION("""COMPUTED_VALUE"""),"BLACK")</f>
        <v>BLACK</v>
      </c>
      <c r="G1854" s="20" t="str">
        <f>IFERROR(__xludf.DUMMYFUNCTION("""COMPUTED_VALUE"""),"Uncle Sams Cider (5/13/2022)")</f>
        <v>Uncle Sams Cider (5/13/2022)</v>
      </c>
      <c r="H1854" s="19"/>
    </row>
    <row r="1855">
      <c r="A1855" s="9"/>
      <c r="B1855" s="15"/>
      <c r="C1855" s="9">
        <f>IFERROR(__xludf.DUMMYFUNCTION("""COMPUTED_VALUE"""),44777.2859186458)</f>
        <v>44777.28592</v>
      </c>
      <c r="D1855" s="15">
        <f>IFERROR(__xludf.DUMMYFUNCTION("""COMPUTED_VALUE"""),1.004)</f>
        <v>1.004</v>
      </c>
      <c r="E1855" s="16">
        <f>IFERROR(__xludf.DUMMYFUNCTION("""COMPUTED_VALUE"""),69.0)</f>
        <v>69</v>
      </c>
      <c r="F1855" s="19" t="str">
        <f>IFERROR(__xludf.DUMMYFUNCTION("""COMPUTED_VALUE"""),"BLACK")</f>
        <v>BLACK</v>
      </c>
      <c r="G1855" s="20" t="str">
        <f>IFERROR(__xludf.DUMMYFUNCTION("""COMPUTED_VALUE"""),"Uncle Sams Cider (5/13/2022)")</f>
        <v>Uncle Sams Cider (5/13/2022)</v>
      </c>
      <c r="H1855" s="19"/>
    </row>
    <row r="1856">
      <c r="A1856" s="9"/>
      <c r="B1856" s="15"/>
      <c r="C1856" s="9">
        <f>IFERROR(__xludf.DUMMYFUNCTION("""COMPUTED_VALUE"""),44777.2754973495)</f>
        <v>44777.2755</v>
      </c>
      <c r="D1856" s="15">
        <f>IFERROR(__xludf.DUMMYFUNCTION("""COMPUTED_VALUE"""),1.004)</f>
        <v>1.004</v>
      </c>
      <c r="E1856" s="16">
        <f>IFERROR(__xludf.DUMMYFUNCTION("""COMPUTED_VALUE"""),69.0)</f>
        <v>69</v>
      </c>
      <c r="F1856" s="19" t="str">
        <f>IFERROR(__xludf.DUMMYFUNCTION("""COMPUTED_VALUE"""),"BLACK")</f>
        <v>BLACK</v>
      </c>
      <c r="G1856" s="20" t="str">
        <f>IFERROR(__xludf.DUMMYFUNCTION("""COMPUTED_VALUE"""),"Uncle Sams Cider (5/13/2022)")</f>
        <v>Uncle Sams Cider (5/13/2022)</v>
      </c>
      <c r="H1856" s="19"/>
    </row>
    <row r="1857">
      <c r="A1857" s="9"/>
      <c r="B1857" s="15"/>
      <c r="C1857" s="9">
        <f>IFERROR(__xludf.DUMMYFUNCTION("""COMPUTED_VALUE"""),44777.2650638541)</f>
        <v>44777.26506</v>
      </c>
      <c r="D1857" s="15">
        <f>IFERROR(__xludf.DUMMYFUNCTION("""COMPUTED_VALUE"""),1.004)</f>
        <v>1.004</v>
      </c>
      <c r="E1857" s="16">
        <f>IFERROR(__xludf.DUMMYFUNCTION("""COMPUTED_VALUE"""),69.0)</f>
        <v>69</v>
      </c>
      <c r="F1857" s="19" t="str">
        <f>IFERROR(__xludf.DUMMYFUNCTION("""COMPUTED_VALUE"""),"BLACK")</f>
        <v>BLACK</v>
      </c>
      <c r="G1857" s="20" t="str">
        <f>IFERROR(__xludf.DUMMYFUNCTION("""COMPUTED_VALUE"""),"Uncle Sams Cider (5/13/2022)")</f>
        <v>Uncle Sams Cider (5/13/2022)</v>
      </c>
      <c r="H1857" s="19"/>
    </row>
    <row r="1858">
      <c r="A1858" s="9"/>
      <c r="B1858" s="15"/>
      <c r="C1858" s="9">
        <f>IFERROR(__xludf.DUMMYFUNCTION("""COMPUTED_VALUE"""),44777.2546433101)</f>
        <v>44777.25464</v>
      </c>
      <c r="D1858" s="15">
        <f>IFERROR(__xludf.DUMMYFUNCTION("""COMPUTED_VALUE"""),1.004)</f>
        <v>1.004</v>
      </c>
      <c r="E1858" s="16">
        <f>IFERROR(__xludf.DUMMYFUNCTION("""COMPUTED_VALUE"""),69.0)</f>
        <v>69</v>
      </c>
      <c r="F1858" s="19" t="str">
        <f>IFERROR(__xludf.DUMMYFUNCTION("""COMPUTED_VALUE"""),"BLACK")</f>
        <v>BLACK</v>
      </c>
      <c r="G1858" s="20" t="str">
        <f>IFERROR(__xludf.DUMMYFUNCTION("""COMPUTED_VALUE"""),"Uncle Sams Cider (5/13/2022)")</f>
        <v>Uncle Sams Cider (5/13/2022)</v>
      </c>
      <c r="H1858" s="19"/>
    </row>
    <row r="1859">
      <c r="A1859" s="9"/>
      <c r="B1859" s="15"/>
      <c r="C1859" s="9">
        <f>IFERROR(__xludf.DUMMYFUNCTION("""COMPUTED_VALUE"""),44777.2442234838)</f>
        <v>44777.24422</v>
      </c>
      <c r="D1859" s="15">
        <f>IFERROR(__xludf.DUMMYFUNCTION("""COMPUTED_VALUE"""),1.004)</f>
        <v>1.004</v>
      </c>
      <c r="E1859" s="16">
        <f>IFERROR(__xludf.DUMMYFUNCTION("""COMPUTED_VALUE"""),69.0)</f>
        <v>69</v>
      </c>
      <c r="F1859" s="19" t="str">
        <f>IFERROR(__xludf.DUMMYFUNCTION("""COMPUTED_VALUE"""),"BLACK")</f>
        <v>BLACK</v>
      </c>
      <c r="G1859" s="20" t="str">
        <f>IFERROR(__xludf.DUMMYFUNCTION("""COMPUTED_VALUE"""),"Uncle Sams Cider (5/13/2022)")</f>
        <v>Uncle Sams Cider (5/13/2022)</v>
      </c>
      <c r="H1859" s="19"/>
    </row>
    <row r="1860">
      <c r="A1860" s="9"/>
      <c r="B1860" s="15"/>
      <c r="C1860" s="9">
        <f>IFERROR(__xludf.DUMMYFUNCTION("""COMPUTED_VALUE"""),44777.2338026041)</f>
        <v>44777.2338</v>
      </c>
      <c r="D1860" s="15">
        <f>IFERROR(__xludf.DUMMYFUNCTION("""COMPUTED_VALUE"""),1.004)</f>
        <v>1.004</v>
      </c>
      <c r="E1860" s="16">
        <f>IFERROR(__xludf.DUMMYFUNCTION("""COMPUTED_VALUE"""),69.0)</f>
        <v>69</v>
      </c>
      <c r="F1860" s="19" t="str">
        <f>IFERROR(__xludf.DUMMYFUNCTION("""COMPUTED_VALUE"""),"BLACK")</f>
        <v>BLACK</v>
      </c>
      <c r="G1860" s="20" t="str">
        <f>IFERROR(__xludf.DUMMYFUNCTION("""COMPUTED_VALUE"""),"Uncle Sams Cider (5/13/2022)")</f>
        <v>Uncle Sams Cider (5/13/2022)</v>
      </c>
      <c r="H1860" s="19"/>
    </row>
    <row r="1861">
      <c r="A1861" s="9"/>
      <c r="B1861" s="15"/>
      <c r="C1861" s="9">
        <f>IFERROR(__xludf.DUMMYFUNCTION("""COMPUTED_VALUE"""),44777.2233723263)</f>
        <v>44777.22337</v>
      </c>
      <c r="D1861" s="15">
        <f>IFERROR(__xludf.DUMMYFUNCTION("""COMPUTED_VALUE"""),1.004)</f>
        <v>1.004</v>
      </c>
      <c r="E1861" s="16">
        <f>IFERROR(__xludf.DUMMYFUNCTION("""COMPUTED_VALUE"""),69.0)</f>
        <v>69</v>
      </c>
      <c r="F1861" s="19" t="str">
        <f>IFERROR(__xludf.DUMMYFUNCTION("""COMPUTED_VALUE"""),"BLACK")</f>
        <v>BLACK</v>
      </c>
      <c r="G1861" s="20" t="str">
        <f>IFERROR(__xludf.DUMMYFUNCTION("""COMPUTED_VALUE"""),"Uncle Sams Cider (5/13/2022)")</f>
        <v>Uncle Sams Cider (5/13/2022)</v>
      </c>
      <c r="H1861" s="19"/>
    </row>
    <row r="1862">
      <c r="A1862" s="9"/>
      <c r="B1862" s="15"/>
      <c r="C1862" s="9">
        <f>IFERROR(__xludf.DUMMYFUNCTION("""COMPUTED_VALUE"""),44777.2129507291)</f>
        <v>44777.21295</v>
      </c>
      <c r="D1862" s="15">
        <f>IFERROR(__xludf.DUMMYFUNCTION("""COMPUTED_VALUE"""),1.004)</f>
        <v>1.004</v>
      </c>
      <c r="E1862" s="16">
        <f>IFERROR(__xludf.DUMMYFUNCTION("""COMPUTED_VALUE"""),69.0)</f>
        <v>69</v>
      </c>
      <c r="F1862" s="19" t="str">
        <f>IFERROR(__xludf.DUMMYFUNCTION("""COMPUTED_VALUE"""),"BLACK")</f>
        <v>BLACK</v>
      </c>
      <c r="G1862" s="20" t="str">
        <f>IFERROR(__xludf.DUMMYFUNCTION("""COMPUTED_VALUE"""),"Uncle Sams Cider (5/13/2022)")</f>
        <v>Uncle Sams Cider (5/13/2022)</v>
      </c>
      <c r="H1862" s="19"/>
    </row>
    <row r="1863">
      <c r="A1863" s="9"/>
      <c r="B1863" s="15"/>
      <c r="C1863" s="9">
        <f>IFERROR(__xludf.DUMMYFUNCTION("""COMPUTED_VALUE"""),44777.2025289699)</f>
        <v>44777.20253</v>
      </c>
      <c r="D1863" s="15">
        <f>IFERROR(__xludf.DUMMYFUNCTION("""COMPUTED_VALUE"""),1.004)</f>
        <v>1.004</v>
      </c>
      <c r="E1863" s="16">
        <f>IFERROR(__xludf.DUMMYFUNCTION("""COMPUTED_VALUE"""),69.0)</f>
        <v>69</v>
      </c>
      <c r="F1863" s="19" t="str">
        <f>IFERROR(__xludf.DUMMYFUNCTION("""COMPUTED_VALUE"""),"BLACK")</f>
        <v>BLACK</v>
      </c>
      <c r="G1863" s="20" t="str">
        <f>IFERROR(__xludf.DUMMYFUNCTION("""COMPUTED_VALUE"""),"Uncle Sams Cider (5/13/2022)")</f>
        <v>Uncle Sams Cider (5/13/2022)</v>
      </c>
      <c r="H1863" s="19"/>
    </row>
    <row r="1864">
      <c r="A1864" s="9"/>
      <c r="B1864" s="15"/>
      <c r="C1864" s="9">
        <f>IFERROR(__xludf.DUMMYFUNCTION("""COMPUTED_VALUE"""),44777.1920940277)</f>
        <v>44777.19209</v>
      </c>
      <c r="D1864" s="15">
        <f>IFERROR(__xludf.DUMMYFUNCTION("""COMPUTED_VALUE"""),1.004)</f>
        <v>1.004</v>
      </c>
      <c r="E1864" s="16">
        <f>IFERROR(__xludf.DUMMYFUNCTION("""COMPUTED_VALUE"""),69.0)</f>
        <v>69</v>
      </c>
      <c r="F1864" s="19" t="str">
        <f>IFERROR(__xludf.DUMMYFUNCTION("""COMPUTED_VALUE"""),"BLACK")</f>
        <v>BLACK</v>
      </c>
      <c r="G1864" s="20" t="str">
        <f>IFERROR(__xludf.DUMMYFUNCTION("""COMPUTED_VALUE"""),"Uncle Sams Cider (5/13/2022)")</f>
        <v>Uncle Sams Cider (5/13/2022)</v>
      </c>
      <c r="H1864" s="19"/>
    </row>
    <row r="1865">
      <c r="A1865" s="9"/>
      <c r="B1865" s="15"/>
      <c r="C1865" s="9">
        <f>IFERROR(__xludf.DUMMYFUNCTION("""COMPUTED_VALUE"""),44777.181649699)</f>
        <v>44777.18165</v>
      </c>
      <c r="D1865" s="15">
        <f>IFERROR(__xludf.DUMMYFUNCTION("""COMPUTED_VALUE"""),1.004)</f>
        <v>1.004</v>
      </c>
      <c r="E1865" s="16">
        <f>IFERROR(__xludf.DUMMYFUNCTION("""COMPUTED_VALUE"""),69.0)</f>
        <v>69</v>
      </c>
      <c r="F1865" s="19" t="str">
        <f>IFERROR(__xludf.DUMMYFUNCTION("""COMPUTED_VALUE"""),"BLACK")</f>
        <v>BLACK</v>
      </c>
      <c r="G1865" s="20" t="str">
        <f>IFERROR(__xludf.DUMMYFUNCTION("""COMPUTED_VALUE"""),"Uncle Sams Cider (5/13/2022)")</f>
        <v>Uncle Sams Cider (5/13/2022)</v>
      </c>
      <c r="H1865" s="19"/>
    </row>
    <row r="1866">
      <c r="A1866" s="9"/>
      <c r="B1866" s="15"/>
      <c r="C1866" s="9">
        <f>IFERROR(__xludf.DUMMYFUNCTION("""COMPUTED_VALUE"""),44777.171228449)</f>
        <v>44777.17123</v>
      </c>
      <c r="D1866" s="15">
        <f>IFERROR(__xludf.DUMMYFUNCTION("""COMPUTED_VALUE"""),1.004)</f>
        <v>1.004</v>
      </c>
      <c r="E1866" s="16">
        <f>IFERROR(__xludf.DUMMYFUNCTION("""COMPUTED_VALUE"""),69.0)</f>
        <v>69</v>
      </c>
      <c r="F1866" s="19" t="str">
        <f>IFERROR(__xludf.DUMMYFUNCTION("""COMPUTED_VALUE"""),"BLACK")</f>
        <v>BLACK</v>
      </c>
      <c r="G1866" s="20" t="str">
        <f>IFERROR(__xludf.DUMMYFUNCTION("""COMPUTED_VALUE"""),"Uncle Sams Cider (5/13/2022)")</f>
        <v>Uncle Sams Cider (5/13/2022)</v>
      </c>
      <c r="H1866" s="19"/>
    </row>
    <row r="1867">
      <c r="A1867" s="9"/>
      <c r="B1867" s="15"/>
      <c r="C1867" s="9">
        <f>IFERROR(__xludf.DUMMYFUNCTION("""COMPUTED_VALUE"""),44777.1608080092)</f>
        <v>44777.16081</v>
      </c>
      <c r="D1867" s="15">
        <f>IFERROR(__xludf.DUMMYFUNCTION("""COMPUTED_VALUE"""),1.004)</f>
        <v>1.004</v>
      </c>
      <c r="E1867" s="16">
        <f>IFERROR(__xludf.DUMMYFUNCTION("""COMPUTED_VALUE"""),69.0)</f>
        <v>69</v>
      </c>
      <c r="F1867" s="19" t="str">
        <f>IFERROR(__xludf.DUMMYFUNCTION("""COMPUTED_VALUE"""),"BLACK")</f>
        <v>BLACK</v>
      </c>
      <c r="G1867" s="20" t="str">
        <f>IFERROR(__xludf.DUMMYFUNCTION("""COMPUTED_VALUE"""),"Uncle Sams Cider (5/13/2022)")</f>
        <v>Uncle Sams Cider (5/13/2022)</v>
      </c>
      <c r="H1867" s="19"/>
    </row>
    <row r="1868">
      <c r="A1868" s="9"/>
      <c r="B1868" s="15"/>
      <c r="C1868" s="9">
        <f>IFERROR(__xludf.DUMMYFUNCTION("""COMPUTED_VALUE"""),44777.1503861458)</f>
        <v>44777.15039</v>
      </c>
      <c r="D1868" s="15">
        <f>IFERROR(__xludf.DUMMYFUNCTION("""COMPUTED_VALUE"""),1.004)</f>
        <v>1.004</v>
      </c>
      <c r="E1868" s="16">
        <f>IFERROR(__xludf.DUMMYFUNCTION("""COMPUTED_VALUE"""),69.0)</f>
        <v>69</v>
      </c>
      <c r="F1868" s="19" t="str">
        <f>IFERROR(__xludf.DUMMYFUNCTION("""COMPUTED_VALUE"""),"BLACK")</f>
        <v>BLACK</v>
      </c>
      <c r="G1868" s="20" t="str">
        <f>IFERROR(__xludf.DUMMYFUNCTION("""COMPUTED_VALUE"""),"Uncle Sams Cider (5/13/2022)")</f>
        <v>Uncle Sams Cider (5/13/2022)</v>
      </c>
      <c r="H1868" s="19"/>
    </row>
    <row r="1869">
      <c r="A1869" s="9"/>
      <c r="B1869" s="15"/>
      <c r="C1869" s="9">
        <f>IFERROR(__xludf.DUMMYFUNCTION("""COMPUTED_VALUE"""),44777.1399642245)</f>
        <v>44777.13996</v>
      </c>
      <c r="D1869" s="15">
        <f>IFERROR(__xludf.DUMMYFUNCTION("""COMPUTED_VALUE"""),1.004)</f>
        <v>1.004</v>
      </c>
      <c r="E1869" s="16">
        <f>IFERROR(__xludf.DUMMYFUNCTION("""COMPUTED_VALUE"""),69.0)</f>
        <v>69</v>
      </c>
      <c r="F1869" s="19" t="str">
        <f>IFERROR(__xludf.DUMMYFUNCTION("""COMPUTED_VALUE"""),"BLACK")</f>
        <v>BLACK</v>
      </c>
      <c r="G1869" s="20" t="str">
        <f>IFERROR(__xludf.DUMMYFUNCTION("""COMPUTED_VALUE"""),"Uncle Sams Cider (5/13/2022)")</f>
        <v>Uncle Sams Cider (5/13/2022)</v>
      </c>
      <c r="H1869" s="19"/>
    </row>
    <row r="1870">
      <c r="A1870" s="9"/>
      <c r="B1870" s="15"/>
      <c r="C1870" s="9">
        <f>IFERROR(__xludf.DUMMYFUNCTION("""COMPUTED_VALUE"""),44777.1295434143)</f>
        <v>44777.12954</v>
      </c>
      <c r="D1870" s="15">
        <f>IFERROR(__xludf.DUMMYFUNCTION("""COMPUTED_VALUE"""),1.004)</f>
        <v>1.004</v>
      </c>
      <c r="E1870" s="16">
        <f>IFERROR(__xludf.DUMMYFUNCTION("""COMPUTED_VALUE"""),69.0)</f>
        <v>69</v>
      </c>
      <c r="F1870" s="19" t="str">
        <f>IFERROR(__xludf.DUMMYFUNCTION("""COMPUTED_VALUE"""),"BLACK")</f>
        <v>BLACK</v>
      </c>
      <c r="G1870" s="20" t="str">
        <f>IFERROR(__xludf.DUMMYFUNCTION("""COMPUTED_VALUE"""),"Uncle Sams Cider (5/13/2022)")</f>
        <v>Uncle Sams Cider (5/13/2022)</v>
      </c>
      <c r="H1870" s="19"/>
    </row>
    <row r="1871">
      <c r="A1871" s="9"/>
      <c r="B1871" s="15"/>
      <c r="C1871" s="9">
        <f>IFERROR(__xludf.DUMMYFUNCTION("""COMPUTED_VALUE"""),44777.1191222106)</f>
        <v>44777.11912</v>
      </c>
      <c r="D1871" s="15">
        <f>IFERROR(__xludf.DUMMYFUNCTION("""COMPUTED_VALUE"""),1.004)</f>
        <v>1.004</v>
      </c>
      <c r="E1871" s="16">
        <f>IFERROR(__xludf.DUMMYFUNCTION("""COMPUTED_VALUE"""),69.0)</f>
        <v>69</v>
      </c>
      <c r="F1871" s="19" t="str">
        <f>IFERROR(__xludf.DUMMYFUNCTION("""COMPUTED_VALUE"""),"BLACK")</f>
        <v>BLACK</v>
      </c>
      <c r="G1871" s="20" t="str">
        <f>IFERROR(__xludf.DUMMYFUNCTION("""COMPUTED_VALUE"""),"Uncle Sams Cider (5/13/2022)")</f>
        <v>Uncle Sams Cider (5/13/2022)</v>
      </c>
      <c r="H1871" s="19"/>
    </row>
    <row r="1872">
      <c r="A1872" s="9"/>
      <c r="B1872" s="15"/>
      <c r="C1872" s="9">
        <f>IFERROR(__xludf.DUMMYFUNCTION("""COMPUTED_VALUE"""),44777.1087023495)</f>
        <v>44777.1087</v>
      </c>
      <c r="D1872" s="15">
        <f>IFERROR(__xludf.DUMMYFUNCTION("""COMPUTED_VALUE"""),1.004)</f>
        <v>1.004</v>
      </c>
      <c r="E1872" s="16">
        <f>IFERROR(__xludf.DUMMYFUNCTION("""COMPUTED_VALUE"""),69.0)</f>
        <v>69</v>
      </c>
      <c r="F1872" s="19" t="str">
        <f>IFERROR(__xludf.DUMMYFUNCTION("""COMPUTED_VALUE"""),"BLACK")</f>
        <v>BLACK</v>
      </c>
      <c r="G1872" s="20" t="str">
        <f>IFERROR(__xludf.DUMMYFUNCTION("""COMPUTED_VALUE"""),"Uncle Sams Cider (5/13/2022)")</f>
        <v>Uncle Sams Cider (5/13/2022)</v>
      </c>
      <c r="H1872" s="19"/>
    </row>
    <row r="1873">
      <c r="A1873" s="9"/>
      <c r="B1873" s="15"/>
      <c r="C1873" s="9">
        <f>IFERROR(__xludf.DUMMYFUNCTION("""COMPUTED_VALUE"""),44777.0982835648)</f>
        <v>44777.09828</v>
      </c>
      <c r="D1873" s="15">
        <f>IFERROR(__xludf.DUMMYFUNCTION("""COMPUTED_VALUE"""),1.004)</f>
        <v>1.004</v>
      </c>
      <c r="E1873" s="16">
        <f>IFERROR(__xludf.DUMMYFUNCTION("""COMPUTED_VALUE"""),69.0)</f>
        <v>69</v>
      </c>
      <c r="F1873" s="19" t="str">
        <f>IFERROR(__xludf.DUMMYFUNCTION("""COMPUTED_VALUE"""),"BLACK")</f>
        <v>BLACK</v>
      </c>
      <c r="G1873" s="20" t="str">
        <f>IFERROR(__xludf.DUMMYFUNCTION("""COMPUTED_VALUE"""),"Uncle Sams Cider (5/13/2022)")</f>
        <v>Uncle Sams Cider (5/13/2022)</v>
      </c>
      <c r="H1873" s="19"/>
    </row>
    <row r="1874">
      <c r="A1874" s="9"/>
      <c r="B1874" s="15"/>
      <c r="C1874" s="9">
        <f>IFERROR(__xludf.DUMMYFUNCTION("""COMPUTED_VALUE"""),44777.0878503587)</f>
        <v>44777.08785</v>
      </c>
      <c r="D1874" s="15">
        <f>IFERROR(__xludf.DUMMYFUNCTION("""COMPUTED_VALUE"""),1.004)</f>
        <v>1.004</v>
      </c>
      <c r="E1874" s="16">
        <f>IFERROR(__xludf.DUMMYFUNCTION("""COMPUTED_VALUE"""),69.0)</f>
        <v>69</v>
      </c>
      <c r="F1874" s="19" t="str">
        <f>IFERROR(__xludf.DUMMYFUNCTION("""COMPUTED_VALUE"""),"BLACK")</f>
        <v>BLACK</v>
      </c>
      <c r="G1874" s="20" t="str">
        <f>IFERROR(__xludf.DUMMYFUNCTION("""COMPUTED_VALUE"""),"Uncle Sams Cider (5/13/2022)")</f>
        <v>Uncle Sams Cider (5/13/2022)</v>
      </c>
      <c r="H1874" s="19"/>
    </row>
    <row r="1875">
      <c r="A1875" s="9"/>
      <c r="B1875" s="15"/>
      <c r="C1875" s="9">
        <f>IFERROR(__xludf.DUMMYFUNCTION("""COMPUTED_VALUE"""),44777.0774274652)</f>
        <v>44777.07743</v>
      </c>
      <c r="D1875" s="15">
        <f>IFERROR(__xludf.DUMMYFUNCTION("""COMPUTED_VALUE"""),1.004)</f>
        <v>1.004</v>
      </c>
      <c r="E1875" s="16">
        <f>IFERROR(__xludf.DUMMYFUNCTION("""COMPUTED_VALUE"""),69.0)</f>
        <v>69</v>
      </c>
      <c r="F1875" s="19" t="str">
        <f>IFERROR(__xludf.DUMMYFUNCTION("""COMPUTED_VALUE"""),"BLACK")</f>
        <v>BLACK</v>
      </c>
      <c r="G1875" s="20" t="str">
        <f>IFERROR(__xludf.DUMMYFUNCTION("""COMPUTED_VALUE"""),"Uncle Sams Cider (5/13/2022)")</f>
        <v>Uncle Sams Cider (5/13/2022)</v>
      </c>
      <c r="H1875" s="19"/>
    </row>
    <row r="1876">
      <c r="A1876" s="9"/>
      <c r="B1876" s="15"/>
      <c r="C1876" s="9">
        <f>IFERROR(__xludf.DUMMYFUNCTION("""COMPUTED_VALUE"""),44777.0670050347)</f>
        <v>44777.06701</v>
      </c>
      <c r="D1876" s="15">
        <f>IFERROR(__xludf.DUMMYFUNCTION("""COMPUTED_VALUE"""),1.004)</f>
        <v>1.004</v>
      </c>
      <c r="E1876" s="16">
        <f>IFERROR(__xludf.DUMMYFUNCTION("""COMPUTED_VALUE"""),69.0)</f>
        <v>69</v>
      </c>
      <c r="F1876" s="19" t="str">
        <f>IFERROR(__xludf.DUMMYFUNCTION("""COMPUTED_VALUE"""),"BLACK")</f>
        <v>BLACK</v>
      </c>
      <c r="G1876" s="20" t="str">
        <f>IFERROR(__xludf.DUMMYFUNCTION("""COMPUTED_VALUE"""),"Uncle Sams Cider (5/13/2022)")</f>
        <v>Uncle Sams Cider (5/13/2022)</v>
      </c>
      <c r="H1876" s="19"/>
    </row>
    <row r="1877">
      <c r="A1877" s="9"/>
      <c r="B1877" s="15"/>
      <c r="C1877" s="9">
        <f>IFERROR(__xludf.DUMMYFUNCTION("""COMPUTED_VALUE"""),44777.0565836689)</f>
        <v>44777.05658</v>
      </c>
      <c r="D1877" s="15">
        <f>IFERROR(__xludf.DUMMYFUNCTION("""COMPUTED_VALUE"""),1.004)</f>
        <v>1.004</v>
      </c>
      <c r="E1877" s="16">
        <f>IFERROR(__xludf.DUMMYFUNCTION("""COMPUTED_VALUE"""),69.0)</f>
        <v>69</v>
      </c>
      <c r="F1877" s="19" t="str">
        <f>IFERROR(__xludf.DUMMYFUNCTION("""COMPUTED_VALUE"""),"BLACK")</f>
        <v>BLACK</v>
      </c>
      <c r="G1877" s="20" t="str">
        <f>IFERROR(__xludf.DUMMYFUNCTION("""COMPUTED_VALUE"""),"Uncle Sams Cider (5/13/2022)")</f>
        <v>Uncle Sams Cider (5/13/2022)</v>
      </c>
      <c r="H1877" s="19"/>
    </row>
    <row r="1878">
      <c r="A1878" s="9"/>
      <c r="B1878" s="15"/>
      <c r="C1878" s="9">
        <f>IFERROR(__xludf.DUMMYFUNCTION("""COMPUTED_VALUE"""),44777.0461620138)</f>
        <v>44777.04616</v>
      </c>
      <c r="D1878" s="15">
        <f>IFERROR(__xludf.DUMMYFUNCTION("""COMPUTED_VALUE"""),1.004)</f>
        <v>1.004</v>
      </c>
      <c r="E1878" s="16">
        <f>IFERROR(__xludf.DUMMYFUNCTION("""COMPUTED_VALUE"""),69.0)</f>
        <v>69</v>
      </c>
      <c r="F1878" s="19" t="str">
        <f>IFERROR(__xludf.DUMMYFUNCTION("""COMPUTED_VALUE"""),"BLACK")</f>
        <v>BLACK</v>
      </c>
      <c r="G1878" s="20" t="str">
        <f>IFERROR(__xludf.DUMMYFUNCTION("""COMPUTED_VALUE"""),"Uncle Sams Cider (5/13/2022)")</f>
        <v>Uncle Sams Cider (5/13/2022)</v>
      </c>
      <c r="H1878" s="19"/>
    </row>
    <row r="1879">
      <c r="A1879" s="9"/>
      <c r="B1879" s="15"/>
      <c r="C1879" s="9">
        <f>IFERROR(__xludf.DUMMYFUNCTION("""COMPUTED_VALUE"""),44777.0357279629)</f>
        <v>44777.03573</v>
      </c>
      <c r="D1879" s="15">
        <f>IFERROR(__xludf.DUMMYFUNCTION("""COMPUTED_VALUE"""),1.004)</f>
        <v>1.004</v>
      </c>
      <c r="E1879" s="16">
        <f>IFERROR(__xludf.DUMMYFUNCTION("""COMPUTED_VALUE"""),69.0)</f>
        <v>69</v>
      </c>
      <c r="F1879" s="19" t="str">
        <f>IFERROR(__xludf.DUMMYFUNCTION("""COMPUTED_VALUE"""),"BLACK")</f>
        <v>BLACK</v>
      </c>
      <c r="G1879" s="20" t="str">
        <f>IFERROR(__xludf.DUMMYFUNCTION("""COMPUTED_VALUE"""),"Uncle Sams Cider (5/13/2022)")</f>
        <v>Uncle Sams Cider (5/13/2022)</v>
      </c>
      <c r="H1879" s="19"/>
    </row>
    <row r="1880">
      <c r="A1880" s="9"/>
      <c r="B1880" s="15"/>
      <c r="C1880" s="9">
        <f>IFERROR(__xludf.DUMMYFUNCTION("""COMPUTED_VALUE"""),44777.0253066088)</f>
        <v>44777.02531</v>
      </c>
      <c r="D1880" s="15">
        <f>IFERROR(__xludf.DUMMYFUNCTION("""COMPUTED_VALUE"""),1.004)</f>
        <v>1.004</v>
      </c>
      <c r="E1880" s="16">
        <f>IFERROR(__xludf.DUMMYFUNCTION("""COMPUTED_VALUE"""),69.0)</f>
        <v>69</v>
      </c>
      <c r="F1880" s="19" t="str">
        <f>IFERROR(__xludf.DUMMYFUNCTION("""COMPUTED_VALUE"""),"BLACK")</f>
        <v>BLACK</v>
      </c>
      <c r="G1880" s="20" t="str">
        <f>IFERROR(__xludf.DUMMYFUNCTION("""COMPUTED_VALUE"""),"Uncle Sams Cider (5/13/2022)")</f>
        <v>Uncle Sams Cider (5/13/2022)</v>
      </c>
      <c r="H1880" s="19"/>
    </row>
    <row r="1881">
      <c r="A1881" s="9"/>
      <c r="B1881" s="15"/>
      <c r="C1881" s="9">
        <f>IFERROR(__xludf.DUMMYFUNCTION("""COMPUTED_VALUE"""),44777.0148854166)</f>
        <v>44777.01489</v>
      </c>
      <c r="D1881" s="15">
        <f>IFERROR(__xludf.DUMMYFUNCTION("""COMPUTED_VALUE"""),1.004)</f>
        <v>1.004</v>
      </c>
      <c r="E1881" s="16">
        <f>IFERROR(__xludf.DUMMYFUNCTION("""COMPUTED_VALUE"""),69.0)</f>
        <v>69</v>
      </c>
      <c r="F1881" s="19" t="str">
        <f>IFERROR(__xludf.DUMMYFUNCTION("""COMPUTED_VALUE"""),"BLACK")</f>
        <v>BLACK</v>
      </c>
      <c r="G1881" s="20" t="str">
        <f>IFERROR(__xludf.DUMMYFUNCTION("""COMPUTED_VALUE"""),"Uncle Sams Cider (5/13/2022)")</f>
        <v>Uncle Sams Cider (5/13/2022)</v>
      </c>
      <c r="H1881" s="19"/>
    </row>
    <row r="1882">
      <c r="A1882" s="9"/>
      <c r="B1882" s="15"/>
      <c r="C1882" s="9">
        <f>IFERROR(__xludf.DUMMYFUNCTION("""COMPUTED_VALUE"""),44777.0044647106)</f>
        <v>44777.00446</v>
      </c>
      <c r="D1882" s="15">
        <f>IFERROR(__xludf.DUMMYFUNCTION("""COMPUTED_VALUE"""),1.004)</f>
        <v>1.004</v>
      </c>
      <c r="E1882" s="16">
        <f>IFERROR(__xludf.DUMMYFUNCTION("""COMPUTED_VALUE"""),69.0)</f>
        <v>69</v>
      </c>
      <c r="F1882" s="19" t="str">
        <f>IFERROR(__xludf.DUMMYFUNCTION("""COMPUTED_VALUE"""),"BLACK")</f>
        <v>BLACK</v>
      </c>
      <c r="G1882" s="20" t="str">
        <f>IFERROR(__xludf.DUMMYFUNCTION("""COMPUTED_VALUE"""),"Uncle Sams Cider (5/13/2022)")</f>
        <v>Uncle Sams Cider (5/13/2022)</v>
      </c>
      <c r="H1882" s="19"/>
    </row>
    <row r="1883">
      <c r="A1883" s="9"/>
      <c r="B1883" s="15"/>
      <c r="C1883" s="9">
        <f>IFERROR(__xludf.DUMMYFUNCTION("""COMPUTED_VALUE"""),44776.9940431828)</f>
        <v>44776.99404</v>
      </c>
      <c r="D1883" s="15">
        <f>IFERROR(__xludf.DUMMYFUNCTION("""COMPUTED_VALUE"""),1.004)</f>
        <v>1.004</v>
      </c>
      <c r="E1883" s="16">
        <f>IFERROR(__xludf.DUMMYFUNCTION("""COMPUTED_VALUE"""),69.0)</f>
        <v>69</v>
      </c>
      <c r="F1883" s="19" t="str">
        <f>IFERROR(__xludf.DUMMYFUNCTION("""COMPUTED_VALUE"""),"BLACK")</f>
        <v>BLACK</v>
      </c>
      <c r="G1883" s="20" t="str">
        <f>IFERROR(__xludf.DUMMYFUNCTION("""COMPUTED_VALUE"""),"Uncle Sams Cider (5/13/2022)")</f>
        <v>Uncle Sams Cider (5/13/2022)</v>
      </c>
      <c r="H1883" s="19"/>
    </row>
    <row r="1884">
      <c r="A1884" s="9"/>
      <c r="B1884" s="15"/>
      <c r="C1884" s="9">
        <f>IFERROR(__xludf.DUMMYFUNCTION("""COMPUTED_VALUE"""),44776.9836222222)</f>
        <v>44776.98362</v>
      </c>
      <c r="D1884" s="15">
        <f>IFERROR(__xludf.DUMMYFUNCTION("""COMPUTED_VALUE"""),1.004)</f>
        <v>1.004</v>
      </c>
      <c r="E1884" s="16">
        <f>IFERROR(__xludf.DUMMYFUNCTION("""COMPUTED_VALUE"""),69.0)</f>
        <v>69</v>
      </c>
      <c r="F1884" s="19" t="str">
        <f>IFERROR(__xludf.DUMMYFUNCTION("""COMPUTED_VALUE"""),"BLACK")</f>
        <v>BLACK</v>
      </c>
      <c r="G1884" s="20" t="str">
        <f>IFERROR(__xludf.DUMMYFUNCTION("""COMPUTED_VALUE"""),"Uncle Sams Cider (5/13/2022)")</f>
        <v>Uncle Sams Cider (5/13/2022)</v>
      </c>
      <c r="H1884" s="19"/>
    </row>
    <row r="1885">
      <c r="A1885" s="9"/>
      <c r="B1885" s="15"/>
      <c r="C1885" s="9">
        <f>IFERROR(__xludf.DUMMYFUNCTION("""COMPUTED_VALUE"""),44776.9732015162)</f>
        <v>44776.9732</v>
      </c>
      <c r="D1885" s="15">
        <f>IFERROR(__xludf.DUMMYFUNCTION("""COMPUTED_VALUE"""),1.004)</f>
        <v>1.004</v>
      </c>
      <c r="E1885" s="16">
        <f>IFERROR(__xludf.DUMMYFUNCTION("""COMPUTED_VALUE"""),69.0)</f>
        <v>69</v>
      </c>
      <c r="F1885" s="19" t="str">
        <f>IFERROR(__xludf.DUMMYFUNCTION("""COMPUTED_VALUE"""),"BLACK")</f>
        <v>BLACK</v>
      </c>
      <c r="G1885" s="20" t="str">
        <f>IFERROR(__xludf.DUMMYFUNCTION("""COMPUTED_VALUE"""),"Uncle Sams Cider (5/13/2022)")</f>
        <v>Uncle Sams Cider (5/13/2022)</v>
      </c>
      <c r="H1885" s="19"/>
    </row>
    <row r="1886">
      <c r="A1886" s="9"/>
      <c r="B1886" s="15"/>
      <c r="C1886" s="9">
        <f>IFERROR(__xludf.DUMMYFUNCTION("""COMPUTED_VALUE"""),44776.9627813888)</f>
        <v>44776.96278</v>
      </c>
      <c r="D1886" s="15">
        <f>IFERROR(__xludf.DUMMYFUNCTION("""COMPUTED_VALUE"""),1.004)</f>
        <v>1.004</v>
      </c>
      <c r="E1886" s="16">
        <f>IFERROR(__xludf.DUMMYFUNCTION("""COMPUTED_VALUE"""),69.0)</f>
        <v>69</v>
      </c>
      <c r="F1886" s="19" t="str">
        <f>IFERROR(__xludf.DUMMYFUNCTION("""COMPUTED_VALUE"""),"BLACK")</f>
        <v>BLACK</v>
      </c>
      <c r="G1886" s="20" t="str">
        <f>IFERROR(__xludf.DUMMYFUNCTION("""COMPUTED_VALUE"""),"Uncle Sams Cider (5/13/2022)")</f>
        <v>Uncle Sams Cider (5/13/2022)</v>
      </c>
      <c r="H1886" s="19"/>
    </row>
    <row r="1887">
      <c r="A1887" s="9"/>
      <c r="B1887" s="15"/>
      <c r="C1887" s="9">
        <f>IFERROR(__xludf.DUMMYFUNCTION("""COMPUTED_VALUE"""),44776.9523596412)</f>
        <v>44776.95236</v>
      </c>
      <c r="D1887" s="15">
        <f>IFERROR(__xludf.DUMMYFUNCTION("""COMPUTED_VALUE"""),1.004)</f>
        <v>1.004</v>
      </c>
      <c r="E1887" s="16">
        <f>IFERROR(__xludf.DUMMYFUNCTION("""COMPUTED_VALUE"""),69.0)</f>
        <v>69</v>
      </c>
      <c r="F1887" s="19" t="str">
        <f>IFERROR(__xludf.DUMMYFUNCTION("""COMPUTED_VALUE"""),"BLACK")</f>
        <v>BLACK</v>
      </c>
      <c r="G1887" s="20" t="str">
        <f>IFERROR(__xludf.DUMMYFUNCTION("""COMPUTED_VALUE"""),"Uncle Sams Cider (5/13/2022)")</f>
        <v>Uncle Sams Cider (5/13/2022)</v>
      </c>
      <c r="H1887" s="19"/>
    </row>
    <row r="1888">
      <c r="A1888" s="9"/>
      <c r="B1888" s="15"/>
      <c r="C1888" s="9">
        <f>IFERROR(__xludf.DUMMYFUNCTION("""COMPUTED_VALUE"""),44776.9419393287)</f>
        <v>44776.94194</v>
      </c>
      <c r="D1888" s="15">
        <f>IFERROR(__xludf.DUMMYFUNCTION("""COMPUTED_VALUE"""),1.004)</f>
        <v>1.004</v>
      </c>
      <c r="E1888" s="16">
        <f>IFERROR(__xludf.DUMMYFUNCTION("""COMPUTED_VALUE"""),69.0)</f>
        <v>69</v>
      </c>
      <c r="F1888" s="19" t="str">
        <f>IFERROR(__xludf.DUMMYFUNCTION("""COMPUTED_VALUE"""),"BLACK")</f>
        <v>BLACK</v>
      </c>
      <c r="G1888" s="20" t="str">
        <f>IFERROR(__xludf.DUMMYFUNCTION("""COMPUTED_VALUE"""),"Uncle Sams Cider (5/13/2022)")</f>
        <v>Uncle Sams Cider (5/13/2022)</v>
      </c>
      <c r="H1888" s="19"/>
    </row>
    <row r="1889">
      <c r="A1889" s="9"/>
      <c r="B1889" s="15"/>
      <c r="C1889" s="9">
        <f>IFERROR(__xludf.DUMMYFUNCTION("""COMPUTED_VALUE"""),44776.9315175925)</f>
        <v>44776.93152</v>
      </c>
      <c r="D1889" s="15">
        <f>IFERROR(__xludf.DUMMYFUNCTION("""COMPUTED_VALUE"""),1.004)</f>
        <v>1.004</v>
      </c>
      <c r="E1889" s="16">
        <f>IFERROR(__xludf.DUMMYFUNCTION("""COMPUTED_VALUE"""),69.0)</f>
        <v>69</v>
      </c>
      <c r="F1889" s="19" t="str">
        <f>IFERROR(__xludf.DUMMYFUNCTION("""COMPUTED_VALUE"""),"BLACK")</f>
        <v>BLACK</v>
      </c>
      <c r="G1889" s="20" t="str">
        <f>IFERROR(__xludf.DUMMYFUNCTION("""COMPUTED_VALUE"""),"Uncle Sams Cider (5/13/2022)")</f>
        <v>Uncle Sams Cider (5/13/2022)</v>
      </c>
      <c r="H1889" s="19"/>
    </row>
    <row r="1890">
      <c r="A1890" s="9"/>
      <c r="B1890" s="15"/>
      <c r="C1890" s="9">
        <f>IFERROR(__xludf.DUMMYFUNCTION("""COMPUTED_VALUE"""),44776.9210957638)</f>
        <v>44776.9211</v>
      </c>
      <c r="D1890" s="15">
        <f>IFERROR(__xludf.DUMMYFUNCTION("""COMPUTED_VALUE"""),1.004)</f>
        <v>1.004</v>
      </c>
      <c r="E1890" s="16">
        <f>IFERROR(__xludf.DUMMYFUNCTION("""COMPUTED_VALUE"""),69.0)</f>
        <v>69</v>
      </c>
      <c r="F1890" s="19" t="str">
        <f>IFERROR(__xludf.DUMMYFUNCTION("""COMPUTED_VALUE"""),"BLACK")</f>
        <v>BLACK</v>
      </c>
      <c r="G1890" s="20" t="str">
        <f>IFERROR(__xludf.DUMMYFUNCTION("""COMPUTED_VALUE"""),"Uncle Sams Cider (5/13/2022)")</f>
        <v>Uncle Sams Cider (5/13/2022)</v>
      </c>
      <c r="H1890" s="19"/>
    </row>
    <row r="1891">
      <c r="A1891" s="9"/>
      <c r="B1891" s="15"/>
      <c r="C1891" s="9">
        <f>IFERROR(__xludf.DUMMYFUNCTION("""COMPUTED_VALUE"""),44776.9106748611)</f>
        <v>44776.91067</v>
      </c>
      <c r="D1891" s="15">
        <f>IFERROR(__xludf.DUMMYFUNCTION("""COMPUTED_VALUE"""),1.004)</f>
        <v>1.004</v>
      </c>
      <c r="E1891" s="16">
        <f>IFERROR(__xludf.DUMMYFUNCTION("""COMPUTED_VALUE"""),69.0)</f>
        <v>69</v>
      </c>
      <c r="F1891" s="19" t="str">
        <f>IFERROR(__xludf.DUMMYFUNCTION("""COMPUTED_VALUE"""),"BLACK")</f>
        <v>BLACK</v>
      </c>
      <c r="G1891" s="20" t="str">
        <f>IFERROR(__xludf.DUMMYFUNCTION("""COMPUTED_VALUE"""),"Uncle Sams Cider (5/13/2022)")</f>
        <v>Uncle Sams Cider (5/13/2022)</v>
      </c>
      <c r="H1891" s="19"/>
    </row>
    <row r="1892">
      <c r="A1892" s="9"/>
      <c r="B1892" s="15"/>
      <c r="C1892" s="9">
        <f>IFERROR(__xludf.DUMMYFUNCTION("""COMPUTED_VALUE"""),44776.9002523495)</f>
        <v>44776.90025</v>
      </c>
      <c r="D1892" s="15">
        <f>IFERROR(__xludf.DUMMYFUNCTION("""COMPUTED_VALUE"""),1.004)</f>
        <v>1.004</v>
      </c>
      <c r="E1892" s="16">
        <f>IFERROR(__xludf.DUMMYFUNCTION("""COMPUTED_VALUE"""),69.0)</f>
        <v>69</v>
      </c>
      <c r="F1892" s="19" t="str">
        <f>IFERROR(__xludf.DUMMYFUNCTION("""COMPUTED_VALUE"""),"BLACK")</f>
        <v>BLACK</v>
      </c>
      <c r="G1892" s="20" t="str">
        <f>IFERROR(__xludf.DUMMYFUNCTION("""COMPUTED_VALUE"""),"Uncle Sams Cider (5/13/2022)")</f>
        <v>Uncle Sams Cider (5/13/2022)</v>
      </c>
      <c r="H1892" s="19"/>
    </row>
    <row r="1893">
      <c r="A1893" s="9"/>
      <c r="B1893" s="15"/>
      <c r="C1893" s="9">
        <f>IFERROR(__xludf.DUMMYFUNCTION("""COMPUTED_VALUE"""),44776.8898306018)</f>
        <v>44776.88983</v>
      </c>
      <c r="D1893" s="15">
        <f>IFERROR(__xludf.DUMMYFUNCTION("""COMPUTED_VALUE"""),1.004)</f>
        <v>1.004</v>
      </c>
      <c r="E1893" s="16">
        <f>IFERROR(__xludf.DUMMYFUNCTION("""COMPUTED_VALUE"""),69.0)</f>
        <v>69</v>
      </c>
      <c r="F1893" s="19" t="str">
        <f>IFERROR(__xludf.DUMMYFUNCTION("""COMPUTED_VALUE"""),"BLACK")</f>
        <v>BLACK</v>
      </c>
      <c r="G1893" s="20" t="str">
        <f>IFERROR(__xludf.DUMMYFUNCTION("""COMPUTED_VALUE"""),"Uncle Sams Cider (5/13/2022)")</f>
        <v>Uncle Sams Cider (5/13/2022)</v>
      </c>
      <c r="H1893" s="19"/>
    </row>
    <row r="1894">
      <c r="A1894" s="9"/>
      <c r="B1894" s="15"/>
      <c r="C1894" s="9">
        <f>IFERROR(__xludf.DUMMYFUNCTION("""COMPUTED_VALUE"""),44776.879410081)</f>
        <v>44776.87941</v>
      </c>
      <c r="D1894" s="15">
        <f>IFERROR(__xludf.DUMMYFUNCTION("""COMPUTED_VALUE"""),1.004)</f>
        <v>1.004</v>
      </c>
      <c r="E1894" s="16">
        <f>IFERROR(__xludf.DUMMYFUNCTION("""COMPUTED_VALUE"""),69.0)</f>
        <v>69</v>
      </c>
      <c r="F1894" s="19" t="str">
        <f>IFERROR(__xludf.DUMMYFUNCTION("""COMPUTED_VALUE"""),"BLACK")</f>
        <v>BLACK</v>
      </c>
      <c r="G1894" s="20" t="str">
        <f>IFERROR(__xludf.DUMMYFUNCTION("""COMPUTED_VALUE"""),"Uncle Sams Cider (5/13/2022)")</f>
        <v>Uncle Sams Cider (5/13/2022)</v>
      </c>
      <c r="H1894" s="19"/>
    </row>
    <row r="1895">
      <c r="A1895" s="9"/>
      <c r="B1895" s="15"/>
      <c r="C1895" s="9">
        <f>IFERROR(__xludf.DUMMYFUNCTION("""COMPUTED_VALUE"""),44776.868974618)</f>
        <v>44776.86897</v>
      </c>
      <c r="D1895" s="15">
        <f>IFERROR(__xludf.DUMMYFUNCTION("""COMPUTED_VALUE"""),1.004)</f>
        <v>1.004</v>
      </c>
      <c r="E1895" s="16">
        <f>IFERROR(__xludf.DUMMYFUNCTION("""COMPUTED_VALUE"""),69.0)</f>
        <v>69</v>
      </c>
      <c r="F1895" s="19" t="str">
        <f>IFERROR(__xludf.DUMMYFUNCTION("""COMPUTED_VALUE"""),"BLACK")</f>
        <v>BLACK</v>
      </c>
      <c r="G1895" s="20" t="str">
        <f>IFERROR(__xludf.DUMMYFUNCTION("""COMPUTED_VALUE"""),"Uncle Sams Cider (5/13/2022)")</f>
        <v>Uncle Sams Cider (5/13/2022)</v>
      </c>
      <c r="H1895" s="19"/>
    </row>
    <row r="1896">
      <c r="A1896" s="9"/>
      <c r="B1896" s="15"/>
      <c r="C1896" s="9">
        <f>IFERROR(__xludf.DUMMYFUNCTION("""COMPUTED_VALUE"""),44776.8585516666)</f>
        <v>44776.85855</v>
      </c>
      <c r="D1896" s="15">
        <f>IFERROR(__xludf.DUMMYFUNCTION("""COMPUTED_VALUE"""),1.004)</f>
        <v>1.004</v>
      </c>
      <c r="E1896" s="16">
        <f>IFERROR(__xludf.DUMMYFUNCTION("""COMPUTED_VALUE"""),69.0)</f>
        <v>69</v>
      </c>
      <c r="F1896" s="19" t="str">
        <f>IFERROR(__xludf.DUMMYFUNCTION("""COMPUTED_VALUE"""),"BLACK")</f>
        <v>BLACK</v>
      </c>
      <c r="G1896" s="20" t="str">
        <f>IFERROR(__xludf.DUMMYFUNCTION("""COMPUTED_VALUE"""),"Uncle Sams Cider (5/13/2022)")</f>
        <v>Uncle Sams Cider (5/13/2022)</v>
      </c>
      <c r="H1896" s="19"/>
    </row>
    <row r="1897">
      <c r="A1897" s="9"/>
      <c r="B1897" s="15"/>
      <c r="C1897" s="9">
        <f>IFERROR(__xludf.DUMMYFUNCTION("""COMPUTED_VALUE"""),44776.8481306134)</f>
        <v>44776.84813</v>
      </c>
      <c r="D1897" s="15">
        <f>IFERROR(__xludf.DUMMYFUNCTION("""COMPUTED_VALUE"""),1.004)</f>
        <v>1.004</v>
      </c>
      <c r="E1897" s="16">
        <f>IFERROR(__xludf.DUMMYFUNCTION("""COMPUTED_VALUE"""),69.0)</f>
        <v>69</v>
      </c>
      <c r="F1897" s="19" t="str">
        <f>IFERROR(__xludf.DUMMYFUNCTION("""COMPUTED_VALUE"""),"BLACK")</f>
        <v>BLACK</v>
      </c>
      <c r="G1897" s="20" t="str">
        <f>IFERROR(__xludf.DUMMYFUNCTION("""COMPUTED_VALUE"""),"Uncle Sams Cider (5/13/2022)")</f>
        <v>Uncle Sams Cider (5/13/2022)</v>
      </c>
      <c r="H1897" s="19"/>
    </row>
    <row r="1898">
      <c r="A1898" s="9"/>
      <c r="B1898" s="15"/>
      <c r="C1898" s="9">
        <f>IFERROR(__xludf.DUMMYFUNCTION("""COMPUTED_VALUE"""),44776.8376971759)</f>
        <v>44776.8377</v>
      </c>
      <c r="D1898" s="15">
        <f>IFERROR(__xludf.DUMMYFUNCTION("""COMPUTED_VALUE"""),1.004)</f>
        <v>1.004</v>
      </c>
      <c r="E1898" s="16">
        <f>IFERROR(__xludf.DUMMYFUNCTION("""COMPUTED_VALUE"""),69.0)</f>
        <v>69</v>
      </c>
      <c r="F1898" s="19" t="str">
        <f>IFERROR(__xludf.DUMMYFUNCTION("""COMPUTED_VALUE"""),"BLACK")</f>
        <v>BLACK</v>
      </c>
      <c r="G1898" s="20" t="str">
        <f>IFERROR(__xludf.DUMMYFUNCTION("""COMPUTED_VALUE"""),"Uncle Sams Cider (5/13/2022)")</f>
        <v>Uncle Sams Cider (5/13/2022)</v>
      </c>
      <c r="H1898" s="19"/>
    </row>
    <row r="1899">
      <c r="A1899" s="9"/>
      <c r="B1899" s="15"/>
      <c r="C1899" s="9">
        <f>IFERROR(__xludf.DUMMYFUNCTION("""COMPUTED_VALUE"""),44776.8272779629)</f>
        <v>44776.82728</v>
      </c>
      <c r="D1899" s="15">
        <f>IFERROR(__xludf.DUMMYFUNCTION("""COMPUTED_VALUE"""),1.004)</f>
        <v>1.004</v>
      </c>
      <c r="E1899" s="16">
        <f>IFERROR(__xludf.DUMMYFUNCTION("""COMPUTED_VALUE"""),69.0)</f>
        <v>69</v>
      </c>
      <c r="F1899" s="19" t="str">
        <f>IFERROR(__xludf.DUMMYFUNCTION("""COMPUTED_VALUE"""),"BLACK")</f>
        <v>BLACK</v>
      </c>
      <c r="G1899" s="20" t="str">
        <f>IFERROR(__xludf.DUMMYFUNCTION("""COMPUTED_VALUE"""),"Uncle Sams Cider (5/13/2022)")</f>
        <v>Uncle Sams Cider (5/13/2022)</v>
      </c>
      <c r="H1899" s="19"/>
    </row>
    <row r="1900">
      <c r="A1900" s="9"/>
      <c r="B1900" s="15"/>
      <c r="C1900" s="9">
        <f>IFERROR(__xludf.DUMMYFUNCTION("""COMPUTED_VALUE"""),44776.81685603)</f>
        <v>44776.81686</v>
      </c>
      <c r="D1900" s="15">
        <f>IFERROR(__xludf.DUMMYFUNCTION("""COMPUTED_VALUE"""),1.004)</f>
        <v>1.004</v>
      </c>
      <c r="E1900" s="16">
        <f>IFERROR(__xludf.DUMMYFUNCTION("""COMPUTED_VALUE"""),69.0)</f>
        <v>69</v>
      </c>
      <c r="F1900" s="19" t="str">
        <f>IFERROR(__xludf.DUMMYFUNCTION("""COMPUTED_VALUE"""),"BLACK")</f>
        <v>BLACK</v>
      </c>
      <c r="G1900" s="20" t="str">
        <f>IFERROR(__xludf.DUMMYFUNCTION("""COMPUTED_VALUE"""),"Uncle Sams Cider (5/13/2022)")</f>
        <v>Uncle Sams Cider (5/13/2022)</v>
      </c>
      <c r="H1900" s="19"/>
    </row>
    <row r="1901">
      <c r="A1901" s="9"/>
      <c r="B1901" s="15"/>
      <c r="C1901" s="9">
        <f>IFERROR(__xludf.DUMMYFUNCTION("""COMPUTED_VALUE"""),44776.8064332986)</f>
        <v>44776.80643</v>
      </c>
      <c r="D1901" s="15">
        <f>IFERROR(__xludf.DUMMYFUNCTION("""COMPUTED_VALUE"""),1.004)</f>
        <v>1.004</v>
      </c>
      <c r="E1901" s="16">
        <f>IFERROR(__xludf.DUMMYFUNCTION("""COMPUTED_VALUE"""),69.0)</f>
        <v>69</v>
      </c>
      <c r="F1901" s="19" t="str">
        <f>IFERROR(__xludf.DUMMYFUNCTION("""COMPUTED_VALUE"""),"BLACK")</f>
        <v>BLACK</v>
      </c>
      <c r="G1901" s="20" t="str">
        <f>IFERROR(__xludf.DUMMYFUNCTION("""COMPUTED_VALUE"""),"Uncle Sams Cider (5/13/2022)")</f>
        <v>Uncle Sams Cider (5/13/2022)</v>
      </c>
      <c r="H1901" s="19"/>
    </row>
    <row r="1902">
      <c r="A1902" s="9"/>
      <c r="B1902" s="15"/>
      <c r="C1902" s="9">
        <f>IFERROR(__xludf.DUMMYFUNCTION("""COMPUTED_VALUE"""),44776.7960123611)</f>
        <v>44776.79601</v>
      </c>
      <c r="D1902" s="15">
        <f>IFERROR(__xludf.DUMMYFUNCTION("""COMPUTED_VALUE"""),1.004)</f>
        <v>1.004</v>
      </c>
      <c r="E1902" s="16">
        <f>IFERROR(__xludf.DUMMYFUNCTION("""COMPUTED_VALUE"""),69.0)</f>
        <v>69</v>
      </c>
      <c r="F1902" s="19" t="str">
        <f>IFERROR(__xludf.DUMMYFUNCTION("""COMPUTED_VALUE"""),"BLACK")</f>
        <v>BLACK</v>
      </c>
      <c r="G1902" s="20" t="str">
        <f>IFERROR(__xludf.DUMMYFUNCTION("""COMPUTED_VALUE"""),"Uncle Sams Cider (5/13/2022)")</f>
        <v>Uncle Sams Cider (5/13/2022)</v>
      </c>
      <c r="H1902" s="19"/>
    </row>
    <row r="1903">
      <c r="A1903" s="9"/>
      <c r="B1903" s="15"/>
      <c r="C1903" s="9">
        <f>IFERROR(__xludf.DUMMYFUNCTION("""COMPUTED_VALUE"""),44776.7855909953)</f>
        <v>44776.78559</v>
      </c>
      <c r="D1903" s="15">
        <f>IFERROR(__xludf.DUMMYFUNCTION("""COMPUTED_VALUE"""),1.004)</f>
        <v>1.004</v>
      </c>
      <c r="E1903" s="16">
        <f>IFERROR(__xludf.DUMMYFUNCTION("""COMPUTED_VALUE"""),69.0)</f>
        <v>69</v>
      </c>
      <c r="F1903" s="19" t="str">
        <f>IFERROR(__xludf.DUMMYFUNCTION("""COMPUTED_VALUE"""),"BLACK")</f>
        <v>BLACK</v>
      </c>
      <c r="G1903" s="20" t="str">
        <f>IFERROR(__xludf.DUMMYFUNCTION("""COMPUTED_VALUE"""),"Uncle Sams Cider (5/13/2022)")</f>
        <v>Uncle Sams Cider (5/13/2022)</v>
      </c>
      <c r="H1903" s="19"/>
    </row>
    <row r="1904">
      <c r="A1904" s="9"/>
      <c r="B1904" s="15"/>
      <c r="C1904" s="9">
        <f>IFERROR(__xludf.DUMMYFUNCTION("""COMPUTED_VALUE"""),44776.7751699189)</f>
        <v>44776.77517</v>
      </c>
      <c r="D1904" s="15">
        <f>IFERROR(__xludf.DUMMYFUNCTION("""COMPUTED_VALUE"""),1.004)</f>
        <v>1.004</v>
      </c>
      <c r="E1904" s="16">
        <f>IFERROR(__xludf.DUMMYFUNCTION("""COMPUTED_VALUE"""),68.0)</f>
        <v>68</v>
      </c>
      <c r="F1904" s="19" t="str">
        <f>IFERROR(__xludf.DUMMYFUNCTION("""COMPUTED_VALUE"""),"BLACK")</f>
        <v>BLACK</v>
      </c>
      <c r="G1904" s="20" t="str">
        <f>IFERROR(__xludf.DUMMYFUNCTION("""COMPUTED_VALUE"""),"Uncle Sams Cider (5/13/2022)")</f>
        <v>Uncle Sams Cider (5/13/2022)</v>
      </c>
      <c r="H1904" s="19"/>
    </row>
    <row r="1905">
      <c r="A1905" s="9"/>
      <c r="B1905" s="15"/>
      <c r="C1905" s="9">
        <f>IFERROR(__xludf.DUMMYFUNCTION("""COMPUTED_VALUE"""),44776.7647492708)</f>
        <v>44776.76475</v>
      </c>
      <c r="D1905" s="15">
        <f>IFERROR(__xludf.DUMMYFUNCTION("""COMPUTED_VALUE"""),1.004)</f>
        <v>1.004</v>
      </c>
      <c r="E1905" s="16">
        <f>IFERROR(__xludf.DUMMYFUNCTION("""COMPUTED_VALUE"""),69.0)</f>
        <v>69</v>
      </c>
      <c r="F1905" s="19" t="str">
        <f>IFERROR(__xludf.DUMMYFUNCTION("""COMPUTED_VALUE"""),"BLACK")</f>
        <v>BLACK</v>
      </c>
      <c r="G1905" s="20" t="str">
        <f>IFERROR(__xludf.DUMMYFUNCTION("""COMPUTED_VALUE"""),"Uncle Sams Cider (5/13/2022)")</f>
        <v>Uncle Sams Cider (5/13/2022)</v>
      </c>
      <c r="H1905" s="19"/>
    </row>
    <row r="1906">
      <c r="A1906" s="9"/>
      <c r="B1906" s="15"/>
      <c r="C1906" s="9">
        <f>IFERROR(__xludf.DUMMYFUNCTION("""COMPUTED_VALUE"""),44776.7543281481)</f>
        <v>44776.75433</v>
      </c>
      <c r="D1906" s="15">
        <f>IFERROR(__xludf.DUMMYFUNCTION("""COMPUTED_VALUE"""),1.004)</f>
        <v>1.004</v>
      </c>
      <c r="E1906" s="16">
        <f>IFERROR(__xludf.DUMMYFUNCTION("""COMPUTED_VALUE"""),69.0)</f>
        <v>69</v>
      </c>
      <c r="F1906" s="19" t="str">
        <f>IFERROR(__xludf.DUMMYFUNCTION("""COMPUTED_VALUE"""),"BLACK")</f>
        <v>BLACK</v>
      </c>
      <c r="G1906" s="20" t="str">
        <f>IFERROR(__xludf.DUMMYFUNCTION("""COMPUTED_VALUE"""),"Uncle Sams Cider (5/13/2022)")</f>
        <v>Uncle Sams Cider (5/13/2022)</v>
      </c>
      <c r="H1906" s="19"/>
    </row>
    <row r="1907">
      <c r="A1907" s="9"/>
      <c r="B1907" s="15"/>
      <c r="C1907" s="9">
        <f>IFERROR(__xludf.DUMMYFUNCTION("""COMPUTED_VALUE"""),44776.7439052199)</f>
        <v>44776.74391</v>
      </c>
      <c r="D1907" s="15">
        <f>IFERROR(__xludf.DUMMYFUNCTION("""COMPUTED_VALUE"""),1.004)</f>
        <v>1.004</v>
      </c>
      <c r="E1907" s="16">
        <f>IFERROR(__xludf.DUMMYFUNCTION("""COMPUTED_VALUE"""),69.0)</f>
        <v>69</v>
      </c>
      <c r="F1907" s="19" t="str">
        <f>IFERROR(__xludf.DUMMYFUNCTION("""COMPUTED_VALUE"""),"BLACK")</f>
        <v>BLACK</v>
      </c>
      <c r="G1907" s="20" t="str">
        <f>IFERROR(__xludf.DUMMYFUNCTION("""COMPUTED_VALUE"""),"Uncle Sams Cider (5/13/2022)")</f>
        <v>Uncle Sams Cider (5/13/2022)</v>
      </c>
      <c r="H1907" s="19"/>
    </row>
    <row r="1908">
      <c r="A1908" s="9"/>
      <c r="B1908" s="15"/>
      <c r="C1908" s="9">
        <f>IFERROR(__xludf.DUMMYFUNCTION("""COMPUTED_VALUE"""),44776.7334832638)</f>
        <v>44776.73348</v>
      </c>
      <c r="D1908" s="15">
        <f>IFERROR(__xludf.DUMMYFUNCTION("""COMPUTED_VALUE"""),1.004)</f>
        <v>1.004</v>
      </c>
      <c r="E1908" s="16">
        <f>IFERROR(__xludf.DUMMYFUNCTION("""COMPUTED_VALUE"""),69.0)</f>
        <v>69</v>
      </c>
      <c r="F1908" s="19" t="str">
        <f>IFERROR(__xludf.DUMMYFUNCTION("""COMPUTED_VALUE"""),"BLACK")</f>
        <v>BLACK</v>
      </c>
      <c r="G1908" s="20" t="str">
        <f>IFERROR(__xludf.DUMMYFUNCTION("""COMPUTED_VALUE"""),"Uncle Sams Cider (5/13/2022)")</f>
        <v>Uncle Sams Cider (5/13/2022)</v>
      </c>
      <c r="H1908" s="19"/>
    </row>
    <row r="1909">
      <c r="A1909" s="9"/>
      <c r="B1909" s="15"/>
      <c r="C1909" s="9">
        <f>IFERROR(__xludf.DUMMYFUNCTION("""COMPUTED_VALUE"""),44776.723062581)</f>
        <v>44776.72306</v>
      </c>
      <c r="D1909" s="15">
        <f>IFERROR(__xludf.DUMMYFUNCTION("""COMPUTED_VALUE"""),1.004)</f>
        <v>1.004</v>
      </c>
      <c r="E1909" s="16">
        <f>IFERROR(__xludf.DUMMYFUNCTION("""COMPUTED_VALUE"""),68.0)</f>
        <v>68</v>
      </c>
      <c r="F1909" s="19" t="str">
        <f>IFERROR(__xludf.DUMMYFUNCTION("""COMPUTED_VALUE"""),"BLACK")</f>
        <v>BLACK</v>
      </c>
      <c r="G1909" s="20" t="str">
        <f>IFERROR(__xludf.DUMMYFUNCTION("""COMPUTED_VALUE"""),"Uncle Sams Cider (5/13/2022)")</f>
        <v>Uncle Sams Cider (5/13/2022)</v>
      </c>
      <c r="H1909" s="19"/>
    </row>
    <row r="1910">
      <c r="A1910" s="9"/>
      <c r="B1910" s="15"/>
      <c r="C1910" s="9">
        <f>IFERROR(__xludf.DUMMYFUNCTION("""COMPUTED_VALUE"""),44776.712641331)</f>
        <v>44776.71264</v>
      </c>
      <c r="D1910" s="15">
        <f>IFERROR(__xludf.DUMMYFUNCTION("""COMPUTED_VALUE"""),1.004)</f>
        <v>1.004</v>
      </c>
      <c r="E1910" s="16">
        <f>IFERROR(__xludf.DUMMYFUNCTION("""COMPUTED_VALUE"""),68.0)</f>
        <v>68</v>
      </c>
      <c r="F1910" s="19" t="str">
        <f>IFERROR(__xludf.DUMMYFUNCTION("""COMPUTED_VALUE"""),"BLACK")</f>
        <v>BLACK</v>
      </c>
      <c r="G1910" s="20" t="str">
        <f>IFERROR(__xludf.DUMMYFUNCTION("""COMPUTED_VALUE"""),"Uncle Sams Cider (5/13/2022)")</f>
        <v>Uncle Sams Cider (5/13/2022)</v>
      </c>
      <c r="H1910" s="19"/>
    </row>
    <row r="1911">
      <c r="A1911" s="9"/>
      <c r="B1911" s="15"/>
      <c r="C1911" s="9">
        <f>IFERROR(__xludf.DUMMYFUNCTION("""COMPUTED_VALUE"""),44776.7022188888)</f>
        <v>44776.70222</v>
      </c>
      <c r="D1911" s="15">
        <f>IFERROR(__xludf.DUMMYFUNCTION("""COMPUTED_VALUE"""),1.004)</f>
        <v>1.004</v>
      </c>
      <c r="E1911" s="16">
        <f>IFERROR(__xludf.DUMMYFUNCTION("""COMPUTED_VALUE"""),68.0)</f>
        <v>68</v>
      </c>
      <c r="F1911" s="19" t="str">
        <f>IFERROR(__xludf.DUMMYFUNCTION("""COMPUTED_VALUE"""),"BLACK")</f>
        <v>BLACK</v>
      </c>
      <c r="G1911" s="20" t="str">
        <f>IFERROR(__xludf.DUMMYFUNCTION("""COMPUTED_VALUE"""),"Uncle Sams Cider (5/13/2022)")</f>
        <v>Uncle Sams Cider (5/13/2022)</v>
      </c>
      <c r="H1911" s="19"/>
    </row>
    <row r="1912">
      <c r="A1912" s="9"/>
      <c r="B1912" s="15"/>
      <c r="C1912" s="9">
        <f>IFERROR(__xludf.DUMMYFUNCTION("""COMPUTED_VALUE"""),44776.69179875)</f>
        <v>44776.6918</v>
      </c>
      <c r="D1912" s="15">
        <f>IFERROR(__xludf.DUMMYFUNCTION("""COMPUTED_VALUE"""),1.004)</f>
        <v>1.004</v>
      </c>
      <c r="E1912" s="16">
        <f>IFERROR(__xludf.DUMMYFUNCTION("""COMPUTED_VALUE"""),69.0)</f>
        <v>69</v>
      </c>
      <c r="F1912" s="19" t="str">
        <f>IFERROR(__xludf.DUMMYFUNCTION("""COMPUTED_VALUE"""),"BLACK")</f>
        <v>BLACK</v>
      </c>
      <c r="G1912" s="20" t="str">
        <f>IFERROR(__xludf.DUMMYFUNCTION("""COMPUTED_VALUE"""),"Uncle Sams Cider (5/13/2022)")</f>
        <v>Uncle Sams Cider (5/13/2022)</v>
      </c>
      <c r="H1912" s="19"/>
    </row>
    <row r="1913">
      <c r="A1913" s="9"/>
      <c r="B1913" s="15"/>
      <c r="C1913" s="9">
        <f>IFERROR(__xludf.DUMMYFUNCTION("""COMPUTED_VALUE"""),44776.681366574)</f>
        <v>44776.68137</v>
      </c>
      <c r="D1913" s="15">
        <f>IFERROR(__xludf.DUMMYFUNCTION("""COMPUTED_VALUE"""),1.004)</f>
        <v>1.004</v>
      </c>
      <c r="E1913" s="16">
        <f>IFERROR(__xludf.DUMMYFUNCTION("""COMPUTED_VALUE"""),68.0)</f>
        <v>68</v>
      </c>
      <c r="F1913" s="19" t="str">
        <f>IFERROR(__xludf.DUMMYFUNCTION("""COMPUTED_VALUE"""),"BLACK")</f>
        <v>BLACK</v>
      </c>
      <c r="G1913" s="20" t="str">
        <f>IFERROR(__xludf.DUMMYFUNCTION("""COMPUTED_VALUE"""),"Uncle Sams Cider (5/13/2022)")</f>
        <v>Uncle Sams Cider (5/13/2022)</v>
      </c>
      <c r="H1913" s="19"/>
    </row>
    <row r="1914">
      <c r="A1914" s="9"/>
      <c r="B1914" s="15"/>
      <c r="C1914" s="9">
        <f>IFERROR(__xludf.DUMMYFUNCTION("""COMPUTED_VALUE"""),44776.6709436805)</f>
        <v>44776.67094</v>
      </c>
      <c r="D1914" s="15">
        <f>IFERROR(__xludf.DUMMYFUNCTION("""COMPUTED_VALUE"""),1.004)</f>
        <v>1.004</v>
      </c>
      <c r="E1914" s="16">
        <f>IFERROR(__xludf.DUMMYFUNCTION("""COMPUTED_VALUE"""),68.0)</f>
        <v>68</v>
      </c>
      <c r="F1914" s="19" t="str">
        <f>IFERROR(__xludf.DUMMYFUNCTION("""COMPUTED_VALUE"""),"BLACK")</f>
        <v>BLACK</v>
      </c>
      <c r="G1914" s="20" t="str">
        <f>IFERROR(__xludf.DUMMYFUNCTION("""COMPUTED_VALUE"""),"Uncle Sams Cider (5/13/2022)")</f>
        <v>Uncle Sams Cider (5/13/2022)</v>
      </c>
      <c r="H1914" s="19"/>
    </row>
    <row r="1915">
      <c r="A1915" s="9"/>
      <c r="B1915" s="15"/>
      <c r="C1915" s="9">
        <f>IFERROR(__xludf.DUMMYFUNCTION("""COMPUTED_VALUE"""),44776.6605218634)</f>
        <v>44776.66052</v>
      </c>
      <c r="D1915" s="15">
        <f>IFERROR(__xludf.DUMMYFUNCTION("""COMPUTED_VALUE"""),1.004)</f>
        <v>1.004</v>
      </c>
      <c r="E1915" s="16">
        <f>IFERROR(__xludf.DUMMYFUNCTION("""COMPUTED_VALUE"""),68.0)</f>
        <v>68</v>
      </c>
      <c r="F1915" s="19" t="str">
        <f>IFERROR(__xludf.DUMMYFUNCTION("""COMPUTED_VALUE"""),"BLACK")</f>
        <v>BLACK</v>
      </c>
      <c r="G1915" s="20" t="str">
        <f>IFERROR(__xludf.DUMMYFUNCTION("""COMPUTED_VALUE"""),"Uncle Sams Cider (5/13/2022)")</f>
        <v>Uncle Sams Cider (5/13/2022)</v>
      </c>
      <c r="H1915" s="19"/>
    </row>
    <row r="1916">
      <c r="A1916" s="9"/>
      <c r="B1916" s="15"/>
      <c r="C1916" s="9">
        <f>IFERROR(__xludf.DUMMYFUNCTION("""COMPUTED_VALUE"""),44776.6501008101)</f>
        <v>44776.6501</v>
      </c>
      <c r="D1916" s="15">
        <f>IFERROR(__xludf.DUMMYFUNCTION("""COMPUTED_VALUE"""),1.004)</f>
        <v>1.004</v>
      </c>
      <c r="E1916" s="16">
        <f>IFERROR(__xludf.DUMMYFUNCTION("""COMPUTED_VALUE"""),68.0)</f>
        <v>68</v>
      </c>
      <c r="F1916" s="19" t="str">
        <f>IFERROR(__xludf.DUMMYFUNCTION("""COMPUTED_VALUE"""),"BLACK")</f>
        <v>BLACK</v>
      </c>
      <c r="G1916" s="20" t="str">
        <f>IFERROR(__xludf.DUMMYFUNCTION("""COMPUTED_VALUE"""),"Uncle Sams Cider (5/13/2022)")</f>
        <v>Uncle Sams Cider (5/13/2022)</v>
      </c>
      <c r="H1916" s="19"/>
    </row>
    <row r="1917">
      <c r="A1917" s="9"/>
      <c r="B1917" s="15"/>
      <c r="C1917" s="9">
        <f>IFERROR(__xludf.DUMMYFUNCTION("""COMPUTED_VALUE"""),44776.6396790162)</f>
        <v>44776.63968</v>
      </c>
      <c r="D1917" s="15">
        <f>IFERROR(__xludf.DUMMYFUNCTION("""COMPUTED_VALUE"""),1.004)</f>
        <v>1.004</v>
      </c>
      <c r="E1917" s="16">
        <f>IFERROR(__xludf.DUMMYFUNCTION("""COMPUTED_VALUE"""),68.0)</f>
        <v>68</v>
      </c>
      <c r="F1917" s="19" t="str">
        <f>IFERROR(__xludf.DUMMYFUNCTION("""COMPUTED_VALUE"""),"BLACK")</f>
        <v>BLACK</v>
      </c>
      <c r="G1917" s="20" t="str">
        <f>IFERROR(__xludf.DUMMYFUNCTION("""COMPUTED_VALUE"""),"Uncle Sams Cider (5/13/2022)")</f>
        <v>Uncle Sams Cider (5/13/2022)</v>
      </c>
      <c r="H1917" s="19"/>
    </row>
    <row r="1918">
      <c r="A1918" s="9"/>
      <c r="B1918" s="15"/>
      <c r="C1918" s="9">
        <f>IFERROR(__xludf.DUMMYFUNCTION("""COMPUTED_VALUE"""),44776.6292569675)</f>
        <v>44776.62926</v>
      </c>
      <c r="D1918" s="15">
        <f>IFERROR(__xludf.DUMMYFUNCTION("""COMPUTED_VALUE"""),1.004)</f>
        <v>1.004</v>
      </c>
      <c r="E1918" s="16">
        <f>IFERROR(__xludf.DUMMYFUNCTION("""COMPUTED_VALUE"""),68.0)</f>
        <v>68</v>
      </c>
      <c r="F1918" s="19" t="str">
        <f>IFERROR(__xludf.DUMMYFUNCTION("""COMPUTED_VALUE"""),"BLACK")</f>
        <v>BLACK</v>
      </c>
      <c r="G1918" s="20" t="str">
        <f>IFERROR(__xludf.DUMMYFUNCTION("""COMPUTED_VALUE"""),"Uncle Sams Cider (5/13/2022)")</f>
        <v>Uncle Sams Cider (5/13/2022)</v>
      </c>
      <c r="H1918" s="19"/>
    </row>
    <row r="1919">
      <c r="A1919" s="9"/>
      <c r="B1919" s="15"/>
      <c r="C1919" s="9">
        <f>IFERROR(__xludf.DUMMYFUNCTION("""COMPUTED_VALUE"""),44776.6188361921)</f>
        <v>44776.61884</v>
      </c>
      <c r="D1919" s="15">
        <f>IFERROR(__xludf.DUMMYFUNCTION("""COMPUTED_VALUE"""),1.004)</f>
        <v>1.004</v>
      </c>
      <c r="E1919" s="16">
        <f>IFERROR(__xludf.DUMMYFUNCTION("""COMPUTED_VALUE"""),68.0)</f>
        <v>68</v>
      </c>
      <c r="F1919" s="19" t="str">
        <f>IFERROR(__xludf.DUMMYFUNCTION("""COMPUTED_VALUE"""),"BLACK")</f>
        <v>BLACK</v>
      </c>
      <c r="G1919" s="20" t="str">
        <f>IFERROR(__xludf.DUMMYFUNCTION("""COMPUTED_VALUE"""),"Uncle Sams Cider (5/13/2022)")</f>
        <v>Uncle Sams Cider (5/13/2022)</v>
      </c>
      <c r="H1919" s="19"/>
    </row>
    <row r="1920">
      <c r="A1920" s="9"/>
      <c r="B1920" s="15"/>
      <c r="C1920" s="9">
        <f>IFERROR(__xludf.DUMMYFUNCTION("""COMPUTED_VALUE"""),44776.6084031713)</f>
        <v>44776.6084</v>
      </c>
      <c r="D1920" s="15">
        <f>IFERROR(__xludf.DUMMYFUNCTION("""COMPUTED_VALUE"""),1.004)</f>
        <v>1.004</v>
      </c>
      <c r="E1920" s="16">
        <f>IFERROR(__xludf.DUMMYFUNCTION("""COMPUTED_VALUE"""),68.0)</f>
        <v>68</v>
      </c>
      <c r="F1920" s="19" t="str">
        <f>IFERROR(__xludf.DUMMYFUNCTION("""COMPUTED_VALUE"""),"BLACK")</f>
        <v>BLACK</v>
      </c>
      <c r="G1920" s="20" t="str">
        <f>IFERROR(__xludf.DUMMYFUNCTION("""COMPUTED_VALUE"""),"Uncle Sams Cider (5/13/2022)")</f>
        <v>Uncle Sams Cider (5/13/2022)</v>
      </c>
      <c r="H1920" s="19"/>
    </row>
    <row r="1921">
      <c r="A1921" s="9"/>
      <c r="B1921" s="15"/>
      <c r="C1921" s="9">
        <f>IFERROR(__xludf.DUMMYFUNCTION("""COMPUTED_VALUE"""),44776.5979836805)</f>
        <v>44776.59798</v>
      </c>
      <c r="D1921" s="15">
        <f>IFERROR(__xludf.DUMMYFUNCTION("""COMPUTED_VALUE"""),1.004)</f>
        <v>1.004</v>
      </c>
      <c r="E1921" s="16">
        <f>IFERROR(__xludf.DUMMYFUNCTION("""COMPUTED_VALUE"""),68.0)</f>
        <v>68</v>
      </c>
      <c r="F1921" s="19" t="str">
        <f>IFERROR(__xludf.DUMMYFUNCTION("""COMPUTED_VALUE"""),"BLACK")</f>
        <v>BLACK</v>
      </c>
      <c r="G1921" s="20" t="str">
        <f>IFERROR(__xludf.DUMMYFUNCTION("""COMPUTED_VALUE"""),"Uncle Sams Cider (5/13/2022)")</f>
        <v>Uncle Sams Cider (5/13/2022)</v>
      </c>
      <c r="H1921" s="19"/>
    </row>
    <row r="1922">
      <c r="A1922" s="9"/>
      <c r="B1922" s="15"/>
      <c r="C1922" s="9">
        <f>IFERROR(__xludf.DUMMYFUNCTION("""COMPUTED_VALUE"""),44776.5875644328)</f>
        <v>44776.58756</v>
      </c>
      <c r="D1922" s="15">
        <f>IFERROR(__xludf.DUMMYFUNCTION("""COMPUTED_VALUE"""),1.004)</f>
        <v>1.004</v>
      </c>
      <c r="E1922" s="16">
        <f>IFERROR(__xludf.DUMMYFUNCTION("""COMPUTED_VALUE"""),68.0)</f>
        <v>68</v>
      </c>
      <c r="F1922" s="19" t="str">
        <f>IFERROR(__xludf.DUMMYFUNCTION("""COMPUTED_VALUE"""),"BLACK")</f>
        <v>BLACK</v>
      </c>
      <c r="G1922" s="20" t="str">
        <f>IFERROR(__xludf.DUMMYFUNCTION("""COMPUTED_VALUE"""),"Uncle Sams Cider (5/13/2022)")</f>
        <v>Uncle Sams Cider (5/13/2022)</v>
      </c>
      <c r="H1922" s="19"/>
    </row>
    <row r="1923">
      <c r="A1923" s="9"/>
      <c r="B1923" s="15"/>
      <c r="C1923" s="9">
        <f>IFERROR(__xludf.DUMMYFUNCTION("""COMPUTED_VALUE"""),44776.5771437037)</f>
        <v>44776.57714</v>
      </c>
      <c r="D1923" s="15">
        <f>IFERROR(__xludf.DUMMYFUNCTION("""COMPUTED_VALUE"""),1.004)</f>
        <v>1.004</v>
      </c>
      <c r="E1923" s="16">
        <f>IFERROR(__xludf.DUMMYFUNCTION("""COMPUTED_VALUE"""),68.0)</f>
        <v>68</v>
      </c>
      <c r="F1923" s="19" t="str">
        <f>IFERROR(__xludf.DUMMYFUNCTION("""COMPUTED_VALUE"""),"BLACK")</f>
        <v>BLACK</v>
      </c>
      <c r="G1923" s="20" t="str">
        <f>IFERROR(__xludf.DUMMYFUNCTION("""COMPUTED_VALUE"""),"Uncle Sams Cider (5/13/2022)")</f>
        <v>Uncle Sams Cider (5/13/2022)</v>
      </c>
      <c r="H1923" s="19"/>
    </row>
    <row r="1924">
      <c r="A1924" s="9"/>
      <c r="B1924" s="15"/>
      <c r="C1924" s="9">
        <f>IFERROR(__xludf.DUMMYFUNCTION("""COMPUTED_VALUE"""),44776.5667227083)</f>
        <v>44776.56672</v>
      </c>
      <c r="D1924" s="15">
        <f>IFERROR(__xludf.DUMMYFUNCTION("""COMPUTED_VALUE"""),1.004)</f>
        <v>1.004</v>
      </c>
      <c r="E1924" s="16">
        <f>IFERROR(__xludf.DUMMYFUNCTION("""COMPUTED_VALUE"""),68.0)</f>
        <v>68</v>
      </c>
      <c r="F1924" s="19" t="str">
        <f>IFERROR(__xludf.DUMMYFUNCTION("""COMPUTED_VALUE"""),"BLACK")</f>
        <v>BLACK</v>
      </c>
      <c r="G1924" s="20" t="str">
        <f>IFERROR(__xludf.DUMMYFUNCTION("""COMPUTED_VALUE"""),"Uncle Sams Cider (5/13/2022)")</f>
        <v>Uncle Sams Cider (5/13/2022)</v>
      </c>
      <c r="H1924" s="19"/>
    </row>
    <row r="1925">
      <c r="A1925" s="9"/>
      <c r="B1925" s="15"/>
      <c r="C1925" s="9">
        <f>IFERROR(__xludf.DUMMYFUNCTION("""COMPUTED_VALUE"""),44776.5563026041)</f>
        <v>44776.5563</v>
      </c>
      <c r="D1925" s="15">
        <f>IFERROR(__xludf.DUMMYFUNCTION("""COMPUTED_VALUE"""),1.004)</f>
        <v>1.004</v>
      </c>
      <c r="E1925" s="16">
        <f>IFERROR(__xludf.DUMMYFUNCTION("""COMPUTED_VALUE"""),68.0)</f>
        <v>68</v>
      </c>
      <c r="F1925" s="19" t="str">
        <f>IFERROR(__xludf.DUMMYFUNCTION("""COMPUTED_VALUE"""),"BLACK")</f>
        <v>BLACK</v>
      </c>
      <c r="G1925" s="20" t="str">
        <f>IFERROR(__xludf.DUMMYFUNCTION("""COMPUTED_VALUE"""),"Uncle Sams Cider (5/13/2022)")</f>
        <v>Uncle Sams Cider (5/13/2022)</v>
      </c>
      <c r="H1925" s="19"/>
    </row>
    <row r="1926">
      <c r="A1926" s="9"/>
      <c r="B1926" s="15"/>
      <c r="C1926" s="9">
        <f>IFERROR(__xludf.DUMMYFUNCTION("""COMPUTED_VALUE"""),44776.5458804629)</f>
        <v>44776.54588</v>
      </c>
      <c r="D1926" s="15">
        <f>IFERROR(__xludf.DUMMYFUNCTION("""COMPUTED_VALUE"""),1.004)</f>
        <v>1.004</v>
      </c>
      <c r="E1926" s="16">
        <f>IFERROR(__xludf.DUMMYFUNCTION("""COMPUTED_VALUE"""),68.0)</f>
        <v>68</v>
      </c>
      <c r="F1926" s="19" t="str">
        <f>IFERROR(__xludf.DUMMYFUNCTION("""COMPUTED_VALUE"""),"BLACK")</f>
        <v>BLACK</v>
      </c>
      <c r="G1926" s="20" t="str">
        <f>IFERROR(__xludf.DUMMYFUNCTION("""COMPUTED_VALUE"""),"Uncle Sams Cider (5/13/2022)")</f>
        <v>Uncle Sams Cider (5/13/2022)</v>
      </c>
      <c r="H1926" s="19"/>
    </row>
    <row r="1927">
      <c r="A1927" s="9"/>
      <c r="B1927" s="15"/>
      <c r="C1927" s="9">
        <f>IFERROR(__xludf.DUMMYFUNCTION("""COMPUTED_VALUE"""),44776.5354582407)</f>
        <v>44776.53546</v>
      </c>
      <c r="D1927" s="15">
        <f>IFERROR(__xludf.DUMMYFUNCTION("""COMPUTED_VALUE"""),1.004)</f>
        <v>1.004</v>
      </c>
      <c r="E1927" s="16">
        <f>IFERROR(__xludf.DUMMYFUNCTION("""COMPUTED_VALUE"""),68.0)</f>
        <v>68</v>
      </c>
      <c r="F1927" s="19" t="str">
        <f>IFERROR(__xludf.DUMMYFUNCTION("""COMPUTED_VALUE"""),"BLACK")</f>
        <v>BLACK</v>
      </c>
      <c r="G1927" s="20" t="str">
        <f>IFERROR(__xludf.DUMMYFUNCTION("""COMPUTED_VALUE"""),"Uncle Sams Cider (5/13/2022)")</f>
        <v>Uncle Sams Cider (5/13/2022)</v>
      </c>
      <c r="H1927" s="19"/>
    </row>
    <row r="1928">
      <c r="A1928" s="9"/>
      <c r="B1928" s="15"/>
      <c r="C1928" s="9">
        <f>IFERROR(__xludf.DUMMYFUNCTION("""COMPUTED_VALUE"""),44776.525038449)</f>
        <v>44776.52504</v>
      </c>
      <c r="D1928" s="15">
        <f>IFERROR(__xludf.DUMMYFUNCTION("""COMPUTED_VALUE"""),1.004)</f>
        <v>1.004</v>
      </c>
      <c r="E1928" s="16">
        <f>IFERROR(__xludf.DUMMYFUNCTION("""COMPUTED_VALUE"""),68.0)</f>
        <v>68</v>
      </c>
      <c r="F1928" s="19" t="str">
        <f>IFERROR(__xludf.DUMMYFUNCTION("""COMPUTED_VALUE"""),"BLACK")</f>
        <v>BLACK</v>
      </c>
      <c r="G1928" s="20" t="str">
        <f>IFERROR(__xludf.DUMMYFUNCTION("""COMPUTED_VALUE"""),"Uncle Sams Cider (5/13/2022)")</f>
        <v>Uncle Sams Cider (5/13/2022)</v>
      </c>
      <c r="H1928" s="19"/>
    </row>
    <row r="1929">
      <c r="A1929" s="9"/>
      <c r="B1929" s="15"/>
      <c r="C1929" s="9">
        <f>IFERROR(__xludf.DUMMYFUNCTION("""COMPUTED_VALUE"""),44776.5146177314)</f>
        <v>44776.51462</v>
      </c>
      <c r="D1929" s="15">
        <f>IFERROR(__xludf.DUMMYFUNCTION("""COMPUTED_VALUE"""),1.004)</f>
        <v>1.004</v>
      </c>
      <c r="E1929" s="16">
        <f>IFERROR(__xludf.DUMMYFUNCTION("""COMPUTED_VALUE"""),68.0)</f>
        <v>68</v>
      </c>
      <c r="F1929" s="19" t="str">
        <f>IFERROR(__xludf.DUMMYFUNCTION("""COMPUTED_VALUE"""),"BLACK")</f>
        <v>BLACK</v>
      </c>
      <c r="G1929" s="20" t="str">
        <f>IFERROR(__xludf.DUMMYFUNCTION("""COMPUTED_VALUE"""),"Uncle Sams Cider (5/13/2022)")</f>
        <v>Uncle Sams Cider (5/13/2022)</v>
      </c>
      <c r="H1929" s="19"/>
    </row>
    <row r="1930">
      <c r="A1930" s="9"/>
      <c r="B1930" s="15"/>
      <c r="C1930" s="9">
        <f>IFERROR(__xludf.DUMMYFUNCTION("""COMPUTED_VALUE"""),44776.5041959259)</f>
        <v>44776.5042</v>
      </c>
      <c r="D1930" s="15">
        <f>IFERROR(__xludf.DUMMYFUNCTION("""COMPUTED_VALUE"""),1.004)</f>
        <v>1.004</v>
      </c>
      <c r="E1930" s="16">
        <f>IFERROR(__xludf.DUMMYFUNCTION("""COMPUTED_VALUE"""),68.0)</f>
        <v>68</v>
      </c>
      <c r="F1930" s="19" t="str">
        <f>IFERROR(__xludf.DUMMYFUNCTION("""COMPUTED_VALUE"""),"BLACK")</f>
        <v>BLACK</v>
      </c>
      <c r="G1930" s="20" t="str">
        <f>IFERROR(__xludf.DUMMYFUNCTION("""COMPUTED_VALUE"""),"Uncle Sams Cider (5/13/2022)")</f>
        <v>Uncle Sams Cider (5/13/2022)</v>
      </c>
      <c r="H1930" s="19"/>
    </row>
    <row r="1931">
      <c r="A1931" s="9"/>
      <c r="B1931" s="15"/>
      <c r="C1931" s="9">
        <f>IFERROR(__xludf.DUMMYFUNCTION("""COMPUTED_VALUE"""),44776.4937634143)</f>
        <v>44776.49376</v>
      </c>
      <c r="D1931" s="15">
        <f>IFERROR(__xludf.DUMMYFUNCTION("""COMPUTED_VALUE"""),1.004)</f>
        <v>1.004</v>
      </c>
      <c r="E1931" s="16">
        <f>IFERROR(__xludf.DUMMYFUNCTION("""COMPUTED_VALUE"""),68.0)</f>
        <v>68</v>
      </c>
      <c r="F1931" s="19" t="str">
        <f>IFERROR(__xludf.DUMMYFUNCTION("""COMPUTED_VALUE"""),"BLACK")</f>
        <v>BLACK</v>
      </c>
      <c r="G1931" s="20" t="str">
        <f>IFERROR(__xludf.DUMMYFUNCTION("""COMPUTED_VALUE"""),"Uncle Sams Cider (5/13/2022)")</f>
        <v>Uncle Sams Cider (5/13/2022)</v>
      </c>
      <c r="H1931" s="19"/>
    </row>
    <row r="1932">
      <c r="A1932" s="9"/>
      <c r="B1932" s="15"/>
      <c r="C1932" s="9">
        <f>IFERROR(__xludf.DUMMYFUNCTION("""COMPUTED_VALUE"""),44776.4833430671)</f>
        <v>44776.48334</v>
      </c>
      <c r="D1932" s="15">
        <f>IFERROR(__xludf.DUMMYFUNCTION("""COMPUTED_VALUE"""),1.004)</f>
        <v>1.004</v>
      </c>
      <c r="E1932" s="16">
        <f>IFERROR(__xludf.DUMMYFUNCTION("""COMPUTED_VALUE"""),68.0)</f>
        <v>68</v>
      </c>
      <c r="F1932" s="19" t="str">
        <f>IFERROR(__xludf.DUMMYFUNCTION("""COMPUTED_VALUE"""),"BLACK")</f>
        <v>BLACK</v>
      </c>
      <c r="G1932" s="20" t="str">
        <f>IFERROR(__xludf.DUMMYFUNCTION("""COMPUTED_VALUE"""),"Uncle Sams Cider (5/13/2022)")</f>
        <v>Uncle Sams Cider (5/13/2022)</v>
      </c>
      <c r="H1932" s="19"/>
    </row>
    <row r="1933">
      <c r="A1933" s="9"/>
      <c r="B1933" s="15"/>
      <c r="C1933" s="9">
        <f>IFERROR(__xludf.DUMMYFUNCTION("""COMPUTED_VALUE"""),44776.4729233912)</f>
        <v>44776.47292</v>
      </c>
      <c r="D1933" s="15">
        <f>IFERROR(__xludf.DUMMYFUNCTION("""COMPUTED_VALUE"""),1.004)</f>
        <v>1.004</v>
      </c>
      <c r="E1933" s="16">
        <f>IFERROR(__xludf.DUMMYFUNCTION("""COMPUTED_VALUE"""),68.0)</f>
        <v>68</v>
      </c>
      <c r="F1933" s="19" t="str">
        <f>IFERROR(__xludf.DUMMYFUNCTION("""COMPUTED_VALUE"""),"BLACK")</f>
        <v>BLACK</v>
      </c>
      <c r="G1933" s="20" t="str">
        <f>IFERROR(__xludf.DUMMYFUNCTION("""COMPUTED_VALUE"""),"Uncle Sams Cider (5/13/2022)")</f>
        <v>Uncle Sams Cider (5/13/2022)</v>
      </c>
      <c r="H1933" s="19"/>
    </row>
    <row r="1934">
      <c r="A1934" s="9"/>
      <c r="B1934" s="15"/>
      <c r="C1934" s="9">
        <f>IFERROR(__xludf.DUMMYFUNCTION("""COMPUTED_VALUE"""),44776.4625028819)</f>
        <v>44776.4625</v>
      </c>
      <c r="D1934" s="15">
        <f>IFERROR(__xludf.DUMMYFUNCTION("""COMPUTED_VALUE"""),1.004)</f>
        <v>1.004</v>
      </c>
      <c r="E1934" s="16">
        <f>IFERROR(__xludf.DUMMYFUNCTION("""COMPUTED_VALUE"""),68.0)</f>
        <v>68</v>
      </c>
      <c r="F1934" s="19" t="str">
        <f>IFERROR(__xludf.DUMMYFUNCTION("""COMPUTED_VALUE"""),"BLACK")</f>
        <v>BLACK</v>
      </c>
      <c r="G1934" s="20" t="str">
        <f>IFERROR(__xludf.DUMMYFUNCTION("""COMPUTED_VALUE"""),"Uncle Sams Cider (5/13/2022)")</f>
        <v>Uncle Sams Cider (5/13/2022)</v>
      </c>
      <c r="H1934" s="19"/>
    </row>
    <row r="1935">
      <c r="A1935" s="9"/>
      <c r="B1935" s="15"/>
      <c r="C1935" s="9">
        <f>IFERROR(__xludf.DUMMYFUNCTION("""COMPUTED_VALUE"""),44776.4520829282)</f>
        <v>44776.45208</v>
      </c>
      <c r="D1935" s="15">
        <f>IFERROR(__xludf.DUMMYFUNCTION("""COMPUTED_VALUE"""),1.004)</f>
        <v>1.004</v>
      </c>
      <c r="E1935" s="16">
        <f>IFERROR(__xludf.DUMMYFUNCTION("""COMPUTED_VALUE"""),68.0)</f>
        <v>68</v>
      </c>
      <c r="F1935" s="19" t="str">
        <f>IFERROR(__xludf.DUMMYFUNCTION("""COMPUTED_VALUE"""),"BLACK")</f>
        <v>BLACK</v>
      </c>
      <c r="G1935" s="20" t="str">
        <f>IFERROR(__xludf.DUMMYFUNCTION("""COMPUTED_VALUE"""),"Uncle Sams Cider (5/13/2022)")</f>
        <v>Uncle Sams Cider (5/13/2022)</v>
      </c>
      <c r="H1935" s="19"/>
    </row>
    <row r="1936">
      <c r="A1936" s="9"/>
      <c r="B1936" s="15"/>
      <c r="C1936" s="9">
        <f>IFERROR(__xludf.DUMMYFUNCTION("""COMPUTED_VALUE"""),44776.4416611574)</f>
        <v>44776.44166</v>
      </c>
      <c r="D1936" s="15">
        <f>IFERROR(__xludf.DUMMYFUNCTION("""COMPUTED_VALUE"""),1.004)</f>
        <v>1.004</v>
      </c>
      <c r="E1936" s="16">
        <f>IFERROR(__xludf.DUMMYFUNCTION("""COMPUTED_VALUE"""),68.0)</f>
        <v>68</v>
      </c>
      <c r="F1936" s="19" t="str">
        <f>IFERROR(__xludf.DUMMYFUNCTION("""COMPUTED_VALUE"""),"BLACK")</f>
        <v>BLACK</v>
      </c>
      <c r="G1936" s="20" t="str">
        <f>IFERROR(__xludf.DUMMYFUNCTION("""COMPUTED_VALUE"""),"Uncle Sams Cider (5/13/2022)")</f>
        <v>Uncle Sams Cider (5/13/2022)</v>
      </c>
      <c r="H1936" s="19"/>
    </row>
    <row r="1937">
      <c r="A1937" s="9"/>
      <c r="B1937" s="15"/>
      <c r="C1937" s="9">
        <f>IFERROR(__xludf.DUMMYFUNCTION("""COMPUTED_VALUE"""),44776.4312406018)</f>
        <v>44776.43124</v>
      </c>
      <c r="D1937" s="15">
        <f>IFERROR(__xludf.DUMMYFUNCTION("""COMPUTED_VALUE"""),1.004)</f>
        <v>1.004</v>
      </c>
      <c r="E1937" s="16">
        <f>IFERROR(__xludf.DUMMYFUNCTION("""COMPUTED_VALUE"""),68.0)</f>
        <v>68</v>
      </c>
      <c r="F1937" s="19" t="str">
        <f>IFERROR(__xludf.DUMMYFUNCTION("""COMPUTED_VALUE"""),"BLACK")</f>
        <v>BLACK</v>
      </c>
      <c r="G1937" s="20" t="str">
        <f>IFERROR(__xludf.DUMMYFUNCTION("""COMPUTED_VALUE"""),"Uncle Sams Cider (5/13/2022)")</f>
        <v>Uncle Sams Cider (5/13/2022)</v>
      </c>
      <c r="H1937" s="19"/>
    </row>
    <row r="1938">
      <c r="A1938" s="9"/>
      <c r="B1938" s="15"/>
      <c r="C1938" s="9">
        <f>IFERROR(__xludf.DUMMYFUNCTION("""COMPUTED_VALUE"""),44776.420819375)</f>
        <v>44776.42082</v>
      </c>
      <c r="D1938" s="15">
        <f>IFERROR(__xludf.DUMMYFUNCTION("""COMPUTED_VALUE"""),1.004)</f>
        <v>1.004</v>
      </c>
      <c r="E1938" s="16">
        <f>IFERROR(__xludf.DUMMYFUNCTION("""COMPUTED_VALUE"""),68.0)</f>
        <v>68</v>
      </c>
      <c r="F1938" s="19" t="str">
        <f>IFERROR(__xludf.DUMMYFUNCTION("""COMPUTED_VALUE"""),"BLACK")</f>
        <v>BLACK</v>
      </c>
      <c r="G1938" s="20" t="str">
        <f>IFERROR(__xludf.DUMMYFUNCTION("""COMPUTED_VALUE"""),"Uncle Sams Cider (5/13/2022)")</f>
        <v>Uncle Sams Cider (5/13/2022)</v>
      </c>
      <c r="H1938" s="19"/>
    </row>
    <row r="1939">
      <c r="A1939" s="9"/>
      <c r="B1939" s="15"/>
      <c r="C1939" s="9">
        <f>IFERROR(__xludf.DUMMYFUNCTION("""COMPUTED_VALUE"""),44776.4103980092)</f>
        <v>44776.4104</v>
      </c>
      <c r="D1939" s="15">
        <f>IFERROR(__xludf.DUMMYFUNCTION("""COMPUTED_VALUE"""),1.004)</f>
        <v>1.004</v>
      </c>
      <c r="E1939" s="16">
        <f>IFERROR(__xludf.DUMMYFUNCTION("""COMPUTED_VALUE"""),68.0)</f>
        <v>68</v>
      </c>
      <c r="F1939" s="19" t="str">
        <f>IFERROR(__xludf.DUMMYFUNCTION("""COMPUTED_VALUE"""),"BLACK")</f>
        <v>BLACK</v>
      </c>
      <c r="G1939" s="20" t="str">
        <f>IFERROR(__xludf.DUMMYFUNCTION("""COMPUTED_VALUE"""),"Uncle Sams Cider (5/13/2022)")</f>
        <v>Uncle Sams Cider (5/13/2022)</v>
      </c>
      <c r="H1939" s="19"/>
    </row>
    <row r="1940">
      <c r="A1940" s="9"/>
      <c r="B1940" s="15"/>
      <c r="C1940" s="9">
        <f>IFERROR(__xludf.DUMMYFUNCTION("""COMPUTED_VALUE"""),44776.3999756134)</f>
        <v>44776.39998</v>
      </c>
      <c r="D1940" s="15">
        <f>IFERROR(__xludf.DUMMYFUNCTION("""COMPUTED_VALUE"""),1.004)</f>
        <v>1.004</v>
      </c>
      <c r="E1940" s="16">
        <f>IFERROR(__xludf.DUMMYFUNCTION("""COMPUTED_VALUE"""),68.0)</f>
        <v>68</v>
      </c>
      <c r="F1940" s="19" t="str">
        <f>IFERROR(__xludf.DUMMYFUNCTION("""COMPUTED_VALUE"""),"BLACK")</f>
        <v>BLACK</v>
      </c>
      <c r="G1940" s="20" t="str">
        <f>IFERROR(__xludf.DUMMYFUNCTION("""COMPUTED_VALUE"""),"Uncle Sams Cider (5/13/2022)")</f>
        <v>Uncle Sams Cider (5/13/2022)</v>
      </c>
      <c r="H1940" s="19"/>
    </row>
    <row r="1941">
      <c r="A1941" s="9"/>
      <c r="B1941" s="15"/>
      <c r="C1941" s="9">
        <f>IFERROR(__xludf.DUMMYFUNCTION("""COMPUTED_VALUE"""),44776.3895435995)</f>
        <v>44776.38954</v>
      </c>
      <c r="D1941" s="15">
        <f>IFERROR(__xludf.DUMMYFUNCTION("""COMPUTED_VALUE"""),1.004)</f>
        <v>1.004</v>
      </c>
      <c r="E1941" s="16">
        <f>IFERROR(__xludf.DUMMYFUNCTION("""COMPUTED_VALUE"""),68.0)</f>
        <v>68</v>
      </c>
      <c r="F1941" s="19" t="str">
        <f>IFERROR(__xludf.DUMMYFUNCTION("""COMPUTED_VALUE"""),"BLACK")</f>
        <v>BLACK</v>
      </c>
      <c r="G1941" s="20" t="str">
        <f>IFERROR(__xludf.DUMMYFUNCTION("""COMPUTED_VALUE"""),"Uncle Sams Cider (5/13/2022)")</f>
        <v>Uncle Sams Cider (5/13/2022)</v>
      </c>
      <c r="H1941" s="19"/>
    </row>
    <row r="1942">
      <c r="A1942" s="9"/>
      <c r="B1942" s="15"/>
      <c r="C1942" s="9">
        <f>IFERROR(__xludf.DUMMYFUNCTION("""COMPUTED_VALUE"""),44776.3791224768)</f>
        <v>44776.37912</v>
      </c>
      <c r="D1942" s="15">
        <f>IFERROR(__xludf.DUMMYFUNCTION("""COMPUTED_VALUE"""),1.004)</f>
        <v>1.004</v>
      </c>
      <c r="E1942" s="16">
        <f>IFERROR(__xludf.DUMMYFUNCTION("""COMPUTED_VALUE"""),68.0)</f>
        <v>68</v>
      </c>
      <c r="F1942" s="19" t="str">
        <f>IFERROR(__xludf.DUMMYFUNCTION("""COMPUTED_VALUE"""),"BLACK")</f>
        <v>BLACK</v>
      </c>
      <c r="G1942" s="20" t="str">
        <f>IFERROR(__xludf.DUMMYFUNCTION("""COMPUTED_VALUE"""),"Uncle Sams Cider (5/13/2022)")</f>
        <v>Uncle Sams Cider (5/13/2022)</v>
      </c>
      <c r="H1942" s="19"/>
    </row>
    <row r="1943">
      <c r="A1943" s="9"/>
      <c r="B1943" s="15"/>
      <c r="C1943" s="9">
        <f>IFERROR(__xludf.DUMMYFUNCTION("""COMPUTED_VALUE"""),44776.3687005439)</f>
        <v>44776.3687</v>
      </c>
      <c r="D1943" s="15">
        <f>IFERROR(__xludf.DUMMYFUNCTION("""COMPUTED_VALUE"""),1.004)</f>
        <v>1.004</v>
      </c>
      <c r="E1943" s="16">
        <f>IFERROR(__xludf.DUMMYFUNCTION("""COMPUTED_VALUE"""),68.0)</f>
        <v>68</v>
      </c>
      <c r="F1943" s="19" t="str">
        <f>IFERROR(__xludf.DUMMYFUNCTION("""COMPUTED_VALUE"""),"BLACK")</f>
        <v>BLACK</v>
      </c>
      <c r="G1943" s="20" t="str">
        <f>IFERROR(__xludf.DUMMYFUNCTION("""COMPUTED_VALUE"""),"Uncle Sams Cider (5/13/2022)")</f>
        <v>Uncle Sams Cider (5/13/2022)</v>
      </c>
      <c r="H1943" s="19"/>
    </row>
    <row r="1944">
      <c r="A1944" s="9"/>
      <c r="B1944" s="15"/>
      <c r="C1944" s="9">
        <f>IFERROR(__xludf.DUMMYFUNCTION("""COMPUTED_VALUE"""),44776.3582810069)</f>
        <v>44776.35828</v>
      </c>
      <c r="D1944" s="15">
        <f>IFERROR(__xludf.DUMMYFUNCTION("""COMPUTED_VALUE"""),1.004)</f>
        <v>1.004</v>
      </c>
      <c r="E1944" s="16">
        <f>IFERROR(__xludf.DUMMYFUNCTION("""COMPUTED_VALUE"""),68.0)</f>
        <v>68</v>
      </c>
      <c r="F1944" s="19" t="str">
        <f>IFERROR(__xludf.DUMMYFUNCTION("""COMPUTED_VALUE"""),"BLACK")</f>
        <v>BLACK</v>
      </c>
      <c r="G1944" s="20" t="str">
        <f>IFERROR(__xludf.DUMMYFUNCTION("""COMPUTED_VALUE"""),"Uncle Sams Cider (5/13/2022)")</f>
        <v>Uncle Sams Cider (5/13/2022)</v>
      </c>
      <c r="H1944" s="19"/>
    </row>
    <row r="1945">
      <c r="A1945" s="9"/>
      <c r="B1945" s="15"/>
      <c r="C1945" s="9">
        <f>IFERROR(__xludf.DUMMYFUNCTION("""COMPUTED_VALUE"""),44776.3478489699)</f>
        <v>44776.34785</v>
      </c>
      <c r="D1945" s="15">
        <f>IFERROR(__xludf.DUMMYFUNCTION("""COMPUTED_VALUE"""),1.004)</f>
        <v>1.004</v>
      </c>
      <c r="E1945" s="16">
        <f>IFERROR(__xludf.DUMMYFUNCTION("""COMPUTED_VALUE"""),68.0)</f>
        <v>68</v>
      </c>
      <c r="F1945" s="19" t="str">
        <f>IFERROR(__xludf.DUMMYFUNCTION("""COMPUTED_VALUE"""),"BLACK")</f>
        <v>BLACK</v>
      </c>
      <c r="G1945" s="20" t="str">
        <f>IFERROR(__xludf.DUMMYFUNCTION("""COMPUTED_VALUE"""),"Uncle Sams Cider (5/13/2022)")</f>
        <v>Uncle Sams Cider (5/13/2022)</v>
      </c>
      <c r="H1945" s="19"/>
    </row>
    <row r="1946">
      <c r="A1946" s="9"/>
      <c r="B1946" s="15"/>
      <c r="C1946" s="9">
        <f>IFERROR(__xludf.DUMMYFUNCTION("""COMPUTED_VALUE"""),44776.3374156597)</f>
        <v>44776.33742</v>
      </c>
      <c r="D1946" s="15">
        <f>IFERROR(__xludf.DUMMYFUNCTION("""COMPUTED_VALUE"""),1.004)</f>
        <v>1.004</v>
      </c>
      <c r="E1946" s="16">
        <f>IFERROR(__xludf.DUMMYFUNCTION("""COMPUTED_VALUE"""),68.0)</f>
        <v>68</v>
      </c>
      <c r="F1946" s="19" t="str">
        <f>IFERROR(__xludf.DUMMYFUNCTION("""COMPUTED_VALUE"""),"BLACK")</f>
        <v>BLACK</v>
      </c>
      <c r="G1946" s="20" t="str">
        <f>IFERROR(__xludf.DUMMYFUNCTION("""COMPUTED_VALUE"""),"Uncle Sams Cider (5/13/2022)")</f>
        <v>Uncle Sams Cider (5/13/2022)</v>
      </c>
      <c r="H1946" s="19"/>
    </row>
    <row r="1947">
      <c r="A1947" s="9"/>
      <c r="B1947" s="15"/>
      <c r="C1947" s="9">
        <f>IFERROR(__xludf.DUMMYFUNCTION("""COMPUTED_VALUE"""),44776.3269953356)</f>
        <v>44776.327</v>
      </c>
      <c r="D1947" s="15">
        <f>IFERROR(__xludf.DUMMYFUNCTION("""COMPUTED_VALUE"""),1.004)</f>
        <v>1.004</v>
      </c>
      <c r="E1947" s="16">
        <f>IFERROR(__xludf.DUMMYFUNCTION("""COMPUTED_VALUE"""),68.0)</f>
        <v>68</v>
      </c>
      <c r="F1947" s="19" t="str">
        <f>IFERROR(__xludf.DUMMYFUNCTION("""COMPUTED_VALUE"""),"BLACK")</f>
        <v>BLACK</v>
      </c>
      <c r="G1947" s="20" t="str">
        <f>IFERROR(__xludf.DUMMYFUNCTION("""COMPUTED_VALUE"""),"Uncle Sams Cider (5/13/2022)")</f>
        <v>Uncle Sams Cider (5/13/2022)</v>
      </c>
      <c r="H1947" s="19"/>
    </row>
    <row r="1948">
      <c r="A1948" s="9"/>
      <c r="B1948" s="15"/>
      <c r="C1948" s="9">
        <f>IFERROR(__xludf.DUMMYFUNCTION("""COMPUTED_VALUE"""),44776.3165740625)</f>
        <v>44776.31657</v>
      </c>
      <c r="D1948" s="15">
        <f>IFERROR(__xludf.DUMMYFUNCTION("""COMPUTED_VALUE"""),1.004)</f>
        <v>1.004</v>
      </c>
      <c r="E1948" s="16">
        <f>IFERROR(__xludf.DUMMYFUNCTION("""COMPUTED_VALUE"""),68.0)</f>
        <v>68</v>
      </c>
      <c r="F1948" s="19" t="str">
        <f>IFERROR(__xludf.DUMMYFUNCTION("""COMPUTED_VALUE"""),"BLACK")</f>
        <v>BLACK</v>
      </c>
      <c r="G1948" s="20" t="str">
        <f>IFERROR(__xludf.DUMMYFUNCTION("""COMPUTED_VALUE"""),"Uncle Sams Cider (5/13/2022)")</f>
        <v>Uncle Sams Cider (5/13/2022)</v>
      </c>
      <c r="H1948" s="19"/>
    </row>
    <row r="1949">
      <c r="A1949" s="9"/>
      <c r="B1949" s="15"/>
      <c r="C1949" s="9">
        <f>IFERROR(__xludf.DUMMYFUNCTION("""COMPUTED_VALUE"""),44776.3061422685)</f>
        <v>44776.30614</v>
      </c>
      <c r="D1949" s="15">
        <f>IFERROR(__xludf.DUMMYFUNCTION("""COMPUTED_VALUE"""),1.004)</f>
        <v>1.004</v>
      </c>
      <c r="E1949" s="16">
        <f>IFERROR(__xludf.DUMMYFUNCTION("""COMPUTED_VALUE"""),68.0)</f>
        <v>68</v>
      </c>
      <c r="F1949" s="19" t="str">
        <f>IFERROR(__xludf.DUMMYFUNCTION("""COMPUTED_VALUE"""),"BLACK")</f>
        <v>BLACK</v>
      </c>
      <c r="G1949" s="20" t="str">
        <f>IFERROR(__xludf.DUMMYFUNCTION("""COMPUTED_VALUE"""),"Uncle Sams Cider (5/13/2022)")</f>
        <v>Uncle Sams Cider (5/13/2022)</v>
      </c>
      <c r="H1949" s="19"/>
    </row>
    <row r="1950">
      <c r="A1950" s="9"/>
      <c r="B1950" s="15"/>
      <c r="C1950" s="9">
        <f>IFERROR(__xludf.DUMMYFUNCTION("""COMPUTED_VALUE"""),44776.2957201736)</f>
        <v>44776.29572</v>
      </c>
      <c r="D1950" s="15">
        <f>IFERROR(__xludf.DUMMYFUNCTION("""COMPUTED_VALUE"""),1.004)</f>
        <v>1.004</v>
      </c>
      <c r="E1950" s="16">
        <f>IFERROR(__xludf.DUMMYFUNCTION("""COMPUTED_VALUE"""),68.0)</f>
        <v>68</v>
      </c>
      <c r="F1950" s="19" t="str">
        <f>IFERROR(__xludf.DUMMYFUNCTION("""COMPUTED_VALUE"""),"BLACK")</f>
        <v>BLACK</v>
      </c>
      <c r="G1950" s="20" t="str">
        <f>IFERROR(__xludf.DUMMYFUNCTION("""COMPUTED_VALUE"""),"Uncle Sams Cider (5/13/2022)")</f>
        <v>Uncle Sams Cider (5/13/2022)</v>
      </c>
      <c r="H1950" s="19"/>
    </row>
    <row r="1951">
      <c r="A1951" s="9"/>
      <c r="B1951" s="15"/>
      <c r="C1951" s="9">
        <f>IFERROR(__xludf.DUMMYFUNCTION("""COMPUTED_VALUE"""),44776.2853010648)</f>
        <v>44776.2853</v>
      </c>
      <c r="D1951" s="15">
        <f>IFERROR(__xludf.DUMMYFUNCTION("""COMPUTED_VALUE"""),1.004)</f>
        <v>1.004</v>
      </c>
      <c r="E1951" s="16">
        <f>IFERROR(__xludf.DUMMYFUNCTION("""COMPUTED_VALUE"""),68.0)</f>
        <v>68</v>
      </c>
      <c r="F1951" s="19" t="str">
        <f>IFERROR(__xludf.DUMMYFUNCTION("""COMPUTED_VALUE"""),"BLACK")</f>
        <v>BLACK</v>
      </c>
      <c r="G1951" s="20" t="str">
        <f>IFERROR(__xludf.DUMMYFUNCTION("""COMPUTED_VALUE"""),"Uncle Sams Cider (5/13/2022)")</f>
        <v>Uncle Sams Cider (5/13/2022)</v>
      </c>
      <c r="H1951" s="19"/>
    </row>
    <row r="1952">
      <c r="A1952" s="9"/>
      <c r="B1952" s="15"/>
      <c r="C1952" s="9">
        <f>IFERROR(__xludf.DUMMYFUNCTION("""COMPUTED_VALUE"""),44776.2748793865)</f>
        <v>44776.27488</v>
      </c>
      <c r="D1952" s="15">
        <f>IFERROR(__xludf.DUMMYFUNCTION("""COMPUTED_VALUE"""),1.004)</f>
        <v>1.004</v>
      </c>
      <c r="E1952" s="16">
        <f>IFERROR(__xludf.DUMMYFUNCTION("""COMPUTED_VALUE"""),68.0)</f>
        <v>68</v>
      </c>
      <c r="F1952" s="19" t="str">
        <f>IFERROR(__xludf.DUMMYFUNCTION("""COMPUTED_VALUE"""),"BLACK")</f>
        <v>BLACK</v>
      </c>
      <c r="G1952" s="20" t="str">
        <f>IFERROR(__xludf.DUMMYFUNCTION("""COMPUTED_VALUE"""),"Uncle Sams Cider (5/13/2022)")</f>
        <v>Uncle Sams Cider (5/13/2022)</v>
      </c>
      <c r="H1952" s="19"/>
    </row>
    <row r="1953">
      <c r="A1953" s="9"/>
      <c r="B1953" s="15"/>
      <c r="C1953" s="9">
        <f>IFERROR(__xludf.DUMMYFUNCTION("""COMPUTED_VALUE"""),44776.2644580324)</f>
        <v>44776.26446</v>
      </c>
      <c r="D1953" s="15">
        <f>IFERROR(__xludf.DUMMYFUNCTION("""COMPUTED_VALUE"""),1.004)</f>
        <v>1.004</v>
      </c>
      <c r="E1953" s="16">
        <f>IFERROR(__xludf.DUMMYFUNCTION("""COMPUTED_VALUE"""),68.0)</f>
        <v>68</v>
      </c>
      <c r="F1953" s="19" t="str">
        <f>IFERROR(__xludf.DUMMYFUNCTION("""COMPUTED_VALUE"""),"BLACK")</f>
        <v>BLACK</v>
      </c>
      <c r="G1953" s="20" t="str">
        <f>IFERROR(__xludf.DUMMYFUNCTION("""COMPUTED_VALUE"""),"Uncle Sams Cider (5/13/2022)")</f>
        <v>Uncle Sams Cider (5/13/2022)</v>
      </c>
      <c r="H1953" s="19"/>
    </row>
    <row r="1954">
      <c r="A1954" s="9"/>
      <c r="B1954" s="15"/>
      <c r="C1954" s="9">
        <f>IFERROR(__xludf.DUMMYFUNCTION("""COMPUTED_VALUE"""),44776.2540253356)</f>
        <v>44776.25403</v>
      </c>
      <c r="D1954" s="15">
        <f>IFERROR(__xludf.DUMMYFUNCTION("""COMPUTED_VALUE"""),1.004)</f>
        <v>1.004</v>
      </c>
      <c r="E1954" s="16">
        <f>IFERROR(__xludf.DUMMYFUNCTION("""COMPUTED_VALUE"""),68.0)</f>
        <v>68</v>
      </c>
      <c r="F1954" s="19" t="str">
        <f>IFERROR(__xludf.DUMMYFUNCTION("""COMPUTED_VALUE"""),"BLACK")</f>
        <v>BLACK</v>
      </c>
      <c r="G1954" s="20" t="str">
        <f>IFERROR(__xludf.DUMMYFUNCTION("""COMPUTED_VALUE"""),"Uncle Sams Cider (5/13/2022)")</f>
        <v>Uncle Sams Cider (5/13/2022)</v>
      </c>
      <c r="H1954" s="19"/>
    </row>
    <row r="1955">
      <c r="A1955" s="9"/>
      <c r="B1955" s="15"/>
      <c r="C1955" s="9">
        <f>IFERROR(__xludf.DUMMYFUNCTION("""COMPUTED_VALUE"""),44776.2436045717)</f>
        <v>44776.2436</v>
      </c>
      <c r="D1955" s="15">
        <f>IFERROR(__xludf.DUMMYFUNCTION("""COMPUTED_VALUE"""),1.004)</f>
        <v>1.004</v>
      </c>
      <c r="E1955" s="16">
        <f>IFERROR(__xludf.DUMMYFUNCTION("""COMPUTED_VALUE"""),68.0)</f>
        <v>68</v>
      </c>
      <c r="F1955" s="19" t="str">
        <f>IFERROR(__xludf.DUMMYFUNCTION("""COMPUTED_VALUE"""),"BLACK")</f>
        <v>BLACK</v>
      </c>
      <c r="G1955" s="20" t="str">
        <f>IFERROR(__xludf.DUMMYFUNCTION("""COMPUTED_VALUE"""),"Uncle Sams Cider (5/13/2022)")</f>
        <v>Uncle Sams Cider (5/13/2022)</v>
      </c>
      <c r="H1955" s="19"/>
    </row>
    <row r="1956">
      <c r="A1956" s="9"/>
      <c r="B1956" s="15"/>
      <c r="C1956" s="9">
        <f>IFERROR(__xludf.DUMMYFUNCTION("""COMPUTED_VALUE"""),44776.2331842476)</f>
        <v>44776.23318</v>
      </c>
      <c r="D1956" s="15">
        <f>IFERROR(__xludf.DUMMYFUNCTION("""COMPUTED_VALUE"""),1.004)</f>
        <v>1.004</v>
      </c>
      <c r="E1956" s="16">
        <f>IFERROR(__xludf.DUMMYFUNCTION("""COMPUTED_VALUE"""),68.0)</f>
        <v>68</v>
      </c>
      <c r="F1956" s="19" t="str">
        <f>IFERROR(__xludf.DUMMYFUNCTION("""COMPUTED_VALUE"""),"BLACK")</f>
        <v>BLACK</v>
      </c>
      <c r="G1956" s="20" t="str">
        <f>IFERROR(__xludf.DUMMYFUNCTION("""COMPUTED_VALUE"""),"Uncle Sams Cider (5/13/2022)")</f>
        <v>Uncle Sams Cider (5/13/2022)</v>
      </c>
      <c r="H1956" s="19"/>
    </row>
    <row r="1957">
      <c r="A1957" s="9"/>
      <c r="B1957" s="15"/>
      <c r="C1957" s="9">
        <f>IFERROR(__xludf.DUMMYFUNCTION("""COMPUTED_VALUE"""),44776.2227640046)</f>
        <v>44776.22276</v>
      </c>
      <c r="D1957" s="15">
        <f>IFERROR(__xludf.DUMMYFUNCTION("""COMPUTED_VALUE"""),1.004)</f>
        <v>1.004</v>
      </c>
      <c r="E1957" s="16">
        <f>IFERROR(__xludf.DUMMYFUNCTION("""COMPUTED_VALUE"""),68.0)</f>
        <v>68</v>
      </c>
      <c r="F1957" s="19" t="str">
        <f>IFERROR(__xludf.DUMMYFUNCTION("""COMPUTED_VALUE"""),"BLACK")</f>
        <v>BLACK</v>
      </c>
      <c r="G1957" s="20" t="str">
        <f>IFERROR(__xludf.DUMMYFUNCTION("""COMPUTED_VALUE"""),"Uncle Sams Cider (5/13/2022)")</f>
        <v>Uncle Sams Cider (5/13/2022)</v>
      </c>
      <c r="H1957" s="19"/>
    </row>
    <row r="1958">
      <c r="A1958" s="9"/>
      <c r="B1958" s="15"/>
      <c r="C1958" s="9">
        <f>IFERROR(__xludf.DUMMYFUNCTION("""COMPUTED_VALUE"""),44776.2123404282)</f>
        <v>44776.21234</v>
      </c>
      <c r="D1958" s="15">
        <f>IFERROR(__xludf.DUMMYFUNCTION("""COMPUTED_VALUE"""),1.004)</f>
        <v>1.004</v>
      </c>
      <c r="E1958" s="16">
        <f>IFERROR(__xludf.DUMMYFUNCTION("""COMPUTED_VALUE"""),68.0)</f>
        <v>68</v>
      </c>
      <c r="F1958" s="19" t="str">
        <f>IFERROR(__xludf.DUMMYFUNCTION("""COMPUTED_VALUE"""),"BLACK")</f>
        <v>BLACK</v>
      </c>
      <c r="G1958" s="20" t="str">
        <f>IFERROR(__xludf.DUMMYFUNCTION("""COMPUTED_VALUE"""),"Uncle Sams Cider (5/13/2022)")</f>
        <v>Uncle Sams Cider (5/13/2022)</v>
      </c>
      <c r="H1958" s="19"/>
    </row>
    <row r="1959">
      <c r="A1959" s="9"/>
      <c r="B1959" s="15"/>
      <c r="C1959" s="9">
        <f>IFERROR(__xludf.DUMMYFUNCTION("""COMPUTED_VALUE"""),44776.2019195833)</f>
        <v>44776.20192</v>
      </c>
      <c r="D1959" s="15">
        <f>IFERROR(__xludf.DUMMYFUNCTION("""COMPUTED_VALUE"""),1.004)</f>
        <v>1.004</v>
      </c>
      <c r="E1959" s="16">
        <f>IFERROR(__xludf.DUMMYFUNCTION("""COMPUTED_VALUE"""),68.0)</f>
        <v>68</v>
      </c>
      <c r="F1959" s="19" t="str">
        <f>IFERROR(__xludf.DUMMYFUNCTION("""COMPUTED_VALUE"""),"BLACK")</f>
        <v>BLACK</v>
      </c>
      <c r="G1959" s="20" t="str">
        <f>IFERROR(__xludf.DUMMYFUNCTION("""COMPUTED_VALUE"""),"Uncle Sams Cider (5/13/2022)")</f>
        <v>Uncle Sams Cider (5/13/2022)</v>
      </c>
      <c r="H1959" s="19"/>
    </row>
    <row r="1960">
      <c r="A1960" s="9"/>
      <c r="B1960" s="15"/>
      <c r="C1960" s="9">
        <f>IFERROR(__xludf.DUMMYFUNCTION("""COMPUTED_VALUE"""),44776.1914986458)</f>
        <v>44776.1915</v>
      </c>
      <c r="D1960" s="15">
        <f>IFERROR(__xludf.DUMMYFUNCTION("""COMPUTED_VALUE"""),1.004)</f>
        <v>1.004</v>
      </c>
      <c r="E1960" s="16">
        <f>IFERROR(__xludf.DUMMYFUNCTION("""COMPUTED_VALUE"""),68.0)</f>
        <v>68</v>
      </c>
      <c r="F1960" s="19" t="str">
        <f>IFERROR(__xludf.DUMMYFUNCTION("""COMPUTED_VALUE"""),"BLACK")</f>
        <v>BLACK</v>
      </c>
      <c r="G1960" s="20" t="str">
        <f>IFERROR(__xludf.DUMMYFUNCTION("""COMPUTED_VALUE"""),"Uncle Sams Cider (5/13/2022)")</f>
        <v>Uncle Sams Cider (5/13/2022)</v>
      </c>
      <c r="H1960" s="19"/>
    </row>
    <row r="1961">
      <c r="A1961" s="9"/>
      <c r="B1961" s="15"/>
      <c r="C1961" s="9">
        <f>IFERROR(__xludf.DUMMYFUNCTION("""COMPUTED_VALUE"""),44776.1810769907)</f>
        <v>44776.18108</v>
      </c>
      <c r="D1961" s="15">
        <f>IFERROR(__xludf.DUMMYFUNCTION("""COMPUTED_VALUE"""),1.004)</f>
        <v>1.004</v>
      </c>
      <c r="E1961" s="16">
        <f>IFERROR(__xludf.DUMMYFUNCTION("""COMPUTED_VALUE"""),68.0)</f>
        <v>68</v>
      </c>
      <c r="F1961" s="19" t="str">
        <f>IFERROR(__xludf.DUMMYFUNCTION("""COMPUTED_VALUE"""),"BLACK")</f>
        <v>BLACK</v>
      </c>
      <c r="G1961" s="20" t="str">
        <f>IFERROR(__xludf.DUMMYFUNCTION("""COMPUTED_VALUE"""),"Uncle Sams Cider (5/13/2022)")</f>
        <v>Uncle Sams Cider (5/13/2022)</v>
      </c>
      <c r="H1961" s="19"/>
    </row>
    <row r="1962">
      <c r="A1962" s="9"/>
      <c r="B1962" s="15"/>
      <c r="C1962" s="9">
        <f>IFERROR(__xludf.DUMMYFUNCTION("""COMPUTED_VALUE"""),44776.1706558449)</f>
        <v>44776.17066</v>
      </c>
      <c r="D1962" s="15">
        <f>IFERROR(__xludf.DUMMYFUNCTION("""COMPUTED_VALUE"""),1.004)</f>
        <v>1.004</v>
      </c>
      <c r="E1962" s="16">
        <f>IFERROR(__xludf.DUMMYFUNCTION("""COMPUTED_VALUE"""),68.0)</f>
        <v>68</v>
      </c>
      <c r="F1962" s="19" t="str">
        <f>IFERROR(__xludf.DUMMYFUNCTION("""COMPUTED_VALUE"""),"BLACK")</f>
        <v>BLACK</v>
      </c>
      <c r="G1962" s="20" t="str">
        <f>IFERROR(__xludf.DUMMYFUNCTION("""COMPUTED_VALUE"""),"Uncle Sams Cider (5/13/2022)")</f>
        <v>Uncle Sams Cider (5/13/2022)</v>
      </c>
      <c r="H1962" s="19"/>
    </row>
    <row r="1963">
      <c r="A1963" s="9"/>
      <c r="B1963" s="15"/>
      <c r="C1963" s="9">
        <f>IFERROR(__xludf.DUMMYFUNCTION("""COMPUTED_VALUE"""),44776.1602341203)</f>
        <v>44776.16023</v>
      </c>
      <c r="D1963" s="15">
        <f>IFERROR(__xludf.DUMMYFUNCTION("""COMPUTED_VALUE"""),1.004)</f>
        <v>1.004</v>
      </c>
      <c r="E1963" s="16">
        <f>IFERROR(__xludf.DUMMYFUNCTION("""COMPUTED_VALUE"""),68.0)</f>
        <v>68</v>
      </c>
      <c r="F1963" s="19" t="str">
        <f>IFERROR(__xludf.DUMMYFUNCTION("""COMPUTED_VALUE"""),"BLACK")</f>
        <v>BLACK</v>
      </c>
      <c r="G1963" s="20" t="str">
        <f>IFERROR(__xludf.DUMMYFUNCTION("""COMPUTED_VALUE"""),"Uncle Sams Cider (5/13/2022)")</f>
        <v>Uncle Sams Cider (5/13/2022)</v>
      </c>
      <c r="H1963" s="19"/>
    </row>
    <row r="1964">
      <c r="A1964" s="9"/>
      <c r="B1964" s="15"/>
      <c r="C1964" s="9">
        <f>IFERROR(__xludf.DUMMYFUNCTION("""COMPUTED_VALUE"""),44776.149801875)</f>
        <v>44776.1498</v>
      </c>
      <c r="D1964" s="15">
        <f>IFERROR(__xludf.DUMMYFUNCTION("""COMPUTED_VALUE"""),1.004)</f>
        <v>1.004</v>
      </c>
      <c r="E1964" s="16">
        <f>IFERROR(__xludf.DUMMYFUNCTION("""COMPUTED_VALUE"""),68.0)</f>
        <v>68</v>
      </c>
      <c r="F1964" s="19" t="str">
        <f>IFERROR(__xludf.DUMMYFUNCTION("""COMPUTED_VALUE"""),"BLACK")</f>
        <v>BLACK</v>
      </c>
      <c r="G1964" s="20" t="str">
        <f>IFERROR(__xludf.DUMMYFUNCTION("""COMPUTED_VALUE"""),"Uncle Sams Cider (5/13/2022)")</f>
        <v>Uncle Sams Cider (5/13/2022)</v>
      </c>
      <c r="H1964" s="19"/>
    </row>
    <row r="1965">
      <c r="A1965" s="9"/>
      <c r="B1965" s="15"/>
      <c r="C1965" s="9">
        <f>IFERROR(__xludf.DUMMYFUNCTION("""COMPUTED_VALUE"""),44776.1393785069)</f>
        <v>44776.13938</v>
      </c>
      <c r="D1965" s="15">
        <f>IFERROR(__xludf.DUMMYFUNCTION("""COMPUTED_VALUE"""),1.004)</f>
        <v>1.004</v>
      </c>
      <c r="E1965" s="16">
        <f>IFERROR(__xludf.DUMMYFUNCTION("""COMPUTED_VALUE"""),68.0)</f>
        <v>68</v>
      </c>
      <c r="F1965" s="19" t="str">
        <f>IFERROR(__xludf.DUMMYFUNCTION("""COMPUTED_VALUE"""),"BLACK")</f>
        <v>BLACK</v>
      </c>
      <c r="G1965" s="20" t="str">
        <f>IFERROR(__xludf.DUMMYFUNCTION("""COMPUTED_VALUE"""),"Uncle Sams Cider (5/13/2022)")</f>
        <v>Uncle Sams Cider (5/13/2022)</v>
      </c>
      <c r="H1965" s="19"/>
    </row>
    <row r="1966">
      <c r="A1966" s="9"/>
      <c r="B1966" s="15"/>
      <c r="C1966" s="9">
        <f>IFERROR(__xludf.DUMMYFUNCTION("""COMPUTED_VALUE"""),44776.128945787)</f>
        <v>44776.12895</v>
      </c>
      <c r="D1966" s="15">
        <f>IFERROR(__xludf.DUMMYFUNCTION("""COMPUTED_VALUE"""),1.004)</f>
        <v>1.004</v>
      </c>
      <c r="E1966" s="16">
        <f>IFERROR(__xludf.DUMMYFUNCTION("""COMPUTED_VALUE"""),68.0)</f>
        <v>68</v>
      </c>
      <c r="F1966" s="19" t="str">
        <f>IFERROR(__xludf.DUMMYFUNCTION("""COMPUTED_VALUE"""),"BLACK")</f>
        <v>BLACK</v>
      </c>
      <c r="G1966" s="20" t="str">
        <f>IFERROR(__xludf.DUMMYFUNCTION("""COMPUTED_VALUE"""),"Uncle Sams Cider (5/13/2022)")</f>
        <v>Uncle Sams Cider (5/13/2022)</v>
      </c>
      <c r="H1966" s="19"/>
    </row>
    <row r="1967">
      <c r="A1967" s="9"/>
      <c r="B1967" s="15"/>
      <c r="C1967" s="9">
        <f>IFERROR(__xludf.DUMMYFUNCTION("""COMPUTED_VALUE"""),44776.1185242824)</f>
        <v>44776.11852</v>
      </c>
      <c r="D1967" s="15">
        <f>IFERROR(__xludf.DUMMYFUNCTION("""COMPUTED_VALUE"""),1.004)</f>
        <v>1.004</v>
      </c>
      <c r="E1967" s="16">
        <f>IFERROR(__xludf.DUMMYFUNCTION("""COMPUTED_VALUE"""),68.0)</f>
        <v>68</v>
      </c>
      <c r="F1967" s="19" t="str">
        <f>IFERROR(__xludf.DUMMYFUNCTION("""COMPUTED_VALUE"""),"BLACK")</f>
        <v>BLACK</v>
      </c>
      <c r="G1967" s="20" t="str">
        <f>IFERROR(__xludf.DUMMYFUNCTION("""COMPUTED_VALUE"""),"Uncle Sams Cider (5/13/2022)")</f>
        <v>Uncle Sams Cider (5/13/2022)</v>
      </c>
      <c r="H1967" s="19"/>
    </row>
    <row r="1968">
      <c r="A1968" s="9"/>
      <c r="B1968" s="15"/>
      <c r="C1968" s="9">
        <f>IFERROR(__xludf.DUMMYFUNCTION("""COMPUTED_VALUE"""),44776.1080897222)</f>
        <v>44776.10809</v>
      </c>
      <c r="D1968" s="15">
        <f>IFERROR(__xludf.DUMMYFUNCTION("""COMPUTED_VALUE"""),1.004)</f>
        <v>1.004</v>
      </c>
      <c r="E1968" s="16">
        <f>IFERROR(__xludf.DUMMYFUNCTION("""COMPUTED_VALUE"""),68.0)</f>
        <v>68</v>
      </c>
      <c r="F1968" s="19" t="str">
        <f>IFERROR(__xludf.DUMMYFUNCTION("""COMPUTED_VALUE"""),"BLACK")</f>
        <v>BLACK</v>
      </c>
      <c r="G1968" s="20" t="str">
        <f>IFERROR(__xludf.DUMMYFUNCTION("""COMPUTED_VALUE"""),"Uncle Sams Cider (5/13/2022)")</f>
        <v>Uncle Sams Cider (5/13/2022)</v>
      </c>
      <c r="H1968" s="19"/>
    </row>
    <row r="1969">
      <c r="A1969" s="9"/>
      <c r="B1969" s="15"/>
      <c r="C1969" s="9">
        <f>IFERROR(__xludf.DUMMYFUNCTION("""COMPUTED_VALUE"""),44776.0976689699)</f>
        <v>44776.09767</v>
      </c>
      <c r="D1969" s="15">
        <f>IFERROR(__xludf.DUMMYFUNCTION("""COMPUTED_VALUE"""),1.004)</f>
        <v>1.004</v>
      </c>
      <c r="E1969" s="16">
        <f>IFERROR(__xludf.DUMMYFUNCTION("""COMPUTED_VALUE"""),68.0)</f>
        <v>68</v>
      </c>
      <c r="F1969" s="19" t="str">
        <f>IFERROR(__xludf.DUMMYFUNCTION("""COMPUTED_VALUE"""),"BLACK")</f>
        <v>BLACK</v>
      </c>
      <c r="G1969" s="20" t="str">
        <f>IFERROR(__xludf.DUMMYFUNCTION("""COMPUTED_VALUE"""),"Uncle Sams Cider (5/13/2022)")</f>
        <v>Uncle Sams Cider (5/13/2022)</v>
      </c>
      <c r="H1969" s="19"/>
    </row>
    <row r="1970">
      <c r="A1970" s="9"/>
      <c r="B1970" s="15"/>
      <c r="C1970" s="9">
        <f>IFERROR(__xludf.DUMMYFUNCTION("""COMPUTED_VALUE"""),44776.087247905)</f>
        <v>44776.08725</v>
      </c>
      <c r="D1970" s="15">
        <f>IFERROR(__xludf.DUMMYFUNCTION("""COMPUTED_VALUE"""),1.004)</f>
        <v>1.004</v>
      </c>
      <c r="E1970" s="16">
        <f>IFERROR(__xludf.DUMMYFUNCTION("""COMPUTED_VALUE"""),68.0)</f>
        <v>68</v>
      </c>
      <c r="F1970" s="19" t="str">
        <f>IFERROR(__xludf.DUMMYFUNCTION("""COMPUTED_VALUE"""),"BLACK")</f>
        <v>BLACK</v>
      </c>
      <c r="G1970" s="20" t="str">
        <f>IFERROR(__xludf.DUMMYFUNCTION("""COMPUTED_VALUE"""),"Uncle Sams Cider (5/13/2022)")</f>
        <v>Uncle Sams Cider (5/13/2022)</v>
      </c>
      <c r="H1970" s="19"/>
    </row>
    <row r="1971">
      <c r="A1971" s="9"/>
      <c r="B1971" s="15"/>
      <c r="C1971" s="9">
        <f>IFERROR(__xludf.DUMMYFUNCTION("""COMPUTED_VALUE"""),44776.0768258796)</f>
        <v>44776.07683</v>
      </c>
      <c r="D1971" s="15">
        <f>IFERROR(__xludf.DUMMYFUNCTION("""COMPUTED_VALUE"""),1.004)</f>
        <v>1.004</v>
      </c>
      <c r="E1971" s="16">
        <f>IFERROR(__xludf.DUMMYFUNCTION("""COMPUTED_VALUE"""),68.0)</f>
        <v>68</v>
      </c>
      <c r="F1971" s="19" t="str">
        <f>IFERROR(__xludf.DUMMYFUNCTION("""COMPUTED_VALUE"""),"BLACK")</f>
        <v>BLACK</v>
      </c>
      <c r="G1971" s="20" t="str">
        <f>IFERROR(__xludf.DUMMYFUNCTION("""COMPUTED_VALUE"""),"Uncle Sams Cider (5/13/2022)")</f>
        <v>Uncle Sams Cider (5/13/2022)</v>
      </c>
      <c r="H1971" s="19"/>
    </row>
    <row r="1972">
      <c r="A1972" s="9"/>
      <c r="B1972" s="15"/>
      <c r="C1972" s="9">
        <f>IFERROR(__xludf.DUMMYFUNCTION("""COMPUTED_VALUE"""),44776.0664058796)</f>
        <v>44776.06641</v>
      </c>
      <c r="D1972" s="15">
        <f>IFERROR(__xludf.DUMMYFUNCTION("""COMPUTED_VALUE"""),1.004)</f>
        <v>1.004</v>
      </c>
      <c r="E1972" s="16">
        <f>IFERROR(__xludf.DUMMYFUNCTION("""COMPUTED_VALUE"""),67.0)</f>
        <v>67</v>
      </c>
      <c r="F1972" s="19" t="str">
        <f>IFERROR(__xludf.DUMMYFUNCTION("""COMPUTED_VALUE"""),"BLACK")</f>
        <v>BLACK</v>
      </c>
      <c r="G1972" s="20" t="str">
        <f>IFERROR(__xludf.DUMMYFUNCTION("""COMPUTED_VALUE"""),"Uncle Sams Cider (5/13/2022)")</f>
        <v>Uncle Sams Cider (5/13/2022)</v>
      </c>
      <c r="H1972" s="19"/>
    </row>
    <row r="1973">
      <c r="A1973" s="9"/>
      <c r="B1973" s="15"/>
      <c r="C1973" s="9">
        <f>IFERROR(__xludf.DUMMYFUNCTION("""COMPUTED_VALUE"""),44776.0559835069)</f>
        <v>44776.05598</v>
      </c>
      <c r="D1973" s="15">
        <f>IFERROR(__xludf.DUMMYFUNCTION("""COMPUTED_VALUE"""),1.004)</f>
        <v>1.004</v>
      </c>
      <c r="E1973" s="16">
        <f>IFERROR(__xludf.DUMMYFUNCTION("""COMPUTED_VALUE"""),67.0)</f>
        <v>67</v>
      </c>
      <c r="F1973" s="19" t="str">
        <f>IFERROR(__xludf.DUMMYFUNCTION("""COMPUTED_VALUE"""),"BLACK")</f>
        <v>BLACK</v>
      </c>
      <c r="G1973" s="20" t="str">
        <f>IFERROR(__xludf.DUMMYFUNCTION("""COMPUTED_VALUE"""),"Uncle Sams Cider (5/13/2022)")</f>
        <v>Uncle Sams Cider (5/13/2022)</v>
      </c>
      <c r="H1973" s="19"/>
    </row>
    <row r="1974">
      <c r="A1974" s="9"/>
      <c r="B1974" s="15"/>
      <c r="C1974" s="9">
        <f>IFERROR(__xludf.DUMMYFUNCTION("""COMPUTED_VALUE"""),44776.0455621064)</f>
        <v>44776.04556</v>
      </c>
      <c r="D1974" s="15">
        <f>IFERROR(__xludf.DUMMYFUNCTION("""COMPUTED_VALUE"""),1.004)</f>
        <v>1.004</v>
      </c>
      <c r="E1974" s="16">
        <f>IFERROR(__xludf.DUMMYFUNCTION("""COMPUTED_VALUE"""),68.0)</f>
        <v>68</v>
      </c>
      <c r="F1974" s="19" t="str">
        <f>IFERROR(__xludf.DUMMYFUNCTION("""COMPUTED_VALUE"""),"BLACK")</f>
        <v>BLACK</v>
      </c>
      <c r="G1974" s="20" t="str">
        <f>IFERROR(__xludf.DUMMYFUNCTION("""COMPUTED_VALUE"""),"Uncle Sams Cider (5/13/2022)")</f>
        <v>Uncle Sams Cider (5/13/2022)</v>
      </c>
      <c r="H1974" s="19"/>
    </row>
    <row r="1975">
      <c r="A1975" s="9"/>
      <c r="B1975" s="15"/>
      <c r="C1975" s="9">
        <f>IFERROR(__xludf.DUMMYFUNCTION("""COMPUTED_VALUE"""),44776.0351414583)</f>
        <v>44776.03514</v>
      </c>
      <c r="D1975" s="15">
        <f>IFERROR(__xludf.DUMMYFUNCTION("""COMPUTED_VALUE"""),1.004)</f>
        <v>1.004</v>
      </c>
      <c r="E1975" s="16">
        <f>IFERROR(__xludf.DUMMYFUNCTION("""COMPUTED_VALUE"""),67.0)</f>
        <v>67</v>
      </c>
      <c r="F1975" s="19" t="str">
        <f>IFERROR(__xludf.DUMMYFUNCTION("""COMPUTED_VALUE"""),"BLACK")</f>
        <v>BLACK</v>
      </c>
      <c r="G1975" s="20" t="str">
        <f>IFERROR(__xludf.DUMMYFUNCTION("""COMPUTED_VALUE"""),"Uncle Sams Cider (5/13/2022)")</f>
        <v>Uncle Sams Cider (5/13/2022)</v>
      </c>
      <c r="H1975" s="19"/>
    </row>
    <row r="1976">
      <c r="A1976" s="9"/>
      <c r="B1976" s="15"/>
      <c r="C1976" s="9">
        <f>IFERROR(__xludf.DUMMYFUNCTION("""COMPUTED_VALUE"""),44776.0247186342)</f>
        <v>44776.02472</v>
      </c>
      <c r="D1976" s="15">
        <f>IFERROR(__xludf.DUMMYFUNCTION("""COMPUTED_VALUE"""),1.004)</f>
        <v>1.004</v>
      </c>
      <c r="E1976" s="16">
        <f>IFERROR(__xludf.DUMMYFUNCTION("""COMPUTED_VALUE"""),67.0)</f>
        <v>67</v>
      </c>
      <c r="F1976" s="19" t="str">
        <f>IFERROR(__xludf.DUMMYFUNCTION("""COMPUTED_VALUE"""),"BLACK")</f>
        <v>BLACK</v>
      </c>
      <c r="G1976" s="20" t="str">
        <f>IFERROR(__xludf.DUMMYFUNCTION("""COMPUTED_VALUE"""),"Uncle Sams Cider (5/13/2022)")</f>
        <v>Uncle Sams Cider (5/13/2022)</v>
      </c>
      <c r="H1976" s="19"/>
    </row>
    <row r="1977">
      <c r="A1977" s="9"/>
      <c r="B1977" s="15"/>
      <c r="C1977" s="9">
        <f>IFERROR(__xludf.DUMMYFUNCTION("""COMPUTED_VALUE"""),44776.014297662)</f>
        <v>44776.0143</v>
      </c>
      <c r="D1977" s="15">
        <f>IFERROR(__xludf.DUMMYFUNCTION("""COMPUTED_VALUE"""),1.004)</f>
        <v>1.004</v>
      </c>
      <c r="E1977" s="16">
        <f>IFERROR(__xludf.DUMMYFUNCTION("""COMPUTED_VALUE"""),67.0)</f>
        <v>67</v>
      </c>
      <c r="F1977" s="19" t="str">
        <f>IFERROR(__xludf.DUMMYFUNCTION("""COMPUTED_VALUE"""),"BLACK")</f>
        <v>BLACK</v>
      </c>
      <c r="G1977" s="20" t="str">
        <f>IFERROR(__xludf.DUMMYFUNCTION("""COMPUTED_VALUE"""),"Uncle Sams Cider (5/13/2022)")</f>
        <v>Uncle Sams Cider (5/13/2022)</v>
      </c>
      <c r="H1977" s="19"/>
    </row>
    <row r="1978">
      <c r="A1978" s="9"/>
      <c r="B1978" s="15"/>
      <c r="C1978" s="9">
        <f>IFERROR(__xludf.DUMMYFUNCTION("""COMPUTED_VALUE"""),44776.0038772337)</f>
        <v>44776.00388</v>
      </c>
      <c r="D1978" s="15">
        <f>IFERROR(__xludf.DUMMYFUNCTION("""COMPUTED_VALUE"""),1.004)</f>
        <v>1.004</v>
      </c>
      <c r="E1978" s="16">
        <f>IFERROR(__xludf.DUMMYFUNCTION("""COMPUTED_VALUE"""),67.0)</f>
        <v>67</v>
      </c>
      <c r="F1978" s="19" t="str">
        <f>IFERROR(__xludf.DUMMYFUNCTION("""COMPUTED_VALUE"""),"BLACK")</f>
        <v>BLACK</v>
      </c>
      <c r="G1978" s="20" t="str">
        <f>IFERROR(__xludf.DUMMYFUNCTION("""COMPUTED_VALUE"""),"Uncle Sams Cider (5/13/2022)")</f>
        <v>Uncle Sams Cider (5/13/2022)</v>
      </c>
      <c r="H1978" s="19"/>
    </row>
    <row r="1979">
      <c r="A1979" s="9"/>
      <c r="B1979" s="15"/>
      <c r="C1979" s="9">
        <f>IFERROR(__xludf.DUMMYFUNCTION("""COMPUTED_VALUE"""),44775.9934550578)</f>
        <v>44775.99346</v>
      </c>
      <c r="D1979" s="15">
        <f>IFERROR(__xludf.DUMMYFUNCTION("""COMPUTED_VALUE"""),1.004)</f>
        <v>1.004</v>
      </c>
      <c r="E1979" s="16">
        <f>IFERROR(__xludf.DUMMYFUNCTION("""COMPUTED_VALUE"""),67.0)</f>
        <v>67</v>
      </c>
      <c r="F1979" s="19" t="str">
        <f>IFERROR(__xludf.DUMMYFUNCTION("""COMPUTED_VALUE"""),"BLACK")</f>
        <v>BLACK</v>
      </c>
      <c r="G1979" s="20" t="str">
        <f>IFERROR(__xludf.DUMMYFUNCTION("""COMPUTED_VALUE"""),"Uncle Sams Cider (5/13/2022)")</f>
        <v>Uncle Sams Cider (5/13/2022)</v>
      </c>
      <c r="H1979" s="19"/>
    </row>
    <row r="1980">
      <c r="A1980" s="9"/>
      <c r="B1980" s="15"/>
      <c r="C1980" s="9">
        <f>IFERROR(__xludf.DUMMYFUNCTION("""COMPUTED_VALUE"""),44775.9830342476)</f>
        <v>44775.98303</v>
      </c>
      <c r="D1980" s="15">
        <f>IFERROR(__xludf.DUMMYFUNCTION("""COMPUTED_VALUE"""),1.004)</f>
        <v>1.004</v>
      </c>
      <c r="E1980" s="16">
        <f>IFERROR(__xludf.DUMMYFUNCTION("""COMPUTED_VALUE"""),67.0)</f>
        <v>67</v>
      </c>
      <c r="F1980" s="19" t="str">
        <f>IFERROR(__xludf.DUMMYFUNCTION("""COMPUTED_VALUE"""),"BLACK")</f>
        <v>BLACK</v>
      </c>
      <c r="G1980" s="20" t="str">
        <f>IFERROR(__xludf.DUMMYFUNCTION("""COMPUTED_VALUE"""),"Uncle Sams Cider (5/13/2022)")</f>
        <v>Uncle Sams Cider (5/13/2022)</v>
      </c>
      <c r="H1980" s="19"/>
    </row>
    <row r="1981">
      <c r="A1981" s="9"/>
      <c r="B1981" s="15"/>
      <c r="C1981" s="9">
        <f>IFERROR(__xludf.DUMMYFUNCTION("""COMPUTED_VALUE"""),44775.9726007523)</f>
        <v>44775.9726</v>
      </c>
      <c r="D1981" s="15">
        <f>IFERROR(__xludf.DUMMYFUNCTION("""COMPUTED_VALUE"""),1.004)</f>
        <v>1.004</v>
      </c>
      <c r="E1981" s="16">
        <f>IFERROR(__xludf.DUMMYFUNCTION("""COMPUTED_VALUE"""),67.0)</f>
        <v>67</v>
      </c>
      <c r="F1981" s="19" t="str">
        <f>IFERROR(__xludf.DUMMYFUNCTION("""COMPUTED_VALUE"""),"BLACK")</f>
        <v>BLACK</v>
      </c>
      <c r="G1981" s="20" t="str">
        <f>IFERROR(__xludf.DUMMYFUNCTION("""COMPUTED_VALUE"""),"Uncle Sams Cider (5/13/2022)")</f>
        <v>Uncle Sams Cider (5/13/2022)</v>
      </c>
      <c r="H1981" s="19"/>
    </row>
    <row r="1982">
      <c r="A1982" s="9"/>
      <c r="B1982" s="15"/>
      <c r="C1982" s="9">
        <f>IFERROR(__xludf.DUMMYFUNCTION("""COMPUTED_VALUE"""),44775.9621797569)</f>
        <v>44775.96218</v>
      </c>
      <c r="D1982" s="15">
        <f>IFERROR(__xludf.DUMMYFUNCTION("""COMPUTED_VALUE"""),1.004)</f>
        <v>1.004</v>
      </c>
      <c r="E1982" s="16">
        <f>IFERROR(__xludf.DUMMYFUNCTION("""COMPUTED_VALUE"""),67.0)</f>
        <v>67</v>
      </c>
      <c r="F1982" s="19" t="str">
        <f>IFERROR(__xludf.DUMMYFUNCTION("""COMPUTED_VALUE"""),"BLACK")</f>
        <v>BLACK</v>
      </c>
      <c r="G1982" s="20" t="str">
        <f>IFERROR(__xludf.DUMMYFUNCTION("""COMPUTED_VALUE"""),"Uncle Sams Cider (5/13/2022)")</f>
        <v>Uncle Sams Cider (5/13/2022)</v>
      </c>
      <c r="H1982" s="19"/>
    </row>
    <row r="1983">
      <c r="A1983" s="9"/>
      <c r="B1983" s="15"/>
      <c r="C1983" s="9">
        <f>IFERROR(__xludf.DUMMYFUNCTION("""COMPUTED_VALUE"""),44775.9517570601)</f>
        <v>44775.95176</v>
      </c>
      <c r="D1983" s="15">
        <f>IFERROR(__xludf.DUMMYFUNCTION("""COMPUTED_VALUE"""),1.004)</f>
        <v>1.004</v>
      </c>
      <c r="E1983" s="16">
        <f>IFERROR(__xludf.DUMMYFUNCTION("""COMPUTED_VALUE"""),67.0)</f>
        <v>67</v>
      </c>
      <c r="F1983" s="19" t="str">
        <f>IFERROR(__xludf.DUMMYFUNCTION("""COMPUTED_VALUE"""),"BLACK")</f>
        <v>BLACK</v>
      </c>
      <c r="G1983" s="20" t="str">
        <f>IFERROR(__xludf.DUMMYFUNCTION("""COMPUTED_VALUE"""),"Uncle Sams Cider (5/13/2022)")</f>
        <v>Uncle Sams Cider (5/13/2022)</v>
      </c>
      <c r="H1983" s="19"/>
    </row>
    <row r="1984">
      <c r="A1984" s="9"/>
      <c r="B1984" s="15"/>
      <c r="C1984" s="9">
        <f>IFERROR(__xludf.DUMMYFUNCTION("""COMPUTED_VALUE"""),44775.9413358796)</f>
        <v>44775.94134</v>
      </c>
      <c r="D1984" s="15">
        <f>IFERROR(__xludf.DUMMYFUNCTION("""COMPUTED_VALUE"""),1.004)</f>
        <v>1.004</v>
      </c>
      <c r="E1984" s="16">
        <f>IFERROR(__xludf.DUMMYFUNCTION("""COMPUTED_VALUE"""),67.0)</f>
        <v>67</v>
      </c>
      <c r="F1984" s="19" t="str">
        <f>IFERROR(__xludf.DUMMYFUNCTION("""COMPUTED_VALUE"""),"BLACK")</f>
        <v>BLACK</v>
      </c>
      <c r="G1984" s="20" t="str">
        <f>IFERROR(__xludf.DUMMYFUNCTION("""COMPUTED_VALUE"""),"Uncle Sams Cider (5/13/2022)")</f>
        <v>Uncle Sams Cider (5/13/2022)</v>
      </c>
      <c r="H1984" s="19"/>
    </row>
    <row r="1985">
      <c r="A1985" s="9"/>
      <c r="B1985" s="15"/>
      <c r="C1985" s="9">
        <f>IFERROR(__xludf.DUMMYFUNCTION("""COMPUTED_VALUE"""),44775.9309144328)</f>
        <v>44775.93091</v>
      </c>
      <c r="D1985" s="15">
        <f>IFERROR(__xludf.DUMMYFUNCTION("""COMPUTED_VALUE"""),1.004)</f>
        <v>1.004</v>
      </c>
      <c r="E1985" s="16">
        <f>IFERROR(__xludf.DUMMYFUNCTION("""COMPUTED_VALUE"""),67.0)</f>
        <v>67</v>
      </c>
      <c r="F1985" s="19" t="str">
        <f>IFERROR(__xludf.DUMMYFUNCTION("""COMPUTED_VALUE"""),"BLACK")</f>
        <v>BLACK</v>
      </c>
      <c r="G1985" s="20" t="str">
        <f>IFERROR(__xludf.DUMMYFUNCTION("""COMPUTED_VALUE"""),"Uncle Sams Cider (5/13/2022)")</f>
        <v>Uncle Sams Cider (5/13/2022)</v>
      </c>
      <c r="H1985" s="19"/>
    </row>
    <row r="1986">
      <c r="A1986" s="9"/>
      <c r="B1986" s="15"/>
      <c r="C1986" s="9">
        <f>IFERROR(__xludf.DUMMYFUNCTION("""COMPUTED_VALUE"""),44775.920495787)</f>
        <v>44775.9205</v>
      </c>
      <c r="D1986" s="15">
        <f>IFERROR(__xludf.DUMMYFUNCTION("""COMPUTED_VALUE"""),1.004)</f>
        <v>1.004</v>
      </c>
      <c r="E1986" s="16">
        <f>IFERROR(__xludf.DUMMYFUNCTION("""COMPUTED_VALUE"""),67.0)</f>
        <v>67</v>
      </c>
      <c r="F1986" s="19" t="str">
        <f>IFERROR(__xludf.DUMMYFUNCTION("""COMPUTED_VALUE"""),"BLACK")</f>
        <v>BLACK</v>
      </c>
      <c r="G1986" s="20" t="str">
        <f>IFERROR(__xludf.DUMMYFUNCTION("""COMPUTED_VALUE"""),"Uncle Sams Cider (5/13/2022)")</f>
        <v>Uncle Sams Cider (5/13/2022)</v>
      </c>
      <c r="H1986" s="19"/>
    </row>
    <row r="1987">
      <c r="A1987" s="9"/>
      <c r="B1987" s="15"/>
      <c r="C1987" s="9">
        <f>IFERROR(__xludf.DUMMYFUNCTION("""COMPUTED_VALUE"""),44775.9100623611)</f>
        <v>44775.91006</v>
      </c>
      <c r="D1987" s="15">
        <f>IFERROR(__xludf.DUMMYFUNCTION("""COMPUTED_VALUE"""),1.004)</f>
        <v>1.004</v>
      </c>
      <c r="E1987" s="16">
        <f>IFERROR(__xludf.DUMMYFUNCTION("""COMPUTED_VALUE"""),67.0)</f>
        <v>67</v>
      </c>
      <c r="F1987" s="19" t="str">
        <f>IFERROR(__xludf.DUMMYFUNCTION("""COMPUTED_VALUE"""),"BLACK")</f>
        <v>BLACK</v>
      </c>
      <c r="G1987" s="20" t="str">
        <f>IFERROR(__xludf.DUMMYFUNCTION("""COMPUTED_VALUE"""),"Uncle Sams Cider (5/13/2022)")</f>
        <v>Uncle Sams Cider (5/13/2022)</v>
      </c>
      <c r="H1987" s="19"/>
    </row>
    <row r="1988">
      <c r="A1988" s="9"/>
      <c r="B1988" s="15"/>
      <c r="C1988" s="9">
        <f>IFERROR(__xludf.DUMMYFUNCTION("""COMPUTED_VALUE"""),44775.8996390972)</f>
        <v>44775.89964</v>
      </c>
      <c r="D1988" s="15">
        <f>IFERROR(__xludf.DUMMYFUNCTION("""COMPUTED_VALUE"""),1.004)</f>
        <v>1.004</v>
      </c>
      <c r="E1988" s="16">
        <f>IFERROR(__xludf.DUMMYFUNCTION("""COMPUTED_VALUE"""),67.0)</f>
        <v>67</v>
      </c>
      <c r="F1988" s="19" t="str">
        <f>IFERROR(__xludf.DUMMYFUNCTION("""COMPUTED_VALUE"""),"BLACK")</f>
        <v>BLACK</v>
      </c>
      <c r="G1988" s="20" t="str">
        <f>IFERROR(__xludf.DUMMYFUNCTION("""COMPUTED_VALUE"""),"Uncle Sams Cider (5/13/2022)")</f>
        <v>Uncle Sams Cider (5/13/2022)</v>
      </c>
      <c r="H1988" s="19"/>
    </row>
    <row r="1989">
      <c r="A1989" s="9"/>
      <c r="B1989" s="15"/>
      <c r="C1989" s="9">
        <f>IFERROR(__xludf.DUMMYFUNCTION("""COMPUTED_VALUE"""),44775.8892177083)</f>
        <v>44775.88922</v>
      </c>
      <c r="D1989" s="15">
        <f>IFERROR(__xludf.DUMMYFUNCTION("""COMPUTED_VALUE"""),1.004)</f>
        <v>1.004</v>
      </c>
      <c r="E1989" s="16">
        <f>IFERROR(__xludf.DUMMYFUNCTION("""COMPUTED_VALUE"""),67.0)</f>
        <v>67</v>
      </c>
      <c r="F1989" s="19" t="str">
        <f>IFERROR(__xludf.DUMMYFUNCTION("""COMPUTED_VALUE"""),"BLACK")</f>
        <v>BLACK</v>
      </c>
      <c r="G1989" s="20" t="str">
        <f>IFERROR(__xludf.DUMMYFUNCTION("""COMPUTED_VALUE"""),"Uncle Sams Cider (5/13/2022)")</f>
        <v>Uncle Sams Cider (5/13/2022)</v>
      </c>
      <c r="H1989" s="19"/>
    </row>
    <row r="1990">
      <c r="A1990" s="9"/>
      <c r="B1990" s="15"/>
      <c r="C1990" s="9">
        <f>IFERROR(__xludf.DUMMYFUNCTION("""COMPUTED_VALUE"""),44775.8787975)</f>
        <v>44775.8788</v>
      </c>
      <c r="D1990" s="15">
        <f>IFERROR(__xludf.DUMMYFUNCTION("""COMPUTED_VALUE"""),1.004)</f>
        <v>1.004</v>
      </c>
      <c r="E1990" s="16">
        <f>IFERROR(__xludf.DUMMYFUNCTION("""COMPUTED_VALUE"""),67.0)</f>
        <v>67</v>
      </c>
      <c r="F1990" s="19" t="str">
        <f>IFERROR(__xludf.DUMMYFUNCTION("""COMPUTED_VALUE"""),"BLACK")</f>
        <v>BLACK</v>
      </c>
      <c r="G1990" s="20" t="str">
        <f>IFERROR(__xludf.DUMMYFUNCTION("""COMPUTED_VALUE"""),"Uncle Sams Cider (5/13/2022)")</f>
        <v>Uncle Sams Cider (5/13/2022)</v>
      </c>
      <c r="H1990" s="19"/>
    </row>
    <row r="1991">
      <c r="A1991" s="9"/>
      <c r="B1991" s="15"/>
      <c r="C1991" s="9">
        <f>IFERROR(__xludf.DUMMYFUNCTION("""COMPUTED_VALUE"""),44775.8683773611)</f>
        <v>44775.86838</v>
      </c>
      <c r="D1991" s="15">
        <f>IFERROR(__xludf.DUMMYFUNCTION("""COMPUTED_VALUE"""),1.004)</f>
        <v>1.004</v>
      </c>
      <c r="E1991" s="16">
        <f>IFERROR(__xludf.DUMMYFUNCTION("""COMPUTED_VALUE"""),67.0)</f>
        <v>67</v>
      </c>
      <c r="F1991" s="19" t="str">
        <f>IFERROR(__xludf.DUMMYFUNCTION("""COMPUTED_VALUE"""),"BLACK")</f>
        <v>BLACK</v>
      </c>
      <c r="G1991" s="20" t="str">
        <f>IFERROR(__xludf.DUMMYFUNCTION("""COMPUTED_VALUE"""),"Uncle Sams Cider (5/13/2022)")</f>
        <v>Uncle Sams Cider (5/13/2022)</v>
      </c>
      <c r="H1991" s="19"/>
    </row>
    <row r="1992">
      <c r="A1992" s="9"/>
      <c r="B1992" s="15"/>
      <c r="C1992" s="9">
        <f>IFERROR(__xludf.DUMMYFUNCTION("""COMPUTED_VALUE"""),44775.8579570833)</f>
        <v>44775.85796</v>
      </c>
      <c r="D1992" s="15">
        <f>IFERROR(__xludf.DUMMYFUNCTION("""COMPUTED_VALUE"""),1.004)</f>
        <v>1.004</v>
      </c>
      <c r="E1992" s="16">
        <f>IFERROR(__xludf.DUMMYFUNCTION("""COMPUTED_VALUE"""),67.0)</f>
        <v>67</v>
      </c>
      <c r="F1992" s="19" t="str">
        <f>IFERROR(__xludf.DUMMYFUNCTION("""COMPUTED_VALUE"""),"BLACK")</f>
        <v>BLACK</v>
      </c>
      <c r="G1992" s="20" t="str">
        <f>IFERROR(__xludf.DUMMYFUNCTION("""COMPUTED_VALUE"""),"Uncle Sams Cider (5/13/2022)")</f>
        <v>Uncle Sams Cider (5/13/2022)</v>
      </c>
      <c r="H1992" s="19"/>
    </row>
    <row r="1993">
      <c r="A1993" s="9"/>
      <c r="B1993" s="15"/>
      <c r="C1993" s="9">
        <f>IFERROR(__xludf.DUMMYFUNCTION("""COMPUTED_VALUE"""),44775.8475339583)</f>
        <v>44775.84753</v>
      </c>
      <c r="D1993" s="15">
        <f>IFERROR(__xludf.DUMMYFUNCTION("""COMPUTED_VALUE"""),1.004)</f>
        <v>1.004</v>
      </c>
      <c r="E1993" s="16">
        <f>IFERROR(__xludf.DUMMYFUNCTION("""COMPUTED_VALUE"""),67.0)</f>
        <v>67</v>
      </c>
      <c r="F1993" s="19" t="str">
        <f>IFERROR(__xludf.DUMMYFUNCTION("""COMPUTED_VALUE"""),"BLACK")</f>
        <v>BLACK</v>
      </c>
      <c r="G1993" s="20" t="str">
        <f>IFERROR(__xludf.DUMMYFUNCTION("""COMPUTED_VALUE"""),"Uncle Sams Cider (5/13/2022)")</f>
        <v>Uncle Sams Cider (5/13/2022)</v>
      </c>
      <c r="H1993" s="19"/>
    </row>
    <row r="1994">
      <c r="A1994" s="9"/>
      <c r="B1994" s="15"/>
      <c r="C1994" s="9">
        <f>IFERROR(__xludf.DUMMYFUNCTION("""COMPUTED_VALUE"""),44775.8371126504)</f>
        <v>44775.83711</v>
      </c>
      <c r="D1994" s="15">
        <f>IFERROR(__xludf.DUMMYFUNCTION("""COMPUTED_VALUE"""),1.004)</f>
        <v>1.004</v>
      </c>
      <c r="E1994" s="16">
        <f>IFERROR(__xludf.DUMMYFUNCTION("""COMPUTED_VALUE"""),67.0)</f>
        <v>67</v>
      </c>
      <c r="F1994" s="19" t="str">
        <f>IFERROR(__xludf.DUMMYFUNCTION("""COMPUTED_VALUE"""),"BLACK")</f>
        <v>BLACK</v>
      </c>
      <c r="G1994" s="20" t="str">
        <f>IFERROR(__xludf.DUMMYFUNCTION("""COMPUTED_VALUE"""),"Uncle Sams Cider (5/13/2022)")</f>
        <v>Uncle Sams Cider (5/13/2022)</v>
      </c>
      <c r="H1994" s="19"/>
    </row>
    <row r="1995">
      <c r="A1995" s="9"/>
      <c r="B1995" s="15"/>
      <c r="C1995" s="9">
        <f>IFERROR(__xludf.DUMMYFUNCTION("""COMPUTED_VALUE"""),44775.8266805671)</f>
        <v>44775.82668</v>
      </c>
      <c r="D1995" s="15">
        <f>IFERROR(__xludf.DUMMYFUNCTION("""COMPUTED_VALUE"""),1.004)</f>
        <v>1.004</v>
      </c>
      <c r="E1995" s="16">
        <f>IFERROR(__xludf.DUMMYFUNCTION("""COMPUTED_VALUE"""),67.0)</f>
        <v>67</v>
      </c>
      <c r="F1995" s="19" t="str">
        <f>IFERROR(__xludf.DUMMYFUNCTION("""COMPUTED_VALUE"""),"BLACK")</f>
        <v>BLACK</v>
      </c>
      <c r="G1995" s="20" t="str">
        <f>IFERROR(__xludf.DUMMYFUNCTION("""COMPUTED_VALUE"""),"Uncle Sams Cider (5/13/2022)")</f>
        <v>Uncle Sams Cider (5/13/2022)</v>
      </c>
      <c r="H1995" s="19"/>
    </row>
    <row r="1996">
      <c r="A1996" s="9"/>
      <c r="B1996" s="15"/>
      <c r="C1996" s="9">
        <f>IFERROR(__xludf.DUMMYFUNCTION("""COMPUTED_VALUE"""),44775.8162587152)</f>
        <v>44775.81626</v>
      </c>
      <c r="D1996" s="15">
        <f>IFERROR(__xludf.DUMMYFUNCTION("""COMPUTED_VALUE"""),1.004)</f>
        <v>1.004</v>
      </c>
      <c r="E1996" s="16">
        <f>IFERROR(__xludf.DUMMYFUNCTION("""COMPUTED_VALUE"""),67.0)</f>
        <v>67</v>
      </c>
      <c r="F1996" s="19" t="str">
        <f>IFERROR(__xludf.DUMMYFUNCTION("""COMPUTED_VALUE"""),"BLACK")</f>
        <v>BLACK</v>
      </c>
      <c r="G1996" s="20" t="str">
        <f>IFERROR(__xludf.DUMMYFUNCTION("""COMPUTED_VALUE"""),"Uncle Sams Cider (5/13/2022)")</f>
        <v>Uncle Sams Cider (5/13/2022)</v>
      </c>
      <c r="H1996" s="19"/>
    </row>
    <row r="1997">
      <c r="A1997" s="9"/>
      <c r="B1997" s="15"/>
      <c r="C1997" s="9">
        <f>IFERROR(__xludf.DUMMYFUNCTION("""COMPUTED_VALUE"""),44775.8058373148)</f>
        <v>44775.80584</v>
      </c>
      <c r="D1997" s="15">
        <f>IFERROR(__xludf.DUMMYFUNCTION("""COMPUTED_VALUE"""),1.004)</f>
        <v>1.004</v>
      </c>
      <c r="E1997" s="16">
        <f>IFERROR(__xludf.DUMMYFUNCTION("""COMPUTED_VALUE"""),67.0)</f>
        <v>67</v>
      </c>
      <c r="F1997" s="19" t="str">
        <f>IFERROR(__xludf.DUMMYFUNCTION("""COMPUTED_VALUE"""),"BLACK")</f>
        <v>BLACK</v>
      </c>
      <c r="G1997" s="20" t="str">
        <f>IFERROR(__xludf.DUMMYFUNCTION("""COMPUTED_VALUE"""),"Uncle Sams Cider (5/13/2022)")</f>
        <v>Uncle Sams Cider (5/13/2022)</v>
      </c>
      <c r="H1997" s="19"/>
    </row>
    <row r="1998">
      <c r="A1998" s="9"/>
      <c r="B1998" s="15"/>
      <c r="C1998" s="9">
        <f>IFERROR(__xludf.DUMMYFUNCTION("""COMPUTED_VALUE"""),44775.7954151388)</f>
        <v>44775.79542</v>
      </c>
      <c r="D1998" s="15">
        <f>IFERROR(__xludf.DUMMYFUNCTION("""COMPUTED_VALUE"""),1.004)</f>
        <v>1.004</v>
      </c>
      <c r="E1998" s="16">
        <f>IFERROR(__xludf.DUMMYFUNCTION("""COMPUTED_VALUE"""),67.0)</f>
        <v>67</v>
      </c>
      <c r="F1998" s="19" t="str">
        <f>IFERROR(__xludf.DUMMYFUNCTION("""COMPUTED_VALUE"""),"BLACK")</f>
        <v>BLACK</v>
      </c>
      <c r="G1998" s="20" t="str">
        <f>IFERROR(__xludf.DUMMYFUNCTION("""COMPUTED_VALUE"""),"Uncle Sams Cider (5/13/2022)")</f>
        <v>Uncle Sams Cider (5/13/2022)</v>
      </c>
      <c r="H1998" s="19"/>
    </row>
    <row r="1999">
      <c r="A1999" s="9"/>
      <c r="B1999" s="15"/>
      <c r="C1999" s="9">
        <f>IFERROR(__xludf.DUMMYFUNCTION("""COMPUTED_VALUE"""),44775.7849935416)</f>
        <v>44775.78499</v>
      </c>
      <c r="D1999" s="15">
        <f>IFERROR(__xludf.DUMMYFUNCTION("""COMPUTED_VALUE"""),1.004)</f>
        <v>1.004</v>
      </c>
      <c r="E1999" s="16">
        <f>IFERROR(__xludf.DUMMYFUNCTION("""COMPUTED_VALUE"""),67.0)</f>
        <v>67</v>
      </c>
      <c r="F1999" s="19" t="str">
        <f>IFERROR(__xludf.DUMMYFUNCTION("""COMPUTED_VALUE"""),"BLACK")</f>
        <v>BLACK</v>
      </c>
      <c r="G1999" s="20" t="str">
        <f>IFERROR(__xludf.DUMMYFUNCTION("""COMPUTED_VALUE"""),"Uncle Sams Cider (5/13/2022)")</f>
        <v>Uncle Sams Cider (5/13/2022)</v>
      </c>
      <c r="H1999" s="19"/>
    </row>
    <row r="2000">
      <c r="A2000" s="9"/>
      <c r="B2000" s="15"/>
      <c r="C2000" s="9">
        <f>IFERROR(__xludf.DUMMYFUNCTION("""COMPUTED_VALUE"""),44775.7745733333)</f>
        <v>44775.77457</v>
      </c>
      <c r="D2000" s="15">
        <f>IFERROR(__xludf.DUMMYFUNCTION("""COMPUTED_VALUE"""),1.004)</f>
        <v>1.004</v>
      </c>
      <c r="E2000" s="16">
        <f>IFERROR(__xludf.DUMMYFUNCTION("""COMPUTED_VALUE"""),67.0)</f>
        <v>67</v>
      </c>
      <c r="F2000" s="19" t="str">
        <f>IFERROR(__xludf.DUMMYFUNCTION("""COMPUTED_VALUE"""),"BLACK")</f>
        <v>BLACK</v>
      </c>
      <c r="G2000" s="20" t="str">
        <f>IFERROR(__xludf.DUMMYFUNCTION("""COMPUTED_VALUE"""),"Uncle Sams Cider (5/13/2022)")</f>
        <v>Uncle Sams Cider (5/13/2022)</v>
      </c>
      <c r="H2000" s="19"/>
    </row>
    <row r="2001">
      <c r="A2001" s="9"/>
      <c r="B2001" s="15"/>
      <c r="C2001" s="9">
        <f>IFERROR(__xludf.DUMMYFUNCTION("""COMPUTED_VALUE"""),44775.7641519791)</f>
        <v>44775.76415</v>
      </c>
      <c r="D2001" s="15">
        <f>IFERROR(__xludf.DUMMYFUNCTION("""COMPUTED_VALUE"""),1.004)</f>
        <v>1.004</v>
      </c>
      <c r="E2001" s="16">
        <f>IFERROR(__xludf.DUMMYFUNCTION("""COMPUTED_VALUE"""),67.0)</f>
        <v>67</v>
      </c>
      <c r="F2001" s="19" t="str">
        <f>IFERROR(__xludf.DUMMYFUNCTION("""COMPUTED_VALUE"""),"BLACK")</f>
        <v>BLACK</v>
      </c>
      <c r="G2001" s="20" t="str">
        <f>IFERROR(__xludf.DUMMYFUNCTION("""COMPUTED_VALUE"""),"Uncle Sams Cider (5/13/2022)")</f>
        <v>Uncle Sams Cider (5/13/2022)</v>
      </c>
      <c r="H2001" s="19"/>
    </row>
    <row r="2002">
      <c r="A2002" s="9"/>
      <c r="B2002" s="15"/>
      <c r="C2002" s="9">
        <f>IFERROR(__xludf.DUMMYFUNCTION("""COMPUTED_VALUE"""),44775.7537208796)</f>
        <v>44775.75372</v>
      </c>
      <c r="D2002" s="15">
        <f>IFERROR(__xludf.DUMMYFUNCTION("""COMPUTED_VALUE"""),1.004)</f>
        <v>1.004</v>
      </c>
      <c r="E2002" s="16">
        <f>IFERROR(__xludf.DUMMYFUNCTION("""COMPUTED_VALUE"""),67.0)</f>
        <v>67</v>
      </c>
      <c r="F2002" s="19" t="str">
        <f>IFERROR(__xludf.DUMMYFUNCTION("""COMPUTED_VALUE"""),"BLACK")</f>
        <v>BLACK</v>
      </c>
      <c r="G2002" s="20" t="str">
        <f>IFERROR(__xludf.DUMMYFUNCTION("""COMPUTED_VALUE"""),"Uncle Sams Cider (5/13/2022)")</f>
        <v>Uncle Sams Cider (5/13/2022)</v>
      </c>
      <c r="H2002" s="19"/>
    </row>
    <row r="2003">
      <c r="A2003" s="9"/>
      <c r="B2003" s="15"/>
      <c r="C2003" s="9">
        <f>IFERROR(__xludf.DUMMYFUNCTION("""COMPUTED_VALUE"""),44775.7432998379)</f>
        <v>44775.7433</v>
      </c>
      <c r="D2003" s="15">
        <f>IFERROR(__xludf.DUMMYFUNCTION("""COMPUTED_VALUE"""),1.004)</f>
        <v>1.004</v>
      </c>
      <c r="E2003" s="16">
        <f>IFERROR(__xludf.DUMMYFUNCTION("""COMPUTED_VALUE"""),67.0)</f>
        <v>67</v>
      </c>
      <c r="F2003" s="19" t="str">
        <f>IFERROR(__xludf.DUMMYFUNCTION("""COMPUTED_VALUE"""),"BLACK")</f>
        <v>BLACK</v>
      </c>
      <c r="G2003" s="20" t="str">
        <f>IFERROR(__xludf.DUMMYFUNCTION("""COMPUTED_VALUE"""),"Uncle Sams Cider (5/13/2022)")</f>
        <v>Uncle Sams Cider (5/13/2022)</v>
      </c>
      <c r="H2003" s="19"/>
    </row>
    <row r="2004">
      <c r="A2004" s="9"/>
      <c r="B2004" s="15"/>
      <c r="C2004" s="9">
        <f>IFERROR(__xludf.DUMMYFUNCTION("""COMPUTED_VALUE"""),44775.7328789583)</f>
        <v>44775.73288</v>
      </c>
      <c r="D2004" s="15">
        <f>IFERROR(__xludf.DUMMYFUNCTION("""COMPUTED_VALUE"""),1.004)</f>
        <v>1.004</v>
      </c>
      <c r="E2004" s="16">
        <f>IFERROR(__xludf.DUMMYFUNCTION("""COMPUTED_VALUE"""),67.0)</f>
        <v>67</v>
      </c>
      <c r="F2004" s="19" t="str">
        <f>IFERROR(__xludf.DUMMYFUNCTION("""COMPUTED_VALUE"""),"BLACK")</f>
        <v>BLACK</v>
      </c>
      <c r="G2004" s="20" t="str">
        <f>IFERROR(__xludf.DUMMYFUNCTION("""COMPUTED_VALUE"""),"Uncle Sams Cider (5/13/2022)")</f>
        <v>Uncle Sams Cider (5/13/2022)</v>
      </c>
      <c r="H2004" s="19"/>
    </row>
    <row r="2005">
      <c r="A2005" s="9"/>
      <c r="B2005" s="15"/>
      <c r="C2005" s="9">
        <f>IFERROR(__xludf.DUMMYFUNCTION("""COMPUTED_VALUE"""),44775.7224584838)</f>
        <v>44775.72246</v>
      </c>
      <c r="D2005" s="15">
        <f>IFERROR(__xludf.DUMMYFUNCTION("""COMPUTED_VALUE"""),1.004)</f>
        <v>1.004</v>
      </c>
      <c r="E2005" s="16">
        <f>IFERROR(__xludf.DUMMYFUNCTION("""COMPUTED_VALUE"""),67.0)</f>
        <v>67</v>
      </c>
      <c r="F2005" s="19" t="str">
        <f>IFERROR(__xludf.DUMMYFUNCTION("""COMPUTED_VALUE"""),"BLACK")</f>
        <v>BLACK</v>
      </c>
      <c r="G2005" s="20" t="str">
        <f>IFERROR(__xludf.DUMMYFUNCTION("""COMPUTED_VALUE"""),"Uncle Sams Cider (5/13/2022)")</f>
        <v>Uncle Sams Cider (5/13/2022)</v>
      </c>
      <c r="H2005" s="19"/>
    </row>
    <row r="2006">
      <c r="A2006" s="9"/>
      <c r="B2006" s="15"/>
      <c r="C2006" s="9">
        <f>IFERROR(__xludf.DUMMYFUNCTION("""COMPUTED_VALUE"""),44775.712035868)</f>
        <v>44775.71204</v>
      </c>
      <c r="D2006" s="15">
        <f>IFERROR(__xludf.DUMMYFUNCTION("""COMPUTED_VALUE"""),1.004)</f>
        <v>1.004</v>
      </c>
      <c r="E2006" s="16">
        <f>IFERROR(__xludf.DUMMYFUNCTION("""COMPUTED_VALUE"""),67.0)</f>
        <v>67</v>
      </c>
      <c r="F2006" s="19" t="str">
        <f>IFERROR(__xludf.DUMMYFUNCTION("""COMPUTED_VALUE"""),"BLACK")</f>
        <v>BLACK</v>
      </c>
      <c r="G2006" s="20" t="str">
        <f>IFERROR(__xludf.DUMMYFUNCTION("""COMPUTED_VALUE"""),"Uncle Sams Cider (5/13/2022)")</f>
        <v>Uncle Sams Cider (5/13/2022)</v>
      </c>
      <c r="H2006" s="19"/>
    </row>
    <row r="2007">
      <c r="A2007" s="9"/>
      <c r="B2007" s="15"/>
      <c r="C2007" s="9">
        <f>IFERROR(__xludf.DUMMYFUNCTION("""COMPUTED_VALUE"""),44775.7016013426)</f>
        <v>44775.7016</v>
      </c>
      <c r="D2007" s="15">
        <f>IFERROR(__xludf.DUMMYFUNCTION("""COMPUTED_VALUE"""),1.004)</f>
        <v>1.004</v>
      </c>
      <c r="E2007" s="16">
        <f>IFERROR(__xludf.DUMMYFUNCTION("""COMPUTED_VALUE"""),67.0)</f>
        <v>67</v>
      </c>
      <c r="F2007" s="19" t="str">
        <f>IFERROR(__xludf.DUMMYFUNCTION("""COMPUTED_VALUE"""),"BLACK")</f>
        <v>BLACK</v>
      </c>
      <c r="G2007" s="20" t="str">
        <f>IFERROR(__xludf.DUMMYFUNCTION("""COMPUTED_VALUE"""),"Uncle Sams Cider (5/13/2022)")</f>
        <v>Uncle Sams Cider (5/13/2022)</v>
      </c>
      <c r="H2007" s="19"/>
    </row>
    <row r="2008">
      <c r="A2008" s="9"/>
      <c r="B2008" s="15"/>
      <c r="C2008" s="9">
        <f>IFERROR(__xludf.DUMMYFUNCTION("""COMPUTED_VALUE"""),44775.6911691319)</f>
        <v>44775.69117</v>
      </c>
      <c r="D2008" s="15">
        <f>IFERROR(__xludf.DUMMYFUNCTION("""COMPUTED_VALUE"""),1.004)</f>
        <v>1.004</v>
      </c>
      <c r="E2008" s="16">
        <f>IFERROR(__xludf.DUMMYFUNCTION("""COMPUTED_VALUE"""),67.0)</f>
        <v>67</v>
      </c>
      <c r="F2008" s="19" t="str">
        <f>IFERROR(__xludf.DUMMYFUNCTION("""COMPUTED_VALUE"""),"BLACK")</f>
        <v>BLACK</v>
      </c>
      <c r="G2008" s="20" t="str">
        <f>IFERROR(__xludf.DUMMYFUNCTION("""COMPUTED_VALUE"""),"Uncle Sams Cider (5/13/2022)")</f>
        <v>Uncle Sams Cider (5/13/2022)</v>
      </c>
      <c r="H2008" s="19"/>
    </row>
    <row r="2009">
      <c r="A2009" s="9"/>
      <c r="B2009" s="15"/>
      <c r="C2009" s="9">
        <f>IFERROR(__xludf.DUMMYFUNCTION("""COMPUTED_VALUE"""),44775.6807370138)</f>
        <v>44775.68074</v>
      </c>
      <c r="D2009" s="15">
        <f>IFERROR(__xludf.DUMMYFUNCTION("""COMPUTED_VALUE"""),1.004)</f>
        <v>1.004</v>
      </c>
      <c r="E2009" s="16">
        <f>IFERROR(__xludf.DUMMYFUNCTION("""COMPUTED_VALUE"""),67.0)</f>
        <v>67</v>
      </c>
      <c r="F2009" s="19" t="str">
        <f>IFERROR(__xludf.DUMMYFUNCTION("""COMPUTED_VALUE"""),"BLACK")</f>
        <v>BLACK</v>
      </c>
      <c r="G2009" s="20" t="str">
        <f>IFERROR(__xludf.DUMMYFUNCTION("""COMPUTED_VALUE"""),"Uncle Sams Cider (5/13/2022)")</f>
        <v>Uncle Sams Cider (5/13/2022)</v>
      </c>
      <c r="H2009" s="19"/>
    </row>
    <row r="2010">
      <c r="A2010" s="9"/>
      <c r="B2010" s="15"/>
      <c r="C2010" s="9">
        <f>IFERROR(__xludf.DUMMYFUNCTION("""COMPUTED_VALUE"""),44775.6703165046)</f>
        <v>44775.67032</v>
      </c>
      <c r="D2010" s="15">
        <f>IFERROR(__xludf.DUMMYFUNCTION("""COMPUTED_VALUE"""),1.004)</f>
        <v>1.004</v>
      </c>
      <c r="E2010" s="16">
        <f>IFERROR(__xludf.DUMMYFUNCTION("""COMPUTED_VALUE"""),67.0)</f>
        <v>67</v>
      </c>
      <c r="F2010" s="19" t="str">
        <f>IFERROR(__xludf.DUMMYFUNCTION("""COMPUTED_VALUE"""),"BLACK")</f>
        <v>BLACK</v>
      </c>
      <c r="G2010" s="20" t="str">
        <f>IFERROR(__xludf.DUMMYFUNCTION("""COMPUTED_VALUE"""),"Uncle Sams Cider (5/13/2022)")</f>
        <v>Uncle Sams Cider (5/13/2022)</v>
      </c>
      <c r="H2010" s="19"/>
    </row>
    <row r="2011">
      <c r="A2011" s="9"/>
      <c r="B2011" s="15"/>
      <c r="C2011" s="9">
        <f>IFERROR(__xludf.DUMMYFUNCTION("""COMPUTED_VALUE"""),44775.6598955671)</f>
        <v>44775.6599</v>
      </c>
      <c r="D2011" s="15">
        <f>IFERROR(__xludf.DUMMYFUNCTION("""COMPUTED_VALUE"""),1.004)</f>
        <v>1.004</v>
      </c>
      <c r="E2011" s="16">
        <f>IFERROR(__xludf.DUMMYFUNCTION("""COMPUTED_VALUE"""),67.0)</f>
        <v>67</v>
      </c>
      <c r="F2011" s="19" t="str">
        <f>IFERROR(__xludf.DUMMYFUNCTION("""COMPUTED_VALUE"""),"BLACK")</f>
        <v>BLACK</v>
      </c>
      <c r="G2011" s="20" t="str">
        <f>IFERROR(__xludf.DUMMYFUNCTION("""COMPUTED_VALUE"""),"Uncle Sams Cider (5/13/2022)")</f>
        <v>Uncle Sams Cider (5/13/2022)</v>
      </c>
      <c r="H2011" s="19"/>
    </row>
    <row r="2012">
      <c r="A2012" s="9"/>
      <c r="B2012" s="15"/>
      <c r="C2012" s="9">
        <f>IFERROR(__xludf.DUMMYFUNCTION("""COMPUTED_VALUE"""),44775.6494629745)</f>
        <v>44775.64946</v>
      </c>
      <c r="D2012" s="15">
        <f>IFERROR(__xludf.DUMMYFUNCTION("""COMPUTED_VALUE"""),1.004)</f>
        <v>1.004</v>
      </c>
      <c r="E2012" s="16">
        <f>IFERROR(__xludf.DUMMYFUNCTION("""COMPUTED_VALUE"""),67.0)</f>
        <v>67</v>
      </c>
      <c r="F2012" s="19" t="str">
        <f>IFERROR(__xludf.DUMMYFUNCTION("""COMPUTED_VALUE"""),"BLACK")</f>
        <v>BLACK</v>
      </c>
      <c r="G2012" s="20" t="str">
        <f>IFERROR(__xludf.DUMMYFUNCTION("""COMPUTED_VALUE"""),"Uncle Sams Cider (5/13/2022)")</f>
        <v>Uncle Sams Cider (5/13/2022)</v>
      </c>
      <c r="H2012" s="19"/>
    </row>
    <row r="2013">
      <c r="A2013" s="9"/>
      <c r="B2013" s="15"/>
      <c r="C2013" s="9">
        <f>IFERROR(__xludf.DUMMYFUNCTION("""COMPUTED_VALUE"""),44775.6390196759)</f>
        <v>44775.63902</v>
      </c>
      <c r="D2013" s="15">
        <f>IFERROR(__xludf.DUMMYFUNCTION("""COMPUTED_VALUE"""),1.004)</f>
        <v>1.004</v>
      </c>
      <c r="E2013" s="16">
        <f>IFERROR(__xludf.DUMMYFUNCTION("""COMPUTED_VALUE"""),67.0)</f>
        <v>67</v>
      </c>
      <c r="F2013" s="19" t="str">
        <f>IFERROR(__xludf.DUMMYFUNCTION("""COMPUTED_VALUE"""),"BLACK")</f>
        <v>BLACK</v>
      </c>
      <c r="G2013" s="20" t="str">
        <f>IFERROR(__xludf.DUMMYFUNCTION("""COMPUTED_VALUE"""),"Uncle Sams Cider (5/13/2022)")</f>
        <v>Uncle Sams Cider (5/13/2022)</v>
      </c>
      <c r="H2013" s="19"/>
    </row>
    <row r="2014">
      <c r="A2014" s="9"/>
      <c r="B2014" s="15"/>
      <c r="C2014" s="9">
        <f>IFERROR(__xludf.DUMMYFUNCTION("""COMPUTED_VALUE"""),44775.6285980787)</f>
        <v>44775.6286</v>
      </c>
      <c r="D2014" s="15">
        <f>IFERROR(__xludf.DUMMYFUNCTION("""COMPUTED_VALUE"""),1.004)</f>
        <v>1.004</v>
      </c>
      <c r="E2014" s="16">
        <f>IFERROR(__xludf.DUMMYFUNCTION("""COMPUTED_VALUE"""),67.0)</f>
        <v>67</v>
      </c>
      <c r="F2014" s="19" t="str">
        <f>IFERROR(__xludf.DUMMYFUNCTION("""COMPUTED_VALUE"""),"BLACK")</f>
        <v>BLACK</v>
      </c>
      <c r="G2014" s="20" t="str">
        <f>IFERROR(__xludf.DUMMYFUNCTION("""COMPUTED_VALUE"""),"Uncle Sams Cider (5/13/2022)")</f>
        <v>Uncle Sams Cider (5/13/2022)</v>
      </c>
      <c r="H2014" s="19"/>
    </row>
    <row r="2015">
      <c r="A2015" s="9"/>
      <c r="B2015" s="15"/>
      <c r="C2015" s="9">
        <f>IFERROR(__xludf.DUMMYFUNCTION("""COMPUTED_VALUE"""),44775.6181791551)</f>
        <v>44775.61818</v>
      </c>
      <c r="D2015" s="15">
        <f>IFERROR(__xludf.DUMMYFUNCTION("""COMPUTED_VALUE"""),1.004)</f>
        <v>1.004</v>
      </c>
      <c r="E2015" s="16">
        <f>IFERROR(__xludf.DUMMYFUNCTION("""COMPUTED_VALUE"""),67.0)</f>
        <v>67</v>
      </c>
      <c r="F2015" s="19" t="str">
        <f>IFERROR(__xludf.DUMMYFUNCTION("""COMPUTED_VALUE"""),"BLACK")</f>
        <v>BLACK</v>
      </c>
      <c r="G2015" s="20" t="str">
        <f>IFERROR(__xludf.DUMMYFUNCTION("""COMPUTED_VALUE"""),"Uncle Sams Cider (5/13/2022)")</f>
        <v>Uncle Sams Cider (5/13/2022)</v>
      </c>
      <c r="H2015" s="19"/>
    </row>
    <row r="2016">
      <c r="A2016" s="9"/>
      <c r="B2016" s="15"/>
      <c r="C2016" s="9">
        <f>IFERROR(__xludf.DUMMYFUNCTION("""COMPUTED_VALUE"""),44775.6077573726)</f>
        <v>44775.60776</v>
      </c>
      <c r="D2016" s="15">
        <f>IFERROR(__xludf.DUMMYFUNCTION("""COMPUTED_VALUE"""),1.004)</f>
        <v>1.004</v>
      </c>
      <c r="E2016" s="16">
        <f>IFERROR(__xludf.DUMMYFUNCTION("""COMPUTED_VALUE"""),67.0)</f>
        <v>67</v>
      </c>
      <c r="F2016" s="19" t="str">
        <f>IFERROR(__xludf.DUMMYFUNCTION("""COMPUTED_VALUE"""),"BLACK")</f>
        <v>BLACK</v>
      </c>
      <c r="G2016" s="20" t="str">
        <f>IFERROR(__xludf.DUMMYFUNCTION("""COMPUTED_VALUE"""),"Uncle Sams Cider (5/13/2022)")</f>
        <v>Uncle Sams Cider (5/13/2022)</v>
      </c>
      <c r="H2016" s="19"/>
    </row>
    <row r="2017">
      <c r="A2017" s="9"/>
      <c r="B2017" s="15"/>
      <c r="C2017" s="9">
        <f>IFERROR(__xludf.DUMMYFUNCTION("""COMPUTED_VALUE"""),44775.5973386805)</f>
        <v>44775.59734</v>
      </c>
      <c r="D2017" s="15">
        <f>IFERROR(__xludf.DUMMYFUNCTION("""COMPUTED_VALUE"""),1.004)</f>
        <v>1.004</v>
      </c>
      <c r="E2017" s="16">
        <f>IFERROR(__xludf.DUMMYFUNCTION("""COMPUTED_VALUE"""),67.0)</f>
        <v>67</v>
      </c>
      <c r="F2017" s="19" t="str">
        <f>IFERROR(__xludf.DUMMYFUNCTION("""COMPUTED_VALUE"""),"BLACK")</f>
        <v>BLACK</v>
      </c>
      <c r="G2017" s="20" t="str">
        <f>IFERROR(__xludf.DUMMYFUNCTION("""COMPUTED_VALUE"""),"Uncle Sams Cider (5/13/2022)")</f>
        <v>Uncle Sams Cider (5/13/2022)</v>
      </c>
      <c r="H2017" s="19"/>
    </row>
    <row r="2018">
      <c r="A2018" s="9"/>
      <c r="B2018" s="15"/>
      <c r="C2018" s="9">
        <f>IFERROR(__xludf.DUMMYFUNCTION("""COMPUTED_VALUE"""),44775.5869175231)</f>
        <v>44775.58692</v>
      </c>
      <c r="D2018" s="15">
        <f>IFERROR(__xludf.DUMMYFUNCTION("""COMPUTED_VALUE"""),1.004)</f>
        <v>1.004</v>
      </c>
      <c r="E2018" s="16">
        <f>IFERROR(__xludf.DUMMYFUNCTION("""COMPUTED_VALUE"""),67.0)</f>
        <v>67</v>
      </c>
      <c r="F2018" s="19" t="str">
        <f>IFERROR(__xludf.DUMMYFUNCTION("""COMPUTED_VALUE"""),"BLACK")</f>
        <v>BLACK</v>
      </c>
      <c r="G2018" s="20" t="str">
        <f>IFERROR(__xludf.DUMMYFUNCTION("""COMPUTED_VALUE"""),"Uncle Sams Cider (5/13/2022)")</f>
        <v>Uncle Sams Cider (5/13/2022)</v>
      </c>
      <c r="H2018" s="19"/>
    </row>
    <row r="2019">
      <c r="A2019" s="9"/>
      <c r="B2019" s="15"/>
      <c r="C2019" s="9">
        <f>IFERROR(__xludf.DUMMYFUNCTION("""COMPUTED_VALUE"""),44775.576497037)</f>
        <v>44775.5765</v>
      </c>
      <c r="D2019" s="15">
        <f>IFERROR(__xludf.DUMMYFUNCTION("""COMPUTED_VALUE"""),1.004)</f>
        <v>1.004</v>
      </c>
      <c r="E2019" s="16">
        <f>IFERROR(__xludf.DUMMYFUNCTION("""COMPUTED_VALUE"""),67.0)</f>
        <v>67</v>
      </c>
      <c r="F2019" s="19" t="str">
        <f>IFERROR(__xludf.DUMMYFUNCTION("""COMPUTED_VALUE"""),"BLACK")</f>
        <v>BLACK</v>
      </c>
      <c r="G2019" s="20" t="str">
        <f>IFERROR(__xludf.DUMMYFUNCTION("""COMPUTED_VALUE"""),"Uncle Sams Cider (5/13/2022)")</f>
        <v>Uncle Sams Cider (5/13/2022)</v>
      </c>
      <c r="H2019" s="19"/>
    </row>
    <row r="2020">
      <c r="A2020" s="9"/>
      <c r="B2020" s="15"/>
      <c r="C2020" s="9">
        <f>IFERROR(__xludf.DUMMYFUNCTION("""COMPUTED_VALUE"""),44775.5660748148)</f>
        <v>44775.56607</v>
      </c>
      <c r="D2020" s="15">
        <f>IFERROR(__xludf.DUMMYFUNCTION("""COMPUTED_VALUE"""),1.004)</f>
        <v>1.004</v>
      </c>
      <c r="E2020" s="16">
        <f>IFERROR(__xludf.DUMMYFUNCTION("""COMPUTED_VALUE"""),67.0)</f>
        <v>67</v>
      </c>
      <c r="F2020" s="19" t="str">
        <f>IFERROR(__xludf.DUMMYFUNCTION("""COMPUTED_VALUE"""),"BLACK")</f>
        <v>BLACK</v>
      </c>
      <c r="G2020" s="20" t="str">
        <f>IFERROR(__xludf.DUMMYFUNCTION("""COMPUTED_VALUE"""),"Uncle Sams Cider (5/13/2022)")</f>
        <v>Uncle Sams Cider (5/13/2022)</v>
      </c>
      <c r="H2020" s="19"/>
    </row>
    <row r="2021">
      <c r="A2021" s="9"/>
      <c r="B2021" s="15"/>
      <c r="C2021" s="9">
        <f>IFERROR(__xludf.DUMMYFUNCTION("""COMPUTED_VALUE"""),44775.5556548726)</f>
        <v>44775.55565</v>
      </c>
      <c r="D2021" s="15">
        <f>IFERROR(__xludf.DUMMYFUNCTION("""COMPUTED_VALUE"""),1.004)</f>
        <v>1.004</v>
      </c>
      <c r="E2021" s="16">
        <f>IFERROR(__xludf.DUMMYFUNCTION("""COMPUTED_VALUE"""),67.0)</f>
        <v>67</v>
      </c>
      <c r="F2021" s="19" t="str">
        <f>IFERROR(__xludf.DUMMYFUNCTION("""COMPUTED_VALUE"""),"BLACK")</f>
        <v>BLACK</v>
      </c>
      <c r="G2021" s="20" t="str">
        <f>IFERROR(__xludf.DUMMYFUNCTION("""COMPUTED_VALUE"""),"Uncle Sams Cider (5/13/2022)")</f>
        <v>Uncle Sams Cider (5/13/2022)</v>
      </c>
      <c r="H2021" s="19"/>
    </row>
    <row r="2022">
      <c r="A2022" s="9"/>
      <c r="B2022" s="15"/>
      <c r="C2022" s="9">
        <f>IFERROR(__xludf.DUMMYFUNCTION("""COMPUTED_VALUE"""),44775.5452356365)</f>
        <v>44775.54524</v>
      </c>
      <c r="D2022" s="15">
        <f>IFERROR(__xludf.DUMMYFUNCTION("""COMPUTED_VALUE"""),1.004)</f>
        <v>1.004</v>
      </c>
      <c r="E2022" s="16">
        <f>IFERROR(__xludf.DUMMYFUNCTION("""COMPUTED_VALUE"""),67.0)</f>
        <v>67</v>
      </c>
      <c r="F2022" s="19" t="str">
        <f>IFERROR(__xludf.DUMMYFUNCTION("""COMPUTED_VALUE"""),"BLACK")</f>
        <v>BLACK</v>
      </c>
      <c r="G2022" s="20" t="str">
        <f>IFERROR(__xludf.DUMMYFUNCTION("""COMPUTED_VALUE"""),"Uncle Sams Cider (5/13/2022)")</f>
        <v>Uncle Sams Cider (5/13/2022)</v>
      </c>
      <c r="H2022" s="19"/>
    </row>
    <row r="2023">
      <c r="A2023" s="9"/>
      <c r="B2023" s="15"/>
      <c r="C2023" s="9">
        <f>IFERROR(__xludf.DUMMYFUNCTION("""COMPUTED_VALUE"""),44775.5348151389)</f>
        <v>44775.53482</v>
      </c>
      <c r="D2023" s="15">
        <f>IFERROR(__xludf.DUMMYFUNCTION("""COMPUTED_VALUE"""),1.004)</f>
        <v>1.004</v>
      </c>
      <c r="E2023" s="16">
        <f>IFERROR(__xludf.DUMMYFUNCTION("""COMPUTED_VALUE"""),67.0)</f>
        <v>67</v>
      </c>
      <c r="F2023" s="19" t="str">
        <f>IFERROR(__xludf.DUMMYFUNCTION("""COMPUTED_VALUE"""),"BLACK")</f>
        <v>BLACK</v>
      </c>
      <c r="G2023" s="20" t="str">
        <f>IFERROR(__xludf.DUMMYFUNCTION("""COMPUTED_VALUE"""),"Uncle Sams Cider (5/13/2022)")</f>
        <v>Uncle Sams Cider (5/13/2022)</v>
      </c>
      <c r="H2023" s="19"/>
    </row>
    <row r="2024">
      <c r="A2024" s="9"/>
      <c r="B2024" s="15"/>
      <c r="C2024" s="9">
        <f>IFERROR(__xludf.DUMMYFUNCTION("""COMPUTED_VALUE"""),44775.5243920486)</f>
        <v>44775.52439</v>
      </c>
      <c r="D2024" s="15">
        <f>IFERROR(__xludf.DUMMYFUNCTION("""COMPUTED_VALUE"""),1.004)</f>
        <v>1.004</v>
      </c>
      <c r="E2024" s="16">
        <f>IFERROR(__xludf.DUMMYFUNCTION("""COMPUTED_VALUE"""),67.0)</f>
        <v>67</v>
      </c>
      <c r="F2024" s="19" t="str">
        <f>IFERROR(__xludf.DUMMYFUNCTION("""COMPUTED_VALUE"""),"BLACK")</f>
        <v>BLACK</v>
      </c>
      <c r="G2024" s="20" t="str">
        <f>IFERROR(__xludf.DUMMYFUNCTION("""COMPUTED_VALUE"""),"Uncle Sams Cider (5/13/2022)")</f>
        <v>Uncle Sams Cider (5/13/2022)</v>
      </c>
      <c r="H2024" s="19"/>
    </row>
    <row r="2025">
      <c r="A2025" s="9"/>
      <c r="B2025" s="15"/>
      <c r="C2025" s="9">
        <f>IFERROR(__xludf.DUMMYFUNCTION("""COMPUTED_VALUE"""),44775.5139712384)</f>
        <v>44775.51397</v>
      </c>
      <c r="D2025" s="15">
        <f>IFERROR(__xludf.DUMMYFUNCTION("""COMPUTED_VALUE"""),1.004)</f>
        <v>1.004</v>
      </c>
      <c r="E2025" s="16">
        <f>IFERROR(__xludf.DUMMYFUNCTION("""COMPUTED_VALUE"""),67.0)</f>
        <v>67</v>
      </c>
      <c r="F2025" s="19" t="str">
        <f>IFERROR(__xludf.DUMMYFUNCTION("""COMPUTED_VALUE"""),"BLACK")</f>
        <v>BLACK</v>
      </c>
      <c r="G2025" s="20" t="str">
        <f>IFERROR(__xludf.DUMMYFUNCTION("""COMPUTED_VALUE"""),"Uncle Sams Cider (5/13/2022)")</f>
        <v>Uncle Sams Cider (5/13/2022)</v>
      </c>
      <c r="H2025" s="19"/>
    </row>
    <row r="2026">
      <c r="A2026" s="9"/>
      <c r="B2026" s="15"/>
      <c r="C2026" s="9">
        <f>IFERROR(__xludf.DUMMYFUNCTION("""COMPUTED_VALUE"""),44775.5035508449)</f>
        <v>44775.50355</v>
      </c>
      <c r="D2026" s="15">
        <f>IFERROR(__xludf.DUMMYFUNCTION("""COMPUTED_VALUE"""),1.004)</f>
        <v>1.004</v>
      </c>
      <c r="E2026" s="16">
        <f>IFERROR(__xludf.DUMMYFUNCTION("""COMPUTED_VALUE"""),67.0)</f>
        <v>67</v>
      </c>
      <c r="F2026" s="19" t="str">
        <f>IFERROR(__xludf.DUMMYFUNCTION("""COMPUTED_VALUE"""),"BLACK")</f>
        <v>BLACK</v>
      </c>
      <c r="G2026" s="20" t="str">
        <f>IFERROR(__xludf.DUMMYFUNCTION("""COMPUTED_VALUE"""),"Uncle Sams Cider (5/13/2022)")</f>
        <v>Uncle Sams Cider (5/13/2022)</v>
      </c>
      <c r="H2026" s="19"/>
    </row>
    <row r="2027">
      <c r="A2027" s="9"/>
      <c r="B2027" s="15"/>
      <c r="C2027" s="9">
        <f>IFERROR(__xludf.DUMMYFUNCTION("""COMPUTED_VALUE"""),44775.4931179398)</f>
        <v>44775.49312</v>
      </c>
      <c r="D2027" s="15">
        <f>IFERROR(__xludf.DUMMYFUNCTION("""COMPUTED_VALUE"""),1.004)</f>
        <v>1.004</v>
      </c>
      <c r="E2027" s="16">
        <f>IFERROR(__xludf.DUMMYFUNCTION("""COMPUTED_VALUE"""),67.0)</f>
        <v>67</v>
      </c>
      <c r="F2027" s="19" t="str">
        <f>IFERROR(__xludf.DUMMYFUNCTION("""COMPUTED_VALUE"""),"BLACK")</f>
        <v>BLACK</v>
      </c>
      <c r="G2027" s="20" t="str">
        <f>IFERROR(__xludf.DUMMYFUNCTION("""COMPUTED_VALUE"""),"Uncle Sams Cider (5/13/2022)")</f>
        <v>Uncle Sams Cider (5/13/2022)</v>
      </c>
      <c r="H2027" s="19"/>
    </row>
    <row r="2028">
      <c r="A2028" s="9"/>
      <c r="B2028" s="15"/>
      <c r="C2028" s="9">
        <f>IFERROR(__xludf.DUMMYFUNCTION("""COMPUTED_VALUE"""),44775.4826975925)</f>
        <v>44775.4827</v>
      </c>
      <c r="D2028" s="15">
        <f>IFERROR(__xludf.DUMMYFUNCTION("""COMPUTED_VALUE"""),1.004)</f>
        <v>1.004</v>
      </c>
      <c r="E2028" s="16">
        <f>IFERROR(__xludf.DUMMYFUNCTION("""COMPUTED_VALUE"""),67.0)</f>
        <v>67</v>
      </c>
      <c r="F2028" s="19" t="str">
        <f>IFERROR(__xludf.DUMMYFUNCTION("""COMPUTED_VALUE"""),"BLACK")</f>
        <v>BLACK</v>
      </c>
      <c r="G2028" s="20" t="str">
        <f>IFERROR(__xludf.DUMMYFUNCTION("""COMPUTED_VALUE"""),"Uncle Sams Cider (5/13/2022)")</f>
        <v>Uncle Sams Cider (5/13/2022)</v>
      </c>
      <c r="H2028" s="19"/>
    </row>
    <row r="2029">
      <c r="A2029" s="9"/>
      <c r="B2029" s="15"/>
      <c r="C2029" s="9">
        <f>IFERROR(__xludf.DUMMYFUNCTION("""COMPUTED_VALUE"""),44775.4722772338)</f>
        <v>44775.47228</v>
      </c>
      <c r="D2029" s="15">
        <f>IFERROR(__xludf.DUMMYFUNCTION("""COMPUTED_VALUE"""),1.004)</f>
        <v>1.004</v>
      </c>
      <c r="E2029" s="16">
        <f>IFERROR(__xludf.DUMMYFUNCTION("""COMPUTED_VALUE"""),66.0)</f>
        <v>66</v>
      </c>
      <c r="F2029" s="19" t="str">
        <f>IFERROR(__xludf.DUMMYFUNCTION("""COMPUTED_VALUE"""),"BLACK")</f>
        <v>BLACK</v>
      </c>
      <c r="G2029" s="20" t="str">
        <f>IFERROR(__xludf.DUMMYFUNCTION("""COMPUTED_VALUE"""),"Uncle Sams Cider (5/13/2022)")</f>
        <v>Uncle Sams Cider (5/13/2022)</v>
      </c>
      <c r="H2029" s="19"/>
    </row>
    <row r="2030">
      <c r="A2030" s="9"/>
      <c r="B2030" s="15"/>
      <c r="C2030" s="9">
        <f>IFERROR(__xludf.DUMMYFUNCTION("""COMPUTED_VALUE"""),44775.4618458333)</f>
        <v>44775.46185</v>
      </c>
      <c r="D2030" s="15">
        <f>IFERROR(__xludf.DUMMYFUNCTION("""COMPUTED_VALUE"""),1.004)</f>
        <v>1.004</v>
      </c>
      <c r="E2030" s="16">
        <f>IFERROR(__xludf.DUMMYFUNCTION("""COMPUTED_VALUE"""),67.0)</f>
        <v>67</v>
      </c>
      <c r="F2030" s="19" t="str">
        <f>IFERROR(__xludf.DUMMYFUNCTION("""COMPUTED_VALUE"""),"BLACK")</f>
        <v>BLACK</v>
      </c>
      <c r="G2030" s="20" t="str">
        <f>IFERROR(__xludf.DUMMYFUNCTION("""COMPUTED_VALUE"""),"Uncle Sams Cider (5/13/2022)")</f>
        <v>Uncle Sams Cider (5/13/2022)</v>
      </c>
      <c r="H2030" s="19"/>
    </row>
    <row r="2031">
      <c r="A2031" s="9"/>
      <c r="B2031" s="15"/>
      <c r="C2031" s="9">
        <f>IFERROR(__xludf.DUMMYFUNCTION("""COMPUTED_VALUE"""),44775.4409551967)</f>
        <v>44775.44096</v>
      </c>
      <c r="D2031" s="15">
        <f>IFERROR(__xludf.DUMMYFUNCTION("""COMPUTED_VALUE"""),1.004)</f>
        <v>1.004</v>
      </c>
      <c r="E2031" s="16">
        <f>IFERROR(__xludf.DUMMYFUNCTION("""COMPUTED_VALUE"""),66.0)</f>
        <v>66</v>
      </c>
      <c r="F2031" s="19" t="str">
        <f>IFERROR(__xludf.DUMMYFUNCTION("""COMPUTED_VALUE"""),"BLACK")</f>
        <v>BLACK</v>
      </c>
      <c r="G2031" s="20" t="str">
        <f>IFERROR(__xludf.DUMMYFUNCTION("""COMPUTED_VALUE"""),"Uncle Sams Cider (5/13/2022)")</f>
        <v>Uncle Sams Cider (5/13/2022)</v>
      </c>
      <c r="H2031" s="19"/>
    </row>
    <row r="2032">
      <c r="A2032" s="9"/>
      <c r="B2032" s="15"/>
      <c r="C2032" s="9">
        <f>IFERROR(__xludf.DUMMYFUNCTION("""COMPUTED_VALUE"""),44775.4305337268)</f>
        <v>44775.43053</v>
      </c>
      <c r="D2032" s="15">
        <f>IFERROR(__xludf.DUMMYFUNCTION("""COMPUTED_VALUE"""),1.004)</f>
        <v>1.004</v>
      </c>
      <c r="E2032" s="16">
        <f>IFERROR(__xludf.DUMMYFUNCTION("""COMPUTED_VALUE"""),66.0)</f>
        <v>66</v>
      </c>
      <c r="F2032" s="19" t="str">
        <f>IFERROR(__xludf.DUMMYFUNCTION("""COMPUTED_VALUE"""),"BLACK")</f>
        <v>BLACK</v>
      </c>
      <c r="G2032" s="20" t="str">
        <f>IFERROR(__xludf.DUMMYFUNCTION("""COMPUTED_VALUE"""),"Uncle Sams Cider (5/13/2022)")</f>
        <v>Uncle Sams Cider (5/13/2022)</v>
      </c>
      <c r="H2032" s="19"/>
    </row>
    <row r="2033">
      <c r="A2033" s="9"/>
      <c r="B2033" s="15"/>
      <c r="C2033" s="9">
        <f>IFERROR(__xludf.DUMMYFUNCTION("""COMPUTED_VALUE"""),44775.420112743)</f>
        <v>44775.42011</v>
      </c>
      <c r="D2033" s="15">
        <f>IFERROR(__xludf.DUMMYFUNCTION("""COMPUTED_VALUE"""),1.004)</f>
        <v>1.004</v>
      </c>
      <c r="E2033" s="16">
        <f>IFERROR(__xludf.DUMMYFUNCTION("""COMPUTED_VALUE"""),66.0)</f>
        <v>66</v>
      </c>
      <c r="F2033" s="19" t="str">
        <f>IFERROR(__xludf.DUMMYFUNCTION("""COMPUTED_VALUE"""),"BLACK")</f>
        <v>BLACK</v>
      </c>
      <c r="G2033" s="20" t="str">
        <f>IFERROR(__xludf.DUMMYFUNCTION("""COMPUTED_VALUE"""),"Uncle Sams Cider (5/13/2022)")</f>
        <v>Uncle Sams Cider (5/13/2022)</v>
      </c>
      <c r="H2033" s="19"/>
    </row>
    <row r="2034">
      <c r="A2034" s="9"/>
      <c r="B2034" s="15"/>
      <c r="C2034" s="9">
        <f>IFERROR(__xludf.DUMMYFUNCTION("""COMPUTED_VALUE"""),44775.4096913657)</f>
        <v>44775.40969</v>
      </c>
      <c r="D2034" s="15">
        <f>IFERROR(__xludf.DUMMYFUNCTION("""COMPUTED_VALUE"""),1.004)</f>
        <v>1.004</v>
      </c>
      <c r="E2034" s="16">
        <f>IFERROR(__xludf.DUMMYFUNCTION("""COMPUTED_VALUE"""),66.0)</f>
        <v>66</v>
      </c>
      <c r="F2034" s="19" t="str">
        <f>IFERROR(__xludf.DUMMYFUNCTION("""COMPUTED_VALUE"""),"BLACK")</f>
        <v>BLACK</v>
      </c>
      <c r="G2034" s="20" t="str">
        <f>IFERROR(__xludf.DUMMYFUNCTION("""COMPUTED_VALUE"""),"Uncle Sams Cider (5/13/2022)")</f>
        <v>Uncle Sams Cider (5/13/2022)</v>
      </c>
      <c r="H2034" s="19"/>
    </row>
    <row r="2035">
      <c r="A2035" s="9"/>
      <c r="B2035" s="15"/>
      <c r="C2035" s="9">
        <f>IFERROR(__xludf.DUMMYFUNCTION("""COMPUTED_VALUE"""),44775.3992706944)</f>
        <v>44775.39927</v>
      </c>
      <c r="D2035" s="15">
        <f>IFERROR(__xludf.DUMMYFUNCTION("""COMPUTED_VALUE"""),1.004)</f>
        <v>1.004</v>
      </c>
      <c r="E2035" s="16">
        <f>IFERROR(__xludf.DUMMYFUNCTION("""COMPUTED_VALUE"""),66.0)</f>
        <v>66</v>
      </c>
      <c r="F2035" s="19" t="str">
        <f>IFERROR(__xludf.DUMMYFUNCTION("""COMPUTED_VALUE"""),"BLACK")</f>
        <v>BLACK</v>
      </c>
      <c r="G2035" s="20" t="str">
        <f>IFERROR(__xludf.DUMMYFUNCTION("""COMPUTED_VALUE"""),"Uncle Sams Cider (5/13/2022)")</f>
        <v>Uncle Sams Cider (5/13/2022)</v>
      </c>
      <c r="H2035" s="19"/>
    </row>
    <row r="2036">
      <c r="A2036" s="9"/>
      <c r="B2036" s="15"/>
      <c r="C2036" s="9">
        <f>IFERROR(__xludf.DUMMYFUNCTION("""COMPUTED_VALUE"""),44775.3888486921)</f>
        <v>44775.38885</v>
      </c>
      <c r="D2036" s="15">
        <f>IFERROR(__xludf.DUMMYFUNCTION("""COMPUTED_VALUE"""),1.004)</f>
        <v>1.004</v>
      </c>
      <c r="E2036" s="16">
        <f>IFERROR(__xludf.DUMMYFUNCTION("""COMPUTED_VALUE"""),66.0)</f>
        <v>66</v>
      </c>
      <c r="F2036" s="19" t="str">
        <f>IFERROR(__xludf.DUMMYFUNCTION("""COMPUTED_VALUE"""),"BLACK")</f>
        <v>BLACK</v>
      </c>
      <c r="G2036" s="20" t="str">
        <f>IFERROR(__xludf.DUMMYFUNCTION("""COMPUTED_VALUE"""),"Uncle Sams Cider (5/13/2022)")</f>
        <v>Uncle Sams Cider (5/13/2022)</v>
      </c>
      <c r="H2036" s="19"/>
    </row>
    <row r="2037">
      <c r="A2037" s="9"/>
      <c r="B2037" s="15"/>
      <c r="C2037" s="9">
        <f>IFERROR(__xludf.DUMMYFUNCTION("""COMPUTED_VALUE"""),44775.3784167245)</f>
        <v>44775.37842</v>
      </c>
      <c r="D2037" s="15">
        <f>IFERROR(__xludf.DUMMYFUNCTION("""COMPUTED_VALUE"""),1.004)</f>
        <v>1.004</v>
      </c>
      <c r="E2037" s="16">
        <f>IFERROR(__xludf.DUMMYFUNCTION("""COMPUTED_VALUE"""),66.0)</f>
        <v>66</v>
      </c>
      <c r="F2037" s="19" t="str">
        <f>IFERROR(__xludf.DUMMYFUNCTION("""COMPUTED_VALUE"""),"BLACK")</f>
        <v>BLACK</v>
      </c>
      <c r="G2037" s="20" t="str">
        <f>IFERROR(__xludf.DUMMYFUNCTION("""COMPUTED_VALUE"""),"Uncle Sams Cider (5/13/2022)")</f>
        <v>Uncle Sams Cider (5/13/2022)</v>
      </c>
      <c r="H2037" s="19"/>
    </row>
    <row r="2038">
      <c r="A2038" s="9"/>
      <c r="B2038" s="15"/>
      <c r="C2038" s="9">
        <f>IFERROR(__xludf.DUMMYFUNCTION("""COMPUTED_VALUE"""),44775.3679949074)</f>
        <v>44775.36799</v>
      </c>
      <c r="D2038" s="15">
        <f>IFERROR(__xludf.DUMMYFUNCTION("""COMPUTED_VALUE"""),1.004)</f>
        <v>1.004</v>
      </c>
      <c r="E2038" s="16">
        <f>IFERROR(__xludf.DUMMYFUNCTION("""COMPUTED_VALUE"""),66.0)</f>
        <v>66</v>
      </c>
      <c r="F2038" s="19" t="str">
        <f>IFERROR(__xludf.DUMMYFUNCTION("""COMPUTED_VALUE"""),"BLACK")</f>
        <v>BLACK</v>
      </c>
      <c r="G2038" s="20" t="str">
        <f>IFERROR(__xludf.DUMMYFUNCTION("""COMPUTED_VALUE"""),"Uncle Sams Cider (5/13/2022)")</f>
        <v>Uncle Sams Cider (5/13/2022)</v>
      </c>
      <c r="H2038" s="19"/>
    </row>
    <row r="2039">
      <c r="A2039" s="9"/>
      <c r="B2039" s="15"/>
      <c r="C2039" s="9">
        <f>IFERROR(__xludf.DUMMYFUNCTION("""COMPUTED_VALUE"""),44775.3575746759)</f>
        <v>44775.35757</v>
      </c>
      <c r="D2039" s="15">
        <f>IFERROR(__xludf.DUMMYFUNCTION("""COMPUTED_VALUE"""),1.004)</f>
        <v>1.004</v>
      </c>
      <c r="E2039" s="16">
        <f>IFERROR(__xludf.DUMMYFUNCTION("""COMPUTED_VALUE"""),66.0)</f>
        <v>66</v>
      </c>
      <c r="F2039" s="19" t="str">
        <f>IFERROR(__xludf.DUMMYFUNCTION("""COMPUTED_VALUE"""),"BLACK")</f>
        <v>BLACK</v>
      </c>
      <c r="G2039" s="20" t="str">
        <f>IFERROR(__xludf.DUMMYFUNCTION("""COMPUTED_VALUE"""),"Uncle Sams Cider (5/13/2022)")</f>
        <v>Uncle Sams Cider (5/13/2022)</v>
      </c>
      <c r="H2039" s="19"/>
    </row>
    <row r="2040">
      <c r="A2040" s="9"/>
      <c r="B2040" s="15"/>
      <c r="C2040" s="9">
        <f>IFERROR(__xludf.DUMMYFUNCTION("""COMPUTED_VALUE"""),44775.3471423032)</f>
        <v>44775.34714</v>
      </c>
      <c r="D2040" s="15">
        <f>IFERROR(__xludf.DUMMYFUNCTION("""COMPUTED_VALUE"""),1.004)</f>
        <v>1.004</v>
      </c>
      <c r="E2040" s="16">
        <f>IFERROR(__xludf.DUMMYFUNCTION("""COMPUTED_VALUE"""),66.0)</f>
        <v>66</v>
      </c>
      <c r="F2040" s="19" t="str">
        <f>IFERROR(__xludf.DUMMYFUNCTION("""COMPUTED_VALUE"""),"BLACK")</f>
        <v>BLACK</v>
      </c>
      <c r="G2040" s="20" t="str">
        <f>IFERROR(__xludf.DUMMYFUNCTION("""COMPUTED_VALUE"""),"Uncle Sams Cider (5/13/2022)")</f>
        <v>Uncle Sams Cider (5/13/2022)</v>
      </c>
      <c r="H2040" s="19"/>
    </row>
    <row r="2041">
      <c r="A2041" s="9"/>
      <c r="B2041" s="15"/>
      <c r="C2041" s="9">
        <f>IFERROR(__xludf.DUMMYFUNCTION("""COMPUTED_VALUE"""),44775.3367207986)</f>
        <v>44775.33672</v>
      </c>
      <c r="D2041" s="15">
        <f>IFERROR(__xludf.DUMMYFUNCTION("""COMPUTED_VALUE"""),1.004)</f>
        <v>1.004</v>
      </c>
      <c r="E2041" s="16">
        <f>IFERROR(__xludf.DUMMYFUNCTION("""COMPUTED_VALUE"""),66.0)</f>
        <v>66</v>
      </c>
      <c r="F2041" s="19" t="str">
        <f>IFERROR(__xludf.DUMMYFUNCTION("""COMPUTED_VALUE"""),"BLACK")</f>
        <v>BLACK</v>
      </c>
      <c r="G2041" s="20" t="str">
        <f>IFERROR(__xludf.DUMMYFUNCTION("""COMPUTED_VALUE"""),"Uncle Sams Cider (5/13/2022)")</f>
        <v>Uncle Sams Cider (5/13/2022)</v>
      </c>
      <c r="H2041" s="19"/>
    </row>
    <row r="2042">
      <c r="A2042" s="9"/>
      <c r="B2042" s="15"/>
      <c r="C2042" s="9">
        <f>IFERROR(__xludf.DUMMYFUNCTION("""COMPUTED_VALUE"""),44775.3262997569)</f>
        <v>44775.3263</v>
      </c>
      <c r="D2042" s="15">
        <f>IFERROR(__xludf.DUMMYFUNCTION("""COMPUTED_VALUE"""),1.004)</f>
        <v>1.004</v>
      </c>
      <c r="E2042" s="16">
        <f>IFERROR(__xludf.DUMMYFUNCTION("""COMPUTED_VALUE"""),66.0)</f>
        <v>66</v>
      </c>
      <c r="F2042" s="19" t="str">
        <f>IFERROR(__xludf.DUMMYFUNCTION("""COMPUTED_VALUE"""),"BLACK")</f>
        <v>BLACK</v>
      </c>
      <c r="G2042" s="20" t="str">
        <f>IFERROR(__xludf.DUMMYFUNCTION("""COMPUTED_VALUE"""),"Uncle Sams Cider (5/13/2022)")</f>
        <v>Uncle Sams Cider (5/13/2022)</v>
      </c>
      <c r="H2042" s="19"/>
    </row>
    <row r="2043">
      <c r="A2043" s="9"/>
      <c r="B2043" s="15"/>
      <c r="C2043" s="9">
        <f>IFERROR(__xludf.DUMMYFUNCTION("""COMPUTED_VALUE"""),44775.3158679398)</f>
        <v>44775.31587</v>
      </c>
      <c r="D2043" s="15">
        <f>IFERROR(__xludf.DUMMYFUNCTION("""COMPUTED_VALUE"""),1.004)</f>
        <v>1.004</v>
      </c>
      <c r="E2043" s="16">
        <f>IFERROR(__xludf.DUMMYFUNCTION("""COMPUTED_VALUE"""),66.0)</f>
        <v>66</v>
      </c>
      <c r="F2043" s="19" t="str">
        <f>IFERROR(__xludf.DUMMYFUNCTION("""COMPUTED_VALUE"""),"BLACK")</f>
        <v>BLACK</v>
      </c>
      <c r="G2043" s="20" t="str">
        <f>IFERROR(__xludf.DUMMYFUNCTION("""COMPUTED_VALUE"""),"Uncle Sams Cider (5/13/2022)")</f>
        <v>Uncle Sams Cider (5/13/2022)</v>
      </c>
      <c r="H2043" s="19"/>
    </row>
    <row r="2044">
      <c r="A2044" s="9"/>
      <c r="B2044" s="15"/>
      <c r="C2044" s="9">
        <f>IFERROR(__xludf.DUMMYFUNCTION("""COMPUTED_VALUE"""),44775.3054458912)</f>
        <v>44775.30545</v>
      </c>
      <c r="D2044" s="15">
        <f>IFERROR(__xludf.DUMMYFUNCTION("""COMPUTED_VALUE"""),1.004)</f>
        <v>1.004</v>
      </c>
      <c r="E2044" s="16">
        <f>IFERROR(__xludf.DUMMYFUNCTION("""COMPUTED_VALUE"""),66.0)</f>
        <v>66</v>
      </c>
      <c r="F2044" s="19" t="str">
        <f>IFERROR(__xludf.DUMMYFUNCTION("""COMPUTED_VALUE"""),"BLACK")</f>
        <v>BLACK</v>
      </c>
      <c r="G2044" s="20" t="str">
        <f>IFERROR(__xludf.DUMMYFUNCTION("""COMPUTED_VALUE"""),"Uncle Sams Cider (5/13/2022)")</f>
        <v>Uncle Sams Cider (5/13/2022)</v>
      </c>
      <c r="H2044" s="19"/>
    </row>
    <row r="2045">
      <c r="A2045" s="9"/>
      <c r="B2045" s="15"/>
      <c r="C2045" s="9">
        <f>IFERROR(__xludf.DUMMYFUNCTION("""COMPUTED_VALUE"""),44775.2950015625)</f>
        <v>44775.295</v>
      </c>
      <c r="D2045" s="15">
        <f>IFERROR(__xludf.DUMMYFUNCTION("""COMPUTED_VALUE"""),1.004)</f>
        <v>1.004</v>
      </c>
      <c r="E2045" s="16">
        <f>IFERROR(__xludf.DUMMYFUNCTION("""COMPUTED_VALUE"""),66.0)</f>
        <v>66</v>
      </c>
      <c r="F2045" s="19" t="str">
        <f>IFERROR(__xludf.DUMMYFUNCTION("""COMPUTED_VALUE"""),"BLACK")</f>
        <v>BLACK</v>
      </c>
      <c r="G2045" s="20" t="str">
        <f>IFERROR(__xludf.DUMMYFUNCTION("""COMPUTED_VALUE"""),"Uncle Sams Cider (5/13/2022)")</f>
        <v>Uncle Sams Cider (5/13/2022)</v>
      </c>
      <c r="H2045" s="19"/>
    </row>
    <row r="2046">
      <c r="A2046" s="9"/>
      <c r="B2046" s="15"/>
      <c r="C2046" s="9">
        <f>IFERROR(__xludf.DUMMYFUNCTION("""COMPUTED_VALUE"""),44775.2845793865)</f>
        <v>44775.28458</v>
      </c>
      <c r="D2046" s="15">
        <f>IFERROR(__xludf.DUMMYFUNCTION("""COMPUTED_VALUE"""),1.004)</f>
        <v>1.004</v>
      </c>
      <c r="E2046" s="16">
        <f>IFERROR(__xludf.DUMMYFUNCTION("""COMPUTED_VALUE"""),66.0)</f>
        <v>66</v>
      </c>
      <c r="F2046" s="19" t="str">
        <f>IFERROR(__xludf.DUMMYFUNCTION("""COMPUTED_VALUE"""),"BLACK")</f>
        <v>BLACK</v>
      </c>
      <c r="G2046" s="20" t="str">
        <f>IFERROR(__xludf.DUMMYFUNCTION("""COMPUTED_VALUE"""),"Uncle Sams Cider (5/13/2022)")</f>
        <v>Uncle Sams Cider (5/13/2022)</v>
      </c>
      <c r="H2046" s="19"/>
    </row>
    <row r="2047">
      <c r="A2047" s="9"/>
      <c r="B2047" s="15"/>
      <c r="C2047" s="9">
        <f>IFERROR(__xludf.DUMMYFUNCTION("""COMPUTED_VALUE"""),44775.2741597801)</f>
        <v>44775.27416</v>
      </c>
      <c r="D2047" s="15">
        <f>IFERROR(__xludf.DUMMYFUNCTION("""COMPUTED_VALUE"""),1.004)</f>
        <v>1.004</v>
      </c>
      <c r="E2047" s="16">
        <f>IFERROR(__xludf.DUMMYFUNCTION("""COMPUTED_VALUE"""),66.0)</f>
        <v>66</v>
      </c>
      <c r="F2047" s="19" t="str">
        <f>IFERROR(__xludf.DUMMYFUNCTION("""COMPUTED_VALUE"""),"BLACK")</f>
        <v>BLACK</v>
      </c>
      <c r="G2047" s="20" t="str">
        <f>IFERROR(__xludf.DUMMYFUNCTION("""COMPUTED_VALUE"""),"Uncle Sams Cider (5/13/2022)")</f>
        <v>Uncle Sams Cider (5/13/2022)</v>
      </c>
      <c r="H2047" s="19"/>
    </row>
    <row r="2048">
      <c r="A2048" s="9"/>
      <c r="B2048" s="15"/>
      <c r="C2048" s="9">
        <f>IFERROR(__xludf.DUMMYFUNCTION("""COMPUTED_VALUE"""),44775.2637393055)</f>
        <v>44775.26374</v>
      </c>
      <c r="D2048" s="15">
        <f>IFERROR(__xludf.DUMMYFUNCTION("""COMPUTED_VALUE"""),1.004)</f>
        <v>1.004</v>
      </c>
      <c r="E2048" s="16">
        <f>IFERROR(__xludf.DUMMYFUNCTION("""COMPUTED_VALUE"""),66.0)</f>
        <v>66</v>
      </c>
      <c r="F2048" s="19" t="str">
        <f>IFERROR(__xludf.DUMMYFUNCTION("""COMPUTED_VALUE"""),"BLACK")</f>
        <v>BLACK</v>
      </c>
      <c r="G2048" s="20" t="str">
        <f>IFERROR(__xludf.DUMMYFUNCTION("""COMPUTED_VALUE"""),"Uncle Sams Cider (5/13/2022)")</f>
        <v>Uncle Sams Cider (5/13/2022)</v>
      </c>
      <c r="H2048" s="19"/>
    </row>
    <row r="2049">
      <c r="A2049" s="9"/>
      <c r="B2049" s="15"/>
      <c r="C2049" s="9">
        <f>IFERROR(__xludf.DUMMYFUNCTION("""COMPUTED_VALUE"""),44775.2533175578)</f>
        <v>44775.25332</v>
      </c>
      <c r="D2049" s="15">
        <f>IFERROR(__xludf.DUMMYFUNCTION("""COMPUTED_VALUE"""),1.004)</f>
        <v>1.004</v>
      </c>
      <c r="E2049" s="16">
        <f>IFERROR(__xludf.DUMMYFUNCTION("""COMPUTED_VALUE"""),66.0)</f>
        <v>66</v>
      </c>
      <c r="F2049" s="19" t="str">
        <f>IFERROR(__xludf.DUMMYFUNCTION("""COMPUTED_VALUE"""),"BLACK")</f>
        <v>BLACK</v>
      </c>
      <c r="G2049" s="20" t="str">
        <f>IFERROR(__xludf.DUMMYFUNCTION("""COMPUTED_VALUE"""),"Uncle Sams Cider (5/13/2022)")</f>
        <v>Uncle Sams Cider (5/13/2022)</v>
      </c>
      <c r="H2049" s="19"/>
    </row>
    <row r="2050">
      <c r="A2050" s="9"/>
      <c r="B2050" s="15"/>
      <c r="C2050" s="9">
        <f>IFERROR(__xludf.DUMMYFUNCTION("""COMPUTED_VALUE"""),44775.2428980208)</f>
        <v>44775.2429</v>
      </c>
      <c r="D2050" s="15">
        <f>IFERROR(__xludf.DUMMYFUNCTION("""COMPUTED_VALUE"""),1.004)</f>
        <v>1.004</v>
      </c>
      <c r="E2050" s="16">
        <f>IFERROR(__xludf.DUMMYFUNCTION("""COMPUTED_VALUE"""),66.0)</f>
        <v>66</v>
      </c>
      <c r="F2050" s="19" t="str">
        <f>IFERROR(__xludf.DUMMYFUNCTION("""COMPUTED_VALUE"""),"BLACK")</f>
        <v>BLACK</v>
      </c>
      <c r="G2050" s="20" t="str">
        <f>IFERROR(__xludf.DUMMYFUNCTION("""COMPUTED_VALUE"""),"Uncle Sams Cider (5/13/2022)")</f>
        <v>Uncle Sams Cider (5/13/2022)</v>
      </c>
      <c r="H2050" s="19"/>
    </row>
    <row r="2051">
      <c r="A2051" s="9"/>
      <c r="B2051" s="15"/>
      <c r="C2051" s="9">
        <f>IFERROR(__xludf.DUMMYFUNCTION("""COMPUTED_VALUE"""),44775.2324762731)</f>
        <v>44775.23248</v>
      </c>
      <c r="D2051" s="15">
        <f>IFERROR(__xludf.DUMMYFUNCTION("""COMPUTED_VALUE"""),1.004)</f>
        <v>1.004</v>
      </c>
      <c r="E2051" s="16">
        <f>IFERROR(__xludf.DUMMYFUNCTION("""COMPUTED_VALUE"""),66.0)</f>
        <v>66</v>
      </c>
      <c r="F2051" s="19" t="str">
        <f>IFERROR(__xludf.DUMMYFUNCTION("""COMPUTED_VALUE"""),"BLACK")</f>
        <v>BLACK</v>
      </c>
      <c r="G2051" s="20" t="str">
        <f>IFERROR(__xludf.DUMMYFUNCTION("""COMPUTED_VALUE"""),"Uncle Sams Cider (5/13/2022)")</f>
        <v>Uncle Sams Cider (5/13/2022)</v>
      </c>
      <c r="H2051" s="19"/>
    </row>
    <row r="2052">
      <c r="A2052" s="9"/>
      <c r="B2052" s="15"/>
      <c r="C2052" s="9">
        <f>IFERROR(__xludf.DUMMYFUNCTION("""COMPUTED_VALUE"""),44775.2220549421)</f>
        <v>44775.22205</v>
      </c>
      <c r="D2052" s="15">
        <f>IFERROR(__xludf.DUMMYFUNCTION("""COMPUTED_VALUE"""),1.004)</f>
        <v>1.004</v>
      </c>
      <c r="E2052" s="16">
        <f>IFERROR(__xludf.DUMMYFUNCTION("""COMPUTED_VALUE"""),66.0)</f>
        <v>66</v>
      </c>
      <c r="F2052" s="19" t="str">
        <f>IFERROR(__xludf.DUMMYFUNCTION("""COMPUTED_VALUE"""),"BLACK")</f>
        <v>BLACK</v>
      </c>
      <c r="G2052" s="20" t="str">
        <f>IFERROR(__xludf.DUMMYFUNCTION("""COMPUTED_VALUE"""),"Uncle Sams Cider (5/13/2022)")</f>
        <v>Uncle Sams Cider (5/13/2022)</v>
      </c>
      <c r="H2052" s="19"/>
    </row>
    <row r="2053">
      <c r="A2053" s="9"/>
      <c r="B2053" s="15"/>
      <c r="C2053" s="9">
        <f>IFERROR(__xludf.DUMMYFUNCTION("""COMPUTED_VALUE"""),44775.2116318518)</f>
        <v>44775.21163</v>
      </c>
      <c r="D2053" s="15">
        <f>IFERROR(__xludf.DUMMYFUNCTION("""COMPUTED_VALUE"""),1.004)</f>
        <v>1.004</v>
      </c>
      <c r="E2053" s="16">
        <f>IFERROR(__xludf.DUMMYFUNCTION("""COMPUTED_VALUE"""),66.0)</f>
        <v>66</v>
      </c>
      <c r="F2053" s="19" t="str">
        <f>IFERROR(__xludf.DUMMYFUNCTION("""COMPUTED_VALUE"""),"BLACK")</f>
        <v>BLACK</v>
      </c>
      <c r="G2053" s="20" t="str">
        <f>IFERROR(__xludf.DUMMYFUNCTION("""COMPUTED_VALUE"""),"Uncle Sams Cider (5/13/2022)")</f>
        <v>Uncle Sams Cider (5/13/2022)</v>
      </c>
      <c r="H2053" s="19"/>
    </row>
    <row r="2054">
      <c r="A2054" s="9"/>
      <c r="B2054" s="15"/>
      <c r="C2054" s="9">
        <f>IFERROR(__xludf.DUMMYFUNCTION("""COMPUTED_VALUE"""),44775.2012117013)</f>
        <v>44775.20121</v>
      </c>
      <c r="D2054" s="15">
        <f>IFERROR(__xludf.DUMMYFUNCTION("""COMPUTED_VALUE"""),1.004)</f>
        <v>1.004</v>
      </c>
      <c r="E2054" s="16">
        <f>IFERROR(__xludf.DUMMYFUNCTION("""COMPUTED_VALUE"""),66.0)</f>
        <v>66</v>
      </c>
      <c r="F2054" s="19" t="str">
        <f>IFERROR(__xludf.DUMMYFUNCTION("""COMPUTED_VALUE"""),"BLACK")</f>
        <v>BLACK</v>
      </c>
      <c r="G2054" s="20" t="str">
        <f>IFERROR(__xludf.DUMMYFUNCTION("""COMPUTED_VALUE"""),"Uncle Sams Cider (5/13/2022)")</f>
        <v>Uncle Sams Cider (5/13/2022)</v>
      </c>
      <c r="H2054" s="19"/>
    </row>
    <row r="2055">
      <c r="A2055" s="9"/>
      <c r="B2055" s="15"/>
      <c r="C2055" s="9">
        <f>IFERROR(__xludf.DUMMYFUNCTION("""COMPUTED_VALUE"""),44775.1907914699)</f>
        <v>44775.19079</v>
      </c>
      <c r="D2055" s="15">
        <f>IFERROR(__xludf.DUMMYFUNCTION("""COMPUTED_VALUE"""),1.004)</f>
        <v>1.004</v>
      </c>
      <c r="E2055" s="16">
        <f>IFERROR(__xludf.DUMMYFUNCTION("""COMPUTED_VALUE"""),66.0)</f>
        <v>66</v>
      </c>
      <c r="F2055" s="19" t="str">
        <f>IFERROR(__xludf.DUMMYFUNCTION("""COMPUTED_VALUE"""),"BLACK")</f>
        <v>BLACK</v>
      </c>
      <c r="G2055" s="20" t="str">
        <f>IFERROR(__xludf.DUMMYFUNCTION("""COMPUTED_VALUE"""),"Uncle Sams Cider (5/13/2022)")</f>
        <v>Uncle Sams Cider (5/13/2022)</v>
      </c>
      <c r="H2055" s="19"/>
    </row>
    <row r="2056">
      <c r="A2056" s="9"/>
      <c r="B2056" s="15"/>
      <c r="C2056" s="9">
        <f>IFERROR(__xludf.DUMMYFUNCTION("""COMPUTED_VALUE"""),44775.1803677199)</f>
        <v>44775.18037</v>
      </c>
      <c r="D2056" s="15">
        <f>IFERROR(__xludf.DUMMYFUNCTION("""COMPUTED_VALUE"""),1.004)</f>
        <v>1.004</v>
      </c>
      <c r="E2056" s="16">
        <f>IFERROR(__xludf.DUMMYFUNCTION("""COMPUTED_VALUE"""),66.0)</f>
        <v>66</v>
      </c>
      <c r="F2056" s="19" t="str">
        <f>IFERROR(__xludf.DUMMYFUNCTION("""COMPUTED_VALUE"""),"BLACK")</f>
        <v>BLACK</v>
      </c>
      <c r="G2056" s="20" t="str">
        <f>IFERROR(__xludf.DUMMYFUNCTION("""COMPUTED_VALUE"""),"Uncle Sams Cider (5/13/2022)")</f>
        <v>Uncle Sams Cider (5/13/2022)</v>
      </c>
      <c r="H2056" s="19"/>
    </row>
    <row r="2057">
      <c r="A2057" s="9"/>
      <c r="B2057" s="15"/>
      <c r="C2057" s="9">
        <f>IFERROR(__xludf.DUMMYFUNCTION("""COMPUTED_VALUE"""),44775.1699467013)</f>
        <v>44775.16995</v>
      </c>
      <c r="D2057" s="15">
        <f>IFERROR(__xludf.DUMMYFUNCTION("""COMPUTED_VALUE"""),1.004)</f>
        <v>1.004</v>
      </c>
      <c r="E2057" s="16">
        <f>IFERROR(__xludf.DUMMYFUNCTION("""COMPUTED_VALUE"""),66.0)</f>
        <v>66</v>
      </c>
      <c r="F2057" s="19" t="str">
        <f>IFERROR(__xludf.DUMMYFUNCTION("""COMPUTED_VALUE"""),"BLACK")</f>
        <v>BLACK</v>
      </c>
      <c r="G2057" s="20" t="str">
        <f>IFERROR(__xludf.DUMMYFUNCTION("""COMPUTED_VALUE"""),"Uncle Sams Cider (5/13/2022)")</f>
        <v>Uncle Sams Cider (5/13/2022)</v>
      </c>
      <c r="H2057" s="19"/>
    </row>
    <row r="2058">
      <c r="A2058" s="9"/>
      <c r="B2058" s="15"/>
      <c r="C2058" s="9">
        <f>IFERROR(__xludf.DUMMYFUNCTION("""COMPUTED_VALUE"""),44775.1595236226)</f>
        <v>44775.15952</v>
      </c>
      <c r="D2058" s="15">
        <f>IFERROR(__xludf.DUMMYFUNCTION("""COMPUTED_VALUE"""),1.004)</f>
        <v>1.004</v>
      </c>
      <c r="E2058" s="16">
        <f>IFERROR(__xludf.DUMMYFUNCTION("""COMPUTED_VALUE"""),66.0)</f>
        <v>66</v>
      </c>
      <c r="F2058" s="19" t="str">
        <f>IFERROR(__xludf.DUMMYFUNCTION("""COMPUTED_VALUE"""),"BLACK")</f>
        <v>BLACK</v>
      </c>
      <c r="G2058" s="20" t="str">
        <f>IFERROR(__xludf.DUMMYFUNCTION("""COMPUTED_VALUE"""),"Uncle Sams Cider (5/13/2022)")</f>
        <v>Uncle Sams Cider (5/13/2022)</v>
      </c>
      <c r="H2058" s="19"/>
    </row>
    <row r="2059">
      <c r="A2059" s="9"/>
      <c r="B2059" s="15"/>
      <c r="C2059" s="9">
        <f>IFERROR(__xludf.DUMMYFUNCTION("""COMPUTED_VALUE"""),44775.1491007523)</f>
        <v>44775.1491</v>
      </c>
      <c r="D2059" s="15">
        <f>IFERROR(__xludf.DUMMYFUNCTION("""COMPUTED_VALUE"""),1.004)</f>
        <v>1.004</v>
      </c>
      <c r="E2059" s="16">
        <f>IFERROR(__xludf.DUMMYFUNCTION("""COMPUTED_VALUE"""),66.0)</f>
        <v>66</v>
      </c>
      <c r="F2059" s="19" t="str">
        <f>IFERROR(__xludf.DUMMYFUNCTION("""COMPUTED_VALUE"""),"BLACK")</f>
        <v>BLACK</v>
      </c>
      <c r="G2059" s="20" t="str">
        <f>IFERROR(__xludf.DUMMYFUNCTION("""COMPUTED_VALUE"""),"Uncle Sams Cider (5/13/2022)")</f>
        <v>Uncle Sams Cider (5/13/2022)</v>
      </c>
      <c r="H2059" s="19"/>
    </row>
    <row r="2060">
      <c r="A2060" s="9"/>
      <c r="B2060" s="15"/>
      <c r="C2060" s="9">
        <f>IFERROR(__xludf.DUMMYFUNCTION("""COMPUTED_VALUE"""),44775.138677037)</f>
        <v>44775.13868</v>
      </c>
      <c r="D2060" s="15">
        <f>IFERROR(__xludf.DUMMYFUNCTION("""COMPUTED_VALUE"""),1.004)</f>
        <v>1.004</v>
      </c>
      <c r="E2060" s="16">
        <f>IFERROR(__xludf.DUMMYFUNCTION("""COMPUTED_VALUE"""),66.0)</f>
        <v>66</v>
      </c>
      <c r="F2060" s="19" t="str">
        <f>IFERROR(__xludf.DUMMYFUNCTION("""COMPUTED_VALUE"""),"BLACK")</f>
        <v>BLACK</v>
      </c>
      <c r="G2060" s="20" t="str">
        <f>IFERROR(__xludf.DUMMYFUNCTION("""COMPUTED_VALUE"""),"Uncle Sams Cider (5/13/2022)")</f>
        <v>Uncle Sams Cider (5/13/2022)</v>
      </c>
      <c r="H2060" s="19"/>
    </row>
    <row r="2061">
      <c r="A2061" s="9"/>
      <c r="B2061" s="15"/>
      <c r="C2061" s="9">
        <f>IFERROR(__xludf.DUMMYFUNCTION("""COMPUTED_VALUE"""),44775.1282553472)</f>
        <v>44775.12826</v>
      </c>
      <c r="D2061" s="15">
        <f>IFERROR(__xludf.DUMMYFUNCTION("""COMPUTED_VALUE"""),1.004)</f>
        <v>1.004</v>
      </c>
      <c r="E2061" s="16">
        <f>IFERROR(__xludf.DUMMYFUNCTION("""COMPUTED_VALUE"""),66.0)</f>
        <v>66</v>
      </c>
      <c r="F2061" s="19" t="str">
        <f>IFERROR(__xludf.DUMMYFUNCTION("""COMPUTED_VALUE"""),"BLACK")</f>
        <v>BLACK</v>
      </c>
      <c r="G2061" s="20" t="str">
        <f>IFERROR(__xludf.DUMMYFUNCTION("""COMPUTED_VALUE"""),"Uncle Sams Cider (5/13/2022)")</f>
        <v>Uncle Sams Cider (5/13/2022)</v>
      </c>
      <c r="H2061" s="19"/>
    </row>
    <row r="2062">
      <c r="A2062" s="9"/>
      <c r="B2062" s="15"/>
      <c r="C2062" s="9">
        <f>IFERROR(__xludf.DUMMYFUNCTION("""COMPUTED_VALUE"""),44775.117822037)</f>
        <v>44775.11782</v>
      </c>
      <c r="D2062" s="15">
        <f>IFERROR(__xludf.DUMMYFUNCTION("""COMPUTED_VALUE"""),1.004)</f>
        <v>1.004</v>
      </c>
      <c r="E2062" s="16">
        <f>IFERROR(__xludf.DUMMYFUNCTION("""COMPUTED_VALUE"""),66.0)</f>
        <v>66</v>
      </c>
      <c r="F2062" s="19" t="str">
        <f>IFERROR(__xludf.DUMMYFUNCTION("""COMPUTED_VALUE"""),"BLACK")</f>
        <v>BLACK</v>
      </c>
      <c r="G2062" s="20" t="str">
        <f>IFERROR(__xludf.DUMMYFUNCTION("""COMPUTED_VALUE"""),"Uncle Sams Cider (5/13/2022)")</f>
        <v>Uncle Sams Cider (5/13/2022)</v>
      </c>
      <c r="H2062" s="19"/>
    </row>
    <row r="2063">
      <c r="A2063" s="9"/>
      <c r="B2063" s="15"/>
      <c r="C2063" s="9">
        <f>IFERROR(__xludf.DUMMYFUNCTION("""COMPUTED_VALUE"""),44775.1074017013)</f>
        <v>44775.1074</v>
      </c>
      <c r="D2063" s="15">
        <f>IFERROR(__xludf.DUMMYFUNCTION("""COMPUTED_VALUE"""),1.004)</f>
        <v>1.004</v>
      </c>
      <c r="E2063" s="16">
        <f>IFERROR(__xludf.DUMMYFUNCTION("""COMPUTED_VALUE"""),66.0)</f>
        <v>66</v>
      </c>
      <c r="F2063" s="19" t="str">
        <f>IFERROR(__xludf.DUMMYFUNCTION("""COMPUTED_VALUE"""),"BLACK")</f>
        <v>BLACK</v>
      </c>
      <c r="G2063" s="20" t="str">
        <f>IFERROR(__xludf.DUMMYFUNCTION("""COMPUTED_VALUE"""),"Uncle Sams Cider (5/13/2022)")</f>
        <v>Uncle Sams Cider (5/13/2022)</v>
      </c>
      <c r="H2063" s="19"/>
    </row>
    <row r="2064">
      <c r="A2064" s="9"/>
      <c r="B2064" s="15"/>
      <c r="C2064" s="9">
        <f>IFERROR(__xludf.DUMMYFUNCTION("""COMPUTED_VALUE"""),44775.0969807291)</f>
        <v>44775.09698</v>
      </c>
      <c r="D2064" s="15">
        <f>IFERROR(__xludf.DUMMYFUNCTION("""COMPUTED_VALUE"""),1.004)</f>
        <v>1.004</v>
      </c>
      <c r="E2064" s="16">
        <f>IFERROR(__xludf.DUMMYFUNCTION("""COMPUTED_VALUE"""),66.0)</f>
        <v>66</v>
      </c>
      <c r="F2064" s="19" t="str">
        <f>IFERROR(__xludf.DUMMYFUNCTION("""COMPUTED_VALUE"""),"BLACK")</f>
        <v>BLACK</v>
      </c>
      <c r="G2064" s="20" t="str">
        <f>IFERROR(__xludf.DUMMYFUNCTION("""COMPUTED_VALUE"""),"Uncle Sams Cider (5/13/2022)")</f>
        <v>Uncle Sams Cider (5/13/2022)</v>
      </c>
      <c r="H2064" s="19"/>
    </row>
    <row r="2065">
      <c r="A2065" s="9"/>
      <c r="B2065" s="15"/>
      <c r="C2065" s="9">
        <f>IFERROR(__xludf.DUMMYFUNCTION("""COMPUTED_VALUE"""),44775.0865473032)</f>
        <v>44775.08655</v>
      </c>
      <c r="D2065" s="15">
        <f>IFERROR(__xludf.DUMMYFUNCTION("""COMPUTED_VALUE"""),1.004)</f>
        <v>1.004</v>
      </c>
      <c r="E2065" s="16">
        <f>IFERROR(__xludf.DUMMYFUNCTION("""COMPUTED_VALUE"""),66.0)</f>
        <v>66</v>
      </c>
      <c r="F2065" s="19" t="str">
        <f>IFERROR(__xludf.DUMMYFUNCTION("""COMPUTED_VALUE"""),"BLACK")</f>
        <v>BLACK</v>
      </c>
      <c r="G2065" s="20" t="str">
        <f>IFERROR(__xludf.DUMMYFUNCTION("""COMPUTED_VALUE"""),"Uncle Sams Cider (5/13/2022)")</f>
        <v>Uncle Sams Cider (5/13/2022)</v>
      </c>
      <c r="H2065" s="19"/>
    </row>
    <row r="2066">
      <c r="A2066" s="9"/>
      <c r="B2066" s="15"/>
      <c r="C2066" s="9">
        <f>IFERROR(__xludf.DUMMYFUNCTION("""COMPUTED_VALUE"""),44775.0761156828)</f>
        <v>44775.07612</v>
      </c>
      <c r="D2066" s="15">
        <f>IFERROR(__xludf.DUMMYFUNCTION("""COMPUTED_VALUE"""),1.004)</f>
        <v>1.004</v>
      </c>
      <c r="E2066" s="16">
        <f>IFERROR(__xludf.DUMMYFUNCTION("""COMPUTED_VALUE"""),66.0)</f>
        <v>66</v>
      </c>
      <c r="F2066" s="19" t="str">
        <f>IFERROR(__xludf.DUMMYFUNCTION("""COMPUTED_VALUE"""),"BLACK")</f>
        <v>BLACK</v>
      </c>
      <c r="G2066" s="20" t="str">
        <f>IFERROR(__xludf.DUMMYFUNCTION("""COMPUTED_VALUE"""),"Uncle Sams Cider (5/13/2022)")</f>
        <v>Uncle Sams Cider (5/13/2022)</v>
      </c>
      <c r="H2066" s="19"/>
    </row>
    <row r="2067">
      <c r="A2067" s="9"/>
      <c r="B2067" s="15"/>
      <c r="C2067" s="9">
        <f>IFERROR(__xludf.DUMMYFUNCTION("""COMPUTED_VALUE"""),44775.0656817476)</f>
        <v>44775.06568</v>
      </c>
      <c r="D2067" s="15">
        <f>IFERROR(__xludf.DUMMYFUNCTION("""COMPUTED_VALUE"""),1.004)</f>
        <v>1.004</v>
      </c>
      <c r="E2067" s="16">
        <f>IFERROR(__xludf.DUMMYFUNCTION("""COMPUTED_VALUE"""),66.0)</f>
        <v>66</v>
      </c>
      <c r="F2067" s="19" t="str">
        <f>IFERROR(__xludf.DUMMYFUNCTION("""COMPUTED_VALUE"""),"BLACK")</f>
        <v>BLACK</v>
      </c>
      <c r="G2067" s="20" t="str">
        <f>IFERROR(__xludf.DUMMYFUNCTION("""COMPUTED_VALUE"""),"Uncle Sams Cider (5/13/2022)")</f>
        <v>Uncle Sams Cider (5/13/2022)</v>
      </c>
      <c r="H2067" s="19"/>
    </row>
    <row r="2068">
      <c r="A2068" s="9"/>
      <c r="B2068" s="15"/>
      <c r="C2068" s="9">
        <f>IFERROR(__xludf.DUMMYFUNCTION("""COMPUTED_VALUE"""),44775.0552584953)</f>
        <v>44775.05526</v>
      </c>
      <c r="D2068" s="15">
        <f>IFERROR(__xludf.DUMMYFUNCTION("""COMPUTED_VALUE"""),1.004)</f>
        <v>1.004</v>
      </c>
      <c r="E2068" s="16">
        <f>IFERROR(__xludf.DUMMYFUNCTION("""COMPUTED_VALUE"""),67.0)</f>
        <v>67</v>
      </c>
      <c r="F2068" s="19" t="str">
        <f>IFERROR(__xludf.DUMMYFUNCTION("""COMPUTED_VALUE"""),"BLACK")</f>
        <v>BLACK</v>
      </c>
      <c r="G2068" s="20" t="str">
        <f>IFERROR(__xludf.DUMMYFUNCTION("""COMPUTED_VALUE"""),"Uncle Sams Cider (5/13/2022)")</f>
        <v>Uncle Sams Cider (5/13/2022)</v>
      </c>
      <c r="H2068" s="19"/>
    </row>
    <row r="2069">
      <c r="A2069" s="9"/>
      <c r="B2069" s="15"/>
      <c r="C2069" s="9">
        <f>IFERROR(__xludf.DUMMYFUNCTION("""COMPUTED_VALUE"""),44775.0448374884)</f>
        <v>44775.04484</v>
      </c>
      <c r="D2069" s="15">
        <f>IFERROR(__xludf.DUMMYFUNCTION("""COMPUTED_VALUE"""),1.004)</f>
        <v>1.004</v>
      </c>
      <c r="E2069" s="16">
        <f>IFERROR(__xludf.DUMMYFUNCTION("""COMPUTED_VALUE"""),68.0)</f>
        <v>68</v>
      </c>
      <c r="F2069" s="19" t="str">
        <f>IFERROR(__xludf.DUMMYFUNCTION("""COMPUTED_VALUE"""),"BLACK")</f>
        <v>BLACK</v>
      </c>
      <c r="G2069" s="20" t="str">
        <f>IFERROR(__xludf.DUMMYFUNCTION("""COMPUTED_VALUE"""),"Uncle Sams Cider (5/13/2022)")</f>
        <v>Uncle Sams Cider (5/13/2022)</v>
      </c>
      <c r="H2069" s="19"/>
    </row>
    <row r="2070">
      <c r="A2070" s="9"/>
      <c r="B2070" s="15"/>
      <c r="C2070" s="9">
        <f>IFERROR(__xludf.DUMMYFUNCTION("""COMPUTED_VALUE"""),44775.0344051736)</f>
        <v>44775.03441</v>
      </c>
      <c r="D2070" s="15">
        <f>IFERROR(__xludf.DUMMYFUNCTION("""COMPUTED_VALUE"""),1.003)</f>
        <v>1.003</v>
      </c>
      <c r="E2070" s="16">
        <f>IFERROR(__xludf.DUMMYFUNCTION("""COMPUTED_VALUE"""),68.0)</f>
        <v>68</v>
      </c>
      <c r="F2070" s="19" t="str">
        <f>IFERROR(__xludf.DUMMYFUNCTION("""COMPUTED_VALUE"""),"BLACK")</f>
        <v>BLACK</v>
      </c>
      <c r="G2070" s="20" t="str">
        <f>IFERROR(__xludf.DUMMYFUNCTION("""COMPUTED_VALUE"""),"Uncle Sams Cider (5/13/2022)")</f>
        <v>Uncle Sams Cider (5/13/2022)</v>
      </c>
      <c r="H2070" s="19"/>
    </row>
    <row r="2071">
      <c r="A2071" s="9"/>
      <c r="B2071" s="15"/>
      <c r="C2071" s="9">
        <f>IFERROR(__xludf.DUMMYFUNCTION("""COMPUTED_VALUE"""),44775.0239836921)</f>
        <v>44775.02398</v>
      </c>
      <c r="D2071" s="15">
        <f>IFERROR(__xludf.DUMMYFUNCTION("""COMPUTED_VALUE"""),1.004)</f>
        <v>1.004</v>
      </c>
      <c r="E2071" s="16">
        <f>IFERROR(__xludf.DUMMYFUNCTION("""COMPUTED_VALUE"""),70.0)</f>
        <v>70</v>
      </c>
      <c r="F2071" s="19" t="str">
        <f>IFERROR(__xludf.DUMMYFUNCTION("""COMPUTED_VALUE"""),"BLACK")</f>
        <v>BLACK</v>
      </c>
      <c r="G2071" s="20" t="str">
        <f>IFERROR(__xludf.DUMMYFUNCTION("""COMPUTED_VALUE"""),"Uncle Sams Cider (5/13/2022)")</f>
        <v>Uncle Sams Cider (5/13/2022)</v>
      </c>
      <c r="H2071" s="19"/>
    </row>
    <row r="2072">
      <c r="A2072" s="9"/>
      <c r="B2072" s="15"/>
      <c r="C2072" s="9">
        <f>IFERROR(__xludf.DUMMYFUNCTION("""COMPUTED_VALUE"""),44775.013562118)</f>
        <v>44775.01356</v>
      </c>
      <c r="D2072" s="15">
        <f>IFERROR(__xludf.DUMMYFUNCTION("""COMPUTED_VALUE"""),1.004)</f>
        <v>1.004</v>
      </c>
      <c r="E2072" s="16">
        <f>IFERROR(__xludf.DUMMYFUNCTION("""COMPUTED_VALUE"""),70.0)</f>
        <v>70</v>
      </c>
      <c r="F2072" s="19" t="str">
        <f>IFERROR(__xludf.DUMMYFUNCTION("""COMPUTED_VALUE"""),"BLACK")</f>
        <v>BLACK</v>
      </c>
      <c r="G2072" s="20" t="str">
        <f>IFERROR(__xludf.DUMMYFUNCTION("""COMPUTED_VALUE"""),"Uncle Sams Cider (5/13/2022)")</f>
        <v>Uncle Sams Cider (5/13/2022)</v>
      </c>
      <c r="H2072" s="19"/>
    </row>
    <row r="2073">
      <c r="A2073" s="9"/>
      <c r="B2073" s="15"/>
      <c r="C2073" s="9">
        <f>IFERROR(__xludf.DUMMYFUNCTION("""COMPUTED_VALUE"""),44775.0031419444)</f>
        <v>44775.00314</v>
      </c>
      <c r="D2073" s="15">
        <f>IFERROR(__xludf.DUMMYFUNCTION("""COMPUTED_VALUE"""),1.004)</f>
        <v>1.004</v>
      </c>
      <c r="E2073" s="16">
        <f>IFERROR(__xludf.DUMMYFUNCTION("""COMPUTED_VALUE"""),70.0)</f>
        <v>70</v>
      </c>
      <c r="F2073" s="19" t="str">
        <f>IFERROR(__xludf.DUMMYFUNCTION("""COMPUTED_VALUE"""),"BLACK")</f>
        <v>BLACK</v>
      </c>
      <c r="G2073" s="20" t="str">
        <f>IFERROR(__xludf.DUMMYFUNCTION("""COMPUTED_VALUE"""),"Uncle Sams Cider (5/13/2022)")</f>
        <v>Uncle Sams Cider (5/13/2022)</v>
      </c>
      <c r="H2073" s="19"/>
    </row>
    <row r="2074">
      <c r="A2074" s="9"/>
      <c r="B2074" s="15"/>
      <c r="C2074" s="9">
        <f>IFERROR(__xludf.DUMMYFUNCTION("""COMPUTED_VALUE"""),44774.9927093518)</f>
        <v>44774.99271</v>
      </c>
      <c r="D2074" s="15">
        <f>IFERROR(__xludf.DUMMYFUNCTION("""COMPUTED_VALUE"""),1.004)</f>
        <v>1.004</v>
      </c>
      <c r="E2074" s="16">
        <f>IFERROR(__xludf.DUMMYFUNCTION("""COMPUTED_VALUE"""),70.0)</f>
        <v>70</v>
      </c>
      <c r="F2074" s="19" t="str">
        <f>IFERROR(__xludf.DUMMYFUNCTION("""COMPUTED_VALUE"""),"BLACK")</f>
        <v>BLACK</v>
      </c>
      <c r="G2074" s="20" t="str">
        <f>IFERROR(__xludf.DUMMYFUNCTION("""COMPUTED_VALUE"""),"Uncle Sams Cider (5/13/2022)")</f>
        <v>Uncle Sams Cider (5/13/2022)</v>
      </c>
      <c r="H2074" s="19"/>
    </row>
    <row r="2075">
      <c r="A2075" s="9"/>
      <c r="B2075" s="15"/>
      <c r="C2075" s="9">
        <f>IFERROR(__xludf.DUMMYFUNCTION("""COMPUTED_VALUE"""),44774.9822866666)</f>
        <v>44774.98229</v>
      </c>
      <c r="D2075" s="15">
        <f>IFERROR(__xludf.DUMMYFUNCTION("""COMPUTED_VALUE"""),1.004)</f>
        <v>1.004</v>
      </c>
      <c r="E2075" s="16">
        <f>IFERROR(__xludf.DUMMYFUNCTION("""COMPUTED_VALUE"""),70.0)</f>
        <v>70</v>
      </c>
      <c r="F2075" s="19" t="str">
        <f>IFERROR(__xludf.DUMMYFUNCTION("""COMPUTED_VALUE"""),"BLACK")</f>
        <v>BLACK</v>
      </c>
      <c r="G2075" s="20" t="str">
        <f>IFERROR(__xludf.DUMMYFUNCTION("""COMPUTED_VALUE"""),"Uncle Sams Cider (5/13/2022)")</f>
        <v>Uncle Sams Cider (5/13/2022)</v>
      </c>
      <c r="H2075" s="19"/>
    </row>
    <row r="2076">
      <c r="A2076" s="9"/>
      <c r="B2076" s="15"/>
      <c r="C2076" s="9">
        <f>IFERROR(__xludf.DUMMYFUNCTION("""COMPUTED_VALUE"""),44774.971854155)</f>
        <v>44774.97185</v>
      </c>
      <c r="D2076" s="15">
        <f>IFERROR(__xludf.DUMMYFUNCTION("""COMPUTED_VALUE"""),1.004)</f>
        <v>1.004</v>
      </c>
      <c r="E2076" s="16">
        <f>IFERROR(__xludf.DUMMYFUNCTION("""COMPUTED_VALUE"""),70.0)</f>
        <v>70</v>
      </c>
      <c r="F2076" s="19" t="str">
        <f>IFERROR(__xludf.DUMMYFUNCTION("""COMPUTED_VALUE"""),"BLACK")</f>
        <v>BLACK</v>
      </c>
      <c r="G2076" s="20" t="str">
        <f>IFERROR(__xludf.DUMMYFUNCTION("""COMPUTED_VALUE"""),"Uncle Sams Cider (5/13/2022)")</f>
        <v>Uncle Sams Cider (5/13/2022)</v>
      </c>
      <c r="H2076" s="19"/>
    </row>
    <row r="2077">
      <c r="A2077" s="9"/>
      <c r="B2077" s="15"/>
      <c r="C2077" s="9">
        <f>IFERROR(__xludf.DUMMYFUNCTION("""COMPUTED_VALUE"""),44774.9614321759)</f>
        <v>44774.96143</v>
      </c>
      <c r="D2077" s="15">
        <f>IFERROR(__xludf.DUMMYFUNCTION("""COMPUTED_VALUE"""),1.004)</f>
        <v>1.004</v>
      </c>
      <c r="E2077" s="16">
        <f>IFERROR(__xludf.DUMMYFUNCTION("""COMPUTED_VALUE"""),70.0)</f>
        <v>70</v>
      </c>
      <c r="F2077" s="19" t="str">
        <f>IFERROR(__xludf.DUMMYFUNCTION("""COMPUTED_VALUE"""),"BLACK")</f>
        <v>BLACK</v>
      </c>
      <c r="G2077" s="20" t="str">
        <f>IFERROR(__xludf.DUMMYFUNCTION("""COMPUTED_VALUE"""),"Uncle Sams Cider (5/13/2022)")</f>
        <v>Uncle Sams Cider (5/13/2022)</v>
      </c>
      <c r="H2077" s="19"/>
    </row>
    <row r="2078">
      <c r="A2078" s="9"/>
      <c r="B2078" s="15"/>
      <c r="C2078" s="9">
        <f>IFERROR(__xludf.DUMMYFUNCTION("""COMPUTED_VALUE"""),44774.9509985879)</f>
        <v>44774.951</v>
      </c>
      <c r="D2078" s="15">
        <f>IFERROR(__xludf.DUMMYFUNCTION("""COMPUTED_VALUE"""),1.004)</f>
        <v>1.004</v>
      </c>
      <c r="E2078" s="16">
        <f>IFERROR(__xludf.DUMMYFUNCTION("""COMPUTED_VALUE"""),70.0)</f>
        <v>70</v>
      </c>
      <c r="F2078" s="19" t="str">
        <f>IFERROR(__xludf.DUMMYFUNCTION("""COMPUTED_VALUE"""),"BLACK")</f>
        <v>BLACK</v>
      </c>
      <c r="G2078" s="20" t="str">
        <f>IFERROR(__xludf.DUMMYFUNCTION("""COMPUTED_VALUE"""),"Uncle Sams Cider (5/13/2022)")</f>
        <v>Uncle Sams Cider (5/13/2022)</v>
      </c>
      <c r="H2078" s="19"/>
    </row>
    <row r="2079">
      <c r="A2079" s="9"/>
      <c r="B2079" s="15"/>
      <c r="C2079" s="9">
        <f>IFERROR(__xludf.DUMMYFUNCTION("""COMPUTED_VALUE"""),44774.9405673495)</f>
        <v>44774.94057</v>
      </c>
      <c r="D2079" s="15">
        <f>IFERROR(__xludf.DUMMYFUNCTION("""COMPUTED_VALUE"""),1.004)</f>
        <v>1.004</v>
      </c>
      <c r="E2079" s="16">
        <f>IFERROR(__xludf.DUMMYFUNCTION("""COMPUTED_VALUE"""),70.0)</f>
        <v>70</v>
      </c>
      <c r="F2079" s="19" t="str">
        <f>IFERROR(__xludf.DUMMYFUNCTION("""COMPUTED_VALUE"""),"BLACK")</f>
        <v>BLACK</v>
      </c>
      <c r="G2079" s="20" t="str">
        <f>IFERROR(__xludf.DUMMYFUNCTION("""COMPUTED_VALUE"""),"Uncle Sams Cider (5/13/2022)")</f>
        <v>Uncle Sams Cider (5/13/2022)</v>
      </c>
      <c r="H2079" s="19"/>
    </row>
    <row r="2080">
      <c r="A2080" s="9"/>
      <c r="B2080" s="15"/>
      <c r="C2080" s="9">
        <f>IFERROR(__xludf.DUMMYFUNCTION("""COMPUTED_VALUE"""),44774.9301459375)</f>
        <v>44774.93015</v>
      </c>
      <c r="D2080" s="15">
        <f>IFERROR(__xludf.DUMMYFUNCTION("""COMPUTED_VALUE"""),1.004)</f>
        <v>1.004</v>
      </c>
      <c r="E2080" s="16">
        <f>IFERROR(__xludf.DUMMYFUNCTION("""COMPUTED_VALUE"""),70.0)</f>
        <v>70</v>
      </c>
      <c r="F2080" s="19" t="str">
        <f>IFERROR(__xludf.DUMMYFUNCTION("""COMPUTED_VALUE"""),"BLACK")</f>
        <v>BLACK</v>
      </c>
      <c r="G2080" s="20" t="str">
        <f>IFERROR(__xludf.DUMMYFUNCTION("""COMPUTED_VALUE"""),"Uncle Sams Cider (5/13/2022)")</f>
        <v>Uncle Sams Cider (5/13/2022)</v>
      </c>
      <c r="H2080" s="19"/>
    </row>
    <row r="2081">
      <c r="A2081" s="9"/>
      <c r="B2081" s="15"/>
      <c r="C2081" s="9">
        <f>IFERROR(__xludf.DUMMYFUNCTION("""COMPUTED_VALUE"""),44774.9197254166)</f>
        <v>44774.91973</v>
      </c>
      <c r="D2081" s="15">
        <f>IFERROR(__xludf.DUMMYFUNCTION("""COMPUTED_VALUE"""),1.004)</f>
        <v>1.004</v>
      </c>
      <c r="E2081" s="16">
        <f>IFERROR(__xludf.DUMMYFUNCTION("""COMPUTED_VALUE"""),70.0)</f>
        <v>70</v>
      </c>
      <c r="F2081" s="19" t="str">
        <f>IFERROR(__xludf.DUMMYFUNCTION("""COMPUTED_VALUE"""),"BLACK")</f>
        <v>BLACK</v>
      </c>
      <c r="G2081" s="20" t="str">
        <f>IFERROR(__xludf.DUMMYFUNCTION("""COMPUTED_VALUE"""),"Uncle Sams Cider (5/13/2022)")</f>
        <v>Uncle Sams Cider (5/13/2022)</v>
      </c>
      <c r="H2081" s="19"/>
    </row>
    <row r="2082">
      <c r="A2082" s="9"/>
      <c r="B2082" s="15"/>
      <c r="C2082" s="9">
        <f>IFERROR(__xludf.DUMMYFUNCTION("""COMPUTED_VALUE"""),44774.9093038194)</f>
        <v>44774.9093</v>
      </c>
      <c r="D2082" s="15">
        <f>IFERROR(__xludf.DUMMYFUNCTION("""COMPUTED_VALUE"""),1.004)</f>
        <v>1.004</v>
      </c>
      <c r="E2082" s="16">
        <f>IFERROR(__xludf.DUMMYFUNCTION("""COMPUTED_VALUE"""),70.0)</f>
        <v>70</v>
      </c>
      <c r="F2082" s="19" t="str">
        <f>IFERROR(__xludf.DUMMYFUNCTION("""COMPUTED_VALUE"""),"BLACK")</f>
        <v>BLACK</v>
      </c>
      <c r="G2082" s="20" t="str">
        <f>IFERROR(__xludf.DUMMYFUNCTION("""COMPUTED_VALUE"""),"Uncle Sams Cider (5/13/2022)")</f>
        <v>Uncle Sams Cider (5/13/2022)</v>
      </c>
      <c r="H2082" s="19"/>
    </row>
    <row r="2083">
      <c r="A2083" s="9"/>
      <c r="B2083" s="15"/>
      <c r="C2083" s="9">
        <f>IFERROR(__xludf.DUMMYFUNCTION("""COMPUTED_VALUE"""),44774.8988813426)</f>
        <v>44774.89888</v>
      </c>
      <c r="D2083" s="15">
        <f>IFERROR(__xludf.DUMMYFUNCTION("""COMPUTED_VALUE"""),1.004)</f>
        <v>1.004</v>
      </c>
      <c r="E2083" s="16">
        <f>IFERROR(__xludf.DUMMYFUNCTION("""COMPUTED_VALUE"""),70.0)</f>
        <v>70</v>
      </c>
      <c r="F2083" s="19" t="str">
        <f>IFERROR(__xludf.DUMMYFUNCTION("""COMPUTED_VALUE"""),"BLACK")</f>
        <v>BLACK</v>
      </c>
      <c r="G2083" s="20" t="str">
        <f>IFERROR(__xludf.DUMMYFUNCTION("""COMPUTED_VALUE"""),"Uncle Sams Cider (5/13/2022)")</f>
        <v>Uncle Sams Cider (5/13/2022)</v>
      </c>
      <c r="H2083" s="19"/>
    </row>
    <row r="2084">
      <c r="A2084" s="9"/>
      <c r="B2084" s="15"/>
      <c r="C2084" s="9">
        <f>IFERROR(__xludf.DUMMYFUNCTION("""COMPUTED_VALUE"""),44774.8884607175)</f>
        <v>44774.88846</v>
      </c>
      <c r="D2084" s="15">
        <f>IFERROR(__xludf.DUMMYFUNCTION("""COMPUTED_VALUE"""),1.004)</f>
        <v>1.004</v>
      </c>
      <c r="E2084" s="16">
        <f>IFERROR(__xludf.DUMMYFUNCTION("""COMPUTED_VALUE"""),70.0)</f>
        <v>70</v>
      </c>
      <c r="F2084" s="19" t="str">
        <f>IFERROR(__xludf.DUMMYFUNCTION("""COMPUTED_VALUE"""),"BLACK")</f>
        <v>BLACK</v>
      </c>
      <c r="G2084" s="20" t="str">
        <f>IFERROR(__xludf.DUMMYFUNCTION("""COMPUTED_VALUE"""),"Uncle Sams Cider (5/13/2022)")</f>
        <v>Uncle Sams Cider (5/13/2022)</v>
      </c>
      <c r="H2084" s="19"/>
    </row>
    <row r="2085">
      <c r="A2085" s="9"/>
      <c r="B2085" s="15"/>
      <c r="C2085" s="9">
        <f>IFERROR(__xludf.DUMMYFUNCTION("""COMPUTED_VALUE"""),44774.8780379976)</f>
        <v>44774.87804</v>
      </c>
      <c r="D2085" s="15">
        <f>IFERROR(__xludf.DUMMYFUNCTION("""COMPUTED_VALUE"""),1.004)</f>
        <v>1.004</v>
      </c>
      <c r="E2085" s="16">
        <f>IFERROR(__xludf.DUMMYFUNCTION("""COMPUTED_VALUE"""),70.0)</f>
        <v>70</v>
      </c>
      <c r="F2085" s="19" t="str">
        <f>IFERROR(__xludf.DUMMYFUNCTION("""COMPUTED_VALUE"""),"BLACK")</f>
        <v>BLACK</v>
      </c>
      <c r="G2085" s="20" t="str">
        <f>IFERROR(__xludf.DUMMYFUNCTION("""COMPUTED_VALUE"""),"Uncle Sams Cider (5/13/2022)")</f>
        <v>Uncle Sams Cider (5/13/2022)</v>
      </c>
      <c r="H2085" s="19"/>
    </row>
    <row r="2086">
      <c r="A2086" s="9"/>
      <c r="B2086" s="15"/>
      <c r="C2086" s="9">
        <f>IFERROR(__xludf.DUMMYFUNCTION("""COMPUTED_VALUE"""),44774.8676170717)</f>
        <v>44774.86762</v>
      </c>
      <c r="D2086" s="15">
        <f>IFERROR(__xludf.DUMMYFUNCTION("""COMPUTED_VALUE"""),1.004)</f>
        <v>1.004</v>
      </c>
      <c r="E2086" s="16">
        <f>IFERROR(__xludf.DUMMYFUNCTION("""COMPUTED_VALUE"""),70.0)</f>
        <v>70</v>
      </c>
      <c r="F2086" s="19" t="str">
        <f>IFERROR(__xludf.DUMMYFUNCTION("""COMPUTED_VALUE"""),"BLACK")</f>
        <v>BLACK</v>
      </c>
      <c r="G2086" s="20" t="str">
        <f>IFERROR(__xludf.DUMMYFUNCTION("""COMPUTED_VALUE"""),"Uncle Sams Cider (5/13/2022)")</f>
        <v>Uncle Sams Cider (5/13/2022)</v>
      </c>
      <c r="H2086" s="19"/>
    </row>
    <row r="2087">
      <c r="A2087" s="9"/>
      <c r="B2087" s="15"/>
      <c r="C2087" s="9">
        <f>IFERROR(__xludf.DUMMYFUNCTION("""COMPUTED_VALUE"""),44774.8571967013)</f>
        <v>44774.8572</v>
      </c>
      <c r="D2087" s="15">
        <f>IFERROR(__xludf.DUMMYFUNCTION("""COMPUTED_VALUE"""),1.004)</f>
        <v>1.004</v>
      </c>
      <c r="E2087" s="16">
        <f>IFERROR(__xludf.DUMMYFUNCTION("""COMPUTED_VALUE"""),70.0)</f>
        <v>70</v>
      </c>
      <c r="F2087" s="19" t="str">
        <f>IFERROR(__xludf.DUMMYFUNCTION("""COMPUTED_VALUE"""),"BLACK")</f>
        <v>BLACK</v>
      </c>
      <c r="G2087" s="20" t="str">
        <f>IFERROR(__xludf.DUMMYFUNCTION("""COMPUTED_VALUE"""),"Uncle Sams Cider (5/13/2022)")</f>
        <v>Uncle Sams Cider (5/13/2022)</v>
      </c>
      <c r="H2087" s="19"/>
    </row>
    <row r="2088">
      <c r="A2088" s="9"/>
      <c r="B2088" s="15"/>
      <c r="C2088" s="9">
        <f>IFERROR(__xludf.DUMMYFUNCTION("""COMPUTED_VALUE"""),44774.8467643055)</f>
        <v>44774.84676</v>
      </c>
      <c r="D2088" s="15">
        <f>IFERROR(__xludf.DUMMYFUNCTION("""COMPUTED_VALUE"""),1.004)</f>
        <v>1.004</v>
      </c>
      <c r="E2088" s="16">
        <f>IFERROR(__xludf.DUMMYFUNCTION("""COMPUTED_VALUE"""),70.0)</f>
        <v>70</v>
      </c>
      <c r="F2088" s="19" t="str">
        <f>IFERROR(__xludf.DUMMYFUNCTION("""COMPUTED_VALUE"""),"BLACK")</f>
        <v>BLACK</v>
      </c>
      <c r="G2088" s="20" t="str">
        <f>IFERROR(__xludf.DUMMYFUNCTION("""COMPUTED_VALUE"""),"Uncle Sams Cider (5/13/2022)")</f>
        <v>Uncle Sams Cider (5/13/2022)</v>
      </c>
      <c r="H2088" s="19"/>
    </row>
    <row r="2089">
      <c r="A2089" s="9"/>
      <c r="B2089" s="15"/>
      <c r="C2089" s="9">
        <f>IFERROR(__xludf.DUMMYFUNCTION("""COMPUTED_VALUE"""),44774.8363441898)</f>
        <v>44774.83634</v>
      </c>
      <c r="D2089" s="15">
        <f>IFERROR(__xludf.DUMMYFUNCTION("""COMPUTED_VALUE"""),1.004)</f>
        <v>1.004</v>
      </c>
      <c r="E2089" s="16">
        <f>IFERROR(__xludf.DUMMYFUNCTION("""COMPUTED_VALUE"""),70.0)</f>
        <v>70</v>
      </c>
      <c r="F2089" s="19" t="str">
        <f>IFERROR(__xludf.DUMMYFUNCTION("""COMPUTED_VALUE"""),"BLACK")</f>
        <v>BLACK</v>
      </c>
      <c r="G2089" s="20" t="str">
        <f>IFERROR(__xludf.DUMMYFUNCTION("""COMPUTED_VALUE"""),"Uncle Sams Cider (5/13/2022)")</f>
        <v>Uncle Sams Cider (5/13/2022)</v>
      </c>
      <c r="H2089" s="19"/>
    </row>
    <row r="2090">
      <c r="A2090" s="9"/>
      <c r="B2090" s="15"/>
      <c r="C2090" s="9">
        <f>IFERROR(__xludf.DUMMYFUNCTION("""COMPUTED_VALUE"""),44774.8259226851)</f>
        <v>44774.82592</v>
      </c>
      <c r="D2090" s="15">
        <f>IFERROR(__xludf.DUMMYFUNCTION("""COMPUTED_VALUE"""),1.004)</f>
        <v>1.004</v>
      </c>
      <c r="E2090" s="16">
        <f>IFERROR(__xludf.DUMMYFUNCTION("""COMPUTED_VALUE"""),70.0)</f>
        <v>70</v>
      </c>
      <c r="F2090" s="19" t="str">
        <f>IFERROR(__xludf.DUMMYFUNCTION("""COMPUTED_VALUE"""),"BLACK")</f>
        <v>BLACK</v>
      </c>
      <c r="G2090" s="20" t="str">
        <f>IFERROR(__xludf.DUMMYFUNCTION("""COMPUTED_VALUE"""),"Uncle Sams Cider (5/13/2022)")</f>
        <v>Uncle Sams Cider (5/13/2022)</v>
      </c>
      <c r="H2090" s="19"/>
    </row>
    <row r="2091">
      <c r="A2091" s="9"/>
      <c r="B2091" s="15"/>
      <c r="C2091" s="9">
        <f>IFERROR(__xludf.DUMMYFUNCTION("""COMPUTED_VALUE"""),44774.8155007407)</f>
        <v>44774.8155</v>
      </c>
      <c r="D2091" s="15">
        <f>IFERROR(__xludf.DUMMYFUNCTION("""COMPUTED_VALUE"""),1.004)</f>
        <v>1.004</v>
      </c>
      <c r="E2091" s="16">
        <f>IFERROR(__xludf.DUMMYFUNCTION("""COMPUTED_VALUE"""),70.0)</f>
        <v>70</v>
      </c>
      <c r="F2091" s="19" t="str">
        <f>IFERROR(__xludf.DUMMYFUNCTION("""COMPUTED_VALUE"""),"BLACK")</f>
        <v>BLACK</v>
      </c>
      <c r="G2091" s="20" t="str">
        <f>IFERROR(__xludf.DUMMYFUNCTION("""COMPUTED_VALUE"""),"Uncle Sams Cider (5/13/2022)")</f>
        <v>Uncle Sams Cider (5/13/2022)</v>
      </c>
      <c r="H2091" s="19"/>
    </row>
    <row r="2092">
      <c r="A2092" s="9"/>
      <c r="B2092" s="15"/>
      <c r="C2092" s="9">
        <f>IFERROR(__xludf.DUMMYFUNCTION("""COMPUTED_VALUE"""),44774.8050796527)</f>
        <v>44774.80508</v>
      </c>
      <c r="D2092" s="15">
        <f>IFERROR(__xludf.DUMMYFUNCTION("""COMPUTED_VALUE"""),1.004)</f>
        <v>1.004</v>
      </c>
      <c r="E2092" s="16">
        <f>IFERROR(__xludf.DUMMYFUNCTION("""COMPUTED_VALUE"""),70.0)</f>
        <v>70</v>
      </c>
      <c r="F2092" s="19" t="str">
        <f>IFERROR(__xludf.DUMMYFUNCTION("""COMPUTED_VALUE"""),"BLACK")</f>
        <v>BLACK</v>
      </c>
      <c r="G2092" s="20" t="str">
        <f>IFERROR(__xludf.DUMMYFUNCTION("""COMPUTED_VALUE"""),"Uncle Sams Cider (5/13/2022)")</f>
        <v>Uncle Sams Cider (5/13/2022)</v>
      </c>
      <c r="H2092" s="19"/>
    </row>
    <row r="2093">
      <c r="A2093" s="9"/>
      <c r="B2093" s="15"/>
      <c r="C2093" s="9">
        <f>IFERROR(__xludf.DUMMYFUNCTION("""COMPUTED_VALUE"""),44774.7946575462)</f>
        <v>44774.79466</v>
      </c>
      <c r="D2093" s="15">
        <f>IFERROR(__xludf.DUMMYFUNCTION("""COMPUTED_VALUE"""),1.004)</f>
        <v>1.004</v>
      </c>
      <c r="E2093" s="16">
        <f>IFERROR(__xludf.DUMMYFUNCTION("""COMPUTED_VALUE"""),70.0)</f>
        <v>70</v>
      </c>
      <c r="F2093" s="19" t="str">
        <f>IFERROR(__xludf.DUMMYFUNCTION("""COMPUTED_VALUE"""),"BLACK")</f>
        <v>BLACK</v>
      </c>
      <c r="G2093" s="20" t="str">
        <f>IFERROR(__xludf.DUMMYFUNCTION("""COMPUTED_VALUE"""),"Uncle Sams Cider (5/13/2022)")</f>
        <v>Uncle Sams Cider (5/13/2022)</v>
      </c>
      <c r="H2093" s="19"/>
    </row>
    <row r="2094">
      <c r="A2094" s="9"/>
      <c r="B2094" s="15"/>
      <c r="C2094" s="9">
        <f>IFERROR(__xludf.DUMMYFUNCTION("""COMPUTED_VALUE"""),44774.784237581)</f>
        <v>44774.78424</v>
      </c>
      <c r="D2094" s="15">
        <f>IFERROR(__xludf.DUMMYFUNCTION("""COMPUTED_VALUE"""),1.004)</f>
        <v>1.004</v>
      </c>
      <c r="E2094" s="16">
        <f>IFERROR(__xludf.DUMMYFUNCTION("""COMPUTED_VALUE"""),70.0)</f>
        <v>70</v>
      </c>
      <c r="F2094" s="19" t="str">
        <f>IFERROR(__xludf.DUMMYFUNCTION("""COMPUTED_VALUE"""),"BLACK")</f>
        <v>BLACK</v>
      </c>
      <c r="G2094" s="20" t="str">
        <f>IFERROR(__xludf.DUMMYFUNCTION("""COMPUTED_VALUE"""),"Uncle Sams Cider (5/13/2022)")</f>
        <v>Uncle Sams Cider (5/13/2022)</v>
      </c>
      <c r="H2094" s="19"/>
    </row>
    <row r="2095">
      <c r="A2095" s="9"/>
      <c r="B2095" s="15"/>
      <c r="C2095" s="9">
        <f>IFERROR(__xludf.DUMMYFUNCTION("""COMPUTED_VALUE"""),44774.7738162963)</f>
        <v>44774.77382</v>
      </c>
      <c r="D2095" s="15">
        <f>IFERROR(__xludf.DUMMYFUNCTION("""COMPUTED_VALUE"""),1.004)</f>
        <v>1.004</v>
      </c>
      <c r="E2095" s="16">
        <f>IFERROR(__xludf.DUMMYFUNCTION("""COMPUTED_VALUE"""),70.0)</f>
        <v>70</v>
      </c>
      <c r="F2095" s="19" t="str">
        <f>IFERROR(__xludf.DUMMYFUNCTION("""COMPUTED_VALUE"""),"BLACK")</f>
        <v>BLACK</v>
      </c>
      <c r="G2095" s="20" t="str">
        <f>IFERROR(__xludf.DUMMYFUNCTION("""COMPUTED_VALUE"""),"Uncle Sams Cider (5/13/2022)")</f>
        <v>Uncle Sams Cider (5/13/2022)</v>
      </c>
      <c r="H2095" s="19"/>
    </row>
    <row r="2096">
      <c r="A2096" s="9"/>
      <c r="B2096" s="15"/>
      <c r="C2096" s="9">
        <f>IFERROR(__xludf.DUMMYFUNCTION("""COMPUTED_VALUE"""),44774.7633854398)</f>
        <v>44774.76339</v>
      </c>
      <c r="D2096" s="15">
        <f>IFERROR(__xludf.DUMMYFUNCTION("""COMPUTED_VALUE"""),1.004)</f>
        <v>1.004</v>
      </c>
      <c r="E2096" s="16">
        <f>IFERROR(__xludf.DUMMYFUNCTION("""COMPUTED_VALUE"""),70.0)</f>
        <v>70</v>
      </c>
      <c r="F2096" s="19" t="str">
        <f>IFERROR(__xludf.DUMMYFUNCTION("""COMPUTED_VALUE"""),"BLACK")</f>
        <v>BLACK</v>
      </c>
      <c r="G2096" s="20" t="str">
        <f>IFERROR(__xludf.DUMMYFUNCTION("""COMPUTED_VALUE"""),"Uncle Sams Cider (5/13/2022)")</f>
        <v>Uncle Sams Cider (5/13/2022)</v>
      </c>
      <c r="H2096" s="19"/>
    </row>
    <row r="2097">
      <c r="A2097" s="9"/>
      <c r="B2097" s="15"/>
      <c r="C2097" s="9">
        <f>IFERROR(__xludf.DUMMYFUNCTION("""COMPUTED_VALUE"""),44774.752939375)</f>
        <v>44774.75294</v>
      </c>
      <c r="D2097" s="15">
        <f>IFERROR(__xludf.DUMMYFUNCTION("""COMPUTED_VALUE"""),1.004)</f>
        <v>1.004</v>
      </c>
      <c r="E2097" s="16">
        <f>IFERROR(__xludf.DUMMYFUNCTION("""COMPUTED_VALUE"""),70.0)</f>
        <v>70</v>
      </c>
      <c r="F2097" s="19" t="str">
        <f>IFERROR(__xludf.DUMMYFUNCTION("""COMPUTED_VALUE"""),"BLACK")</f>
        <v>BLACK</v>
      </c>
      <c r="G2097" s="20" t="str">
        <f>IFERROR(__xludf.DUMMYFUNCTION("""COMPUTED_VALUE"""),"Uncle Sams Cider (5/13/2022)")</f>
        <v>Uncle Sams Cider (5/13/2022)</v>
      </c>
      <c r="H2097" s="19"/>
    </row>
    <row r="2098">
      <c r="A2098" s="9"/>
      <c r="B2098" s="15"/>
      <c r="C2098" s="9">
        <f>IFERROR(__xludf.DUMMYFUNCTION("""COMPUTED_VALUE"""),44774.7425192361)</f>
        <v>44774.74252</v>
      </c>
      <c r="D2098" s="15">
        <f>IFERROR(__xludf.DUMMYFUNCTION("""COMPUTED_VALUE"""),1.004)</f>
        <v>1.004</v>
      </c>
      <c r="E2098" s="16">
        <f>IFERROR(__xludf.DUMMYFUNCTION("""COMPUTED_VALUE"""),70.0)</f>
        <v>70</v>
      </c>
      <c r="F2098" s="19" t="str">
        <f>IFERROR(__xludf.DUMMYFUNCTION("""COMPUTED_VALUE"""),"BLACK")</f>
        <v>BLACK</v>
      </c>
      <c r="G2098" s="20" t="str">
        <f>IFERROR(__xludf.DUMMYFUNCTION("""COMPUTED_VALUE"""),"Uncle Sams Cider (5/13/2022)")</f>
        <v>Uncle Sams Cider (5/13/2022)</v>
      </c>
      <c r="H2098" s="19"/>
    </row>
    <row r="2099">
      <c r="A2099" s="9"/>
      <c r="B2099" s="15"/>
      <c r="C2099" s="9">
        <f>IFERROR(__xludf.DUMMYFUNCTION("""COMPUTED_VALUE"""),44774.7320956481)</f>
        <v>44774.7321</v>
      </c>
      <c r="D2099" s="15">
        <f>IFERROR(__xludf.DUMMYFUNCTION("""COMPUTED_VALUE"""),1.004)</f>
        <v>1.004</v>
      </c>
      <c r="E2099" s="16">
        <f>IFERROR(__xludf.DUMMYFUNCTION("""COMPUTED_VALUE"""),70.0)</f>
        <v>70</v>
      </c>
      <c r="F2099" s="19" t="str">
        <f>IFERROR(__xludf.DUMMYFUNCTION("""COMPUTED_VALUE"""),"BLACK")</f>
        <v>BLACK</v>
      </c>
      <c r="G2099" s="20" t="str">
        <f>IFERROR(__xludf.DUMMYFUNCTION("""COMPUTED_VALUE"""),"Uncle Sams Cider (5/13/2022)")</f>
        <v>Uncle Sams Cider (5/13/2022)</v>
      </c>
      <c r="H2099" s="19"/>
    </row>
    <row r="2100">
      <c r="A2100" s="9"/>
      <c r="B2100" s="15"/>
      <c r="C2100" s="9">
        <f>IFERROR(__xludf.DUMMYFUNCTION("""COMPUTED_VALUE"""),44774.7216517939)</f>
        <v>44774.72165</v>
      </c>
      <c r="D2100" s="15">
        <f>IFERROR(__xludf.DUMMYFUNCTION("""COMPUTED_VALUE"""),1.004)</f>
        <v>1.004</v>
      </c>
      <c r="E2100" s="16">
        <f>IFERROR(__xludf.DUMMYFUNCTION("""COMPUTED_VALUE"""),70.0)</f>
        <v>70</v>
      </c>
      <c r="F2100" s="19" t="str">
        <f>IFERROR(__xludf.DUMMYFUNCTION("""COMPUTED_VALUE"""),"BLACK")</f>
        <v>BLACK</v>
      </c>
      <c r="G2100" s="20" t="str">
        <f>IFERROR(__xludf.DUMMYFUNCTION("""COMPUTED_VALUE"""),"Uncle Sams Cider (5/13/2022)")</f>
        <v>Uncle Sams Cider (5/13/2022)</v>
      </c>
      <c r="H2100" s="19"/>
    </row>
    <row r="2101">
      <c r="A2101" s="9"/>
      <c r="B2101" s="15"/>
      <c r="C2101" s="9">
        <f>IFERROR(__xludf.DUMMYFUNCTION("""COMPUTED_VALUE"""),44774.7112295949)</f>
        <v>44774.71123</v>
      </c>
      <c r="D2101" s="15">
        <f>IFERROR(__xludf.DUMMYFUNCTION("""COMPUTED_VALUE"""),1.004)</f>
        <v>1.004</v>
      </c>
      <c r="E2101" s="16">
        <f>IFERROR(__xludf.DUMMYFUNCTION("""COMPUTED_VALUE"""),70.0)</f>
        <v>70</v>
      </c>
      <c r="F2101" s="19" t="str">
        <f>IFERROR(__xludf.DUMMYFUNCTION("""COMPUTED_VALUE"""),"BLACK")</f>
        <v>BLACK</v>
      </c>
      <c r="G2101" s="20" t="str">
        <f>IFERROR(__xludf.DUMMYFUNCTION("""COMPUTED_VALUE"""),"Uncle Sams Cider (5/13/2022)")</f>
        <v>Uncle Sams Cider (5/13/2022)</v>
      </c>
      <c r="H2101" s="19"/>
    </row>
    <row r="2102">
      <c r="A2102" s="9"/>
      <c r="B2102" s="15"/>
      <c r="C2102" s="9">
        <f>IFERROR(__xludf.DUMMYFUNCTION("""COMPUTED_VALUE"""),44774.7008068055)</f>
        <v>44774.70081</v>
      </c>
      <c r="D2102" s="15">
        <f>IFERROR(__xludf.DUMMYFUNCTION("""COMPUTED_VALUE"""),1.004)</f>
        <v>1.004</v>
      </c>
      <c r="E2102" s="16">
        <f>IFERROR(__xludf.DUMMYFUNCTION("""COMPUTED_VALUE"""),70.0)</f>
        <v>70</v>
      </c>
      <c r="F2102" s="19" t="str">
        <f>IFERROR(__xludf.DUMMYFUNCTION("""COMPUTED_VALUE"""),"BLACK")</f>
        <v>BLACK</v>
      </c>
      <c r="G2102" s="20" t="str">
        <f>IFERROR(__xludf.DUMMYFUNCTION("""COMPUTED_VALUE"""),"Uncle Sams Cider (5/13/2022)")</f>
        <v>Uncle Sams Cider (5/13/2022)</v>
      </c>
      <c r="H2102" s="19"/>
    </row>
    <row r="2103">
      <c r="A2103" s="9"/>
      <c r="B2103" s="15"/>
      <c r="C2103" s="9">
        <f>IFERROR(__xludf.DUMMYFUNCTION("""COMPUTED_VALUE"""),44774.6903860416)</f>
        <v>44774.69039</v>
      </c>
      <c r="D2103" s="15">
        <f>IFERROR(__xludf.DUMMYFUNCTION("""COMPUTED_VALUE"""),1.004)</f>
        <v>1.004</v>
      </c>
      <c r="E2103" s="16">
        <f>IFERROR(__xludf.DUMMYFUNCTION("""COMPUTED_VALUE"""),70.0)</f>
        <v>70</v>
      </c>
      <c r="F2103" s="19" t="str">
        <f>IFERROR(__xludf.DUMMYFUNCTION("""COMPUTED_VALUE"""),"BLACK")</f>
        <v>BLACK</v>
      </c>
      <c r="G2103" s="20" t="str">
        <f>IFERROR(__xludf.DUMMYFUNCTION("""COMPUTED_VALUE"""),"Uncle Sams Cider (5/13/2022)")</f>
        <v>Uncle Sams Cider (5/13/2022)</v>
      </c>
      <c r="H2103" s="19"/>
    </row>
    <row r="2104">
      <c r="A2104" s="9"/>
      <c r="B2104" s="15"/>
      <c r="C2104" s="9">
        <f>IFERROR(__xludf.DUMMYFUNCTION("""COMPUTED_VALUE"""),44774.6799524074)</f>
        <v>44774.67995</v>
      </c>
      <c r="D2104" s="15">
        <f>IFERROR(__xludf.DUMMYFUNCTION("""COMPUTED_VALUE"""),1.004)</f>
        <v>1.004</v>
      </c>
      <c r="E2104" s="16">
        <f>IFERROR(__xludf.DUMMYFUNCTION("""COMPUTED_VALUE"""),70.0)</f>
        <v>70</v>
      </c>
      <c r="F2104" s="19" t="str">
        <f>IFERROR(__xludf.DUMMYFUNCTION("""COMPUTED_VALUE"""),"BLACK")</f>
        <v>BLACK</v>
      </c>
      <c r="G2104" s="20" t="str">
        <f>IFERROR(__xludf.DUMMYFUNCTION("""COMPUTED_VALUE"""),"Uncle Sams Cider (5/13/2022)")</f>
        <v>Uncle Sams Cider (5/13/2022)</v>
      </c>
      <c r="H2104" s="19"/>
    </row>
    <row r="2105">
      <c r="A2105" s="9"/>
      <c r="B2105" s="15"/>
      <c r="C2105" s="9">
        <f>IFERROR(__xludf.DUMMYFUNCTION("""COMPUTED_VALUE"""),44774.6695311342)</f>
        <v>44774.66953</v>
      </c>
      <c r="D2105" s="15">
        <f>IFERROR(__xludf.DUMMYFUNCTION("""COMPUTED_VALUE"""),1.004)</f>
        <v>1.004</v>
      </c>
      <c r="E2105" s="16">
        <f>IFERROR(__xludf.DUMMYFUNCTION("""COMPUTED_VALUE"""),70.0)</f>
        <v>70</v>
      </c>
      <c r="F2105" s="19" t="str">
        <f>IFERROR(__xludf.DUMMYFUNCTION("""COMPUTED_VALUE"""),"BLACK")</f>
        <v>BLACK</v>
      </c>
      <c r="G2105" s="20" t="str">
        <f>IFERROR(__xludf.DUMMYFUNCTION("""COMPUTED_VALUE"""),"Uncle Sams Cider (5/13/2022)")</f>
        <v>Uncle Sams Cider (5/13/2022)</v>
      </c>
      <c r="H2105" s="19"/>
    </row>
    <row r="2106">
      <c r="A2106" s="9"/>
      <c r="B2106" s="15"/>
      <c r="C2106" s="9">
        <f>IFERROR(__xludf.DUMMYFUNCTION("""COMPUTED_VALUE"""),44774.6591085648)</f>
        <v>44774.65911</v>
      </c>
      <c r="D2106" s="15">
        <f>IFERROR(__xludf.DUMMYFUNCTION("""COMPUTED_VALUE"""),1.004)</f>
        <v>1.004</v>
      </c>
      <c r="E2106" s="16">
        <f>IFERROR(__xludf.DUMMYFUNCTION("""COMPUTED_VALUE"""),70.0)</f>
        <v>70</v>
      </c>
      <c r="F2106" s="19" t="str">
        <f>IFERROR(__xludf.DUMMYFUNCTION("""COMPUTED_VALUE"""),"BLACK")</f>
        <v>BLACK</v>
      </c>
      <c r="G2106" s="20" t="str">
        <f>IFERROR(__xludf.DUMMYFUNCTION("""COMPUTED_VALUE"""),"Uncle Sams Cider (5/13/2022)")</f>
        <v>Uncle Sams Cider (5/13/2022)</v>
      </c>
      <c r="H2106" s="19"/>
    </row>
    <row r="2107">
      <c r="A2107" s="9"/>
      <c r="B2107" s="15"/>
      <c r="C2107" s="9">
        <f>IFERROR(__xludf.DUMMYFUNCTION("""COMPUTED_VALUE"""),44774.6486877662)</f>
        <v>44774.64869</v>
      </c>
      <c r="D2107" s="15">
        <f>IFERROR(__xludf.DUMMYFUNCTION("""COMPUTED_VALUE"""),1.004)</f>
        <v>1.004</v>
      </c>
      <c r="E2107" s="16">
        <f>IFERROR(__xludf.DUMMYFUNCTION("""COMPUTED_VALUE"""),70.0)</f>
        <v>70</v>
      </c>
      <c r="F2107" s="19" t="str">
        <f>IFERROR(__xludf.DUMMYFUNCTION("""COMPUTED_VALUE"""),"BLACK")</f>
        <v>BLACK</v>
      </c>
      <c r="G2107" s="20" t="str">
        <f>IFERROR(__xludf.DUMMYFUNCTION("""COMPUTED_VALUE"""),"Uncle Sams Cider (5/13/2022)")</f>
        <v>Uncle Sams Cider (5/13/2022)</v>
      </c>
      <c r="H2107" s="19"/>
    </row>
    <row r="2108">
      <c r="A2108" s="9"/>
      <c r="B2108" s="15"/>
      <c r="C2108" s="9">
        <f>IFERROR(__xludf.DUMMYFUNCTION("""COMPUTED_VALUE"""),44774.6382656018)</f>
        <v>44774.63827</v>
      </c>
      <c r="D2108" s="15">
        <f>IFERROR(__xludf.DUMMYFUNCTION("""COMPUTED_VALUE"""),1.004)</f>
        <v>1.004</v>
      </c>
      <c r="E2108" s="16">
        <f>IFERROR(__xludf.DUMMYFUNCTION("""COMPUTED_VALUE"""),70.0)</f>
        <v>70</v>
      </c>
      <c r="F2108" s="19" t="str">
        <f>IFERROR(__xludf.DUMMYFUNCTION("""COMPUTED_VALUE"""),"BLACK")</f>
        <v>BLACK</v>
      </c>
      <c r="G2108" s="20" t="str">
        <f>IFERROR(__xludf.DUMMYFUNCTION("""COMPUTED_VALUE"""),"Uncle Sams Cider (5/13/2022)")</f>
        <v>Uncle Sams Cider (5/13/2022)</v>
      </c>
      <c r="H2108" s="19"/>
    </row>
    <row r="2109">
      <c r="A2109" s="9"/>
      <c r="B2109" s="15"/>
      <c r="C2109" s="9">
        <f>IFERROR(__xludf.DUMMYFUNCTION("""COMPUTED_VALUE"""),44774.6278333564)</f>
        <v>44774.62783</v>
      </c>
      <c r="D2109" s="15">
        <f>IFERROR(__xludf.DUMMYFUNCTION("""COMPUTED_VALUE"""),1.004)</f>
        <v>1.004</v>
      </c>
      <c r="E2109" s="16">
        <f>IFERROR(__xludf.DUMMYFUNCTION("""COMPUTED_VALUE"""),70.0)</f>
        <v>70</v>
      </c>
      <c r="F2109" s="19" t="str">
        <f>IFERROR(__xludf.DUMMYFUNCTION("""COMPUTED_VALUE"""),"BLACK")</f>
        <v>BLACK</v>
      </c>
      <c r="G2109" s="20" t="str">
        <f>IFERROR(__xludf.DUMMYFUNCTION("""COMPUTED_VALUE"""),"Uncle Sams Cider (5/13/2022)")</f>
        <v>Uncle Sams Cider (5/13/2022)</v>
      </c>
      <c r="H2109" s="19"/>
    </row>
    <row r="2110">
      <c r="A2110" s="9"/>
      <c r="B2110" s="15"/>
      <c r="C2110" s="9">
        <f>IFERROR(__xludf.DUMMYFUNCTION("""COMPUTED_VALUE"""),44774.6173887963)</f>
        <v>44774.61739</v>
      </c>
      <c r="D2110" s="15">
        <f>IFERROR(__xludf.DUMMYFUNCTION("""COMPUTED_VALUE"""),1.004)</f>
        <v>1.004</v>
      </c>
      <c r="E2110" s="16">
        <f>IFERROR(__xludf.DUMMYFUNCTION("""COMPUTED_VALUE"""),70.0)</f>
        <v>70</v>
      </c>
      <c r="F2110" s="19" t="str">
        <f>IFERROR(__xludf.DUMMYFUNCTION("""COMPUTED_VALUE"""),"BLACK")</f>
        <v>BLACK</v>
      </c>
      <c r="G2110" s="20" t="str">
        <f>IFERROR(__xludf.DUMMYFUNCTION("""COMPUTED_VALUE"""),"Uncle Sams Cider (5/13/2022)")</f>
        <v>Uncle Sams Cider (5/13/2022)</v>
      </c>
      <c r="H2110" s="19"/>
    </row>
    <row r="2111">
      <c r="A2111" s="9"/>
      <c r="B2111" s="15"/>
      <c r="C2111" s="9">
        <f>IFERROR(__xludf.DUMMYFUNCTION("""COMPUTED_VALUE"""),44774.6069681597)</f>
        <v>44774.60697</v>
      </c>
      <c r="D2111" s="15">
        <f>IFERROR(__xludf.DUMMYFUNCTION("""COMPUTED_VALUE"""),1.004)</f>
        <v>1.004</v>
      </c>
      <c r="E2111" s="16">
        <f>IFERROR(__xludf.DUMMYFUNCTION("""COMPUTED_VALUE"""),70.0)</f>
        <v>70</v>
      </c>
      <c r="F2111" s="19" t="str">
        <f>IFERROR(__xludf.DUMMYFUNCTION("""COMPUTED_VALUE"""),"BLACK")</f>
        <v>BLACK</v>
      </c>
      <c r="G2111" s="20" t="str">
        <f>IFERROR(__xludf.DUMMYFUNCTION("""COMPUTED_VALUE"""),"Uncle Sams Cider (5/13/2022)")</f>
        <v>Uncle Sams Cider (5/13/2022)</v>
      </c>
      <c r="H2111" s="19"/>
    </row>
    <row r="2112">
      <c r="A2112" s="9"/>
      <c r="B2112" s="15"/>
      <c r="C2112" s="9">
        <f>IFERROR(__xludf.DUMMYFUNCTION("""COMPUTED_VALUE"""),44774.5965478356)</f>
        <v>44774.59655</v>
      </c>
      <c r="D2112" s="15">
        <f>IFERROR(__xludf.DUMMYFUNCTION("""COMPUTED_VALUE"""),1.004)</f>
        <v>1.004</v>
      </c>
      <c r="E2112" s="16">
        <f>IFERROR(__xludf.DUMMYFUNCTION("""COMPUTED_VALUE"""),70.0)</f>
        <v>70</v>
      </c>
      <c r="F2112" s="19" t="str">
        <f>IFERROR(__xludf.DUMMYFUNCTION("""COMPUTED_VALUE"""),"BLACK")</f>
        <v>BLACK</v>
      </c>
      <c r="G2112" s="20" t="str">
        <f>IFERROR(__xludf.DUMMYFUNCTION("""COMPUTED_VALUE"""),"Uncle Sams Cider (5/13/2022)")</f>
        <v>Uncle Sams Cider (5/13/2022)</v>
      </c>
      <c r="H2112" s="19"/>
    </row>
    <row r="2113">
      <c r="A2113" s="9"/>
      <c r="B2113" s="15"/>
      <c r="C2113" s="9">
        <f>IFERROR(__xludf.DUMMYFUNCTION("""COMPUTED_VALUE"""),44774.5861266319)</f>
        <v>44774.58613</v>
      </c>
      <c r="D2113" s="15">
        <f>IFERROR(__xludf.DUMMYFUNCTION("""COMPUTED_VALUE"""),1.004)</f>
        <v>1.004</v>
      </c>
      <c r="E2113" s="16">
        <f>IFERROR(__xludf.DUMMYFUNCTION("""COMPUTED_VALUE"""),70.0)</f>
        <v>70</v>
      </c>
      <c r="F2113" s="19" t="str">
        <f>IFERROR(__xludf.DUMMYFUNCTION("""COMPUTED_VALUE"""),"BLACK")</f>
        <v>BLACK</v>
      </c>
      <c r="G2113" s="20" t="str">
        <f>IFERROR(__xludf.DUMMYFUNCTION("""COMPUTED_VALUE"""),"Uncle Sams Cider (5/13/2022)")</f>
        <v>Uncle Sams Cider (5/13/2022)</v>
      </c>
      <c r="H2113" s="19"/>
    </row>
    <row r="2114">
      <c r="A2114" s="9"/>
      <c r="B2114" s="15"/>
      <c r="C2114" s="9">
        <f>IFERROR(__xludf.DUMMYFUNCTION("""COMPUTED_VALUE"""),44774.5757045138)</f>
        <v>44774.5757</v>
      </c>
      <c r="D2114" s="15">
        <f>IFERROR(__xludf.DUMMYFUNCTION("""COMPUTED_VALUE"""),1.004)</f>
        <v>1.004</v>
      </c>
      <c r="E2114" s="16">
        <f>IFERROR(__xludf.DUMMYFUNCTION("""COMPUTED_VALUE"""),70.0)</f>
        <v>70</v>
      </c>
      <c r="F2114" s="19" t="str">
        <f>IFERROR(__xludf.DUMMYFUNCTION("""COMPUTED_VALUE"""),"BLACK")</f>
        <v>BLACK</v>
      </c>
      <c r="G2114" s="20" t="str">
        <f>IFERROR(__xludf.DUMMYFUNCTION("""COMPUTED_VALUE"""),"Uncle Sams Cider (5/13/2022)")</f>
        <v>Uncle Sams Cider (5/13/2022)</v>
      </c>
      <c r="H2114" s="19"/>
    </row>
    <row r="2115">
      <c r="A2115" s="9"/>
      <c r="B2115" s="15"/>
      <c r="C2115" s="9">
        <f>IFERROR(__xludf.DUMMYFUNCTION("""COMPUTED_VALUE"""),44774.5652811458)</f>
        <v>44774.56528</v>
      </c>
      <c r="D2115" s="15">
        <f>IFERROR(__xludf.DUMMYFUNCTION("""COMPUTED_VALUE"""),1.004)</f>
        <v>1.004</v>
      </c>
      <c r="E2115" s="16">
        <f>IFERROR(__xludf.DUMMYFUNCTION("""COMPUTED_VALUE"""),70.0)</f>
        <v>70</v>
      </c>
      <c r="F2115" s="19" t="str">
        <f>IFERROR(__xludf.DUMMYFUNCTION("""COMPUTED_VALUE"""),"BLACK")</f>
        <v>BLACK</v>
      </c>
      <c r="G2115" s="20" t="str">
        <f>IFERROR(__xludf.DUMMYFUNCTION("""COMPUTED_VALUE"""),"Uncle Sams Cider (5/13/2022)")</f>
        <v>Uncle Sams Cider (5/13/2022)</v>
      </c>
      <c r="H2115" s="19"/>
    </row>
    <row r="2116">
      <c r="A2116" s="9"/>
      <c r="B2116" s="15"/>
      <c r="C2116" s="9">
        <f>IFERROR(__xludf.DUMMYFUNCTION("""COMPUTED_VALUE"""),44774.5548610532)</f>
        <v>44774.55486</v>
      </c>
      <c r="D2116" s="15">
        <f>IFERROR(__xludf.DUMMYFUNCTION("""COMPUTED_VALUE"""),1.004)</f>
        <v>1.004</v>
      </c>
      <c r="E2116" s="16">
        <f>IFERROR(__xludf.DUMMYFUNCTION("""COMPUTED_VALUE"""),70.0)</f>
        <v>70</v>
      </c>
      <c r="F2116" s="19" t="str">
        <f>IFERROR(__xludf.DUMMYFUNCTION("""COMPUTED_VALUE"""),"BLACK")</f>
        <v>BLACK</v>
      </c>
      <c r="G2116" s="20" t="str">
        <f>IFERROR(__xludf.DUMMYFUNCTION("""COMPUTED_VALUE"""),"Uncle Sams Cider (5/13/2022)")</f>
        <v>Uncle Sams Cider (5/13/2022)</v>
      </c>
      <c r="H2116" s="19"/>
    </row>
    <row r="2117">
      <c r="A2117" s="9"/>
      <c r="B2117" s="15"/>
      <c r="C2117" s="9">
        <f>IFERROR(__xludf.DUMMYFUNCTION("""COMPUTED_VALUE"""),44774.5444284606)</f>
        <v>44774.54443</v>
      </c>
      <c r="D2117" s="15">
        <f>IFERROR(__xludf.DUMMYFUNCTION("""COMPUTED_VALUE"""),1.004)</f>
        <v>1.004</v>
      </c>
      <c r="E2117" s="16">
        <f>IFERROR(__xludf.DUMMYFUNCTION("""COMPUTED_VALUE"""),70.0)</f>
        <v>70</v>
      </c>
      <c r="F2117" s="19" t="str">
        <f>IFERROR(__xludf.DUMMYFUNCTION("""COMPUTED_VALUE"""),"BLACK")</f>
        <v>BLACK</v>
      </c>
      <c r="G2117" s="20" t="str">
        <f>IFERROR(__xludf.DUMMYFUNCTION("""COMPUTED_VALUE"""),"Uncle Sams Cider (5/13/2022)")</f>
        <v>Uncle Sams Cider (5/13/2022)</v>
      </c>
      <c r="H2117" s="19"/>
    </row>
    <row r="2118">
      <c r="A2118" s="9"/>
      <c r="B2118" s="15"/>
      <c r="C2118" s="9">
        <f>IFERROR(__xludf.DUMMYFUNCTION("""COMPUTED_VALUE"""),44774.5340071759)</f>
        <v>44774.53401</v>
      </c>
      <c r="D2118" s="15">
        <f>IFERROR(__xludf.DUMMYFUNCTION("""COMPUTED_VALUE"""),1.004)</f>
        <v>1.004</v>
      </c>
      <c r="E2118" s="16">
        <f>IFERROR(__xludf.DUMMYFUNCTION("""COMPUTED_VALUE"""),70.0)</f>
        <v>70</v>
      </c>
      <c r="F2118" s="19" t="str">
        <f>IFERROR(__xludf.DUMMYFUNCTION("""COMPUTED_VALUE"""),"BLACK")</f>
        <v>BLACK</v>
      </c>
      <c r="G2118" s="20" t="str">
        <f>IFERROR(__xludf.DUMMYFUNCTION("""COMPUTED_VALUE"""),"Uncle Sams Cider (5/13/2022)")</f>
        <v>Uncle Sams Cider (5/13/2022)</v>
      </c>
      <c r="H2118" s="19"/>
    </row>
    <row r="2119">
      <c r="A2119" s="9"/>
      <c r="B2119" s="15"/>
      <c r="C2119" s="9">
        <f>IFERROR(__xludf.DUMMYFUNCTION("""COMPUTED_VALUE"""),44774.5235743634)</f>
        <v>44774.52357</v>
      </c>
      <c r="D2119" s="15">
        <f>IFERROR(__xludf.DUMMYFUNCTION("""COMPUTED_VALUE"""),1.004)</f>
        <v>1.004</v>
      </c>
      <c r="E2119" s="16">
        <f>IFERROR(__xludf.DUMMYFUNCTION("""COMPUTED_VALUE"""),70.0)</f>
        <v>70</v>
      </c>
      <c r="F2119" s="19" t="str">
        <f>IFERROR(__xludf.DUMMYFUNCTION("""COMPUTED_VALUE"""),"BLACK")</f>
        <v>BLACK</v>
      </c>
      <c r="G2119" s="20" t="str">
        <f>IFERROR(__xludf.DUMMYFUNCTION("""COMPUTED_VALUE"""),"Uncle Sams Cider (5/13/2022)")</f>
        <v>Uncle Sams Cider (5/13/2022)</v>
      </c>
      <c r="H2119" s="19"/>
    </row>
    <row r="2120">
      <c r="A2120" s="9"/>
      <c r="B2120" s="15"/>
      <c r="C2120" s="9">
        <f>IFERROR(__xludf.DUMMYFUNCTION("""COMPUTED_VALUE"""),44774.5131525463)</f>
        <v>44774.51315</v>
      </c>
      <c r="D2120" s="15">
        <f>IFERROR(__xludf.DUMMYFUNCTION("""COMPUTED_VALUE"""),1.004)</f>
        <v>1.004</v>
      </c>
      <c r="E2120" s="16">
        <f>IFERROR(__xludf.DUMMYFUNCTION("""COMPUTED_VALUE"""),70.0)</f>
        <v>70</v>
      </c>
      <c r="F2120" s="19" t="str">
        <f>IFERROR(__xludf.DUMMYFUNCTION("""COMPUTED_VALUE"""),"BLACK")</f>
        <v>BLACK</v>
      </c>
      <c r="G2120" s="20" t="str">
        <f>IFERROR(__xludf.DUMMYFUNCTION("""COMPUTED_VALUE"""),"Uncle Sams Cider (5/13/2022)")</f>
        <v>Uncle Sams Cider (5/13/2022)</v>
      </c>
      <c r="H2120" s="19"/>
    </row>
    <row r="2121">
      <c r="A2121" s="9"/>
      <c r="B2121" s="15"/>
      <c r="C2121" s="9">
        <f>IFERROR(__xludf.DUMMYFUNCTION("""COMPUTED_VALUE"""),44774.5027197338)</f>
        <v>44774.50272</v>
      </c>
      <c r="D2121" s="15">
        <f>IFERROR(__xludf.DUMMYFUNCTION("""COMPUTED_VALUE"""),1.004)</f>
        <v>1.004</v>
      </c>
      <c r="E2121" s="16">
        <f>IFERROR(__xludf.DUMMYFUNCTION("""COMPUTED_VALUE"""),70.0)</f>
        <v>70</v>
      </c>
      <c r="F2121" s="19" t="str">
        <f>IFERROR(__xludf.DUMMYFUNCTION("""COMPUTED_VALUE"""),"BLACK")</f>
        <v>BLACK</v>
      </c>
      <c r="G2121" s="20" t="str">
        <f>IFERROR(__xludf.DUMMYFUNCTION("""COMPUTED_VALUE"""),"Uncle Sams Cider (5/13/2022)")</f>
        <v>Uncle Sams Cider (5/13/2022)</v>
      </c>
      <c r="H2121" s="19"/>
    </row>
    <row r="2122">
      <c r="A2122" s="9"/>
      <c r="B2122" s="15"/>
      <c r="C2122" s="9">
        <f>IFERROR(__xludf.DUMMYFUNCTION("""COMPUTED_VALUE"""),44774.4922987615)</f>
        <v>44774.4923</v>
      </c>
      <c r="D2122" s="15">
        <f>IFERROR(__xludf.DUMMYFUNCTION("""COMPUTED_VALUE"""),1.004)</f>
        <v>1.004</v>
      </c>
      <c r="E2122" s="16">
        <f>IFERROR(__xludf.DUMMYFUNCTION("""COMPUTED_VALUE"""),70.0)</f>
        <v>70</v>
      </c>
      <c r="F2122" s="19" t="str">
        <f>IFERROR(__xludf.DUMMYFUNCTION("""COMPUTED_VALUE"""),"BLACK")</f>
        <v>BLACK</v>
      </c>
      <c r="G2122" s="20" t="str">
        <f>IFERROR(__xludf.DUMMYFUNCTION("""COMPUTED_VALUE"""),"Uncle Sams Cider (5/13/2022)")</f>
        <v>Uncle Sams Cider (5/13/2022)</v>
      </c>
      <c r="H2122" s="19"/>
    </row>
    <row r="2123">
      <c r="A2123" s="9"/>
      <c r="B2123" s="15"/>
      <c r="C2123" s="9">
        <f>IFERROR(__xludf.DUMMYFUNCTION("""COMPUTED_VALUE"""),44774.481875787)</f>
        <v>44774.48188</v>
      </c>
      <c r="D2123" s="15">
        <f>IFERROR(__xludf.DUMMYFUNCTION("""COMPUTED_VALUE"""),1.004)</f>
        <v>1.004</v>
      </c>
      <c r="E2123" s="16">
        <f>IFERROR(__xludf.DUMMYFUNCTION("""COMPUTED_VALUE"""),69.0)</f>
        <v>69</v>
      </c>
      <c r="F2123" s="19" t="str">
        <f>IFERROR(__xludf.DUMMYFUNCTION("""COMPUTED_VALUE"""),"BLACK")</f>
        <v>BLACK</v>
      </c>
      <c r="G2123" s="20" t="str">
        <f>IFERROR(__xludf.DUMMYFUNCTION("""COMPUTED_VALUE"""),"Uncle Sams Cider (5/13/2022)")</f>
        <v>Uncle Sams Cider (5/13/2022)</v>
      </c>
      <c r="H2123" s="19"/>
    </row>
    <row r="2124">
      <c r="A2124" s="9"/>
      <c r="B2124" s="15"/>
      <c r="C2124" s="9">
        <f>IFERROR(__xludf.DUMMYFUNCTION("""COMPUTED_VALUE"""),44774.4714523263)</f>
        <v>44774.47145</v>
      </c>
      <c r="D2124" s="15">
        <f>IFERROR(__xludf.DUMMYFUNCTION("""COMPUTED_VALUE"""),1.004)</f>
        <v>1.004</v>
      </c>
      <c r="E2124" s="16">
        <f>IFERROR(__xludf.DUMMYFUNCTION("""COMPUTED_VALUE"""),69.0)</f>
        <v>69</v>
      </c>
      <c r="F2124" s="19" t="str">
        <f>IFERROR(__xludf.DUMMYFUNCTION("""COMPUTED_VALUE"""),"BLACK")</f>
        <v>BLACK</v>
      </c>
      <c r="G2124" s="20" t="str">
        <f>IFERROR(__xludf.DUMMYFUNCTION("""COMPUTED_VALUE"""),"Uncle Sams Cider (5/13/2022)")</f>
        <v>Uncle Sams Cider (5/13/2022)</v>
      </c>
      <c r="H2124" s="19"/>
    </row>
    <row r="2125">
      <c r="A2125" s="9"/>
      <c r="B2125" s="15"/>
      <c r="C2125" s="9">
        <f>IFERROR(__xludf.DUMMYFUNCTION("""COMPUTED_VALUE"""),44774.4610200463)</f>
        <v>44774.46102</v>
      </c>
      <c r="D2125" s="15">
        <f>IFERROR(__xludf.DUMMYFUNCTION("""COMPUTED_VALUE"""),1.004)</f>
        <v>1.004</v>
      </c>
      <c r="E2125" s="16">
        <f>IFERROR(__xludf.DUMMYFUNCTION("""COMPUTED_VALUE"""),70.0)</f>
        <v>70</v>
      </c>
      <c r="F2125" s="19" t="str">
        <f>IFERROR(__xludf.DUMMYFUNCTION("""COMPUTED_VALUE"""),"BLACK")</f>
        <v>BLACK</v>
      </c>
      <c r="G2125" s="20" t="str">
        <f>IFERROR(__xludf.DUMMYFUNCTION("""COMPUTED_VALUE"""),"Uncle Sams Cider (5/13/2022)")</f>
        <v>Uncle Sams Cider (5/13/2022)</v>
      </c>
      <c r="H2125" s="19"/>
    </row>
    <row r="2126">
      <c r="A2126" s="9"/>
      <c r="B2126" s="15"/>
      <c r="C2126" s="9">
        <f>IFERROR(__xludf.DUMMYFUNCTION("""COMPUTED_VALUE"""),44774.4505995254)</f>
        <v>44774.4506</v>
      </c>
      <c r="D2126" s="15">
        <f>IFERROR(__xludf.DUMMYFUNCTION("""COMPUTED_VALUE"""),1.004)</f>
        <v>1.004</v>
      </c>
      <c r="E2126" s="16">
        <f>IFERROR(__xludf.DUMMYFUNCTION("""COMPUTED_VALUE"""),70.0)</f>
        <v>70</v>
      </c>
      <c r="F2126" s="19" t="str">
        <f>IFERROR(__xludf.DUMMYFUNCTION("""COMPUTED_VALUE"""),"BLACK")</f>
        <v>BLACK</v>
      </c>
      <c r="G2126" s="20" t="str">
        <f>IFERROR(__xludf.DUMMYFUNCTION("""COMPUTED_VALUE"""),"Uncle Sams Cider (5/13/2022)")</f>
        <v>Uncle Sams Cider (5/13/2022)</v>
      </c>
      <c r="H2126" s="19"/>
    </row>
    <row r="2127">
      <c r="A2127" s="9"/>
      <c r="B2127" s="15"/>
      <c r="C2127" s="9">
        <f>IFERROR(__xludf.DUMMYFUNCTION("""COMPUTED_VALUE"""),44774.4401661458)</f>
        <v>44774.44017</v>
      </c>
      <c r="D2127" s="15">
        <f>IFERROR(__xludf.DUMMYFUNCTION("""COMPUTED_VALUE"""),1.004)</f>
        <v>1.004</v>
      </c>
      <c r="E2127" s="16">
        <f>IFERROR(__xludf.DUMMYFUNCTION("""COMPUTED_VALUE"""),69.0)</f>
        <v>69</v>
      </c>
      <c r="F2127" s="19" t="str">
        <f>IFERROR(__xludf.DUMMYFUNCTION("""COMPUTED_VALUE"""),"BLACK")</f>
        <v>BLACK</v>
      </c>
      <c r="G2127" s="20" t="str">
        <f>IFERROR(__xludf.DUMMYFUNCTION("""COMPUTED_VALUE"""),"Uncle Sams Cider (5/13/2022)")</f>
        <v>Uncle Sams Cider (5/13/2022)</v>
      </c>
      <c r="H2127" s="19"/>
    </row>
    <row r="2128">
      <c r="A2128" s="9"/>
      <c r="B2128" s="15"/>
      <c r="C2128" s="9">
        <f>IFERROR(__xludf.DUMMYFUNCTION("""COMPUTED_VALUE"""),44774.4297463194)</f>
        <v>44774.42975</v>
      </c>
      <c r="D2128" s="15">
        <f>IFERROR(__xludf.DUMMYFUNCTION("""COMPUTED_VALUE"""),1.004)</f>
        <v>1.004</v>
      </c>
      <c r="E2128" s="16">
        <f>IFERROR(__xludf.DUMMYFUNCTION("""COMPUTED_VALUE"""),69.0)</f>
        <v>69</v>
      </c>
      <c r="F2128" s="19" t="str">
        <f>IFERROR(__xludf.DUMMYFUNCTION("""COMPUTED_VALUE"""),"BLACK")</f>
        <v>BLACK</v>
      </c>
      <c r="G2128" s="20" t="str">
        <f>IFERROR(__xludf.DUMMYFUNCTION("""COMPUTED_VALUE"""),"Uncle Sams Cider (5/13/2022)")</f>
        <v>Uncle Sams Cider (5/13/2022)</v>
      </c>
      <c r="H2128" s="19"/>
    </row>
    <row r="2129">
      <c r="A2129" s="9"/>
      <c r="B2129" s="15"/>
      <c r="C2129" s="9">
        <f>IFERROR(__xludf.DUMMYFUNCTION("""COMPUTED_VALUE"""),44774.4193120254)</f>
        <v>44774.41931</v>
      </c>
      <c r="D2129" s="15">
        <f>IFERROR(__xludf.DUMMYFUNCTION("""COMPUTED_VALUE"""),1.004)</f>
        <v>1.004</v>
      </c>
      <c r="E2129" s="16">
        <f>IFERROR(__xludf.DUMMYFUNCTION("""COMPUTED_VALUE"""),69.0)</f>
        <v>69</v>
      </c>
      <c r="F2129" s="19" t="str">
        <f>IFERROR(__xludf.DUMMYFUNCTION("""COMPUTED_VALUE"""),"BLACK")</f>
        <v>BLACK</v>
      </c>
      <c r="G2129" s="20" t="str">
        <f>IFERROR(__xludf.DUMMYFUNCTION("""COMPUTED_VALUE"""),"Uncle Sams Cider (5/13/2022)")</f>
        <v>Uncle Sams Cider (5/13/2022)</v>
      </c>
      <c r="H2129" s="19"/>
    </row>
    <row r="2130">
      <c r="A2130" s="9"/>
      <c r="B2130" s="15"/>
      <c r="C2130" s="9">
        <f>IFERROR(__xludf.DUMMYFUNCTION("""COMPUTED_VALUE"""),44774.4088907291)</f>
        <v>44774.40889</v>
      </c>
      <c r="D2130" s="15">
        <f>IFERROR(__xludf.DUMMYFUNCTION("""COMPUTED_VALUE"""),1.004)</f>
        <v>1.004</v>
      </c>
      <c r="E2130" s="16">
        <f>IFERROR(__xludf.DUMMYFUNCTION("""COMPUTED_VALUE"""),69.0)</f>
        <v>69</v>
      </c>
      <c r="F2130" s="19" t="str">
        <f>IFERROR(__xludf.DUMMYFUNCTION("""COMPUTED_VALUE"""),"BLACK")</f>
        <v>BLACK</v>
      </c>
      <c r="G2130" s="20" t="str">
        <f>IFERROR(__xludf.DUMMYFUNCTION("""COMPUTED_VALUE"""),"Uncle Sams Cider (5/13/2022)")</f>
        <v>Uncle Sams Cider (5/13/2022)</v>
      </c>
      <c r="H2130" s="19"/>
    </row>
    <row r="2131">
      <c r="A2131" s="9"/>
      <c r="B2131" s="15"/>
      <c r="C2131" s="9">
        <f>IFERROR(__xludf.DUMMYFUNCTION("""COMPUTED_VALUE"""),44774.3984684606)</f>
        <v>44774.39847</v>
      </c>
      <c r="D2131" s="15">
        <f>IFERROR(__xludf.DUMMYFUNCTION("""COMPUTED_VALUE"""),1.004)</f>
        <v>1.004</v>
      </c>
      <c r="E2131" s="16">
        <f>IFERROR(__xludf.DUMMYFUNCTION("""COMPUTED_VALUE"""),69.0)</f>
        <v>69</v>
      </c>
      <c r="F2131" s="19" t="str">
        <f>IFERROR(__xludf.DUMMYFUNCTION("""COMPUTED_VALUE"""),"BLACK")</f>
        <v>BLACK</v>
      </c>
      <c r="G2131" s="20" t="str">
        <f>IFERROR(__xludf.DUMMYFUNCTION("""COMPUTED_VALUE"""),"Uncle Sams Cider (5/13/2022)")</f>
        <v>Uncle Sams Cider (5/13/2022)</v>
      </c>
      <c r="H2131" s="19"/>
    </row>
    <row r="2132">
      <c r="A2132" s="9"/>
      <c r="B2132" s="15"/>
      <c r="C2132" s="9">
        <f>IFERROR(__xludf.DUMMYFUNCTION("""COMPUTED_VALUE"""),44774.3880481713)</f>
        <v>44774.38805</v>
      </c>
      <c r="D2132" s="15">
        <f>IFERROR(__xludf.DUMMYFUNCTION("""COMPUTED_VALUE"""),1.004)</f>
        <v>1.004</v>
      </c>
      <c r="E2132" s="16">
        <f>IFERROR(__xludf.DUMMYFUNCTION("""COMPUTED_VALUE"""),69.0)</f>
        <v>69</v>
      </c>
      <c r="F2132" s="19" t="str">
        <f>IFERROR(__xludf.DUMMYFUNCTION("""COMPUTED_VALUE"""),"BLACK")</f>
        <v>BLACK</v>
      </c>
      <c r="G2132" s="20" t="str">
        <f>IFERROR(__xludf.DUMMYFUNCTION("""COMPUTED_VALUE"""),"Uncle Sams Cider (5/13/2022)")</f>
        <v>Uncle Sams Cider (5/13/2022)</v>
      </c>
      <c r="H2132" s="19"/>
    </row>
    <row r="2133">
      <c r="A2133" s="9"/>
      <c r="B2133" s="15"/>
      <c r="C2133" s="9">
        <f>IFERROR(__xludf.DUMMYFUNCTION("""COMPUTED_VALUE"""),44774.3776267361)</f>
        <v>44774.37763</v>
      </c>
      <c r="D2133" s="15">
        <f>IFERROR(__xludf.DUMMYFUNCTION("""COMPUTED_VALUE"""),1.004)</f>
        <v>1.004</v>
      </c>
      <c r="E2133" s="16">
        <f>IFERROR(__xludf.DUMMYFUNCTION("""COMPUTED_VALUE"""),69.0)</f>
        <v>69</v>
      </c>
      <c r="F2133" s="19" t="str">
        <f>IFERROR(__xludf.DUMMYFUNCTION("""COMPUTED_VALUE"""),"BLACK")</f>
        <v>BLACK</v>
      </c>
      <c r="G2133" s="20" t="str">
        <f>IFERROR(__xludf.DUMMYFUNCTION("""COMPUTED_VALUE"""),"Uncle Sams Cider (5/13/2022)")</f>
        <v>Uncle Sams Cider (5/13/2022)</v>
      </c>
      <c r="H2133" s="19"/>
    </row>
    <row r="2134">
      <c r="A2134" s="9"/>
      <c r="B2134" s="15"/>
      <c r="C2134" s="9">
        <f>IFERROR(__xludf.DUMMYFUNCTION("""COMPUTED_VALUE"""),44774.3672055324)</f>
        <v>44774.36721</v>
      </c>
      <c r="D2134" s="15">
        <f>IFERROR(__xludf.DUMMYFUNCTION("""COMPUTED_VALUE"""),1.004)</f>
        <v>1.004</v>
      </c>
      <c r="E2134" s="16">
        <f>IFERROR(__xludf.DUMMYFUNCTION("""COMPUTED_VALUE"""),69.0)</f>
        <v>69</v>
      </c>
      <c r="F2134" s="19" t="str">
        <f>IFERROR(__xludf.DUMMYFUNCTION("""COMPUTED_VALUE"""),"BLACK")</f>
        <v>BLACK</v>
      </c>
      <c r="G2134" s="20" t="str">
        <f>IFERROR(__xludf.DUMMYFUNCTION("""COMPUTED_VALUE"""),"Uncle Sams Cider (5/13/2022)")</f>
        <v>Uncle Sams Cider (5/13/2022)</v>
      </c>
      <c r="H2134" s="19"/>
    </row>
    <row r="2135">
      <c r="A2135" s="9"/>
      <c r="B2135" s="15"/>
      <c r="C2135" s="9">
        <f>IFERROR(__xludf.DUMMYFUNCTION("""COMPUTED_VALUE"""),44774.3567835069)</f>
        <v>44774.35678</v>
      </c>
      <c r="D2135" s="15">
        <f>IFERROR(__xludf.DUMMYFUNCTION("""COMPUTED_VALUE"""),1.004)</f>
        <v>1.004</v>
      </c>
      <c r="E2135" s="16">
        <f>IFERROR(__xludf.DUMMYFUNCTION("""COMPUTED_VALUE"""),69.0)</f>
        <v>69</v>
      </c>
      <c r="F2135" s="19" t="str">
        <f>IFERROR(__xludf.DUMMYFUNCTION("""COMPUTED_VALUE"""),"BLACK")</f>
        <v>BLACK</v>
      </c>
      <c r="G2135" s="20" t="str">
        <f>IFERROR(__xludf.DUMMYFUNCTION("""COMPUTED_VALUE"""),"Uncle Sams Cider (5/13/2022)")</f>
        <v>Uncle Sams Cider (5/13/2022)</v>
      </c>
      <c r="H2135" s="19"/>
    </row>
    <row r="2136">
      <c r="A2136" s="9"/>
      <c r="B2136" s="15"/>
      <c r="C2136" s="9">
        <f>IFERROR(__xludf.DUMMYFUNCTION("""COMPUTED_VALUE"""),44774.3463639004)</f>
        <v>44774.34636</v>
      </c>
      <c r="D2136" s="15">
        <f>IFERROR(__xludf.DUMMYFUNCTION("""COMPUTED_VALUE"""),1.004)</f>
        <v>1.004</v>
      </c>
      <c r="E2136" s="16">
        <f>IFERROR(__xludf.DUMMYFUNCTION("""COMPUTED_VALUE"""),69.0)</f>
        <v>69</v>
      </c>
      <c r="F2136" s="19" t="str">
        <f>IFERROR(__xludf.DUMMYFUNCTION("""COMPUTED_VALUE"""),"BLACK")</f>
        <v>BLACK</v>
      </c>
      <c r="G2136" s="20" t="str">
        <f>IFERROR(__xludf.DUMMYFUNCTION("""COMPUTED_VALUE"""),"Uncle Sams Cider (5/13/2022)")</f>
        <v>Uncle Sams Cider (5/13/2022)</v>
      </c>
      <c r="H2136" s="19"/>
    </row>
    <row r="2137">
      <c r="A2137" s="9"/>
      <c r="B2137" s="15"/>
      <c r="C2137" s="9">
        <f>IFERROR(__xludf.DUMMYFUNCTION("""COMPUTED_VALUE"""),44774.3359425578)</f>
        <v>44774.33594</v>
      </c>
      <c r="D2137" s="15">
        <f>IFERROR(__xludf.DUMMYFUNCTION("""COMPUTED_VALUE"""),1.004)</f>
        <v>1.004</v>
      </c>
      <c r="E2137" s="16">
        <f>IFERROR(__xludf.DUMMYFUNCTION("""COMPUTED_VALUE"""),69.0)</f>
        <v>69</v>
      </c>
      <c r="F2137" s="19" t="str">
        <f>IFERROR(__xludf.DUMMYFUNCTION("""COMPUTED_VALUE"""),"BLACK")</f>
        <v>BLACK</v>
      </c>
      <c r="G2137" s="20" t="str">
        <f>IFERROR(__xludf.DUMMYFUNCTION("""COMPUTED_VALUE"""),"Uncle Sams Cider (5/13/2022)")</f>
        <v>Uncle Sams Cider (5/13/2022)</v>
      </c>
      <c r="H2137" s="19"/>
    </row>
    <row r="2138">
      <c r="A2138" s="9"/>
      <c r="B2138" s="15"/>
      <c r="C2138" s="9">
        <f>IFERROR(__xludf.DUMMYFUNCTION("""COMPUTED_VALUE"""),44774.3254972222)</f>
        <v>44774.3255</v>
      </c>
      <c r="D2138" s="15">
        <f>IFERROR(__xludf.DUMMYFUNCTION("""COMPUTED_VALUE"""),1.004)</f>
        <v>1.004</v>
      </c>
      <c r="E2138" s="16">
        <f>IFERROR(__xludf.DUMMYFUNCTION("""COMPUTED_VALUE"""),69.0)</f>
        <v>69</v>
      </c>
      <c r="F2138" s="19" t="str">
        <f>IFERROR(__xludf.DUMMYFUNCTION("""COMPUTED_VALUE"""),"BLACK")</f>
        <v>BLACK</v>
      </c>
      <c r="G2138" s="20" t="str">
        <f>IFERROR(__xludf.DUMMYFUNCTION("""COMPUTED_VALUE"""),"Uncle Sams Cider (5/13/2022)")</f>
        <v>Uncle Sams Cider (5/13/2022)</v>
      </c>
      <c r="H2138" s="19"/>
    </row>
    <row r="2139">
      <c r="A2139" s="9"/>
      <c r="B2139" s="15"/>
      <c r="C2139" s="9">
        <f>IFERROR(__xludf.DUMMYFUNCTION("""COMPUTED_VALUE"""),44774.3150630324)</f>
        <v>44774.31506</v>
      </c>
      <c r="D2139" s="15">
        <f>IFERROR(__xludf.DUMMYFUNCTION("""COMPUTED_VALUE"""),1.004)</f>
        <v>1.004</v>
      </c>
      <c r="E2139" s="16">
        <f>IFERROR(__xludf.DUMMYFUNCTION("""COMPUTED_VALUE"""),69.0)</f>
        <v>69</v>
      </c>
      <c r="F2139" s="19" t="str">
        <f>IFERROR(__xludf.DUMMYFUNCTION("""COMPUTED_VALUE"""),"BLACK")</f>
        <v>BLACK</v>
      </c>
      <c r="G2139" s="20" t="str">
        <f>IFERROR(__xludf.DUMMYFUNCTION("""COMPUTED_VALUE"""),"Uncle Sams Cider (5/13/2022)")</f>
        <v>Uncle Sams Cider (5/13/2022)</v>
      </c>
      <c r="H2139" s="19"/>
    </row>
    <row r="2140">
      <c r="A2140" s="9"/>
      <c r="B2140" s="15"/>
      <c r="C2140" s="9">
        <f>IFERROR(__xludf.DUMMYFUNCTION("""COMPUTED_VALUE"""),44774.3046307638)</f>
        <v>44774.30463</v>
      </c>
      <c r="D2140" s="15">
        <f>IFERROR(__xludf.DUMMYFUNCTION("""COMPUTED_VALUE"""),1.004)</f>
        <v>1.004</v>
      </c>
      <c r="E2140" s="16">
        <f>IFERROR(__xludf.DUMMYFUNCTION("""COMPUTED_VALUE"""),69.0)</f>
        <v>69</v>
      </c>
      <c r="F2140" s="19" t="str">
        <f>IFERROR(__xludf.DUMMYFUNCTION("""COMPUTED_VALUE"""),"BLACK")</f>
        <v>BLACK</v>
      </c>
      <c r="G2140" s="20" t="str">
        <f>IFERROR(__xludf.DUMMYFUNCTION("""COMPUTED_VALUE"""),"Uncle Sams Cider (5/13/2022)")</f>
        <v>Uncle Sams Cider (5/13/2022)</v>
      </c>
      <c r="H2140" s="19"/>
    </row>
    <row r="2141">
      <c r="A2141" s="9"/>
      <c r="B2141" s="15"/>
      <c r="C2141" s="9">
        <f>IFERROR(__xludf.DUMMYFUNCTION("""COMPUTED_VALUE"""),44774.2941995601)</f>
        <v>44774.2942</v>
      </c>
      <c r="D2141" s="15">
        <f>IFERROR(__xludf.DUMMYFUNCTION("""COMPUTED_VALUE"""),1.004)</f>
        <v>1.004</v>
      </c>
      <c r="E2141" s="16">
        <f>IFERROR(__xludf.DUMMYFUNCTION("""COMPUTED_VALUE"""),69.0)</f>
        <v>69</v>
      </c>
      <c r="F2141" s="19" t="str">
        <f>IFERROR(__xludf.DUMMYFUNCTION("""COMPUTED_VALUE"""),"BLACK")</f>
        <v>BLACK</v>
      </c>
      <c r="G2141" s="20" t="str">
        <f>IFERROR(__xludf.DUMMYFUNCTION("""COMPUTED_VALUE"""),"Uncle Sams Cider (5/13/2022)")</f>
        <v>Uncle Sams Cider (5/13/2022)</v>
      </c>
      <c r="H2141" s="19"/>
    </row>
    <row r="2142">
      <c r="A2142" s="9"/>
      <c r="B2142" s="15"/>
      <c r="C2142" s="9">
        <f>IFERROR(__xludf.DUMMYFUNCTION("""COMPUTED_VALUE"""),44774.2837774074)</f>
        <v>44774.28378</v>
      </c>
      <c r="D2142" s="15">
        <f>IFERROR(__xludf.DUMMYFUNCTION("""COMPUTED_VALUE"""),1.004)</f>
        <v>1.004</v>
      </c>
      <c r="E2142" s="16">
        <f>IFERROR(__xludf.DUMMYFUNCTION("""COMPUTED_VALUE"""),69.0)</f>
        <v>69</v>
      </c>
      <c r="F2142" s="19" t="str">
        <f>IFERROR(__xludf.DUMMYFUNCTION("""COMPUTED_VALUE"""),"BLACK")</f>
        <v>BLACK</v>
      </c>
      <c r="G2142" s="20" t="str">
        <f>IFERROR(__xludf.DUMMYFUNCTION("""COMPUTED_VALUE"""),"Uncle Sams Cider (5/13/2022)")</f>
        <v>Uncle Sams Cider (5/13/2022)</v>
      </c>
      <c r="H2142" s="19"/>
    </row>
    <row r="2143">
      <c r="A2143" s="9"/>
      <c r="B2143" s="15"/>
      <c r="C2143" s="9">
        <f>IFERROR(__xludf.DUMMYFUNCTION("""COMPUTED_VALUE"""),44774.2733552083)</f>
        <v>44774.27336</v>
      </c>
      <c r="D2143" s="15">
        <f>IFERROR(__xludf.DUMMYFUNCTION("""COMPUTED_VALUE"""),1.004)</f>
        <v>1.004</v>
      </c>
      <c r="E2143" s="16">
        <f>IFERROR(__xludf.DUMMYFUNCTION("""COMPUTED_VALUE"""),69.0)</f>
        <v>69</v>
      </c>
      <c r="F2143" s="19" t="str">
        <f>IFERROR(__xludf.DUMMYFUNCTION("""COMPUTED_VALUE"""),"BLACK")</f>
        <v>BLACK</v>
      </c>
      <c r="G2143" s="20" t="str">
        <f>IFERROR(__xludf.DUMMYFUNCTION("""COMPUTED_VALUE"""),"Uncle Sams Cider (5/13/2022)")</f>
        <v>Uncle Sams Cider (5/13/2022)</v>
      </c>
      <c r="H2143" s="19"/>
    </row>
    <row r="2144">
      <c r="A2144" s="9"/>
      <c r="B2144" s="15"/>
      <c r="C2144" s="9">
        <f>IFERROR(__xludf.DUMMYFUNCTION("""COMPUTED_VALUE"""),44774.2629321296)</f>
        <v>44774.26293</v>
      </c>
      <c r="D2144" s="15">
        <f>IFERROR(__xludf.DUMMYFUNCTION("""COMPUTED_VALUE"""),1.004)</f>
        <v>1.004</v>
      </c>
      <c r="E2144" s="16">
        <f>IFERROR(__xludf.DUMMYFUNCTION("""COMPUTED_VALUE"""),69.0)</f>
        <v>69</v>
      </c>
      <c r="F2144" s="19" t="str">
        <f>IFERROR(__xludf.DUMMYFUNCTION("""COMPUTED_VALUE"""),"BLACK")</f>
        <v>BLACK</v>
      </c>
      <c r="G2144" s="20" t="str">
        <f>IFERROR(__xludf.DUMMYFUNCTION("""COMPUTED_VALUE"""),"Uncle Sams Cider (5/13/2022)")</f>
        <v>Uncle Sams Cider (5/13/2022)</v>
      </c>
      <c r="H2144" s="19"/>
    </row>
    <row r="2145">
      <c r="A2145" s="9"/>
      <c r="B2145" s="15"/>
      <c r="C2145" s="9">
        <f>IFERROR(__xludf.DUMMYFUNCTION("""COMPUTED_VALUE"""),44774.2525116666)</f>
        <v>44774.25251</v>
      </c>
      <c r="D2145" s="15">
        <f>IFERROR(__xludf.DUMMYFUNCTION("""COMPUTED_VALUE"""),1.004)</f>
        <v>1.004</v>
      </c>
      <c r="E2145" s="16">
        <f>IFERROR(__xludf.DUMMYFUNCTION("""COMPUTED_VALUE"""),69.0)</f>
        <v>69</v>
      </c>
      <c r="F2145" s="19" t="str">
        <f>IFERROR(__xludf.DUMMYFUNCTION("""COMPUTED_VALUE"""),"BLACK")</f>
        <v>BLACK</v>
      </c>
      <c r="G2145" s="20" t="str">
        <f>IFERROR(__xludf.DUMMYFUNCTION("""COMPUTED_VALUE"""),"Uncle Sams Cider (5/13/2022)")</f>
        <v>Uncle Sams Cider (5/13/2022)</v>
      </c>
      <c r="H2145" s="19"/>
    </row>
    <row r="2146">
      <c r="A2146" s="9"/>
      <c r="B2146" s="15"/>
      <c r="C2146" s="9">
        <f>IFERROR(__xludf.DUMMYFUNCTION("""COMPUTED_VALUE"""),44774.2420795023)</f>
        <v>44774.24208</v>
      </c>
      <c r="D2146" s="15">
        <f>IFERROR(__xludf.DUMMYFUNCTION("""COMPUTED_VALUE"""),1.004)</f>
        <v>1.004</v>
      </c>
      <c r="E2146" s="16">
        <f>IFERROR(__xludf.DUMMYFUNCTION("""COMPUTED_VALUE"""),69.0)</f>
        <v>69</v>
      </c>
      <c r="F2146" s="19" t="str">
        <f>IFERROR(__xludf.DUMMYFUNCTION("""COMPUTED_VALUE"""),"BLACK")</f>
        <v>BLACK</v>
      </c>
      <c r="G2146" s="20" t="str">
        <f>IFERROR(__xludf.DUMMYFUNCTION("""COMPUTED_VALUE"""),"Uncle Sams Cider (5/13/2022)")</f>
        <v>Uncle Sams Cider (5/13/2022)</v>
      </c>
      <c r="H2146" s="19"/>
    </row>
    <row r="2147">
      <c r="A2147" s="9"/>
      <c r="B2147" s="15"/>
      <c r="C2147" s="9">
        <f>IFERROR(__xludf.DUMMYFUNCTION("""COMPUTED_VALUE"""),44774.2316575231)</f>
        <v>44774.23166</v>
      </c>
      <c r="D2147" s="15">
        <f>IFERROR(__xludf.DUMMYFUNCTION("""COMPUTED_VALUE"""),1.004)</f>
        <v>1.004</v>
      </c>
      <c r="E2147" s="16">
        <f>IFERROR(__xludf.DUMMYFUNCTION("""COMPUTED_VALUE"""),69.0)</f>
        <v>69</v>
      </c>
      <c r="F2147" s="19" t="str">
        <f>IFERROR(__xludf.DUMMYFUNCTION("""COMPUTED_VALUE"""),"BLACK")</f>
        <v>BLACK</v>
      </c>
      <c r="G2147" s="20" t="str">
        <f>IFERROR(__xludf.DUMMYFUNCTION("""COMPUTED_VALUE"""),"Uncle Sams Cider (5/13/2022)")</f>
        <v>Uncle Sams Cider (5/13/2022)</v>
      </c>
      <c r="H2147" s="19"/>
    </row>
    <row r="2148">
      <c r="A2148" s="9"/>
      <c r="B2148" s="15"/>
      <c r="C2148" s="9">
        <f>IFERROR(__xludf.DUMMYFUNCTION("""COMPUTED_VALUE"""),44774.221236412)</f>
        <v>44774.22124</v>
      </c>
      <c r="D2148" s="15">
        <f>IFERROR(__xludf.DUMMYFUNCTION("""COMPUTED_VALUE"""),1.004)</f>
        <v>1.004</v>
      </c>
      <c r="E2148" s="16">
        <f>IFERROR(__xludf.DUMMYFUNCTION("""COMPUTED_VALUE"""),69.0)</f>
        <v>69</v>
      </c>
      <c r="F2148" s="19" t="str">
        <f>IFERROR(__xludf.DUMMYFUNCTION("""COMPUTED_VALUE"""),"BLACK")</f>
        <v>BLACK</v>
      </c>
      <c r="G2148" s="20" t="str">
        <f>IFERROR(__xludf.DUMMYFUNCTION("""COMPUTED_VALUE"""),"Uncle Sams Cider (5/13/2022)")</f>
        <v>Uncle Sams Cider (5/13/2022)</v>
      </c>
      <c r="H2148" s="19"/>
    </row>
    <row r="2149">
      <c r="A2149" s="9"/>
      <c r="B2149" s="15"/>
      <c r="C2149" s="9">
        <f>IFERROR(__xludf.DUMMYFUNCTION("""COMPUTED_VALUE"""),44774.2108151273)</f>
        <v>44774.21082</v>
      </c>
      <c r="D2149" s="15">
        <f>IFERROR(__xludf.DUMMYFUNCTION("""COMPUTED_VALUE"""),1.004)</f>
        <v>1.004</v>
      </c>
      <c r="E2149" s="16">
        <f>IFERROR(__xludf.DUMMYFUNCTION("""COMPUTED_VALUE"""),69.0)</f>
        <v>69</v>
      </c>
      <c r="F2149" s="19" t="str">
        <f>IFERROR(__xludf.DUMMYFUNCTION("""COMPUTED_VALUE"""),"BLACK")</f>
        <v>BLACK</v>
      </c>
      <c r="G2149" s="20" t="str">
        <f>IFERROR(__xludf.DUMMYFUNCTION("""COMPUTED_VALUE"""),"Uncle Sams Cider (5/13/2022)")</f>
        <v>Uncle Sams Cider (5/13/2022)</v>
      </c>
      <c r="H2149" s="19"/>
    </row>
    <row r="2150">
      <c r="A2150" s="9"/>
      <c r="B2150" s="15"/>
      <c r="C2150" s="9">
        <f>IFERROR(__xludf.DUMMYFUNCTION("""COMPUTED_VALUE"""),44774.2003937847)</f>
        <v>44774.20039</v>
      </c>
      <c r="D2150" s="15">
        <f>IFERROR(__xludf.DUMMYFUNCTION("""COMPUTED_VALUE"""),1.004)</f>
        <v>1.004</v>
      </c>
      <c r="E2150" s="16">
        <f>IFERROR(__xludf.DUMMYFUNCTION("""COMPUTED_VALUE"""),69.0)</f>
        <v>69</v>
      </c>
      <c r="F2150" s="19" t="str">
        <f>IFERROR(__xludf.DUMMYFUNCTION("""COMPUTED_VALUE"""),"BLACK")</f>
        <v>BLACK</v>
      </c>
      <c r="G2150" s="20" t="str">
        <f>IFERROR(__xludf.DUMMYFUNCTION("""COMPUTED_VALUE"""),"Uncle Sams Cider (5/13/2022)")</f>
        <v>Uncle Sams Cider (5/13/2022)</v>
      </c>
      <c r="H2150" s="19"/>
    </row>
    <row r="2151">
      <c r="A2151" s="9"/>
      <c r="B2151" s="15"/>
      <c r="C2151" s="9">
        <f>IFERROR(__xludf.DUMMYFUNCTION("""COMPUTED_VALUE"""),44774.1899493634)</f>
        <v>44774.18995</v>
      </c>
      <c r="D2151" s="15">
        <f>IFERROR(__xludf.DUMMYFUNCTION("""COMPUTED_VALUE"""),1.004)</f>
        <v>1.004</v>
      </c>
      <c r="E2151" s="16">
        <f>IFERROR(__xludf.DUMMYFUNCTION("""COMPUTED_VALUE"""),69.0)</f>
        <v>69</v>
      </c>
      <c r="F2151" s="19" t="str">
        <f>IFERROR(__xludf.DUMMYFUNCTION("""COMPUTED_VALUE"""),"BLACK")</f>
        <v>BLACK</v>
      </c>
      <c r="G2151" s="20" t="str">
        <f>IFERROR(__xludf.DUMMYFUNCTION("""COMPUTED_VALUE"""),"Uncle Sams Cider (5/13/2022)")</f>
        <v>Uncle Sams Cider (5/13/2022)</v>
      </c>
      <c r="H2151" s="19"/>
    </row>
    <row r="2152">
      <c r="A2152" s="9"/>
      <c r="B2152" s="15"/>
      <c r="C2152" s="9">
        <f>IFERROR(__xludf.DUMMYFUNCTION("""COMPUTED_VALUE"""),44774.1795297685)</f>
        <v>44774.17953</v>
      </c>
      <c r="D2152" s="15">
        <f>IFERROR(__xludf.DUMMYFUNCTION("""COMPUTED_VALUE"""),1.004)</f>
        <v>1.004</v>
      </c>
      <c r="E2152" s="16">
        <f>IFERROR(__xludf.DUMMYFUNCTION("""COMPUTED_VALUE"""),69.0)</f>
        <v>69</v>
      </c>
      <c r="F2152" s="19" t="str">
        <f>IFERROR(__xludf.DUMMYFUNCTION("""COMPUTED_VALUE"""),"BLACK")</f>
        <v>BLACK</v>
      </c>
      <c r="G2152" s="20" t="str">
        <f>IFERROR(__xludf.DUMMYFUNCTION("""COMPUTED_VALUE"""),"Uncle Sams Cider (5/13/2022)")</f>
        <v>Uncle Sams Cider (5/13/2022)</v>
      </c>
      <c r="H2152" s="19"/>
    </row>
    <row r="2153">
      <c r="A2153" s="9"/>
      <c r="B2153" s="15"/>
      <c r="C2153" s="9">
        <f>IFERROR(__xludf.DUMMYFUNCTION("""COMPUTED_VALUE"""),44774.1691092476)</f>
        <v>44774.16911</v>
      </c>
      <c r="D2153" s="15">
        <f>IFERROR(__xludf.DUMMYFUNCTION("""COMPUTED_VALUE"""),1.004)</f>
        <v>1.004</v>
      </c>
      <c r="E2153" s="16">
        <f>IFERROR(__xludf.DUMMYFUNCTION("""COMPUTED_VALUE"""),69.0)</f>
        <v>69</v>
      </c>
      <c r="F2153" s="19" t="str">
        <f>IFERROR(__xludf.DUMMYFUNCTION("""COMPUTED_VALUE"""),"BLACK")</f>
        <v>BLACK</v>
      </c>
      <c r="G2153" s="20" t="str">
        <f>IFERROR(__xludf.DUMMYFUNCTION("""COMPUTED_VALUE"""),"Uncle Sams Cider (5/13/2022)")</f>
        <v>Uncle Sams Cider (5/13/2022)</v>
      </c>
      <c r="H2153" s="19"/>
    </row>
    <row r="2154">
      <c r="A2154" s="9"/>
      <c r="B2154" s="15"/>
      <c r="C2154" s="9">
        <f>IFERROR(__xludf.DUMMYFUNCTION("""COMPUTED_VALUE"""),44774.1586887384)</f>
        <v>44774.15869</v>
      </c>
      <c r="D2154" s="15">
        <f>IFERROR(__xludf.DUMMYFUNCTION("""COMPUTED_VALUE"""),1.004)</f>
        <v>1.004</v>
      </c>
      <c r="E2154" s="16">
        <f>IFERROR(__xludf.DUMMYFUNCTION("""COMPUTED_VALUE"""),69.0)</f>
        <v>69</v>
      </c>
      <c r="F2154" s="19" t="str">
        <f>IFERROR(__xludf.DUMMYFUNCTION("""COMPUTED_VALUE"""),"BLACK")</f>
        <v>BLACK</v>
      </c>
      <c r="G2154" s="20" t="str">
        <f>IFERROR(__xludf.DUMMYFUNCTION("""COMPUTED_VALUE"""),"Uncle Sams Cider (5/13/2022)")</f>
        <v>Uncle Sams Cider (5/13/2022)</v>
      </c>
      <c r="H2154" s="19"/>
    </row>
    <row r="2155">
      <c r="A2155" s="9"/>
      <c r="B2155" s="15"/>
      <c r="C2155" s="9">
        <f>IFERROR(__xludf.DUMMYFUNCTION("""COMPUTED_VALUE"""),44774.1482576736)</f>
        <v>44774.14826</v>
      </c>
      <c r="D2155" s="15">
        <f>IFERROR(__xludf.DUMMYFUNCTION("""COMPUTED_VALUE"""),1.004)</f>
        <v>1.004</v>
      </c>
      <c r="E2155" s="16">
        <f>IFERROR(__xludf.DUMMYFUNCTION("""COMPUTED_VALUE"""),69.0)</f>
        <v>69</v>
      </c>
      <c r="F2155" s="19" t="str">
        <f>IFERROR(__xludf.DUMMYFUNCTION("""COMPUTED_VALUE"""),"BLACK")</f>
        <v>BLACK</v>
      </c>
      <c r="G2155" s="20" t="str">
        <f>IFERROR(__xludf.DUMMYFUNCTION("""COMPUTED_VALUE"""),"Uncle Sams Cider (5/13/2022)")</f>
        <v>Uncle Sams Cider (5/13/2022)</v>
      </c>
      <c r="H2155" s="19"/>
    </row>
    <row r="2156">
      <c r="A2156" s="9"/>
      <c r="B2156" s="15"/>
      <c r="C2156" s="9">
        <f>IFERROR(__xludf.DUMMYFUNCTION("""COMPUTED_VALUE"""),44774.1378117476)</f>
        <v>44774.13781</v>
      </c>
      <c r="D2156" s="15">
        <f>IFERROR(__xludf.DUMMYFUNCTION("""COMPUTED_VALUE"""),1.004)</f>
        <v>1.004</v>
      </c>
      <c r="E2156" s="16">
        <f>IFERROR(__xludf.DUMMYFUNCTION("""COMPUTED_VALUE"""),69.0)</f>
        <v>69</v>
      </c>
      <c r="F2156" s="19" t="str">
        <f>IFERROR(__xludf.DUMMYFUNCTION("""COMPUTED_VALUE"""),"BLACK")</f>
        <v>BLACK</v>
      </c>
      <c r="G2156" s="20" t="str">
        <f>IFERROR(__xludf.DUMMYFUNCTION("""COMPUTED_VALUE"""),"Uncle Sams Cider (5/13/2022)")</f>
        <v>Uncle Sams Cider (5/13/2022)</v>
      </c>
      <c r="H2156" s="19"/>
    </row>
    <row r="2157">
      <c r="A2157" s="9"/>
      <c r="B2157" s="15"/>
      <c r="C2157" s="9">
        <f>IFERROR(__xludf.DUMMYFUNCTION("""COMPUTED_VALUE"""),44774.1273888773)</f>
        <v>44774.12739</v>
      </c>
      <c r="D2157" s="15">
        <f>IFERROR(__xludf.DUMMYFUNCTION("""COMPUTED_VALUE"""),1.004)</f>
        <v>1.004</v>
      </c>
      <c r="E2157" s="16">
        <f>IFERROR(__xludf.DUMMYFUNCTION("""COMPUTED_VALUE"""),69.0)</f>
        <v>69</v>
      </c>
      <c r="F2157" s="19" t="str">
        <f>IFERROR(__xludf.DUMMYFUNCTION("""COMPUTED_VALUE"""),"BLACK")</f>
        <v>BLACK</v>
      </c>
      <c r="G2157" s="20" t="str">
        <f>IFERROR(__xludf.DUMMYFUNCTION("""COMPUTED_VALUE"""),"Uncle Sams Cider (5/13/2022)")</f>
        <v>Uncle Sams Cider (5/13/2022)</v>
      </c>
      <c r="H2157" s="19"/>
    </row>
    <row r="2158">
      <c r="A2158" s="9"/>
      <c r="B2158" s="15"/>
      <c r="C2158" s="9">
        <f>IFERROR(__xludf.DUMMYFUNCTION("""COMPUTED_VALUE"""),44774.1169679166)</f>
        <v>44774.11697</v>
      </c>
      <c r="D2158" s="15">
        <f>IFERROR(__xludf.DUMMYFUNCTION("""COMPUTED_VALUE"""),1.004)</f>
        <v>1.004</v>
      </c>
      <c r="E2158" s="16">
        <f>IFERROR(__xludf.DUMMYFUNCTION("""COMPUTED_VALUE"""),69.0)</f>
        <v>69</v>
      </c>
      <c r="F2158" s="19" t="str">
        <f>IFERROR(__xludf.DUMMYFUNCTION("""COMPUTED_VALUE"""),"BLACK")</f>
        <v>BLACK</v>
      </c>
      <c r="G2158" s="20" t="str">
        <f>IFERROR(__xludf.DUMMYFUNCTION("""COMPUTED_VALUE"""),"Uncle Sams Cider (5/13/2022)")</f>
        <v>Uncle Sams Cider (5/13/2022)</v>
      </c>
      <c r="H2158" s="19"/>
    </row>
    <row r="2159">
      <c r="A2159" s="9"/>
      <c r="B2159" s="15"/>
      <c r="C2159" s="9">
        <f>IFERROR(__xludf.DUMMYFUNCTION("""COMPUTED_VALUE"""),44774.1065459259)</f>
        <v>44774.10655</v>
      </c>
      <c r="D2159" s="15">
        <f>IFERROR(__xludf.DUMMYFUNCTION("""COMPUTED_VALUE"""),1.004)</f>
        <v>1.004</v>
      </c>
      <c r="E2159" s="16">
        <f>IFERROR(__xludf.DUMMYFUNCTION("""COMPUTED_VALUE"""),69.0)</f>
        <v>69</v>
      </c>
      <c r="F2159" s="19" t="str">
        <f>IFERROR(__xludf.DUMMYFUNCTION("""COMPUTED_VALUE"""),"BLACK")</f>
        <v>BLACK</v>
      </c>
      <c r="G2159" s="20" t="str">
        <f>IFERROR(__xludf.DUMMYFUNCTION("""COMPUTED_VALUE"""),"Uncle Sams Cider (5/13/2022)")</f>
        <v>Uncle Sams Cider (5/13/2022)</v>
      </c>
      <c r="H2159" s="19"/>
    </row>
    <row r="2160">
      <c r="A2160" s="9"/>
      <c r="B2160" s="15"/>
      <c r="C2160" s="9">
        <f>IFERROR(__xludf.DUMMYFUNCTION("""COMPUTED_VALUE"""),44774.0961232638)</f>
        <v>44774.09612</v>
      </c>
      <c r="D2160" s="15">
        <f>IFERROR(__xludf.DUMMYFUNCTION("""COMPUTED_VALUE"""),1.004)</f>
        <v>1.004</v>
      </c>
      <c r="E2160" s="16">
        <f>IFERROR(__xludf.DUMMYFUNCTION("""COMPUTED_VALUE"""),69.0)</f>
        <v>69</v>
      </c>
      <c r="F2160" s="19" t="str">
        <f>IFERROR(__xludf.DUMMYFUNCTION("""COMPUTED_VALUE"""),"BLACK")</f>
        <v>BLACK</v>
      </c>
      <c r="G2160" s="20" t="str">
        <f>IFERROR(__xludf.DUMMYFUNCTION("""COMPUTED_VALUE"""),"Uncle Sams Cider (5/13/2022)")</f>
        <v>Uncle Sams Cider (5/13/2022)</v>
      </c>
      <c r="H2160" s="19"/>
    </row>
    <row r="2161">
      <c r="A2161" s="9"/>
      <c r="B2161" s="15"/>
      <c r="C2161" s="9">
        <f>IFERROR(__xludf.DUMMYFUNCTION("""COMPUTED_VALUE"""),44774.0857035879)</f>
        <v>44774.0857</v>
      </c>
      <c r="D2161" s="15">
        <f>IFERROR(__xludf.DUMMYFUNCTION("""COMPUTED_VALUE"""),1.004)</f>
        <v>1.004</v>
      </c>
      <c r="E2161" s="16">
        <f>IFERROR(__xludf.DUMMYFUNCTION("""COMPUTED_VALUE"""),69.0)</f>
        <v>69</v>
      </c>
      <c r="F2161" s="19" t="str">
        <f>IFERROR(__xludf.DUMMYFUNCTION("""COMPUTED_VALUE"""),"BLACK")</f>
        <v>BLACK</v>
      </c>
      <c r="G2161" s="20" t="str">
        <f>IFERROR(__xludf.DUMMYFUNCTION("""COMPUTED_VALUE"""),"Uncle Sams Cider (5/13/2022)")</f>
        <v>Uncle Sams Cider (5/13/2022)</v>
      </c>
      <c r="H2161" s="19"/>
    </row>
    <row r="2162">
      <c r="A2162" s="9"/>
      <c r="B2162" s="15"/>
      <c r="C2162" s="9">
        <f>IFERROR(__xludf.DUMMYFUNCTION("""COMPUTED_VALUE"""),44774.0752825694)</f>
        <v>44774.07528</v>
      </c>
      <c r="D2162" s="15">
        <f>IFERROR(__xludf.DUMMYFUNCTION("""COMPUTED_VALUE"""),1.004)</f>
        <v>1.004</v>
      </c>
      <c r="E2162" s="16">
        <f>IFERROR(__xludf.DUMMYFUNCTION("""COMPUTED_VALUE"""),69.0)</f>
        <v>69</v>
      </c>
      <c r="F2162" s="19" t="str">
        <f>IFERROR(__xludf.DUMMYFUNCTION("""COMPUTED_VALUE"""),"BLACK")</f>
        <v>BLACK</v>
      </c>
      <c r="G2162" s="20" t="str">
        <f>IFERROR(__xludf.DUMMYFUNCTION("""COMPUTED_VALUE"""),"Uncle Sams Cider (5/13/2022)")</f>
        <v>Uncle Sams Cider (5/13/2022)</v>
      </c>
      <c r="H2162" s="19"/>
    </row>
    <row r="2163">
      <c r="A2163" s="9"/>
      <c r="B2163" s="15"/>
      <c r="C2163" s="9">
        <f>IFERROR(__xludf.DUMMYFUNCTION("""COMPUTED_VALUE"""),44774.0648608912)</f>
        <v>44774.06486</v>
      </c>
      <c r="D2163" s="15">
        <f>IFERROR(__xludf.DUMMYFUNCTION("""COMPUTED_VALUE"""),1.004)</f>
        <v>1.004</v>
      </c>
      <c r="E2163" s="16">
        <f>IFERROR(__xludf.DUMMYFUNCTION("""COMPUTED_VALUE"""),69.0)</f>
        <v>69</v>
      </c>
      <c r="F2163" s="19" t="str">
        <f>IFERROR(__xludf.DUMMYFUNCTION("""COMPUTED_VALUE"""),"BLACK")</f>
        <v>BLACK</v>
      </c>
      <c r="G2163" s="20" t="str">
        <f>IFERROR(__xludf.DUMMYFUNCTION("""COMPUTED_VALUE"""),"Uncle Sams Cider (5/13/2022)")</f>
        <v>Uncle Sams Cider (5/13/2022)</v>
      </c>
      <c r="H2163" s="19"/>
    </row>
    <row r="2164">
      <c r="A2164" s="9"/>
      <c r="B2164" s="15"/>
      <c r="C2164" s="9">
        <f>IFERROR(__xludf.DUMMYFUNCTION("""COMPUTED_VALUE"""),44774.0544385069)</f>
        <v>44774.05444</v>
      </c>
      <c r="D2164" s="15">
        <f>IFERROR(__xludf.DUMMYFUNCTION("""COMPUTED_VALUE"""),1.004)</f>
        <v>1.004</v>
      </c>
      <c r="E2164" s="16">
        <f>IFERROR(__xludf.DUMMYFUNCTION("""COMPUTED_VALUE"""),69.0)</f>
        <v>69</v>
      </c>
      <c r="F2164" s="19" t="str">
        <f>IFERROR(__xludf.DUMMYFUNCTION("""COMPUTED_VALUE"""),"BLACK")</f>
        <v>BLACK</v>
      </c>
      <c r="G2164" s="20" t="str">
        <f>IFERROR(__xludf.DUMMYFUNCTION("""COMPUTED_VALUE"""),"Uncle Sams Cider (5/13/2022)")</f>
        <v>Uncle Sams Cider (5/13/2022)</v>
      </c>
      <c r="H2164" s="19"/>
    </row>
    <row r="2165">
      <c r="A2165" s="9"/>
      <c r="B2165" s="15"/>
      <c r="C2165" s="9">
        <f>IFERROR(__xludf.DUMMYFUNCTION("""COMPUTED_VALUE"""),44774.0440181481)</f>
        <v>44774.04402</v>
      </c>
      <c r="D2165" s="15">
        <f>IFERROR(__xludf.DUMMYFUNCTION("""COMPUTED_VALUE"""),1.004)</f>
        <v>1.004</v>
      </c>
      <c r="E2165" s="16">
        <f>IFERROR(__xludf.DUMMYFUNCTION("""COMPUTED_VALUE"""),69.0)</f>
        <v>69</v>
      </c>
      <c r="F2165" s="19" t="str">
        <f>IFERROR(__xludf.DUMMYFUNCTION("""COMPUTED_VALUE"""),"BLACK")</f>
        <v>BLACK</v>
      </c>
      <c r="G2165" s="20" t="str">
        <f>IFERROR(__xludf.DUMMYFUNCTION("""COMPUTED_VALUE"""),"Uncle Sams Cider (5/13/2022)")</f>
        <v>Uncle Sams Cider (5/13/2022)</v>
      </c>
      <c r="H2165" s="19"/>
    </row>
    <row r="2166">
      <c r="A2166" s="9"/>
      <c r="B2166" s="15"/>
      <c r="C2166" s="9">
        <f>IFERROR(__xludf.DUMMYFUNCTION("""COMPUTED_VALUE"""),44774.0335846064)</f>
        <v>44774.03358</v>
      </c>
      <c r="D2166" s="15">
        <f>IFERROR(__xludf.DUMMYFUNCTION("""COMPUTED_VALUE"""),1.004)</f>
        <v>1.004</v>
      </c>
      <c r="E2166" s="16">
        <f>IFERROR(__xludf.DUMMYFUNCTION("""COMPUTED_VALUE"""),69.0)</f>
        <v>69</v>
      </c>
      <c r="F2166" s="19" t="str">
        <f>IFERROR(__xludf.DUMMYFUNCTION("""COMPUTED_VALUE"""),"BLACK")</f>
        <v>BLACK</v>
      </c>
      <c r="G2166" s="20" t="str">
        <f>IFERROR(__xludf.DUMMYFUNCTION("""COMPUTED_VALUE"""),"Uncle Sams Cider (5/13/2022)")</f>
        <v>Uncle Sams Cider (5/13/2022)</v>
      </c>
      <c r="H2166" s="19"/>
    </row>
    <row r="2167">
      <c r="A2167" s="9"/>
      <c r="B2167" s="15"/>
      <c r="C2167" s="9">
        <f>IFERROR(__xludf.DUMMYFUNCTION("""COMPUTED_VALUE"""),44774.0231633217)</f>
        <v>44774.02316</v>
      </c>
      <c r="D2167" s="15">
        <f>IFERROR(__xludf.DUMMYFUNCTION("""COMPUTED_VALUE"""),1.004)</f>
        <v>1.004</v>
      </c>
      <c r="E2167" s="16">
        <f>IFERROR(__xludf.DUMMYFUNCTION("""COMPUTED_VALUE"""),69.0)</f>
        <v>69</v>
      </c>
      <c r="F2167" s="19" t="str">
        <f>IFERROR(__xludf.DUMMYFUNCTION("""COMPUTED_VALUE"""),"BLACK")</f>
        <v>BLACK</v>
      </c>
      <c r="G2167" s="20" t="str">
        <f>IFERROR(__xludf.DUMMYFUNCTION("""COMPUTED_VALUE"""),"Uncle Sams Cider (5/13/2022)")</f>
        <v>Uncle Sams Cider (5/13/2022)</v>
      </c>
      <c r="H2167" s="19"/>
    </row>
    <row r="2168">
      <c r="A2168" s="9"/>
      <c r="B2168" s="15"/>
      <c r="C2168" s="9">
        <f>IFERROR(__xludf.DUMMYFUNCTION("""COMPUTED_VALUE"""),44774.0127419097)</f>
        <v>44774.01274</v>
      </c>
      <c r="D2168" s="15">
        <f>IFERROR(__xludf.DUMMYFUNCTION("""COMPUTED_VALUE"""),1.004)</f>
        <v>1.004</v>
      </c>
      <c r="E2168" s="16">
        <f>IFERROR(__xludf.DUMMYFUNCTION("""COMPUTED_VALUE"""),69.0)</f>
        <v>69</v>
      </c>
      <c r="F2168" s="19" t="str">
        <f>IFERROR(__xludf.DUMMYFUNCTION("""COMPUTED_VALUE"""),"BLACK")</f>
        <v>BLACK</v>
      </c>
      <c r="G2168" s="20" t="str">
        <f>IFERROR(__xludf.DUMMYFUNCTION("""COMPUTED_VALUE"""),"Uncle Sams Cider (5/13/2022)")</f>
        <v>Uncle Sams Cider (5/13/2022)</v>
      </c>
      <c r="H2168" s="19"/>
    </row>
    <row r="2169">
      <c r="A2169" s="9"/>
      <c r="B2169" s="15"/>
      <c r="C2169" s="9">
        <f>IFERROR(__xludf.DUMMYFUNCTION("""COMPUTED_VALUE"""),44774.0023209375)</f>
        <v>44774.00232</v>
      </c>
      <c r="D2169" s="15">
        <f>IFERROR(__xludf.DUMMYFUNCTION("""COMPUTED_VALUE"""),1.004)</f>
        <v>1.004</v>
      </c>
      <c r="E2169" s="16">
        <f>IFERROR(__xludf.DUMMYFUNCTION("""COMPUTED_VALUE"""),69.0)</f>
        <v>69</v>
      </c>
      <c r="F2169" s="19" t="str">
        <f>IFERROR(__xludf.DUMMYFUNCTION("""COMPUTED_VALUE"""),"BLACK")</f>
        <v>BLACK</v>
      </c>
      <c r="G2169" s="20" t="str">
        <f>IFERROR(__xludf.DUMMYFUNCTION("""COMPUTED_VALUE"""),"Uncle Sams Cider (5/13/2022)")</f>
        <v>Uncle Sams Cider (5/13/2022)</v>
      </c>
      <c r="H2169" s="19"/>
    </row>
    <row r="2170">
      <c r="A2170" s="9"/>
      <c r="B2170" s="15"/>
      <c r="C2170" s="9">
        <f>IFERROR(__xludf.DUMMYFUNCTION("""COMPUTED_VALUE"""),44773.9918993518)</f>
        <v>44773.9919</v>
      </c>
      <c r="D2170" s="15">
        <f>IFERROR(__xludf.DUMMYFUNCTION("""COMPUTED_VALUE"""),1.004)</f>
        <v>1.004</v>
      </c>
      <c r="E2170" s="16">
        <f>IFERROR(__xludf.DUMMYFUNCTION("""COMPUTED_VALUE"""),69.0)</f>
        <v>69</v>
      </c>
      <c r="F2170" s="19" t="str">
        <f>IFERROR(__xludf.DUMMYFUNCTION("""COMPUTED_VALUE"""),"BLACK")</f>
        <v>BLACK</v>
      </c>
      <c r="G2170" s="20" t="str">
        <f>IFERROR(__xludf.DUMMYFUNCTION("""COMPUTED_VALUE"""),"Uncle Sams Cider (5/13/2022)")</f>
        <v>Uncle Sams Cider (5/13/2022)</v>
      </c>
      <c r="H2170" s="19"/>
    </row>
    <row r="2171">
      <c r="A2171" s="9"/>
      <c r="B2171" s="15"/>
      <c r="C2171" s="9">
        <f>IFERROR(__xludf.DUMMYFUNCTION("""COMPUTED_VALUE"""),44773.9814667824)</f>
        <v>44773.98147</v>
      </c>
      <c r="D2171" s="15">
        <f>IFERROR(__xludf.DUMMYFUNCTION("""COMPUTED_VALUE"""),1.004)</f>
        <v>1.004</v>
      </c>
      <c r="E2171" s="16">
        <f>IFERROR(__xludf.DUMMYFUNCTION("""COMPUTED_VALUE"""),69.0)</f>
        <v>69</v>
      </c>
      <c r="F2171" s="19" t="str">
        <f>IFERROR(__xludf.DUMMYFUNCTION("""COMPUTED_VALUE"""),"BLACK")</f>
        <v>BLACK</v>
      </c>
      <c r="G2171" s="20" t="str">
        <f>IFERROR(__xludf.DUMMYFUNCTION("""COMPUTED_VALUE"""),"Uncle Sams Cider (5/13/2022)")</f>
        <v>Uncle Sams Cider (5/13/2022)</v>
      </c>
      <c r="H2171" s="19"/>
    </row>
    <row r="2172">
      <c r="A2172" s="9"/>
      <c r="B2172" s="15"/>
      <c r="C2172" s="9">
        <f>IFERROR(__xludf.DUMMYFUNCTION("""COMPUTED_VALUE"""),44773.971047581)</f>
        <v>44773.97105</v>
      </c>
      <c r="D2172" s="15">
        <f>IFERROR(__xludf.DUMMYFUNCTION("""COMPUTED_VALUE"""),1.004)</f>
        <v>1.004</v>
      </c>
      <c r="E2172" s="16">
        <f>IFERROR(__xludf.DUMMYFUNCTION("""COMPUTED_VALUE"""),69.0)</f>
        <v>69</v>
      </c>
      <c r="F2172" s="19" t="str">
        <f>IFERROR(__xludf.DUMMYFUNCTION("""COMPUTED_VALUE"""),"BLACK")</f>
        <v>BLACK</v>
      </c>
      <c r="G2172" s="20" t="str">
        <f>IFERROR(__xludf.DUMMYFUNCTION("""COMPUTED_VALUE"""),"Uncle Sams Cider (5/13/2022)")</f>
        <v>Uncle Sams Cider (5/13/2022)</v>
      </c>
      <c r="H2172" s="19"/>
    </row>
    <row r="2173">
      <c r="A2173" s="9"/>
      <c r="B2173" s="15"/>
      <c r="C2173" s="9">
        <f>IFERROR(__xludf.DUMMYFUNCTION("""COMPUTED_VALUE"""),44773.960614074)</f>
        <v>44773.96061</v>
      </c>
      <c r="D2173" s="15">
        <f>IFERROR(__xludf.DUMMYFUNCTION("""COMPUTED_VALUE"""),1.004)</f>
        <v>1.004</v>
      </c>
      <c r="E2173" s="16">
        <f>IFERROR(__xludf.DUMMYFUNCTION("""COMPUTED_VALUE"""),69.0)</f>
        <v>69</v>
      </c>
      <c r="F2173" s="19" t="str">
        <f>IFERROR(__xludf.DUMMYFUNCTION("""COMPUTED_VALUE"""),"BLACK")</f>
        <v>BLACK</v>
      </c>
      <c r="G2173" s="20" t="str">
        <f>IFERROR(__xludf.DUMMYFUNCTION("""COMPUTED_VALUE"""),"Uncle Sams Cider (5/13/2022)")</f>
        <v>Uncle Sams Cider (5/13/2022)</v>
      </c>
      <c r="H2173" s="19"/>
    </row>
    <row r="2174">
      <c r="A2174" s="9"/>
      <c r="B2174" s="15"/>
      <c r="C2174" s="9">
        <f>IFERROR(__xludf.DUMMYFUNCTION("""COMPUTED_VALUE"""),44773.9501929051)</f>
        <v>44773.95019</v>
      </c>
      <c r="D2174" s="15">
        <f>IFERROR(__xludf.DUMMYFUNCTION("""COMPUTED_VALUE"""),1.004)</f>
        <v>1.004</v>
      </c>
      <c r="E2174" s="16">
        <f>IFERROR(__xludf.DUMMYFUNCTION("""COMPUTED_VALUE"""),69.0)</f>
        <v>69</v>
      </c>
      <c r="F2174" s="19" t="str">
        <f>IFERROR(__xludf.DUMMYFUNCTION("""COMPUTED_VALUE"""),"BLACK")</f>
        <v>BLACK</v>
      </c>
      <c r="G2174" s="20" t="str">
        <f>IFERROR(__xludf.DUMMYFUNCTION("""COMPUTED_VALUE"""),"Uncle Sams Cider (5/13/2022)")</f>
        <v>Uncle Sams Cider (5/13/2022)</v>
      </c>
      <c r="H2174" s="19"/>
    </row>
    <row r="2175">
      <c r="A2175" s="9"/>
      <c r="B2175" s="15"/>
      <c r="C2175" s="9">
        <f>IFERROR(__xludf.DUMMYFUNCTION("""COMPUTED_VALUE"""),44773.9397718518)</f>
        <v>44773.93977</v>
      </c>
      <c r="D2175" s="15">
        <f>IFERROR(__xludf.DUMMYFUNCTION("""COMPUTED_VALUE"""),1.004)</f>
        <v>1.004</v>
      </c>
      <c r="E2175" s="16">
        <f>IFERROR(__xludf.DUMMYFUNCTION("""COMPUTED_VALUE"""),69.0)</f>
        <v>69</v>
      </c>
      <c r="F2175" s="19" t="str">
        <f>IFERROR(__xludf.DUMMYFUNCTION("""COMPUTED_VALUE"""),"BLACK")</f>
        <v>BLACK</v>
      </c>
      <c r="G2175" s="20" t="str">
        <f>IFERROR(__xludf.DUMMYFUNCTION("""COMPUTED_VALUE"""),"Uncle Sams Cider (5/13/2022)")</f>
        <v>Uncle Sams Cider (5/13/2022)</v>
      </c>
      <c r="H2175" s="19"/>
    </row>
    <row r="2176">
      <c r="A2176" s="9"/>
      <c r="B2176" s="15"/>
      <c r="C2176" s="9">
        <f>IFERROR(__xludf.DUMMYFUNCTION("""COMPUTED_VALUE"""),44773.9293527893)</f>
        <v>44773.92935</v>
      </c>
      <c r="D2176" s="15">
        <f>IFERROR(__xludf.DUMMYFUNCTION("""COMPUTED_VALUE"""),1.004)</f>
        <v>1.004</v>
      </c>
      <c r="E2176" s="16">
        <f>IFERROR(__xludf.DUMMYFUNCTION("""COMPUTED_VALUE"""),69.0)</f>
        <v>69</v>
      </c>
      <c r="F2176" s="19" t="str">
        <f>IFERROR(__xludf.DUMMYFUNCTION("""COMPUTED_VALUE"""),"BLACK")</f>
        <v>BLACK</v>
      </c>
      <c r="G2176" s="20" t="str">
        <f>IFERROR(__xludf.DUMMYFUNCTION("""COMPUTED_VALUE"""),"Uncle Sams Cider (5/13/2022)")</f>
        <v>Uncle Sams Cider (5/13/2022)</v>
      </c>
      <c r="H2176" s="19"/>
    </row>
    <row r="2177">
      <c r="A2177" s="9"/>
      <c r="B2177" s="15"/>
      <c r="C2177" s="9">
        <f>IFERROR(__xludf.DUMMYFUNCTION("""COMPUTED_VALUE"""),44773.918930949)</f>
        <v>44773.91893</v>
      </c>
      <c r="D2177" s="15">
        <f>IFERROR(__xludf.DUMMYFUNCTION("""COMPUTED_VALUE"""),1.004)</f>
        <v>1.004</v>
      </c>
      <c r="E2177" s="16">
        <f>IFERROR(__xludf.DUMMYFUNCTION("""COMPUTED_VALUE"""),69.0)</f>
        <v>69</v>
      </c>
      <c r="F2177" s="19" t="str">
        <f>IFERROR(__xludf.DUMMYFUNCTION("""COMPUTED_VALUE"""),"BLACK")</f>
        <v>BLACK</v>
      </c>
      <c r="G2177" s="20" t="str">
        <f>IFERROR(__xludf.DUMMYFUNCTION("""COMPUTED_VALUE"""),"Uncle Sams Cider (5/13/2022)")</f>
        <v>Uncle Sams Cider (5/13/2022)</v>
      </c>
      <c r="H2177" s="19"/>
    </row>
    <row r="2178">
      <c r="A2178" s="9"/>
      <c r="B2178" s="15"/>
      <c r="C2178" s="9">
        <f>IFERROR(__xludf.DUMMYFUNCTION("""COMPUTED_VALUE"""),44773.9085075231)</f>
        <v>44773.90851</v>
      </c>
      <c r="D2178" s="15">
        <f>IFERROR(__xludf.DUMMYFUNCTION("""COMPUTED_VALUE"""),1.004)</f>
        <v>1.004</v>
      </c>
      <c r="E2178" s="16">
        <f>IFERROR(__xludf.DUMMYFUNCTION("""COMPUTED_VALUE"""),69.0)</f>
        <v>69</v>
      </c>
      <c r="F2178" s="19" t="str">
        <f>IFERROR(__xludf.DUMMYFUNCTION("""COMPUTED_VALUE"""),"BLACK")</f>
        <v>BLACK</v>
      </c>
      <c r="G2178" s="20" t="str">
        <f>IFERROR(__xludf.DUMMYFUNCTION("""COMPUTED_VALUE"""),"Uncle Sams Cider (5/13/2022)")</f>
        <v>Uncle Sams Cider (5/13/2022)</v>
      </c>
      <c r="H2178" s="19"/>
    </row>
    <row r="2179">
      <c r="A2179" s="9"/>
      <c r="B2179" s="15"/>
      <c r="C2179" s="9">
        <f>IFERROR(__xludf.DUMMYFUNCTION("""COMPUTED_VALUE"""),44773.8980738078)</f>
        <v>44773.89807</v>
      </c>
      <c r="D2179" s="15">
        <f>IFERROR(__xludf.DUMMYFUNCTION("""COMPUTED_VALUE"""),1.004)</f>
        <v>1.004</v>
      </c>
      <c r="E2179" s="16">
        <f>IFERROR(__xludf.DUMMYFUNCTION("""COMPUTED_VALUE"""),69.0)</f>
        <v>69</v>
      </c>
      <c r="F2179" s="19" t="str">
        <f>IFERROR(__xludf.DUMMYFUNCTION("""COMPUTED_VALUE"""),"BLACK")</f>
        <v>BLACK</v>
      </c>
      <c r="G2179" s="20" t="str">
        <f>IFERROR(__xludf.DUMMYFUNCTION("""COMPUTED_VALUE"""),"Uncle Sams Cider (5/13/2022)")</f>
        <v>Uncle Sams Cider (5/13/2022)</v>
      </c>
      <c r="H2179" s="19"/>
    </row>
    <row r="2180">
      <c r="A2180" s="9"/>
      <c r="B2180" s="15"/>
      <c r="C2180" s="9">
        <f>IFERROR(__xludf.DUMMYFUNCTION("""COMPUTED_VALUE"""),44773.887630625)</f>
        <v>44773.88763</v>
      </c>
      <c r="D2180" s="15">
        <f>IFERROR(__xludf.DUMMYFUNCTION("""COMPUTED_VALUE"""),1.004)</f>
        <v>1.004</v>
      </c>
      <c r="E2180" s="16">
        <f>IFERROR(__xludf.DUMMYFUNCTION("""COMPUTED_VALUE"""),69.0)</f>
        <v>69</v>
      </c>
      <c r="F2180" s="19" t="str">
        <f>IFERROR(__xludf.DUMMYFUNCTION("""COMPUTED_VALUE"""),"BLACK")</f>
        <v>BLACK</v>
      </c>
      <c r="G2180" s="20" t="str">
        <f>IFERROR(__xludf.DUMMYFUNCTION("""COMPUTED_VALUE"""),"Uncle Sams Cider (5/13/2022)")</f>
        <v>Uncle Sams Cider (5/13/2022)</v>
      </c>
      <c r="H2180" s="19"/>
    </row>
    <row r="2181">
      <c r="A2181" s="9"/>
      <c r="B2181" s="15"/>
      <c r="C2181" s="9">
        <f>IFERROR(__xludf.DUMMYFUNCTION("""COMPUTED_VALUE"""),44773.8772082175)</f>
        <v>44773.87721</v>
      </c>
      <c r="D2181" s="15">
        <f>IFERROR(__xludf.DUMMYFUNCTION("""COMPUTED_VALUE"""),1.004)</f>
        <v>1.004</v>
      </c>
      <c r="E2181" s="16">
        <f>IFERROR(__xludf.DUMMYFUNCTION("""COMPUTED_VALUE"""),69.0)</f>
        <v>69</v>
      </c>
      <c r="F2181" s="19" t="str">
        <f>IFERROR(__xludf.DUMMYFUNCTION("""COMPUTED_VALUE"""),"BLACK")</f>
        <v>BLACK</v>
      </c>
      <c r="G2181" s="20" t="str">
        <f>IFERROR(__xludf.DUMMYFUNCTION("""COMPUTED_VALUE"""),"Uncle Sams Cider (5/13/2022)")</f>
        <v>Uncle Sams Cider (5/13/2022)</v>
      </c>
      <c r="H2181" s="19"/>
    </row>
    <row r="2182">
      <c r="A2182" s="9"/>
      <c r="B2182" s="15"/>
      <c r="C2182" s="9">
        <f>IFERROR(__xludf.DUMMYFUNCTION("""COMPUTED_VALUE"""),44773.8667868865)</f>
        <v>44773.86679</v>
      </c>
      <c r="D2182" s="15">
        <f>IFERROR(__xludf.DUMMYFUNCTION("""COMPUTED_VALUE"""),1.004)</f>
        <v>1.004</v>
      </c>
      <c r="E2182" s="16">
        <f>IFERROR(__xludf.DUMMYFUNCTION("""COMPUTED_VALUE"""),69.0)</f>
        <v>69</v>
      </c>
      <c r="F2182" s="19" t="str">
        <f>IFERROR(__xludf.DUMMYFUNCTION("""COMPUTED_VALUE"""),"BLACK")</f>
        <v>BLACK</v>
      </c>
      <c r="G2182" s="20" t="str">
        <f>IFERROR(__xludf.DUMMYFUNCTION("""COMPUTED_VALUE"""),"Uncle Sams Cider (5/13/2022)")</f>
        <v>Uncle Sams Cider (5/13/2022)</v>
      </c>
      <c r="H2182" s="19"/>
    </row>
    <row r="2183">
      <c r="A2183" s="9"/>
      <c r="B2183" s="15"/>
      <c r="C2183" s="9">
        <f>IFERROR(__xludf.DUMMYFUNCTION("""COMPUTED_VALUE"""),44773.8563661458)</f>
        <v>44773.85637</v>
      </c>
      <c r="D2183" s="15">
        <f>IFERROR(__xludf.DUMMYFUNCTION("""COMPUTED_VALUE"""),1.004)</f>
        <v>1.004</v>
      </c>
      <c r="E2183" s="16">
        <f>IFERROR(__xludf.DUMMYFUNCTION("""COMPUTED_VALUE"""),69.0)</f>
        <v>69</v>
      </c>
      <c r="F2183" s="19" t="str">
        <f>IFERROR(__xludf.DUMMYFUNCTION("""COMPUTED_VALUE"""),"BLACK")</f>
        <v>BLACK</v>
      </c>
      <c r="G2183" s="20" t="str">
        <f>IFERROR(__xludf.DUMMYFUNCTION("""COMPUTED_VALUE"""),"Uncle Sams Cider (5/13/2022)")</f>
        <v>Uncle Sams Cider (5/13/2022)</v>
      </c>
      <c r="H2183" s="19"/>
    </row>
    <row r="2184">
      <c r="A2184" s="9"/>
      <c r="B2184" s="15"/>
      <c r="C2184" s="9">
        <f>IFERROR(__xludf.DUMMYFUNCTION("""COMPUTED_VALUE"""),44773.8459442592)</f>
        <v>44773.84594</v>
      </c>
      <c r="D2184" s="15">
        <f>IFERROR(__xludf.DUMMYFUNCTION("""COMPUTED_VALUE"""),1.004)</f>
        <v>1.004</v>
      </c>
      <c r="E2184" s="16">
        <f>IFERROR(__xludf.DUMMYFUNCTION("""COMPUTED_VALUE"""),69.0)</f>
        <v>69</v>
      </c>
      <c r="F2184" s="19" t="str">
        <f>IFERROR(__xludf.DUMMYFUNCTION("""COMPUTED_VALUE"""),"BLACK")</f>
        <v>BLACK</v>
      </c>
      <c r="G2184" s="20" t="str">
        <f>IFERROR(__xludf.DUMMYFUNCTION("""COMPUTED_VALUE"""),"Uncle Sams Cider (5/13/2022)")</f>
        <v>Uncle Sams Cider (5/13/2022)</v>
      </c>
      <c r="H2184" s="19"/>
    </row>
    <row r="2185">
      <c r="A2185" s="9"/>
      <c r="B2185" s="15"/>
      <c r="C2185" s="9">
        <f>IFERROR(__xludf.DUMMYFUNCTION("""COMPUTED_VALUE"""),44773.8355236805)</f>
        <v>44773.83552</v>
      </c>
      <c r="D2185" s="15">
        <f>IFERROR(__xludf.DUMMYFUNCTION("""COMPUTED_VALUE"""),1.004)</f>
        <v>1.004</v>
      </c>
      <c r="E2185" s="16">
        <f>IFERROR(__xludf.DUMMYFUNCTION("""COMPUTED_VALUE"""),69.0)</f>
        <v>69</v>
      </c>
      <c r="F2185" s="19" t="str">
        <f>IFERROR(__xludf.DUMMYFUNCTION("""COMPUTED_VALUE"""),"BLACK")</f>
        <v>BLACK</v>
      </c>
      <c r="G2185" s="20" t="str">
        <f>IFERROR(__xludf.DUMMYFUNCTION("""COMPUTED_VALUE"""),"Uncle Sams Cider (5/13/2022)")</f>
        <v>Uncle Sams Cider (5/13/2022)</v>
      </c>
      <c r="H2185" s="19"/>
    </row>
    <row r="2186">
      <c r="A2186" s="9"/>
      <c r="B2186" s="15"/>
      <c r="C2186" s="9">
        <f>IFERROR(__xludf.DUMMYFUNCTION("""COMPUTED_VALUE"""),44773.8251011226)</f>
        <v>44773.8251</v>
      </c>
      <c r="D2186" s="15">
        <f>IFERROR(__xludf.DUMMYFUNCTION("""COMPUTED_VALUE"""),1.004)</f>
        <v>1.004</v>
      </c>
      <c r="E2186" s="16">
        <f>IFERROR(__xludf.DUMMYFUNCTION("""COMPUTED_VALUE"""),69.0)</f>
        <v>69</v>
      </c>
      <c r="F2186" s="19" t="str">
        <f>IFERROR(__xludf.DUMMYFUNCTION("""COMPUTED_VALUE"""),"BLACK")</f>
        <v>BLACK</v>
      </c>
      <c r="G2186" s="20" t="str">
        <f>IFERROR(__xludf.DUMMYFUNCTION("""COMPUTED_VALUE"""),"Uncle Sams Cider (5/13/2022)")</f>
        <v>Uncle Sams Cider (5/13/2022)</v>
      </c>
      <c r="H2186" s="19"/>
    </row>
    <row r="2187">
      <c r="A2187" s="9"/>
      <c r="B2187" s="15"/>
      <c r="C2187" s="9">
        <f>IFERROR(__xludf.DUMMYFUNCTION("""COMPUTED_VALUE"""),44773.8146798263)</f>
        <v>44773.81468</v>
      </c>
      <c r="D2187" s="15">
        <f>IFERROR(__xludf.DUMMYFUNCTION("""COMPUTED_VALUE"""),1.004)</f>
        <v>1.004</v>
      </c>
      <c r="E2187" s="16">
        <f>IFERROR(__xludf.DUMMYFUNCTION("""COMPUTED_VALUE"""),69.0)</f>
        <v>69</v>
      </c>
      <c r="F2187" s="19" t="str">
        <f>IFERROR(__xludf.DUMMYFUNCTION("""COMPUTED_VALUE"""),"BLACK")</f>
        <v>BLACK</v>
      </c>
      <c r="G2187" s="20" t="str">
        <f>IFERROR(__xludf.DUMMYFUNCTION("""COMPUTED_VALUE"""),"Uncle Sams Cider (5/13/2022)")</f>
        <v>Uncle Sams Cider (5/13/2022)</v>
      </c>
      <c r="H2187" s="19"/>
    </row>
    <row r="2188">
      <c r="A2188" s="9"/>
      <c r="B2188" s="15"/>
      <c r="C2188" s="9">
        <f>IFERROR(__xludf.DUMMYFUNCTION("""COMPUTED_VALUE"""),44773.8042601273)</f>
        <v>44773.80426</v>
      </c>
      <c r="D2188" s="15">
        <f>IFERROR(__xludf.DUMMYFUNCTION("""COMPUTED_VALUE"""),1.004)</f>
        <v>1.004</v>
      </c>
      <c r="E2188" s="16">
        <f>IFERROR(__xludf.DUMMYFUNCTION("""COMPUTED_VALUE"""),69.0)</f>
        <v>69</v>
      </c>
      <c r="F2188" s="19" t="str">
        <f>IFERROR(__xludf.DUMMYFUNCTION("""COMPUTED_VALUE"""),"BLACK")</f>
        <v>BLACK</v>
      </c>
      <c r="G2188" s="20" t="str">
        <f>IFERROR(__xludf.DUMMYFUNCTION("""COMPUTED_VALUE"""),"Uncle Sams Cider (5/13/2022)")</f>
        <v>Uncle Sams Cider (5/13/2022)</v>
      </c>
      <c r="H2188" s="19"/>
    </row>
    <row r="2189">
      <c r="A2189" s="9"/>
      <c r="B2189" s="15"/>
      <c r="C2189" s="9">
        <f>IFERROR(__xludf.DUMMYFUNCTION("""COMPUTED_VALUE"""),44773.7938386574)</f>
        <v>44773.79384</v>
      </c>
      <c r="D2189" s="15">
        <f>IFERROR(__xludf.DUMMYFUNCTION("""COMPUTED_VALUE"""),1.004)</f>
        <v>1.004</v>
      </c>
      <c r="E2189" s="16">
        <f>IFERROR(__xludf.DUMMYFUNCTION("""COMPUTED_VALUE"""),69.0)</f>
        <v>69</v>
      </c>
      <c r="F2189" s="19" t="str">
        <f>IFERROR(__xludf.DUMMYFUNCTION("""COMPUTED_VALUE"""),"BLACK")</f>
        <v>BLACK</v>
      </c>
      <c r="G2189" s="20" t="str">
        <f>IFERROR(__xludf.DUMMYFUNCTION("""COMPUTED_VALUE"""),"Uncle Sams Cider (5/13/2022)")</f>
        <v>Uncle Sams Cider (5/13/2022)</v>
      </c>
      <c r="H2189" s="19"/>
    </row>
    <row r="2190">
      <c r="A2190" s="9"/>
      <c r="B2190" s="15"/>
      <c r="C2190" s="9">
        <f>IFERROR(__xludf.DUMMYFUNCTION("""COMPUTED_VALUE"""),44773.7834165856)</f>
        <v>44773.78342</v>
      </c>
      <c r="D2190" s="15">
        <f>IFERROR(__xludf.DUMMYFUNCTION("""COMPUTED_VALUE"""),1.004)</f>
        <v>1.004</v>
      </c>
      <c r="E2190" s="16">
        <f>IFERROR(__xludf.DUMMYFUNCTION("""COMPUTED_VALUE"""),69.0)</f>
        <v>69</v>
      </c>
      <c r="F2190" s="19" t="str">
        <f>IFERROR(__xludf.DUMMYFUNCTION("""COMPUTED_VALUE"""),"BLACK")</f>
        <v>BLACK</v>
      </c>
      <c r="G2190" s="20" t="str">
        <f>IFERROR(__xludf.DUMMYFUNCTION("""COMPUTED_VALUE"""),"Uncle Sams Cider (5/13/2022)")</f>
        <v>Uncle Sams Cider (5/13/2022)</v>
      </c>
      <c r="H2190" s="19"/>
    </row>
    <row r="2191">
      <c r="A2191" s="9"/>
      <c r="B2191" s="15"/>
      <c r="C2191" s="9">
        <f>IFERROR(__xludf.DUMMYFUNCTION("""COMPUTED_VALUE"""),44773.7729821643)</f>
        <v>44773.77298</v>
      </c>
      <c r="D2191" s="15">
        <f>IFERROR(__xludf.DUMMYFUNCTION("""COMPUTED_VALUE"""),1.004)</f>
        <v>1.004</v>
      </c>
      <c r="E2191" s="16">
        <f>IFERROR(__xludf.DUMMYFUNCTION("""COMPUTED_VALUE"""),69.0)</f>
        <v>69</v>
      </c>
      <c r="F2191" s="19" t="str">
        <f>IFERROR(__xludf.DUMMYFUNCTION("""COMPUTED_VALUE"""),"BLACK")</f>
        <v>BLACK</v>
      </c>
      <c r="G2191" s="20" t="str">
        <f>IFERROR(__xludf.DUMMYFUNCTION("""COMPUTED_VALUE"""),"Uncle Sams Cider (5/13/2022)")</f>
        <v>Uncle Sams Cider (5/13/2022)</v>
      </c>
      <c r="H2191" s="19"/>
    </row>
    <row r="2192">
      <c r="A2192" s="9"/>
      <c r="B2192" s="15"/>
      <c r="C2192" s="9">
        <f>IFERROR(__xludf.DUMMYFUNCTION("""COMPUTED_VALUE"""),44773.7711086805)</f>
        <v>44773.77111</v>
      </c>
      <c r="D2192" s="15">
        <f>IFERROR(__xludf.DUMMYFUNCTION("""COMPUTED_VALUE"""),1.004)</f>
        <v>1.004</v>
      </c>
      <c r="E2192" s="16">
        <f>IFERROR(__xludf.DUMMYFUNCTION("""COMPUTED_VALUE"""),69.0)</f>
        <v>69</v>
      </c>
      <c r="F2192" s="19" t="str">
        <f>IFERROR(__xludf.DUMMYFUNCTION("""COMPUTED_VALUE"""),"BLACK")</f>
        <v>BLACK</v>
      </c>
      <c r="G2192" s="20" t="str">
        <f>IFERROR(__xludf.DUMMYFUNCTION("""COMPUTED_VALUE"""),"Uncle Sams Cider (5/13/2022)")</f>
        <v>Uncle Sams Cider (5/13/2022)</v>
      </c>
      <c r="H2192" s="19"/>
    </row>
    <row r="2193">
      <c r="A2193" s="9"/>
      <c r="B2193" s="15"/>
      <c r="C2193" s="9">
        <f>IFERROR(__xludf.DUMMYFUNCTION("""COMPUTED_VALUE"""),44773.762544699)</f>
        <v>44773.76254</v>
      </c>
      <c r="D2193" s="15">
        <f>IFERROR(__xludf.DUMMYFUNCTION("""COMPUTED_VALUE"""),1.004)</f>
        <v>1.004</v>
      </c>
      <c r="E2193" s="16">
        <f>IFERROR(__xludf.DUMMYFUNCTION("""COMPUTED_VALUE"""),69.0)</f>
        <v>69</v>
      </c>
      <c r="F2193" s="19" t="str">
        <f>IFERROR(__xludf.DUMMYFUNCTION("""COMPUTED_VALUE"""),"BLACK")</f>
        <v>BLACK</v>
      </c>
      <c r="G2193" s="20" t="str">
        <f>IFERROR(__xludf.DUMMYFUNCTION("""COMPUTED_VALUE"""),"Uncle Sams Cider (5/13/2022)")</f>
        <v>Uncle Sams Cider (5/13/2022)</v>
      </c>
      <c r="H2193" s="19"/>
    </row>
    <row r="2194">
      <c r="A2194" s="9"/>
      <c r="B2194" s="15"/>
      <c r="C2194" s="9">
        <f>IFERROR(__xludf.DUMMYFUNCTION("""COMPUTED_VALUE"""),44773.7606861226)</f>
        <v>44773.76069</v>
      </c>
      <c r="D2194" s="15">
        <f>IFERROR(__xludf.DUMMYFUNCTION("""COMPUTED_VALUE"""),1.004)</f>
        <v>1.004</v>
      </c>
      <c r="E2194" s="16">
        <f>IFERROR(__xludf.DUMMYFUNCTION("""COMPUTED_VALUE"""),69.0)</f>
        <v>69</v>
      </c>
      <c r="F2194" s="19" t="str">
        <f>IFERROR(__xludf.DUMMYFUNCTION("""COMPUTED_VALUE"""),"BLACK")</f>
        <v>BLACK</v>
      </c>
      <c r="G2194" s="20" t="str">
        <f>IFERROR(__xludf.DUMMYFUNCTION("""COMPUTED_VALUE"""),"Uncle Sams Cider (5/13/2022)")</f>
        <v>Uncle Sams Cider (5/13/2022)</v>
      </c>
      <c r="H2194" s="19"/>
    </row>
    <row r="2195">
      <c r="A2195" s="9"/>
      <c r="B2195" s="15"/>
      <c r="C2195" s="9">
        <f>IFERROR(__xludf.DUMMYFUNCTION("""COMPUTED_VALUE"""),44773.7502648379)</f>
        <v>44773.75026</v>
      </c>
      <c r="D2195" s="15">
        <f>IFERROR(__xludf.DUMMYFUNCTION("""COMPUTED_VALUE"""),1.004)</f>
        <v>1.004</v>
      </c>
      <c r="E2195" s="16">
        <f>IFERROR(__xludf.DUMMYFUNCTION("""COMPUTED_VALUE"""),69.0)</f>
        <v>69</v>
      </c>
      <c r="F2195" s="19" t="str">
        <f>IFERROR(__xludf.DUMMYFUNCTION("""COMPUTED_VALUE"""),"BLACK")</f>
        <v>BLACK</v>
      </c>
      <c r="G2195" s="20" t="str">
        <f>IFERROR(__xludf.DUMMYFUNCTION("""COMPUTED_VALUE"""),"Uncle Sams Cider (5/13/2022)")</f>
        <v>Uncle Sams Cider (5/13/2022)</v>
      </c>
      <c r="H2195" s="19"/>
    </row>
    <row r="2196">
      <c r="A2196" s="9"/>
      <c r="B2196" s="15"/>
      <c r="C2196" s="9">
        <f>IFERROR(__xludf.DUMMYFUNCTION("""COMPUTED_VALUE"""),44773.7398437731)</f>
        <v>44773.73984</v>
      </c>
      <c r="D2196" s="15">
        <f>IFERROR(__xludf.DUMMYFUNCTION("""COMPUTED_VALUE"""),1.004)</f>
        <v>1.004</v>
      </c>
      <c r="E2196" s="16">
        <f>IFERROR(__xludf.DUMMYFUNCTION("""COMPUTED_VALUE"""),69.0)</f>
        <v>69</v>
      </c>
      <c r="F2196" s="19" t="str">
        <f>IFERROR(__xludf.DUMMYFUNCTION("""COMPUTED_VALUE"""),"BLACK")</f>
        <v>BLACK</v>
      </c>
      <c r="G2196" s="20" t="str">
        <f>IFERROR(__xludf.DUMMYFUNCTION("""COMPUTED_VALUE"""),"Uncle Sams Cider (5/13/2022)")</f>
        <v>Uncle Sams Cider (5/13/2022)</v>
      </c>
      <c r="H2196" s="19"/>
    </row>
    <row r="2197">
      <c r="A2197" s="9"/>
      <c r="B2197" s="15"/>
      <c r="C2197" s="9">
        <f>IFERROR(__xludf.DUMMYFUNCTION("""COMPUTED_VALUE"""),44773.7294237384)</f>
        <v>44773.72942</v>
      </c>
      <c r="D2197" s="15">
        <f>IFERROR(__xludf.DUMMYFUNCTION("""COMPUTED_VALUE"""),1.004)</f>
        <v>1.004</v>
      </c>
      <c r="E2197" s="16">
        <f>IFERROR(__xludf.DUMMYFUNCTION("""COMPUTED_VALUE"""),69.0)</f>
        <v>69</v>
      </c>
      <c r="F2197" s="19" t="str">
        <f>IFERROR(__xludf.DUMMYFUNCTION("""COMPUTED_VALUE"""),"BLACK")</f>
        <v>BLACK</v>
      </c>
      <c r="G2197" s="20" t="str">
        <f>IFERROR(__xludf.DUMMYFUNCTION("""COMPUTED_VALUE"""),"Uncle Sams Cider (5/13/2022)")</f>
        <v>Uncle Sams Cider (5/13/2022)</v>
      </c>
      <c r="H2197" s="19"/>
    </row>
    <row r="2198">
      <c r="A2198" s="9"/>
      <c r="B2198" s="15"/>
      <c r="C2198" s="9">
        <f>IFERROR(__xludf.DUMMYFUNCTION("""COMPUTED_VALUE"""),44773.7190026157)</f>
        <v>44773.719</v>
      </c>
      <c r="D2198" s="15">
        <f>IFERROR(__xludf.DUMMYFUNCTION("""COMPUTED_VALUE"""),1.004)</f>
        <v>1.004</v>
      </c>
      <c r="E2198" s="16">
        <f>IFERROR(__xludf.DUMMYFUNCTION("""COMPUTED_VALUE"""),69.0)</f>
        <v>69</v>
      </c>
      <c r="F2198" s="19" t="str">
        <f>IFERROR(__xludf.DUMMYFUNCTION("""COMPUTED_VALUE"""),"BLACK")</f>
        <v>BLACK</v>
      </c>
      <c r="G2198" s="20" t="str">
        <f>IFERROR(__xludf.DUMMYFUNCTION("""COMPUTED_VALUE"""),"Uncle Sams Cider (5/13/2022)")</f>
        <v>Uncle Sams Cider (5/13/2022)</v>
      </c>
      <c r="H2198" s="19"/>
    </row>
    <row r="2199">
      <c r="A2199" s="9"/>
      <c r="B2199" s="15"/>
      <c r="C2199" s="9">
        <f>IFERROR(__xludf.DUMMYFUNCTION("""COMPUTED_VALUE"""),44773.7085808333)</f>
        <v>44773.70858</v>
      </c>
      <c r="D2199" s="15">
        <f>IFERROR(__xludf.DUMMYFUNCTION("""COMPUTED_VALUE"""),1.004)</f>
        <v>1.004</v>
      </c>
      <c r="E2199" s="16">
        <f>IFERROR(__xludf.DUMMYFUNCTION("""COMPUTED_VALUE"""),69.0)</f>
        <v>69</v>
      </c>
      <c r="F2199" s="19" t="str">
        <f>IFERROR(__xludf.DUMMYFUNCTION("""COMPUTED_VALUE"""),"BLACK")</f>
        <v>BLACK</v>
      </c>
      <c r="G2199" s="20" t="str">
        <f>IFERROR(__xludf.DUMMYFUNCTION("""COMPUTED_VALUE"""),"Uncle Sams Cider (5/13/2022)")</f>
        <v>Uncle Sams Cider (5/13/2022)</v>
      </c>
      <c r="H2199" s="19"/>
    </row>
    <row r="2200">
      <c r="A2200" s="9"/>
      <c r="B2200" s="15"/>
      <c r="C2200" s="9">
        <f>IFERROR(__xludf.DUMMYFUNCTION("""COMPUTED_VALUE"""),44773.6981589236)</f>
        <v>44773.69816</v>
      </c>
      <c r="D2200" s="15">
        <f>IFERROR(__xludf.DUMMYFUNCTION("""COMPUTED_VALUE"""),1.004)</f>
        <v>1.004</v>
      </c>
      <c r="E2200" s="16">
        <f>IFERROR(__xludf.DUMMYFUNCTION("""COMPUTED_VALUE"""),69.0)</f>
        <v>69</v>
      </c>
      <c r="F2200" s="19" t="str">
        <f>IFERROR(__xludf.DUMMYFUNCTION("""COMPUTED_VALUE"""),"BLACK")</f>
        <v>BLACK</v>
      </c>
      <c r="G2200" s="20" t="str">
        <f>IFERROR(__xludf.DUMMYFUNCTION("""COMPUTED_VALUE"""),"Uncle Sams Cider (5/13/2022)")</f>
        <v>Uncle Sams Cider (5/13/2022)</v>
      </c>
      <c r="H2200" s="19"/>
    </row>
    <row r="2201">
      <c r="A2201" s="9"/>
      <c r="B2201" s="15"/>
      <c r="C2201" s="9">
        <f>IFERROR(__xludf.DUMMYFUNCTION("""COMPUTED_VALUE"""),44773.6877376388)</f>
        <v>44773.68774</v>
      </c>
      <c r="D2201" s="15">
        <f>IFERROR(__xludf.DUMMYFUNCTION("""COMPUTED_VALUE"""),1.004)</f>
        <v>1.004</v>
      </c>
      <c r="E2201" s="16">
        <f>IFERROR(__xludf.DUMMYFUNCTION("""COMPUTED_VALUE"""),69.0)</f>
        <v>69</v>
      </c>
      <c r="F2201" s="19" t="str">
        <f>IFERROR(__xludf.DUMMYFUNCTION("""COMPUTED_VALUE"""),"BLACK")</f>
        <v>BLACK</v>
      </c>
      <c r="G2201" s="20" t="str">
        <f>IFERROR(__xludf.DUMMYFUNCTION("""COMPUTED_VALUE"""),"Uncle Sams Cider (5/13/2022)")</f>
        <v>Uncle Sams Cider (5/13/2022)</v>
      </c>
      <c r="H2201" s="19"/>
    </row>
    <row r="2202">
      <c r="A2202" s="9"/>
      <c r="B2202" s="15"/>
      <c r="C2202" s="9">
        <f>IFERROR(__xludf.DUMMYFUNCTION("""COMPUTED_VALUE"""),44773.6773049884)</f>
        <v>44773.6773</v>
      </c>
      <c r="D2202" s="15">
        <f>IFERROR(__xludf.DUMMYFUNCTION("""COMPUTED_VALUE"""),1.004)</f>
        <v>1.004</v>
      </c>
      <c r="E2202" s="16">
        <f>IFERROR(__xludf.DUMMYFUNCTION("""COMPUTED_VALUE"""),69.0)</f>
        <v>69</v>
      </c>
      <c r="F2202" s="19" t="str">
        <f>IFERROR(__xludf.DUMMYFUNCTION("""COMPUTED_VALUE"""),"BLACK")</f>
        <v>BLACK</v>
      </c>
      <c r="G2202" s="20" t="str">
        <f>IFERROR(__xludf.DUMMYFUNCTION("""COMPUTED_VALUE"""),"Uncle Sams Cider (5/13/2022)")</f>
        <v>Uncle Sams Cider (5/13/2022)</v>
      </c>
      <c r="H2202" s="19"/>
    </row>
    <row r="2203">
      <c r="A2203" s="9"/>
      <c r="B2203" s="15"/>
      <c r="C2203" s="9">
        <f>IFERROR(__xludf.DUMMYFUNCTION("""COMPUTED_VALUE"""),44773.6668849074)</f>
        <v>44773.66688</v>
      </c>
      <c r="D2203" s="15">
        <f>IFERROR(__xludf.DUMMYFUNCTION("""COMPUTED_VALUE"""),1.004)</f>
        <v>1.004</v>
      </c>
      <c r="E2203" s="16">
        <f>IFERROR(__xludf.DUMMYFUNCTION("""COMPUTED_VALUE"""),69.0)</f>
        <v>69</v>
      </c>
      <c r="F2203" s="19" t="str">
        <f>IFERROR(__xludf.DUMMYFUNCTION("""COMPUTED_VALUE"""),"BLACK")</f>
        <v>BLACK</v>
      </c>
      <c r="G2203" s="20" t="str">
        <f>IFERROR(__xludf.DUMMYFUNCTION("""COMPUTED_VALUE"""),"Uncle Sams Cider (5/13/2022)")</f>
        <v>Uncle Sams Cider (5/13/2022)</v>
      </c>
      <c r="H2203" s="19"/>
    </row>
    <row r="2204">
      <c r="A2204" s="9"/>
      <c r="B2204" s="15"/>
      <c r="C2204" s="9">
        <f>IFERROR(__xludf.DUMMYFUNCTION("""COMPUTED_VALUE"""),44773.6564521643)</f>
        <v>44773.65645</v>
      </c>
      <c r="D2204" s="15">
        <f>IFERROR(__xludf.DUMMYFUNCTION("""COMPUTED_VALUE"""),1.004)</f>
        <v>1.004</v>
      </c>
      <c r="E2204" s="16">
        <f>IFERROR(__xludf.DUMMYFUNCTION("""COMPUTED_VALUE"""),69.0)</f>
        <v>69</v>
      </c>
      <c r="F2204" s="19" t="str">
        <f>IFERROR(__xludf.DUMMYFUNCTION("""COMPUTED_VALUE"""),"BLACK")</f>
        <v>BLACK</v>
      </c>
      <c r="G2204" s="20" t="str">
        <f>IFERROR(__xludf.DUMMYFUNCTION("""COMPUTED_VALUE"""),"Uncle Sams Cider (5/13/2022)")</f>
        <v>Uncle Sams Cider (5/13/2022)</v>
      </c>
      <c r="H2204" s="19"/>
    </row>
    <row r="2205">
      <c r="A2205" s="9"/>
      <c r="B2205" s="15"/>
      <c r="C2205" s="9">
        <f>IFERROR(__xludf.DUMMYFUNCTION("""COMPUTED_VALUE"""),44773.6460189814)</f>
        <v>44773.64602</v>
      </c>
      <c r="D2205" s="15">
        <f>IFERROR(__xludf.DUMMYFUNCTION("""COMPUTED_VALUE"""),1.004)</f>
        <v>1.004</v>
      </c>
      <c r="E2205" s="16">
        <f>IFERROR(__xludf.DUMMYFUNCTION("""COMPUTED_VALUE"""),69.0)</f>
        <v>69</v>
      </c>
      <c r="F2205" s="19" t="str">
        <f>IFERROR(__xludf.DUMMYFUNCTION("""COMPUTED_VALUE"""),"BLACK")</f>
        <v>BLACK</v>
      </c>
      <c r="G2205" s="20" t="str">
        <f>IFERROR(__xludf.DUMMYFUNCTION("""COMPUTED_VALUE"""),"Uncle Sams Cider (5/13/2022)")</f>
        <v>Uncle Sams Cider (5/13/2022)</v>
      </c>
      <c r="H2205" s="19"/>
    </row>
    <row r="2206">
      <c r="A2206" s="9"/>
      <c r="B2206" s="15"/>
      <c r="C2206" s="9">
        <f>IFERROR(__xludf.DUMMYFUNCTION("""COMPUTED_VALUE"""),44773.6355990625)</f>
        <v>44773.6356</v>
      </c>
      <c r="D2206" s="15">
        <f>IFERROR(__xludf.DUMMYFUNCTION("""COMPUTED_VALUE"""),1.004)</f>
        <v>1.004</v>
      </c>
      <c r="E2206" s="16">
        <f>IFERROR(__xludf.DUMMYFUNCTION("""COMPUTED_VALUE"""),69.0)</f>
        <v>69</v>
      </c>
      <c r="F2206" s="19" t="str">
        <f>IFERROR(__xludf.DUMMYFUNCTION("""COMPUTED_VALUE"""),"BLACK")</f>
        <v>BLACK</v>
      </c>
      <c r="G2206" s="20" t="str">
        <f>IFERROR(__xludf.DUMMYFUNCTION("""COMPUTED_VALUE"""),"Uncle Sams Cider (5/13/2022)")</f>
        <v>Uncle Sams Cider (5/13/2022)</v>
      </c>
      <c r="H2206" s="19"/>
    </row>
    <row r="2207">
      <c r="A2207" s="9"/>
      <c r="B2207" s="15"/>
      <c r="C2207" s="9">
        <f>IFERROR(__xludf.DUMMYFUNCTION("""COMPUTED_VALUE"""),44773.6251663657)</f>
        <v>44773.62517</v>
      </c>
      <c r="D2207" s="15">
        <f>IFERROR(__xludf.DUMMYFUNCTION("""COMPUTED_VALUE"""),1.004)</f>
        <v>1.004</v>
      </c>
      <c r="E2207" s="16">
        <f>IFERROR(__xludf.DUMMYFUNCTION("""COMPUTED_VALUE"""),69.0)</f>
        <v>69</v>
      </c>
      <c r="F2207" s="19" t="str">
        <f>IFERROR(__xludf.DUMMYFUNCTION("""COMPUTED_VALUE"""),"BLACK")</f>
        <v>BLACK</v>
      </c>
      <c r="G2207" s="20" t="str">
        <f>IFERROR(__xludf.DUMMYFUNCTION("""COMPUTED_VALUE"""),"Uncle Sams Cider (5/13/2022)")</f>
        <v>Uncle Sams Cider (5/13/2022)</v>
      </c>
      <c r="H2207" s="19"/>
    </row>
    <row r="2208">
      <c r="A2208" s="9"/>
      <c r="B2208" s="15"/>
      <c r="C2208" s="9">
        <f>IFERROR(__xludf.DUMMYFUNCTION("""COMPUTED_VALUE"""),44773.6147453703)</f>
        <v>44773.61475</v>
      </c>
      <c r="D2208" s="15">
        <f>IFERROR(__xludf.DUMMYFUNCTION("""COMPUTED_VALUE"""),1.004)</f>
        <v>1.004</v>
      </c>
      <c r="E2208" s="16">
        <f>IFERROR(__xludf.DUMMYFUNCTION("""COMPUTED_VALUE"""),69.0)</f>
        <v>69</v>
      </c>
      <c r="F2208" s="19" t="str">
        <f>IFERROR(__xludf.DUMMYFUNCTION("""COMPUTED_VALUE"""),"BLACK")</f>
        <v>BLACK</v>
      </c>
      <c r="G2208" s="20" t="str">
        <f>IFERROR(__xludf.DUMMYFUNCTION("""COMPUTED_VALUE"""),"Uncle Sams Cider (5/13/2022)")</f>
        <v>Uncle Sams Cider (5/13/2022)</v>
      </c>
      <c r="H2208" s="19"/>
    </row>
    <row r="2209">
      <c r="A2209" s="9"/>
      <c r="B2209" s="15"/>
      <c r="C2209" s="9">
        <f>IFERROR(__xludf.DUMMYFUNCTION("""COMPUTED_VALUE"""),44773.6043226967)</f>
        <v>44773.60432</v>
      </c>
      <c r="D2209" s="15">
        <f>IFERROR(__xludf.DUMMYFUNCTION("""COMPUTED_VALUE"""),1.004)</f>
        <v>1.004</v>
      </c>
      <c r="E2209" s="16">
        <f>IFERROR(__xludf.DUMMYFUNCTION("""COMPUTED_VALUE"""),69.0)</f>
        <v>69</v>
      </c>
      <c r="F2209" s="19" t="str">
        <f>IFERROR(__xludf.DUMMYFUNCTION("""COMPUTED_VALUE"""),"BLACK")</f>
        <v>BLACK</v>
      </c>
      <c r="G2209" s="20" t="str">
        <f>IFERROR(__xludf.DUMMYFUNCTION("""COMPUTED_VALUE"""),"Uncle Sams Cider (5/13/2022)")</f>
        <v>Uncle Sams Cider (5/13/2022)</v>
      </c>
      <c r="H2209" s="19"/>
    </row>
    <row r="2210">
      <c r="A2210" s="9"/>
      <c r="B2210" s="15"/>
      <c r="C2210" s="9">
        <f>IFERROR(__xludf.DUMMYFUNCTION("""COMPUTED_VALUE"""),44773.5939008449)</f>
        <v>44773.5939</v>
      </c>
      <c r="D2210" s="15">
        <f>IFERROR(__xludf.DUMMYFUNCTION("""COMPUTED_VALUE"""),1.004)</f>
        <v>1.004</v>
      </c>
      <c r="E2210" s="16">
        <f>IFERROR(__xludf.DUMMYFUNCTION("""COMPUTED_VALUE"""),69.0)</f>
        <v>69</v>
      </c>
      <c r="F2210" s="19" t="str">
        <f>IFERROR(__xludf.DUMMYFUNCTION("""COMPUTED_VALUE"""),"BLACK")</f>
        <v>BLACK</v>
      </c>
      <c r="G2210" s="20" t="str">
        <f>IFERROR(__xludf.DUMMYFUNCTION("""COMPUTED_VALUE"""),"Uncle Sams Cider (5/13/2022)")</f>
        <v>Uncle Sams Cider (5/13/2022)</v>
      </c>
      <c r="H2210" s="19"/>
    </row>
    <row r="2211">
      <c r="A2211" s="9"/>
      <c r="B2211" s="15"/>
      <c r="C2211" s="9">
        <f>IFERROR(__xludf.DUMMYFUNCTION("""COMPUTED_VALUE"""),44773.5834793865)</f>
        <v>44773.58348</v>
      </c>
      <c r="D2211" s="15">
        <f>IFERROR(__xludf.DUMMYFUNCTION("""COMPUTED_VALUE"""),1.004)</f>
        <v>1.004</v>
      </c>
      <c r="E2211" s="16">
        <f>IFERROR(__xludf.DUMMYFUNCTION("""COMPUTED_VALUE"""),69.0)</f>
        <v>69</v>
      </c>
      <c r="F2211" s="19" t="str">
        <f>IFERROR(__xludf.DUMMYFUNCTION("""COMPUTED_VALUE"""),"BLACK")</f>
        <v>BLACK</v>
      </c>
      <c r="G2211" s="20" t="str">
        <f>IFERROR(__xludf.DUMMYFUNCTION("""COMPUTED_VALUE"""),"Uncle Sams Cider (5/13/2022)")</f>
        <v>Uncle Sams Cider (5/13/2022)</v>
      </c>
      <c r="H2211" s="19"/>
    </row>
    <row r="2212">
      <c r="A2212" s="9"/>
      <c r="B2212" s="15"/>
      <c r="C2212" s="9">
        <f>IFERROR(__xludf.DUMMYFUNCTION("""COMPUTED_VALUE"""),44773.5730579282)</f>
        <v>44773.57306</v>
      </c>
      <c r="D2212" s="15">
        <f>IFERROR(__xludf.DUMMYFUNCTION("""COMPUTED_VALUE"""),1.004)</f>
        <v>1.004</v>
      </c>
      <c r="E2212" s="16">
        <f>IFERROR(__xludf.DUMMYFUNCTION("""COMPUTED_VALUE"""),69.0)</f>
        <v>69</v>
      </c>
      <c r="F2212" s="19" t="str">
        <f>IFERROR(__xludf.DUMMYFUNCTION("""COMPUTED_VALUE"""),"BLACK")</f>
        <v>BLACK</v>
      </c>
      <c r="G2212" s="20" t="str">
        <f>IFERROR(__xludf.DUMMYFUNCTION("""COMPUTED_VALUE"""),"Uncle Sams Cider (5/13/2022)")</f>
        <v>Uncle Sams Cider (5/13/2022)</v>
      </c>
      <c r="H2212" s="19"/>
    </row>
    <row r="2213">
      <c r="A2213" s="9"/>
      <c r="B2213" s="15"/>
      <c r="C2213" s="9">
        <f>IFERROR(__xludf.DUMMYFUNCTION("""COMPUTED_VALUE"""),44773.562637581)</f>
        <v>44773.56264</v>
      </c>
      <c r="D2213" s="15">
        <f>IFERROR(__xludf.DUMMYFUNCTION("""COMPUTED_VALUE"""),1.004)</f>
        <v>1.004</v>
      </c>
      <c r="E2213" s="16">
        <f>IFERROR(__xludf.DUMMYFUNCTION("""COMPUTED_VALUE"""),69.0)</f>
        <v>69</v>
      </c>
      <c r="F2213" s="19" t="str">
        <f>IFERROR(__xludf.DUMMYFUNCTION("""COMPUTED_VALUE"""),"BLACK")</f>
        <v>BLACK</v>
      </c>
      <c r="G2213" s="20" t="str">
        <f>IFERROR(__xludf.DUMMYFUNCTION("""COMPUTED_VALUE"""),"Uncle Sams Cider (5/13/2022)")</f>
        <v>Uncle Sams Cider (5/13/2022)</v>
      </c>
      <c r="H2213" s="19"/>
    </row>
    <row r="2214">
      <c r="A2214" s="9"/>
      <c r="B2214" s="15"/>
      <c r="C2214" s="9">
        <f>IFERROR(__xludf.DUMMYFUNCTION("""COMPUTED_VALUE"""),44773.5522157175)</f>
        <v>44773.55222</v>
      </c>
      <c r="D2214" s="15">
        <f>IFERROR(__xludf.DUMMYFUNCTION("""COMPUTED_VALUE"""),1.004)</f>
        <v>1.004</v>
      </c>
      <c r="E2214" s="16">
        <f>IFERROR(__xludf.DUMMYFUNCTION("""COMPUTED_VALUE"""),68.0)</f>
        <v>68</v>
      </c>
      <c r="F2214" s="19" t="str">
        <f>IFERROR(__xludf.DUMMYFUNCTION("""COMPUTED_VALUE"""),"BLACK")</f>
        <v>BLACK</v>
      </c>
      <c r="G2214" s="20" t="str">
        <f>IFERROR(__xludf.DUMMYFUNCTION("""COMPUTED_VALUE"""),"Uncle Sams Cider (5/13/2022)")</f>
        <v>Uncle Sams Cider (5/13/2022)</v>
      </c>
      <c r="H2214" s="19"/>
    </row>
    <row r="2215">
      <c r="A2215" s="9"/>
      <c r="B2215" s="15"/>
      <c r="C2215" s="9">
        <f>IFERROR(__xludf.DUMMYFUNCTION("""COMPUTED_VALUE"""),44773.5417844097)</f>
        <v>44773.54178</v>
      </c>
      <c r="D2215" s="15">
        <f>IFERROR(__xludf.DUMMYFUNCTION("""COMPUTED_VALUE"""),1.004)</f>
        <v>1.004</v>
      </c>
      <c r="E2215" s="16">
        <f>IFERROR(__xludf.DUMMYFUNCTION("""COMPUTED_VALUE"""),69.0)</f>
        <v>69</v>
      </c>
      <c r="F2215" s="19" t="str">
        <f>IFERROR(__xludf.DUMMYFUNCTION("""COMPUTED_VALUE"""),"BLACK")</f>
        <v>BLACK</v>
      </c>
      <c r="G2215" s="20" t="str">
        <f>IFERROR(__xludf.DUMMYFUNCTION("""COMPUTED_VALUE"""),"Uncle Sams Cider (5/13/2022)")</f>
        <v>Uncle Sams Cider (5/13/2022)</v>
      </c>
      <c r="H2215" s="19"/>
    </row>
    <row r="2216">
      <c r="A2216" s="9"/>
      <c r="B2216" s="15"/>
      <c r="C2216" s="9">
        <f>IFERROR(__xludf.DUMMYFUNCTION("""COMPUTED_VALUE"""),44773.5313628125)</f>
        <v>44773.53136</v>
      </c>
      <c r="D2216" s="15">
        <f>IFERROR(__xludf.DUMMYFUNCTION("""COMPUTED_VALUE"""),1.004)</f>
        <v>1.004</v>
      </c>
      <c r="E2216" s="16">
        <f>IFERROR(__xludf.DUMMYFUNCTION("""COMPUTED_VALUE"""),69.0)</f>
        <v>69</v>
      </c>
      <c r="F2216" s="19" t="str">
        <f>IFERROR(__xludf.DUMMYFUNCTION("""COMPUTED_VALUE"""),"BLACK")</f>
        <v>BLACK</v>
      </c>
      <c r="G2216" s="20" t="str">
        <f>IFERROR(__xludf.DUMMYFUNCTION("""COMPUTED_VALUE"""),"Uncle Sams Cider (5/13/2022)")</f>
        <v>Uncle Sams Cider (5/13/2022)</v>
      </c>
      <c r="H2216" s="19"/>
    </row>
    <row r="2217">
      <c r="A2217" s="9"/>
      <c r="B2217" s="15"/>
      <c r="C2217" s="9">
        <f>IFERROR(__xludf.DUMMYFUNCTION("""COMPUTED_VALUE"""),44773.5209429282)</f>
        <v>44773.52094</v>
      </c>
      <c r="D2217" s="15">
        <f>IFERROR(__xludf.DUMMYFUNCTION("""COMPUTED_VALUE"""),1.004)</f>
        <v>1.004</v>
      </c>
      <c r="E2217" s="16">
        <f>IFERROR(__xludf.DUMMYFUNCTION("""COMPUTED_VALUE"""),68.0)</f>
        <v>68</v>
      </c>
      <c r="F2217" s="19" t="str">
        <f>IFERROR(__xludf.DUMMYFUNCTION("""COMPUTED_VALUE"""),"BLACK")</f>
        <v>BLACK</v>
      </c>
      <c r="G2217" s="20" t="str">
        <f>IFERROR(__xludf.DUMMYFUNCTION("""COMPUTED_VALUE"""),"Uncle Sams Cider (5/13/2022)")</f>
        <v>Uncle Sams Cider (5/13/2022)</v>
      </c>
      <c r="H2217" s="19"/>
    </row>
    <row r="2218">
      <c r="A2218" s="9"/>
      <c r="B2218" s="15"/>
      <c r="C2218" s="9">
        <f>IFERROR(__xludf.DUMMYFUNCTION("""COMPUTED_VALUE"""),44773.5105239236)</f>
        <v>44773.51052</v>
      </c>
      <c r="D2218" s="15">
        <f>IFERROR(__xludf.DUMMYFUNCTION("""COMPUTED_VALUE"""),1.004)</f>
        <v>1.004</v>
      </c>
      <c r="E2218" s="16">
        <f>IFERROR(__xludf.DUMMYFUNCTION("""COMPUTED_VALUE"""),69.0)</f>
        <v>69</v>
      </c>
      <c r="F2218" s="19" t="str">
        <f>IFERROR(__xludf.DUMMYFUNCTION("""COMPUTED_VALUE"""),"BLACK")</f>
        <v>BLACK</v>
      </c>
      <c r="G2218" s="20" t="str">
        <f>IFERROR(__xludf.DUMMYFUNCTION("""COMPUTED_VALUE"""),"Uncle Sams Cider (5/13/2022)")</f>
        <v>Uncle Sams Cider (5/13/2022)</v>
      </c>
      <c r="H2218" s="19"/>
    </row>
    <row r="2219">
      <c r="A2219" s="9"/>
      <c r="B2219" s="15"/>
      <c r="C2219" s="9">
        <f>IFERROR(__xludf.DUMMYFUNCTION("""COMPUTED_VALUE"""),44773.5001029051)</f>
        <v>44773.5001</v>
      </c>
      <c r="D2219" s="15">
        <f>IFERROR(__xludf.DUMMYFUNCTION("""COMPUTED_VALUE"""),1.004)</f>
        <v>1.004</v>
      </c>
      <c r="E2219" s="16">
        <f>IFERROR(__xludf.DUMMYFUNCTION("""COMPUTED_VALUE"""),68.0)</f>
        <v>68</v>
      </c>
      <c r="F2219" s="19" t="str">
        <f>IFERROR(__xludf.DUMMYFUNCTION("""COMPUTED_VALUE"""),"BLACK")</f>
        <v>BLACK</v>
      </c>
      <c r="G2219" s="20" t="str">
        <f>IFERROR(__xludf.DUMMYFUNCTION("""COMPUTED_VALUE"""),"Uncle Sams Cider (5/13/2022)")</f>
        <v>Uncle Sams Cider (5/13/2022)</v>
      </c>
      <c r="H2219" s="19"/>
    </row>
    <row r="2220">
      <c r="A2220" s="9"/>
      <c r="B2220" s="15"/>
      <c r="C2220" s="9">
        <f>IFERROR(__xludf.DUMMYFUNCTION("""COMPUTED_VALUE"""),44773.4896733449)</f>
        <v>44773.48967</v>
      </c>
      <c r="D2220" s="15">
        <f>IFERROR(__xludf.DUMMYFUNCTION("""COMPUTED_VALUE"""),1.004)</f>
        <v>1.004</v>
      </c>
      <c r="E2220" s="16">
        <f>IFERROR(__xludf.DUMMYFUNCTION("""COMPUTED_VALUE"""),68.0)</f>
        <v>68</v>
      </c>
      <c r="F2220" s="19" t="str">
        <f>IFERROR(__xludf.DUMMYFUNCTION("""COMPUTED_VALUE"""),"BLACK")</f>
        <v>BLACK</v>
      </c>
      <c r="G2220" s="20" t="str">
        <f>IFERROR(__xludf.DUMMYFUNCTION("""COMPUTED_VALUE"""),"Uncle Sams Cider (5/13/2022)")</f>
        <v>Uncle Sams Cider (5/13/2022)</v>
      </c>
      <c r="H2220" s="19"/>
    </row>
    <row r="2221">
      <c r="A2221" s="9"/>
      <c r="B2221" s="15"/>
      <c r="C2221" s="9">
        <f>IFERROR(__xludf.DUMMYFUNCTION("""COMPUTED_VALUE"""),44773.4792524884)</f>
        <v>44773.47925</v>
      </c>
      <c r="D2221" s="15">
        <f>IFERROR(__xludf.DUMMYFUNCTION("""COMPUTED_VALUE"""),1.004)</f>
        <v>1.004</v>
      </c>
      <c r="E2221" s="16">
        <f>IFERROR(__xludf.DUMMYFUNCTION("""COMPUTED_VALUE"""),68.0)</f>
        <v>68</v>
      </c>
      <c r="F2221" s="19" t="str">
        <f>IFERROR(__xludf.DUMMYFUNCTION("""COMPUTED_VALUE"""),"BLACK")</f>
        <v>BLACK</v>
      </c>
      <c r="G2221" s="20" t="str">
        <f>IFERROR(__xludf.DUMMYFUNCTION("""COMPUTED_VALUE"""),"Uncle Sams Cider (5/13/2022)")</f>
        <v>Uncle Sams Cider (5/13/2022)</v>
      </c>
      <c r="H2221" s="19"/>
    </row>
    <row r="2222">
      <c r="A2222" s="9"/>
      <c r="B2222" s="15"/>
      <c r="C2222" s="9">
        <f>IFERROR(__xludf.DUMMYFUNCTION("""COMPUTED_VALUE"""),44773.4688206597)</f>
        <v>44773.46882</v>
      </c>
      <c r="D2222" s="15">
        <f>IFERROR(__xludf.DUMMYFUNCTION("""COMPUTED_VALUE"""),1.004)</f>
        <v>1.004</v>
      </c>
      <c r="E2222" s="16">
        <f>IFERROR(__xludf.DUMMYFUNCTION("""COMPUTED_VALUE"""),68.0)</f>
        <v>68</v>
      </c>
      <c r="F2222" s="19" t="str">
        <f>IFERROR(__xludf.DUMMYFUNCTION("""COMPUTED_VALUE"""),"BLACK")</f>
        <v>BLACK</v>
      </c>
      <c r="G2222" s="20" t="str">
        <f>IFERROR(__xludf.DUMMYFUNCTION("""COMPUTED_VALUE"""),"Uncle Sams Cider (5/13/2022)")</f>
        <v>Uncle Sams Cider (5/13/2022)</v>
      </c>
      <c r="H2222" s="19"/>
    </row>
    <row r="2223">
      <c r="A2223" s="9"/>
      <c r="B2223" s="15"/>
      <c r="C2223" s="9">
        <f>IFERROR(__xludf.DUMMYFUNCTION("""COMPUTED_VALUE"""),44773.458399074)</f>
        <v>44773.4584</v>
      </c>
      <c r="D2223" s="15">
        <f>IFERROR(__xludf.DUMMYFUNCTION("""COMPUTED_VALUE"""),1.004)</f>
        <v>1.004</v>
      </c>
      <c r="E2223" s="16">
        <f>IFERROR(__xludf.DUMMYFUNCTION("""COMPUTED_VALUE"""),68.0)</f>
        <v>68</v>
      </c>
      <c r="F2223" s="19" t="str">
        <f>IFERROR(__xludf.DUMMYFUNCTION("""COMPUTED_VALUE"""),"BLACK")</f>
        <v>BLACK</v>
      </c>
      <c r="G2223" s="20" t="str">
        <f>IFERROR(__xludf.DUMMYFUNCTION("""COMPUTED_VALUE"""),"Uncle Sams Cider (5/13/2022)")</f>
        <v>Uncle Sams Cider (5/13/2022)</v>
      </c>
      <c r="H2223" s="19"/>
    </row>
    <row r="2224">
      <c r="A2224" s="9"/>
      <c r="B2224" s="15"/>
      <c r="C2224" s="9">
        <f>IFERROR(__xludf.DUMMYFUNCTION("""COMPUTED_VALUE"""),44773.4479674884)</f>
        <v>44773.44797</v>
      </c>
      <c r="D2224" s="15">
        <f>IFERROR(__xludf.DUMMYFUNCTION("""COMPUTED_VALUE"""),1.004)</f>
        <v>1.004</v>
      </c>
      <c r="E2224" s="16">
        <f>IFERROR(__xludf.DUMMYFUNCTION("""COMPUTED_VALUE"""),68.0)</f>
        <v>68</v>
      </c>
      <c r="F2224" s="19" t="str">
        <f>IFERROR(__xludf.DUMMYFUNCTION("""COMPUTED_VALUE"""),"BLACK")</f>
        <v>BLACK</v>
      </c>
      <c r="G2224" s="20" t="str">
        <f>IFERROR(__xludf.DUMMYFUNCTION("""COMPUTED_VALUE"""),"Uncle Sams Cider (5/13/2022)")</f>
        <v>Uncle Sams Cider (5/13/2022)</v>
      </c>
      <c r="H2224" s="19"/>
    </row>
    <row r="2225">
      <c r="A2225" s="9"/>
      <c r="B2225" s="15"/>
      <c r="C2225" s="9">
        <f>IFERROR(__xludf.DUMMYFUNCTION("""COMPUTED_VALUE"""),44773.4375452199)</f>
        <v>44773.43755</v>
      </c>
      <c r="D2225" s="15">
        <f>IFERROR(__xludf.DUMMYFUNCTION("""COMPUTED_VALUE"""),1.004)</f>
        <v>1.004</v>
      </c>
      <c r="E2225" s="16">
        <f>IFERROR(__xludf.DUMMYFUNCTION("""COMPUTED_VALUE"""),68.0)</f>
        <v>68</v>
      </c>
      <c r="F2225" s="19" t="str">
        <f>IFERROR(__xludf.DUMMYFUNCTION("""COMPUTED_VALUE"""),"BLACK")</f>
        <v>BLACK</v>
      </c>
      <c r="G2225" s="20" t="str">
        <f>IFERROR(__xludf.DUMMYFUNCTION("""COMPUTED_VALUE"""),"Uncle Sams Cider (5/13/2022)")</f>
        <v>Uncle Sams Cider (5/13/2022)</v>
      </c>
      <c r="H2225" s="19"/>
    </row>
    <row r="2226">
      <c r="A2226" s="9"/>
      <c r="B2226" s="15"/>
      <c r="C2226" s="9">
        <f>IFERROR(__xludf.DUMMYFUNCTION("""COMPUTED_VALUE"""),44773.4271261226)</f>
        <v>44773.42713</v>
      </c>
      <c r="D2226" s="15">
        <f>IFERROR(__xludf.DUMMYFUNCTION("""COMPUTED_VALUE"""),1.004)</f>
        <v>1.004</v>
      </c>
      <c r="E2226" s="16">
        <f>IFERROR(__xludf.DUMMYFUNCTION("""COMPUTED_VALUE"""),68.0)</f>
        <v>68</v>
      </c>
      <c r="F2226" s="19" t="str">
        <f>IFERROR(__xludf.DUMMYFUNCTION("""COMPUTED_VALUE"""),"BLACK")</f>
        <v>BLACK</v>
      </c>
      <c r="G2226" s="20" t="str">
        <f>IFERROR(__xludf.DUMMYFUNCTION("""COMPUTED_VALUE"""),"Uncle Sams Cider (5/13/2022)")</f>
        <v>Uncle Sams Cider (5/13/2022)</v>
      </c>
      <c r="H2226" s="19"/>
    </row>
    <row r="2227">
      <c r="A2227" s="9"/>
      <c r="B2227" s="15"/>
      <c r="C2227" s="9">
        <f>IFERROR(__xludf.DUMMYFUNCTION("""COMPUTED_VALUE"""),44773.4167033333)</f>
        <v>44773.4167</v>
      </c>
      <c r="D2227" s="15">
        <f>IFERROR(__xludf.DUMMYFUNCTION("""COMPUTED_VALUE"""),1.004)</f>
        <v>1.004</v>
      </c>
      <c r="E2227" s="16">
        <f>IFERROR(__xludf.DUMMYFUNCTION("""COMPUTED_VALUE"""),68.0)</f>
        <v>68</v>
      </c>
      <c r="F2227" s="19" t="str">
        <f>IFERROR(__xludf.DUMMYFUNCTION("""COMPUTED_VALUE"""),"BLACK")</f>
        <v>BLACK</v>
      </c>
      <c r="G2227" s="20" t="str">
        <f>IFERROR(__xludf.DUMMYFUNCTION("""COMPUTED_VALUE"""),"Uncle Sams Cider (5/13/2022)")</f>
        <v>Uncle Sams Cider (5/13/2022)</v>
      </c>
      <c r="H2227" s="19"/>
    </row>
    <row r="2228">
      <c r="A2228" s="9"/>
      <c r="B2228" s="15"/>
      <c r="C2228" s="9">
        <f>IFERROR(__xludf.DUMMYFUNCTION("""COMPUTED_VALUE"""),44773.4062828819)</f>
        <v>44773.40628</v>
      </c>
      <c r="D2228" s="15">
        <f>IFERROR(__xludf.DUMMYFUNCTION("""COMPUTED_VALUE"""),1.004)</f>
        <v>1.004</v>
      </c>
      <c r="E2228" s="16">
        <f>IFERROR(__xludf.DUMMYFUNCTION("""COMPUTED_VALUE"""),68.0)</f>
        <v>68</v>
      </c>
      <c r="F2228" s="19" t="str">
        <f>IFERROR(__xludf.DUMMYFUNCTION("""COMPUTED_VALUE"""),"BLACK")</f>
        <v>BLACK</v>
      </c>
      <c r="G2228" s="20" t="str">
        <f>IFERROR(__xludf.DUMMYFUNCTION("""COMPUTED_VALUE"""),"Uncle Sams Cider (5/13/2022)")</f>
        <v>Uncle Sams Cider (5/13/2022)</v>
      </c>
      <c r="H2228" s="19"/>
    </row>
    <row r="2229">
      <c r="A2229" s="9"/>
      <c r="B2229" s="15"/>
      <c r="C2229" s="9">
        <f>IFERROR(__xludf.DUMMYFUNCTION("""COMPUTED_VALUE"""),44773.3958502662)</f>
        <v>44773.39585</v>
      </c>
      <c r="D2229" s="15">
        <f>IFERROR(__xludf.DUMMYFUNCTION("""COMPUTED_VALUE"""),1.004)</f>
        <v>1.004</v>
      </c>
      <c r="E2229" s="16">
        <f>IFERROR(__xludf.DUMMYFUNCTION("""COMPUTED_VALUE"""),68.0)</f>
        <v>68</v>
      </c>
      <c r="F2229" s="19" t="str">
        <f>IFERROR(__xludf.DUMMYFUNCTION("""COMPUTED_VALUE"""),"BLACK")</f>
        <v>BLACK</v>
      </c>
      <c r="G2229" s="20" t="str">
        <f>IFERROR(__xludf.DUMMYFUNCTION("""COMPUTED_VALUE"""),"Uncle Sams Cider (5/13/2022)")</f>
        <v>Uncle Sams Cider (5/13/2022)</v>
      </c>
      <c r="H2229" s="19"/>
    </row>
    <row r="2230">
      <c r="A2230" s="9"/>
      <c r="B2230" s="15"/>
      <c r="C2230" s="9">
        <f>IFERROR(__xludf.DUMMYFUNCTION("""COMPUTED_VALUE"""),44773.3854184838)</f>
        <v>44773.38542</v>
      </c>
      <c r="D2230" s="15">
        <f>IFERROR(__xludf.DUMMYFUNCTION("""COMPUTED_VALUE"""),1.004)</f>
        <v>1.004</v>
      </c>
      <c r="E2230" s="16">
        <f>IFERROR(__xludf.DUMMYFUNCTION("""COMPUTED_VALUE"""),68.0)</f>
        <v>68</v>
      </c>
      <c r="F2230" s="19" t="str">
        <f>IFERROR(__xludf.DUMMYFUNCTION("""COMPUTED_VALUE"""),"BLACK")</f>
        <v>BLACK</v>
      </c>
      <c r="G2230" s="20" t="str">
        <f>IFERROR(__xludf.DUMMYFUNCTION("""COMPUTED_VALUE"""),"Uncle Sams Cider (5/13/2022)")</f>
        <v>Uncle Sams Cider (5/13/2022)</v>
      </c>
      <c r="H2230" s="19"/>
    </row>
    <row r="2231">
      <c r="A2231" s="9"/>
      <c r="B2231" s="15"/>
      <c r="C2231" s="9">
        <f>IFERROR(__xludf.DUMMYFUNCTION("""COMPUTED_VALUE"""),44773.3749975231)</f>
        <v>44773.375</v>
      </c>
      <c r="D2231" s="15">
        <f>IFERROR(__xludf.DUMMYFUNCTION("""COMPUTED_VALUE"""),1.004)</f>
        <v>1.004</v>
      </c>
      <c r="E2231" s="16">
        <f>IFERROR(__xludf.DUMMYFUNCTION("""COMPUTED_VALUE"""),68.0)</f>
        <v>68</v>
      </c>
      <c r="F2231" s="19" t="str">
        <f>IFERROR(__xludf.DUMMYFUNCTION("""COMPUTED_VALUE"""),"BLACK")</f>
        <v>BLACK</v>
      </c>
      <c r="G2231" s="20" t="str">
        <f>IFERROR(__xludf.DUMMYFUNCTION("""COMPUTED_VALUE"""),"Uncle Sams Cider (5/13/2022)")</f>
        <v>Uncle Sams Cider (5/13/2022)</v>
      </c>
      <c r="H2231" s="19"/>
    </row>
    <row r="2232">
      <c r="A2232" s="9"/>
      <c r="B2232" s="15"/>
      <c r="C2232" s="9">
        <f>IFERROR(__xludf.DUMMYFUNCTION("""COMPUTED_VALUE"""),44773.3645763773)</f>
        <v>44773.36458</v>
      </c>
      <c r="D2232" s="15">
        <f>IFERROR(__xludf.DUMMYFUNCTION("""COMPUTED_VALUE"""),1.004)</f>
        <v>1.004</v>
      </c>
      <c r="E2232" s="16">
        <f>IFERROR(__xludf.DUMMYFUNCTION("""COMPUTED_VALUE"""),68.0)</f>
        <v>68</v>
      </c>
      <c r="F2232" s="19" t="str">
        <f>IFERROR(__xludf.DUMMYFUNCTION("""COMPUTED_VALUE"""),"BLACK")</f>
        <v>BLACK</v>
      </c>
      <c r="G2232" s="20" t="str">
        <f>IFERROR(__xludf.DUMMYFUNCTION("""COMPUTED_VALUE"""),"Uncle Sams Cider (5/13/2022)")</f>
        <v>Uncle Sams Cider (5/13/2022)</v>
      </c>
      <c r="H2232" s="19"/>
    </row>
    <row r="2233">
      <c r="A2233" s="9"/>
      <c r="B2233" s="15"/>
      <c r="C2233" s="9">
        <f>IFERROR(__xludf.DUMMYFUNCTION("""COMPUTED_VALUE"""),44773.3541553935)</f>
        <v>44773.35416</v>
      </c>
      <c r="D2233" s="15">
        <f>IFERROR(__xludf.DUMMYFUNCTION("""COMPUTED_VALUE"""),1.004)</f>
        <v>1.004</v>
      </c>
      <c r="E2233" s="16">
        <f>IFERROR(__xludf.DUMMYFUNCTION("""COMPUTED_VALUE"""),68.0)</f>
        <v>68</v>
      </c>
      <c r="F2233" s="19" t="str">
        <f>IFERROR(__xludf.DUMMYFUNCTION("""COMPUTED_VALUE"""),"BLACK")</f>
        <v>BLACK</v>
      </c>
      <c r="G2233" s="20" t="str">
        <f>IFERROR(__xludf.DUMMYFUNCTION("""COMPUTED_VALUE"""),"Uncle Sams Cider (5/13/2022)")</f>
        <v>Uncle Sams Cider (5/13/2022)</v>
      </c>
      <c r="H2233" s="19"/>
    </row>
    <row r="2234">
      <c r="A2234" s="9"/>
      <c r="B2234" s="15"/>
      <c r="C2234" s="9">
        <f>IFERROR(__xludf.DUMMYFUNCTION("""COMPUTED_VALUE"""),44773.3437347338)</f>
        <v>44773.34373</v>
      </c>
      <c r="D2234" s="15">
        <f>IFERROR(__xludf.DUMMYFUNCTION("""COMPUTED_VALUE"""),1.004)</f>
        <v>1.004</v>
      </c>
      <c r="E2234" s="16">
        <f>IFERROR(__xludf.DUMMYFUNCTION("""COMPUTED_VALUE"""),68.0)</f>
        <v>68</v>
      </c>
      <c r="F2234" s="19" t="str">
        <f>IFERROR(__xludf.DUMMYFUNCTION("""COMPUTED_VALUE"""),"BLACK")</f>
        <v>BLACK</v>
      </c>
      <c r="G2234" s="20" t="str">
        <f>IFERROR(__xludf.DUMMYFUNCTION("""COMPUTED_VALUE"""),"Uncle Sams Cider (5/13/2022)")</f>
        <v>Uncle Sams Cider (5/13/2022)</v>
      </c>
      <c r="H2234" s="19"/>
    </row>
    <row r="2235">
      <c r="A2235" s="9"/>
      <c r="B2235" s="15"/>
      <c r="C2235" s="9">
        <f>IFERROR(__xludf.DUMMYFUNCTION("""COMPUTED_VALUE"""),44773.333312905)</f>
        <v>44773.33331</v>
      </c>
      <c r="D2235" s="15">
        <f>IFERROR(__xludf.DUMMYFUNCTION("""COMPUTED_VALUE"""),1.004)</f>
        <v>1.004</v>
      </c>
      <c r="E2235" s="16">
        <f>IFERROR(__xludf.DUMMYFUNCTION("""COMPUTED_VALUE"""),68.0)</f>
        <v>68</v>
      </c>
      <c r="F2235" s="19" t="str">
        <f>IFERROR(__xludf.DUMMYFUNCTION("""COMPUTED_VALUE"""),"BLACK")</f>
        <v>BLACK</v>
      </c>
      <c r="G2235" s="20" t="str">
        <f>IFERROR(__xludf.DUMMYFUNCTION("""COMPUTED_VALUE"""),"Uncle Sams Cider (5/13/2022)")</f>
        <v>Uncle Sams Cider (5/13/2022)</v>
      </c>
      <c r="H2235" s="19"/>
    </row>
    <row r="2236">
      <c r="A2236" s="9"/>
      <c r="B2236" s="15"/>
      <c r="C2236" s="9">
        <f>IFERROR(__xludf.DUMMYFUNCTION("""COMPUTED_VALUE"""),44773.3228898263)</f>
        <v>44773.32289</v>
      </c>
      <c r="D2236" s="15">
        <f>IFERROR(__xludf.DUMMYFUNCTION("""COMPUTED_VALUE"""),1.004)</f>
        <v>1.004</v>
      </c>
      <c r="E2236" s="16">
        <f>IFERROR(__xludf.DUMMYFUNCTION("""COMPUTED_VALUE"""),68.0)</f>
        <v>68</v>
      </c>
      <c r="F2236" s="19" t="str">
        <f>IFERROR(__xludf.DUMMYFUNCTION("""COMPUTED_VALUE"""),"BLACK")</f>
        <v>BLACK</v>
      </c>
      <c r="G2236" s="20" t="str">
        <f>IFERROR(__xludf.DUMMYFUNCTION("""COMPUTED_VALUE"""),"Uncle Sams Cider (5/13/2022)")</f>
        <v>Uncle Sams Cider (5/13/2022)</v>
      </c>
      <c r="H2236" s="19"/>
    </row>
    <row r="2237">
      <c r="A2237" s="9"/>
      <c r="B2237" s="15"/>
      <c r="C2237" s="9">
        <f>IFERROR(__xludf.DUMMYFUNCTION("""COMPUTED_VALUE"""),44773.312468125)</f>
        <v>44773.31247</v>
      </c>
      <c r="D2237" s="15">
        <f>IFERROR(__xludf.DUMMYFUNCTION("""COMPUTED_VALUE"""),1.004)</f>
        <v>1.004</v>
      </c>
      <c r="E2237" s="16">
        <f>IFERROR(__xludf.DUMMYFUNCTION("""COMPUTED_VALUE"""),68.0)</f>
        <v>68</v>
      </c>
      <c r="F2237" s="19" t="str">
        <f>IFERROR(__xludf.DUMMYFUNCTION("""COMPUTED_VALUE"""),"BLACK")</f>
        <v>BLACK</v>
      </c>
      <c r="G2237" s="20" t="str">
        <f>IFERROR(__xludf.DUMMYFUNCTION("""COMPUTED_VALUE"""),"Uncle Sams Cider (5/13/2022)")</f>
        <v>Uncle Sams Cider (5/13/2022)</v>
      </c>
      <c r="H2237" s="19"/>
    </row>
    <row r="2238">
      <c r="A2238" s="9"/>
      <c r="B2238" s="15"/>
      <c r="C2238" s="9">
        <f>IFERROR(__xludf.DUMMYFUNCTION("""COMPUTED_VALUE"""),44773.3020476041)</f>
        <v>44773.30205</v>
      </c>
      <c r="D2238" s="15">
        <f>IFERROR(__xludf.DUMMYFUNCTION("""COMPUTED_VALUE"""),1.004)</f>
        <v>1.004</v>
      </c>
      <c r="E2238" s="16">
        <f>IFERROR(__xludf.DUMMYFUNCTION("""COMPUTED_VALUE"""),68.0)</f>
        <v>68</v>
      </c>
      <c r="F2238" s="19" t="str">
        <f>IFERROR(__xludf.DUMMYFUNCTION("""COMPUTED_VALUE"""),"BLACK")</f>
        <v>BLACK</v>
      </c>
      <c r="G2238" s="20" t="str">
        <f>IFERROR(__xludf.DUMMYFUNCTION("""COMPUTED_VALUE"""),"Uncle Sams Cider (5/13/2022)")</f>
        <v>Uncle Sams Cider (5/13/2022)</v>
      </c>
      <c r="H2238" s="19"/>
    </row>
    <row r="2239">
      <c r="A2239" s="9"/>
      <c r="B2239" s="15"/>
      <c r="C2239" s="9">
        <f>IFERROR(__xludf.DUMMYFUNCTION("""COMPUTED_VALUE"""),44773.2916266551)</f>
        <v>44773.29163</v>
      </c>
      <c r="D2239" s="15">
        <f>IFERROR(__xludf.DUMMYFUNCTION("""COMPUTED_VALUE"""),1.004)</f>
        <v>1.004</v>
      </c>
      <c r="E2239" s="16">
        <f>IFERROR(__xludf.DUMMYFUNCTION("""COMPUTED_VALUE"""),68.0)</f>
        <v>68</v>
      </c>
      <c r="F2239" s="19" t="str">
        <f>IFERROR(__xludf.DUMMYFUNCTION("""COMPUTED_VALUE"""),"BLACK")</f>
        <v>BLACK</v>
      </c>
      <c r="G2239" s="20" t="str">
        <f>IFERROR(__xludf.DUMMYFUNCTION("""COMPUTED_VALUE"""),"Uncle Sams Cider (5/13/2022)")</f>
        <v>Uncle Sams Cider (5/13/2022)</v>
      </c>
      <c r="H2239" s="19"/>
    </row>
    <row r="2240">
      <c r="A2240" s="9"/>
      <c r="B2240" s="15"/>
      <c r="C2240" s="9">
        <f>IFERROR(__xludf.DUMMYFUNCTION("""COMPUTED_VALUE"""),44773.2811941435)</f>
        <v>44773.28119</v>
      </c>
      <c r="D2240" s="15">
        <f>IFERROR(__xludf.DUMMYFUNCTION("""COMPUTED_VALUE"""),1.004)</f>
        <v>1.004</v>
      </c>
      <c r="E2240" s="16">
        <f>IFERROR(__xludf.DUMMYFUNCTION("""COMPUTED_VALUE"""),68.0)</f>
        <v>68</v>
      </c>
      <c r="F2240" s="19" t="str">
        <f>IFERROR(__xludf.DUMMYFUNCTION("""COMPUTED_VALUE"""),"BLACK")</f>
        <v>BLACK</v>
      </c>
      <c r="G2240" s="20" t="str">
        <f>IFERROR(__xludf.DUMMYFUNCTION("""COMPUTED_VALUE"""),"Uncle Sams Cider (5/13/2022)")</f>
        <v>Uncle Sams Cider (5/13/2022)</v>
      </c>
      <c r="H2240" s="19"/>
    </row>
    <row r="2241">
      <c r="A2241" s="9"/>
      <c r="B2241" s="15"/>
      <c r="C2241" s="9">
        <f>IFERROR(__xludf.DUMMYFUNCTION("""COMPUTED_VALUE"""),44773.2707711342)</f>
        <v>44773.27077</v>
      </c>
      <c r="D2241" s="15">
        <f>IFERROR(__xludf.DUMMYFUNCTION("""COMPUTED_VALUE"""),1.004)</f>
        <v>1.004</v>
      </c>
      <c r="E2241" s="16">
        <f>IFERROR(__xludf.DUMMYFUNCTION("""COMPUTED_VALUE"""),68.0)</f>
        <v>68</v>
      </c>
      <c r="F2241" s="19" t="str">
        <f>IFERROR(__xludf.DUMMYFUNCTION("""COMPUTED_VALUE"""),"BLACK")</f>
        <v>BLACK</v>
      </c>
      <c r="G2241" s="20" t="str">
        <f>IFERROR(__xludf.DUMMYFUNCTION("""COMPUTED_VALUE"""),"Uncle Sams Cider (5/13/2022)")</f>
        <v>Uncle Sams Cider (5/13/2022)</v>
      </c>
      <c r="H2241" s="19"/>
    </row>
    <row r="2242">
      <c r="A2242" s="9"/>
      <c r="B2242" s="15"/>
      <c r="C2242" s="9">
        <f>IFERROR(__xludf.DUMMYFUNCTION("""COMPUTED_VALUE"""),44773.2603483101)</f>
        <v>44773.26035</v>
      </c>
      <c r="D2242" s="15">
        <f>IFERROR(__xludf.DUMMYFUNCTION("""COMPUTED_VALUE"""),1.004)</f>
        <v>1.004</v>
      </c>
      <c r="E2242" s="16">
        <f>IFERROR(__xludf.DUMMYFUNCTION("""COMPUTED_VALUE"""),68.0)</f>
        <v>68</v>
      </c>
      <c r="F2242" s="19" t="str">
        <f>IFERROR(__xludf.DUMMYFUNCTION("""COMPUTED_VALUE"""),"BLACK")</f>
        <v>BLACK</v>
      </c>
      <c r="G2242" s="20" t="str">
        <f>IFERROR(__xludf.DUMMYFUNCTION("""COMPUTED_VALUE"""),"Uncle Sams Cider (5/13/2022)")</f>
        <v>Uncle Sams Cider (5/13/2022)</v>
      </c>
      <c r="H2242" s="19"/>
    </row>
    <row r="2243">
      <c r="A2243" s="9"/>
      <c r="B2243" s="15"/>
      <c r="C2243" s="9">
        <f>IFERROR(__xludf.DUMMYFUNCTION("""COMPUTED_VALUE"""),44773.2499142129)</f>
        <v>44773.24991</v>
      </c>
      <c r="D2243" s="15">
        <f>IFERROR(__xludf.DUMMYFUNCTION("""COMPUTED_VALUE"""),1.004)</f>
        <v>1.004</v>
      </c>
      <c r="E2243" s="16">
        <f>IFERROR(__xludf.DUMMYFUNCTION("""COMPUTED_VALUE"""),68.0)</f>
        <v>68</v>
      </c>
      <c r="F2243" s="19" t="str">
        <f>IFERROR(__xludf.DUMMYFUNCTION("""COMPUTED_VALUE"""),"BLACK")</f>
        <v>BLACK</v>
      </c>
      <c r="G2243" s="20" t="str">
        <f>IFERROR(__xludf.DUMMYFUNCTION("""COMPUTED_VALUE"""),"Uncle Sams Cider (5/13/2022)")</f>
        <v>Uncle Sams Cider (5/13/2022)</v>
      </c>
      <c r="H2243" s="19"/>
    </row>
    <row r="2244">
      <c r="A2244" s="9"/>
      <c r="B2244" s="15"/>
      <c r="C2244" s="9">
        <f>IFERROR(__xludf.DUMMYFUNCTION("""COMPUTED_VALUE"""),44773.2394934259)</f>
        <v>44773.23949</v>
      </c>
      <c r="D2244" s="15">
        <f>IFERROR(__xludf.DUMMYFUNCTION("""COMPUTED_VALUE"""),1.004)</f>
        <v>1.004</v>
      </c>
      <c r="E2244" s="16">
        <f>IFERROR(__xludf.DUMMYFUNCTION("""COMPUTED_VALUE"""),68.0)</f>
        <v>68</v>
      </c>
      <c r="F2244" s="19" t="str">
        <f>IFERROR(__xludf.DUMMYFUNCTION("""COMPUTED_VALUE"""),"BLACK")</f>
        <v>BLACK</v>
      </c>
      <c r="G2244" s="20" t="str">
        <f>IFERROR(__xludf.DUMMYFUNCTION("""COMPUTED_VALUE"""),"Uncle Sams Cider (5/13/2022)")</f>
        <v>Uncle Sams Cider (5/13/2022)</v>
      </c>
      <c r="H2244" s="19"/>
    </row>
    <row r="2245">
      <c r="A2245" s="9"/>
      <c r="B2245" s="15"/>
      <c r="C2245" s="9">
        <f>IFERROR(__xludf.DUMMYFUNCTION("""COMPUTED_VALUE"""),44773.2290717013)</f>
        <v>44773.22907</v>
      </c>
      <c r="D2245" s="15">
        <f>IFERROR(__xludf.DUMMYFUNCTION("""COMPUTED_VALUE"""),1.004)</f>
        <v>1.004</v>
      </c>
      <c r="E2245" s="16">
        <f>IFERROR(__xludf.DUMMYFUNCTION("""COMPUTED_VALUE"""),68.0)</f>
        <v>68</v>
      </c>
      <c r="F2245" s="19" t="str">
        <f>IFERROR(__xludf.DUMMYFUNCTION("""COMPUTED_VALUE"""),"BLACK")</f>
        <v>BLACK</v>
      </c>
      <c r="G2245" s="20" t="str">
        <f>IFERROR(__xludf.DUMMYFUNCTION("""COMPUTED_VALUE"""),"Uncle Sams Cider (5/13/2022)")</f>
        <v>Uncle Sams Cider (5/13/2022)</v>
      </c>
      <c r="H2245" s="19"/>
    </row>
    <row r="2246">
      <c r="A2246" s="9"/>
      <c r="B2246" s="15"/>
      <c r="C2246" s="9">
        <f>IFERROR(__xludf.DUMMYFUNCTION("""COMPUTED_VALUE"""),44773.2186495833)</f>
        <v>44773.21865</v>
      </c>
      <c r="D2246" s="15">
        <f>IFERROR(__xludf.DUMMYFUNCTION("""COMPUTED_VALUE"""),1.004)</f>
        <v>1.004</v>
      </c>
      <c r="E2246" s="16">
        <f>IFERROR(__xludf.DUMMYFUNCTION("""COMPUTED_VALUE"""),68.0)</f>
        <v>68</v>
      </c>
      <c r="F2246" s="19" t="str">
        <f>IFERROR(__xludf.DUMMYFUNCTION("""COMPUTED_VALUE"""),"BLACK")</f>
        <v>BLACK</v>
      </c>
      <c r="G2246" s="20" t="str">
        <f>IFERROR(__xludf.DUMMYFUNCTION("""COMPUTED_VALUE"""),"Uncle Sams Cider (5/13/2022)")</f>
        <v>Uncle Sams Cider (5/13/2022)</v>
      </c>
      <c r="H2246" s="19"/>
    </row>
    <row r="2247">
      <c r="A2247" s="9"/>
      <c r="B2247" s="15"/>
      <c r="C2247" s="9">
        <f>IFERROR(__xludf.DUMMYFUNCTION("""COMPUTED_VALUE"""),44773.208229456)</f>
        <v>44773.20823</v>
      </c>
      <c r="D2247" s="15">
        <f>IFERROR(__xludf.DUMMYFUNCTION("""COMPUTED_VALUE"""),1.004)</f>
        <v>1.004</v>
      </c>
      <c r="E2247" s="16">
        <f>IFERROR(__xludf.DUMMYFUNCTION("""COMPUTED_VALUE"""),68.0)</f>
        <v>68</v>
      </c>
      <c r="F2247" s="19" t="str">
        <f>IFERROR(__xludf.DUMMYFUNCTION("""COMPUTED_VALUE"""),"BLACK")</f>
        <v>BLACK</v>
      </c>
      <c r="G2247" s="20" t="str">
        <f>IFERROR(__xludf.DUMMYFUNCTION("""COMPUTED_VALUE"""),"Uncle Sams Cider (5/13/2022)")</f>
        <v>Uncle Sams Cider (5/13/2022)</v>
      </c>
      <c r="H2247" s="19"/>
    </row>
    <row r="2248">
      <c r="A2248" s="9"/>
      <c r="B2248" s="15"/>
      <c r="C2248" s="9">
        <f>IFERROR(__xludf.DUMMYFUNCTION("""COMPUTED_VALUE"""),44773.1978092939)</f>
        <v>44773.19781</v>
      </c>
      <c r="D2248" s="15">
        <f>IFERROR(__xludf.DUMMYFUNCTION("""COMPUTED_VALUE"""),1.004)</f>
        <v>1.004</v>
      </c>
      <c r="E2248" s="16">
        <f>IFERROR(__xludf.DUMMYFUNCTION("""COMPUTED_VALUE"""),68.0)</f>
        <v>68</v>
      </c>
      <c r="F2248" s="19" t="str">
        <f>IFERROR(__xludf.DUMMYFUNCTION("""COMPUTED_VALUE"""),"BLACK")</f>
        <v>BLACK</v>
      </c>
      <c r="G2248" s="20" t="str">
        <f>IFERROR(__xludf.DUMMYFUNCTION("""COMPUTED_VALUE"""),"Uncle Sams Cider (5/13/2022)")</f>
        <v>Uncle Sams Cider (5/13/2022)</v>
      </c>
      <c r="H2248" s="19"/>
    </row>
    <row r="2249">
      <c r="A2249" s="9"/>
      <c r="B2249" s="15"/>
      <c r="C2249" s="9">
        <f>IFERROR(__xludf.DUMMYFUNCTION("""COMPUTED_VALUE"""),44773.1873858564)</f>
        <v>44773.18739</v>
      </c>
      <c r="D2249" s="15">
        <f>IFERROR(__xludf.DUMMYFUNCTION("""COMPUTED_VALUE"""),1.004)</f>
        <v>1.004</v>
      </c>
      <c r="E2249" s="16">
        <f>IFERROR(__xludf.DUMMYFUNCTION("""COMPUTED_VALUE"""),68.0)</f>
        <v>68</v>
      </c>
      <c r="F2249" s="19" t="str">
        <f>IFERROR(__xludf.DUMMYFUNCTION("""COMPUTED_VALUE"""),"BLACK")</f>
        <v>BLACK</v>
      </c>
      <c r="G2249" s="20" t="str">
        <f>IFERROR(__xludf.DUMMYFUNCTION("""COMPUTED_VALUE"""),"Uncle Sams Cider (5/13/2022)")</f>
        <v>Uncle Sams Cider (5/13/2022)</v>
      </c>
      <c r="H2249" s="19"/>
    </row>
    <row r="2250">
      <c r="A2250" s="9"/>
      <c r="B2250" s="15"/>
      <c r="C2250" s="9">
        <f>IFERROR(__xludf.DUMMYFUNCTION("""COMPUTED_VALUE"""),44773.1769655555)</f>
        <v>44773.17697</v>
      </c>
      <c r="D2250" s="15">
        <f>IFERROR(__xludf.DUMMYFUNCTION("""COMPUTED_VALUE"""),1.004)</f>
        <v>1.004</v>
      </c>
      <c r="E2250" s="16">
        <f>IFERROR(__xludf.DUMMYFUNCTION("""COMPUTED_VALUE"""),68.0)</f>
        <v>68</v>
      </c>
      <c r="F2250" s="19" t="str">
        <f>IFERROR(__xludf.DUMMYFUNCTION("""COMPUTED_VALUE"""),"BLACK")</f>
        <v>BLACK</v>
      </c>
      <c r="G2250" s="20" t="str">
        <f>IFERROR(__xludf.DUMMYFUNCTION("""COMPUTED_VALUE"""),"Uncle Sams Cider (5/13/2022)")</f>
        <v>Uncle Sams Cider (5/13/2022)</v>
      </c>
      <c r="H2250" s="19"/>
    </row>
    <row r="2251">
      <c r="A2251" s="9"/>
      <c r="B2251" s="15"/>
      <c r="C2251" s="9">
        <f>IFERROR(__xludf.DUMMYFUNCTION("""COMPUTED_VALUE"""),44773.1665456018)</f>
        <v>44773.16655</v>
      </c>
      <c r="D2251" s="15">
        <f>IFERROR(__xludf.DUMMYFUNCTION("""COMPUTED_VALUE"""),1.004)</f>
        <v>1.004</v>
      </c>
      <c r="E2251" s="16">
        <f>IFERROR(__xludf.DUMMYFUNCTION("""COMPUTED_VALUE"""),68.0)</f>
        <v>68</v>
      </c>
      <c r="F2251" s="19" t="str">
        <f>IFERROR(__xludf.DUMMYFUNCTION("""COMPUTED_VALUE"""),"BLACK")</f>
        <v>BLACK</v>
      </c>
      <c r="G2251" s="20" t="str">
        <f>IFERROR(__xludf.DUMMYFUNCTION("""COMPUTED_VALUE"""),"Uncle Sams Cider (5/13/2022)")</f>
        <v>Uncle Sams Cider (5/13/2022)</v>
      </c>
      <c r="H2251" s="19"/>
    </row>
    <row r="2252">
      <c r="A2252" s="9"/>
      <c r="B2252" s="15"/>
      <c r="C2252" s="9">
        <f>IFERROR(__xludf.DUMMYFUNCTION("""COMPUTED_VALUE"""),44773.1561126273)</f>
        <v>44773.15611</v>
      </c>
      <c r="D2252" s="15">
        <f>IFERROR(__xludf.DUMMYFUNCTION("""COMPUTED_VALUE"""),1.004)</f>
        <v>1.004</v>
      </c>
      <c r="E2252" s="16">
        <f>IFERROR(__xludf.DUMMYFUNCTION("""COMPUTED_VALUE"""),68.0)</f>
        <v>68</v>
      </c>
      <c r="F2252" s="19" t="str">
        <f>IFERROR(__xludf.DUMMYFUNCTION("""COMPUTED_VALUE"""),"BLACK")</f>
        <v>BLACK</v>
      </c>
      <c r="G2252" s="20" t="str">
        <f>IFERROR(__xludf.DUMMYFUNCTION("""COMPUTED_VALUE"""),"Uncle Sams Cider (5/13/2022)")</f>
        <v>Uncle Sams Cider (5/13/2022)</v>
      </c>
      <c r="H2252" s="19"/>
    </row>
    <row r="2253">
      <c r="A2253" s="9"/>
      <c r="B2253" s="15"/>
      <c r="C2253" s="9">
        <f>IFERROR(__xludf.DUMMYFUNCTION("""COMPUTED_VALUE"""),44773.1456903356)</f>
        <v>44773.14569</v>
      </c>
      <c r="D2253" s="15">
        <f>IFERROR(__xludf.DUMMYFUNCTION("""COMPUTED_VALUE"""),1.004)</f>
        <v>1.004</v>
      </c>
      <c r="E2253" s="16">
        <f>IFERROR(__xludf.DUMMYFUNCTION("""COMPUTED_VALUE"""),68.0)</f>
        <v>68</v>
      </c>
      <c r="F2253" s="19" t="str">
        <f>IFERROR(__xludf.DUMMYFUNCTION("""COMPUTED_VALUE"""),"BLACK")</f>
        <v>BLACK</v>
      </c>
      <c r="G2253" s="20" t="str">
        <f>IFERROR(__xludf.DUMMYFUNCTION("""COMPUTED_VALUE"""),"Uncle Sams Cider (5/13/2022)")</f>
        <v>Uncle Sams Cider (5/13/2022)</v>
      </c>
      <c r="H2253" s="19"/>
    </row>
    <row r="2254">
      <c r="A2254" s="9"/>
      <c r="B2254" s="15"/>
      <c r="C2254" s="9">
        <f>IFERROR(__xludf.DUMMYFUNCTION("""COMPUTED_VALUE"""),44773.1352704629)</f>
        <v>44773.13527</v>
      </c>
      <c r="D2254" s="15">
        <f>IFERROR(__xludf.DUMMYFUNCTION("""COMPUTED_VALUE"""),1.004)</f>
        <v>1.004</v>
      </c>
      <c r="E2254" s="16">
        <f>IFERROR(__xludf.DUMMYFUNCTION("""COMPUTED_VALUE"""),68.0)</f>
        <v>68</v>
      </c>
      <c r="F2254" s="19" t="str">
        <f>IFERROR(__xludf.DUMMYFUNCTION("""COMPUTED_VALUE"""),"BLACK")</f>
        <v>BLACK</v>
      </c>
      <c r="G2254" s="20" t="str">
        <f>IFERROR(__xludf.DUMMYFUNCTION("""COMPUTED_VALUE"""),"Uncle Sams Cider (5/13/2022)")</f>
        <v>Uncle Sams Cider (5/13/2022)</v>
      </c>
      <c r="H2254" s="19"/>
    </row>
    <row r="2255">
      <c r="A2255" s="9"/>
      <c r="B2255" s="15"/>
      <c r="C2255" s="9">
        <f>IFERROR(__xludf.DUMMYFUNCTION("""COMPUTED_VALUE"""),44773.1248503356)</f>
        <v>44773.12485</v>
      </c>
      <c r="D2255" s="15">
        <f>IFERROR(__xludf.DUMMYFUNCTION("""COMPUTED_VALUE"""),1.004)</f>
        <v>1.004</v>
      </c>
      <c r="E2255" s="16">
        <f>IFERROR(__xludf.DUMMYFUNCTION("""COMPUTED_VALUE"""),68.0)</f>
        <v>68</v>
      </c>
      <c r="F2255" s="19" t="str">
        <f>IFERROR(__xludf.DUMMYFUNCTION("""COMPUTED_VALUE"""),"BLACK")</f>
        <v>BLACK</v>
      </c>
      <c r="G2255" s="20" t="str">
        <f>IFERROR(__xludf.DUMMYFUNCTION("""COMPUTED_VALUE"""),"Uncle Sams Cider (5/13/2022)")</f>
        <v>Uncle Sams Cider (5/13/2022)</v>
      </c>
      <c r="H2255" s="19"/>
    </row>
    <row r="2256">
      <c r="A2256" s="9"/>
      <c r="B2256" s="15"/>
      <c r="C2256" s="9">
        <f>IFERROR(__xludf.DUMMYFUNCTION("""COMPUTED_VALUE"""),44773.1144290972)</f>
        <v>44773.11443</v>
      </c>
      <c r="D2256" s="15">
        <f>IFERROR(__xludf.DUMMYFUNCTION("""COMPUTED_VALUE"""),1.004)</f>
        <v>1.004</v>
      </c>
      <c r="E2256" s="16">
        <f>IFERROR(__xludf.DUMMYFUNCTION("""COMPUTED_VALUE"""),68.0)</f>
        <v>68</v>
      </c>
      <c r="F2256" s="19" t="str">
        <f>IFERROR(__xludf.DUMMYFUNCTION("""COMPUTED_VALUE"""),"BLACK")</f>
        <v>BLACK</v>
      </c>
      <c r="G2256" s="20" t="str">
        <f>IFERROR(__xludf.DUMMYFUNCTION("""COMPUTED_VALUE"""),"Uncle Sams Cider (5/13/2022)")</f>
        <v>Uncle Sams Cider (5/13/2022)</v>
      </c>
      <c r="H2256" s="19"/>
    </row>
    <row r="2257">
      <c r="A2257" s="9"/>
      <c r="B2257" s="15"/>
      <c r="C2257" s="9">
        <f>IFERROR(__xludf.DUMMYFUNCTION("""COMPUTED_VALUE"""),44773.1039972685)</f>
        <v>44773.104</v>
      </c>
      <c r="D2257" s="15">
        <f>IFERROR(__xludf.DUMMYFUNCTION("""COMPUTED_VALUE"""),1.004)</f>
        <v>1.004</v>
      </c>
      <c r="E2257" s="16">
        <f>IFERROR(__xludf.DUMMYFUNCTION("""COMPUTED_VALUE"""),68.0)</f>
        <v>68</v>
      </c>
      <c r="F2257" s="19" t="str">
        <f>IFERROR(__xludf.DUMMYFUNCTION("""COMPUTED_VALUE"""),"BLACK")</f>
        <v>BLACK</v>
      </c>
      <c r="G2257" s="20" t="str">
        <f>IFERROR(__xludf.DUMMYFUNCTION("""COMPUTED_VALUE"""),"Uncle Sams Cider (5/13/2022)")</f>
        <v>Uncle Sams Cider (5/13/2022)</v>
      </c>
      <c r="H2257" s="19"/>
    </row>
    <row r="2258">
      <c r="A2258" s="9"/>
      <c r="B2258" s="15"/>
      <c r="C2258" s="9">
        <f>IFERROR(__xludf.DUMMYFUNCTION("""COMPUTED_VALUE"""),44773.0935758101)</f>
        <v>44773.09358</v>
      </c>
      <c r="D2258" s="15">
        <f>IFERROR(__xludf.DUMMYFUNCTION("""COMPUTED_VALUE"""),1.004)</f>
        <v>1.004</v>
      </c>
      <c r="E2258" s="16">
        <f>IFERROR(__xludf.DUMMYFUNCTION("""COMPUTED_VALUE"""),68.0)</f>
        <v>68</v>
      </c>
      <c r="F2258" s="19" t="str">
        <f>IFERROR(__xludf.DUMMYFUNCTION("""COMPUTED_VALUE"""),"BLACK")</f>
        <v>BLACK</v>
      </c>
      <c r="G2258" s="20" t="str">
        <f>IFERROR(__xludf.DUMMYFUNCTION("""COMPUTED_VALUE"""),"Uncle Sams Cider (5/13/2022)")</f>
        <v>Uncle Sams Cider (5/13/2022)</v>
      </c>
      <c r="H2258" s="19"/>
    </row>
    <row r="2259">
      <c r="A2259" s="9"/>
      <c r="B2259" s="15"/>
      <c r="C2259" s="9">
        <f>IFERROR(__xludf.DUMMYFUNCTION("""COMPUTED_VALUE"""),44773.0831543634)</f>
        <v>44773.08315</v>
      </c>
      <c r="D2259" s="15">
        <f>IFERROR(__xludf.DUMMYFUNCTION("""COMPUTED_VALUE"""),1.004)</f>
        <v>1.004</v>
      </c>
      <c r="E2259" s="16">
        <f>IFERROR(__xludf.DUMMYFUNCTION("""COMPUTED_VALUE"""),68.0)</f>
        <v>68</v>
      </c>
      <c r="F2259" s="19" t="str">
        <f>IFERROR(__xludf.DUMMYFUNCTION("""COMPUTED_VALUE"""),"BLACK")</f>
        <v>BLACK</v>
      </c>
      <c r="G2259" s="20" t="str">
        <f>IFERROR(__xludf.DUMMYFUNCTION("""COMPUTED_VALUE"""),"Uncle Sams Cider (5/13/2022)")</f>
        <v>Uncle Sams Cider (5/13/2022)</v>
      </c>
      <c r="H2259" s="19"/>
    </row>
    <row r="2260">
      <c r="A2260" s="9"/>
      <c r="B2260" s="15"/>
      <c r="C2260" s="9">
        <f>IFERROR(__xludf.DUMMYFUNCTION("""COMPUTED_VALUE"""),44773.0727330324)</f>
        <v>44773.07273</v>
      </c>
      <c r="D2260" s="15">
        <f>IFERROR(__xludf.DUMMYFUNCTION("""COMPUTED_VALUE"""),1.004)</f>
        <v>1.004</v>
      </c>
      <c r="E2260" s="16">
        <f>IFERROR(__xludf.DUMMYFUNCTION("""COMPUTED_VALUE"""),68.0)</f>
        <v>68</v>
      </c>
      <c r="F2260" s="19" t="str">
        <f>IFERROR(__xludf.DUMMYFUNCTION("""COMPUTED_VALUE"""),"BLACK")</f>
        <v>BLACK</v>
      </c>
      <c r="G2260" s="20" t="str">
        <f>IFERROR(__xludf.DUMMYFUNCTION("""COMPUTED_VALUE"""),"Uncle Sams Cider (5/13/2022)")</f>
        <v>Uncle Sams Cider (5/13/2022)</v>
      </c>
      <c r="H2260" s="19"/>
    </row>
    <row r="2261">
      <c r="A2261" s="9"/>
      <c r="B2261" s="15"/>
      <c r="C2261" s="9">
        <f>IFERROR(__xludf.DUMMYFUNCTION("""COMPUTED_VALUE"""),44773.0623012731)</f>
        <v>44773.0623</v>
      </c>
      <c r="D2261" s="15">
        <f>IFERROR(__xludf.DUMMYFUNCTION("""COMPUTED_VALUE"""),1.004)</f>
        <v>1.004</v>
      </c>
      <c r="E2261" s="16">
        <f>IFERROR(__xludf.DUMMYFUNCTION("""COMPUTED_VALUE"""),68.0)</f>
        <v>68</v>
      </c>
      <c r="F2261" s="19" t="str">
        <f>IFERROR(__xludf.DUMMYFUNCTION("""COMPUTED_VALUE"""),"BLACK")</f>
        <v>BLACK</v>
      </c>
      <c r="G2261" s="20" t="str">
        <f>IFERROR(__xludf.DUMMYFUNCTION("""COMPUTED_VALUE"""),"Uncle Sams Cider (5/13/2022)")</f>
        <v>Uncle Sams Cider (5/13/2022)</v>
      </c>
      <c r="H2261" s="19"/>
    </row>
    <row r="2262">
      <c r="A2262" s="9"/>
      <c r="B2262" s="15"/>
      <c r="C2262" s="9">
        <f>IFERROR(__xludf.DUMMYFUNCTION("""COMPUTED_VALUE"""),44773.0518807291)</f>
        <v>44773.05188</v>
      </c>
      <c r="D2262" s="15">
        <f>IFERROR(__xludf.DUMMYFUNCTION("""COMPUTED_VALUE"""),1.004)</f>
        <v>1.004</v>
      </c>
      <c r="E2262" s="16">
        <f>IFERROR(__xludf.DUMMYFUNCTION("""COMPUTED_VALUE"""),68.0)</f>
        <v>68</v>
      </c>
      <c r="F2262" s="19" t="str">
        <f>IFERROR(__xludf.DUMMYFUNCTION("""COMPUTED_VALUE"""),"BLACK")</f>
        <v>BLACK</v>
      </c>
      <c r="G2262" s="20" t="str">
        <f>IFERROR(__xludf.DUMMYFUNCTION("""COMPUTED_VALUE"""),"Uncle Sams Cider (5/13/2022)")</f>
        <v>Uncle Sams Cider (5/13/2022)</v>
      </c>
      <c r="H2262" s="19"/>
    </row>
    <row r="2263">
      <c r="A2263" s="9"/>
      <c r="B2263" s="15"/>
      <c r="C2263" s="9">
        <f>IFERROR(__xludf.DUMMYFUNCTION("""COMPUTED_VALUE"""),44773.0414481713)</f>
        <v>44773.04145</v>
      </c>
      <c r="D2263" s="15">
        <f>IFERROR(__xludf.DUMMYFUNCTION("""COMPUTED_VALUE"""),1.004)</f>
        <v>1.004</v>
      </c>
      <c r="E2263" s="16">
        <f>IFERROR(__xludf.DUMMYFUNCTION("""COMPUTED_VALUE"""),68.0)</f>
        <v>68</v>
      </c>
      <c r="F2263" s="19" t="str">
        <f>IFERROR(__xludf.DUMMYFUNCTION("""COMPUTED_VALUE"""),"BLACK")</f>
        <v>BLACK</v>
      </c>
      <c r="G2263" s="20" t="str">
        <f>IFERROR(__xludf.DUMMYFUNCTION("""COMPUTED_VALUE"""),"Uncle Sams Cider (5/13/2022)")</f>
        <v>Uncle Sams Cider (5/13/2022)</v>
      </c>
      <c r="H2263" s="19"/>
    </row>
    <row r="2264">
      <c r="A2264" s="9"/>
      <c r="B2264" s="15"/>
      <c r="C2264" s="9">
        <f>IFERROR(__xludf.DUMMYFUNCTION("""COMPUTED_VALUE"""),44773.0310273264)</f>
        <v>44773.03103</v>
      </c>
      <c r="D2264" s="15">
        <f>IFERROR(__xludf.DUMMYFUNCTION("""COMPUTED_VALUE"""),1.004)</f>
        <v>1.004</v>
      </c>
      <c r="E2264" s="16">
        <f>IFERROR(__xludf.DUMMYFUNCTION("""COMPUTED_VALUE"""),68.0)</f>
        <v>68</v>
      </c>
      <c r="F2264" s="19" t="str">
        <f>IFERROR(__xludf.DUMMYFUNCTION("""COMPUTED_VALUE"""),"BLACK")</f>
        <v>BLACK</v>
      </c>
      <c r="G2264" s="20" t="str">
        <f>IFERROR(__xludf.DUMMYFUNCTION("""COMPUTED_VALUE"""),"Uncle Sams Cider (5/13/2022)")</f>
        <v>Uncle Sams Cider (5/13/2022)</v>
      </c>
      <c r="H2264" s="19"/>
    </row>
    <row r="2265">
      <c r="A2265" s="9"/>
      <c r="B2265" s="15"/>
      <c r="C2265" s="9">
        <f>IFERROR(__xludf.DUMMYFUNCTION("""COMPUTED_VALUE"""),44773.0205948611)</f>
        <v>44773.02059</v>
      </c>
      <c r="D2265" s="15">
        <f>IFERROR(__xludf.DUMMYFUNCTION("""COMPUTED_VALUE"""),1.004)</f>
        <v>1.004</v>
      </c>
      <c r="E2265" s="16">
        <f>IFERROR(__xludf.DUMMYFUNCTION("""COMPUTED_VALUE"""),68.0)</f>
        <v>68</v>
      </c>
      <c r="F2265" s="19" t="str">
        <f>IFERROR(__xludf.DUMMYFUNCTION("""COMPUTED_VALUE"""),"BLACK")</f>
        <v>BLACK</v>
      </c>
      <c r="G2265" s="20" t="str">
        <f>IFERROR(__xludf.DUMMYFUNCTION("""COMPUTED_VALUE"""),"Uncle Sams Cider (5/13/2022)")</f>
        <v>Uncle Sams Cider (5/13/2022)</v>
      </c>
      <c r="H2265" s="19"/>
    </row>
    <row r="2266">
      <c r="A2266" s="9"/>
      <c r="B2266" s="15"/>
      <c r="C2266" s="9">
        <f>IFERROR(__xludf.DUMMYFUNCTION("""COMPUTED_VALUE"""),44773.0101731249)</f>
        <v>44773.01017</v>
      </c>
      <c r="D2266" s="15">
        <f>IFERROR(__xludf.DUMMYFUNCTION("""COMPUTED_VALUE"""),1.004)</f>
        <v>1.004</v>
      </c>
      <c r="E2266" s="16">
        <f>IFERROR(__xludf.DUMMYFUNCTION("""COMPUTED_VALUE"""),68.0)</f>
        <v>68</v>
      </c>
      <c r="F2266" s="19" t="str">
        <f>IFERROR(__xludf.DUMMYFUNCTION("""COMPUTED_VALUE"""),"BLACK")</f>
        <v>BLACK</v>
      </c>
      <c r="G2266" s="20" t="str">
        <f>IFERROR(__xludf.DUMMYFUNCTION("""COMPUTED_VALUE"""),"Uncle Sams Cider (5/13/2022)")</f>
        <v>Uncle Sams Cider (5/13/2022)</v>
      </c>
      <c r="H2266" s="19"/>
    </row>
    <row r="2267">
      <c r="A2267" s="9"/>
      <c r="B2267" s="15"/>
      <c r="C2267" s="9">
        <f>IFERROR(__xludf.DUMMYFUNCTION("""COMPUTED_VALUE"""),44772.9997528009)</f>
        <v>44772.99975</v>
      </c>
      <c r="D2267" s="15">
        <f>IFERROR(__xludf.DUMMYFUNCTION("""COMPUTED_VALUE"""),1.004)</f>
        <v>1.004</v>
      </c>
      <c r="E2267" s="16">
        <f>IFERROR(__xludf.DUMMYFUNCTION("""COMPUTED_VALUE"""),68.0)</f>
        <v>68</v>
      </c>
      <c r="F2267" s="19" t="str">
        <f>IFERROR(__xludf.DUMMYFUNCTION("""COMPUTED_VALUE"""),"BLACK")</f>
        <v>BLACK</v>
      </c>
      <c r="G2267" s="20" t="str">
        <f>IFERROR(__xludf.DUMMYFUNCTION("""COMPUTED_VALUE"""),"Uncle Sams Cider (5/13/2022)")</f>
        <v>Uncle Sams Cider (5/13/2022)</v>
      </c>
      <c r="H2267" s="19"/>
    </row>
    <row r="2268">
      <c r="A2268" s="9"/>
      <c r="B2268" s="15"/>
      <c r="C2268" s="9">
        <f>IFERROR(__xludf.DUMMYFUNCTION("""COMPUTED_VALUE"""),44772.9893300926)</f>
        <v>44772.98933</v>
      </c>
      <c r="D2268" s="15">
        <f>IFERROR(__xludf.DUMMYFUNCTION("""COMPUTED_VALUE"""),1.004)</f>
        <v>1.004</v>
      </c>
      <c r="E2268" s="16">
        <f>IFERROR(__xludf.DUMMYFUNCTION("""COMPUTED_VALUE"""),68.0)</f>
        <v>68</v>
      </c>
      <c r="F2268" s="19" t="str">
        <f>IFERROR(__xludf.DUMMYFUNCTION("""COMPUTED_VALUE"""),"BLACK")</f>
        <v>BLACK</v>
      </c>
      <c r="G2268" s="20" t="str">
        <f>IFERROR(__xludf.DUMMYFUNCTION("""COMPUTED_VALUE"""),"Uncle Sams Cider (5/13/2022)")</f>
        <v>Uncle Sams Cider (5/13/2022)</v>
      </c>
      <c r="H2268" s="19"/>
    </row>
    <row r="2269">
      <c r="A2269" s="9"/>
      <c r="B2269" s="15"/>
      <c r="C2269" s="9">
        <f>IFERROR(__xludf.DUMMYFUNCTION("""COMPUTED_VALUE"""),44772.9789099074)</f>
        <v>44772.97891</v>
      </c>
      <c r="D2269" s="15">
        <f>IFERROR(__xludf.DUMMYFUNCTION("""COMPUTED_VALUE"""),1.004)</f>
        <v>1.004</v>
      </c>
      <c r="E2269" s="16">
        <f>IFERROR(__xludf.DUMMYFUNCTION("""COMPUTED_VALUE"""),68.0)</f>
        <v>68</v>
      </c>
      <c r="F2269" s="19" t="str">
        <f>IFERROR(__xludf.DUMMYFUNCTION("""COMPUTED_VALUE"""),"BLACK")</f>
        <v>BLACK</v>
      </c>
      <c r="G2269" s="20" t="str">
        <f>IFERROR(__xludf.DUMMYFUNCTION("""COMPUTED_VALUE"""),"Uncle Sams Cider (5/13/2022)")</f>
        <v>Uncle Sams Cider (5/13/2022)</v>
      </c>
      <c r="H2269" s="19"/>
    </row>
    <row r="2270">
      <c r="A2270" s="9"/>
      <c r="B2270" s="15"/>
      <c r="C2270" s="9">
        <f>IFERROR(__xludf.DUMMYFUNCTION("""COMPUTED_VALUE"""),44772.9684758101)</f>
        <v>44772.96848</v>
      </c>
      <c r="D2270" s="15">
        <f>IFERROR(__xludf.DUMMYFUNCTION("""COMPUTED_VALUE"""),1.004)</f>
        <v>1.004</v>
      </c>
      <c r="E2270" s="16">
        <f>IFERROR(__xludf.DUMMYFUNCTION("""COMPUTED_VALUE"""),67.0)</f>
        <v>67</v>
      </c>
      <c r="F2270" s="19" t="str">
        <f>IFERROR(__xludf.DUMMYFUNCTION("""COMPUTED_VALUE"""),"BLACK")</f>
        <v>BLACK</v>
      </c>
      <c r="G2270" s="20" t="str">
        <f>IFERROR(__xludf.DUMMYFUNCTION("""COMPUTED_VALUE"""),"Uncle Sams Cider (5/13/2022)")</f>
        <v>Uncle Sams Cider (5/13/2022)</v>
      </c>
      <c r="H2270" s="19"/>
    </row>
    <row r="2271">
      <c r="A2271" s="9"/>
      <c r="B2271" s="15"/>
      <c r="C2271" s="9">
        <f>IFERROR(__xludf.DUMMYFUNCTION("""COMPUTED_VALUE"""),44772.9580550347)</f>
        <v>44772.95806</v>
      </c>
      <c r="D2271" s="15">
        <f>IFERROR(__xludf.DUMMYFUNCTION("""COMPUTED_VALUE"""),1.004)</f>
        <v>1.004</v>
      </c>
      <c r="E2271" s="16">
        <f>IFERROR(__xludf.DUMMYFUNCTION("""COMPUTED_VALUE"""),67.0)</f>
        <v>67</v>
      </c>
      <c r="F2271" s="19" t="str">
        <f>IFERROR(__xludf.DUMMYFUNCTION("""COMPUTED_VALUE"""),"BLACK")</f>
        <v>BLACK</v>
      </c>
      <c r="G2271" s="20" t="str">
        <f>IFERROR(__xludf.DUMMYFUNCTION("""COMPUTED_VALUE"""),"Uncle Sams Cider (5/13/2022)")</f>
        <v>Uncle Sams Cider (5/13/2022)</v>
      </c>
      <c r="H2271" s="19"/>
    </row>
    <row r="2272">
      <c r="A2272" s="9"/>
      <c r="B2272" s="15"/>
      <c r="C2272" s="9">
        <f>IFERROR(__xludf.DUMMYFUNCTION("""COMPUTED_VALUE"""),44772.9476234606)</f>
        <v>44772.94762</v>
      </c>
      <c r="D2272" s="15">
        <f>IFERROR(__xludf.DUMMYFUNCTION("""COMPUTED_VALUE"""),1.004)</f>
        <v>1.004</v>
      </c>
      <c r="E2272" s="16">
        <f>IFERROR(__xludf.DUMMYFUNCTION("""COMPUTED_VALUE"""),67.0)</f>
        <v>67</v>
      </c>
      <c r="F2272" s="19" t="str">
        <f>IFERROR(__xludf.DUMMYFUNCTION("""COMPUTED_VALUE"""),"BLACK")</f>
        <v>BLACK</v>
      </c>
      <c r="G2272" s="20" t="str">
        <f>IFERROR(__xludf.DUMMYFUNCTION("""COMPUTED_VALUE"""),"Uncle Sams Cider (5/13/2022)")</f>
        <v>Uncle Sams Cider (5/13/2022)</v>
      </c>
      <c r="H2272" s="19"/>
    </row>
    <row r="2273">
      <c r="A2273" s="9"/>
      <c r="B2273" s="15"/>
      <c r="C2273" s="9">
        <f>IFERROR(__xludf.DUMMYFUNCTION("""COMPUTED_VALUE"""),44772.9372025694)</f>
        <v>44772.9372</v>
      </c>
      <c r="D2273" s="15">
        <f>IFERROR(__xludf.DUMMYFUNCTION("""COMPUTED_VALUE"""),1.004)</f>
        <v>1.004</v>
      </c>
      <c r="E2273" s="16">
        <f>IFERROR(__xludf.DUMMYFUNCTION("""COMPUTED_VALUE"""),67.0)</f>
        <v>67</v>
      </c>
      <c r="F2273" s="19" t="str">
        <f>IFERROR(__xludf.DUMMYFUNCTION("""COMPUTED_VALUE"""),"BLACK")</f>
        <v>BLACK</v>
      </c>
      <c r="G2273" s="20" t="str">
        <f>IFERROR(__xludf.DUMMYFUNCTION("""COMPUTED_VALUE"""),"Uncle Sams Cider (5/13/2022)")</f>
        <v>Uncle Sams Cider (5/13/2022)</v>
      </c>
      <c r="H2273" s="19"/>
    </row>
    <row r="2274">
      <c r="A2274" s="9"/>
      <c r="B2274" s="15"/>
      <c r="C2274" s="9">
        <f>IFERROR(__xludf.DUMMYFUNCTION("""COMPUTED_VALUE"""),44772.9267824768)</f>
        <v>44772.92678</v>
      </c>
      <c r="D2274" s="15">
        <f>IFERROR(__xludf.DUMMYFUNCTION("""COMPUTED_VALUE"""),1.004)</f>
        <v>1.004</v>
      </c>
      <c r="E2274" s="16">
        <f>IFERROR(__xludf.DUMMYFUNCTION("""COMPUTED_VALUE"""),67.0)</f>
        <v>67</v>
      </c>
      <c r="F2274" s="19" t="str">
        <f>IFERROR(__xludf.DUMMYFUNCTION("""COMPUTED_VALUE"""),"BLACK")</f>
        <v>BLACK</v>
      </c>
      <c r="G2274" s="20" t="str">
        <f>IFERROR(__xludf.DUMMYFUNCTION("""COMPUTED_VALUE"""),"Uncle Sams Cider (5/13/2022)")</f>
        <v>Uncle Sams Cider (5/13/2022)</v>
      </c>
      <c r="H2274" s="19"/>
    </row>
    <row r="2275">
      <c r="A2275" s="9"/>
      <c r="B2275" s="15"/>
      <c r="C2275" s="9">
        <f>IFERROR(__xludf.DUMMYFUNCTION("""COMPUTED_VALUE"""),44772.9163498032)</f>
        <v>44772.91635</v>
      </c>
      <c r="D2275" s="15">
        <f>IFERROR(__xludf.DUMMYFUNCTION("""COMPUTED_VALUE"""),1.004)</f>
        <v>1.004</v>
      </c>
      <c r="E2275" s="16">
        <f>IFERROR(__xludf.DUMMYFUNCTION("""COMPUTED_VALUE"""),67.0)</f>
        <v>67</v>
      </c>
      <c r="F2275" s="19" t="str">
        <f>IFERROR(__xludf.DUMMYFUNCTION("""COMPUTED_VALUE"""),"BLACK")</f>
        <v>BLACK</v>
      </c>
      <c r="G2275" s="20" t="str">
        <f>IFERROR(__xludf.DUMMYFUNCTION("""COMPUTED_VALUE"""),"Uncle Sams Cider (5/13/2022)")</f>
        <v>Uncle Sams Cider (5/13/2022)</v>
      </c>
      <c r="H2275" s="19"/>
    </row>
    <row r="2276">
      <c r="A2276" s="9"/>
      <c r="B2276" s="15"/>
      <c r="C2276" s="9">
        <f>IFERROR(__xludf.DUMMYFUNCTION("""COMPUTED_VALUE"""),44772.9059180324)</f>
        <v>44772.90592</v>
      </c>
      <c r="D2276" s="15">
        <f>IFERROR(__xludf.DUMMYFUNCTION("""COMPUTED_VALUE"""),1.004)</f>
        <v>1.004</v>
      </c>
      <c r="E2276" s="16">
        <f>IFERROR(__xludf.DUMMYFUNCTION("""COMPUTED_VALUE"""),67.0)</f>
        <v>67</v>
      </c>
      <c r="F2276" s="19" t="str">
        <f>IFERROR(__xludf.DUMMYFUNCTION("""COMPUTED_VALUE"""),"BLACK")</f>
        <v>BLACK</v>
      </c>
      <c r="G2276" s="20" t="str">
        <f>IFERROR(__xludf.DUMMYFUNCTION("""COMPUTED_VALUE"""),"Uncle Sams Cider (5/13/2022)")</f>
        <v>Uncle Sams Cider (5/13/2022)</v>
      </c>
      <c r="H2276" s="19"/>
    </row>
    <row r="2277">
      <c r="A2277" s="9"/>
      <c r="B2277" s="15"/>
      <c r="C2277" s="9">
        <f>IFERROR(__xludf.DUMMYFUNCTION("""COMPUTED_VALUE"""),44772.8954732754)</f>
        <v>44772.89547</v>
      </c>
      <c r="D2277" s="15">
        <f>IFERROR(__xludf.DUMMYFUNCTION("""COMPUTED_VALUE"""),1.004)</f>
        <v>1.004</v>
      </c>
      <c r="E2277" s="16">
        <f>IFERROR(__xludf.DUMMYFUNCTION("""COMPUTED_VALUE"""),67.0)</f>
        <v>67</v>
      </c>
      <c r="F2277" s="19" t="str">
        <f>IFERROR(__xludf.DUMMYFUNCTION("""COMPUTED_VALUE"""),"BLACK")</f>
        <v>BLACK</v>
      </c>
      <c r="G2277" s="20" t="str">
        <f>IFERROR(__xludf.DUMMYFUNCTION("""COMPUTED_VALUE"""),"Uncle Sams Cider (5/13/2022)")</f>
        <v>Uncle Sams Cider (5/13/2022)</v>
      </c>
      <c r="H2277" s="19"/>
    </row>
    <row r="2278">
      <c r="A2278" s="9"/>
      <c r="B2278" s="15"/>
      <c r="C2278" s="9">
        <f>IFERROR(__xludf.DUMMYFUNCTION("""COMPUTED_VALUE"""),44772.8850524421)</f>
        <v>44772.88505</v>
      </c>
      <c r="D2278" s="15">
        <f>IFERROR(__xludf.DUMMYFUNCTION("""COMPUTED_VALUE"""),1.004)</f>
        <v>1.004</v>
      </c>
      <c r="E2278" s="16">
        <f>IFERROR(__xludf.DUMMYFUNCTION("""COMPUTED_VALUE"""),67.0)</f>
        <v>67</v>
      </c>
      <c r="F2278" s="19" t="str">
        <f>IFERROR(__xludf.DUMMYFUNCTION("""COMPUTED_VALUE"""),"BLACK")</f>
        <v>BLACK</v>
      </c>
      <c r="G2278" s="20" t="str">
        <f>IFERROR(__xludf.DUMMYFUNCTION("""COMPUTED_VALUE"""),"Uncle Sams Cider (5/13/2022)")</f>
        <v>Uncle Sams Cider (5/13/2022)</v>
      </c>
      <c r="H2278" s="19"/>
    </row>
    <row r="2279">
      <c r="A2279" s="9"/>
      <c r="B2279" s="15"/>
      <c r="C2279" s="9">
        <f>IFERROR(__xludf.DUMMYFUNCTION("""COMPUTED_VALUE"""),44772.8746321875)</f>
        <v>44772.87463</v>
      </c>
      <c r="D2279" s="15">
        <f>IFERROR(__xludf.DUMMYFUNCTION("""COMPUTED_VALUE"""),1.004)</f>
        <v>1.004</v>
      </c>
      <c r="E2279" s="16">
        <f>IFERROR(__xludf.DUMMYFUNCTION("""COMPUTED_VALUE"""),67.0)</f>
        <v>67</v>
      </c>
      <c r="F2279" s="19" t="str">
        <f>IFERROR(__xludf.DUMMYFUNCTION("""COMPUTED_VALUE"""),"BLACK")</f>
        <v>BLACK</v>
      </c>
      <c r="G2279" s="20" t="str">
        <f>IFERROR(__xludf.DUMMYFUNCTION("""COMPUTED_VALUE"""),"Uncle Sams Cider (5/13/2022)")</f>
        <v>Uncle Sams Cider (5/13/2022)</v>
      </c>
      <c r="H2279" s="19"/>
    </row>
    <row r="2280">
      <c r="A2280" s="9"/>
      <c r="B2280" s="15"/>
      <c r="C2280" s="9">
        <f>IFERROR(__xludf.DUMMYFUNCTION("""COMPUTED_VALUE"""),44772.8642098032)</f>
        <v>44772.86421</v>
      </c>
      <c r="D2280" s="15">
        <f>IFERROR(__xludf.DUMMYFUNCTION("""COMPUTED_VALUE"""),1.004)</f>
        <v>1.004</v>
      </c>
      <c r="E2280" s="16">
        <f>IFERROR(__xludf.DUMMYFUNCTION("""COMPUTED_VALUE"""),67.0)</f>
        <v>67</v>
      </c>
      <c r="F2280" s="19" t="str">
        <f>IFERROR(__xludf.DUMMYFUNCTION("""COMPUTED_VALUE"""),"BLACK")</f>
        <v>BLACK</v>
      </c>
      <c r="G2280" s="20" t="str">
        <f>IFERROR(__xludf.DUMMYFUNCTION("""COMPUTED_VALUE"""),"Uncle Sams Cider (5/13/2022)")</f>
        <v>Uncle Sams Cider (5/13/2022)</v>
      </c>
      <c r="H2280" s="19"/>
    </row>
    <row r="2281">
      <c r="A2281" s="9"/>
      <c r="B2281" s="15"/>
      <c r="C2281" s="9">
        <f>IFERROR(__xludf.DUMMYFUNCTION("""COMPUTED_VALUE"""),44772.8537773148)</f>
        <v>44772.85378</v>
      </c>
      <c r="D2281" s="15">
        <f>IFERROR(__xludf.DUMMYFUNCTION("""COMPUTED_VALUE"""),1.004)</f>
        <v>1.004</v>
      </c>
      <c r="E2281" s="16">
        <f>IFERROR(__xludf.DUMMYFUNCTION("""COMPUTED_VALUE"""),67.0)</f>
        <v>67</v>
      </c>
      <c r="F2281" s="19" t="str">
        <f>IFERROR(__xludf.DUMMYFUNCTION("""COMPUTED_VALUE"""),"BLACK")</f>
        <v>BLACK</v>
      </c>
      <c r="G2281" s="20" t="str">
        <f>IFERROR(__xludf.DUMMYFUNCTION("""COMPUTED_VALUE"""),"Uncle Sams Cider (5/13/2022)")</f>
        <v>Uncle Sams Cider (5/13/2022)</v>
      </c>
      <c r="H2281" s="19"/>
    </row>
    <row r="2282">
      <c r="A2282" s="9"/>
      <c r="B2282" s="15"/>
      <c r="C2282" s="9">
        <f>IFERROR(__xludf.DUMMYFUNCTION("""COMPUTED_VALUE"""),44772.8433451388)</f>
        <v>44772.84335</v>
      </c>
      <c r="D2282" s="15">
        <f>IFERROR(__xludf.DUMMYFUNCTION("""COMPUTED_VALUE"""),1.004)</f>
        <v>1.004</v>
      </c>
      <c r="E2282" s="16">
        <f>IFERROR(__xludf.DUMMYFUNCTION("""COMPUTED_VALUE"""),67.0)</f>
        <v>67</v>
      </c>
      <c r="F2282" s="19" t="str">
        <f>IFERROR(__xludf.DUMMYFUNCTION("""COMPUTED_VALUE"""),"BLACK")</f>
        <v>BLACK</v>
      </c>
      <c r="G2282" s="20" t="str">
        <f>IFERROR(__xludf.DUMMYFUNCTION("""COMPUTED_VALUE"""),"Uncle Sams Cider (5/13/2022)")</f>
        <v>Uncle Sams Cider (5/13/2022)</v>
      </c>
      <c r="H2282" s="19"/>
    </row>
    <row r="2283">
      <c r="A2283" s="9"/>
      <c r="B2283" s="15"/>
      <c r="C2283" s="9">
        <f>IFERROR(__xludf.DUMMYFUNCTION("""COMPUTED_VALUE"""),44772.8329215046)</f>
        <v>44772.83292</v>
      </c>
      <c r="D2283" s="15">
        <f>IFERROR(__xludf.DUMMYFUNCTION("""COMPUTED_VALUE"""),1.004)</f>
        <v>1.004</v>
      </c>
      <c r="E2283" s="16">
        <f>IFERROR(__xludf.DUMMYFUNCTION("""COMPUTED_VALUE"""),67.0)</f>
        <v>67</v>
      </c>
      <c r="F2283" s="19" t="str">
        <f>IFERROR(__xludf.DUMMYFUNCTION("""COMPUTED_VALUE"""),"BLACK")</f>
        <v>BLACK</v>
      </c>
      <c r="G2283" s="20" t="str">
        <f>IFERROR(__xludf.DUMMYFUNCTION("""COMPUTED_VALUE"""),"Uncle Sams Cider (5/13/2022)")</f>
        <v>Uncle Sams Cider (5/13/2022)</v>
      </c>
      <c r="H2283" s="19"/>
    </row>
    <row r="2284">
      <c r="A2284" s="9"/>
      <c r="B2284" s="15"/>
      <c r="C2284" s="9">
        <f>IFERROR(__xludf.DUMMYFUNCTION("""COMPUTED_VALUE"""),44772.8224872685)</f>
        <v>44772.82249</v>
      </c>
      <c r="D2284" s="15">
        <f>IFERROR(__xludf.DUMMYFUNCTION("""COMPUTED_VALUE"""),1.004)</f>
        <v>1.004</v>
      </c>
      <c r="E2284" s="16">
        <f>IFERROR(__xludf.DUMMYFUNCTION("""COMPUTED_VALUE"""),67.0)</f>
        <v>67</v>
      </c>
      <c r="F2284" s="19" t="str">
        <f>IFERROR(__xludf.DUMMYFUNCTION("""COMPUTED_VALUE"""),"BLACK")</f>
        <v>BLACK</v>
      </c>
      <c r="G2284" s="20" t="str">
        <f>IFERROR(__xludf.DUMMYFUNCTION("""COMPUTED_VALUE"""),"Uncle Sams Cider (5/13/2022)")</f>
        <v>Uncle Sams Cider (5/13/2022)</v>
      </c>
      <c r="H2284" s="19"/>
    </row>
    <row r="2285">
      <c r="A2285" s="9"/>
      <c r="B2285" s="15"/>
      <c r="C2285" s="9">
        <f>IFERROR(__xludf.DUMMYFUNCTION("""COMPUTED_VALUE"""),44772.812068368)</f>
        <v>44772.81207</v>
      </c>
      <c r="D2285" s="15">
        <f>IFERROR(__xludf.DUMMYFUNCTION("""COMPUTED_VALUE"""),1.004)</f>
        <v>1.004</v>
      </c>
      <c r="E2285" s="16">
        <f>IFERROR(__xludf.DUMMYFUNCTION("""COMPUTED_VALUE"""),67.0)</f>
        <v>67</v>
      </c>
      <c r="F2285" s="19" t="str">
        <f>IFERROR(__xludf.DUMMYFUNCTION("""COMPUTED_VALUE"""),"BLACK")</f>
        <v>BLACK</v>
      </c>
      <c r="G2285" s="20" t="str">
        <f>IFERROR(__xludf.DUMMYFUNCTION("""COMPUTED_VALUE"""),"Uncle Sams Cider (5/13/2022)")</f>
        <v>Uncle Sams Cider (5/13/2022)</v>
      </c>
      <c r="H2285" s="19"/>
    </row>
    <row r="2286">
      <c r="A2286" s="9"/>
      <c r="B2286" s="15"/>
      <c r="C2286" s="9">
        <f>IFERROR(__xludf.DUMMYFUNCTION("""COMPUTED_VALUE"""),44772.8016479513)</f>
        <v>44772.80165</v>
      </c>
      <c r="D2286" s="15">
        <f>IFERROR(__xludf.DUMMYFUNCTION("""COMPUTED_VALUE"""),1.004)</f>
        <v>1.004</v>
      </c>
      <c r="E2286" s="16">
        <f>IFERROR(__xludf.DUMMYFUNCTION("""COMPUTED_VALUE"""),67.0)</f>
        <v>67</v>
      </c>
      <c r="F2286" s="19" t="str">
        <f>IFERROR(__xludf.DUMMYFUNCTION("""COMPUTED_VALUE"""),"BLACK")</f>
        <v>BLACK</v>
      </c>
      <c r="G2286" s="20" t="str">
        <f>IFERROR(__xludf.DUMMYFUNCTION("""COMPUTED_VALUE"""),"Uncle Sams Cider (5/13/2022)")</f>
        <v>Uncle Sams Cider (5/13/2022)</v>
      </c>
      <c r="H2286" s="19"/>
    </row>
    <row r="2287">
      <c r="A2287" s="9"/>
      <c r="B2287" s="15"/>
      <c r="C2287" s="9">
        <f>IFERROR(__xludf.DUMMYFUNCTION("""COMPUTED_VALUE"""),44772.7912274652)</f>
        <v>44772.79123</v>
      </c>
      <c r="D2287" s="15">
        <f>IFERROR(__xludf.DUMMYFUNCTION("""COMPUTED_VALUE"""),1.004)</f>
        <v>1.004</v>
      </c>
      <c r="E2287" s="16">
        <f>IFERROR(__xludf.DUMMYFUNCTION("""COMPUTED_VALUE"""),67.0)</f>
        <v>67</v>
      </c>
      <c r="F2287" s="19" t="str">
        <f>IFERROR(__xludf.DUMMYFUNCTION("""COMPUTED_VALUE"""),"BLACK")</f>
        <v>BLACK</v>
      </c>
      <c r="G2287" s="20" t="str">
        <f>IFERROR(__xludf.DUMMYFUNCTION("""COMPUTED_VALUE"""),"Uncle Sams Cider (5/13/2022)")</f>
        <v>Uncle Sams Cider (5/13/2022)</v>
      </c>
      <c r="H2287" s="19"/>
    </row>
    <row r="2288">
      <c r="A2288" s="9"/>
      <c r="B2288" s="15"/>
      <c r="C2288" s="9">
        <f>IFERROR(__xludf.DUMMYFUNCTION("""COMPUTED_VALUE"""),44772.7808055671)</f>
        <v>44772.78081</v>
      </c>
      <c r="D2288" s="15">
        <f>IFERROR(__xludf.DUMMYFUNCTION("""COMPUTED_VALUE"""),1.004)</f>
        <v>1.004</v>
      </c>
      <c r="E2288" s="16">
        <f>IFERROR(__xludf.DUMMYFUNCTION("""COMPUTED_VALUE"""),67.0)</f>
        <v>67</v>
      </c>
      <c r="F2288" s="19" t="str">
        <f>IFERROR(__xludf.DUMMYFUNCTION("""COMPUTED_VALUE"""),"BLACK")</f>
        <v>BLACK</v>
      </c>
      <c r="G2288" s="20" t="str">
        <f>IFERROR(__xludf.DUMMYFUNCTION("""COMPUTED_VALUE"""),"Uncle Sams Cider (5/13/2022)")</f>
        <v>Uncle Sams Cider (5/13/2022)</v>
      </c>
      <c r="H2288" s="19"/>
    </row>
    <row r="2289">
      <c r="A2289" s="9"/>
      <c r="B2289" s="15"/>
      <c r="C2289" s="9">
        <f>IFERROR(__xludf.DUMMYFUNCTION("""COMPUTED_VALUE"""),44772.7703726851)</f>
        <v>44772.77037</v>
      </c>
      <c r="D2289" s="15">
        <f>IFERROR(__xludf.DUMMYFUNCTION("""COMPUTED_VALUE"""),1.004)</f>
        <v>1.004</v>
      </c>
      <c r="E2289" s="16">
        <f>IFERROR(__xludf.DUMMYFUNCTION("""COMPUTED_VALUE"""),67.0)</f>
        <v>67</v>
      </c>
      <c r="F2289" s="19" t="str">
        <f>IFERROR(__xludf.DUMMYFUNCTION("""COMPUTED_VALUE"""),"BLACK")</f>
        <v>BLACK</v>
      </c>
      <c r="G2289" s="20" t="str">
        <f>IFERROR(__xludf.DUMMYFUNCTION("""COMPUTED_VALUE"""),"Uncle Sams Cider (5/13/2022)")</f>
        <v>Uncle Sams Cider (5/13/2022)</v>
      </c>
      <c r="H2289" s="19"/>
    </row>
    <row r="2290">
      <c r="A2290" s="9"/>
      <c r="B2290" s="15"/>
      <c r="C2290" s="9">
        <f>IFERROR(__xludf.DUMMYFUNCTION("""COMPUTED_VALUE"""),44772.759951412)</f>
        <v>44772.75995</v>
      </c>
      <c r="D2290" s="15">
        <f>IFERROR(__xludf.DUMMYFUNCTION("""COMPUTED_VALUE"""),1.004)</f>
        <v>1.004</v>
      </c>
      <c r="E2290" s="16">
        <f>IFERROR(__xludf.DUMMYFUNCTION("""COMPUTED_VALUE"""),67.0)</f>
        <v>67</v>
      </c>
      <c r="F2290" s="19" t="str">
        <f>IFERROR(__xludf.DUMMYFUNCTION("""COMPUTED_VALUE"""),"BLACK")</f>
        <v>BLACK</v>
      </c>
      <c r="G2290" s="20" t="str">
        <f>IFERROR(__xludf.DUMMYFUNCTION("""COMPUTED_VALUE"""),"Uncle Sams Cider (5/13/2022)")</f>
        <v>Uncle Sams Cider (5/13/2022)</v>
      </c>
      <c r="H2290" s="19"/>
    </row>
    <row r="2291">
      <c r="A2291" s="9"/>
      <c r="B2291" s="15"/>
      <c r="C2291" s="9">
        <f>IFERROR(__xludf.DUMMYFUNCTION("""COMPUTED_VALUE"""),44772.7495076967)</f>
        <v>44772.74951</v>
      </c>
      <c r="D2291" s="15">
        <f>IFERROR(__xludf.DUMMYFUNCTION("""COMPUTED_VALUE"""),1.004)</f>
        <v>1.004</v>
      </c>
      <c r="E2291" s="16">
        <f>IFERROR(__xludf.DUMMYFUNCTION("""COMPUTED_VALUE"""),67.0)</f>
        <v>67</v>
      </c>
      <c r="F2291" s="19" t="str">
        <f>IFERROR(__xludf.DUMMYFUNCTION("""COMPUTED_VALUE"""),"BLACK")</f>
        <v>BLACK</v>
      </c>
      <c r="G2291" s="20" t="str">
        <f>IFERROR(__xludf.DUMMYFUNCTION("""COMPUTED_VALUE"""),"Uncle Sams Cider (5/13/2022)")</f>
        <v>Uncle Sams Cider (5/13/2022)</v>
      </c>
      <c r="H2291" s="19"/>
    </row>
    <row r="2292">
      <c r="A2292" s="9"/>
      <c r="B2292" s="15"/>
      <c r="C2292" s="9">
        <f>IFERROR(__xludf.DUMMYFUNCTION("""COMPUTED_VALUE"""),44772.7390730555)</f>
        <v>44772.73907</v>
      </c>
      <c r="D2292" s="15">
        <f>IFERROR(__xludf.DUMMYFUNCTION("""COMPUTED_VALUE"""),1.004)</f>
        <v>1.004</v>
      </c>
      <c r="E2292" s="16">
        <f>IFERROR(__xludf.DUMMYFUNCTION("""COMPUTED_VALUE"""),67.0)</f>
        <v>67</v>
      </c>
      <c r="F2292" s="19" t="str">
        <f>IFERROR(__xludf.DUMMYFUNCTION("""COMPUTED_VALUE"""),"BLACK")</f>
        <v>BLACK</v>
      </c>
      <c r="G2292" s="20" t="str">
        <f>IFERROR(__xludf.DUMMYFUNCTION("""COMPUTED_VALUE"""),"Uncle Sams Cider (5/13/2022)")</f>
        <v>Uncle Sams Cider (5/13/2022)</v>
      </c>
      <c r="H2292" s="19"/>
    </row>
    <row r="2293">
      <c r="A2293" s="9"/>
      <c r="B2293" s="15"/>
      <c r="C2293" s="9">
        <f>IFERROR(__xludf.DUMMYFUNCTION("""COMPUTED_VALUE"""),44772.7286512037)</f>
        <v>44772.72865</v>
      </c>
      <c r="D2293" s="15">
        <f>IFERROR(__xludf.DUMMYFUNCTION("""COMPUTED_VALUE"""),1.004)</f>
        <v>1.004</v>
      </c>
      <c r="E2293" s="16">
        <f>IFERROR(__xludf.DUMMYFUNCTION("""COMPUTED_VALUE"""),67.0)</f>
        <v>67</v>
      </c>
      <c r="F2293" s="19" t="str">
        <f>IFERROR(__xludf.DUMMYFUNCTION("""COMPUTED_VALUE"""),"BLACK")</f>
        <v>BLACK</v>
      </c>
      <c r="G2293" s="20" t="str">
        <f>IFERROR(__xludf.DUMMYFUNCTION("""COMPUTED_VALUE"""),"Uncle Sams Cider (5/13/2022)")</f>
        <v>Uncle Sams Cider (5/13/2022)</v>
      </c>
      <c r="H2293" s="19"/>
    </row>
    <row r="2294">
      <c r="A2294" s="9"/>
      <c r="B2294" s="15"/>
      <c r="C2294" s="9">
        <f>IFERROR(__xludf.DUMMYFUNCTION("""COMPUTED_VALUE"""),44772.7182290162)</f>
        <v>44772.71823</v>
      </c>
      <c r="D2294" s="15">
        <f>IFERROR(__xludf.DUMMYFUNCTION("""COMPUTED_VALUE"""),1.004)</f>
        <v>1.004</v>
      </c>
      <c r="E2294" s="16">
        <f>IFERROR(__xludf.DUMMYFUNCTION("""COMPUTED_VALUE"""),67.0)</f>
        <v>67</v>
      </c>
      <c r="F2294" s="19" t="str">
        <f>IFERROR(__xludf.DUMMYFUNCTION("""COMPUTED_VALUE"""),"BLACK")</f>
        <v>BLACK</v>
      </c>
      <c r="G2294" s="20" t="str">
        <f>IFERROR(__xludf.DUMMYFUNCTION("""COMPUTED_VALUE"""),"Uncle Sams Cider (5/13/2022)")</f>
        <v>Uncle Sams Cider (5/13/2022)</v>
      </c>
      <c r="H2294" s="19"/>
    </row>
    <row r="2295">
      <c r="A2295" s="9"/>
      <c r="B2295" s="15"/>
      <c r="C2295" s="9">
        <f>IFERROR(__xludf.DUMMYFUNCTION("""COMPUTED_VALUE"""),44772.7077974652)</f>
        <v>44772.7078</v>
      </c>
      <c r="D2295" s="15">
        <f>IFERROR(__xludf.DUMMYFUNCTION("""COMPUTED_VALUE"""),1.004)</f>
        <v>1.004</v>
      </c>
      <c r="E2295" s="16">
        <f>IFERROR(__xludf.DUMMYFUNCTION("""COMPUTED_VALUE"""),67.0)</f>
        <v>67</v>
      </c>
      <c r="F2295" s="19" t="str">
        <f>IFERROR(__xludf.DUMMYFUNCTION("""COMPUTED_VALUE"""),"BLACK")</f>
        <v>BLACK</v>
      </c>
      <c r="G2295" s="20" t="str">
        <f>IFERROR(__xludf.DUMMYFUNCTION("""COMPUTED_VALUE"""),"Uncle Sams Cider (5/13/2022)")</f>
        <v>Uncle Sams Cider (5/13/2022)</v>
      </c>
      <c r="H2295" s="19"/>
    </row>
    <row r="2296">
      <c r="A2296" s="9"/>
      <c r="B2296" s="15"/>
      <c r="C2296" s="9">
        <f>IFERROR(__xludf.DUMMYFUNCTION("""COMPUTED_VALUE"""),44772.6973630439)</f>
        <v>44772.69736</v>
      </c>
      <c r="D2296" s="15">
        <f>IFERROR(__xludf.DUMMYFUNCTION("""COMPUTED_VALUE"""),1.004)</f>
        <v>1.004</v>
      </c>
      <c r="E2296" s="16">
        <f>IFERROR(__xludf.DUMMYFUNCTION("""COMPUTED_VALUE"""),67.0)</f>
        <v>67</v>
      </c>
      <c r="F2296" s="19" t="str">
        <f>IFERROR(__xludf.DUMMYFUNCTION("""COMPUTED_VALUE"""),"BLACK")</f>
        <v>BLACK</v>
      </c>
      <c r="G2296" s="20" t="str">
        <f>IFERROR(__xludf.DUMMYFUNCTION("""COMPUTED_VALUE"""),"Uncle Sams Cider (5/13/2022)")</f>
        <v>Uncle Sams Cider (5/13/2022)</v>
      </c>
      <c r="H2296" s="19"/>
    </row>
    <row r="2297">
      <c r="A2297" s="9"/>
      <c r="B2297" s="15"/>
      <c r="C2297" s="9">
        <f>IFERROR(__xludf.DUMMYFUNCTION("""COMPUTED_VALUE"""),44772.6869431134)</f>
        <v>44772.68694</v>
      </c>
      <c r="D2297" s="15">
        <f>IFERROR(__xludf.DUMMYFUNCTION("""COMPUTED_VALUE"""),1.004)</f>
        <v>1.004</v>
      </c>
      <c r="E2297" s="16">
        <f>IFERROR(__xludf.DUMMYFUNCTION("""COMPUTED_VALUE"""),67.0)</f>
        <v>67</v>
      </c>
      <c r="F2297" s="19" t="str">
        <f>IFERROR(__xludf.DUMMYFUNCTION("""COMPUTED_VALUE"""),"BLACK")</f>
        <v>BLACK</v>
      </c>
      <c r="G2297" s="20" t="str">
        <f>IFERROR(__xludf.DUMMYFUNCTION("""COMPUTED_VALUE"""),"Uncle Sams Cider (5/13/2022)")</f>
        <v>Uncle Sams Cider (5/13/2022)</v>
      </c>
      <c r="H2297" s="19"/>
    </row>
    <row r="2298">
      <c r="A2298" s="9"/>
      <c r="B2298" s="15"/>
      <c r="C2298" s="9">
        <f>IFERROR(__xludf.DUMMYFUNCTION("""COMPUTED_VALUE"""),44772.6765083796)</f>
        <v>44772.67651</v>
      </c>
      <c r="D2298" s="15">
        <f>IFERROR(__xludf.DUMMYFUNCTION("""COMPUTED_VALUE"""),1.004)</f>
        <v>1.004</v>
      </c>
      <c r="E2298" s="16">
        <f>IFERROR(__xludf.DUMMYFUNCTION("""COMPUTED_VALUE"""),67.0)</f>
        <v>67</v>
      </c>
      <c r="F2298" s="19" t="str">
        <f>IFERROR(__xludf.DUMMYFUNCTION("""COMPUTED_VALUE"""),"BLACK")</f>
        <v>BLACK</v>
      </c>
      <c r="G2298" s="20" t="str">
        <f>IFERROR(__xludf.DUMMYFUNCTION("""COMPUTED_VALUE"""),"Uncle Sams Cider (5/13/2022)")</f>
        <v>Uncle Sams Cider (5/13/2022)</v>
      </c>
      <c r="H2298" s="19"/>
    </row>
    <row r="2299">
      <c r="A2299" s="9"/>
      <c r="B2299" s="15"/>
      <c r="C2299" s="9">
        <f>IFERROR(__xludf.DUMMYFUNCTION("""COMPUTED_VALUE"""),44772.6660874537)</f>
        <v>44772.66609</v>
      </c>
      <c r="D2299" s="15">
        <f>IFERROR(__xludf.DUMMYFUNCTION("""COMPUTED_VALUE"""),1.004)</f>
        <v>1.004</v>
      </c>
      <c r="E2299" s="16">
        <f>IFERROR(__xludf.DUMMYFUNCTION("""COMPUTED_VALUE"""),67.0)</f>
        <v>67</v>
      </c>
      <c r="F2299" s="19" t="str">
        <f>IFERROR(__xludf.DUMMYFUNCTION("""COMPUTED_VALUE"""),"BLACK")</f>
        <v>BLACK</v>
      </c>
      <c r="G2299" s="20" t="str">
        <f>IFERROR(__xludf.DUMMYFUNCTION("""COMPUTED_VALUE"""),"Uncle Sams Cider (5/13/2022)")</f>
        <v>Uncle Sams Cider (5/13/2022)</v>
      </c>
      <c r="H2299" s="19"/>
    </row>
    <row r="2300">
      <c r="A2300" s="9"/>
      <c r="B2300" s="15"/>
      <c r="C2300" s="9">
        <f>IFERROR(__xludf.DUMMYFUNCTION("""COMPUTED_VALUE"""),44772.655665243)</f>
        <v>44772.65567</v>
      </c>
      <c r="D2300" s="15">
        <f>IFERROR(__xludf.DUMMYFUNCTION("""COMPUTED_VALUE"""),1.004)</f>
        <v>1.004</v>
      </c>
      <c r="E2300" s="16">
        <f>IFERROR(__xludf.DUMMYFUNCTION("""COMPUTED_VALUE"""),67.0)</f>
        <v>67</v>
      </c>
      <c r="F2300" s="19" t="str">
        <f>IFERROR(__xludf.DUMMYFUNCTION("""COMPUTED_VALUE"""),"BLACK")</f>
        <v>BLACK</v>
      </c>
      <c r="G2300" s="20" t="str">
        <f>IFERROR(__xludf.DUMMYFUNCTION("""COMPUTED_VALUE"""),"Uncle Sams Cider (5/13/2022)")</f>
        <v>Uncle Sams Cider (5/13/2022)</v>
      </c>
      <c r="H2300" s="19"/>
    </row>
    <row r="2301">
      <c r="A2301" s="9"/>
      <c r="B2301" s="15"/>
      <c r="C2301" s="9">
        <f>IFERROR(__xludf.DUMMYFUNCTION("""COMPUTED_VALUE"""),44772.6452454976)</f>
        <v>44772.64525</v>
      </c>
      <c r="D2301" s="15">
        <f>IFERROR(__xludf.DUMMYFUNCTION("""COMPUTED_VALUE"""),1.004)</f>
        <v>1.004</v>
      </c>
      <c r="E2301" s="16">
        <f>IFERROR(__xludf.DUMMYFUNCTION("""COMPUTED_VALUE"""),67.0)</f>
        <v>67</v>
      </c>
      <c r="F2301" s="19" t="str">
        <f>IFERROR(__xludf.DUMMYFUNCTION("""COMPUTED_VALUE"""),"BLACK")</f>
        <v>BLACK</v>
      </c>
      <c r="G2301" s="20" t="str">
        <f>IFERROR(__xludf.DUMMYFUNCTION("""COMPUTED_VALUE"""),"Uncle Sams Cider (5/13/2022)")</f>
        <v>Uncle Sams Cider (5/13/2022)</v>
      </c>
      <c r="H2301" s="19"/>
    </row>
    <row r="2302">
      <c r="A2302" s="9"/>
      <c r="B2302" s="15"/>
      <c r="C2302" s="9">
        <f>IFERROR(__xludf.DUMMYFUNCTION("""COMPUTED_VALUE"""),44772.6348237615)</f>
        <v>44772.63482</v>
      </c>
      <c r="D2302" s="15">
        <f>IFERROR(__xludf.DUMMYFUNCTION("""COMPUTED_VALUE"""),1.004)</f>
        <v>1.004</v>
      </c>
      <c r="E2302" s="16">
        <f>IFERROR(__xludf.DUMMYFUNCTION("""COMPUTED_VALUE"""),67.0)</f>
        <v>67</v>
      </c>
      <c r="F2302" s="19" t="str">
        <f>IFERROR(__xludf.DUMMYFUNCTION("""COMPUTED_VALUE"""),"BLACK")</f>
        <v>BLACK</v>
      </c>
      <c r="G2302" s="20" t="str">
        <f>IFERROR(__xludf.DUMMYFUNCTION("""COMPUTED_VALUE"""),"Uncle Sams Cider (5/13/2022)")</f>
        <v>Uncle Sams Cider (5/13/2022)</v>
      </c>
      <c r="H2302" s="19"/>
    </row>
    <row r="2303">
      <c r="A2303" s="9"/>
      <c r="B2303" s="15"/>
      <c r="C2303" s="9">
        <f>IFERROR(__xludf.DUMMYFUNCTION("""COMPUTED_VALUE"""),44772.6243902199)</f>
        <v>44772.62439</v>
      </c>
      <c r="D2303" s="15">
        <f>IFERROR(__xludf.DUMMYFUNCTION("""COMPUTED_VALUE"""),1.004)</f>
        <v>1.004</v>
      </c>
      <c r="E2303" s="16">
        <f>IFERROR(__xludf.DUMMYFUNCTION("""COMPUTED_VALUE"""),67.0)</f>
        <v>67</v>
      </c>
      <c r="F2303" s="19" t="str">
        <f>IFERROR(__xludf.DUMMYFUNCTION("""COMPUTED_VALUE"""),"BLACK")</f>
        <v>BLACK</v>
      </c>
      <c r="G2303" s="20" t="str">
        <f>IFERROR(__xludf.DUMMYFUNCTION("""COMPUTED_VALUE"""),"Uncle Sams Cider (5/13/2022)")</f>
        <v>Uncle Sams Cider (5/13/2022)</v>
      </c>
      <c r="H2303" s="19"/>
    </row>
    <row r="2304">
      <c r="A2304" s="9"/>
      <c r="B2304" s="15"/>
      <c r="C2304" s="9">
        <f>IFERROR(__xludf.DUMMYFUNCTION("""COMPUTED_VALUE"""),44772.6139693287)</f>
        <v>44772.61397</v>
      </c>
      <c r="D2304" s="15">
        <f>IFERROR(__xludf.DUMMYFUNCTION("""COMPUTED_VALUE"""),1.004)</f>
        <v>1.004</v>
      </c>
      <c r="E2304" s="16">
        <f>IFERROR(__xludf.DUMMYFUNCTION("""COMPUTED_VALUE"""),67.0)</f>
        <v>67</v>
      </c>
      <c r="F2304" s="19" t="str">
        <f>IFERROR(__xludf.DUMMYFUNCTION("""COMPUTED_VALUE"""),"BLACK")</f>
        <v>BLACK</v>
      </c>
      <c r="G2304" s="20" t="str">
        <f>IFERROR(__xludf.DUMMYFUNCTION("""COMPUTED_VALUE"""),"Uncle Sams Cider (5/13/2022)")</f>
        <v>Uncle Sams Cider (5/13/2022)</v>
      </c>
      <c r="H2304" s="19"/>
    </row>
    <row r="2305">
      <c r="A2305" s="9"/>
      <c r="B2305" s="15"/>
      <c r="C2305" s="9">
        <f>IFERROR(__xludf.DUMMYFUNCTION("""COMPUTED_VALUE"""),44772.6035482986)</f>
        <v>44772.60355</v>
      </c>
      <c r="D2305" s="15">
        <f>IFERROR(__xludf.DUMMYFUNCTION("""COMPUTED_VALUE"""),1.004)</f>
        <v>1.004</v>
      </c>
      <c r="E2305" s="16">
        <f>IFERROR(__xludf.DUMMYFUNCTION("""COMPUTED_VALUE"""),67.0)</f>
        <v>67</v>
      </c>
      <c r="F2305" s="19" t="str">
        <f>IFERROR(__xludf.DUMMYFUNCTION("""COMPUTED_VALUE"""),"BLACK")</f>
        <v>BLACK</v>
      </c>
      <c r="G2305" s="20" t="str">
        <f>IFERROR(__xludf.DUMMYFUNCTION("""COMPUTED_VALUE"""),"Uncle Sams Cider (5/13/2022)")</f>
        <v>Uncle Sams Cider (5/13/2022)</v>
      </c>
      <c r="H2305" s="19"/>
    </row>
    <row r="2306">
      <c r="A2306" s="9"/>
      <c r="B2306" s="15"/>
      <c r="C2306" s="9">
        <f>IFERROR(__xludf.DUMMYFUNCTION("""COMPUTED_VALUE"""),44772.5931167129)</f>
        <v>44772.59312</v>
      </c>
      <c r="D2306" s="15">
        <f>IFERROR(__xludf.DUMMYFUNCTION("""COMPUTED_VALUE"""),1.004)</f>
        <v>1.004</v>
      </c>
      <c r="E2306" s="16">
        <f>IFERROR(__xludf.DUMMYFUNCTION("""COMPUTED_VALUE"""),67.0)</f>
        <v>67</v>
      </c>
      <c r="F2306" s="19" t="str">
        <f>IFERROR(__xludf.DUMMYFUNCTION("""COMPUTED_VALUE"""),"BLACK")</f>
        <v>BLACK</v>
      </c>
      <c r="G2306" s="20" t="str">
        <f>IFERROR(__xludf.DUMMYFUNCTION("""COMPUTED_VALUE"""),"Uncle Sams Cider (5/13/2022)")</f>
        <v>Uncle Sams Cider (5/13/2022)</v>
      </c>
      <c r="H2306" s="19"/>
    </row>
    <row r="2307">
      <c r="A2307" s="9"/>
      <c r="B2307" s="15"/>
      <c r="C2307" s="9">
        <f>IFERROR(__xludf.DUMMYFUNCTION("""COMPUTED_VALUE"""),44772.582695324)</f>
        <v>44772.5827</v>
      </c>
      <c r="D2307" s="15">
        <f>IFERROR(__xludf.DUMMYFUNCTION("""COMPUTED_VALUE"""),1.004)</f>
        <v>1.004</v>
      </c>
      <c r="E2307" s="16">
        <f>IFERROR(__xludf.DUMMYFUNCTION("""COMPUTED_VALUE"""),67.0)</f>
        <v>67</v>
      </c>
      <c r="F2307" s="19" t="str">
        <f>IFERROR(__xludf.DUMMYFUNCTION("""COMPUTED_VALUE"""),"BLACK")</f>
        <v>BLACK</v>
      </c>
      <c r="G2307" s="20" t="str">
        <f>IFERROR(__xludf.DUMMYFUNCTION("""COMPUTED_VALUE"""),"Uncle Sams Cider (5/13/2022)")</f>
        <v>Uncle Sams Cider (5/13/2022)</v>
      </c>
      <c r="H2307" s="19"/>
    </row>
    <row r="2308">
      <c r="A2308" s="9"/>
      <c r="B2308" s="15"/>
      <c r="C2308" s="9">
        <f>IFERROR(__xludf.DUMMYFUNCTION("""COMPUTED_VALUE"""),44772.5722627199)</f>
        <v>44772.57226</v>
      </c>
      <c r="D2308" s="15">
        <f>IFERROR(__xludf.DUMMYFUNCTION("""COMPUTED_VALUE"""),1.004)</f>
        <v>1.004</v>
      </c>
      <c r="E2308" s="16">
        <f>IFERROR(__xludf.DUMMYFUNCTION("""COMPUTED_VALUE"""),67.0)</f>
        <v>67</v>
      </c>
      <c r="F2308" s="19" t="str">
        <f>IFERROR(__xludf.DUMMYFUNCTION("""COMPUTED_VALUE"""),"BLACK")</f>
        <v>BLACK</v>
      </c>
      <c r="G2308" s="20" t="str">
        <f>IFERROR(__xludf.DUMMYFUNCTION("""COMPUTED_VALUE"""),"Uncle Sams Cider (5/13/2022)")</f>
        <v>Uncle Sams Cider (5/13/2022)</v>
      </c>
      <c r="H2308" s="19"/>
    </row>
    <row r="2309">
      <c r="A2309" s="9"/>
      <c r="B2309" s="15"/>
      <c r="C2309" s="9">
        <f>IFERROR(__xludf.DUMMYFUNCTION("""COMPUTED_VALUE"""),44772.5618308564)</f>
        <v>44772.56183</v>
      </c>
      <c r="D2309" s="15">
        <f>IFERROR(__xludf.DUMMYFUNCTION("""COMPUTED_VALUE"""),1.004)</f>
        <v>1.004</v>
      </c>
      <c r="E2309" s="16">
        <f>IFERROR(__xludf.DUMMYFUNCTION("""COMPUTED_VALUE"""),67.0)</f>
        <v>67</v>
      </c>
      <c r="F2309" s="19" t="str">
        <f>IFERROR(__xludf.DUMMYFUNCTION("""COMPUTED_VALUE"""),"BLACK")</f>
        <v>BLACK</v>
      </c>
      <c r="G2309" s="20" t="str">
        <f>IFERROR(__xludf.DUMMYFUNCTION("""COMPUTED_VALUE"""),"Uncle Sams Cider (5/13/2022)")</f>
        <v>Uncle Sams Cider (5/13/2022)</v>
      </c>
      <c r="H2309" s="19"/>
    </row>
    <row r="2310">
      <c r="A2310" s="9"/>
      <c r="B2310" s="15"/>
      <c r="C2310" s="9">
        <f>IFERROR(__xludf.DUMMYFUNCTION("""COMPUTED_VALUE"""),44772.5514100463)</f>
        <v>44772.55141</v>
      </c>
      <c r="D2310" s="15">
        <f>IFERROR(__xludf.DUMMYFUNCTION("""COMPUTED_VALUE"""),1.004)</f>
        <v>1.004</v>
      </c>
      <c r="E2310" s="16">
        <f>IFERROR(__xludf.DUMMYFUNCTION("""COMPUTED_VALUE"""),67.0)</f>
        <v>67</v>
      </c>
      <c r="F2310" s="19" t="str">
        <f>IFERROR(__xludf.DUMMYFUNCTION("""COMPUTED_VALUE"""),"BLACK")</f>
        <v>BLACK</v>
      </c>
      <c r="G2310" s="20" t="str">
        <f>IFERROR(__xludf.DUMMYFUNCTION("""COMPUTED_VALUE"""),"Uncle Sams Cider (5/13/2022)")</f>
        <v>Uncle Sams Cider (5/13/2022)</v>
      </c>
      <c r="H2310" s="19"/>
    </row>
    <row r="2311">
      <c r="A2311" s="9"/>
      <c r="B2311" s="15"/>
      <c r="C2311" s="9">
        <f>IFERROR(__xludf.DUMMYFUNCTION("""COMPUTED_VALUE"""),44772.5409891319)</f>
        <v>44772.54099</v>
      </c>
      <c r="D2311" s="15">
        <f>IFERROR(__xludf.DUMMYFUNCTION("""COMPUTED_VALUE"""),1.004)</f>
        <v>1.004</v>
      </c>
      <c r="E2311" s="16">
        <f>IFERROR(__xludf.DUMMYFUNCTION("""COMPUTED_VALUE"""),67.0)</f>
        <v>67</v>
      </c>
      <c r="F2311" s="19" t="str">
        <f>IFERROR(__xludf.DUMMYFUNCTION("""COMPUTED_VALUE"""),"BLACK")</f>
        <v>BLACK</v>
      </c>
      <c r="G2311" s="20" t="str">
        <f>IFERROR(__xludf.DUMMYFUNCTION("""COMPUTED_VALUE"""),"Uncle Sams Cider (5/13/2022)")</f>
        <v>Uncle Sams Cider (5/13/2022)</v>
      </c>
      <c r="H2311" s="19"/>
    </row>
    <row r="2312">
      <c r="A2312" s="9"/>
      <c r="B2312" s="15"/>
      <c r="C2312" s="9">
        <f>IFERROR(__xludf.DUMMYFUNCTION("""COMPUTED_VALUE"""),44772.5305671296)</f>
        <v>44772.53057</v>
      </c>
      <c r="D2312" s="15">
        <f>IFERROR(__xludf.DUMMYFUNCTION("""COMPUTED_VALUE"""),1.004)</f>
        <v>1.004</v>
      </c>
      <c r="E2312" s="16">
        <f>IFERROR(__xludf.DUMMYFUNCTION("""COMPUTED_VALUE"""),67.0)</f>
        <v>67</v>
      </c>
      <c r="F2312" s="19" t="str">
        <f>IFERROR(__xludf.DUMMYFUNCTION("""COMPUTED_VALUE"""),"BLACK")</f>
        <v>BLACK</v>
      </c>
      <c r="G2312" s="20" t="str">
        <f>IFERROR(__xludf.DUMMYFUNCTION("""COMPUTED_VALUE"""),"Uncle Sams Cider (5/13/2022)")</f>
        <v>Uncle Sams Cider (5/13/2022)</v>
      </c>
      <c r="H2312" s="19"/>
    </row>
    <row r="2313">
      <c r="A2313" s="9"/>
      <c r="B2313" s="15"/>
      <c r="C2313" s="9">
        <f>IFERROR(__xludf.DUMMYFUNCTION("""COMPUTED_VALUE"""),44772.5201340509)</f>
        <v>44772.52013</v>
      </c>
      <c r="D2313" s="15">
        <f>IFERROR(__xludf.DUMMYFUNCTION("""COMPUTED_VALUE"""),1.004)</f>
        <v>1.004</v>
      </c>
      <c r="E2313" s="16">
        <f>IFERROR(__xludf.DUMMYFUNCTION("""COMPUTED_VALUE"""),67.0)</f>
        <v>67</v>
      </c>
      <c r="F2313" s="19" t="str">
        <f>IFERROR(__xludf.DUMMYFUNCTION("""COMPUTED_VALUE"""),"BLACK")</f>
        <v>BLACK</v>
      </c>
      <c r="G2313" s="20" t="str">
        <f>IFERROR(__xludf.DUMMYFUNCTION("""COMPUTED_VALUE"""),"Uncle Sams Cider (5/13/2022)")</f>
        <v>Uncle Sams Cider (5/13/2022)</v>
      </c>
      <c r="H2313" s="19"/>
    </row>
    <row r="2314">
      <c r="A2314" s="9"/>
      <c r="B2314" s="15"/>
      <c r="C2314" s="9">
        <f>IFERROR(__xludf.DUMMYFUNCTION("""COMPUTED_VALUE"""),44772.509713368)</f>
        <v>44772.50971</v>
      </c>
      <c r="D2314" s="15">
        <f>IFERROR(__xludf.DUMMYFUNCTION("""COMPUTED_VALUE"""),1.004)</f>
        <v>1.004</v>
      </c>
      <c r="E2314" s="16">
        <f>IFERROR(__xludf.DUMMYFUNCTION("""COMPUTED_VALUE"""),67.0)</f>
        <v>67</v>
      </c>
      <c r="F2314" s="19" t="str">
        <f>IFERROR(__xludf.DUMMYFUNCTION("""COMPUTED_VALUE"""),"BLACK")</f>
        <v>BLACK</v>
      </c>
      <c r="G2314" s="20" t="str">
        <f>IFERROR(__xludf.DUMMYFUNCTION("""COMPUTED_VALUE"""),"Uncle Sams Cider (5/13/2022)")</f>
        <v>Uncle Sams Cider (5/13/2022)</v>
      </c>
      <c r="H2314" s="19"/>
    </row>
    <row r="2315">
      <c r="A2315" s="9"/>
      <c r="B2315" s="15"/>
      <c r="C2315" s="9">
        <f>IFERROR(__xludf.DUMMYFUNCTION("""COMPUTED_VALUE"""),44772.4992935532)</f>
        <v>44772.49929</v>
      </c>
      <c r="D2315" s="15">
        <f>IFERROR(__xludf.DUMMYFUNCTION("""COMPUTED_VALUE"""),1.004)</f>
        <v>1.004</v>
      </c>
      <c r="E2315" s="16">
        <f>IFERROR(__xludf.DUMMYFUNCTION("""COMPUTED_VALUE"""),67.0)</f>
        <v>67</v>
      </c>
      <c r="F2315" s="19" t="str">
        <f>IFERROR(__xludf.DUMMYFUNCTION("""COMPUTED_VALUE"""),"BLACK")</f>
        <v>BLACK</v>
      </c>
      <c r="G2315" s="20" t="str">
        <f>IFERROR(__xludf.DUMMYFUNCTION("""COMPUTED_VALUE"""),"Uncle Sams Cider (5/13/2022)")</f>
        <v>Uncle Sams Cider (5/13/2022)</v>
      </c>
      <c r="H2315" s="19"/>
    </row>
    <row r="2316">
      <c r="A2316" s="9"/>
      <c r="B2316" s="15"/>
      <c r="C2316" s="9">
        <f>IFERROR(__xludf.DUMMYFUNCTION("""COMPUTED_VALUE"""),44772.4888601041)</f>
        <v>44772.48886</v>
      </c>
      <c r="D2316" s="15">
        <f>IFERROR(__xludf.DUMMYFUNCTION("""COMPUTED_VALUE"""),1.004)</f>
        <v>1.004</v>
      </c>
      <c r="E2316" s="16">
        <f>IFERROR(__xludf.DUMMYFUNCTION("""COMPUTED_VALUE"""),67.0)</f>
        <v>67</v>
      </c>
      <c r="F2316" s="19" t="str">
        <f>IFERROR(__xludf.DUMMYFUNCTION("""COMPUTED_VALUE"""),"BLACK")</f>
        <v>BLACK</v>
      </c>
      <c r="G2316" s="20" t="str">
        <f>IFERROR(__xludf.DUMMYFUNCTION("""COMPUTED_VALUE"""),"Uncle Sams Cider (5/13/2022)")</f>
        <v>Uncle Sams Cider (5/13/2022)</v>
      </c>
      <c r="H2316" s="19"/>
    </row>
    <row r="2317">
      <c r="A2317" s="9"/>
      <c r="B2317" s="15"/>
      <c r="C2317" s="9">
        <f>IFERROR(__xludf.DUMMYFUNCTION("""COMPUTED_VALUE"""),44772.4784401736)</f>
        <v>44772.47844</v>
      </c>
      <c r="D2317" s="15">
        <f>IFERROR(__xludf.DUMMYFUNCTION("""COMPUTED_VALUE"""),1.004)</f>
        <v>1.004</v>
      </c>
      <c r="E2317" s="16">
        <f>IFERROR(__xludf.DUMMYFUNCTION("""COMPUTED_VALUE"""),67.0)</f>
        <v>67</v>
      </c>
      <c r="F2317" s="19" t="str">
        <f>IFERROR(__xludf.DUMMYFUNCTION("""COMPUTED_VALUE"""),"BLACK")</f>
        <v>BLACK</v>
      </c>
      <c r="G2317" s="20" t="str">
        <f>IFERROR(__xludf.DUMMYFUNCTION("""COMPUTED_VALUE"""),"Uncle Sams Cider (5/13/2022)")</f>
        <v>Uncle Sams Cider (5/13/2022)</v>
      </c>
      <c r="H2317" s="19"/>
    </row>
    <row r="2318">
      <c r="A2318" s="9"/>
      <c r="B2318" s="15"/>
      <c r="C2318" s="9">
        <f>IFERROR(__xludf.DUMMYFUNCTION("""COMPUTED_VALUE"""),44772.4679841203)</f>
        <v>44772.46798</v>
      </c>
      <c r="D2318" s="15">
        <f>IFERROR(__xludf.DUMMYFUNCTION("""COMPUTED_VALUE"""),1.004)</f>
        <v>1.004</v>
      </c>
      <c r="E2318" s="16">
        <f>IFERROR(__xludf.DUMMYFUNCTION("""COMPUTED_VALUE"""),67.0)</f>
        <v>67</v>
      </c>
      <c r="F2318" s="19" t="str">
        <f>IFERROR(__xludf.DUMMYFUNCTION("""COMPUTED_VALUE"""),"BLACK")</f>
        <v>BLACK</v>
      </c>
      <c r="G2318" s="20" t="str">
        <f>IFERROR(__xludf.DUMMYFUNCTION("""COMPUTED_VALUE"""),"Uncle Sams Cider (5/13/2022)")</f>
        <v>Uncle Sams Cider (5/13/2022)</v>
      </c>
      <c r="H2318" s="19"/>
    </row>
    <row r="2319">
      <c r="A2319" s="9"/>
      <c r="B2319" s="15"/>
      <c r="C2319" s="9">
        <f>IFERROR(__xludf.DUMMYFUNCTION("""COMPUTED_VALUE"""),44772.4575631018)</f>
        <v>44772.45756</v>
      </c>
      <c r="D2319" s="15">
        <f>IFERROR(__xludf.DUMMYFUNCTION("""COMPUTED_VALUE"""),1.004)</f>
        <v>1.004</v>
      </c>
      <c r="E2319" s="16">
        <f>IFERROR(__xludf.DUMMYFUNCTION("""COMPUTED_VALUE"""),67.0)</f>
        <v>67</v>
      </c>
      <c r="F2319" s="19" t="str">
        <f>IFERROR(__xludf.DUMMYFUNCTION("""COMPUTED_VALUE"""),"BLACK")</f>
        <v>BLACK</v>
      </c>
      <c r="G2319" s="20" t="str">
        <f>IFERROR(__xludf.DUMMYFUNCTION("""COMPUTED_VALUE"""),"Uncle Sams Cider (5/13/2022)")</f>
        <v>Uncle Sams Cider (5/13/2022)</v>
      </c>
      <c r="H2319" s="19"/>
    </row>
    <row r="2320">
      <c r="A2320" s="9"/>
      <c r="B2320" s="15"/>
      <c r="C2320" s="9">
        <f>IFERROR(__xludf.DUMMYFUNCTION("""COMPUTED_VALUE"""),44772.4471429861)</f>
        <v>44772.44714</v>
      </c>
      <c r="D2320" s="15">
        <f>IFERROR(__xludf.DUMMYFUNCTION("""COMPUTED_VALUE"""),1.004)</f>
        <v>1.004</v>
      </c>
      <c r="E2320" s="16">
        <f>IFERROR(__xludf.DUMMYFUNCTION("""COMPUTED_VALUE"""),67.0)</f>
        <v>67</v>
      </c>
      <c r="F2320" s="19" t="str">
        <f>IFERROR(__xludf.DUMMYFUNCTION("""COMPUTED_VALUE"""),"BLACK")</f>
        <v>BLACK</v>
      </c>
      <c r="G2320" s="20" t="str">
        <f>IFERROR(__xludf.DUMMYFUNCTION("""COMPUTED_VALUE"""),"Uncle Sams Cider (5/13/2022)")</f>
        <v>Uncle Sams Cider (5/13/2022)</v>
      </c>
      <c r="H2320" s="19"/>
    </row>
    <row r="2321">
      <c r="A2321" s="9"/>
      <c r="B2321" s="15"/>
      <c r="C2321" s="9">
        <f>IFERROR(__xludf.DUMMYFUNCTION("""COMPUTED_VALUE"""),44772.4367210995)</f>
        <v>44772.43672</v>
      </c>
      <c r="D2321" s="15">
        <f>IFERROR(__xludf.DUMMYFUNCTION("""COMPUTED_VALUE"""),1.004)</f>
        <v>1.004</v>
      </c>
      <c r="E2321" s="16">
        <f>IFERROR(__xludf.DUMMYFUNCTION("""COMPUTED_VALUE"""),67.0)</f>
        <v>67</v>
      </c>
      <c r="F2321" s="19" t="str">
        <f>IFERROR(__xludf.DUMMYFUNCTION("""COMPUTED_VALUE"""),"BLACK")</f>
        <v>BLACK</v>
      </c>
      <c r="G2321" s="20" t="str">
        <f>IFERROR(__xludf.DUMMYFUNCTION("""COMPUTED_VALUE"""),"Uncle Sams Cider (5/13/2022)")</f>
        <v>Uncle Sams Cider (5/13/2022)</v>
      </c>
      <c r="H2321" s="19"/>
    </row>
    <row r="2322">
      <c r="A2322" s="9"/>
      <c r="B2322" s="15"/>
      <c r="C2322" s="9">
        <f>IFERROR(__xludf.DUMMYFUNCTION("""COMPUTED_VALUE"""),44772.4262990625)</f>
        <v>44772.4263</v>
      </c>
      <c r="D2322" s="15">
        <f>IFERROR(__xludf.DUMMYFUNCTION("""COMPUTED_VALUE"""),1.004)</f>
        <v>1.004</v>
      </c>
      <c r="E2322" s="16">
        <f>IFERROR(__xludf.DUMMYFUNCTION("""COMPUTED_VALUE"""),67.0)</f>
        <v>67</v>
      </c>
      <c r="F2322" s="19" t="str">
        <f>IFERROR(__xludf.DUMMYFUNCTION("""COMPUTED_VALUE"""),"BLACK")</f>
        <v>BLACK</v>
      </c>
      <c r="G2322" s="20" t="str">
        <f>IFERROR(__xludf.DUMMYFUNCTION("""COMPUTED_VALUE"""),"Uncle Sams Cider (5/13/2022)")</f>
        <v>Uncle Sams Cider (5/13/2022)</v>
      </c>
      <c r="H2322" s="19"/>
    </row>
    <row r="2323">
      <c r="A2323" s="9"/>
      <c r="B2323" s="15"/>
      <c r="C2323" s="9">
        <f>IFERROR(__xludf.DUMMYFUNCTION("""COMPUTED_VALUE"""),44772.4158773726)</f>
        <v>44772.41588</v>
      </c>
      <c r="D2323" s="15">
        <f>IFERROR(__xludf.DUMMYFUNCTION("""COMPUTED_VALUE"""),1.004)</f>
        <v>1.004</v>
      </c>
      <c r="E2323" s="16">
        <f>IFERROR(__xludf.DUMMYFUNCTION("""COMPUTED_VALUE"""),67.0)</f>
        <v>67</v>
      </c>
      <c r="F2323" s="19" t="str">
        <f>IFERROR(__xludf.DUMMYFUNCTION("""COMPUTED_VALUE"""),"BLACK")</f>
        <v>BLACK</v>
      </c>
      <c r="G2323" s="20" t="str">
        <f>IFERROR(__xludf.DUMMYFUNCTION("""COMPUTED_VALUE"""),"Uncle Sams Cider (5/13/2022)")</f>
        <v>Uncle Sams Cider (5/13/2022)</v>
      </c>
      <c r="H2323" s="19"/>
    </row>
    <row r="2324">
      <c r="A2324" s="9"/>
      <c r="B2324" s="15"/>
      <c r="C2324" s="9">
        <f>IFERROR(__xludf.DUMMYFUNCTION("""COMPUTED_VALUE"""),44772.4054580324)</f>
        <v>44772.40546</v>
      </c>
      <c r="D2324" s="15">
        <f>IFERROR(__xludf.DUMMYFUNCTION("""COMPUTED_VALUE"""),1.004)</f>
        <v>1.004</v>
      </c>
      <c r="E2324" s="16">
        <f>IFERROR(__xludf.DUMMYFUNCTION("""COMPUTED_VALUE"""),67.0)</f>
        <v>67</v>
      </c>
      <c r="F2324" s="19" t="str">
        <f>IFERROR(__xludf.DUMMYFUNCTION("""COMPUTED_VALUE"""),"BLACK")</f>
        <v>BLACK</v>
      </c>
      <c r="G2324" s="20" t="str">
        <f>IFERROR(__xludf.DUMMYFUNCTION("""COMPUTED_VALUE"""),"Uncle Sams Cider (5/13/2022)")</f>
        <v>Uncle Sams Cider (5/13/2022)</v>
      </c>
      <c r="H2324" s="19"/>
    </row>
    <row r="2325">
      <c r="A2325" s="9"/>
      <c r="B2325" s="15"/>
      <c r="C2325" s="9">
        <f>IFERROR(__xludf.DUMMYFUNCTION("""COMPUTED_VALUE"""),44772.3950241319)</f>
        <v>44772.39502</v>
      </c>
      <c r="D2325" s="15">
        <f>IFERROR(__xludf.DUMMYFUNCTION("""COMPUTED_VALUE"""),1.004)</f>
        <v>1.004</v>
      </c>
      <c r="E2325" s="16">
        <f>IFERROR(__xludf.DUMMYFUNCTION("""COMPUTED_VALUE"""),67.0)</f>
        <v>67</v>
      </c>
      <c r="F2325" s="19" t="str">
        <f>IFERROR(__xludf.DUMMYFUNCTION("""COMPUTED_VALUE"""),"BLACK")</f>
        <v>BLACK</v>
      </c>
      <c r="G2325" s="20" t="str">
        <f>IFERROR(__xludf.DUMMYFUNCTION("""COMPUTED_VALUE"""),"Uncle Sams Cider (5/13/2022)")</f>
        <v>Uncle Sams Cider (5/13/2022)</v>
      </c>
      <c r="H2325" s="19"/>
    </row>
    <row r="2326">
      <c r="A2326" s="9"/>
      <c r="B2326" s="15"/>
      <c r="C2326" s="9">
        <f>IFERROR(__xludf.DUMMYFUNCTION("""COMPUTED_VALUE"""),44772.384602037)</f>
        <v>44772.3846</v>
      </c>
      <c r="D2326" s="15">
        <f>IFERROR(__xludf.DUMMYFUNCTION("""COMPUTED_VALUE"""),1.004)</f>
        <v>1.004</v>
      </c>
      <c r="E2326" s="16">
        <f>IFERROR(__xludf.DUMMYFUNCTION("""COMPUTED_VALUE"""),67.0)</f>
        <v>67</v>
      </c>
      <c r="F2326" s="19" t="str">
        <f>IFERROR(__xludf.DUMMYFUNCTION("""COMPUTED_VALUE"""),"BLACK")</f>
        <v>BLACK</v>
      </c>
      <c r="G2326" s="20" t="str">
        <f>IFERROR(__xludf.DUMMYFUNCTION("""COMPUTED_VALUE"""),"Uncle Sams Cider (5/13/2022)")</f>
        <v>Uncle Sams Cider (5/13/2022)</v>
      </c>
      <c r="H2326" s="19"/>
    </row>
    <row r="2327">
      <c r="A2327" s="9"/>
      <c r="B2327" s="15"/>
      <c r="C2327" s="9">
        <f>IFERROR(__xludf.DUMMYFUNCTION("""COMPUTED_VALUE"""),44772.3741797916)</f>
        <v>44772.37418</v>
      </c>
      <c r="D2327" s="15">
        <f>IFERROR(__xludf.DUMMYFUNCTION("""COMPUTED_VALUE"""),1.004)</f>
        <v>1.004</v>
      </c>
      <c r="E2327" s="16">
        <f>IFERROR(__xludf.DUMMYFUNCTION("""COMPUTED_VALUE"""),67.0)</f>
        <v>67</v>
      </c>
      <c r="F2327" s="19" t="str">
        <f>IFERROR(__xludf.DUMMYFUNCTION("""COMPUTED_VALUE"""),"BLACK")</f>
        <v>BLACK</v>
      </c>
      <c r="G2327" s="20" t="str">
        <f>IFERROR(__xludf.DUMMYFUNCTION("""COMPUTED_VALUE"""),"Uncle Sams Cider (5/13/2022)")</f>
        <v>Uncle Sams Cider (5/13/2022)</v>
      </c>
      <c r="H2327" s="19"/>
    </row>
    <row r="2328">
      <c r="A2328" s="9"/>
      <c r="B2328" s="15"/>
      <c r="C2328" s="9">
        <f>IFERROR(__xludf.DUMMYFUNCTION("""COMPUTED_VALUE"""),44772.3637582638)</f>
        <v>44772.36376</v>
      </c>
      <c r="D2328" s="15">
        <f>IFERROR(__xludf.DUMMYFUNCTION("""COMPUTED_VALUE"""),1.004)</f>
        <v>1.004</v>
      </c>
      <c r="E2328" s="16">
        <f>IFERROR(__xludf.DUMMYFUNCTION("""COMPUTED_VALUE"""),67.0)</f>
        <v>67</v>
      </c>
      <c r="F2328" s="19" t="str">
        <f>IFERROR(__xludf.DUMMYFUNCTION("""COMPUTED_VALUE"""),"BLACK")</f>
        <v>BLACK</v>
      </c>
      <c r="G2328" s="20" t="str">
        <f>IFERROR(__xludf.DUMMYFUNCTION("""COMPUTED_VALUE"""),"Uncle Sams Cider (5/13/2022)")</f>
        <v>Uncle Sams Cider (5/13/2022)</v>
      </c>
      <c r="H2328" s="19"/>
    </row>
    <row r="2329">
      <c r="A2329" s="9"/>
      <c r="B2329" s="15"/>
      <c r="C2329" s="9">
        <f>IFERROR(__xludf.DUMMYFUNCTION("""COMPUTED_VALUE"""),44772.353325)</f>
        <v>44772.35333</v>
      </c>
      <c r="D2329" s="15">
        <f>IFERROR(__xludf.DUMMYFUNCTION("""COMPUTED_VALUE"""),1.004)</f>
        <v>1.004</v>
      </c>
      <c r="E2329" s="16">
        <f>IFERROR(__xludf.DUMMYFUNCTION("""COMPUTED_VALUE"""),67.0)</f>
        <v>67</v>
      </c>
      <c r="F2329" s="19" t="str">
        <f>IFERROR(__xludf.DUMMYFUNCTION("""COMPUTED_VALUE"""),"BLACK")</f>
        <v>BLACK</v>
      </c>
      <c r="G2329" s="20" t="str">
        <f>IFERROR(__xludf.DUMMYFUNCTION("""COMPUTED_VALUE"""),"Uncle Sams Cider (5/13/2022)")</f>
        <v>Uncle Sams Cider (5/13/2022)</v>
      </c>
      <c r="H2329" s="19"/>
    </row>
    <row r="2330">
      <c r="A2330" s="9"/>
      <c r="B2330" s="15"/>
      <c r="C2330" s="9">
        <f>IFERROR(__xludf.DUMMYFUNCTION("""COMPUTED_VALUE"""),44772.3429055208)</f>
        <v>44772.34291</v>
      </c>
      <c r="D2330" s="15">
        <f>IFERROR(__xludf.DUMMYFUNCTION("""COMPUTED_VALUE"""),1.004)</f>
        <v>1.004</v>
      </c>
      <c r="E2330" s="16">
        <f>IFERROR(__xludf.DUMMYFUNCTION("""COMPUTED_VALUE"""),66.0)</f>
        <v>66</v>
      </c>
      <c r="F2330" s="19" t="str">
        <f>IFERROR(__xludf.DUMMYFUNCTION("""COMPUTED_VALUE"""),"BLACK")</f>
        <v>BLACK</v>
      </c>
      <c r="G2330" s="20" t="str">
        <f>IFERROR(__xludf.DUMMYFUNCTION("""COMPUTED_VALUE"""),"Uncle Sams Cider (5/13/2022)")</f>
        <v>Uncle Sams Cider (5/13/2022)</v>
      </c>
      <c r="H2330" s="19"/>
    </row>
    <row r="2331">
      <c r="A2331" s="9"/>
      <c r="B2331" s="15"/>
      <c r="C2331" s="9">
        <f>IFERROR(__xludf.DUMMYFUNCTION("""COMPUTED_VALUE"""),44772.3324849652)</f>
        <v>44772.33248</v>
      </c>
      <c r="D2331" s="15">
        <f>IFERROR(__xludf.DUMMYFUNCTION("""COMPUTED_VALUE"""),1.004)</f>
        <v>1.004</v>
      </c>
      <c r="E2331" s="16">
        <f>IFERROR(__xludf.DUMMYFUNCTION("""COMPUTED_VALUE"""),66.0)</f>
        <v>66</v>
      </c>
      <c r="F2331" s="19" t="str">
        <f>IFERROR(__xludf.DUMMYFUNCTION("""COMPUTED_VALUE"""),"BLACK")</f>
        <v>BLACK</v>
      </c>
      <c r="G2331" s="20" t="str">
        <f>IFERROR(__xludf.DUMMYFUNCTION("""COMPUTED_VALUE"""),"Uncle Sams Cider (5/13/2022)")</f>
        <v>Uncle Sams Cider (5/13/2022)</v>
      </c>
      <c r="H2331" s="19"/>
    </row>
    <row r="2332">
      <c r="A2332" s="9"/>
      <c r="B2332" s="15"/>
      <c r="C2332" s="9">
        <f>IFERROR(__xludf.DUMMYFUNCTION("""COMPUTED_VALUE"""),44772.3220635879)</f>
        <v>44772.32206</v>
      </c>
      <c r="D2332" s="15">
        <f>IFERROR(__xludf.DUMMYFUNCTION("""COMPUTED_VALUE"""),1.004)</f>
        <v>1.004</v>
      </c>
      <c r="E2332" s="16">
        <f>IFERROR(__xludf.DUMMYFUNCTION("""COMPUTED_VALUE"""),67.0)</f>
        <v>67</v>
      </c>
      <c r="F2332" s="19" t="str">
        <f>IFERROR(__xludf.DUMMYFUNCTION("""COMPUTED_VALUE"""),"BLACK")</f>
        <v>BLACK</v>
      </c>
      <c r="G2332" s="20" t="str">
        <f>IFERROR(__xludf.DUMMYFUNCTION("""COMPUTED_VALUE"""),"Uncle Sams Cider (5/13/2022)")</f>
        <v>Uncle Sams Cider (5/13/2022)</v>
      </c>
      <c r="H2332" s="19"/>
    </row>
    <row r="2333">
      <c r="A2333" s="9"/>
      <c r="B2333" s="15"/>
      <c r="C2333" s="9">
        <f>IFERROR(__xludf.DUMMYFUNCTION("""COMPUTED_VALUE"""),44772.3116435069)</f>
        <v>44772.31164</v>
      </c>
      <c r="D2333" s="15">
        <f>IFERROR(__xludf.DUMMYFUNCTION("""COMPUTED_VALUE"""),1.004)</f>
        <v>1.004</v>
      </c>
      <c r="E2333" s="16">
        <f>IFERROR(__xludf.DUMMYFUNCTION("""COMPUTED_VALUE"""),67.0)</f>
        <v>67</v>
      </c>
      <c r="F2333" s="19" t="str">
        <f>IFERROR(__xludf.DUMMYFUNCTION("""COMPUTED_VALUE"""),"BLACK")</f>
        <v>BLACK</v>
      </c>
      <c r="G2333" s="20" t="str">
        <f>IFERROR(__xludf.DUMMYFUNCTION("""COMPUTED_VALUE"""),"Uncle Sams Cider (5/13/2022)")</f>
        <v>Uncle Sams Cider (5/13/2022)</v>
      </c>
      <c r="H2333" s="19"/>
    </row>
    <row r="2334">
      <c r="A2334" s="9"/>
      <c r="B2334" s="15"/>
      <c r="C2334" s="9">
        <f>IFERROR(__xludf.DUMMYFUNCTION("""COMPUTED_VALUE"""),44772.3012229166)</f>
        <v>44772.30122</v>
      </c>
      <c r="D2334" s="15">
        <f>IFERROR(__xludf.DUMMYFUNCTION("""COMPUTED_VALUE"""),1.004)</f>
        <v>1.004</v>
      </c>
      <c r="E2334" s="16">
        <f>IFERROR(__xludf.DUMMYFUNCTION("""COMPUTED_VALUE"""),66.0)</f>
        <v>66</v>
      </c>
      <c r="F2334" s="19" t="str">
        <f>IFERROR(__xludf.DUMMYFUNCTION("""COMPUTED_VALUE"""),"BLACK")</f>
        <v>BLACK</v>
      </c>
      <c r="G2334" s="20" t="str">
        <f>IFERROR(__xludf.DUMMYFUNCTION("""COMPUTED_VALUE"""),"Uncle Sams Cider (5/13/2022)")</f>
        <v>Uncle Sams Cider (5/13/2022)</v>
      </c>
      <c r="H2334" s="19"/>
    </row>
    <row r="2335">
      <c r="A2335" s="9"/>
      <c r="B2335" s="15"/>
      <c r="C2335" s="9">
        <f>IFERROR(__xludf.DUMMYFUNCTION("""COMPUTED_VALUE"""),44772.2907921527)</f>
        <v>44772.29079</v>
      </c>
      <c r="D2335" s="15">
        <f>IFERROR(__xludf.DUMMYFUNCTION("""COMPUTED_VALUE"""),1.004)</f>
        <v>1.004</v>
      </c>
      <c r="E2335" s="16">
        <f>IFERROR(__xludf.DUMMYFUNCTION("""COMPUTED_VALUE"""),66.0)</f>
        <v>66</v>
      </c>
      <c r="F2335" s="19" t="str">
        <f>IFERROR(__xludf.DUMMYFUNCTION("""COMPUTED_VALUE"""),"BLACK")</f>
        <v>BLACK</v>
      </c>
      <c r="G2335" s="20" t="str">
        <f>IFERROR(__xludf.DUMMYFUNCTION("""COMPUTED_VALUE"""),"Uncle Sams Cider (5/13/2022)")</f>
        <v>Uncle Sams Cider (5/13/2022)</v>
      </c>
      <c r="H2335" s="19"/>
    </row>
    <row r="2336">
      <c r="A2336" s="9"/>
      <c r="B2336" s="15"/>
      <c r="C2336" s="9">
        <f>IFERROR(__xludf.DUMMYFUNCTION("""COMPUTED_VALUE"""),44772.2803707407)</f>
        <v>44772.28037</v>
      </c>
      <c r="D2336" s="15">
        <f>IFERROR(__xludf.DUMMYFUNCTION("""COMPUTED_VALUE"""),1.004)</f>
        <v>1.004</v>
      </c>
      <c r="E2336" s="16">
        <f>IFERROR(__xludf.DUMMYFUNCTION("""COMPUTED_VALUE"""),66.0)</f>
        <v>66</v>
      </c>
      <c r="F2336" s="19" t="str">
        <f>IFERROR(__xludf.DUMMYFUNCTION("""COMPUTED_VALUE"""),"BLACK")</f>
        <v>BLACK</v>
      </c>
      <c r="G2336" s="20" t="str">
        <f>IFERROR(__xludf.DUMMYFUNCTION("""COMPUTED_VALUE"""),"Uncle Sams Cider (5/13/2022)")</f>
        <v>Uncle Sams Cider (5/13/2022)</v>
      </c>
      <c r="H2336" s="19"/>
    </row>
    <row r="2337">
      <c r="A2337" s="9"/>
      <c r="B2337" s="15"/>
      <c r="C2337" s="9">
        <f>IFERROR(__xludf.DUMMYFUNCTION("""COMPUTED_VALUE"""),44772.26994978)</f>
        <v>44772.26995</v>
      </c>
      <c r="D2337" s="15">
        <f>IFERROR(__xludf.DUMMYFUNCTION("""COMPUTED_VALUE"""),1.004)</f>
        <v>1.004</v>
      </c>
      <c r="E2337" s="16">
        <f>IFERROR(__xludf.DUMMYFUNCTION("""COMPUTED_VALUE"""),66.0)</f>
        <v>66</v>
      </c>
      <c r="F2337" s="19" t="str">
        <f>IFERROR(__xludf.DUMMYFUNCTION("""COMPUTED_VALUE"""),"BLACK")</f>
        <v>BLACK</v>
      </c>
      <c r="G2337" s="20" t="str">
        <f>IFERROR(__xludf.DUMMYFUNCTION("""COMPUTED_VALUE"""),"Uncle Sams Cider (5/13/2022)")</f>
        <v>Uncle Sams Cider (5/13/2022)</v>
      </c>
      <c r="H2337" s="19"/>
    </row>
    <row r="2338">
      <c r="A2338" s="9"/>
      <c r="B2338" s="15"/>
      <c r="C2338" s="9">
        <f>IFERROR(__xludf.DUMMYFUNCTION("""COMPUTED_VALUE"""),44772.2595287268)</f>
        <v>44772.25953</v>
      </c>
      <c r="D2338" s="15">
        <f>IFERROR(__xludf.DUMMYFUNCTION("""COMPUTED_VALUE"""),1.004)</f>
        <v>1.004</v>
      </c>
      <c r="E2338" s="16">
        <f>IFERROR(__xludf.DUMMYFUNCTION("""COMPUTED_VALUE"""),66.0)</f>
        <v>66</v>
      </c>
      <c r="F2338" s="19" t="str">
        <f>IFERROR(__xludf.DUMMYFUNCTION("""COMPUTED_VALUE"""),"BLACK")</f>
        <v>BLACK</v>
      </c>
      <c r="G2338" s="20" t="str">
        <f>IFERROR(__xludf.DUMMYFUNCTION("""COMPUTED_VALUE"""),"Uncle Sams Cider (5/13/2022)")</f>
        <v>Uncle Sams Cider (5/13/2022)</v>
      </c>
      <c r="H2338" s="19"/>
    </row>
    <row r="2339">
      <c r="A2339" s="9"/>
      <c r="B2339" s="15"/>
      <c r="C2339" s="9">
        <f>IFERROR(__xludf.DUMMYFUNCTION("""COMPUTED_VALUE"""),44772.2491092013)</f>
        <v>44772.24911</v>
      </c>
      <c r="D2339" s="15">
        <f>IFERROR(__xludf.DUMMYFUNCTION("""COMPUTED_VALUE"""),1.004)</f>
        <v>1.004</v>
      </c>
      <c r="E2339" s="16">
        <f>IFERROR(__xludf.DUMMYFUNCTION("""COMPUTED_VALUE"""),66.0)</f>
        <v>66</v>
      </c>
      <c r="F2339" s="19" t="str">
        <f>IFERROR(__xludf.DUMMYFUNCTION("""COMPUTED_VALUE"""),"BLACK")</f>
        <v>BLACK</v>
      </c>
      <c r="G2339" s="20" t="str">
        <f>IFERROR(__xludf.DUMMYFUNCTION("""COMPUTED_VALUE"""),"Uncle Sams Cider (5/13/2022)")</f>
        <v>Uncle Sams Cider (5/13/2022)</v>
      </c>
      <c r="H2339" s="19"/>
    </row>
    <row r="2340">
      <c r="A2340" s="9"/>
      <c r="B2340" s="15"/>
      <c r="C2340" s="9">
        <f>IFERROR(__xludf.DUMMYFUNCTION("""COMPUTED_VALUE"""),44772.2386872453)</f>
        <v>44772.23869</v>
      </c>
      <c r="D2340" s="15">
        <f>IFERROR(__xludf.DUMMYFUNCTION("""COMPUTED_VALUE"""),1.004)</f>
        <v>1.004</v>
      </c>
      <c r="E2340" s="16">
        <f>IFERROR(__xludf.DUMMYFUNCTION("""COMPUTED_VALUE"""),66.0)</f>
        <v>66</v>
      </c>
      <c r="F2340" s="19" t="str">
        <f>IFERROR(__xludf.DUMMYFUNCTION("""COMPUTED_VALUE"""),"BLACK")</f>
        <v>BLACK</v>
      </c>
      <c r="G2340" s="20" t="str">
        <f>IFERROR(__xludf.DUMMYFUNCTION("""COMPUTED_VALUE"""),"Uncle Sams Cider (5/13/2022)")</f>
        <v>Uncle Sams Cider (5/13/2022)</v>
      </c>
      <c r="H2340" s="19"/>
    </row>
    <row r="2341">
      <c r="A2341" s="9"/>
      <c r="B2341" s="15"/>
      <c r="C2341" s="9">
        <f>IFERROR(__xludf.DUMMYFUNCTION("""COMPUTED_VALUE"""),44772.2282668055)</f>
        <v>44772.22827</v>
      </c>
      <c r="D2341" s="15">
        <f>IFERROR(__xludf.DUMMYFUNCTION("""COMPUTED_VALUE"""),1.004)</f>
        <v>1.004</v>
      </c>
      <c r="E2341" s="16">
        <f>IFERROR(__xludf.DUMMYFUNCTION("""COMPUTED_VALUE"""),66.0)</f>
        <v>66</v>
      </c>
      <c r="F2341" s="19" t="str">
        <f>IFERROR(__xludf.DUMMYFUNCTION("""COMPUTED_VALUE"""),"BLACK")</f>
        <v>BLACK</v>
      </c>
      <c r="G2341" s="20" t="str">
        <f>IFERROR(__xludf.DUMMYFUNCTION("""COMPUTED_VALUE"""),"Uncle Sams Cider (5/13/2022)")</f>
        <v>Uncle Sams Cider (5/13/2022)</v>
      </c>
      <c r="H2341" s="19"/>
    </row>
    <row r="2342">
      <c r="A2342" s="9"/>
      <c r="B2342" s="15"/>
      <c r="C2342" s="9">
        <f>IFERROR(__xludf.DUMMYFUNCTION("""COMPUTED_VALUE"""),44772.2178457407)</f>
        <v>44772.21785</v>
      </c>
      <c r="D2342" s="15">
        <f>IFERROR(__xludf.DUMMYFUNCTION("""COMPUTED_VALUE"""),1.004)</f>
        <v>1.004</v>
      </c>
      <c r="E2342" s="16">
        <f>IFERROR(__xludf.DUMMYFUNCTION("""COMPUTED_VALUE"""),66.0)</f>
        <v>66</v>
      </c>
      <c r="F2342" s="19" t="str">
        <f>IFERROR(__xludf.DUMMYFUNCTION("""COMPUTED_VALUE"""),"BLACK")</f>
        <v>BLACK</v>
      </c>
      <c r="G2342" s="20" t="str">
        <f>IFERROR(__xludf.DUMMYFUNCTION("""COMPUTED_VALUE"""),"Uncle Sams Cider (5/13/2022)")</f>
        <v>Uncle Sams Cider (5/13/2022)</v>
      </c>
      <c r="H2342" s="19"/>
    </row>
    <row r="2343">
      <c r="A2343" s="9"/>
      <c r="B2343" s="15"/>
      <c r="C2343" s="9">
        <f>IFERROR(__xludf.DUMMYFUNCTION("""COMPUTED_VALUE"""),44772.207422743)</f>
        <v>44772.20742</v>
      </c>
      <c r="D2343" s="15">
        <f>IFERROR(__xludf.DUMMYFUNCTION("""COMPUTED_VALUE"""),1.004)</f>
        <v>1.004</v>
      </c>
      <c r="E2343" s="16">
        <f>IFERROR(__xludf.DUMMYFUNCTION("""COMPUTED_VALUE"""),66.0)</f>
        <v>66</v>
      </c>
      <c r="F2343" s="19" t="str">
        <f>IFERROR(__xludf.DUMMYFUNCTION("""COMPUTED_VALUE"""),"BLACK")</f>
        <v>BLACK</v>
      </c>
      <c r="G2343" s="20" t="str">
        <f>IFERROR(__xludf.DUMMYFUNCTION("""COMPUTED_VALUE"""),"Uncle Sams Cider (5/13/2022)")</f>
        <v>Uncle Sams Cider (5/13/2022)</v>
      </c>
      <c r="H2343" s="19"/>
    </row>
    <row r="2344">
      <c r="A2344" s="9"/>
      <c r="B2344" s="15"/>
      <c r="C2344" s="9">
        <f>IFERROR(__xludf.DUMMYFUNCTION("""COMPUTED_VALUE"""),44772.1970025231)</f>
        <v>44772.197</v>
      </c>
      <c r="D2344" s="15">
        <f>IFERROR(__xludf.DUMMYFUNCTION("""COMPUTED_VALUE"""),1.004)</f>
        <v>1.004</v>
      </c>
      <c r="E2344" s="16">
        <f>IFERROR(__xludf.DUMMYFUNCTION("""COMPUTED_VALUE"""),66.0)</f>
        <v>66</v>
      </c>
      <c r="F2344" s="19" t="str">
        <f>IFERROR(__xludf.DUMMYFUNCTION("""COMPUTED_VALUE"""),"BLACK")</f>
        <v>BLACK</v>
      </c>
      <c r="G2344" s="20" t="str">
        <f>IFERROR(__xludf.DUMMYFUNCTION("""COMPUTED_VALUE"""),"Uncle Sams Cider (5/13/2022)")</f>
        <v>Uncle Sams Cider (5/13/2022)</v>
      </c>
      <c r="H2344" s="19"/>
    </row>
    <row r="2345">
      <c r="A2345" s="9"/>
      <c r="B2345" s="15"/>
      <c r="C2345" s="9">
        <f>IFERROR(__xludf.DUMMYFUNCTION("""COMPUTED_VALUE"""),44772.1865697453)</f>
        <v>44772.18657</v>
      </c>
      <c r="D2345" s="15">
        <f>IFERROR(__xludf.DUMMYFUNCTION("""COMPUTED_VALUE"""),1.004)</f>
        <v>1.004</v>
      </c>
      <c r="E2345" s="16">
        <f>IFERROR(__xludf.DUMMYFUNCTION("""COMPUTED_VALUE"""),66.0)</f>
        <v>66</v>
      </c>
      <c r="F2345" s="19" t="str">
        <f>IFERROR(__xludf.DUMMYFUNCTION("""COMPUTED_VALUE"""),"BLACK")</f>
        <v>BLACK</v>
      </c>
      <c r="G2345" s="20" t="str">
        <f>IFERROR(__xludf.DUMMYFUNCTION("""COMPUTED_VALUE"""),"Uncle Sams Cider (5/13/2022)")</f>
        <v>Uncle Sams Cider (5/13/2022)</v>
      </c>
      <c r="H2345" s="19"/>
    </row>
    <row r="2346">
      <c r="A2346" s="9"/>
      <c r="B2346" s="15"/>
      <c r="C2346" s="9">
        <f>IFERROR(__xludf.DUMMYFUNCTION("""COMPUTED_VALUE"""),44772.176148125)</f>
        <v>44772.17615</v>
      </c>
      <c r="D2346" s="15">
        <f>IFERROR(__xludf.DUMMYFUNCTION("""COMPUTED_VALUE"""),1.004)</f>
        <v>1.004</v>
      </c>
      <c r="E2346" s="16">
        <f>IFERROR(__xludf.DUMMYFUNCTION("""COMPUTED_VALUE"""),66.0)</f>
        <v>66</v>
      </c>
      <c r="F2346" s="19" t="str">
        <f>IFERROR(__xludf.DUMMYFUNCTION("""COMPUTED_VALUE"""),"BLACK")</f>
        <v>BLACK</v>
      </c>
      <c r="G2346" s="20" t="str">
        <f>IFERROR(__xludf.DUMMYFUNCTION("""COMPUTED_VALUE"""),"Uncle Sams Cider (5/13/2022)")</f>
        <v>Uncle Sams Cider (5/13/2022)</v>
      </c>
      <c r="H2346" s="19"/>
    </row>
    <row r="2347">
      <c r="A2347" s="9"/>
      <c r="B2347" s="15"/>
      <c r="C2347" s="9">
        <f>IFERROR(__xludf.DUMMYFUNCTION("""COMPUTED_VALUE"""),44772.1657283101)</f>
        <v>44772.16573</v>
      </c>
      <c r="D2347" s="15">
        <f>IFERROR(__xludf.DUMMYFUNCTION("""COMPUTED_VALUE"""),1.004)</f>
        <v>1.004</v>
      </c>
      <c r="E2347" s="16">
        <f>IFERROR(__xludf.DUMMYFUNCTION("""COMPUTED_VALUE"""),66.0)</f>
        <v>66</v>
      </c>
      <c r="F2347" s="19" t="str">
        <f>IFERROR(__xludf.DUMMYFUNCTION("""COMPUTED_VALUE"""),"BLACK")</f>
        <v>BLACK</v>
      </c>
      <c r="G2347" s="20" t="str">
        <f>IFERROR(__xludf.DUMMYFUNCTION("""COMPUTED_VALUE"""),"Uncle Sams Cider (5/13/2022)")</f>
        <v>Uncle Sams Cider (5/13/2022)</v>
      </c>
      <c r="H2347" s="19"/>
    </row>
    <row r="2348">
      <c r="A2348" s="9"/>
      <c r="B2348" s="15"/>
      <c r="C2348" s="9">
        <f>IFERROR(__xludf.DUMMYFUNCTION("""COMPUTED_VALUE"""),44772.1553067824)</f>
        <v>44772.15531</v>
      </c>
      <c r="D2348" s="15">
        <f>IFERROR(__xludf.DUMMYFUNCTION("""COMPUTED_VALUE"""),1.004)</f>
        <v>1.004</v>
      </c>
      <c r="E2348" s="16">
        <f>IFERROR(__xludf.DUMMYFUNCTION("""COMPUTED_VALUE"""),66.0)</f>
        <v>66</v>
      </c>
      <c r="F2348" s="19" t="str">
        <f>IFERROR(__xludf.DUMMYFUNCTION("""COMPUTED_VALUE"""),"BLACK")</f>
        <v>BLACK</v>
      </c>
      <c r="G2348" s="20" t="str">
        <f>IFERROR(__xludf.DUMMYFUNCTION("""COMPUTED_VALUE"""),"Uncle Sams Cider (5/13/2022)")</f>
        <v>Uncle Sams Cider (5/13/2022)</v>
      </c>
      <c r="H2348" s="19"/>
    </row>
    <row r="2349">
      <c r="A2349" s="9"/>
      <c r="B2349" s="15"/>
      <c r="C2349" s="9">
        <f>IFERROR(__xludf.DUMMYFUNCTION("""COMPUTED_VALUE"""),44772.1448859375)</f>
        <v>44772.14489</v>
      </c>
      <c r="D2349" s="15">
        <f>IFERROR(__xludf.DUMMYFUNCTION("""COMPUTED_VALUE"""),1.004)</f>
        <v>1.004</v>
      </c>
      <c r="E2349" s="16">
        <f>IFERROR(__xludf.DUMMYFUNCTION("""COMPUTED_VALUE"""),66.0)</f>
        <v>66</v>
      </c>
      <c r="F2349" s="19" t="str">
        <f>IFERROR(__xludf.DUMMYFUNCTION("""COMPUTED_VALUE"""),"BLACK")</f>
        <v>BLACK</v>
      </c>
      <c r="G2349" s="20" t="str">
        <f>IFERROR(__xludf.DUMMYFUNCTION("""COMPUTED_VALUE"""),"Uncle Sams Cider (5/13/2022)")</f>
        <v>Uncle Sams Cider (5/13/2022)</v>
      </c>
      <c r="H2349" s="19"/>
    </row>
    <row r="2350">
      <c r="A2350" s="9"/>
      <c r="B2350" s="15"/>
      <c r="C2350" s="9">
        <f>IFERROR(__xludf.DUMMYFUNCTION("""COMPUTED_VALUE"""),44772.1344637037)</f>
        <v>44772.13446</v>
      </c>
      <c r="D2350" s="15">
        <f>IFERROR(__xludf.DUMMYFUNCTION("""COMPUTED_VALUE"""),1.004)</f>
        <v>1.004</v>
      </c>
      <c r="E2350" s="16">
        <f>IFERROR(__xludf.DUMMYFUNCTION("""COMPUTED_VALUE"""),66.0)</f>
        <v>66</v>
      </c>
      <c r="F2350" s="19" t="str">
        <f>IFERROR(__xludf.DUMMYFUNCTION("""COMPUTED_VALUE"""),"BLACK")</f>
        <v>BLACK</v>
      </c>
      <c r="G2350" s="20" t="str">
        <f>IFERROR(__xludf.DUMMYFUNCTION("""COMPUTED_VALUE"""),"Uncle Sams Cider (5/13/2022)")</f>
        <v>Uncle Sams Cider (5/13/2022)</v>
      </c>
      <c r="H2350" s="19"/>
    </row>
    <row r="2351">
      <c r="A2351" s="9"/>
      <c r="B2351" s="15"/>
      <c r="C2351" s="9">
        <f>IFERROR(__xludf.DUMMYFUNCTION("""COMPUTED_VALUE"""),44772.1240431365)</f>
        <v>44772.12404</v>
      </c>
      <c r="D2351" s="15">
        <f>IFERROR(__xludf.DUMMYFUNCTION("""COMPUTED_VALUE"""),1.004)</f>
        <v>1.004</v>
      </c>
      <c r="E2351" s="16">
        <f>IFERROR(__xludf.DUMMYFUNCTION("""COMPUTED_VALUE"""),66.0)</f>
        <v>66</v>
      </c>
      <c r="F2351" s="19" t="str">
        <f>IFERROR(__xludf.DUMMYFUNCTION("""COMPUTED_VALUE"""),"BLACK")</f>
        <v>BLACK</v>
      </c>
      <c r="G2351" s="20" t="str">
        <f>IFERROR(__xludf.DUMMYFUNCTION("""COMPUTED_VALUE"""),"Uncle Sams Cider (5/13/2022)")</f>
        <v>Uncle Sams Cider (5/13/2022)</v>
      </c>
      <c r="H2351" s="19"/>
    </row>
    <row r="2352">
      <c r="A2352" s="9"/>
      <c r="B2352" s="15"/>
      <c r="C2352" s="9">
        <f>IFERROR(__xludf.DUMMYFUNCTION("""COMPUTED_VALUE"""),44772.1136231712)</f>
        <v>44772.11362</v>
      </c>
      <c r="D2352" s="15">
        <f>IFERROR(__xludf.DUMMYFUNCTION("""COMPUTED_VALUE"""),1.003)</f>
        <v>1.003</v>
      </c>
      <c r="E2352" s="16">
        <f>IFERROR(__xludf.DUMMYFUNCTION("""COMPUTED_VALUE"""),66.0)</f>
        <v>66</v>
      </c>
      <c r="F2352" s="19" t="str">
        <f>IFERROR(__xludf.DUMMYFUNCTION("""COMPUTED_VALUE"""),"BLACK")</f>
        <v>BLACK</v>
      </c>
      <c r="G2352" s="20" t="str">
        <f>IFERROR(__xludf.DUMMYFUNCTION("""COMPUTED_VALUE"""),"Uncle Sams Cider (5/13/2022)")</f>
        <v>Uncle Sams Cider (5/13/2022)</v>
      </c>
      <c r="H2352" s="19"/>
    </row>
    <row r="2353">
      <c r="A2353" s="9"/>
      <c r="B2353" s="15"/>
      <c r="C2353" s="9">
        <f>IFERROR(__xludf.DUMMYFUNCTION("""COMPUTED_VALUE"""),44772.1032023611)</f>
        <v>44772.1032</v>
      </c>
      <c r="D2353" s="15">
        <f>IFERROR(__xludf.DUMMYFUNCTION("""COMPUTED_VALUE"""),1.004)</f>
        <v>1.004</v>
      </c>
      <c r="E2353" s="16">
        <f>IFERROR(__xludf.DUMMYFUNCTION("""COMPUTED_VALUE"""),66.0)</f>
        <v>66</v>
      </c>
      <c r="F2353" s="19" t="str">
        <f>IFERROR(__xludf.DUMMYFUNCTION("""COMPUTED_VALUE"""),"BLACK")</f>
        <v>BLACK</v>
      </c>
      <c r="G2353" s="20" t="str">
        <f>IFERROR(__xludf.DUMMYFUNCTION("""COMPUTED_VALUE"""),"Uncle Sams Cider (5/13/2022)")</f>
        <v>Uncle Sams Cider (5/13/2022)</v>
      </c>
      <c r="H2353" s="19"/>
    </row>
    <row r="2354">
      <c r="A2354" s="9"/>
      <c r="B2354" s="15"/>
      <c r="C2354" s="9">
        <f>IFERROR(__xludf.DUMMYFUNCTION("""COMPUTED_VALUE"""),44772.0927812037)</f>
        <v>44772.09278</v>
      </c>
      <c r="D2354" s="15">
        <f>IFERROR(__xludf.DUMMYFUNCTION("""COMPUTED_VALUE"""),1.004)</f>
        <v>1.004</v>
      </c>
      <c r="E2354" s="16">
        <f>IFERROR(__xludf.DUMMYFUNCTION("""COMPUTED_VALUE"""),66.0)</f>
        <v>66</v>
      </c>
      <c r="F2354" s="19" t="str">
        <f>IFERROR(__xludf.DUMMYFUNCTION("""COMPUTED_VALUE"""),"BLACK")</f>
        <v>BLACK</v>
      </c>
      <c r="G2354" s="20" t="str">
        <f>IFERROR(__xludf.DUMMYFUNCTION("""COMPUTED_VALUE"""),"Uncle Sams Cider (5/13/2022)")</f>
        <v>Uncle Sams Cider (5/13/2022)</v>
      </c>
      <c r="H2354" s="19"/>
    </row>
    <row r="2355">
      <c r="A2355" s="9"/>
      <c r="B2355" s="15"/>
      <c r="C2355" s="9">
        <f>IFERROR(__xludf.DUMMYFUNCTION("""COMPUTED_VALUE"""),44772.0823600231)</f>
        <v>44772.08236</v>
      </c>
      <c r="D2355" s="15">
        <f>IFERROR(__xludf.DUMMYFUNCTION("""COMPUTED_VALUE"""),1.004)</f>
        <v>1.004</v>
      </c>
      <c r="E2355" s="16">
        <f>IFERROR(__xludf.DUMMYFUNCTION("""COMPUTED_VALUE"""),66.0)</f>
        <v>66</v>
      </c>
      <c r="F2355" s="19" t="str">
        <f>IFERROR(__xludf.DUMMYFUNCTION("""COMPUTED_VALUE"""),"BLACK")</f>
        <v>BLACK</v>
      </c>
      <c r="G2355" s="20" t="str">
        <f>IFERROR(__xludf.DUMMYFUNCTION("""COMPUTED_VALUE"""),"Uncle Sams Cider (5/13/2022)")</f>
        <v>Uncle Sams Cider (5/13/2022)</v>
      </c>
      <c r="H2355" s="19"/>
    </row>
    <row r="2356">
      <c r="A2356" s="9"/>
      <c r="B2356" s="15"/>
      <c r="C2356" s="9">
        <f>IFERROR(__xludf.DUMMYFUNCTION("""COMPUTED_VALUE"""),44772.0719384143)</f>
        <v>44772.07194</v>
      </c>
      <c r="D2356" s="15">
        <f>IFERROR(__xludf.DUMMYFUNCTION("""COMPUTED_VALUE"""),1.004)</f>
        <v>1.004</v>
      </c>
      <c r="E2356" s="16">
        <f>IFERROR(__xludf.DUMMYFUNCTION("""COMPUTED_VALUE"""),66.0)</f>
        <v>66</v>
      </c>
      <c r="F2356" s="19" t="str">
        <f>IFERROR(__xludf.DUMMYFUNCTION("""COMPUTED_VALUE"""),"BLACK")</f>
        <v>BLACK</v>
      </c>
      <c r="G2356" s="20" t="str">
        <f>IFERROR(__xludf.DUMMYFUNCTION("""COMPUTED_VALUE"""),"Uncle Sams Cider (5/13/2022)")</f>
        <v>Uncle Sams Cider (5/13/2022)</v>
      </c>
      <c r="H2356" s="19"/>
    </row>
    <row r="2357">
      <c r="A2357" s="9"/>
      <c r="B2357" s="15"/>
      <c r="C2357" s="9">
        <f>IFERROR(__xludf.DUMMYFUNCTION("""COMPUTED_VALUE"""),44772.0615172685)</f>
        <v>44772.06152</v>
      </c>
      <c r="D2357" s="15">
        <f>IFERROR(__xludf.DUMMYFUNCTION("""COMPUTED_VALUE"""),1.004)</f>
        <v>1.004</v>
      </c>
      <c r="E2357" s="16">
        <f>IFERROR(__xludf.DUMMYFUNCTION("""COMPUTED_VALUE"""),66.0)</f>
        <v>66</v>
      </c>
      <c r="F2357" s="19" t="str">
        <f>IFERROR(__xludf.DUMMYFUNCTION("""COMPUTED_VALUE"""),"BLACK")</f>
        <v>BLACK</v>
      </c>
      <c r="G2357" s="20" t="str">
        <f>IFERROR(__xludf.DUMMYFUNCTION("""COMPUTED_VALUE"""),"Uncle Sams Cider (5/13/2022)")</f>
        <v>Uncle Sams Cider (5/13/2022)</v>
      </c>
      <c r="H2357" s="19"/>
    </row>
    <row r="2358">
      <c r="A2358" s="9"/>
      <c r="B2358" s="15"/>
      <c r="C2358" s="9">
        <f>IFERROR(__xludf.DUMMYFUNCTION("""COMPUTED_VALUE"""),44772.0510955555)</f>
        <v>44772.0511</v>
      </c>
      <c r="D2358" s="15">
        <f>IFERROR(__xludf.DUMMYFUNCTION("""COMPUTED_VALUE"""),1.004)</f>
        <v>1.004</v>
      </c>
      <c r="E2358" s="16">
        <f>IFERROR(__xludf.DUMMYFUNCTION("""COMPUTED_VALUE"""),66.0)</f>
        <v>66</v>
      </c>
      <c r="F2358" s="19" t="str">
        <f>IFERROR(__xludf.DUMMYFUNCTION("""COMPUTED_VALUE"""),"BLACK")</f>
        <v>BLACK</v>
      </c>
      <c r="G2358" s="20" t="str">
        <f>IFERROR(__xludf.DUMMYFUNCTION("""COMPUTED_VALUE"""),"Uncle Sams Cider (5/13/2022)")</f>
        <v>Uncle Sams Cider (5/13/2022)</v>
      </c>
      <c r="H2358" s="19"/>
    </row>
    <row r="2359">
      <c r="A2359" s="9"/>
      <c r="B2359" s="15"/>
      <c r="C2359" s="9">
        <f>IFERROR(__xludf.DUMMYFUNCTION("""COMPUTED_VALUE"""),44772.0406744675)</f>
        <v>44772.04067</v>
      </c>
      <c r="D2359" s="15">
        <f>IFERROR(__xludf.DUMMYFUNCTION("""COMPUTED_VALUE"""),1.004)</f>
        <v>1.004</v>
      </c>
      <c r="E2359" s="16">
        <f>IFERROR(__xludf.DUMMYFUNCTION("""COMPUTED_VALUE"""),66.0)</f>
        <v>66</v>
      </c>
      <c r="F2359" s="19" t="str">
        <f>IFERROR(__xludf.DUMMYFUNCTION("""COMPUTED_VALUE"""),"BLACK")</f>
        <v>BLACK</v>
      </c>
      <c r="G2359" s="20" t="str">
        <f>IFERROR(__xludf.DUMMYFUNCTION("""COMPUTED_VALUE"""),"Uncle Sams Cider (5/13/2022)")</f>
        <v>Uncle Sams Cider (5/13/2022)</v>
      </c>
      <c r="H2359" s="19"/>
    </row>
    <row r="2360">
      <c r="A2360" s="9"/>
      <c r="B2360" s="15"/>
      <c r="C2360" s="9">
        <f>IFERROR(__xludf.DUMMYFUNCTION("""COMPUTED_VALUE"""),44772.0302522106)</f>
        <v>44772.03025</v>
      </c>
      <c r="D2360" s="15">
        <f>IFERROR(__xludf.DUMMYFUNCTION("""COMPUTED_VALUE"""),1.004)</f>
        <v>1.004</v>
      </c>
      <c r="E2360" s="16">
        <f>IFERROR(__xludf.DUMMYFUNCTION("""COMPUTED_VALUE"""),66.0)</f>
        <v>66</v>
      </c>
      <c r="F2360" s="19" t="str">
        <f>IFERROR(__xludf.DUMMYFUNCTION("""COMPUTED_VALUE"""),"BLACK")</f>
        <v>BLACK</v>
      </c>
      <c r="G2360" s="20" t="str">
        <f>IFERROR(__xludf.DUMMYFUNCTION("""COMPUTED_VALUE"""),"Uncle Sams Cider (5/13/2022)")</f>
        <v>Uncle Sams Cider (5/13/2022)</v>
      </c>
      <c r="H2360" s="19"/>
    </row>
    <row r="2361">
      <c r="A2361" s="9"/>
      <c r="B2361" s="15"/>
      <c r="C2361" s="9">
        <f>IFERROR(__xludf.DUMMYFUNCTION("""COMPUTED_VALUE"""),44772.019832662)</f>
        <v>44772.01983</v>
      </c>
      <c r="D2361" s="15">
        <f>IFERROR(__xludf.DUMMYFUNCTION("""COMPUTED_VALUE"""),1.004)</f>
        <v>1.004</v>
      </c>
      <c r="E2361" s="16">
        <f>IFERROR(__xludf.DUMMYFUNCTION("""COMPUTED_VALUE"""),66.0)</f>
        <v>66</v>
      </c>
      <c r="F2361" s="19" t="str">
        <f>IFERROR(__xludf.DUMMYFUNCTION("""COMPUTED_VALUE"""),"BLACK")</f>
        <v>BLACK</v>
      </c>
      <c r="G2361" s="20" t="str">
        <f>IFERROR(__xludf.DUMMYFUNCTION("""COMPUTED_VALUE"""),"Uncle Sams Cider (5/13/2022)")</f>
        <v>Uncle Sams Cider (5/13/2022)</v>
      </c>
      <c r="H2361" s="19"/>
    </row>
    <row r="2362">
      <c r="A2362" s="9"/>
      <c r="B2362" s="15"/>
      <c r="C2362" s="9">
        <f>IFERROR(__xludf.DUMMYFUNCTION("""COMPUTED_VALUE"""),44772.0094111574)</f>
        <v>44772.00941</v>
      </c>
      <c r="D2362" s="15">
        <f>IFERROR(__xludf.DUMMYFUNCTION("""COMPUTED_VALUE"""),1.004)</f>
        <v>1.004</v>
      </c>
      <c r="E2362" s="16">
        <f>IFERROR(__xludf.DUMMYFUNCTION("""COMPUTED_VALUE"""),66.0)</f>
        <v>66</v>
      </c>
      <c r="F2362" s="19" t="str">
        <f>IFERROR(__xludf.DUMMYFUNCTION("""COMPUTED_VALUE"""),"BLACK")</f>
        <v>BLACK</v>
      </c>
      <c r="G2362" s="20" t="str">
        <f>IFERROR(__xludf.DUMMYFUNCTION("""COMPUTED_VALUE"""),"Uncle Sams Cider (5/13/2022)")</f>
        <v>Uncle Sams Cider (5/13/2022)</v>
      </c>
      <c r="H2362" s="19"/>
    </row>
    <row r="2363">
      <c r="A2363" s="9"/>
      <c r="B2363" s="15"/>
      <c r="C2363" s="9">
        <f>IFERROR(__xludf.DUMMYFUNCTION("""COMPUTED_VALUE"""),44771.9989775)</f>
        <v>44771.99898</v>
      </c>
      <c r="D2363" s="15">
        <f>IFERROR(__xludf.DUMMYFUNCTION("""COMPUTED_VALUE"""),1.004)</f>
        <v>1.004</v>
      </c>
      <c r="E2363" s="16">
        <f>IFERROR(__xludf.DUMMYFUNCTION("""COMPUTED_VALUE"""),66.0)</f>
        <v>66</v>
      </c>
      <c r="F2363" s="19" t="str">
        <f>IFERROR(__xludf.DUMMYFUNCTION("""COMPUTED_VALUE"""),"BLACK")</f>
        <v>BLACK</v>
      </c>
      <c r="G2363" s="20" t="str">
        <f>IFERROR(__xludf.DUMMYFUNCTION("""COMPUTED_VALUE"""),"Uncle Sams Cider (5/13/2022)")</f>
        <v>Uncle Sams Cider (5/13/2022)</v>
      </c>
      <c r="H2363" s="19"/>
    </row>
    <row r="2364">
      <c r="A2364" s="9"/>
      <c r="B2364" s="15"/>
      <c r="C2364" s="9">
        <f>IFERROR(__xludf.DUMMYFUNCTION("""COMPUTED_VALUE"""),44771.988557581)</f>
        <v>44771.98856</v>
      </c>
      <c r="D2364" s="15">
        <f>IFERROR(__xludf.DUMMYFUNCTION("""COMPUTED_VALUE"""),1.004)</f>
        <v>1.004</v>
      </c>
      <c r="E2364" s="16">
        <f>IFERROR(__xludf.DUMMYFUNCTION("""COMPUTED_VALUE"""),66.0)</f>
        <v>66</v>
      </c>
      <c r="F2364" s="19" t="str">
        <f>IFERROR(__xludf.DUMMYFUNCTION("""COMPUTED_VALUE"""),"BLACK")</f>
        <v>BLACK</v>
      </c>
      <c r="G2364" s="20" t="str">
        <f>IFERROR(__xludf.DUMMYFUNCTION("""COMPUTED_VALUE"""),"Uncle Sams Cider (5/13/2022)")</f>
        <v>Uncle Sams Cider (5/13/2022)</v>
      </c>
      <c r="H2364" s="19"/>
    </row>
    <row r="2365">
      <c r="A2365" s="9"/>
      <c r="B2365" s="15"/>
      <c r="C2365" s="9">
        <f>IFERROR(__xludf.DUMMYFUNCTION("""COMPUTED_VALUE"""),44771.9781352083)</f>
        <v>44771.97814</v>
      </c>
      <c r="D2365" s="15">
        <f>IFERROR(__xludf.DUMMYFUNCTION("""COMPUTED_VALUE"""),1.004)</f>
        <v>1.004</v>
      </c>
      <c r="E2365" s="16">
        <f>IFERROR(__xludf.DUMMYFUNCTION("""COMPUTED_VALUE"""),66.0)</f>
        <v>66</v>
      </c>
      <c r="F2365" s="19" t="str">
        <f>IFERROR(__xludf.DUMMYFUNCTION("""COMPUTED_VALUE"""),"BLACK")</f>
        <v>BLACK</v>
      </c>
      <c r="G2365" s="20" t="str">
        <f>IFERROR(__xludf.DUMMYFUNCTION("""COMPUTED_VALUE"""),"Uncle Sams Cider (5/13/2022)")</f>
        <v>Uncle Sams Cider (5/13/2022)</v>
      </c>
      <c r="H2365" s="19"/>
    </row>
    <row r="2366">
      <c r="A2366" s="9"/>
      <c r="B2366" s="15"/>
      <c r="C2366" s="9">
        <f>IFERROR(__xludf.DUMMYFUNCTION("""COMPUTED_VALUE"""),44771.9677128009)</f>
        <v>44771.96771</v>
      </c>
      <c r="D2366" s="15">
        <f>IFERROR(__xludf.DUMMYFUNCTION("""COMPUTED_VALUE"""),1.004)</f>
        <v>1.004</v>
      </c>
      <c r="E2366" s="16">
        <f>IFERROR(__xludf.DUMMYFUNCTION("""COMPUTED_VALUE"""),66.0)</f>
        <v>66</v>
      </c>
      <c r="F2366" s="19" t="str">
        <f>IFERROR(__xludf.DUMMYFUNCTION("""COMPUTED_VALUE"""),"BLACK")</f>
        <v>BLACK</v>
      </c>
      <c r="G2366" s="20" t="str">
        <f>IFERROR(__xludf.DUMMYFUNCTION("""COMPUTED_VALUE"""),"Uncle Sams Cider (5/13/2022)")</f>
        <v>Uncle Sams Cider (5/13/2022)</v>
      </c>
      <c r="H2366" s="19"/>
    </row>
    <row r="2367">
      <c r="A2367" s="9"/>
      <c r="B2367" s="15"/>
      <c r="C2367" s="9">
        <f>IFERROR(__xludf.DUMMYFUNCTION("""COMPUTED_VALUE"""),44771.9572790972)</f>
        <v>44771.95728</v>
      </c>
      <c r="D2367" s="15">
        <f>IFERROR(__xludf.DUMMYFUNCTION("""COMPUTED_VALUE"""),1.004)</f>
        <v>1.004</v>
      </c>
      <c r="E2367" s="16">
        <f>IFERROR(__xludf.DUMMYFUNCTION("""COMPUTED_VALUE"""),66.0)</f>
        <v>66</v>
      </c>
      <c r="F2367" s="19" t="str">
        <f>IFERROR(__xludf.DUMMYFUNCTION("""COMPUTED_VALUE"""),"BLACK")</f>
        <v>BLACK</v>
      </c>
      <c r="G2367" s="20" t="str">
        <f>IFERROR(__xludf.DUMMYFUNCTION("""COMPUTED_VALUE"""),"Uncle Sams Cider (5/13/2022)")</f>
        <v>Uncle Sams Cider (5/13/2022)</v>
      </c>
      <c r="H2367" s="19"/>
    </row>
    <row r="2368">
      <c r="A2368" s="9"/>
      <c r="B2368" s="15"/>
      <c r="C2368" s="9">
        <f>IFERROR(__xludf.DUMMYFUNCTION("""COMPUTED_VALUE"""),44771.9468449074)</f>
        <v>44771.94684</v>
      </c>
      <c r="D2368" s="15">
        <f>IFERROR(__xludf.DUMMYFUNCTION("""COMPUTED_VALUE"""),1.004)</f>
        <v>1.004</v>
      </c>
      <c r="E2368" s="16">
        <f>IFERROR(__xludf.DUMMYFUNCTION("""COMPUTED_VALUE"""),67.0)</f>
        <v>67</v>
      </c>
      <c r="F2368" s="19" t="str">
        <f>IFERROR(__xludf.DUMMYFUNCTION("""COMPUTED_VALUE"""),"BLACK")</f>
        <v>BLACK</v>
      </c>
      <c r="G2368" s="20" t="str">
        <f>IFERROR(__xludf.DUMMYFUNCTION("""COMPUTED_VALUE"""),"Uncle Sams Cider (5/13/2022)")</f>
        <v>Uncle Sams Cider (5/13/2022)</v>
      </c>
      <c r="H2368" s="19"/>
    </row>
    <row r="2369">
      <c r="A2369" s="9"/>
      <c r="B2369" s="15"/>
      <c r="C2369" s="9">
        <f>IFERROR(__xludf.DUMMYFUNCTION("""COMPUTED_VALUE"""),44771.9364234259)</f>
        <v>44771.93642</v>
      </c>
      <c r="D2369" s="15">
        <f>IFERROR(__xludf.DUMMYFUNCTION("""COMPUTED_VALUE"""),1.004)</f>
        <v>1.004</v>
      </c>
      <c r="E2369" s="16">
        <f>IFERROR(__xludf.DUMMYFUNCTION("""COMPUTED_VALUE"""),67.0)</f>
        <v>67</v>
      </c>
      <c r="F2369" s="19" t="str">
        <f>IFERROR(__xludf.DUMMYFUNCTION("""COMPUTED_VALUE"""),"BLACK")</f>
        <v>BLACK</v>
      </c>
      <c r="G2369" s="20" t="str">
        <f>IFERROR(__xludf.DUMMYFUNCTION("""COMPUTED_VALUE"""),"Uncle Sams Cider (5/13/2022)")</f>
        <v>Uncle Sams Cider (5/13/2022)</v>
      </c>
      <c r="H2369" s="19"/>
    </row>
    <row r="2370">
      <c r="A2370" s="9"/>
      <c r="B2370" s="15"/>
      <c r="C2370" s="9">
        <f>IFERROR(__xludf.DUMMYFUNCTION("""COMPUTED_VALUE"""),44771.9259907638)</f>
        <v>44771.92599</v>
      </c>
      <c r="D2370" s="15">
        <f>IFERROR(__xludf.DUMMYFUNCTION("""COMPUTED_VALUE"""),1.004)</f>
        <v>1.004</v>
      </c>
      <c r="E2370" s="16">
        <f>IFERROR(__xludf.DUMMYFUNCTION("""COMPUTED_VALUE"""),68.0)</f>
        <v>68</v>
      </c>
      <c r="F2370" s="19" t="str">
        <f>IFERROR(__xludf.DUMMYFUNCTION("""COMPUTED_VALUE"""),"BLACK")</f>
        <v>BLACK</v>
      </c>
      <c r="G2370" s="20" t="str">
        <f>IFERROR(__xludf.DUMMYFUNCTION("""COMPUTED_VALUE"""),"Uncle Sams Cider (5/13/2022)")</f>
        <v>Uncle Sams Cider (5/13/2022)</v>
      </c>
      <c r="H2370" s="19"/>
    </row>
    <row r="2371">
      <c r="A2371" s="9"/>
      <c r="B2371" s="15"/>
      <c r="C2371" s="9">
        <f>IFERROR(__xludf.DUMMYFUNCTION("""COMPUTED_VALUE"""),44771.9155691898)</f>
        <v>44771.91557</v>
      </c>
      <c r="D2371" s="15">
        <f>IFERROR(__xludf.DUMMYFUNCTION("""COMPUTED_VALUE"""),1.004)</f>
        <v>1.004</v>
      </c>
      <c r="E2371" s="16">
        <f>IFERROR(__xludf.DUMMYFUNCTION("""COMPUTED_VALUE"""),69.0)</f>
        <v>69</v>
      </c>
      <c r="F2371" s="19" t="str">
        <f>IFERROR(__xludf.DUMMYFUNCTION("""COMPUTED_VALUE"""),"BLACK")</f>
        <v>BLACK</v>
      </c>
      <c r="G2371" s="20" t="str">
        <f>IFERROR(__xludf.DUMMYFUNCTION("""COMPUTED_VALUE"""),"Uncle Sams Cider (5/13/2022)")</f>
        <v>Uncle Sams Cider (5/13/2022)</v>
      </c>
      <c r="H2371" s="19"/>
    </row>
    <row r="2372">
      <c r="A2372" s="9"/>
      <c r="B2372" s="15"/>
      <c r="C2372" s="9">
        <f>IFERROR(__xludf.DUMMYFUNCTION("""COMPUTED_VALUE"""),44771.9051347222)</f>
        <v>44771.90513</v>
      </c>
      <c r="D2372" s="15">
        <f>IFERROR(__xludf.DUMMYFUNCTION("""COMPUTED_VALUE"""),1.004)</f>
        <v>1.004</v>
      </c>
      <c r="E2372" s="16">
        <f>IFERROR(__xludf.DUMMYFUNCTION("""COMPUTED_VALUE"""),70.0)</f>
        <v>70</v>
      </c>
      <c r="F2372" s="19" t="str">
        <f>IFERROR(__xludf.DUMMYFUNCTION("""COMPUTED_VALUE"""),"BLACK")</f>
        <v>BLACK</v>
      </c>
      <c r="G2372" s="20" t="str">
        <f>IFERROR(__xludf.DUMMYFUNCTION("""COMPUTED_VALUE"""),"Uncle Sams Cider (5/13/2022)")</f>
        <v>Uncle Sams Cider (5/13/2022)</v>
      </c>
      <c r="H2372" s="19"/>
    </row>
    <row r="2373">
      <c r="A2373" s="9"/>
      <c r="B2373" s="15"/>
      <c r="C2373" s="9">
        <f>IFERROR(__xludf.DUMMYFUNCTION("""COMPUTED_VALUE"""),44771.8947145138)</f>
        <v>44771.89471</v>
      </c>
      <c r="D2373" s="15">
        <f>IFERROR(__xludf.DUMMYFUNCTION("""COMPUTED_VALUE"""),1.004)</f>
        <v>1.004</v>
      </c>
      <c r="E2373" s="16">
        <f>IFERROR(__xludf.DUMMYFUNCTION("""COMPUTED_VALUE"""),70.0)</f>
        <v>70</v>
      </c>
      <c r="F2373" s="19" t="str">
        <f>IFERROR(__xludf.DUMMYFUNCTION("""COMPUTED_VALUE"""),"BLACK")</f>
        <v>BLACK</v>
      </c>
      <c r="G2373" s="20" t="str">
        <f>IFERROR(__xludf.DUMMYFUNCTION("""COMPUTED_VALUE"""),"Uncle Sams Cider (5/13/2022)")</f>
        <v>Uncle Sams Cider (5/13/2022)</v>
      </c>
      <c r="H2373" s="19"/>
    </row>
    <row r="2374">
      <c r="A2374" s="9"/>
      <c r="B2374" s="15"/>
      <c r="C2374" s="9">
        <f>IFERROR(__xludf.DUMMYFUNCTION("""COMPUTED_VALUE"""),44771.8842938541)</f>
        <v>44771.88429</v>
      </c>
      <c r="D2374" s="15">
        <f>IFERROR(__xludf.DUMMYFUNCTION("""COMPUTED_VALUE"""),1.004)</f>
        <v>1.004</v>
      </c>
      <c r="E2374" s="16">
        <f>IFERROR(__xludf.DUMMYFUNCTION("""COMPUTED_VALUE"""),70.0)</f>
        <v>70</v>
      </c>
      <c r="F2374" s="19" t="str">
        <f>IFERROR(__xludf.DUMMYFUNCTION("""COMPUTED_VALUE"""),"BLACK")</f>
        <v>BLACK</v>
      </c>
      <c r="G2374" s="20" t="str">
        <f>IFERROR(__xludf.DUMMYFUNCTION("""COMPUTED_VALUE"""),"Uncle Sams Cider (5/13/2022)")</f>
        <v>Uncle Sams Cider (5/13/2022)</v>
      </c>
      <c r="H2374" s="19"/>
    </row>
    <row r="2375">
      <c r="A2375" s="9"/>
      <c r="B2375" s="15"/>
      <c r="C2375" s="9">
        <f>IFERROR(__xludf.DUMMYFUNCTION("""COMPUTED_VALUE"""),44771.8738597338)</f>
        <v>44771.87386</v>
      </c>
      <c r="D2375" s="15">
        <f>IFERROR(__xludf.DUMMYFUNCTION("""COMPUTED_VALUE"""),1.004)</f>
        <v>1.004</v>
      </c>
      <c r="E2375" s="16">
        <f>IFERROR(__xludf.DUMMYFUNCTION("""COMPUTED_VALUE"""),70.0)</f>
        <v>70</v>
      </c>
      <c r="F2375" s="19" t="str">
        <f>IFERROR(__xludf.DUMMYFUNCTION("""COMPUTED_VALUE"""),"BLACK")</f>
        <v>BLACK</v>
      </c>
      <c r="G2375" s="20" t="str">
        <f>IFERROR(__xludf.DUMMYFUNCTION("""COMPUTED_VALUE"""),"Uncle Sams Cider (5/13/2022)")</f>
        <v>Uncle Sams Cider (5/13/2022)</v>
      </c>
      <c r="H2375" s="19"/>
    </row>
    <row r="2376">
      <c r="A2376" s="9"/>
      <c r="B2376" s="15"/>
      <c r="C2376" s="9">
        <f>IFERROR(__xludf.DUMMYFUNCTION("""COMPUTED_VALUE"""),44771.8634253125)</f>
        <v>44771.86343</v>
      </c>
      <c r="D2376" s="15">
        <f>IFERROR(__xludf.DUMMYFUNCTION("""COMPUTED_VALUE"""),1.004)</f>
        <v>1.004</v>
      </c>
      <c r="E2376" s="16">
        <f>IFERROR(__xludf.DUMMYFUNCTION("""COMPUTED_VALUE"""),70.0)</f>
        <v>70</v>
      </c>
      <c r="F2376" s="19" t="str">
        <f>IFERROR(__xludf.DUMMYFUNCTION("""COMPUTED_VALUE"""),"BLACK")</f>
        <v>BLACK</v>
      </c>
      <c r="G2376" s="20" t="str">
        <f>IFERROR(__xludf.DUMMYFUNCTION("""COMPUTED_VALUE"""),"Uncle Sams Cider (5/13/2022)")</f>
        <v>Uncle Sams Cider (5/13/2022)</v>
      </c>
      <c r="H2376" s="19"/>
    </row>
    <row r="2377">
      <c r="A2377" s="9"/>
      <c r="B2377" s="15"/>
      <c r="C2377" s="9">
        <f>IFERROR(__xludf.DUMMYFUNCTION("""COMPUTED_VALUE"""),44771.8529931597)</f>
        <v>44771.85299</v>
      </c>
      <c r="D2377" s="15">
        <f>IFERROR(__xludf.DUMMYFUNCTION("""COMPUTED_VALUE"""),1.004)</f>
        <v>1.004</v>
      </c>
      <c r="E2377" s="16">
        <f>IFERROR(__xludf.DUMMYFUNCTION("""COMPUTED_VALUE"""),70.0)</f>
        <v>70</v>
      </c>
      <c r="F2377" s="19" t="str">
        <f>IFERROR(__xludf.DUMMYFUNCTION("""COMPUTED_VALUE"""),"BLACK")</f>
        <v>BLACK</v>
      </c>
      <c r="G2377" s="20" t="str">
        <f>IFERROR(__xludf.DUMMYFUNCTION("""COMPUTED_VALUE"""),"Uncle Sams Cider (5/13/2022)")</f>
        <v>Uncle Sams Cider (5/13/2022)</v>
      </c>
      <c r="H2377" s="19"/>
    </row>
    <row r="2378">
      <c r="A2378" s="9"/>
      <c r="B2378" s="15"/>
      <c r="C2378" s="9">
        <f>IFERROR(__xludf.DUMMYFUNCTION("""COMPUTED_VALUE"""),44771.8425720254)</f>
        <v>44771.84257</v>
      </c>
      <c r="D2378" s="15">
        <f>IFERROR(__xludf.DUMMYFUNCTION("""COMPUTED_VALUE"""),1.004)</f>
        <v>1.004</v>
      </c>
      <c r="E2378" s="16">
        <f>IFERROR(__xludf.DUMMYFUNCTION("""COMPUTED_VALUE"""),70.0)</f>
        <v>70</v>
      </c>
      <c r="F2378" s="19" t="str">
        <f>IFERROR(__xludf.DUMMYFUNCTION("""COMPUTED_VALUE"""),"BLACK")</f>
        <v>BLACK</v>
      </c>
      <c r="G2378" s="20" t="str">
        <f>IFERROR(__xludf.DUMMYFUNCTION("""COMPUTED_VALUE"""),"Uncle Sams Cider (5/13/2022)")</f>
        <v>Uncle Sams Cider (5/13/2022)</v>
      </c>
      <c r="H2378" s="19"/>
    </row>
    <row r="2379">
      <c r="A2379" s="9"/>
      <c r="B2379" s="15"/>
      <c r="C2379" s="9">
        <f>IFERROR(__xludf.DUMMYFUNCTION("""COMPUTED_VALUE"""),44771.8321497569)</f>
        <v>44771.83215</v>
      </c>
      <c r="D2379" s="15">
        <f>IFERROR(__xludf.DUMMYFUNCTION("""COMPUTED_VALUE"""),1.004)</f>
        <v>1.004</v>
      </c>
      <c r="E2379" s="16">
        <f>IFERROR(__xludf.DUMMYFUNCTION("""COMPUTED_VALUE"""),70.0)</f>
        <v>70</v>
      </c>
      <c r="F2379" s="19" t="str">
        <f>IFERROR(__xludf.DUMMYFUNCTION("""COMPUTED_VALUE"""),"BLACK")</f>
        <v>BLACK</v>
      </c>
      <c r="G2379" s="20" t="str">
        <f>IFERROR(__xludf.DUMMYFUNCTION("""COMPUTED_VALUE"""),"Uncle Sams Cider (5/13/2022)")</f>
        <v>Uncle Sams Cider (5/13/2022)</v>
      </c>
      <c r="H2379" s="19"/>
    </row>
    <row r="2380">
      <c r="A2380" s="9"/>
      <c r="B2380" s="15"/>
      <c r="C2380" s="9">
        <f>IFERROR(__xludf.DUMMYFUNCTION("""COMPUTED_VALUE"""),44771.821729074)</f>
        <v>44771.82173</v>
      </c>
      <c r="D2380" s="15">
        <f>IFERROR(__xludf.DUMMYFUNCTION("""COMPUTED_VALUE"""),1.004)</f>
        <v>1.004</v>
      </c>
      <c r="E2380" s="16">
        <f>IFERROR(__xludf.DUMMYFUNCTION("""COMPUTED_VALUE"""),70.0)</f>
        <v>70</v>
      </c>
      <c r="F2380" s="19" t="str">
        <f>IFERROR(__xludf.DUMMYFUNCTION("""COMPUTED_VALUE"""),"BLACK")</f>
        <v>BLACK</v>
      </c>
      <c r="G2380" s="20" t="str">
        <f>IFERROR(__xludf.DUMMYFUNCTION("""COMPUTED_VALUE"""),"Uncle Sams Cider (5/13/2022)")</f>
        <v>Uncle Sams Cider (5/13/2022)</v>
      </c>
      <c r="H2380" s="19"/>
    </row>
    <row r="2381">
      <c r="A2381" s="9"/>
      <c r="B2381" s="15"/>
      <c r="C2381" s="9">
        <f>IFERROR(__xludf.DUMMYFUNCTION("""COMPUTED_VALUE"""),44771.8113068865)</f>
        <v>44771.81131</v>
      </c>
      <c r="D2381" s="15">
        <f>IFERROR(__xludf.DUMMYFUNCTION("""COMPUTED_VALUE"""),1.004)</f>
        <v>1.004</v>
      </c>
      <c r="E2381" s="16">
        <f>IFERROR(__xludf.DUMMYFUNCTION("""COMPUTED_VALUE"""),70.0)</f>
        <v>70</v>
      </c>
      <c r="F2381" s="19" t="str">
        <f>IFERROR(__xludf.DUMMYFUNCTION("""COMPUTED_VALUE"""),"BLACK")</f>
        <v>BLACK</v>
      </c>
      <c r="G2381" s="20" t="str">
        <f>IFERROR(__xludf.DUMMYFUNCTION("""COMPUTED_VALUE"""),"Uncle Sams Cider (5/13/2022)")</f>
        <v>Uncle Sams Cider (5/13/2022)</v>
      </c>
      <c r="H2381" s="19"/>
    </row>
    <row r="2382">
      <c r="A2382" s="9"/>
      <c r="B2382" s="15"/>
      <c r="C2382" s="9">
        <f>IFERROR(__xludf.DUMMYFUNCTION("""COMPUTED_VALUE"""),44771.8008621875)</f>
        <v>44771.80086</v>
      </c>
      <c r="D2382" s="15">
        <f>IFERROR(__xludf.DUMMYFUNCTION("""COMPUTED_VALUE"""),1.004)</f>
        <v>1.004</v>
      </c>
      <c r="E2382" s="16">
        <f>IFERROR(__xludf.DUMMYFUNCTION("""COMPUTED_VALUE"""),70.0)</f>
        <v>70</v>
      </c>
      <c r="F2382" s="19" t="str">
        <f>IFERROR(__xludf.DUMMYFUNCTION("""COMPUTED_VALUE"""),"BLACK")</f>
        <v>BLACK</v>
      </c>
      <c r="G2382" s="20" t="str">
        <f>IFERROR(__xludf.DUMMYFUNCTION("""COMPUTED_VALUE"""),"Uncle Sams Cider (5/13/2022)")</f>
        <v>Uncle Sams Cider (5/13/2022)</v>
      </c>
      <c r="H2382" s="19"/>
    </row>
    <row r="2383">
      <c r="A2383" s="9"/>
      <c r="B2383" s="15"/>
      <c r="C2383" s="9">
        <f>IFERROR(__xludf.DUMMYFUNCTION("""COMPUTED_VALUE"""),44771.7904420833)</f>
        <v>44771.79044</v>
      </c>
      <c r="D2383" s="15">
        <f>IFERROR(__xludf.DUMMYFUNCTION("""COMPUTED_VALUE"""),1.004)</f>
        <v>1.004</v>
      </c>
      <c r="E2383" s="16">
        <f>IFERROR(__xludf.DUMMYFUNCTION("""COMPUTED_VALUE"""),70.0)</f>
        <v>70</v>
      </c>
      <c r="F2383" s="19" t="str">
        <f>IFERROR(__xludf.DUMMYFUNCTION("""COMPUTED_VALUE"""),"BLACK")</f>
        <v>BLACK</v>
      </c>
      <c r="G2383" s="20" t="str">
        <f>IFERROR(__xludf.DUMMYFUNCTION("""COMPUTED_VALUE"""),"Uncle Sams Cider (5/13/2022)")</f>
        <v>Uncle Sams Cider (5/13/2022)</v>
      </c>
      <c r="H2383" s="19"/>
    </row>
    <row r="2384">
      <c r="A2384" s="9"/>
      <c r="B2384" s="15"/>
      <c r="C2384" s="9">
        <f>IFERROR(__xludf.DUMMYFUNCTION("""COMPUTED_VALUE"""),44771.7800215277)</f>
        <v>44771.78002</v>
      </c>
      <c r="D2384" s="15">
        <f>IFERROR(__xludf.DUMMYFUNCTION("""COMPUTED_VALUE"""),1.004)</f>
        <v>1.004</v>
      </c>
      <c r="E2384" s="16">
        <f>IFERROR(__xludf.DUMMYFUNCTION("""COMPUTED_VALUE"""),70.0)</f>
        <v>70</v>
      </c>
      <c r="F2384" s="19" t="str">
        <f>IFERROR(__xludf.DUMMYFUNCTION("""COMPUTED_VALUE"""),"BLACK")</f>
        <v>BLACK</v>
      </c>
      <c r="G2384" s="20" t="str">
        <f>IFERROR(__xludf.DUMMYFUNCTION("""COMPUTED_VALUE"""),"Uncle Sams Cider (5/13/2022)")</f>
        <v>Uncle Sams Cider (5/13/2022)</v>
      </c>
      <c r="H2384" s="19"/>
    </row>
    <row r="2385">
      <c r="A2385" s="9"/>
      <c r="B2385" s="15"/>
      <c r="C2385" s="9">
        <f>IFERROR(__xludf.DUMMYFUNCTION("""COMPUTED_VALUE"""),44771.7696011805)</f>
        <v>44771.7696</v>
      </c>
      <c r="D2385" s="15">
        <f>IFERROR(__xludf.DUMMYFUNCTION("""COMPUTED_VALUE"""),1.004)</f>
        <v>1.004</v>
      </c>
      <c r="E2385" s="16">
        <f>IFERROR(__xludf.DUMMYFUNCTION("""COMPUTED_VALUE"""),70.0)</f>
        <v>70</v>
      </c>
      <c r="F2385" s="19" t="str">
        <f>IFERROR(__xludf.DUMMYFUNCTION("""COMPUTED_VALUE"""),"BLACK")</f>
        <v>BLACK</v>
      </c>
      <c r="G2385" s="20" t="str">
        <f>IFERROR(__xludf.DUMMYFUNCTION("""COMPUTED_VALUE"""),"Uncle Sams Cider (5/13/2022)")</f>
        <v>Uncle Sams Cider (5/13/2022)</v>
      </c>
      <c r="H2385" s="19"/>
    </row>
    <row r="2386">
      <c r="A2386" s="9"/>
      <c r="B2386" s="15"/>
      <c r="C2386" s="9">
        <f>IFERROR(__xludf.DUMMYFUNCTION("""COMPUTED_VALUE"""),44771.7591798611)</f>
        <v>44771.75918</v>
      </c>
      <c r="D2386" s="15">
        <f>IFERROR(__xludf.DUMMYFUNCTION("""COMPUTED_VALUE"""),1.004)</f>
        <v>1.004</v>
      </c>
      <c r="E2386" s="16">
        <f>IFERROR(__xludf.DUMMYFUNCTION("""COMPUTED_VALUE"""),70.0)</f>
        <v>70</v>
      </c>
      <c r="F2386" s="19" t="str">
        <f>IFERROR(__xludf.DUMMYFUNCTION("""COMPUTED_VALUE"""),"BLACK")</f>
        <v>BLACK</v>
      </c>
      <c r="G2386" s="20" t="str">
        <f>IFERROR(__xludf.DUMMYFUNCTION("""COMPUTED_VALUE"""),"Uncle Sams Cider (5/13/2022)")</f>
        <v>Uncle Sams Cider (5/13/2022)</v>
      </c>
      <c r="H2386" s="19"/>
    </row>
    <row r="2387">
      <c r="A2387" s="9"/>
      <c r="B2387" s="15"/>
      <c r="C2387" s="9">
        <f>IFERROR(__xludf.DUMMYFUNCTION("""COMPUTED_VALUE"""),44771.7487598958)</f>
        <v>44771.74876</v>
      </c>
      <c r="D2387" s="15">
        <f>IFERROR(__xludf.DUMMYFUNCTION("""COMPUTED_VALUE"""),1.004)</f>
        <v>1.004</v>
      </c>
      <c r="E2387" s="16">
        <f>IFERROR(__xludf.DUMMYFUNCTION("""COMPUTED_VALUE"""),70.0)</f>
        <v>70</v>
      </c>
      <c r="F2387" s="19" t="str">
        <f>IFERROR(__xludf.DUMMYFUNCTION("""COMPUTED_VALUE"""),"BLACK")</f>
        <v>BLACK</v>
      </c>
      <c r="G2387" s="20" t="str">
        <f>IFERROR(__xludf.DUMMYFUNCTION("""COMPUTED_VALUE"""),"Uncle Sams Cider (5/13/2022)")</f>
        <v>Uncle Sams Cider (5/13/2022)</v>
      </c>
      <c r="H2387" s="19"/>
    </row>
    <row r="2388">
      <c r="A2388" s="9"/>
      <c r="B2388" s="15"/>
      <c r="C2388" s="9">
        <f>IFERROR(__xludf.DUMMYFUNCTION("""COMPUTED_VALUE"""),44771.738337037)</f>
        <v>44771.73834</v>
      </c>
      <c r="D2388" s="15">
        <f>IFERROR(__xludf.DUMMYFUNCTION("""COMPUTED_VALUE"""),1.004)</f>
        <v>1.004</v>
      </c>
      <c r="E2388" s="16">
        <f>IFERROR(__xludf.DUMMYFUNCTION("""COMPUTED_VALUE"""),70.0)</f>
        <v>70</v>
      </c>
      <c r="F2388" s="19" t="str">
        <f>IFERROR(__xludf.DUMMYFUNCTION("""COMPUTED_VALUE"""),"BLACK")</f>
        <v>BLACK</v>
      </c>
      <c r="G2388" s="20" t="str">
        <f>IFERROR(__xludf.DUMMYFUNCTION("""COMPUTED_VALUE"""),"Uncle Sams Cider (5/13/2022)")</f>
        <v>Uncle Sams Cider (5/13/2022)</v>
      </c>
      <c r="H2388" s="19"/>
    </row>
    <row r="2389">
      <c r="A2389" s="9"/>
      <c r="B2389" s="15"/>
      <c r="C2389" s="9">
        <f>IFERROR(__xludf.DUMMYFUNCTION("""COMPUTED_VALUE"""),44771.7279171875)</f>
        <v>44771.72792</v>
      </c>
      <c r="D2389" s="15">
        <f>IFERROR(__xludf.DUMMYFUNCTION("""COMPUTED_VALUE"""),1.004)</f>
        <v>1.004</v>
      </c>
      <c r="E2389" s="16">
        <f>IFERROR(__xludf.DUMMYFUNCTION("""COMPUTED_VALUE"""),70.0)</f>
        <v>70</v>
      </c>
      <c r="F2389" s="19" t="str">
        <f>IFERROR(__xludf.DUMMYFUNCTION("""COMPUTED_VALUE"""),"BLACK")</f>
        <v>BLACK</v>
      </c>
      <c r="G2389" s="20" t="str">
        <f>IFERROR(__xludf.DUMMYFUNCTION("""COMPUTED_VALUE"""),"Uncle Sams Cider (5/13/2022)")</f>
        <v>Uncle Sams Cider (5/13/2022)</v>
      </c>
      <c r="H2389" s="19"/>
    </row>
    <row r="2390">
      <c r="A2390" s="9"/>
      <c r="B2390" s="15"/>
      <c r="C2390" s="9">
        <f>IFERROR(__xludf.DUMMYFUNCTION("""COMPUTED_VALUE"""),44771.7174950115)</f>
        <v>44771.7175</v>
      </c>
      <c r="D2390" s="15">
        <f>IFERROR(__xludf.DUMMYFUNCTION("""COMPUTED_VALUE"""),1.004)</f>
        <v>1.004</v>
      </c>
      <c r="E2390" s="16">
        <f>IFERROR(__xludf.DUMMYFUNCTION("""COMPUTED_VALUE"""),70.0)</f>
        <v>70</v>
      </c>
      <c r="F2390" s="19" t="str">
        <f>IFERROR(__xludf.DUMMYFUNCTION("""COMPUTED_VALUE"""),"BLACK")</f>
        <v>BLACK</v>
      </c>
      <c r="G2390" s="20" t="str">
        <f>IFERROR(__xludf.DUMMYFUNCTION("""COMPUTED_VALUE"""),"Uncle Sams Cider (5/13/2022)")</f>
        <v>Uncle Sams Cider (5/13/2022)</v>
      </c>
      <c r="H2390" s="19"/>
    </row>
    <row r="2391">
      <c r="A2391" s="9"/>
      <c r="B2391" s="15"/>
      <c r="C2391" s="9">
        <f>IFERROR(__xludf.DUMMYFUNCTION("""COMPUTED_VALUE"""),44771.7070727083)</f>
        <v>44771.70707</v>
      </c>
      <c r="D2391" s="15">
        <f>IFERROR(__xludf.DUMMYFUNCTION("""COMPUTED_VALUE"""),1.004)</f>
        <v>1.004</v>
      </c>
      <c r="E2391" s="16">
        <f>IFERROR(__xludf.DUMMYFUNCTION("""COMPUTED_VALUE"""),70.0)</f>
        <v>70</v>
      </c>
      <c r="F2391" s="19" t="str">
        <f>IFERROR(__xludf.DUMMYFUNCTION("""COMPUTED_VALUE"""),"BLACK")</f>
        <v>BLACK</v>
      </c>
      <c r="G2391" s="20" t="str">
        <f>IFERROR(__xludf.DUMMYFUNCTION("""COMPUTED_VALUE"""),"Uncle Sams Cider (5/13/2022)")</f>
        <v>Uncle Sams Cider (5/13/2022)</v>
      </c>
      <c r="H2391" s="19"/>
    </row>
    <row r="2392">
      <c r="A2392" s="9"/>
      <c r="B2392" s="15"/>
      <c r="C2392" s="9">
        <f>IFERROR(__xludf.DUMMYFUNCTION("""COMPUTED_VALUE"""),44771.6966530208)</f>
        <v>44771.69665</v>
      </c>
      <c r="D2392" s="15">
        <f>IFERROR(__xludf.DUMMYFUNCTION("""COMPUTED_VALUE"""),1.004)</f>
        <v>1.004</v>
      </c>
      <c r="E2392" s="16">
        <f>IFERROR(__xludf.DUMMYFUNCTION("""COMPUTED_VALUE"""),70.0)</f>
        <v>70</v>
      </c>
      <c r="F2392" s="19" t="str">
        <f>IFERROR(__xludf.DUMMYFUNCTION("""COMPUTED_VALUE"""),"BLACK")</f>
        <v>BLACK</v>
      </c>
      <c r="G2392" s="20" t="str">
        <f>IFERROR(__xludf.DUMMYFUNCTION("""COMPUTED_VALUE"""),"Uncle Sams Cider (5/13/2022)")</f>
        <v>Uncle Sams Cider (5/13/2022)</v>
      </c>
      <c r="H2392" s="19"/>
    </row>
    <row r="2393">
      <c r="A2393" s="9"/>
      <c r="B2393" s="15"/>
      <c r="C2393" s="9">
        <f>IFERROR(__xludf.DUMMYFUNCTION("""COMPUTED_VALUE"""),44771.6861845138)</f>
        <v>44771.68618</v>
      </c>
      <c r="D2393" s="15">
        <f>IFERROR(__xludf.DUMMYFUNCTION("""COMPUTED_VALUE"""),1.004)</f>
        <v>1.004</v>
      </c>
      <c r="E2393" s="16">
        <f>IFERROR(__xludf.DUMMYFUNCTION("""COMPUTED_VALUE"""),70.0)</f>
        <v>70</v>
      </c>
      <c r="F2393" s="19" t="str">
        <f>IFERROR(__xludf.DUMMYFUNCTION("""COMPUTED_VALUE"""),"BLACK")</f>
        <v>BLACK</v>
      </c>
      <c r="G2393" s="20" t="str">
        <f>IFERROR(__xludf.DUMMYFUNCTION("""COMPUTED_VALUE"""),"Uncle Sams Cider (5/13/2022)")</f>
        <v>Uncle Sams Cider (5/13/2022)</v>
      </c>
      <c r="H2393" s="19"/>
    </row>
    <row r="2394">
      <c r="A2394" s="9"/>
      <c r="B2394" s="15"/>
      <c r="C2394" s="9">
        <f>IFERROR(__xludf.DUMMYFUNCTION("""COMPUTED_VALUE"""),44771.6757643055)</f>
        <v>44771.67576</v>
      </c>
      <c r="D2394" s="15">
        <f>IFERROR(__xludf.DUMMYFUNCTION("""COMPUTED_VALUE"""),1.004)</f>
        <v>1.004</v>
      </c>
      <c r="E2394" s="16">
        <f>IFERROR(__xludf.DUMMYFUNCTION("""COMPUTED_VALUE"""),70.0)</f>
        <v>70</v>
      </c>
      <c r="F2394" s="19" t="str">
        <f>IFERROR(__xludf.DUMMYFUNCTION("""COMPUTED_VALUE"""),"BLACK")</f>
        <v>BLACK</v>
      </c>
      <c r="G2394" s="20" t="str">
        <f>IFERROR(__xludf.DUMMYFUNCTION("""COMPUTED_VALUE"""),"Uncle Sams Cider (5/13/2022)")</f>
        <v>Uncle Sams Cider (5/13/2022)</v>
      </c>
      <c r="H2394" s="19"/>
    </row>
    <row r="2395">
      <c r="A2395" s="9"/>
      <c r="B2395" s="15"/>
      <c r="C2395" s="9">
        <f>IFERROR(__xludf.DUMMYFUNCTION("""COMPUTED_VALUE"""),44771.665343993)</f>
        <v>44771.66534</v>
      </c>
      <c r="D2395" s="15">
        <f>IFERROR(__xludf.DUMMYFUNCTION("""COMPUTED_VALUE"""),1.004)</f>
        <v>1.004</v>
      </c>
      <c r="E2395" s="16">
        <f>IFERROR(__xludf.DUMMYFUNCTION("""COMPUTED_VALUE"""),70.0)</f>
        <v>70</v>
      </c>
      <c r="F2395" s="19" t="str">
        <f>IFERROR(__xludf.DUMMYFUNCTION("""COMPUTED_VALUE"""),"BLACK")</f>
        <v>BLACK</v>
      </c>
      <c r="G2395" s="20" t="str">
        <f>IFERROR(__xludf.DUMMYFUNCTION("""COMPUTED_VALUE"""),"Uncle Sams Cider (5/13/2022)")</f>
        <v>Uncle Sams Cider (5/13/2022)</v>
      </c>
      <c r="H2395" s="19"/>
    </row>
    <row r="2396">
      <c r="A2396" s="9"/>
      <c r="B2396" s="15"/>
      <c r="C2396" s="9">
        <f>IFERROR(__xludf.DUMMYFUNCTION("""COMPUTED_VALUE"""),44771.654923831)</f>
        <v>44771.65492</v>
      </c>
      <c r="D2396" s="15">
        <f>IFERROR(__xludf.DUMMYFUNCTION("""COMPUTED_VALUE"""),1.004)</f>
        <v>1.004</v>
      </c>
      <c r="E2396" s="16">
        <f>IFERROR(__xludf.DUMMYFUNCTION("""COMPUTED_VALUE"""),70.0)</f>
        <v>70</v>
      </c>
      <c r="F2396" s="19" t="str">
        <f>IFERROR(__xludf.DUMMYFUNCTION("""COMPUTED_VALUE"""),"BLACK")</f>
        <v>BLACK</v>
      </c>
      <c r="G2396" s="20" t="str">
        <f>IFERROR(__xludf.DUMMYFUNCTION("""COMPUTED_VALUE"""),"Uncle Sams Cider (5/13/2022)")</f>
        <v>Uncle Sams Cider (5/13/2022)</v>
      </c>
      <c r="H2396" s="19"/>
    </row>
    <row r="2397">
      <c r="A2397" s="9"/>
      <c r="B2397" s="15"/>
      <c r="C2397" s="9">
        <f>IFERROR(__xludf.DUMMYFUNCTION("""COMPUTED_VALUE"""),44771.6445031134)</f>
        <v>44771.6445</v>
      </c>
      <c r="D2397" s="15">
        <f>IFERROR(__xludf.DUMMYFUNCTION("""COMPUTED_VALUE"""),1.004)</f>
        <v>1.004</v>
      </c>
      <c r="E2397" s="16">
        <f>IFERROR(__xludf.DUMMYFUNCTION("""COMPUTED_VALUE"""),70.0)</f>
        <v>70</v>
      </c>
      <c r="F2397" s="19" t="str">
        <f>IFERROR(__xludf.DUMMYFUNCTION("""COMPUTED_VALUE"""),"BLACK")</f>
        <v>BLACK</v>
      </c>
      <c r="G2397" s="20" t="str">
        <f>IFERROR(__xludf.DUMMYFUNCTION("""COMPUTED_VALUE"""),"Uncle Sams Cider (5/13/2022)")</f>
        <v>Uncle Sams Cider (5/13/2022)</v>
      </c>
      <c r="H2397" s="19"/>
    </row>
    <row r="2398">
      <c r="A2398" s="9"/>
      <c r="B2398" s="15"/>
      <c r="C2398" s="9">
        <f>IFERROR(__xludf.DUMMYFUNCTION("""COMPUTED_VALUE"""),44771.6340704745)</f>
        <v>44771.63407</v>
      </c>
      <c r="D2398" s="15">
        <f>IFERROR(__xludf.DUMMYFUNCTION("""COMPUTED_VALUE"""),1.004)</f>
        <v>1.004</v>
      </c>
      <c r="E2398" s="16">
        <f>IFERROR(__xludf.DUMMYFUNCTION("""COMPUTED_VALUE"""),70.0)</f>
        <v>70</v>
      </c>
      <c r="F2398" s="19" t="str">
        <f>IFERROR(__xludf.DUMMYFUNCTION("""COMPUTED_VALUE"""),"BLACK")</f>
        <v>BLACK</v>
      </c>
      <c r="G2398" s="20" t="str">
        <f>IFERROR(__xludf.DUMMYFUNCTION("""COMPUTED_VALUE"""),"Uncle Sams Cider (5/13/2022)")</f>
        <v>Uncle Sams Cider (5/13/2022)</v>
      </c>
      <c r="H2398" s="19"/>
    </row>
    <row r="2399">
      <c r="A2399" s="9"/>
      <c r="B2399" s="15"/>
      <c r="C2399" s="9">
        <f>IFERROR(__xludf.DUMMYFUNCTION("""COMPUTED_VALUE"""),44771.6236511805)</f>
        <v>44771.62365</v>
      </c>
      <c r="D2399" s="15">
        <f>IFERROR(__xludf.DUMMYFUNCTION("""COMPUTED_VALUE"""),1.004)</f>
        <v>1.004</v>
      </c>
      <c r="E2399" s="16">
        <f>IFERROR(__xludf.DUMMYFUNCTION("""COMPUTED_VALUE"""),70.0)</f>
        <v>70</v>
      </c>
      <c r="F2399" s="19" t="str">
        <f>IFERROR(__xludf.DUMMYFUNCTION("""COMPUTED_VALUE"""),"BLACK")</f>
        <v>BLACK</v>
      </c>
      <c r="G2399" s="20" t="str">
        <f>IFERROR(__xludf.DUMMYFUNCTION("""COMPUTED_VALUE"""),"Uncle Sams Cider (5/13/2022)")</f>
        <v>Uncle Sams Cider (5/13/2022)</v>
      </c>
      <c r="H2399" s="19"/>
    </row>
    <row r="2400">
      <c r="A2400" s="9"/>
      <c r="B2400" s="15"/>
      <c r="C2400" s="9">
        <f>IFERROR(__xludf.DUMMYFUNCTION("""COMPUTED_VALUE"""),44771.6132293402)</f>
        <v>44771.61323</v>
      </c>
      <c r="D2400" s="15">
        <f>IFERROR(__xludf.DUMMYFUNCTION("""COMPUTED_VALUE"""),1.004)</f>
        <v>1.004</v>
      </c>
      <c r="E2400" s="16">
        <f>IFERROR(__xludf.DUMMYFUNCTION("""COMPUTED_VALUE"""),70.0)</f>
        <v>70</v>
      </c>
      <c r="F2400" s="19" t="str">
        <f>IFERROR(__xludf.DUMMYFUNCTION("""COMPUTED_VALUE"""),"BLACK")</f>
        <v>BLACK</v>
      </c>
      <c r="G2400" s="20" t="str">
        <f>IFERROR(__xludf.DUMMYFUNCTION("""COMPUTED_VALUE"""),"Uncle Sams Cider (5/13/2022)")</f>
        <v>Uncle Sams Cider (5/13/2022)</v>
      </c>
      <c r="H2400" s="19"/>
    </row>
    <row r="2401">
      <c r="A2401" s="9"/>
      <c r="B2401" s="15"/>
      <c r="C2401" s="9">
        <f>IFERROR(__xludf.DUMMYFUNCTION("""COMPUTED_VALUE"""),44771.60280603)</f>
        <v>44771.60281</v>
      </c>
      <c r="D2401" s="15">
        <f>IFERROR(__xludf.DUMMYFUNCTION("""COMPUTED_VALUE"""),1.004)</f>
        <v>1.004</v>
      </c>
      <c r="E2401" s="16">
        <f>IFERROR(__xludf.DUMMYFUNCTION("""COMPUTED_VALUE"""),70.0)</f>
        <v>70</v>
      </c>
      <c r="F2401" s="19" t="str">
        <f>IFERROR(__xludf.DUMMYFUNCTION("""COMPUTED_VALUE"""),"BLACK")</f>
        <v>BLACK</v>
      </c>
      <c r="G2401" s="20" t="str">
        <f>IFERROR(__xludf.DUMMYFUNCTION("""COMPUTED_VALUE"""),"Uncle Sams Cider (5/13/2022)")</f>
        <v>Uncle Sams Cider (5/13/2022)</v>
      </c>
      <c r="H2401" s="19"/>
    </row>
    <row r="2402">
      <c r="A2402" s="9"/>
      <c r="B2402" s="15"/>
      <c r="C2402" s="9">
        <f>IFERROR(__xludf.DUMMYFUNCTION("""COMPUTED_VALUE"""),44771.5923845486)</f>
        <v>44771.59238</v>
      </c>
      <c r="D2402" s="15">
        <f>IFERROR(__xludf.DUMMYFUNCTION("""COMPUTED_VALUE"""),1.004)</f>
        <v>1.004</v>
      </c>
      <c r="E2402" s="16">
        <f>IFERROR(__xludf.DUMMYFUNCTION("""COMPUTED_VALUE"""),70.0)</f>
        <v>70</v>
      </c>
      <c r="F2402" s="19" t="str">
        <f>IFERROR(__xludf.DUMMYFUNCTION("""COMPUTED_VALUE"""),"BLACK")</f>
        <v>BLACK</v>
      </c>
      <c r="G2402" s="20" t="str">
        <f>IFERROR(__xludf.DUMMYFUNCTION("""COMPUTED_VALUE"""),"Uncle Sams Cider (5/13/2022)")</f>
        <v>Uncle Sams Cider (5/13/2022)</v>
      </c>
      <c r="H2402" s="19"/>
    </row>
    <row r="2403">
      <c r="A2403" s="9"/>
      <c r="B2403" s="15"/>
      <c r="C2403" s="9">
        <f>IFERROR(__xludf.DUMMYFUNCTION("""COMPUTED_VALUE"""),44771.581951574)</f>
        <v>44771.58195</v>
      </c>
      <c r="D2403" s="15">
        <f>IFERROR(__xludf.DUMMYFUNCTION("""COMPUTED_VALUE"""),1.004)</f>
        <v>1.004</v>
      </c>
      <c r="E2403" s="16">
        <f>IFERROR(__xludf.DUMMYFUNCTION("""COMPUTED_VALUE"""),70.0)</f>
        <v>70</v>
      </c>
      <c r="F2403" s="19" t="str">
        <f>IFERROR(__xludf.DUMMYFUNCTION("""COMPUTED_VALUE"""),"BLACK")</f>
        <v>BLACK</v>
      </c>
      <c r="G2403" s="20" t="str">
        <f>IFERROR(__xludf.DUMMYFUNCTION("""COMPUTED_VALUE"""),"Uncle Sams Cider (5/13/2022)")</f>
        <v>Uncle Sams Cider (5/13/2022)</v>
      </c>
      <c r="H2403" s="19"/>
    </row>
    <row r="2404">
      <c r="A2404" s="9"/>
      <c r="B2404" s="15"/>
      <c r="C2404" s="9">
        <f>IFERROR(__xludf.DUMMYFUNCTION("""COMPUTED_VALUE"""),44771.5715300231)</f>
        <v>44771.57153</v>
      </c>
      <c r="D2404" s="15">
        <f>IFERROR(__xludf.DUMMYFUNCTION("""COMPUTED_VALUE"""),1.004)</f>
        <v>1.004</v>
      </c>
      <c r="E2404" s="16">
        <f>IFERROR(__xludf.DUMMYFUNCTION("""COMPUTED_VALUE"""),70.0)</f>
        <v>70</v>
      </c>
      <c r="F2404" s="19" t="str">
        <f>IFERROR(__xludf.DUMMYFUNCTION("""COMPUTED_VALUE"""),"BLACK")</f>
        <v>BLACK</v>
      </c>
      <c r="G2404" s="20" t="str">
        <f>IFERROR(__xludf.DUMMYFUNCTION("""COMPUTED_VALUE"""),"Uncle Sams Cider (5/13/2022)")</f>
        <v>Uncle Sams Cider (5/13/2022)</v>
      </c>
      <c r="H2404" s="19"/>
    </row>
    <row r="2405">
      <c r="A2405" s="9"/>
      <c r="B2405" s="15"/>
      <c r="C2405" s="9">
        <f>IFERROR(__xludf.DUMMYFUNCTION("""COMPUTED_VALUE"""),44771.5611104166)</f>
        <v>44771.56111</v>
      </c>
      <c r="D2405" s="15">
        <f>IFERROR(__xludf.DUMMYFUNCTION("""COMPUTED_VALUE"""),1.004)</f>
        <v>1.004</v>
      </c>
      <c r="E2405" s="16">
        <f>IFERROR(__xludf.DUMMYFUNCTION("""COMPUTED_VALUE"""),70.0)</f>
        <v>70</v>
      </c>
      <c r="F2405" s="19" t="str">
        <f>IFERROR(__xludf.DUMMYFUNCTION("""COMPUTED_VALUE"""),"BLACK")</f>
        <v>BLACK</v>
      </c>
      <c r="G2405" s="20" t="str">
        <f>IFERROR(__xludf.DUMMYFUNCTION("""COMPUTED_VALUE"""),"Uncle Sams Cider (5/13/2022)")</f>
        <v>Uncle Sams Cider (5/13/2022)</v>
      </c>
      <c r="H2405" s="19"/>
    </row>
    <row r="2406">
      <c r="A2406" s="9"/>
      <c r="B2406" s="15"/>
      <c r="C2406" s="9">
        <f>IFERROR(__xludf.DUMMYFUNCTION("""COMPUTED_VALUE"""),44771.5506878472)</f>
        <v>44771.55069</v>
      </c>
      <c r="D2406" s="15">
        <f>IFERROR(__xludf.DUMMYFUNCTION("""COMPUTED_VALUE"""),1.004)</f>
        <v>1.004</v>
      </c>
      <c r="E2406" s="16">
        <f>IFERROR(__xludf.DUMMYFUNCTION("""COMPUTED_VALUE"""),70.0)</f>
        <v>70</v>
      </c>
      <c r="F2406" s="19" t="str">
        <f>IFERROR(__xludf.DUMMYFUNCTION("""COMPUTED_VALUE"""),"BLACK")</f>
        <v>BLACK</v>
      </c>
      <c r="G2406" s="20" t="str">
        <f>IFERROR(__xludf.DUMMYFUNCTION("""COMPUTED_VALUE"""),"Uncle Sams Cider (5/13/2022)")</f>
        <v>Uncle Sams Cider (5/13/2022)</v>
      </c>
      <c r="H2406" s="19"/>
    </row>
    <row r="2407">
      <c r="A2407" s="9"/>
      <c r="B2407" s="15"/>
      <c r="C2407" s="9">
        <f>IFERROR(__xludf.DUMMYFUNCTION("""COMPUTED_VALUE"""),44771.5402670833)</f>
        <v>44771.54027</v>
      </c>
      <c r="D2407" s="15">
        <f>IFERROR(__xludf.DUMMYFUNCTION("""COMPUTED_VALUE"""),1.004)</f>
        <v>1.004</v>
      </c>
      <c r="E2407" s="16">
        <f>IFERROR(__xludf.DUMMYFUNCTION("""COMPUTED_VALUE"""),70.0)</f>
        <v>70</v>
      </c>
      <c r="F2407" s="19" t="str">
        <f>IFERROR(__xludf.DUMMYFUNCTION("""COMPUTED_VALUE"""),"BLACK")</f>
        <v>BLACK</v>
      </c>
      <c r="G2407" s="20" t="str">
        <f>IFERROR(__xludf.DUMMYFUNCTION("""COMPUTED_VALUE"""),"Uncle Sams Cider (5/13/2022)")</f>
        <v>Uncle Sams Cider (5/13/2022)</v>
      </c>
      <c r="H2407" s="19"/>
    </row>
    <row r="2408">
      <c r="A2408" s="9"/>
      <c r="B2408" s="15"/>
      <c r="C2408" s="9">
        <f>IFERROR(__xludf.DUMMYFUNCTION("""COMPUTED_VALUE"""),44771.5298347106)</f>
        <v>44771.52983</v>
      </c>
      <c r="D2408" s="15">
        <f>IFERROR(__xludf.DUMMYFUNCTION("""COMPUTED_VALUE"""),1.004)</f>
        <v>1.004</v>
      </c>
      <c r="E2408" s="16">
        <f>IFERROR(__xludf.DUMMYFUNCTION("""COMPUTED_VALUE"""),70.0)</f>
        <v>70</v>
      </c>
      <c r="F2408" s="19" t="str">
        <f>IFERROR(__xludf.DUMMYFUNCTION("""COMPUTED_VALUE"""),"BLACK")</f>
        <v>BLACK</v>
      </c>
      <c r="G2408" s="20" t="str">
        <f>IFERROR(__xludf.DUMMYFUNCTION("""COMPUTED_VALUE"""),"Uncle Sams Cider (5/13/2022)")</f>
        <v>Uncle Sams Cider (5/13/2022)</v>
      </c>
      <c r="H2408" s="19"/>
    </row>
    <row r="2409">
      <c r="A2409" s="9"/>
      <c r="B2409" s="15"/>
      <c r="C2409" s="9">
        <f>IFERROR(__xludf.DUMMYFUNCTION("""COMPUTED_VALUE"""),44771.5194006712)</f>
        <v>44771.5194</v>
      </c>
      <c r="D2409" s="15">
        <f>IFERROR(__xludf.DUMMYFUNCTION("""COMPUTED_VALUE"""),1.004)</f>
        <v>1.004</v>
      </c>
      <c r="E2409" s="16">
        <f>IFERROR(__xludf.DUMMYFUNCTION("""COMPUTED_VALUE"""),70.0)</f>
        <v>70</v>
      </c>
      <c r="F2409" s="19" t="str">
        <f>IFERROR(__xludf.DUMMYFUNCTION("""COMPUTED_VALUE"""),"BLACK")</f>
        <v>BLACK</v>
      </c>
      <c r="G2409" s="20" t="str">
        <f>IFERROR(__xludf.DUMMYFUNCTION("""COMPUTED_VALUE"""),"Uncle Sams Cider (5/13/2022)")</f>
        <v>Uncle Sams Cider (5/13/2022)</v>
      </c>
      <c r="H2409" s="19"/>
    </row>
    <row r="2410">
      <c r="A2410" s="9"/>
      <c r="B2410" s="15"/>
      <c r="C2410" s="9">
        <f>IFERROR(__xludf.DUMMYFUNCTION("""COMPUTED_VALUE"""),44771.508969537)</f>
        <v>44771.50897</v>
      </c>
      <c r="D2410" s="15">
        <f>IFERROR(__xludf.DUMMYFUNCTION("""COMPUTED_VALUE"""),1.004)</f>
        <v>1.004</v>
      </c>
      <c r="E2410" s="16">
        <f>IFERROR(__xludf.DUMMYFUNCTION("""COMPUTED_VALUE"""),70.0)</f>
        <v>70</v>
      </c>
      <c r="F2410" s="19" t="str">
        <f>IFERROR(__xludf.DUMMYFUNCTION("""COMPUTED_VALUE"""),"BLACK")</f>
        <v>BLACK</v>
      </c>
      <c r="G2410" s="20" t="str">
        <f>IFERROR(__xludf.DUMMYFUNCTION("""COMPUTED_VALUE"""),"Uncle Sams Cider (5/13/2022)")</f>
        <v>Uncle Sams Cider (5/13/2022)</v>
      </c>
      <c r="H2410" s="19"/>
    </row>
    <row r="2411">
      <c r="A2411" s="9"/>
      <c r="B2411" s="15"/>
      <c r="C2411" s="9">
        <f>IFERROR(__xludf.DUMMYFUNCTION("""COMPUTED_VALUE"""),44771.4985456481)</f>
        <v>44771.49855</v>
      </c>
      <c r="D2411" s="15">
        <f>IFERROR(__xludf.DUMMYFUNCTION("""COMPUTED_VALUE"""),1.004)</f>
        <v>1.004</v>
      </c>
      <c r="E2411" s="16">
        <f>IFERROR(__xludf.DUMMYFUNCTION("""COMPUTED_VALUE"""),70.0)</f>
        <v>70</v>
      </c>
      <c r="F2411" s="19" t="str">
        <f>IFERROR(__xludf.DUMMYFUNCTION("""COMPUTED_VALUE"""),"BLACK")</f>
        <v>BLACK</v>
      </c>
      <c r="G2411" s="20" t="str">
        <f>IFERROR(__xludf.DUMMYFUNCTION("""COMPUTED_VALUE"""),"Uncle Sams Cider (5/13/2022)")</f>
        <v>Uncle Sams Cider (5/13/2022)</v>
      </c>
      <c r="H2411" s="19"/>
    </row>
    <row r="2412">
      <c r="A2412" s="9"/>
      <c r="B2412" s="15"/>
      <c r="C2412" s="9">
        <f>IFERROR(__xludf.DUMMYFUNCTION("""COMPUTED_VALUE"""),44771.4881135301)</f>
        <v>44771.48811</v>
      </c>
      <c r="D2412" s="15">
        <f>IFERROR(__xludf.DUMMYFUNCTION("""COMPUTED_VALUE"""),1.004)</f>
        <v>1.004</v>
      </c>
      <c r="E2412" s="16">
        <f>IFERROR(__xludf.DUMMYFUNCTION("""COMPUTED_VALUE"""),70.0)</f>
        <v>70</v>
      </c>
      <c r="F2412" s="19" t="str">
        <f>IFERROR(__xludf.DUMMYFUNCTION("""COMPUTED_VALUE"""),"BLACK")</f>
        <v>BLACK</v>
      </c>
      <c r="G2412" s="20" t="str">
        <f>IFERROR(__xludf.DUMMYFUNCTION("""COMPUTED_VALUE"""),"Uncle Sams Cider (5/13/2022)")</f>
        <v>Uncle Sams Cider (5/13/2022)</v>
      </c>
      <c r="H2412" s="19"/>
    </row>
    <row r="2413">
      <c r="A2413" s="9"/>
      <c r="B2413" s="15"/>
      <c r="C2413" s="9">
        <f>IFERROR(__xludf.DUMMYFUNCTION("""COMPUTED_VALUE"""),44771.4776798958)</f>
        <v>44771.47768</v>
      </c>
      <c r="D2413" s="15">
        <f>IFERROR(__xludf.DUMMYFUNCTION("""COMPUTED_VALUE"""),1.004)</f>
        <v>1.004</v>
      </c>
      <c r="E2413" s="16">
        <f>IFERROR(__xludf.DUMMYFUNCTION("""COMPUTED_VALUE"""),70.0)</f>
        <v>70</v>
      </c>
      <c r="F2413" s="19" t="str">
        <f>IFERROR(__xludf.DUMMYFUNCTION("""COMPUTED_VALUE"""),"BLACK")</f>
        <v>BLACK</v>
      </c>
      <c r="G2413" s="20" t="str">
        <f>IFERROR(__xludf.DUMMYFUNCTION("""COMPUTED_VALUE"""),"Uncle Sams Cider (5/13/2022)")</f>
        <v>Uncle Sams Cider (5/13/2022)</v>
      </c>
      <c r="H2413" s="19"/>
    </row>
    <row r="2414">
      <c r="A2414" s="9"/>
      <c r="B2414" s="15"/>
      <c r="C2414" s="9">
        <f>IFERROR(__xludf.DUMMYFUNCTION("""COMPUTED_VALUE"""),44771.4672587847)</f>
        <v>44771.46726</v>
      </c>
      <c r="D2414" s="15">
        <f>IFERROR(__xludf.DUMMYFUNCTION("""COMPUTED_VALUE"""),1.004)</f>
        <v>1.004</v>
      </c>
      <c r="E2414" s="16">
        <f>IFERROR(__xludf.DUMMYFUNCTION("""COMPUTED_VALUE"""),70.0)</f>
        <v>70</v>
      </c>
      <c r="F2414" s="19" t="str">
        <f>IFERROR(__xludf.DUMMYFUNCTION("""COMPUTED_VALUE"""),"BLACK")</f>
        <v>BLACK</v>
      </c>
      <c r="G2414" s="20" t="str">
        <f>IFERROR(__xludf.DUMMYFUNCTION("""COMPUTED_VALUE"""),"Uncle Sams Cider (5/13/2022)")</f>
        <v>Uncle Sams Cider (5/13/2022)</v>
      </c>
      <c r="H2414" s="19"/>
    </row>
    <row r="2415">
      <c r="A2415" s="9"/>
      <c r="B2415" s="15"/>
      <c r="C2415" s="9">
        <f>IFERROR(__xludf.DUMMYFUNCTION("""COMPUTED_VALUE"""),44771.4568367129)</f>
        <v>44771.45684</v>
      </c>
      <c r="D2415" s="15">
        <f>IFERROR(__xludf.DUMMYFUNCTION("""COMPUTED_VALUE"""),1.004)</f>
        <v>1.004</v>
      </c>
      <c r="E2415" s="16">
        <f>IFERROR(__xludf.DUMMYFUNCTION("""COMPUTED_VALUE"""),70.0)</f>
        <v>70</v>
      </c>
      <c r="F2415" s="19" t="str">
        <f>IFERROR(__xludf.DUMMYFUNCTION("""COMPUTED_VALUE"""),"BLACK")</f>
        <v>BLACK</v>
      </c>
      <c r="G2415" s="20" t="str">
        <f>IFERROR(__xludf.DUMMYFUNCTION("""COMPUTED_VALUE"""),"Uncle Sams Cider (5/13/2022)")</f>
        <v>Uncle Sams Cider (5/13/2022)</v>
      </c>
      <c r="H2415" s="19"/>
    </row>
    <row r="2416">
      <c r="A2416" s="9"/>
      <c r="B2416" s="15"/>
      <c r="C2416" s="9">
        <f>IFERROR(__xludf.DUMMYFUNCTION("""COMPUTED_VALUE"""),44771.4464042939)</f>
        <v>44771.4464</v>
      </c>
      <c r="D2416" s="15">
        <f>IFERROR(__xludf.DUMMYFUNCTION("""COMPUTED_VALUE"""),1.004)</f>
        <v>1.004</v>
      </c>
      <c r="E2416" s="16">
        <f>IFERROR(__xludf.DUMMYFUNCTION("""COMPUTED_VALUE"""),70.0)</f>
        <v>70</v>
      </c>
      <c r="F2416" s="19" t="str">
        <f>IFERROR(__xludf.DUMMYFUNCTION("""COMPUTED_VALUE"""),"BLACK")</f>
        <v>BLACK</v>
      </c>
      <c r="G2416" s="20" t="str">
        <f>IFERROR(__xludf.DUMMYFUNCTION("""COMPUTED_VALUE"""),"Uncle Sams Cider (5/13/2022)")</f>
        <v>Uncle Sams Cider (5/13/2022)</v>
      </c>
      <c r="H2416" s="19"/>
    </row>
    <row r="2417">
      <c r="A2417" s="9"/>
      <c r="B2417" s="15"/>
      <c r="C2417" s="9">
        <f>IFERROR(__xludf.DUMMYFUNCTION("""COMPUTED_VALUE"""),44771.4359706828)</f>
        <v>44771.43597</v>
      </c>
      <c r="D2417" s="15">
        <f>IFERROR(__xludf.DUMMYFUNCTION("""COMPUTED_VALUE"""),1.004)</f>
        <v>1.004</v>
      </c>
      <c r="E2417" s="16">
        <f>IFERROR(__xludf.DUMMYFUNCTION("""COMPUTED_VALUE"""),70.0)</f>
        <v>70</v>
      </c>
      <c r="F2417" s="19" t="str">
        <f>IFERROR(__xludf.DUMMYFUNCTION("""COMPUTED_VALUE"""),"BLACK")</f>
        <v>BLACK</v>
      </c>
      <c r="G2417" s="20" t="str">
        <f>IFERROR(__xludf.DUMMYFUNCTION("""COMPUTED_VALUE"""),"Uncle Sams Cider (5/13/2022)")</f>
        <v>Uncle Sams Cider (5/13/2022)</v>
      </c>
      <c r="H2417" s="19"/>
    </row>
    <row r="2418">
      <c r="A2418" s="9"/>
      <c r="B2418" s="15"/>
      <c r="C2418" s="9">
        <f>IFERROR(__xludf.DUMMYFUNCTION("""COMPUTED_VALUE"""),44771.4255524768)</f>
        <v>44771.42555</v>
      </c>
      <c r="D2418" s="15">
        <f>IFERROR(__xludf.DUMMYFUNCTION("""COMPUTED_VALUE"""),1.004)</f>
        <v>1.004</v>
      </c>
      <c r="E2418" s="16">
        <f>IFERROR(__xludf.DUMMYFUNCTION("""COMPUTED_VALUE"""),70.0)</f>
        <v>70</v>
      </c>
      <c r="F2418" s="19" t="str">
        <f>IFERROR(__xludf.DUMMYFUNCTION("""COMPUTED_VALUE"""),"BLACK")</f>
        <v>BLACK</v>
      </c>
      <c r="G2418" s="20" t="str">
        <f>IFERROR(__xludf.DUMMYFUNCTION("""COMPUTED_VALUE"""),"Uncle Sams Cider (5/13/2022)")</f>
        <v>Uncle Sams Cider (5/13/2022)</v>
      </c>
      <c r="H2418" s="19"/>
    </row>
    <row r="2419">
      <c r="A2419" s="9"/>
      <c r="B2419" s="15"/>
      <c r="C2419" s="9">
        <f>IFERROR(__xludf.DUMMYFUNCTION("""COMPUTED_VALUE"""),44771.4151205902)</f>
        <v>44771.41512</v>
      </c>
      <c r="D2419" s="15">
        <f>IFERROR(__xludf.DUMMYFUNCTION("""COMPUTED_VALUE"""),1.004)</f>
        <v>1.004</v>
      </c>
      <c r="E2419" s="16">
        <f>IFERROR(__xludf.DUMMYFUNCTION("""COMPUTED_VALUE"""),70.0)</f>
        <v>70</v>
      </c>
      <c r="F2419" s="19" t="str">
        <f>IFERROR(__xludf.DUMMYFUNCTION("""COMPUTED_VALUE"""),"BLACK")</f>
        <v>BLACK</v>
      </c>
      <c r="G2419" s="20" t="str">
        <f>IFERROR(__xludf.DUMMYFUNCTION("""COMPUTED_VALUE"""),"Uncle Sams Cider (5/13/2022)")</f>
        <v>Uncle Sams Cider (5/13/2022)</v>
      </c>
      <c r="H2419" s="19"/>
    </row>
    <row r="2420">
      <c r="A2420" s="9"/>
      <c r="B2420" s="15"/>
      <c r="C2420" s="9">
        <f>IFERROR(__xludf.DUMMYFUNCTION("""COMPUTED_VALUE"""),44771.4047000694)</f>
        <v>44771.4047</v>
      </c>
      <c r="D2420" s="15">
        <f>IFERROR(__xludf.DUMMYFUNCTION("""COMPUTED_VALUE"""),1.004)</f>
        <v>1.004</v>
      </c>
      <c r="E2420" s="16">
        <f>IFERROR(__xludf.DUMMYFUNCTION("""COMPUTED_VALUE"""),70.0)</f>
        <v>70</v>
      </c>
      <c r="F2420" s="19" t="str">
        <f>IFERROR(__xludf.DUMMYFUNCTION("""COMPUTED_VALUE"""),"BLACK")</f>
        <v>BLACK</v>
      </c>
      <c r="G2420" s="20" t="str">
        <f>IFERROR(__xludf.DUMMYFUNCTION("""COMPUTED_VALUE"""),"Uncle Sams Cider (5/13/2022)")</f>
        <v>Uncle Sams Cider (5/13/2022)</v>
      </c>
      <c r="H2420" s="19"/>
    </row>
    <row r="2421">
      <c r="A2421" s="9"/>
      <c r="B2421" s="15"/>
      <c r="C2421" s="9">
        <f>IFERROR(__xludf.DUMMYFUNCTION("""COMPUTED_VALUE"""),44771.3942801041)</f>
        <v>44771.39428</v>
      </c>
      <c r="D2421" s="15">
        <f>IFERROR(__xludf.DUMMYFUNCTION("""COMPUTED_VALUE"""),1.004)</f>
        <v>1.004</v>
      </c>
      <c r="E2421" s="16">
        <f>IFERROR(__xludf.DUMMYFUNCTION("""COMPUTED_VALUE"""),70.0)</f>
        <v>70</v>
      </c>
      <c r="F2421" s="19" t="str">
        <f>IFERROR(__xludf.DUMMYFUNCTION("""COMPUTED_VALUE"""),"BLACK")</f>
        <v>BLACK</v>
      </c>
      <c r="G2421" s="20" t="str">
        <f>IFERROR(__xludf.DUMMYFUNCTION("""COMPUTED_VALUE"""),"Uncle Sams Cider (5/13/2022)")</f>
        <v>Uncle Sams Cider (5/13/2022)</v>
      </c>
      <c r="H2421" s="19"/>
    </row>
    <row r="2422">
      <c r="A2422" s="9"/>
      <c r="B2422" s="15"/>
      <c r="C2422" s="9">
        <f>IFERROR(__xludf.DUMMYFUNCTION("""COMPUTED_VALUE"""),44771.3838576157)</f>
        <v>44771.38386</v>
      </c>
      <c r="D2422" s="15">
        <f>IFERROR(__xludf.DUMMYFUNCTION("""COMPUTED_VALUE"""),1.004)</f>
        <v>1.004</v>
      </c>
      <c r="E2422" s="16">
        <f>IFERROR(__xludf.DUMMYFUNCTION("""COMPUTED_VALUE"""),70.0)</f>
        <v>70</v>
      </c>
      <c r="F2422" s="19" t="str">
        <f>IFERROR(__xludf.DUMMYFUNCTION("""COMPUTED_VALUE"""),"BLACK")</f>
        <v>BLACK</v>
      </c>
      <c r="G2422" s="20" t="str">
        <f>IFERROR(__xludf.DUMMYFUNCTION("""COMPUTED_VALUE"""),"Uncle Sams Cider (5/13/2022)")</f>
        <v>Uncle Sams Cider (5/13/2022)</v>
      </c>
      <c r="H2422" s="19"/>
    </row>
    <row r="2423">
      <c r="A2423" s="9"/>
      <c r="B2423" s="15"/>
      <c r="C2423" s="9">
        <f>IFERROR(__xludf.DUMMYFUNCTION("""COMPUTED_VALUE"""),44771.3734356134)</f>
        <v>44771.37344</v>
      </c>
      <c r="D2423" s="15">
        <f>IFERROR(__xludf.DUMMYFUNCTION("""COMPUTED_VALUE"""),1.004)</f>
        <v>1.004</v>
      </c>
      <c r="E2423" s="16">
        <f>IFERROR(__xludf.DUMMYFUNCTION("""COMPUTED_VALUE"""),70.0)</f>
        <v>70</v>
      </c>
      <c r="F2423" s="19" t="str">
        <f>IFERROR(__xludf.DUMMYFUNCTION("""COMPUTED_VALUE"""),"BLACK")</f>
        <v>BLACK</v>
      </c>
      <c r="G2423" s="20" t="str">
        <f>IFERROR(__xludf.DUMMYFUNCTION("""COMPUTED_VALUE"""),"Uncle Sams Cider (5/13/2022)")</f>
        <v>Uncle Sams Cider (5/13/2022)</v>
      </c>
      <c r="H2423" s="19"/>
    </row>
    <row r="2424">
      <c r="A2424" s="9"/>
      <c r="B2424" s="15"/>
      <c r="C2424" s="9">
        <f>IFERROR(__xludf.DUMMYFUNCTION("""COMPUTED_VALUE"""),44771.3630044907)</f>
        <v>44771.363</v>
      </c>
      <c r="D2424" s="15">
        <f>IFERROR(__xludf.DUMMYFUNCTION("""COMPUTED_VALUE"""),1.004)</f>
        <v>1.004</v>
      </c>
      <c r="E2424" s="16">
        <f>IFERROR(__xludf.DUMMYFUNCTION("""COMPUTED_VALUE"""),70.0)</f>
        <v>70</v>
      </c>
      <c r="F2424" s="19" t="str">
        <f>IFERROR(__xludf.DUMMYFUNCTION("""COMPUTED_VALUE"""),"BLACK")</f>
        <v>BLACK</v>
      </c>
      <c r="G2424" s="20" t="str">
        <f>IFERROR(__xludf.DUMMYFUNCTION("""COMPUTED_VALUE"""),"Uncle Sams Cider (5/13/2022)")</f>
        <v>Uncle Sams Cider (5/13/2022)</v>
      </c>
      <c r="H2424" s="19"/>
    </row>
    <row r="2425">
      <c r="A2425" s="9"/>
      <c r="B2425" s="15"/>
      <c r="C2425" s="9">
        <f>IFERROR(__xludf.DUMMYFUNCTION("""COMPUTED_VALUE"""),44771.3525828587)</f>
        <v>44771.35258</v>
      </c>
      <c r="D2425" s="15">
        <f>IFERROR(__xludf.DUMMYFUNCTION("""COMPUTED_VALUE"""),1.004)</f>
        <v>1.004</v>
      </c>
      <c r="E2425" s="16">
        <f>IFERROR(__xludf.DUMMYFUNCTION("""COMPUTED_VALUE"""),70.0)</f>
        <v>70</v>
      </c>
      <c r="F2425" s="19" t="str">
        <f>IFERROR(__xludf.DUMMYFUNCTION("""COMPUTED_VALUE"""),"BLACK")</f>
        <v>BLACK</v>
      </c>
      <c r="G2425" s="20" t="str">
        <f>IFERROR(__xludf.DUMMYFUNCTION("""COMPUTED_VALUE"""),"Uncle Sams Cider (5/13/2022)")</f>
        <v>Uncle Sams Cider (5/13/2022)</v>
      </c>
      <c r="H2425" s="19"/>
    </row>
    <row r="2426">
      <c r="A2426" s="9"/>
      <c r="B2426" s="15"/>
      <c r="C2426" s="9">
        <f>IFERROR(__xludf.DUMMYFUNCTION("""COMPUTED_VALUE"""),44771.3421618287)</f>
        <v>44771.34216</v>
      </c>
      <c r="D2426" s="15">
        <f>IFERROR(__xludf.DUMMYFUNCTION("""COMPUTED_VALUE"""),1.004)</f>
        <v>1.004</v>
      </c>
      <c r="E2426" s="16">
        <f>IFERROR(__xludf.DUMMYFUNCTION("""COMPUTED_VALUE"""),70.0)</f>
        <v>70</v>
      </c>
      <c r="F2426" s="19" t="str">
        <f>IFERROR(__xludf.DUMMYFUNCTION("""COMPUTED_VALUE"""),"BLACK")</f>
        <v>BLACK</v>
      </c>
      <c r="G2426" s="20" t="str">
        <f>IFERROR(__xludf.DUMMYFUNCTION("""COMPUTED_VALUE"""),"Uncle Sams Cider (5/13/2022)")</f>
        <v>Uncle Sams Cider (5/13/2022)</v>
      </c>
      <c r="H2426" s="19"/>
    </row>
    <row r="2427">
      <c r="A2427" s="9"/>
      <c r="B2427" s="15"/>
      <c r="C2427" s="9">
        <f>IFERROR(__xludf.DUMMYFUNCTION("""COMPUTED_VALUE"""),44771.3317299074)</f>
        <v>44771.33173</v>
      </c>
      <c r="D2427" s="15">
        <f>IFERROR(__xludf.DUMMYFUNCTION("""COMPUTED_VALUE"""),1.004)</f>
        <v>1.004</v>
      </c>
      <c r="E2427" s="16">
        <f>IFERROR(__xludf.DUMMYFUNCTION("""COMPUTED_VALUE"""),70.0)</f>
        <v>70</v>
      </c>
      <c r="F2427" s="19" t="str">
        <f>IFERROR(__xludf.DUMMYFUNCTION("""COMPUTED_VALUE"""),"BLACK")</f>
        <v>BLACK</v>
      </c>
      <c r="G2427" s="20" t="str">
        <f>IFERROR(__xludf.DUMMYFUNCTION("""COMPUTED_VALUE"""),"Uncle Sams Cider (5/13/2022)")</f>
        <v>Uncle Sams Cider (5/13/2022)</v>
      </c>
      <c r="H2427" s="19"/>
    </row>
    <row r="2428">
      <c r="A2428" s="9"/>
      <c r="B2428" s="15"/>
      <c r="C2428" s="9">
        <f>IFERROR(__xludf.DUMMYFUNCTION("""COMPUTED_VALUE"""),44771.3212973611)</f>
        <v>44771.3213</v>
      </c>
      <c r="D2428" s="15">
        <f>IFERROR(__xludf.DUMMYFUNCTION("""COMPUTED_VALUE"""),1.004)</f>
        <v>1.004</v>
      </c>
      <c r="E2428" s="16">
        <f>IFERROR(__xludf.DUMMYFUNCTION("""COMPUTED_VALUE"""),70.0)</f>
        <v>70</v>
      </c>
      <c r="F2428" s="19" t="str">
        <f>IFERROR(__xludf.DUMMYFUNCTION("""COMPUTED_VALUE"""),"BLACK")</f>
        <v>BLACK</v>
      </c>
      <c r="G2428" s="20" t="str">
        <f>IFERROR(__xludf.DUMMYFUNCTION("""COMPUTED_VALUE"""),"Uncle Sams Cider (5/13/2022)")</f>
        <v>Uncle Sams Cider (5/13/2022)</v>
      </c>
      <c r="H2428" s="19"/>
    </row>
    <row r="2429">
      <c r="A2429" s="9"/>
      <c r="B2429" s="15"/>
      <c r="C2429" s="9">
        <f>IFERROR(__xludf.DUMMYFUNCTION("""COMPUTED_VALUE"""),44771.3108764699)</f>
        <v>44771.31088</v>
      </c>
      <c r="D2429" s="15">
        <f>IFERROR(__xludf.DUMMYFUNCTION("""COMPUTED_VALUE"""),1.004)</f>
        <v>1.004</v>
      </c>
      <c r="E2429" s="16">
        <f>IFERROR(__xludf.DUMMYFUNCTION("""COMPUTED_VALUE"""),70.0)</f>
        <v>70</v>
      </c>
      <c r="F2429" s="19" t="str">
        <f>IFERROR(__xludf.DUMMYFUNCTION("""COMPUTED_VALUE"""),"BLACK")</f>
        <v>BLACK</v>
      </c>
      <c r="G2429" s="20" t="str">
        <f>IFERROR(__xludf.DUMMYFUNCTION("""COMPUTED_VALUE"""),"Uncle Sams Cider (5/13/2022)")</f>
        <v>Uncle Sams Cider (5/13/2022)</v>
      </c>
      <c r="H2429" s="19"/>
    </row>
    <row r="2430">
      <c r="A2430" s="9"/>
      <c r="B2430" s="15"/>
      <c r="C2430" s="9">
        <f>IFERROR(__xludf.DUMMYFUNCTION("""COMPUTED_VALUE"""),44771.3004547106)</f>
        <v>44771.30045</v>
      </c>
      <c r="D2430" s="15">
        <f>IFERROR(__xludf.DUMMYFUNCTION("""COMPUTED_VALUE"""),1.004)</f>
        <v>1.004</v>
      </c>
      <c r="E2430" s="16">
        <f>IFERROR(__xludf.DUMMYFUNCTION("""COMPUTED_VALUE"""),70.0)</f>
        <v>70</v>
      </c>
      <c r="F2430" s="19" t="str">
        <f>IFERROR(__xludf.DUMMYFUNCTION("""COMPUTED_VALUE"""),"BLACK")</f>
        <v>BLACK</v>
      </c>
      <c r="G2430" s="20" t="str">
        <f>IFERROR(__xludf.DUMMYFUNCTION("""COMPUTED_VALUE"""),"Uncle Sams Cider (5/13/2022)")</f>
        <v>Uncle Sams Cider (5/13/2022)</v>
      </c>
      <c r="H2430" s="19"/>
    </row>
    <row r="2431">
      <c r="A2431" s="9"/>
      <c r="B2431" s="15"/>
      <c r="C2431" s="9">
        <f>IFERROR(__xludf.DUMMYFUNCTION("""COMPUTED_VALUE"""),44771.2900327083)</f>
        <v>44771.29003</v>
      </c>
      <c r="D2431" s="15">
        <f>IFERROR(__xludf.DUMMYFUNCTION("""COMPUTED_VALUE"""),1.004)</f>
        <v>1.004</v>
      </c>
      <c r="E2431" s="16">
        <f>IFERROR(__xludf.DUMMYFUNCTION("""COMPUTED_VALUE"""),69.0)</f>
        <v>69</v>
      </c>
      <c r="F2431" s="19" t="str">
        <f>IFERROR(__xludf.DUMMYFUNCTION("""COMPUTED_VALUE"""),"BLACK")</f>
        <v>BLACK</v>
      </c>
      <c r="G2431" s="20" t="str">
        <f>IFERROR(__xludf.DUMMYFUNCTION("""COMPUTED_VALUE"""),"Uncle Sams Cider (5/13/2022)")</f>
        <v>Uncle Sams Cider (5/13/2022)</v>
      </c>
      <c r="H2431" s="19"/>
    </row>
    <row r="2432">
      <c r="A2432" s="9"/>
      <c r="B2432" s="15"/>
      <c r="C2432" s="9">
        <f>IFERROR(__xludf.DUMMYFUNCTION("""COMPUTED_VALUE"""),44771.2796119212)</f>
        <v>44771.27961</v>
      </c>
      <c r="D2432" s="15">
        <f>IFERROR(__xludf.DUMMYFUNCTION("""COMPUTED_VALUE"""),1.004)</f>
        <v>1.004</v>
      </c>
      <c r="E2432" s="16">
        <f>IFERROR(__xludf.DUMMYFUNCTION("""COMPUTED_VALUE"""),70.0)</f>
        <v>70</v>
      </c>
      <c r="F2432" s="19" t="str">
        <f>IFERROR(__xludf.DUMMYFUNCTION("""COMPUTED_VALUE"""),"BLACK")</f>
        <v>BLACK</v>
      </c>
      <c r="G2432" s="20" t="str">
        <f>IFERROR(__xludf.DUMMYFUNCTION("""COMPUTED_VALUE"""),"Uncle Sams Cider (5/13/2022)")</f>
        <v>Uncle Sams Cider (5/13/2022)</v>
      </c>
      <c r="H2432" s="19"/>
    </row>
    <row r="2433">
      <c r="A2433" s="9"/>
      <c r="B2433" s="15"/>
      <c r="C2433" s="9">
        <f>IFERROR(__xludf.DUMMYFUNCTION("""COMPUTED_VALUE"""),44771.269190324)</f>
        <v>44771.26919</v>
      </c>
      <c r="D2433" s="15">
        <f>IFERROR(__xludf.DUMMYFUNCTION("""COMPUTED_VALUE"""),1.004)</f>
        <v>1.004</v>
      </c>
      <c r="E2433" s="16">
        <f>IFERROR(__xludf.DUMMYFUNCTION("""COMPUTED_VALUE"""),70.0)</f>
        <v>70</v>
      </c>
      <c r="F2433" s="19" t="str">
        <f>IFERROR(__xludf.DUMMYFUNCTION("""COMPUTED_VALUE"""),"BLACK")</f>
        <v>BLACK</v>
      </c>
      <c r="G2433" s="20" t="str">
        <f>IFERROR(__xludf.DUMMYFUNCTION("""COMPUTED_VALUE"""),"Uncle Sams Cider (5/13/2022)")</f>
        <v>Uncle Sams Cider (5/13/2022)</v>
      </c>
      <c r="H2433" s="19"/>
    </row>
    <row r="2434">
      <c r="A2434" s="9"/>
      <c r="B2434" s="15"/>
      <c r="C2434" s="9">
        <f>IFERROR(__xludf.DUMMYFUNCTION("""COMPUTED_VALUE"""),44771.2587695486)</f>
        <v>44771.25877</v>
      </c>
      <c r="D2434" s="15">
        <f>IFERROR(__xludf.DUMMYFUNCTION("""COMPUTED_VALUE"""),1.004)</f>
        <v>1.004</v>
      </c>
      <c r="E2434" s="16">
        <f>IFERROR(__xludf.DUMMYFUNCTION("""COMPUTED_VALUE"""),70.0)</f>
        <v>70</v>
      </c>
      <c r="F2434" s="19" t="str">
        <f>IFERROR(__xludf.DUMMYFUNCTION("""COMPUTED_VALUE"""),"BLACK")</f>
        <v>BLACK</v>
      </c>
      <c r="G2434" s="20" t="str">
        <f>IFERROR(__xludf.DUMMYFUNCTION("""COMPUTED_VALUE"""),"Uncle Sams Cider (5/13/2022)")</f>
        <v>Uncle Sams Cider (5/13/2022)</v>
      </c>
      <c r="H2434" s="19"/>
    </row>
    <row r="2435">
      <c r="A2435" s="9"/>
      <c r="B2435" s="15"/>
      <c r="C2435" s="9">
        <f>IFERROR(__xludf.DUMMYFUNCTION("""COMPUTED_VALUE"""),44771.2483476736)</f>
        <v>44771.24835</v>
      </c>
      <c r="D2435" s="15">
        <f>IFERROR(__xludf.DUMMYFUNCTION("""COMPUTED_VALUE"""),1.004)</f>
        <v>1.004</v>
      </c>
      <c r="E2435" s="16">
        <f>IFERROR(__xludf.DUMMYFUNCTION("""COMPUTED_VALUE"""),70.0)</f>
        <v>70</v>
      </c>
      <c r="F2435" s="19" t="str">
        <f>IFERROR(__xludf.DUMMYFUNCTION("""COMPUTED_VALUE"""),"BLACK")</f>
        <v>BLACK</v>
      </c>
      <c r="G2435" s="20" t="str">
        <f>IFERROR(__xludf.DUMMYFUNCTION("""COMPUTED_VALUE"""),"Uncle Sams Cider (5/13/2022)")</f>
        <v>Uncle Sams Cider (5/13/2022)</v>
      </c>
      <c r="H2435" s="19"/>
    </row>
    <row r="2436">
      <c r="A2436" s="9"/>
      <c r="B2436" s="15"/>
      <c r="C2436" s="9">
        <f>IFERROR(__xludf.DUMMYFUNCTION("""COMPUTED_VALUE"""),44771.2379265625)</f>
        <v>44771.23793</v>
      </c>
      <c r="D2436" s="15">
        <f>IFERROR(__xludf.DUMMYFUNCTION("""COMPUTED_VALUE"""),1.004)</f>
        <v>1.004</v>
      </c>
      <c r="E2436" s="16">
        <f>IFERROR(__xludf.DUMMYFUNCTION("""COMPUTED_VALUE"""),69.0)</f>
        <v>69</v>
      </c>
      <c r="F2436" s="19" t="str">
        <f>IFERROR(__xludf.DUMMYFUNCTION("""COMPUTED_VALUE"""),"BLACK")</f>
        <v>BLACK</v>
      </c>
      <c r="G2436" s="20" t="str">
        <f>IFERROR(__xludf.DUMMYFUNCTION("""COMPUTED_VALUE"""),"Uncle Sams Cider (5/13/2022)")</f>
        <v>Uncle Sams Cider (5/13/2022)</v>
      </c>
      <c r="H2436" s="19"/>
    </row>
    <row r="2437">
      <c r="A2437" s="9"/>
      <c r="B2437" s="15"/>
      <c r="C2437" s="9">
        <f>IFERROR(__xludf.DUMMYFUNCTION("""COMPUTED_VALUE"""),44771.2275050463)</f>
        <v>44771.22751</v>
      </c>
      <c r="D2437" s="15">
        <f>IFERROR(__xludf.DUMMYFUNCTION("""COMPUTED_VALUE"""),1.004)</f>
        <v>1.004</v>
      </c>
      <c r="E2437" s="16">
        <f>IFERROR(__xludf.DUMMYFUNCTION("""COMPUTED_VALUE"""),69.0)</f>
        <v>69</v>
      </c>
      <c r="F2437" s="19" t="str">
        <f>IFERROR(__xludf.DUMMYFUNCTION("""COMPUTED_VALUE"""),"BLACK")</f>
        <v>BLACK</v>
      </c>
      <c r="G2437" s="20" t="str">
        <f>IFERROR(__xludf.DUMMYFUNCTION("""COMPUTED_VALUE"""),"Uncle Sams Cider (5/13/2022)")</f>
        <v>Uncle Sams Cider (5/13/2022)</v>
      </c>
      <c r="H2437" s="19"/>
    </row>
    <row r="2438">
      <c r="A2438" s="9"/>
      <c r="B2438" s="15"/>
      <c r="C2438" s="9">
        <f>IFERROR(__xludf.DUMMYFUNCTION("""COMPUTED_VALUE"""),44771.2170827777)</f>
        <v>44771.21708</v>
      </c>
      <c r="D2438" s="15">
        <f>IFERROR(__xludf.DUMMYFUNCTION("""COMPUTED_VALUE"""),1.004)</f>
        <v>1.004</v>
      </c>
      <c r="E2438" s="16">
        <f>IFERROR(__xludf.DUMMYFUNCTION("""COMPUTED_VALUE"""),69.0)</f>
        <v>69</v>
      </c>
      <c r="F2438" s="19" t="str">
        <f>IFERROR(__xludf.DUMMYFUNCTION("""COMPUTED_VALUE"""),"BLACK")</f>
        <v>BLACK</v>
      </c>
      <c r="G2438" s="20" t="str">
        <f>IFERROR(__xludf.DUMMYFUNCTION("""COMPUTED_VALUE"""),"Uncle Sams Cider (5/13/2022)")</f>
        <v>Uncle Sams Cider (5/13/2022)</v>
      </c>
      <c r="H2438" s="19"/>
    </row>
    <row r="2439">
      <c r="A2439" s="9"/>
      <c r="B2439" s="15"/>
      <c r="C2439" s="9">
        <f>IFERROR(__xludf.DUMMYFUNCTION("""COMPUTED_VALUE"""),44771.2066623611)</f>
        <v>44771.20666</v>
      </c>
      <c r="D2439" s="15">
        <f>IFERROR(__xludf.DUMMYFUNCTION("""COMPUTED_VALUE"""),1.004)</f>
        <v>1.004</v>
      </c>
      <c r="E2439" s="16">
        <f>IFERROR(__xludf.DUMMYFUNCTION("""COMPUTED_VALUE"""),69.0)</f>
        <v>69</v>
      </c>
      <c r="F2439" s="19" t="str">
        <f>IFERROR(__xludf.DUMMYFUNCTION("""COMPUTED_VALUE"""),"BLACK")</f>
        <v>BLACK</v>
      </c>
      <c r="G2439" s="20" t="str">
        <f>IFERROR(__xludf.DUMMYFUNCTION("""COMPUTED_VALUE"""),"Uncle Sams Cider (5/13/2022)")</f>
        <v>Uncle Sams Cider (5/13/2022)</v>
      </c>
      <c r="H2439" s="19"/>
    </row>
    <row r="2440">
      <c r="A2440" s="9"/>
      <c r="B2440" s="15"/>
      <c r="C2440" s="9">
        <f>IFERROR(__xludf.DUMMYFUNCTION("""COMPUTED_VALUE"""),44771.1962405324)</f>
        <v>44771.19624</v>
      </c>
      <c r="D2440" s="15">
        <f>IFERROR(__xludf.DUMMYFUNCTION("""COMPUTED_VALUE"""),1.004)</f>
        <v>1.004</v>
      </c>
      <c r="E2440" s="16">
        <f>IFERROR(__xludf.DUMMYFUNCTION("""COMPUTED_VALUE"""),69.0)</f>
        <v>69</v>
      </c>
      <c r="F2440" s="19" t="str">
        <f>IFERROR(__xludf.DUMMYFUNCTION("""COMPUTED_VALUE"""),"BLACK")</f>
        <v>BLACK</v>
      </c>
      <c r="G2440" s="20" t="str">
        <f>IFERROR(__xludf.DUMMYFUNCTION("""COMPUTED_VALUE"""),"Uncle Sams Cider (5/13/2022)")</f>
        <v>Uncle Sams Cider (5/13/2022)</v>
      </c>
      <c r="H2440" s="19"/>
    </row>
    <row r="2441">
      <c r="A2441" s="9"/>
      <c r="B2441" s="15"/>
      <c r="C2441" s="9">
        <f>IFERROR(__xludf.DUMMYFUNCTION("""COMPUTED_VALUE"""),44771.1858070717)</f>
        <v>44771.18581</v>
      </c>
      <c r="D2441" s="15">
        <f>IFERROR(__xludf.DUMMYFUNCTION("""COMPUTED_VALUE"""),1.004)</f>
        <v>1.004</v>
      </c>
      <c r="E2441" s="16">
        <f>IFERROR(__xludf.DUMMYFUNCTION("""COMPUTED_VALUE"""),69.0)</f>
        <v>69</v>
      </c>
      <c r="F2441" s="19" t="str">
        <f>IFERROR(__xludf.DUMMYFUNCTION("""COMPUTED_VALUE"""),"BLACK")</f>
        <v>BLACK</v>
      </c>
      <c r="G2441" s="20" t="str">
        <f>IFERROR(__xludf.DUMMYFUNCTION("""COMPUTED_VALUE"""),"Uncle Sams Cider (5/13/2022)")</f>
        <v>Uncle Sams Cider (5/13/2022)</v>
      </c>
      <c r="H2441" s="19"/>
    </row>
    <row r="2442">
      <c r="A2442" s="9"/>
      <c r="B2442" s="15"/>
      <c r="C2442" s="9">
        <f>IFERROR(__xludf.DUMMYFUNCTION("""COMPUTED_VALUE"""),44771.1753841203)</f>
        <v>44771.17538</v>
      </c>
      <c r="D2442" s="15">
        <f>IFERROR(__xludf.DUMMYFUNCTION("""COMPUTED_VALUE"""),1.004)</f>
        <v>1.004</v>
      </c>
      <c r="E2442" s="16">
        <f>IFERROR(__xludf.DUMMYFUNCTION("""COMPUTED_VALUE"""),69.0)</f>
        <v>69</v>
      </c>
      <c r="F2442" s="19" t="str">
        <f>IFERROR(__xludf.DUMMYFUNCTION("""COMPUTED_VALUE"""),"BLACK")</f>
        <v>BLACK</v>
      </c>
      <c r="G2442" s="20" t="str">
        <f>IFERROR(__xludf.DUMMYFUNCTION("""COMPUTED_VALUE"""),"Uncle Sams Cider (5/13/2022)")</f>
        <v>Uncle Sams Cider (5/13/2022)</v>
      </c>
      <c r="H2442" s="19"/>
    </row>
    <row r="2443">
      <c r="A2443" s="9"/>
      <c r="B2443" s="15"/>
      <c r="C2443" s="9">
        <f>IFERROR(__xludf.DUMMYFUNCTION("""COMPUTED_VALUE"""),44771.1649613541)</f>
        <v>44771.16496</v>
      </c>
      <c r="D2443" s="15">
        <f>IFERROR(__xludf.DUMMYFUNCTION("""COMPUTED_VALUE"""),1.004)</f>
        <v>1.004</v>
      </c>
      <c r="E2443" s="16">
        <f>IFERROR(__xludf.DUMMYFUNCTION("""COMPUTED_VALUE"""),69.0)</f>
        <v>69</v>
      </c>
      <c r="F2443" s="19" t="str">
        <f>IFERROR(__xludf.DUMMYFUNCTION("""COMPUTED_VALUE"""),"BLACK")</f>
        <v>BLACK</v>
      </c>
      <c r="G2443" s="20" t="str">
        <f>IFERROR(__xludf.DUMMYFUNCTION("""COMPUTED_VALUE"""),"Uncle Sams Cider (5/13/2022)")</f>
        <v>Uncle Sams Cider (5/13/2022)</v>
      </c>
      <c r="H2443" s="19"/>
    </row>
    <row r="2444">
      <c r="A2444" s="9"/>
      <c r="B2444" s="15"/>
      <c r="C2444" s="9">
        <f>IFERROR(__xludf.DUMMYFUNCTION("""COMPUTED_VALUE"""),44771.1545400925)</f>
        <v>44771.15454</v>
      </c>
      <c r="D2444" s="15">
        <f>IFERROR(__xludf.DUMMYFUNCTION("""COMPUTED_VALUE"""),1.004)</f>
        <v>1.004</v>
      </c>
      <c r="E2444" s="16">
        <f>IFERROR(__xludf.DUMMYFUNCTION("""COMPUTED_VALUE"""),69.0)</f>
        <v>69</v>
      </c>
      <c r="F2444" s="19" t="str">
        <f>IFERROR(__xludf.DUMMYFUNCTION("""COMPUTED_VALUE"""),"BLACK")</f>
        <v>BLACK</v>
      </c>
      <c r="G2444" s="20" t="str">
        <f>IFERROR(__xludf.DUMMYFUNCTION("""COMPUTED_VALUE"""),"Uncle Sams Cider (5/13/2022)")</f>
        <v>Uncle Sams Cider (5/13/2022)</v>
      </c>
      <c r="H2444" s="19"/>
    </row>
    <row r="2445">
      <c r="A2445" s="9"/>
      <c r="B2445" s="15"/>
      <c r="C2445" s="9">
        <f>IFERROR(__xludf.DUMMYFUNCTION("""COMPUTED_VALUE"""),44771.1440962847)</f>
        <v>44771.1441</v>
      </c>
      <c r="D2445" s="15">
        <f>IFERROR(__xludf.DUMMYFUNCTION("""COMPUTED_VALUE"""),1.004)</f>
        <v>1.004</v>
      </c>
      <c r="E2445" s="16">
        <f>IFERROR(__xludf.DUMMYFUNCTION("""COMPUTED_VALUE"""),69.0)</f>
        <v>69</v>
      </c>
      <c r="F2445" s="19" t="str">
        <f>IFERROR(__xludf.DUMMYFUNCTION("""COMPUTED_VALUE"""),"BLACK")</f>
        <v>BLACK</v>
      </c>
      <c r="G2445" s="20" t="str">
        <f>IFERROR(__xludf.DUMMYFUNCTION("""COMPUTED_VALUE"""),"Uncle Sams Cider (5/13/2022)")</f>
        <v>Uncle Sams Cider (5/13/2022)</v>
      </c>
      <c r="H2445" s="19"/>
    </row>
    <row r="2446">
      <c r="A2446" s="9"/>
      <c r="B2446" s="15"/>
      <c r="C2446" s="9">
        <f>IFERROR(__xludf.DUMMYFUNCTION("""COMPUTED_VALUE"""),44771.1336756481)</f>
        <v>44771.13368</v>
      </c>
      <c r="D2446" s="15">
        <f>IFERROR(__xludf.DUMMYFUNCTION("""COMPUTED_VALUE"""),1.004)</f>
        <v>1.004</v>
      </c>
      <c r="E2446" s="16">
        <f>IFERROR(__xludf.DUMMYFUNCTION("""COMPUTED_VALUE"""),69.0)</f>
        <v>69</v>
      </c>
      <c r="F2446" s="19" t="str">
        <f>IFERROR(__xludf.DUMMYFUNCTION("""COMPUTED_VALUE"""),"BLACK")</f>
        <v>BLACK</v>
      </c>
      <c r="G2446" s="20" t="str">
        <f>IFERROR(__xludf.DUMMYFUNCTION("""COMPUTED_VALUE"""),"Uncle Sams Cider (5/13/2022)")</f>
        <v>Uncle Sams Cider (5/13/2022)</v>
      </c>
      <c r="H2446" s="19"/>
    </row>
    <row r="2447">
      <c r="A2447" s="9"/>
      <c r="B2447" s="15"/>
      <c r="C2447" s="9">
        <f>IFERROR(__xludf.DUMMYFUNCTION("""COMPUTED_VALUE"""),44771.1232545254)</f>
        <v>44771.12325</v>
      </c>
      <c r="D2447" s="15">
        <f>IFERROR(__xludf.DUMMYFUNCTION("""COMPUTED_VALUE"""),1.004)</f>
        <v>1.004</v>
      </c>
      <c r="E2447" s="16">
        <f>IFERROR(__xludf.DUMMYFUNCTION("""COMPUTED_VALUE"""),69.0)</f>
        <v>69</v>
      </c>
      <c r="F2447" s="19" t="str">
        <f>IFERROR(__xludf.DUMMYFUNCTION("""COMPUTED_VALUE"""),"BLACK")</f>
        <v>BLACK</v>
      </c>
      <c r="G2447" s="20" t="str">
        <f>IFERROR(__xludf.DUMMYFUNCTION("""COMPUTED_VALUE"""),"Uncle Sams Cider (5/13/2022)")</f>
        <v>Uncle Sams Cider (5/13/2022)</v>
      </c>
      <c r="H2447" s="19"/>
    </row>
    <row r="2448">
      <c r="A2448" s="9"/>
      <c r="B2448" s="15"/>
      <c r="C2448" s="9">
        <f>IFERROR(__xludf.DUMMYFUNCTION("""COMPUTED_VALUE"""),44771.1128332986)</f>
        <v>44771.11283</v>
      </c>
      <c r="D2448" s="15">
        <f>IFERROR(__xludf.DUMMYFUNCTION("""COMPUTED_VALUE"""),1.004)</f>
        <v>1.004</v>
      </c>
      <c r="E2448" s="16">
        <f>IFERROR(__xludf.DUMMYFUNCTION("""COMPUTED_VALUE"""),69.0)</f>
        <v>69</v>
      </c>
      <c r="F2448" s="19" t="str">
        <f>IFERROR(__xludf.DUMMYFUNCTION("""COMPUTED_VALUE"""),"BLACK")</f>
        <v>BLACK</v>
      </c>
      <c r="G2448" s="20" t="str">
        <f>IFERROR(__xludf.DUMMYFUNCTION("""COMPUTED_VALUE"""),"Uncle Sams Cider (5/13/2022)")</f>
        <v>Uncle Sams Cider (5/13/2022)</v>
      </c>
      <c r="H2448" s="19"/>
    </row>
    <row r="2449">
      <c r="A2449" s="9"/>
      <c r="B2449" s="15"/>
      <c r="C2449" s="9">
        <f>IFERROR(__xludf.DUMMYFUNCTION("""COMPUTED_VALUE"""),44771.1024125578)</f>
        <v>44771.10241</v>
      </c>
      <c r="D2449" s="15">
        <f>IFERROR(__xludf.DUMMYFUNCTION("""COMPUTED_VALUE"""),1.004)</f>
        <v>1.004</v>
      </c>
      <c r="E2449" s="16">
        <f>IFERROR(__xludf.DUMMYFUNCTION("""COMPUTED_VALUE"""),69.0)</f>
        <v>69</v>
      </c>
      <c r="F2449" s="19" t="str">
        <f>IFERROR(__xludf.DUMMYFUNCTION("""COMPUTED_VALUE"""),"BLACK")</f>
        <v>BLACK</v>
      </c>
      <c r="G2449" s="20" t="str">
        <f>IFERROR(__xludf.DUMMYFUNCTION("""COMPUTED_VALUE"""),"Uncle Sams Cider (5/13/2022)")</f>
        <v>Uncle Sams Cider (5/13/2022)</v>
      </c>
      <c r="H2449" s="19"/>
    </row>
    <row r="2450">
      <c r="A2450" s="9"/>
      <c r="B2450" s="15"/>
      <c r="C2450" s="9">
        <f>IFERROR(__xludf.DUMMYFUNCTION("""COMPUTED_VALUE"""),44771.0919933101)</f>
        <v>44771.09199</v>
      </c>
      <c r="D2450" s="15">
        <f>IFERROR(__xludf.DUMMYFUNCTION("""COMPUTED_VALUE"""),1.004)</f>
        <v>1.004</v>
      </c>
      <c r="E2450" s="16">
        <f>IFERROR(__xludf.DUMMYFUNCTION("""COMPUTED_VALUE"""),69.0)</f>
        <v>69</v>
      </c>
      <c r="F2450" s="19" t="str">
        <f>IFERROR(__xludf.DUMMYFUNCTION("""COMPUTED_VALUE"""),"BLACK")</f>
        <v>BLACK</v>
      </c>
      <c r="G2450" s="20" t="str">
        <f>IFERROR(__xludf.DUMMYFUNCTION("""COMPUTED_VALUE"""),"Uncle Sams Cider (5/13/2022)")</f>
        <v>Uncle Sams Cider (5/13/2022)</v>
      </c>
      <c r="H2450" s="19"/>
    </row>
    <row r="2451">
      <c r="A2451" s="9"/>
      <c r="B2451" s="15"/>
      <c r="C2451" s="9">
        <f>IFERROR(__xludf.DUMMYFUNCTION("""COMPUTED_VALUE"""),44771.081573206)</f>
        <v>44771.08157</v>
      </c>
      <c r="D2451" s="15">
        <f>IFERROR(__xludf.DUMMYFUNCTION("""COMPUTED_VALUE"""),1.004)</f>
        <v>1.004</v>
      </c>
      <c r="E2451" s="16">
        <f>IFERROR(__xludf.DUMMYFUNCTION("""COMPUTED_VALUE"""),69.0)</f>
        <v>69</v>
      </c>
      <c r="F2451" s="19" t="str">
        <f>IFERROR(__xludf.DUMMYFUNCTION("""COMPUTED_VALUE"""),"BLACK")</f>
        <v>BLACK</v>
      </c>
      <c r="G2451" s="20" t="str">
        <f>IFERROR(__xludf.DUMMYFUNCTION("""COMPUTED_VALUE"""),"Uncle Sams Cider (5/13/2022)")</f>
        <v>Uncle Sams Cider (5/13/2022)</v>
      </c>
      <c r="H2451" s="19"/>
    </row>
    <row r="2452">
      <c r="A2452" s="9"/>
      <c r="B2452" s="15"/>
      <c r="C2452" s="9">
        <f>IFERROR(__xludf.DUMMYFUNCTION("""COMPUTED_VALUE"""),44771.0711515162)</f>
        <v>44771.07115</v>
      </c>
      <c r="D2452" s="15">
        <f>IFERROR(__xludf.DUMMYFUNCTION("""COMPUTED_VALUE"""),1.004)</f>
        <v>1.004</v>
      </c>
      <c r="E2452" s="16">
        <f>IFERROR(__xludf.DUMMYFUNCTION("""COMPUTED_VALUE"""),69.0)</f>
        <v>69</v>
      </c>
      <c r="F2452" s="19" t="str">
        <f>IFERROR(__xludf.DUMMYFUNCTION("""COMPUTED_VALUE"""),"BLACK")</f>
        <v>BLACK</v>
      </c>
      <c r="G2452" s="20" t="str">
        <f>IFERROR(__xludf.DUMMYFUNCTION("""COMPUTED_VALUE"""),"Uncle Sams Cider (5/13/2022)")</f>
        <v>Uncle Sams Cider (5/13/2022)</v>
      </c>
      <c r="H2452" s="19"/>
    </row>
    <row r="2453">
      <c r="A2453" s="9"/>
      <c r="B2453" s="15"/>
      <c r="C2453" s="9">
        <f>IFERROR(__xludf.DUMMYFUNCTION("""COMPUTED_VALUE"""),44771.0607323032)</f>
        <v>44771.06073</v>
      </c>
      <c r="D2453" s="15">
        <f>IFERROR(__xludf.DUMMYFUNCTION("""COMPUTED_VALUE"""),1.004)</f>
        <v>1.004</v>
      </c>
      <c r="E2453" s="16">
        <f>IFERROR(__xludf.DUMMYFUNCTION("""COMPUTED_VALUE"""),69.0)</f>
        <v>69</v>
      </c>
      <c r="F2453" s="19" t="str">
        <f>IFERROR(__xludf.DUMMYFUNCTION("""COMPUTED_VALUE"""),"BLACK")</f>
        <v>BLACK</v>
      </c>
      <c r="G2453" s="20" t="str">
        <f>IFERROR(__xludf.DUMMYFUNCTION("""COMPUTED_VALUE"""),"Uncle Sams Cider (5/13/2022)")</f>
        <v>Uncle Sams Cider (5/13/2022)</v>
      </c>
      <c r="H2453" s="19"/>
    </row>
    <row r="2454">
      <c r="A2454" s="9"/>
      <c r="B2454" s="15"/>
      <c r="C2454" s="9">
        <f>IFERROR(__xludf.DUMMYFUNCTION("""COMPUTED_VALUE"""),44771.0503127893)</f>
        <v>44771.05031</v>
      </c>
      <c r="D2454" s="15">
        <f>IFERROR(__xludf.DUMMYFUNCTION("""COMPUTED_VALUE"""),1.004)</f>
        <v>1.004</v>
      </c>
      <c r="E2454" s="16">
        <f>IFERROR(__xludf.DUMMYFUNCTION("""COMPUTED_VALUE"""),69.0)</f>
        <v>69</v>
      </c>
      <c r="F2454" s="19" t="str">
        <f>IFERROR(__xludf.DUMMYFUNCTION("""COMPUTED_VALUE"""),"BLACK")</f>
        <v>BLACK</v>
      </c>
      <c r="G2454" s="20" t="str">
        <f>IFERROR(__xludf.DUMMYFUNCTION("""COMPUTED_VALUE"""),"Uncle Sams Cider (5/13/2022)")</f>
        <v>Uncle Sams Cider (5/13/2022)</v>
      </c>
      <c r="H2454" s="19"/>
    </row>
    <row r="2455">
      <c r="A2455" s="9"/>
      <c r="B2455" s="15"/>
      <c r="C2455" s="9">
        <f>IFERROR(__xludf.DUMMYFUNCTION("""COMPUTED_VALUE"""),44771.0398475231)</f>
        <v>44771.03985</v>
      </c>
      <c r="D2455" s="15">
        <f>IFERROR(__xludf.DUMMYFUNCTION("""COMPUTED_VALUE"""),1.004)</f>
        <v>1.004</v>
      </c>
      <c r="E2455" s="16">
        <f>IFERROR(__xludf.DUMMYFUNCTION("""COMPUTED_VALUE"""),69.0)</f>
        <v>69</v>
      </c>
      <c r="F2455" s="19" t="str">
        <f>IFERROR(__xludf.DUMMYFUNCTION("""COMPUTED_VALUE"""),"BLACK")</f>
        <v>BLACK</v>
      </c>
      <c r="G2455" s="20" t="str">
        <f>IFERROR(__xludf.DUMMYFUNCTION("""COMPUTED_VALUE"""),"Uncle Sams Cider (5/13/2022)")</f>
        <v>Uncle Sams Cider (5/13/2022)</v>
      </c>
      <c r="H2455" s="19"/>
    </row>
    <row r="2456">
      <c r="A2456" s="9"/>
      <c r="B2456" s="15"/>
      <c r="C2456" s="9">
        <f>IFERROR(__xludf.DUMMYFUNCTION("""COMPUTED_VALUE"""),44771.0294151157)</f>
        <v>44771.02942</v>
      </c>
      <c r="D2456" s="15">
        <f>IFERROR(__xludf.DUMMYFUNCTION("""COMPUTED_VALUE"""),1.004)</f>
        <v>1.004</v>
      </c>
      <c r="E2456" s="16">
        <f>IFERROR(__xludf.DUMMYFUNCTION("""COMPUTED_VALUE"""),69.0)</f>
        <v>69</v>
      </c>
      <c r="F2456" s="19" t="str">
        <f>IFERROR(__xludf.DUMMYFUNCTION("""COMPUTED_VALUE"""),"BLACK")</f>
        <v>BLACK</v>
      </c>
      <c r="G2456" s="20" t="str">
        <f>IFERROR(__xludf.DUMMYFUNCTION("""COMPUTED_VALUE"""),"Uncle Sams Cider (5/13/2022)")</f>
        <v>Uncle Sams Cider (5/13/2022)</v>
      </c>
      <c r="H2456" s="19"/>
    </row>
    <row r="2457">
      <c r="A2457" s="9"/>
      <c r="B2457" s="15"/>
      <c r="C2457" s="9">
        <f>IFERROR(__xludf.DUMMYFUNCTION("""COMPUTED_VALUE"""),44771.0189924189)</f>
        <v>44771.01899</v>
      </c>
      <c r="D2457" s="15">
        <f>IFERROR(__xludf.DUMMYFUNCTION("""COMPUTED_VALUE"""),1.004)</f>
        <v>1.004</v>
      </c>
      <c r="E2457" s="16">
        <f>IFERROR(__xludf.DUMMYFUNCTION("""COMPUTED_VALUE"""),69.0)</f>
        <v>69</v>
      </c>
      <c r="F2457" s="19" t="str">
        <f>IFERROR(__xludf.DUMMYFUNCTION("""COMPUTED_VALUE"""),"BLACK")</f>
        <v>BLACK</v>
      </c>
      <c r="G2457" s="20" t="str">
        <f>IFERROR(__xludf.DUMMYFUNCTION("""COMPUTED_VALUE"""),"Uncle Sams Cider (5/13/2022)")</f>
        <v>Uncle Sams Cider (5/13/2022)</v>
      </c>
      <c r="H2457" s="19"/>
    </row>
    <row r="2458">
      <c r="A2458" s="9"/>
      <c r="B2458" s="15"/>
      <c r="C2458" s="9">
        <f>IFERROR(__xludf.DUMMYFUNCTION("""COMPUTED_VALUE"""),44771.0085475578)</f>
        <v>44771.00855</v>
      </c>
      <c r="D2458" s="15">
        <f>IFERROR(__xludf.DUMMYFUNCTION("""COMPUTED_VALUE"""),1.004)</f>
        <v>1.004</v>
      </c>
      <c r="E2458" s="16">
        <f>IFERROR(__xludf.DUMMYFUNCTION("""COMPUTED_VALUE"""),69.0)</f>
        <v>69</v>
      </c>
      <c r="F2458" s="19" t="str">
        <f>IFERROR(__xludf.DUMMYFUNCTION("""COMPUTED_VALUE"""),"BLACK")</f>
        <v>BLACK</v>
      </c>
      <c r="G2458" s="20" t="str">
        <f>IFERROR(__xludf.DUMMYFUNCTION("""COMPUTED_VALUE"""),"Uncle Sams Cider (5/13/2022)")</f>
        <v>Uncle Sams Cider (5/13/2022)</v>
      </c>
      <c r="H2458" s="19"/>
    </row>
    <row r="2459">
      <c r="A2459" s="9"/>
      <c r="B2459" s="15"/>
      <c r="C2459" s="9">
        <f>IFERROR(__xludf.DUMMYFUNCTION("""COMPUTED_VALUE"""),44770.9981264814)</f>
        <v>44770.99813</v>
      </c>
      <c r="D2459" s="15">
        <f>IFERROR(__xludf.DUMMYFUNCTION("""COMPUTED_VALUE"""),1.004)</f>
        <v>1.004</v>
      </c>
      <c r="E2459" s="16">
        <f>IFERROR(__xludf.DUMMYFUNCTION("""COMPUTED_VALUE"""),69.0)</f>
        <v>69</v>
      </c>
      <c r="F2459" s="19" t="str">
        <f>IFERROR(__xludf.DUMMYFUNCTION("""COMPUTED_VALUE"""),"BLACK")</f>
        <v>BLACK</v>
      </c>
      <c r="G2459" s="20" t="str">
        <f>IFERROR(__xludf.DUMMYFUNCTION("""COMPUTED_VALUE"""),"Uncle Sams Cider (5/13/2022)")</f>
        <v>Uncle Sams Cider (5/13/2022)</v>
      </c>
      <c r="H2459" s="19"/>
    </row>
    <row r="2460">
      <c r="A2460" s="9"/>
      <c r="B2460" s="15"/>
      <c r="C2460" s="9">
        <f>IFERROR(__xludf.DUMMYFUNCTION("""COMPUTED_VALUE"""),44770.9877062963)</f>
        <v>44770.98771</v>
      </c>
      <c r="D2460" s="15">
        <f>IFERROR(__xludf.DUMMYFUNCTION("""COMPUTED_VALUE"""),1.004)</f>
        <v>1.004</v>
      </c>
      <c r="E2460" s="16">
        <f>IFERROR(__xludf.DUMMYFUNCTION("""COMPUTED_VALUE"""),69.0)</f>
        <v>69</v>
      </c>
      <c r="F2460" s="19" t="str">
        <f>IFERROR(__xludf.DUMMYFUNCTION("""COMPUTED_VALUE"""),"BLACK")</f>
        <v>BLACK</v>
      </c>
      <c r="G2460" s="20" t="str">
        <f>IFERROR(__xludf.DUMMYFUNCTION("""COMPUTED_VALUE"""),"Uncle Sams Cider (5/13/2022)")</f>
        <v>Uncle Sams Cider (5/13/2022)</v>
      </c>
      <c r="H2460" s="19"/>
    </row>
    <row r="2461">
      <c r="A2461" s="9"/>
      <c r="B2461" s="15"/>
      <c r="C2461" s="9">
        <f>IFERROR(__xludf.DUMMYFUNCTION("""COMPUTED_VALUE"""),44770.977286875)</f>
        <v>44770.97729</v>
      </c>
      <c r="D2461" s="15">
        <f>IFERROR(__xludf.DUMMYFUNCTION("""COMPUTED_VALUE"""),1.004)</f>
        <v>1.004</v>
      </c>
      <c r="E2461" s="16">
        <f>IFERROR(__xludf.DUMMYFUNCTION("""COMPUTED_VALUE"""),69.0)</f>
        <v>69</v>
      </c>
      <c r="F2461" s="19" t="str">
        <f>IFERROR(__xludf.DUMMYFUNCTION("""COMPUTED_VALUE"""),"BLACK")</f>
        <v>BLACK</v>
      </c>
      <c r="G2461" s="20" t="str">
        <f>IFERROR(__xludf.DUMMYFUNCTION("""COMPUTED_VALUE"""),"Uncle Sams Cider (5/13/2022)")</f>
        <v>Uncle Sams Cider (5/13/2022)</v>
      </c>
      <c r="H2461" s="19"/>
    </row>
    <row r="2462">
      <c r="A2462" s="9"/>
      <c r="B2462" s="15"/>
      <c r="C2462" s="9">
        <f>IFERROR(__xludf.DUMMYFUNCTION("""COMPUTED_VALUE"""),44770.9668306597)</f>
        <v>44770.96683</v>
      </c>
      <c r="D2462" s="15">
        <f>IFERROR(__xludf.DUMMYFUNCTION("""COMPUTED_VALUE"""),1.004)</f>
        <v>1.004</v>
      </c>
      <c r="E2462" s="16">
        <f>IFERROR(__xludf.DUMMYFUNCTION("""COMPUTED_VALUE"""),69.0)</f>
        <v>69</v>
      </c>
      <c r="F2462" s="19" t="str">
        <f>IFERROR(__xludf.DUMMYFUNCTION("""COMPUTED_VALUE"""),"BLACK")</f>
        <v>BLACK</v>
      </c>
      <c r="G2462" s="20" t="str">
        <f>IFERROR(__xludf.DUMMYFUNCTION("""COMPUTED_VALUE"""),"Uncle Sams Cider (5/13/2022)")</f>
        <v>Uncle Sams Cider (5/13/2022)</v>
      </c>
      <c r="H2462" s="19"/>
    </row>
    <row r="2463">
      <c r="A2463" s="9"/>
      <c r="B2463" s="15"/>
      <c r="C2463" s="9">
        <f>IFERROR(__xludf.DUMMYFUNCTION("""COMPUTED_VALUE"""),44770.9564096643)</f>
        <v>44770.95641</v>
      </c>
      <c r="D2463" s="15">
        <f>IFERROR(__xludf.DUMMYFUNCTION("""COMPUTED_VALUE"""),1.004)</f>
        <v>1.004</v>
      </c>
      <c r="E2463" s="16">
        <f>IFERROR(__xludf.DUMMYFUNCTION("""COMPUTED_VALUE"""),69.0)</f>
        <v>69</v>
      </c>
      <c r="F2463" s="19" t="str">
        <f>IFERROR(__xludf.DUMMYFUNCTION("""COMPUTED_VALUE"""),"BLACK")</f>
        <v>BLACK</v>
      </c>
      <c r="G2463" s="20" t="str">
        <f>IFERROR(__xludf.DUMMYFUNCTION("""COMPUTED_VALUE"""),"Uncle Sams Cider (5/13/2022)")</f>
        <v>Uncle Sams Cider (5/13/2022)</v>
      </c>
      <c r="H2463" s="19"/>
    </row>
    <row r="2464">
      <c r="A2464" s="9"/>
      <c r="B2464" s="15"/>
      <c r="C2464" s="9">
        <f>IFERROR(__xludf.DUMMYFUNCTION("""COMPUTED_VALUE"""),44770.9459884027)</f>
        <v>44770.94599</v>
      </c>
      <c r="D2464" s="15">
        <f>IFERROR(__xludf.DUMMYFUNCTION("""COMPUTED_VALUE"""),1.004)</f>
        <v>1.004</v>
      </c>
      <c r="E2464" s="16">
        <f>IFERROR(__xludf.DUMMYFUNCTION("""COMPUTED_VALUE"""),69.0)</f>
        <v>69</v>
      </c>
      <c r="F2464" s="19" t="str">
        <f>IFERROR(__xludf.DUMMYFUNCTION("""COMPUTED_VALUE"""),"BLACK")</f>
        <v>BLACK</v>
      </c>
      <c r="G2464" s="20" t="str">
        <f>IFERROR(__xludf.DUMMYFUNCTION("""COMPUTED_VALUE"""),"Uncle Sams Cider (5/13/2022)")</f>
        <v>Uncle Sams Cider (5/13/2022)</v>
      </c>
      <c r="H2464" s="19"/>
    </row>
    <row r="2465">
      <c r="A2465" s="9"/>
      <c r="B2465" s="15"/>
      <c r="C2465" s="9">
        <f>IFERROR(__xludf.DUMMYFUNCTION("""COMPUTED_VALUE"""),44770.9355675)</f>
        <v>44770.93557</v>
      </c>
      <c r="D2465" s="15">
        <f>IFERROR(__xludf.DUMMYFUNCTION("""COMPUTED_VALUE"""),1.004)</f>
        <v>1.004</v>
      </c>
      <c r="E2465" s="16">
        <f>IFERROR(__xludf.DUMMYFUNCTION("""COMPUTED_VALUE"""),69.0)</f>
        <v>69</v>
      </c>
      <c r="F2465" s="19" t="str">
        <f>IFERROR(__xludf.DUMMYFUNCTION("""COMPUTED_VALUE"""),"BLACK")</f>
        <v>BLACK</v>
      </c>
      <c r="G2465" s="20" t="str">
        <f>IFERROR(__xludf.DUMMYFUNCTION("""COMPUTED_VALUE"""),"Uncle Sams Cider (5/13/2022)")</f>
        <v>Uncle Sams Cider (5/13/2022)</v>
      </c>
      <c r="H2465" s="19"/>
    </row>
    <row r="2466">
      <c r="A2466" s="9"/>
      <c r="B2466" s="15"/>
      <c r="C2466" s="9">
        <f>IFERROR(__xludf.DUMMYFUNCTION("""COMPUTED_VALUE"""),44770.9251469791)</f>
        <v>44770.92515</v>
      </c>
      <c r="D2466" s="15">
        <f>IFERROR(__xludf.DUMMYFUNCTION("""COMPUTED_VALUE"""),1.004)</f>
        <v>1.004</v>
      </c>
      <c r="E2466" s="16">
        <f>IFERROR(__xludf.DUMMYFUNCTION("""COMPUTED_VALUE"""),69.0)</f>
        <v>69</v>
      </c>
      <c r="F2466" s="19" t="str">
        <f>IFERROR(__xludf.DUMMYFUNCTION("""COMPUTED_VALUE"""),"BLACK")</f>
        <v>BLACK</v>
      </c>
      <c r="G2466" s="20" t="str">
        <f>IFERROR(__xludf.DUMMYFUNCTION("""COMPUTED_VALUE"""),"Uncle Sams Cider (5/13/2022)")</f>
        <v>Uncle Sams Cider (5/13/2022)</v>
      </c>
      <c r="H2466" s="19"/>
    </row>
    <row r="2467">
      <c r="A2467" s="9"/>
      <c r="B2467" s="15"/>
      <c r="C2467" s="9">
        <f>IFERROR(__xludf.DUMMYFUNCTION("""COMPUTED_VALUE"""),44770.9147248379)</f>
        <v>44770.91472</v>
      </c>
      <c r="D2467" s="15">
        <f>IFERROR(__xludf.DUMMYFUNCTION("""COMPUTED_VALUE"""),1.004)</f>
        <v>1.004</v>
      </c>
      <c r="E2467" s="16">
        <f>IFERROR(__xludf.DUMMYFUNCTION("""COMPUTED_VALUE"""),69.0)</f>
        <v>69</v>
      </c>
      <c r="F2467" s="19" t="str">
        <f>IFERROR(__xludf.DUMMYFUNCTION("""COMPUTED_VALUE"""),"BLACK")</f>
        <v>BLACK</v>
      </c>
      <c r="G2467" s="20" t="str">
        <f>IFERROR(__xludf.DUMMYFUNCTION("""COMPUTED_VALUE"""),"Uncle Sams Cider (5/13/2022)")</f>
        <v>Uncle Sams Cider (5/13/2022)</v>
      </c>
      <c r="H2467" s="19"/>
    </row>
    <row r="2468">
      <c r="A2468" s="9"/>
      <c r="B2468" s="15"/>
      <c r="C2468" s="9">
        <f>IFERROR(__xludf.DUMMYFUNCTION("""COMPUTED_VALUE"""),44770.9043038888)</f>
        <v>44770.9043</v>
      </c>
      <c r="D2468" s="15">
        <f>IFERROR(__xludf.DUMMYFUNCTION("""COMPUTED_VALUE"""),1.004)</f>
        <v>1.004</v>
      </c>
      <c r="E2468" s="16">
        <f>IFERROR(__xludf.DUMMYFUNCTION("""COMPUTED_VALUE"""),69.0)</f>
        <v>69</v>
      </c>
      <c r="F2468" s="19" t="str">
        <f>IFERROR(__xludf.DUMMYFUNCTION("""COMPUTED_VALUE"""),"BLACK")</f>
        <v>BLACK</v>
      </c>
      <c r="G2468" s="20" t="str">
        <f>IFERROR(__xludf.DUMMYFUNCTION("""COMPUTED_VALUE"""),"Uncle Sams Cider (5/13/2022)")</f>
        <v>Uncle Sams Cider (5/13/2022)</v>
      </c>
      <c r="H2468" s="19"/>
    </row>
    <row r="2469">
      <c r="A2469" s="9"/>
      <c r="B2469" s="15"/>
      <c r="C2469" s="9">
        <f>IFERROR(__xludf.DUMMYFUNCTION("""COMPUTED_VALUE"""),44770.8938804745)</f>
        <v>44770.89388</v>
      </c>
      <c r="D2469" s="15">
        <f>IFERROR(__xludf.DUMMYFUNCTION("""COMPUTED_VALUE"""),1.004)</f>
        <v>1.004</v>
      </c>
      <c r="E2469" s="16">
        <f>IFERROR(__xludf.DUMMYFUNCTION("""COMPUTED_VALUE"""),69.0)</f>
        <v>69</v>
      </c>
      <c r="F2469" s="19" t="str">
        <f>IFERROR(__xludf.DUMMYFUNCTION("""COMPUTED_VALUE"""),"BLACK")</f>
        <v>BLACK</v>
      </c>
      <c r="G2469" s="20" t="str">
        <f>IFERROR(__xludf.DUMMYFUNCTION("""COMPUTED_VALUE"""),"Uncle Sams Cider (5/13/2022)")</f>
        <v>Uncle Sams Cider (5/13/2022)</v>
      </c>
      <c r="H2469" s="19"/>
    </row>
    <row r="2470">
      <c r="A2470" s="9"/>
      <c r="B2470" s="15"/>
      <c r="C2470" s="9">
        <f>IFERROR(__xludf.DUMMYFUNCTION("""COMPUTED_VALUE"""),44770.8834596527)</f>
        <v>44770.88346</v>
      </c>
      <c r="D2470" s="15">
        <f>IFERROR(__xludf.DUMMYFUNCTION("""COMPUTED_VALUE"""),1.004)</f>
        <v>1.004</v>
      </c>
      <c r="E2470" s="16">
        <f>IFERROR(__xludf.DUMMYFUNCTION("""COMPUTED_VALUE"""),69.0)</f>
        <v>69</v>
      </c>
      <c r="F2470" s="19" t="str">
        <f>IFERROR(__xludf.DUMMYFUNCTION("""COMPUTED_VALUE"""),"BLACK")</f>
        <v>BLACK</v>
      </c>
      <c r="G2470" s="20" t="str">
        <f>IFERROR(__xludf.DUMMYFUNCTION("""COMPUTED_VALUE"""),"Uncle Sams Cider (5/13/2022)")</f>
        <v>Uncle Sams Cider (5/13/2022)</v>
      </c>
      <c r="H2470" s="19"/>
    </row>
    <row r="2471">
      <c r="A2471" s="9"/>
      <c r="B2471" s="15"/>
      <c r="C2471" s="9">
        <f>IFERROR(__xludf.DUMMYFUNCTION("""COMPUTED_VALUE"""),44770.8730393055)</f>
        <v>44770.87304</v>
      </c>
      <c r="D2471" s="15">
        <f>IFERROR(__xludf.DUMMYFUNCTION("""COMPUTED_VALUE"""),1.004)</f>
        <v>1.004</v>
      </c>
      <c r="E2471" s="16">
        <f>IFERROR(__xludf.DUMMYFUNCTION("""COMPUTED_VALUE"""),69.0)</f>
        <v>69</v>
      </c>
      <c r="F2471" s="19" t="str">
        <f>IFERROR(__xludf.DUMMYFUNCTION("""COMPUTED_VALUE"""),"BLACK")</f>
        <v>BLACK</v>
      </c>
      <c r="G2471" s="20" t="str">
        <f>IFERROR(__xludf.DUMMYFUNCTION("""COMPUTED_VALUE"""),"Uncle Sams Cider (5/13/2022)")</f>
        <v>Uncle Sams Cider (5/13/2022)</v>
      </c>
      <c r="H2471" s="19"/>
    </row>
    <row r="2472">
      <c r="A2472" s="9"/>
      <c r="B2472" s="15"/>
      <c r="C2472" s="9">
        <f>IFERROR(__xludf.DUMMYFUNCTION("""COMPUTED_VALUE"""),44770.8626186805)</f>
        <v>44770.86262</v>
      </c>
      <c r="D2472" s="15">
        <f>IFERROR(__xludf.DUMMYFUNCTION("""COMPUTED_VALUE"""),1.004)</f>
        <v>1.004</v>
      </c>
      <c r="E2472" s="16">
        <f>IFERROR(__xludf.DUMMYFUNCTION("""COMPUTED_VALUE"""),69.0)</f>
        <v>69</v>
      </c>
      <c r="F2472" s="19" t="str">
        <f>IFERROR(__xludf.DUMMYFUNCTION("""COMPUTED_VALUE"""),"BLACK")</f>
        <v>BLACK</v>
      </c>
      <c r="G2472" s="20" t="str">
        <f>IFERROR(__xludf.DUMMYFUNCTION("""COMPUTED_VALUE"""),"Uncle Sams Cider (5/13/2022)")</f>
        <v>Uncle Sams Cider (5/13/2022)</v>
      </c>
      <c r="H2472" s="19"/>
    </row>
    <row r="2473">
      <c r="A2473" s="9"/>
      <c r="B2473" s="15"/>
      <c r="C2473" s="9">
        <f>IFERROR(__xludf.DUMMYFUNCTION("""COMPUTED_VALUE"""),44770.8521860879)</f>
        <v>44770.85219</v>
      </c>
      <c r="D2473" s="15">
        <f>IFERROR(__xludf.DUMMYFUNCTION("""COMPUTED_VALUE"""),1.004)</f>
        <v>1.004</v>
      </c>
      <c r="E2473" s="16">
        <f>IFERROR(__xludf.DUMMYFUNCTION("""COMPUTED_VALUE"""),69.0)</f>
        <v>69</v>
      </c>
      <c r="F2473" s="19" t="str">
        <f>IFERROR(__xludf.DUMMYFUNCTION("""COMPUTED_VALUE"""),"BLACK")</f>
        <v>BLACK</v>
      </c>
      <c r="G2473" s="20" t="str">
        <f>IFERROR(__xludf.DUMMYFUNCTION("""COMPUTED_VALUE"""),"Uncle Sams Cider (5/13/2022)")</f>
        <v>Uncle Sams Cider (5/13/2022)</v>
      </c>
      <c r="H2473" s="19"/>
    </row>
    <row r="2474">
      <c r="A2474" s="9"/>
      <c r="B2474" s="15"/>
      <c r="C2474" s="9">
        <f>IFERROR(__xludf.DUMMYFUNCTION("""COMPUTED_VALUE"""),44770.8417646527)</f>
        <v>44770.84176</v>
      </c>
      <c r="D2474" s="15">
        <f>IFERROR(__xludf.DUMMYFUNCTION("""COMPUTED_VALUE"""),1.004)</f>
        <v>1.004</v>
      </c>
      <c r="E2474" s="16">
        <f>IFERROR(__xludf.DUMMYFUNCTION("""COMPUTED_VALUE"""),69.0)</f>
        <v>69</v>
      </c>
      <c r="F2474" s="19" t="str">
        <f>IFERROR(__xludf.DUMMYFUNCTION("""COMPUTED_VALUE"""),"BLACK")</f>
        <v>BLACK</v>
      </c>
      <c r="G2474" s="20" t="str">
        <f>IFERROR(__xludf.DUMMYFUNCTION("""COMPUTED_VALUE"""),"Uncle Sams Cider (5/13/2022)")</f>
        <v>Uncle Sams Cider (5/13/2022)</v>
      </c>
      <c r="H2474" s="19"/>
    </row>
    <row r="2475">
      <c r="A2475" s="9"/>
      <c r="B2475" s="15"/>
      <c r="C2475" s="9">
        <f>IFERROR(__xludf.DUMMYFUNCTION("""COMPUTED_VALUE"""),44770.8313427777)</f>
        <v>44770.83134</v>
      </c>
      <c r="D2475" s="15">
        <f>IFERROR(__xludf.DUMMYFUNCTION("""COMPUTED_VALUE"""),1.004)</f>
        <v>1.004</v>
      </c>
      <c r="E2475" s="16">
        <f>IFERROR(__xludf.DUMMYFUNCTION("""COMPUTED_VALUE"""),69.0)</f>
        <v>69</v>
      </c>
      <c r="F2475" s="19" t="str">
        <f>IFERROR(__xludf.DUMMYFUNCTION("""COMPUTED_VALUE"""),"BLACK")</f>
        <v>BLACK</v>
      </c>
      <c r="G2475" s="20" t="str">
        <f>IFERROR(__xludf.DUMMYFUNCTION("""COMPUTED_VALUE"""),"Uncle Sams Cider (5/13/2022)")</f>
        <v>Uncle Sams Cider (5/13/2022)</v>
      </c>
      <c r="H2475" s="19"/>
    </row>
    <row r="2476">
      <c r="A2476" s="9"/>
      <c r="B2476" s="15"/>
      <c r="C2476" s="9">
        <f>IFERROR(__xludf.DUMMYFUNCTION("""COMPUTED_VALUE"""),44770.8209101041)</f>
        <v>44770.82091</v>
      </c>
      <c r="D2476" s="15">
        <f>IFERROR(__xludf.DUMMYFUNCTION("""COMPUTED_VALUE"""),1.004)</f>
        <v>1.004</v>
      </c>
      <c r="E2476" s="16">
        <f>IFERROR(__xludf.DUMMYFUNCTION("""COMPUTED_VALUE"""),69.0)</f>
        <v>69</v>
      </c>
      <c r="F2476" s="19" t="str">
        <f>IFERROR(__xludf.DUMMYFUNCTION("""COMPUTED_VALUE"""),"BLACK")</f>
        <v>BLACK</v>
      </c>
      <c r="G2476" s="20" t="str">
        <f>IFERROR(__xludf.DUMMYFUNCTION("""COMPUTED_VALUE"""),"Uncle Sams Cider (5/13/2022)")</f>
        <v>Uncle Sams Cider (5/13/2022)</v>
      </c>
      <c r="H2476" s="19"/>
    </row>
    <row r="2477">
      <c r="A2477" s="9"/>
      <c r="B2477" s="15"/>
      <c r="C2477" s="9">
        <f>IFERROR(__xludf.DUMMYFUNCTION("""COMPUTED_VALUE"""),44770.8104889004)</f>
        <v>44770.81049</v>
      </c>
      <c r="D2477" s="15">
        <f>IFERROR(__xludf.DUMMYFUNCTION("""COMPUTED_VALUE"""),1.004)</f>
        <v>1.004</v>
      </c>
      <c r="E2477" s="16">
        <f>IFERROR(__xludf.DUMMYFUNCTION("""COMPUTED_VALUE"""),69.0)</f>
        <v>69</v>
      </c>
      <c r="F2477" s="19" t="str">
        <f>IFERROR(__xludf.DUMMYFUNCTION("""COMPUTED_VALUE"""),"BLACK")</f>
        <v>BLACK</v>
      </c>
      <c r="G2477" s="20" t="str">
        <f>IFERROR(__xludf.DUMMYFUNCTION("""COMPUTED_VALUE"""),"Uncle Sams Cider (5/13/2022)")</f>
        <v>Uncle Sams Cider (5/13/2022)</v>
      </c>
      <c r="H2477" s="19"/>
    </row>
    <row r="2478">
      <c r="A2478" s="9"/>
      <c r="B2478" s="15"/>
      <c r="C2478" s="9">
        <f>IFERROR(__xludf.DUMMYFUNCTION("""COMPUTED_VALUE"""),44770.8000428472)</f>
        <v>44770.80004</v>
      </c>
      <c r="D2478" s="15">
        <f>IFERROR(__xludf.DUMMYFUNCTION("""COMPUTED_VALUE"""),1.004)</f>
        <v>1.004</v>
      </c>
      <c r="E2478" s="16">
        <f>IFERROR(__xludf.DUMMYFUNCTION("""COMPUTED_VALUE"""),69.0)</f>
        <v>69</v>
      </c>
      <c r="F2478" s="19" t="str">
        <f>IFERROR(__xludf.DUMMYFUNCTION("""COMPUTED_VALUE"""),"BLACK")</f>
        <v>BLACK</v>
      </c>
      <c r="G2478" s="20" t="str">
        <f>IFERROR(__xludf.DUMMYFUNCTION("""COMPUTED_VALUE"""),"Uncle Sams Cider (5/13/2022)")</f>
        <v>Uncle Sams Cider (5/13/2022)</v>
      </c>
      <c r="H2478" s="19"/>
    </row>
    <row r="2479">
      <c r="A2479" s="9"/>
      <c r="B2479" s="15"/>
      <c r="C2479" s="9">
        <f>IFERROR(__xludf.DUMMYFUNCTION("""COMPUTED_VALUE"""),44770.7896207407)</f>
        <v>44770.78962</v>
      </c>
      <c r="D2479" s="15">
        <f>IFERROR(__xludf.DUMMYFUNCTION("""COMPUTED_VALUE"""),1.004)</f>
        <v>1.004</v>
      </c>
      <c r="E2479" s="16">
        <f>IFERROR(__xludf.DUMMYFUNCTION("""COMPUTED_VALUE"""),69.0)</f>
        <v>69</v>
      </c>
      <c r="F2479" s="19" t="str">
        <f>IFERROR(__xludf.DUMMYFUNCTION("""COMPUTED_VALUE"""),"BLACK")</f>
        <v>BLACK</v>
      </c>
      <c r="G2479" s="20" t="str">
        <f>IFERROR(__xludf.DUMMYFUNCTION("""COMPUTED_VALUE"""),"Uncle Sams Cider (5/13/2022)")</f>
        <v>Uncle Sams Cider (5/13/2022)</v>
      </c>
      <c r="H2479" s="19"/>
    </row>
    <row r="2480">
      <c r="A2480" s="9"/>
      <c r="B2480" s="15"/>
      <c r="C2480" s="9">
        <f>IFERROR(__xludf.DUMMYFUNCTION("""COMPUTED_VALUE"""),44770.7791991551)</f>
        <v>44770.7792</v>
      </c>
      <c r="D2480" s="15">
        <f>IFERROR(__xludf.DUMMYFUNCTION("""COMPUTED_VALUE"""),1.004)</f>
        <v>1.004</v>
      </c>
      <c r="E2480" s="16">
        <f>IFERROR(__xludf.DUMMYFUNCTION("""COMPUTED_VALUE"""),69.0)</f>
        <v>69</v>
      </c>
      <c r="F2480" s="19" t="str">
        <f>IFERROR(__xludf.DUMMYFUNCTION("""COMPUTED_VALUE"""),"BLACK")</f>
        <v>BLACK</v>
      </c>
      <c r="G2480" s="20" t="str">
        <f>IFERROR(__xludf.DUMMYFUNCTION("""COMPUTED_VALUE"""),"Uncle Sams Cider (5/13/2022)")</f>
        <v>Uncle Sams Cider (5/13/2022)</v>
      </c>
      <c r="H2480" s="19"/>
    </row>
    <row r="2481">
      <c r="A2481" s="9"/>
      <c r="B2481" s="15"/>
      <c r="C2481" s="9">
        <f>IFERROR(__xludf.DUMMYFUNCTION("""COMPUTED_VALUE"""),44770.7687799305)</f>
        <v>44770.76878</v>
      </c>
      <c r="D2481" s="15">
        <f>IFERROR(__xludf.DUMMYFUNCTION("""COMPUTED_VALUE"""),1.004)</f>
        <v>1.004</v>
      </c>
      <c r="E2481" s="16">
        <f>IFERROR(__xludf.DUMMYFUNCTION("""COMPUTED_VALUE"""),69.0)</f>
        <v>69</v>
      </c>
      <c r="F2481" s="19" t="str">
        <f>IFERROR(__xludf.DUMMYFUNCTION("""COMPUTED_VALUE"""),"BLACK")</f>
        <v>BLACK</v>
      </c>
      <c r="G2481" s="20" t="str">
        <f>IFERROR(__xludf.DUMMYFUNCTION("""COMPUTED_VALUE"""),"Uncle Sams Cider (5/13/2022)")</f>
        <v>Uncle Sams Cider (5/13/2022)</v>
      </c>
      <c r="H2481" s="19"/>
    </row>
    <row r="2482">
      <c r="A2482" s="9"/>
      <c r="B2482" s="15"/>
      <c r="C2482" s="9">
        <f>IFERROR(__xludf.DUMMYFUNCTION("""COMPUTED_VALUE"""),44770.7583578935)</f>
        <v>44770.75836</v>
      </c>
      <c r="D2482" s="15">
        <f>IFERROR(__xludf.DUMMYFUNCTION("""COMPUTED_VALUE"""),1.004)</f>
        <v>1.004</v>
      </c>
      <c r="E2482" s="16">
        <f>IFERROR(__xludf.DUMMYFUNCTION("""COMPUTED_VALUE"""),69.0)</f>
        <v>69</v>
      </c>
      <c r="F2482" s="19" t="str">
        <f>IFERROR(__xludf.DUMMYFUNCTION("""COMPUTED_VALUE"""),"BLACK")</f>
        <v>BLACK</v>
      </c>
      <c r="G2482" s="20" t="str">
        <f>IFERROR(__xludf.DUMMYFUNCTION("""COMPUTED_VALUE"""),"Uncle Sams Cider (5/13/2022)")</f>
        <v>Uncle Sams Cider (5/13/2022)</v>
      </c>
      <c r="H2482" s="19"/>
    </row>
    <row r="2483">
      <c r="A2483" s="9"/>
      <c r="B2483" s="15"/>
      <c r="C2483" s="9">
        <f>IFERROR(__xludf.DUMMYFUNCTION("""COMPUTED_VALUE"""),44770.7479379166)</f>
        <v>44770.74794</v>
      </c>
      <c r="D2483" s="15">
        <f>IFERROR(__xludf.DUMMYFUNCTION("""COMPUTED_VALUE"""),1.004)</f>
        <v>1.004</v>
      </c>
      <c r="E2483" s="16">
        <f>IFERROR(__xludf.DUMMYFUNCTION("""COMPUTED_VALUE"""),69.0)</f>
        <v>69</v>
      </c>
      <c r="F2483" s="19" t="str">
        <f>IFERROR(__xludf.DUMMYFUNCTION("""COMPUTED_VALUE"""),"BLACK")</f>
        <v>BLACK</v>
      </c>
      <c r="G2483" s="20" t="str">
        <f>IFERROR(__xludf.DUMMYFUNCTION("""COMPUTED_VALUE"""),"Uncle Sams Cider (5/13/2022)")</f>
        <v>Uncle Sams Cider (5/13/2022)</v>
      </c>
      <c r="H2483" s="19"/>
    </row>
    <row r="2484">
      <c r="A2484" s="9"/>
      <c r="B2484" s="15"/>
      <c r="C2484" s="9">
        <f>IFERROR(__xludf.DUMMYFUNCTION("""COMPUTED_VALUE"""),44770.7375186689)</f>
        <v>44770.73752</v>
      </c>
      <c r="D2484" s="15">
        <f>IFERROR(__xludf.DUMMYFUNCTION("""COMPUTED_VALUE"""),1.004)</f>
        <v>1.004</v>
      </c>
      <c r="E2484" s="16">
        <f>IFERROR(__xludf.DUMMYFUNCTION("""COMPUTED_VALUE"""),69.0)</f>
        <v>69</v>
      </c>
      <c r="F2484" s="19" t="str">
        <f>IFERROR(__xludf.DUMMYFUNCTION("""COMPUTED_VALUE"""),"BLACK")</f>
        <v>BLACK</v>
      </c>
      <c r="G2484" s="20" t="str">
        <f>IFERROR(__xludf.DUMMYFUNCTION("""COMPUTED_VALUE"""),"Uncle Sams Cider (5/13/2022)")</f>
        <v>Uncle Sams Cider (5/13/2022)</v>
      </c>
      <c r="H2484" s="19"/>
    </row>
    <row r="2485">
      <c r="A2485" s="9"/>
      <c r="B2485" s="15"/>
      <c r="C2485" s="9">
        <f>IFERROR(__xludf.DUMMYFUNCTION("""COMPUTED_VALUE"""),44770.7270971759)</f>
        <v>44770.7271</v>
      </c>
      <c r="D2485" s="15">
        <f>IFERROR(__xludf.DUMMYFUNCTION("""COMPUTED_VALUE"""),1.004)</f>
        <v>1.004</v>
      </c>
      <c r="E2485" s="16">
        <f>IFERROR(__xludf.DUMMYFUNCTION("""COMPUTED_VALUE"""),69.0)</f>
        <v>69</v>
      </c>
      <c r="F2485" s="19" t="str">
        <f>IFERROR(__xludf.DUMMYFUNCTION("""COMPUTED_VALUE"""),"BLACK")</f>
        <v>BLACK</v>
      </c>
      <c r="G2485" s="20" t="str">
        <f>IFERROR(__xludf.DUMMYFUNCTION("""COMPUTED_VALUE"""),"Uncle Sams Cider (5/13/2022)")</f>
        <v>Uncle Sams Cider (5/13/2022)</v>
      </c>
      <c r="H2485" s="19"/>
    </row>
    <row r="2486">
      <c r="A2486" s="9"/>
      <c r="B2486" s="15"/>
      <c r="C2486" s="9">
        <f>IFERROR(__xludf.DUMMYFUNCTION("""COMPUTED_VALUE"""),44770.7166759953)</f>
        <v>44770.71668</v>
      </c>
      <c r="D2486" s="15">
        <f>IFERROR(__xludf.DUMMYFUNCTION("""COMPUTED_VALUE"""),1.004)</f>
        <v>1.004</v>
      </c>
      <c r="E2486" s="16">
        <f>IFERROR(__xludf.DUMMYFUNCTION("""COMPUTED_VALUE"""),69.0)</f>
        <v>69</v>
      </c>
      <c r="F2486" s="19" t="str">
        <f>IFERROR(__xludf.DUMMYFUNCTION("""COMPUTED_VALUE"""),"BLACK")</f>
        <v>BLACK</v>
      </c>
      <c r="G2486" s="20" t="str">
        <f>IFERROR(__xludf.DUMMYFUNCTION("""COMPUTED_VALUE"""),"Uncle Sams Cider (5/13/2022)")</f>
        <v>Uncle Sams Cider (5/13/2022)</v>
      </c>
      <c r="H2486" s="19"/>
    </row>
    <row r="2487">
      <c r="A2487" s="9"/>
      <c r="B2487" s="15"/>
      <c r="C2487" s="9">
        <f>IFERROR(__xludf.DUMMYFUNCTION("""COMPUTED_VALUE"""),44770.7062553703)</f>
        <v>44770.70626</v>
      </c>
      <c r="D2487" s="15">
        <f>IFERROR(__xludf.DUMMYFUNCTION("""COMPUTED_VALUE"""),1.004)</f>
        <v>1.004</v>
      </c>
      <c r="E2487" s="16">
        <f>IFERROR(__xludf.DUMMYFUNCTION("""COMPUTED_VALUE"""),69.0)</f>
        <v>69</v>
      </c>
      <c r="F2487" s="19" t="str">
        <f>IFERROR(__xludf.DUMMYFUNCTION("""COMPUTED_VALUE"""),"BLACK")</f>
        <v>BLACK</v>
      </c>
      <c r="G2487" s="20" t="str">
        <f>IFERROR(__xludf.DUMMYFUNCTION("""COMPUTED_VALUE"""),"Uncle Sams Cider (5/13/2022)")</f>
        <v>Uncle Sams Cider (5/13/2022)</v>
      </c>
      <c r="H2487" s="19"/>
    </row>
    <row r="2488">
      <c r="A2488" s="9"/>
      <c r="B2488" s="15"/>
      <c r="C2488" s="9">
        <f>IFERROR(__xludf.DUMMYFUNCTION("""COMPUTED_VALUE"""),44770.6958320949)</f>
        <v>44770.69583</v>
      </c>
      <c r="D2488" s="15">
        <f>IFERROR(__xludf.DUMMYFUNCTION("""COMPUTED_VALUE"""),1.004)</f>
        <v>1.004</v>
      </c>
      <c r="E2488" s="16">
        <f>IFERROR(__xludf.DUMMYFUNCTION("""COMPUTED_VALUE"""),69.0)</f>
        <v>69</v>
      </c>
      <c r="F2488" s="19" t="str">
        <f>IFERROR(__xludf.DUMMYFUNCTION("""COMPUTED_VALUE"""),"BLACK")</f>
        <v>BLACK</v>
      </c>
      <c r="G2488" s="20" t="str">
        <f>IFERROR(__xludf.DUMMYFUNCTION("""COMPUTED_VALUE"""),"Uncle Sams Cider (5/13/2022)")</f>
        <v>Uncle Sams Cider (5/13/2022)</v>
      </c>
      <c r="H2488" s="19"/>
    </row>
    <row r="2489">
      <c r="A2489" s="9"/>
      <c r="B2489" s="15"/>
      <c r="C2489" s="9">
        <f>IFERROR(__xludf.DUMMYFUNCTION("""COMPUTED_VALUE"""),44770.6854111111)</f>
        <v>44770.68541</v>
      </c>
      <c r="D2489" s="15">
        <f>IFERROR(__xludf.DUMMYFUNCTION("""COMPUTED_VALUE"""),1.004)</f>
        <v>1.004</v>
      </c>
      <c r="E2489" s="16">
        <f>IFERROR(__xludf.DUMMYFUNCTION("""COMPUTED_VALUE"""),69.0)</f>
        <v>69</v>
      </c>
      <c r="F2489" s="19" t="str">
        <f>IFERROR(__xludf.DUMMYFUNCTION("""COMPUTED_VALUE"""),"BLACK")</f>
        <v>BLACK</v>
      </c>
      <c r="G2489" s="20" t="str">
        <f>IFERROR(__xludf.DUMMYFUNCTION("""COMPUTED_VALUE"""),"Uncle Sams Cider (5/13/2022)")</f>
        <v>Uncle Sams Cider (5/13/2022)</v>
      </c>
      <c r="H2489" s="19"/>
    </row>
    <row r="2490">
      <c r="A2490" s="9"/>
      <c r="B2490" s="15"/>
      <c r="C2490" s="9">
        <f>IFERROR(__xludf.DUMMYFUNCTION("""COMPUTED_VALUE"""),44770.6749889004)</f>
        <v>44770.67499</v>
      </c>
      <c r="D2490" s="15">
        <f>IFERROR(__xludf.DUMMYFUNCTION("""COMPUTED_VALUE"""),1.004)</f>
        <v>1.004</v>
      </c>
      <c r="E2490" s="16">
        <f>IFERROR(__xludf.DUMMYFUNCTION("""COMPUTED_VALUE"""),69.0)</f>
        <v>69</v>
      </c>
      <c r="F2490" s="19" t="str">
        <f>IFERROR(__xludf.DUMMYFUNCTION("""COMPUTED_VALUE"""),"BLACK")</f>
        <v>BLACK</v>
      </c>
      <c r="G2490" s="20" t="str">
        <f>IFERROR(__xludf.DUMMYFUNCTION("""COMPUTED_VALUE"""),"Uncle Sams Cider (5/13/2022)")</f>
        <v>Uncle Sams Cider (5/13/2022)</v>
      </c>
      <c r="H2490" s="19"/>
    </row>
    <row r="2491">
      <c r="A2491" s="9"/>
      <c r="B2491" s="15"/>
      <c r="C2491" s="9">
        <f>IFERROR(__xludf.DUMMYFUNCTION("""COMPUTED_VALUE"""),44770.6645333912)</f>
        <v>44770.66453</v>
      </c>
      <c r="D2491" s="15">
        <f>IFERROR(__xludf.DUMMYFUNCTION("""COMPUTED_VALUE"""),1.004)</f>
        <v>1.004</v>
      </c>
      <c r="E2491" s="16">
        <f>IFERROR(__xludf.DUMMYFUNCTION("""COMPUTED_VALUE"""),69.0)</f>
        <v>69</v>
      </c>
      <c r="F2491" s="19" t="str">
        <f>IFERROR(__xludf.DUMMYFUNCTION("""COMPUTED_VALUE"""),"BLACK")</f>
        <v>BLACK</v>
      </c>
      <c r="G2491" s="20" t="str">
        <f>IFERROR(__xludf.DUMMYFUNCTION("""COMPUTED_VALUE"""),"Uncle Sams Cider (5/13/2022)")</f>
        <v>Uncle Sams Cider (5/13/2022)</v>
      </c>
      <c r="H2491" s="19"/>
    </row>
    <row r="2492">
      <c r="A2492" s="9"/>
      <c r="B2492" s="15"/>
      <c r="C2492" s="9">
        <f>IFERROR(__xludf.DUMMYFUNCTION("""COMPUTED_VALUE"""),44770.6541108333)</f>
        <v>44770.65411</v>
      </c>
      <c r="D2492" s="15">
        <f>IFERROR(__xludf.DUMMYFUNCTION("""COMPUTED_VALUE"""),1.004)</f>
        <v>1.004</v>
      </c>
      <c r="E2492" s="16">
        <f>IFERROR(__xludf.DUMMYFUNCTION("""COMPUTED_VALUE"""),69.0)</f>
        <v>69</v>
      </c>
      <c r="F2492" s="19" t="str">
        <f>IFERROR(__xludf.DUMMYFUNCTION("""COMPUTED_VALUE"""),"BLACK")</f>
        <v>BLACK</v>
      </c>
      <c r="G2492" s="20" t="str">
        <f>IFERROR(__xludf.DUMMYFUNCTION("""COMPUTED_VALUE"""),"Uncle Sams Cider (5/13/2022)")</f>
        <v>Uncle Sams Cider (5/13/2022)</v>
      </c>
      <c r="H2492" s="19"/>
    </row>
    <row r="2493">
      <c r="A2493" s="9"/>
      <c r="B2493" s="15"/>
      <c r="C2493" s="9">
        <f>IFERROR(__xludf.DUMMYFUNCTION("""COMPUTED_VALUE"""),44770.6436877662)</f>
        <v>44770.64369</v>
      </c>
      <c r="D2493" s="15">
        <f>IFERROR(__xludf.DUMMYFUNCTION("""COMPUTED_VALUE"""),1.004)</f>
        <v>1.004</v>
      </c>
      <c r="E2493" s="16">
        <f>IFERROR(__xludf.DUMMYFUNCTION("""COMPUTED_VALUE"""),69.0)</f>
        <v>69</v>
      </c>
      <c r="F2493" s="19" t="str">
        <f>IFERROR(__xludf.DUMMYFUNCTION("""COMPUTED_VALUE"""),"BLACK")</f>
        <v>BLACK</v>
      </c>
      <c r="G2493" s="20" t="str">
        <f>IFERROR(__xludf.DUMMYFUNCTION("""COMPUTED_VALUE"""),"Uncle Sams Cider (5/13/2022)")</f>
        <v>Uncle Sams Cider (5/13/2022)</v>
      </c>
      <c r="H2493" s="19"/>
    </row>
    <row r="2494">
      <c r="A2494" s="9"/>
      <c r="B2494" s="15"/>
      <c r="C2494" s="9">
        <f>IFERROR(__xludf.DUMMYFUNCTION("""COMPUTED_VALUE"""),44770.6332663773)</f>
        <v>44770.63327</v>
      </c>
      <c r="D2494" s="15">
        <f>IFERROR(__xludf.DUMMYFUNCTION("""COMPUTED_VALUE"""),1.004)</f>
        <v>1.004</v>
      </c>
      <c r="E2494" s="16">
        <f>IFERROR(__xludf.DUMMYFUNCTION("""COMPUTED_VALUE"""),69.0)</f>
        <v>69</v>
      </c>
      <c r="F2494" s="19" t="str">
        <f>IFERROR(__xludf.DUMMYFUNCTION("""COMPUTED_VALUE"""),"BLACK")</f>
        <v>BLACK</v>
      </c>
      <c r="G2494" s="20" t="str">
        <f>IFERROR(__xludf.DUMMYFUNCTION("""COMPUTED_VALUE"""),"Uncle Sams Cider (5/13/2022)")</f>
        <v>Uncle Sams Cider (5/13/2022)</v>
      </c>
      <c r="H2494" s="19"/>
    </row>
    <row r="2495">
      <c r="A2495" s="9"/>
      <c r="B2495" s="15"/>
      <c r="C2495" s="9">
        <f>IFERROR(__xludf.DUMMYFUNCTION("""COMPUTED_VALUE"""),44770.6228336805)</f>
        <v>44770.62283</v>
      </c>
      <c r="D2495" s="15">
        <f>IFERROR(__xludf.DUMMYFUNCTION("""COMPUTED_VALUE"""),1.004)</f>
        <v>1.004</v>
      </c>
      <c r="E2495" s="16">
        <f>IFERROR(__xludf.DUMMYFUNCTION("""COMPUTED_VALUE"""),69.0)</f>
        <v>69</v>
      </c>
      <c r="F2495" s="19" t="str">
        <f>IFERROR(__xludf.DUMMYFUNCTION("""COMPUTED_VALUE"""),"BLACK")</f>
        <v>BLACK</v>
      </c>
      <c r="G2495" s="20" t="str">
        <f>IFERROR(__xludf.DUMMYFUNCTION("""COMPUTED_VALUE"""),"Uncle Sams Cider (5/13/2022)")</f>
        <v>Uncle Sams Cider (5/13/2022)</v>
      </c>
      <c r="H2495" s="19"/>
    </row>
    <row r="2496">
      <c r="A2496" s="9"/>
      <c r="B2496" s="15"/>
      <c r="C2496" s="9">
        <f>IFERROR(__xludf.DUMMYFUNCTION("""COMPUTED_VALUE"""),44770.6124144791)</f>
        <v>44770.61241</v>
      </c>
      <c r="D2496" s="15">
        <f>IFERROR(__xludf.DUMMYFUNCTION("""COMPUTED_VALUE"""),1.004)</f>
        <v>1.004</v>
      </c>
      <c r="E2496" s="16">
        <f>IFERROR(__xludf.DUMMYFUNCTION("""COMPUTED_VALUE"""),69.0)</f>
        <v>69</v>
      </c>
      <c r="F2496" s="19" t="str">
        <f>IFERROR(__xludf.DUMMYFUNCTION("""COMPUTED_VALUE"""),"BLACK")</f>
        <v>BLACK</v>
      </c>
      <c r="G2496" s="20" t="str">
        <f>IFERROR(__xludf.DUMMYFUNCTION("""COMPUTED_VALUE"""),"Uncle Sams Cider (5/13/2022)")</f>
        <v>Uncle Sams Cider (5/13/2022)</v>
      </c>
      <c r="H2496" s="19"/>
    </row>
    <row r="2497">
      <c r="A2497" s="9"/>
      <c r="B2497" s="15"/>
      <c r="C2497" s="9">
        <f>IFERROR(__xludf.DUMMYFUNCTION("""COMPUTED_VALUE"""),44770.6019923032)</f>
        <v>44770.60199</v>
      </c>
      <c r="D2497" s="15">
        <f>IFERROR(__xludf.DUMMYFUNCTION("""COMPUTED_VALUE"""),1.004)</f>
        <v>1.004</v>
      </c>
      <c r="E2497" s="16">
        <f>IFERROR(__xludf.DUMMYFUNCTION("""COMPUTED_VALUE"""),69.0)</f>
        <v>69</v>
      </c>
      <c r="F2497" s="19" t="str">
        <f>IFERROR(__xludf.DUMMYFUNCTION("""COMPUTED_VALUE"""),"BLACK")</f>
        <v>BLACK</v>
      </c>
      <c r="G2497" s="20" t="str">
        <f>IFERROR(__xludf.DUMMYFUNCTION("""COMPUTED_VALUE"""),"Uncle Sams Cider (5/13/2022)")</f>
        <v>Uncle Sams Cider (5/13/2022)</v>
      </c>
      <c r="H2497" s="19"/>
    </row>
    <row r="2498">
      <c r="A2498" s="9"/>
      <c r="B2498" s="15"/>
      <c r="C2498" s="9">
        <f>IFERROR(__xludf.DUMMYFUNCTION("""COMPUTED_VALUE"""),44770.5915708796)</f>
        <v>44770.59157</v>
      </c>
      <c r="D2498" s="15">
        <f>IFERROR(__xludf.DUMMYFUNCTION("""COMPUTED_VALUE"""),1.004)</f>
        <v>1.004</v>
      </c>
      <c r="E2498" s="16">
        <f>IFERROR(__xludf.DUMMYFUNCTION("""COMPUTED_VALUE"""),69.0)</f>
        <v>69</v>
      </c>
      <c r="F2498" s="19" t="str">
        <f>IFERROR(__xludf.DUMMYFUNCTION("""COMPUTED_VALUE"""),"BLACK")</f>
        <v>BLACK</v>
      </c>
      <c r="G2498" s="20" t="str">
        <f>IFERROR(__xludf.DUMMYFUNCTION("""COMPUTED_VALUE"""),"Uncle Sams Cider (5/13/2022)")</f>
        <v>Uncle Sams Cider (5/13/2022)</v>
      </c>
      <c r="H2498" s="19"/>
    </row>
    <row r="2499">
      <c r="A2499" s="9"/>
      <c r="B2499" s="15"/>
      <c r="C2499" s="9">
        <f>IFERROR(__xludf.DUMMYFUNCTION("""COMPUTED_VALUE"""),44770.581138368)</f>
        <v>44770.58114</v>
      </c>
      <c r="D2499" s="15">
        <f>IFERROR(__xludf.DUMMYFUNCTION("""COMPUTED_VALUE"""),1.004)</f>
        <v>1.004</v>
      </c>
      <c r="E2499" s="16">
        <f>IFERROR(__xludf.DUMMYFUNCTION("""COMPUTED_VALUE"""),69.0)</f>
        <v>69</v>
      </c>
      <c r="F2499" s="19" t="str">
        <f>IFERROR(__xludf.DUMMYFUNCTION("""COMPUTED_VALUE"""),"BLACK")</f>
        <v>BLACK</v>
      </c>
      <c r="G2499" s="20" t="str">
        <f>IFERROR(__xludf.DUMMYFUNCTION("""COMPUTED_VALUE"""),"Uncle Sams Cider (5/13/2022)")</f>
        <v>Uncle Sams Cider (5/13/2022)</v>
      </c>
      <c r="H2499" s="19"/>
    </row>
    <row r="2500">
      <c r="A2500" s="9"/>
      <c r="B2500" s="15"/>
      <c r="C2500" s="9">
        <f>IFERROR(__xludf.DUMMYFUNCTION("""COMPUTED_VALUE"""),44770.5707156365)</f>
        <v>44770.57072</v>
      </c>
      <c r="D2500" s="15">
        <f>IFERROR(__xludf.DUMMYFUNCTION("""COMPUTED_VALUE"""),1.004)</f>
        <v>1.004</v>
      </c>
      <c r="E2500" s="16">
        <f>IFERROR(__xludf.DUMMYFUNCTION("""COMPUTED_VALUE"""),69.0)</f>
        <v>69</v>
      </c>
      <c r="F2500" s="19" t="str">
        <f>IFERROR(__xludf.DUMMYFUNCTION("""COMPUTED_VALUE"""),"BLACK")</f>
        <v>BLACK</v>
      </c>
      <c r="G2500" s="20" t="str">
        <f>IFERROR(__xludf.DUMMYFUNCTION("""COMPUTED_VALUE"""),"Uncle Sams Cider (5/13/2022)")</f>
        <v>Uncle Sams Cider (5/13/2022)</v>
      </c>
      <c r="H2500" s="19"/>
    </row>
    <row r="2501">
      <c r="A2501" s="9"/>
      <c r="B2501" s="15"/>
      <c r="C2501" s="9">
        <f>IFERROR(__xludf.DUMMYFUNCTION("""COMPUTED_VALUE"""),44770.5602712615)</f>
        <v>44770.56027</v>
      </c>
      <c r="D2501" s="15">
        <f>IFERROR(__xludf.DUMMYFUNCTION("""COMPUTED_VALUE"""),1.004)</f>
        <v>1.004</v>
      </c>
      <c r="E2501" s="16">
        <f>IFERROR(__xludf.DUMMYFUNCTION("""COMPUTED_VALUE"""),69.0)</f>
        <v>69</v>
      </c>
      <c r="F2501" s="19" t="str">
        <f>IFERROR(__xludf.DUMMYFUNCTION("""COMPUTED_VALUE"""),"BLACK")</f>
        <v>BLACK</v>
      </c>
      <c r="G2501" s="20" t="str">
        <f>IFERROR(__xludf.DUMMYFUNCTION("""COMPUTED_VALUE"""),"Uncle Sams Cider (5/13/2022)")</f>
        <v>Uncle Sams Cider (5/13/2022)</v>
      </c>
      <c r="H2501" s="19"/>
    </row>
    <row r="2502">
      <c r="A2502" s="9"/>
      <c r="B2502" s="15"/>
      <c r="C2502" s="9">
        <f>IFERROR(__xludf.DUMMYFUNCTION("""COMPUTED_VALUE"""),44770.5498493171)</f>
        <v>44770.54985</v>
      </c>
      <c r="D2502" s="15">
        <f>IFERROR(__xludf.DUMMYFUNCTION("""COMPUTED_VALUE"""),1.004)</f>
        <v>1.004</v>
      </c>
      <c r="E2502" s="16">
        <f>IFERROR(__xludf.DUMMYFUNCTION("""COMPUTED_VALUE"""),69.0)</f>
        <v>69</v>
      </c>
      <c r="F2502" s="19" t="str">
        <f>IFERROR(__xludf.DUMMYFUNCTION("""COMPUTED_VALUE"""),"BLACK")</f>
        <v>BLACK</v>
      </c>
      <c r="G2502" s="20" t="str">
        <f>IFERROR(__xludf.DUMMYFUNCTION("""COMPUTED_VALUE"""),"Uncle Sams Cider (5/13/2022)")</f>
        <v>Uncle Sams Cider (5/13/2022)</v>
      </c>
      <c r="H2502" s="19"/>
    </row>
    <row r="2503">
      <c r="A2503" s="9"/>
      <c r="B2503" s="15"/>
      <c r="C2503" s="9">
        <f>IFERROR(__xludf.DUMMYFUNCTION("""COMPUTED_VALUE"""),44770.5394156018)</f>
        <v>44770.53942</v>
      </c>
      <c r="D2503" s="15">
        <f>IFERROR(__xludf.DUMMYFUNCTION("""COMPUTED_VALUE"""),1.004)</f>
        <v>1.004</v>
      </c>
      <c r="E2503" s="16">
        <f>IFERROR(__xludf.DUMMYFUNCTION("""COMPUTED_VALUE"""),69.0)</f>
        <v>69</v>
      </c>
      <c r="F2503" s="19" t="str">
        <f>IFERROR(__xludf.DUMMYFUNCTION("""COMPUTED_VALUE"""),"BLACK")</f>
        <v>BLACK</v>
      </c>
      <c r="G2503" s="20" t="str">
        <f>IFERROR(__xludf.DUMMYFUNCTION("""COMPUTED_VALUE"""),"Uncle Sams Cider (5/13/2022)")</f>
        <v>Uncle Sams Cider (5/13/2022)</v>
      </c>
      <c r="H2503" s="19"/>
    </row>
    <row r="2504">
      <c r="A2504" s="9"/>
      <c r="B2504" s="15"/>
      <c r="C2504" s="9">
        <f>IFERROR(__xludf.DUMMYFUNCTION("""COMPUTED_VALUE"""),44770.5289935185)</f>
        <v>44770.52899</v>
      </c>
      <c r="D2504" s="15">
        <f>IFERROR(__xludf.DUMMYFUNCTION("""COMPUTED_VALUE"""),1.004)</f>
        <v>1.004</v>
      </c>
      <c r="E2504" s="16">
        <f>IFERROR(__xludf.DUMMYFUNCTION("""COMPUTED_VALUE"""),69.0)</f>
        <v>69</v>
      </c>
      <c r="F2504" s="19" t="str">
        <f>IFERROR(__xludf.DUMMYFUNCTION("""COMPUTED_VALUE"""),"BLACK")</f>
        <v>BLACK</v>
      </c>
      <c r="G2504" s="20" t="str">
        <f>IFERROR(__xludf.DUMMYFUNCTION("""COMPUTED_VALUE"""),"Uncle Sams Cider (5/13/2022)")</f>
        <v>Uncle Sams Cider (5/13/2022)</v>
      </c>
      <c r="H2504" s="19"/>
    </row>
    <row r="2505">
      <c r="A2505" s="9"/>
      <c r="B2505" s="15"/>
      <c r="C2505" s="9">
        <f>IFERROR(__xludf.DUMMYFUNCTION("""COMPUTED_VALUE"""),44770.5185722222)</f>
        <v>44770.51857</v>
      </c>
      <c r="D2505" s="15">
        <f>IFERROR(__xludf.DUMMYFUNCTION("""COMPUTED_VALUE"""),1.004)</f>
        <v>1.004</v>
      </c>
      <c r="E2505" s="16">
        <f>IFERROR(__xludf.DUMMYFUNCTION("""COMPUTED_VALUE"""),69.0)</f>
        <v>69</v>
      </c>
      <c r="F2505" s="19" t="str">
        <f>IFERROR(__xludf.DUMMYFUNCTION("""COMPUTED_VALUE"""),"BLACK")</f>
        <v>BLACK</v>
      </c>
      <c r="G2505" s="20" t="str">
        <f>IFERROR(__xludf.DUMMYFUNCTION("""COMPUTED_VALUE"""),"Uncle Sams Cider (5/13/2022)")</f>
        <v>Uncle Sams Cider (5/13/2022)</v>
      </c>
      <c r="H2505" s="19"/>
    </row>
    <row r="2506">
      <c r="A2506" s="9"/>
      <c r="B2506" s="15"/>
      <c r="C2506" s="9">
        <f>IFERROR(__xludf.DUMMYFUNCTION("""COMPUTED_VALUE"""),44770.5081515393)</f>
        <v>44770.50815</v>
      </c>
      <c r="D2506" s="15">
        <f>IFERROR(__xludf.DUMMYFUNCTION("""COMPUTED_VALUE"""),1.004)</f>
        <v>1.004</v>
      </c>
      <c r="E2506" s="16">
        <f>IFERROR(__xludf.DUMMYFUNCTION("""COMPUTED_VALUE"""),69.0)</f>
        <v>69</v>
      </c>
      <c r="F2506" s="19" t="str">
        <f>IFERROR(__xludf.DUMMYFUNCTION("""COMPUTED_VALUE"""),"BLACK")</f>
        <v>BLACK</v>
      </c>
      <c r="G2506" s="20" t="str">
        <f>IFERROR(__xludf.DUMMYFUNCTION("""COMPUTED_VALUE"""),"Uncle Sams Cider (5/13/2022)")</f>
        <v>Uncle Sams Cider (5/13/2022)</v>
      </c>
      <c r="H2506" s="19"/>
    </row>
    <row r="2507">
      <c r="A2507" s="9"/>
      <c r="B2507" s="15"/>
      <c r="C2507" s="9">
        <f>IFERROR(__xludf.DUMMYFUNCTION("""COMPUTED_VALUE"""),44770.4977310879)</f>
        <v>44770.49773</v>
      </c>
      <c r="D2507" s="15">
        <f>IFERROR(__xludf.DUMMYFUNCTION("""COMPUTED_VALUE"""),1.004)</f>
        <v>1.004</v>
      </c>
      <c r="E2507" s="16">
        <f>IFERROR(__xludf.DUMMYFUNCTION("""COMPUTED_VALUE"""),69.0)</f>
        <v>69</v>
      </c>
      <c r="F2507" s="19" t="str">
        <f>IFERROR(__xludf.DUMMYFUNCTION("""COMPUTED_VALUE"""),"BLACK")</f>
        <v>BLACK</v>
      </c>
      <c r="G2507" s="20" t="str">
        <f>IFERROR(__xludf.DUMMYFUNCTION("""COMPUTED_VALUE"""),"Uncle Sams Cider (5/13/2022)")</f>
        <v>Uncle Sams Cider (5/13/2022)</v>
      </c>
      <c r="H2507" s="19"/>
    </row>
    <row r="2508">
      <c r="A2508" s="9"/>
      <c r="B2508" s="15"/>
      <c r="C2508" s="9">
        <f>IFERROR(__xludf.DUMMYFUNCTION("""COMPUTED_VALUE"""),44770.4872993402)</f>
        <v>44770.4873</v>
      </c>
      <c r="D2508" s="15">
        <f>IFERROR(__xludf.DUMMYFUNCTION("""COMPUTED_VALUE"""),1.004)</f>
        <v>1.004</v>
      </c>
      <c r="E2508" s="16">
        <f>IFERROR(__xludf.DUMMYFUNCTION("""COMPUTED_VALUE"""),69.0)</f>
        <v>69</v>
      </c>
      <c r="F2508" s="19" t="str">
        <f>IFERROR(__xludf.DUMMYFUNCTION("""COMPUTED_VALUE"""),"BLACK")</f>
        <v>BLACK</v>
      </c>
      <c r="G2508" s="20" t="str">
        <f>IFERROR(__xludf.DUMMYFUNCTION("""COMPUTED_VALUE"""),"Uncle Sams Cider (5/13/2022)")</f>
        <v>Uncle Sams Cider (5/13/2022)</v>
      </c>
      <c r="H2508" s="19"/>
    </row>
    <row r="2509">
      <c r="A2509" s="9"/>
      <c r="B2509" s="15"/>
      <c r="C2509" s="9">
        <f>IFERROR(__xludf.DUMMYFUNCTION("""COMPUTED_VALUE"""),44770.4768677083)</f>
        <v>44770.47687</v>
      </c>
      <c r="D2509" s="15">
        <f>IFERROR(__xludf.DUMMYFUNCTION("""COMPUTED_VALUE"""),1.004)</f>
        <v>1.004</v>
      </c>
      <c r="E2509" s="16">
        <f>IFERROR(__xludf.DUMMYFUNCTION("""COMPUTED_VALUE"""),69.0)</f>
        <v>69</v>
      </c>
      <c r="F2509" s="19" t="str">
        <f>IFERROR(__xludf.DUMMYFUNCTION("""COMPUTED_VALUE"""),"BLACK")</f>
        <v>BLACK</v>
      </c>
      <c r="G2509" s="20" t="str">
        <f>IFERROR(__xludf.DUMMYFUNCTION("""COMPUTED_VALUE"""),"Uncle Sams Cider (5/13/2022)")</f>
        <v>Uncle Sams Cider (5/13/2022)</v>
      </c>
      <c r="H2509" s="19"/>
    </row>
    <row r="2510">
      <c r="A2510" s="9"/>
      <c r="B2510" s="15"/>
      <c r="C2510" s="9">
        <f>IFERROR(__xludf.DUMMYFUNCTION("""COMPUTED_VALUE"""),44770.4664457754)</f>
        <v>44770.46645</v>
      </c>
      <c r="D2510" s="15">
        <f>IFERROR(__xludf.DUMMYFUNCTION("""COMPUTED_VALUE"""),1.004)</f>
        <v>1.004</v>
      </c>
      <c r="E2510" s="16">
        <f>IFERROR(__xludf.DUMMYFUNCTION("""COMPUTED_VALUE"""),69.0)</f>
        <v>69</v>
      </c>
      <c r="F2510" s="19" t="str">
        <f>IFERROR(__xludf.DUMMYFUNCTION("""COMPUTED_VALUE"""),"BLACK")</f>
        <v>BLACK</v>
      </c>
      <c r="G2510" s="20" t="str">
        <f>IFERROR(__xludf.DUMMYFUNCTION("""COMPUTED_VALUE"""),"Uncle Sams Cider (5/13/2022)")</f>
        <v>Uncle Sams Cider (5/13/2022)</v>
      </c>
      <c r="H2510" s="19"/>
    </row>
    <row r="2511">
      <c r="A2511" s="9"/>
      <c r="B2511" s="15"/>
      <c r="C2511" s="9">
        <f>IFERROR(__xludf.DUMMYFUNCTION("""COMPUTED_VALUE"""),44770.4560243171)</f>
        <v>44770.45602</v>
      </c>
      <c r="D2511" s="15">
        <f>IFERROR(__xludf.DUMMYFUNCTION("""COMPUTED_VALUE"""),1.004)</f>
        <v>1.004</v>
      </c>
      <c r="E2511" s="16">
        <f>IFERROR(__xludf.DUMMYFUNCTION("""COMPUTED_VALUE"""),69.0)</f>
        <v>69</v>
      </c>
      <c r="F2511" s="19" t="str">
        <f>IFERROR(__xludf.DUMMYFUNCTION("""COMPUTED_VALUE"""),"BLACK")</f>
        <v>BLACK</v>
      </c>
      <c r="G2511" s="20" t="str">
        <f>IFERROR(__xludf.DUMMYFUNCTION("""COMPUTED_VALUE"""),"Uncle Sams Cider (5/13/2022)")</f>
        <v>Uncle Sams Cider (5/13/2022)</v>
      </c>
      <c r="H2511" s="19"/>
    </row>
    <row r="2512">
      <c r="A2512" s="9"/>
      <c r="B2512" s="15"/>
      <c r="C2512" s="9">
        <f>IFERROR(__xludf.DUMMYFUNCTION("""COMPUTED_VALUE"""),44770.4456032523)</f>
        <v>44770.4456</v>
      </c>
      <c r="D2512" s="15">
        <f>IFERROR(__xludf.DUMMYFUNCTION("""COMPUTED_VALUE"""),1.004)</f>
        <v>1.004</v>
      </c>
      <c r="E2512" s="16">
        <f>IFERROR(__xludf.DUMMYFUNCTION("""COMPUTED_VALUE"""),69.0)</f>
        <v>69</v>
      </c>
      <c r="F2512" s="19" t="str">
        <f>IFERROR(__xludf.DUMMYFUNCTION("""COMPUTED_VALUE"""),"BLACK")</f>
        <v>BLACK</v>
      </c>
      <c r="G2512" s="20" t="str">
        <f>IFERROR(__xludf.DUMMYFUNCTION("""COMPUTED_VALUE"""),"Uncle Sams Cider (5/13/2022)")</f>
        <v>Uncle Sams Cider (5/13/2022)</v>
      </c>
      <c r="H2512" s="19"/>
    </row>
    <row r="2513">
      <c r="A2513" s="9"/>
      <c r="B2513" s="15"/>
      <c r="C2513" s="9">
        <f>IFERROR(__xludf.DUMMYFUNCTION("""COMPUTED_VALUE"""),44770.4351812152)</f>
        <v>44770.43518</v>
      </c>
      <c r="D2513" s="15">
        <f>IFERROR(__xludf.DUMMYFUNCTION("""COMPUTED_VALUE"""),1.004)</f>
        <v>1.004</v>
      </c>
      <c r="E2513" s="16">
        <f>IFERROR(__xludf.DUMMYFUNCTION("""COMPUTED_VALUE"""),69.0)</f>
        <v>69</v>
      </c>
      <c r="F2513" s="19" t="str">
        <f>IFERROR(__xludf.DUMMYFUNCTION("""COMPUTED_VALUE"""),"BLACK")</f>
        <v>BLACK</v>
      </c>
      <c r="G2513" s="20" t="str">
        <f>IFERROR(__xludf.DUMMYFUNCTION("""COMPUTED_VALUE"""),"Uncle Sams Cider (5/13/2022)")</f>
        <v>Uncle Sams Cider (5/13/2022)</v>
      </c>
      <c r="H2513" s="19"/>
    </row>
    <row r="2514">
      <c r="A2514" s="9"/>
      <c r="B2514" s="15"/>
      <c r="C2514" s="9">
        <f>IFERROR(__xludf.DUMMYFUNCTION("""COMPUTED_VALUE"""),44770.4247480324)</f>
        <v>44770.42475</v>
      </c>
      <c r="D2514" s="15">
        <f>IFERROR(__xludf.DUMMYFUNCTION("""COMPUTED_VALUE"""),1.004)</f>
        <v>1.004</v>
      </c>
      <c r="E2514" s="16">
        <f>IFERROR(__xludf.DUMMYFUNCTION("""COMPUTED_VALUE"""),69.0)</f>
        <v>69</v>
      </c>
      <c r="F2514" s="19" t="str">
        <f>IFERROR(__xludf.DUMMYFUNCTION("""COMPUTED_VALUE"""),"BLACK")</f>
        <v>BLACK</v>
      </c>
      <c r="G2514" s="20" t="str">
        <f>IFERROR(__xludf.DUMMYFUNCTION("""COMPUTED_VALUE"""),"Uncle Sams Cider (5/13/2022)")</f>
        <v>Uncle Sams Cider (5/13/2022)</v>
      </c>
      <c r="H2514" s="19"/>
    </row>
    <row r="2515">
      <c r="A2515" s="9"/>
      <c r="B2515" s="15"/>
      <c r="C2515" s="9">
        <f>IFERROR(__xludf.DUMMYFUNCTION("""COMPUTED_VALUE"""),44770.4143282175)</f>
        <v>44770.41433</v>
      </c>
      <c r="D2515" s="15">
        <f>IFERROR(__xludf.DUMMYFUNCTION("""COMPUTED_VALUE"""),1.004)</f>
        <v>1.004</v>
      </c>
      <c r="E2515" s="16">
        <f>IFERROR(__xludf.DUMMYFUNCTION("""COMPUTED_VALUE"""),69.0)</f>
        <v>69</v>
      </c>
      <c r="F2515" s="19" t="str">
        <f>IFERROR(__xludf.DUMMYFUNCTION("""COMPUTED_VALUE"""),"BLACK")</f>
        <v>BLACK</v>
      </c>
      <c r="G2515" s="20" t="str">
        <f>IFERROR(__xludf.DUMMYFUNCTION("""COMPUTED_VALUE"""),"Uncle Sams Cider (5/13/2022)")</f>
        <v>Uncle Sams Cider (5/13/2022)</v>
      </c>
      <c r="H2515" s="19"/>
    </row>
    <row r="2516">
      <c r="A2516" s="9"/>
      <c r="B2516" s="15"/>
      <c r="C2516" s="9">
        <f>IFERROR(__xludf.DUMMYFUNCTION("""COMPUTED_VALUE"""),44770.403905081)</f>
        <v>44770.40391</v>
      </c>
      <c r="D2516" s="15">
        <f>IFERROR(__xludf.DUMMYFUNCTION("""COMPUTED_VALUE"""),1.004)</f>
        <v>1.004</v>
      </c>
      <c r="E2516" s="16">
        <f>IFERROR(__xludf.DUMMYFUNCTION("""COMPUTED_VALUE"""),69.0)</f>
        <v>69</v>
      </c>
      <c r="F2516" s="19" t="str">
        <f>IFERROR(__xludf.DUMMYFUNCTION("""COMPUTED_VALUE"""),"BLACK")</f>
        <v>BLACK</v>
      </c>
      <c r="G2516" s="20" t="str">
        <f>IFERROR(__xludf.DUMMYFUNCTION("""COMPUTED_VALUE"""),"Uncle Sams Cider (5/13/2022)")</f>
        <v>Uncle Sams Cider (5/13/2022)</v>
      </c>
      <c r="H2516" s="19"/>
    </row>
    <row r="2517">
      <c r="A2517" s="9"/>
      <c r="B2517" s="15"/>
      <c r="C2517" s="9">
        <f>IFERROR(__xludf.DUMMYFUNCTION("""COMPUTED_VALUE"""),44770.3934722685)</f>
        <v>44770.39347</v>
      </c>
      <c r="D2517" s="15">
        <f>IFERROR(__xludf.DUMMYFUNCTION("""COMPUTED_VALUE"""),1.004)</f>
        <v>1.004</v>
      </c>
      <c r="E2517" s="16">
        <f>IFERROR(__xludf.DUMMYFUNCTION("""COMPUTED_VALUE"""),69.0)</f>
        <v>69</v>
      </c>
      <c r="F2517" s="19" t="str">
        <f>IFERROR(__xludf.DUMMYFUNCTION("""COMPUTED_VALUE"""),"BLACK")</f>
        <v>BLACK</v>
      </c>
      <c r="G2517" s="20" t="str">
        <f>IFERROR(__xludf.DUMMYFUNCTION("""COMPUTED_VALUE"""),"Uncle Sams Cider (5/13/2022)")</f>
        <v>Uncle Sams Cider (5/13/2022)</v>
      </c>
      <c r="H2517" s="19"/>
    </row>
    <row r="2518">
      <c r="A2518" s="9"/>
      <c r="B2518" s="15"/>
      <c r="C2518" s="9">
        <f>IFERROR(__xludf.DUMMYFUNCTION("""COMPUTED_VALUE"""),44770.3830508217)</f>
        <v>44770.38305</v>
      </c>
      <c r="D2518" s="15">
        <f>IFERROR(__xludf.DUMMYFUNCTION("""COMPUTED_VALUE"""),1.004)</f>
        <v>1.004</v>
      </c>
      <c r="E2518" s="16">
        <f>IFERROR(__xludf.DUMMYFUNCTION("""COMPUTED_VALUE"""),69.0)</f>
        <v>69</v>
      </c>
      <c r="F2518" s="19" t="str">
        <f>IFERROR(__xludf.DUMMYFUNCTION("""COMPUTED_VALUE"""),"BLACK")</f>
        <v>BLACK</v>
      </c>
      <c r="G2518" s="20" t="str">
        <f>IFERROR(__xludf.DUMMYFUNCTION("""COMPUTED_VALUE"""),"Uncle Sams Cider (5/13/2022)")</f>
        <v>Uncle Sams Cider (5/13/2022)</v>
      </c>
      <c r="H2518" s="19"/>
    </row>
    <row r="2519">
      <c r="A2519" s="9"/>
      <c r="B2519" s="15"/>
      <c r="C2519" s="9">
        <f>IFERROR(__xludf.DUMMYFUNCTION("""COMPUTED_VALUE"""),44770.3726304398)</f>
        <v>44770.37263</v>
      </c>
      <c r="D2519" s="15">
        <f>IFERROR(__xludf.DUMMYFUNCTION("""COMPUTED_VALUE"""),1.004)</f>
        <v>1.004</v>
      </c>
      <c r="E2519" s="16">
        <f>IFERROR(__xludf.DUMMYFUNCTION("""COMPUTED_VALUE"""),69.0)</f>
        <v>69</v>
      </c>
      <c r="F2519" s="19" t="str">
        <f>IFERROR(__xludf.DUMMYFUNCTION("""COMPUTED_VALUE"""),"BLACK")</f>
        <v>BLACK</v>
      </c>
      <c r="G2519" s="20" t="str">
        <f>IFERROR(__xludf.DUMMYFUNCTION("""COMPUTED_VALUE"""),"Uncle Sams Cider (5/13/2022)")</f>
        <v>Uncle Sams Cider (5/13/2022)</v>
      </c>
      <c r="H2519" s="19"/>
    </row>
    <row r="2520">
      <c r="A2520" s="9"/>
      <c r="B2520" s="15"/>
      <c r="C2520" s="9">
        <f>IFERROR(__xludf.DUMMYFUNCTION("""COMPUTED_VALUE"""),44770.362207824)</f>
        <v>44770.36221</v>
      </c>
      <c r="D2520" s="15">
        <f>IFERROR(__xludf.DUMMYFUNCTION("""COMPUTED_VALUE"""),1.004)</f>
        <v>1.004</v>
      </c>
      <c r="E2520" s="16">
        <f>IFERROR(__xludf.DUMMYFUNCTION("""COMPUTED_VALUE"""),69.0)</f>
        <v>69</v>
      </c>
      <c r="F2520" s="19" t="str">
        <f>IFERROR(__xludf.DUMMYFUNCTION("""COMPUTED_VALUE"""),"BLACK")</f>
        <v>BLACK</v>
      </c>
      <c r="G2520" s="20" t="str">
        <f>IFERROR(__xludf.DUMMYFUNCTION("""COMPUTED_VALUE"""),"Uncle Sams Cider (5/13/2022)")</f>
        <v>Uncle Sams Cider (5/13/2022)</v>
      </c>
      <c r="H2520" s="19"/>
    </row>
    <row r="2521">
      <c r="A2521" s="9"/>
      <c r="B2521" s="15"/>
      <c r="C2521" s="9">
        <f>IFERROR(__xludf.DUMMYFUNCTION("""COMPUTED_VALUE"""),44770.3517865393)</f>
        <v>44770.35179</v>
      </c>
      <c r="D2521" s="15">
        <f>IFERROR(__xludf.DUMMYFUNCTION("""COMPUTED_VALUE"""),1.004)</f>
        <v>1.004</v>
      </c>
      <c r="E2521" s="16">
        <f>IFERROR(__xludf.DUMMYFUNCTION("""COMPUTED_VALUE"""),68.0)</f>
        <v>68</v>
      </c>
      <c r="F2521" s="19" t="str">
        <f>IFERROR(__xludf.DUMMYFUNCTION("""COMPUTED_VALUE"""),"BLACK")</f>
        <v>BLACK</v>
      </c>
      <c r="G2521" s="20" t="str">
        <f>IFERROR(__xludf.DUMMYFUNCTION("""COMPUTED_VALUE"""),"Uncle Sams Cider (5/13/2022)")</f>
        <v>Uncle Sams Cider (5/13/2022)</v>
      </c>
      <c r="H2521" s="19"/>
    </row>
    <row r="2522">
      <c r="A2522" s="9"/>
      <c r="B2522" s="15"/>
      <c r="C2522" s="9">
        <f>IFERROR(__xludf.DUMMYFUNCTION("""COMPUTED_VALUE"""),44770.3413650694)</f>
        <v>44770.34137</v>
      </c>
      <c r="D2522" s="15">
        <f>IFERROR(__xludf.DUMMYFUNCTION("""COMPUTED_VALUE"""),1.004)</f>
        <v>1.004</v>
      </c>
      <c r="E2522" s="16">
        <f>IFERROR(__xludf.DUMMYFUNCTION("""COMPUTED_VALUE"""),68.0)</f>
        <v>68</v>
      </c>
      <c r="F2522" s="19" t="str">
        <f>IFERROR(__xludf.DUMMYFUNCTION("""COMPUTED_VALUE"""),"BLACK")</f>
        <v>BLACK</v>
      </c>
      <c r="G2522" s="20" t="str">
        <f>IFERROR(__xludf.DUMMYFUNCTION("""COMPUTED_VALUE"""),"Uncle Sams Cider (5/13/2022)")</f>
        <v>Uncle Sams Cider (5/13/2022)</v>
      </c>
      <c r="H2522" s="19"/>
    </row>
    <row r="2523">
      <c r="A2523" s="9"/>
      <c r="B2523" s="15"/>
      <c r="C2523" s="9">
        <f>IFERROR(__xludf.DUMMYFUNCTION("""COMPUTED_VALUE"""),44770.3309448842)</f>
        <v>44770.33094</v>
      </c>
      <c r="D2523" s="15">
        <f>IFERROR(__xludf.DUMMYFUNCTION("""COMPUTED_VALUE"""),1.004)</f>
        <v>1.004</v>
      </c>
      <c r="E2523" s="16">
        <f>IFERROR(__xludf.DUMMYFUNCTION("""COMPUTED_VALUE"""),68.0)</f>
        <v>68</v>
      </c>
      <c r="F2523" s="19" t="str">
        <f>IFERROR(__xludf.DUMMYFUNCTION("""COMPUTED_VALUE"""),"BLACK")</f>
        <v>BLACK</v>
      </c>
      <c r="G2523" s="20" t="str">
        <f>IFERROR(__xludf.DUMMYFUNCTION("""COMPUTED_VALUE"""),"Uncle Sams Cider (5/13/2022)")</f>
        <v>Uncle Sams Cider (5/13/2022)</v>
      </c>
      <c r="H2523" s="19"/>
    </row>
    <row r="2524">
      <c r="A2524" s="9"/>
      <c r="B2524" s="15"/>
      <c r="C2524" s="9">
        <f>IFERROR(__xludf.DUMMYFUNCTION("""COMPUTED_VALUE"""),44770.3205249074)</f>
        <v>44770.32052</v>
      </c>
      <c r="D2524" s="15">
        <f>IFERROR(__xludf.DUMMYFUNCTION("""COMPUTED_VALUE"""),1.004)</f>
        <v>1.004</v>
      </c>
      <c r="E2524" s="16">
        <f>IFERROR(__xludf.DUMMYFUNCTION("""COMPUTED_VALUE"""),68.0)</f>
        <v>68</v>
      </c>
      <c r="F2524" s="19" t="str">
        <f>IFERROR(__xludf.DUMMYFUNCTION("""COMPUTED_VALUE"""),"BLACK")</f>
        <v>BLACK</v>
      </c>
      <c r="G2524" s="20" t="str">
        <f>IFERROR(__xludf.DUMMYFUNCTION("""COMPUTED_VALUE"""),"Uncle Sams Cider (5/13/2022)")</f>
        <v>Uncle Sams Cider (5/13/2022)</v>
      </c>
      <c r="H2524" s="19"/>
    </row>
    <row r="2525">
      <c r="A2525" s="9"/>
      <c r="B2525" s="15"/>
      <c r="C2525" s="9">
        <f>IFERROR(__xludf.DUMMYFUNCTION("""COMPUTED_VALUE"""),44770.3100936226)</f>
        <v>44770.31009</v>
      </c>
      <c r="D2525" s="15">
        <f>IFERROR(__xludf.DUMMYFUNCTION("""COMPUTED_VALUE"""),1.004)</f>
        <v>1.004</v>
      </c>
      <c r="E2525" s="16">
        <f>IFERROR(__xludf.DUMMYFUNCTION("""COMPUTED_VALUE"""),68.0)</f>
        <v>68</v>
      </c>
      <c r="F2525" s="19" t="str">
        <f>IFERROR(__xludf.DUMMYFUNCTION("""COMPUTED_VALUE"""),"BLACK")</f>
        <v>BLACK</v>
      </c>
      <c r="G2525" s="20" t="str">
        <f>IFERROR(__xludf.DUMMYFUNCTION("""COMPUTED_VALUE"""),"Uncle Sams Cider (5/13/2022)")</f>
        <v>Uncle Sams Cider (5/13/2022)</v>
      </c>
      <c r="H2525" s="19"/>
    </row>
    <row r="2526">
      <c r="A2526" s="9"/>
      <c r="B2526" s="15"/>
      <c r="C2526" s="9">
        <f>IFERROR(__xludf.DUMMYFUNCTION("""COMPUTED_VALUE"""),44770.2996592824)</f>
        <v>44770.29966</v>
      </c>
      <c r="D2526" s="15">
        <f>IFERROR(__xludf.DUMMYFUNCTION("""COMPUTED_VALUE"""),1.004)</f>
        <v>1.004</v>
      </c>
      <c r="E2526" s="16">
        <f>IFERROR(__xludf.DUMMYFUNCTION("""COMPUTED_VALUE"""),68.0)</f>
        <v>68</v>
      </c>
      <c r="F2526" s="19" t="str">
        <f>IFERROR(__xludf.DUMMYFUNCTION("""COMPUTED_VALUE"""),"BLACK")</f>
        <v>BLACK</v>
      </c>
      <c r="G2526" s="20" t="str">
        <f>IFERROR(__xludf.DUMMYFUNCTION("""COMPUTED_VALUE"""),"Uncle Sams Cider (5/13/2022)")</f>
        <v>Uncle Sams Cider (5/13/2022)</v>
      </c>
      <c r="H2526" s="19"/>
    </row>
    <row r="2527">
      <c r="A2527" s="9"/>
      <c r="B2527" s="15"/>
      <c r="C2527" s="9">
        <f>IFERROR(__xludf.DUMMYFUNCTION("""COMPUTED_VALUE"""),44770.289238912)</f>
        <v>44770.28924</v>
      </c>
      <c r="D2527" s="15">
        <f>IFERROR(__xludf.DUMMYFUNCTION("""COMPUTED_VALUE"""),1.004)</f>
        <v>1.004</v>
      </c>
      <c r="E2527" s="16">
        <f>IFERROR(__xludf.DUMMYFUNCTION("""COMPUTED_VALUE"""),68.0)</f>
        <v>68</v>
      </c>
      <c r="F2527" s="19" t="str">
        <f>IFERROR(__xludf.DUMMYFUNCTION("""COMPUTED_VALUE"""),"BLACK")</f>
        <v>BLACK</v>
      </c>
      <c r="G2527" s="20" t="str">
        <f>IFERROR(__xludf.DUMMYFUNCTION("""COMPUTED_VALUE"""),"Uncle Sams Cider (5/13/2022)")</f>
        <v>Uncle Sams Cider (5/13/2022)</v>
      </c>
      <c r="H2527" s="19"/>
    </row>
    <row r="2528">
      <c r="A2528" s="9"/>
      <c r="B2528" s="15"/>
      <c r="C2528" s="9">
        <f>IFERROR(__xludf.DUMMYFUNCTION("""COMPUTED_VALUE"""),44770.2788185532)</f>
        <v>44770.27882</v>
      </c>
      <c r="D2528" s="15">
        <f>IFERROR(__xludf.DUMMYFUNCTION("""COMPUTED_VALUE"""),1.004)</f>
        <v>1.004</v>
      </c>
      <c r="E2528" s="16">
        <f>IFERROR(__xludf.DUMMYFUNCTION("""COMPUTED_VALUE"""),68.0)</f>
        <v>68</v>
      </c>
      <c r="F2528" s="19" t="str">
        <f>IFERROR(__xludf.DUMMYFUNCTION("""COMPUTED_VALUE"""),"BLACK")</f>
        <v>BLACK</v>
      </c>
      <c r="G2528" s="20" t="str">
        <f>IFERROR(__xludf.DUMMYFUNCTION("""COMPUTED_VALUE"""),"Uncle Sams Cider (5/13/2022)")</f>
        <v>Uncle Sams Cider (5/13/2022)</v>
      </c>
      <c r="H2528" s="19"/>
    </row>
    <row r="2529">
      <c r="A2529" s="9"/>
      <c r="B2529" s="15"/>
      <c r="C2529" s="9">
        <f>IFERROR(__xludf.DUMMYFUNCTION("""COMPUTED_VALUE"""),44770.2683968055)</f>
        <v>44770.2684</v>
      </c>
      <c r="D2529" s="15">
        <f>IFERROR(__xludf.DUMMYFUNCTION("""COMPUTED_VALUE"""),1.004)</f>
        <v>1.004</v>
      </c>
      <c r="E2529" s="16">
        <f>IFERROR(__xludf.DUMMYFUNCTION("""COMPUTED_VALUE"""),68.0)</f>
        <v>68</v>
      </c>
      <c r="F2529" s="19" t="str">
        <f>IFERROR(__xludf.DUMMYFUNCTION("""COMPUTED_VALUE"""),"BLACK")</f>
        <v>BLACK</v>
      </c>
      <c r="G2529" s="20" t="str">
        <f>IFERROR(__xludf.DUMMYFUNCTION("""COMPUTED_VALUE"""),"Uncle Sams Cider (5/13/2022)")</f>
        <v>Uncle Sams Cider (5/13/2022)</v>
      </c>
      <c r="H2529" s="19"/>
    </row>
    <row r="2530">
      <c r="A2530" s="9"/>
      <c r="B2530" s="15"/>
      <c r="C2530" s="9">
        <f>IFERROR(__xludf.DUMMYFUNCTION("""COMPUTED_VALUE"""),44770.2579760879)</f>
        <v>44770.25798</v>
      </c>
      <c r="D2530" s="15">
        <f>IFERROR(__xludf.DUMMYFUNCTION("""COMPUTED_VALUE"""),1.004)</f>
        <v>1.004</v>
      </c>
      <c r="E2530" s="16">
        <f>IFERROR(__xludf.DUMMYFUNCTION("""COMPUTED_VALUE"""),68.0)</f>
        <v>68</v>
      </c>
      <c r="F2530" s="19" t="str">
        <f>IFERROR(__xludf.DUMMYFUNCTION("""COMPUTED_VALUE"""),"BLACK")</f>
        <v>BLACK</v>
      </c>
      <c r="G2530" s="20" t="str">
        <f>IFERROR(__xludf.DUMMYFUNCTION("""COMPUTED_VALUE"""),"Uncle Sams Cider (5/13/2022)")</f>
        <v>Uncle Sams Cider (5/13/2022)</v>
      </c>
      <c r="H2530" s="19"/>
    </row>
    <row r="2531">
      <c r="A2531" s="9"/>
      <c r="B2531" s="15"/>
      <c r="C2531" s="9">
        <f>IFERROR(__xludf.DUMMYFUNCTION("""COMPUTED_VALUE"""),44770.2475534953)</f>
        <v>44770.24755</v>
      </c>
      <c r="D2531" s="15">
        <f>IFERROR(__xludf.DUMMYFUNCTION("""COMPUTED_VALUE"""),1.004)</f>
        <v>1.004</v>
      </c>
      <c r="E2531" s="16">
        <f>IFERROR(__xludf.DUMMYFUNCTION("""COMPUTED_VALUE"""),68.0)</f>
        <v>68</v>
      </c>
      <c r="F2531" s="19" t="str">
        <f>IFERROR(__xludf.DUMMYFUNCTION("""COMPUTED_VALUE"""),"BLACK")</f>
        <v>BLACK</v>
      </c>
      <c r="G2531" s="20" t="str">
        <f>IFERROR(__xludf.DUMMYFUNCTION("""COMPUTED_VALUE"""),"Uncle Sams Cider (5/13/2022)")</f>
        <v>Uncle Sams Cider (5/13/2022)</v>
      </c>
      <c r="H2531" s="19"/>
    </row>
    <row r="2532">
      <c r="A2532" s="9"/>
      <c r="B2532" s="15"/>
      <c r="C2532" s="9">
        <f>IFERROR(__xludf.DUMMYFUNCTION("""COMPUTED_VALUE"""),44770.2371334259)</f>
        <v>44770.23713</v>
      </c>
      <c r="D2532" s="15">
        <f>IFERROR(__xludf.DUMMYFUNCTION("""COMPUTED_VALUE"""),1.004)</f>
        <v>1.004</v>
      </c>
      <c r="E2532" s="16">
        <f>IFERROR(__xludf.DUMMYFUNCTION("""COMPUTED_VALUE"""),68.0)</f>
        <v>68</v>
      </c>
      <c r="F2532" s="19" t="str">
        <f>IFERROR(__xludf.DUMMYFUNCTION("""COMPUTED_VALUE"""),"BLACK")</f>
        <v>BLACK</v>
      </c>
      <c r="G2532" s="20" t="str">
        <f>IFERROR(__xludf.DUMMYFUNCTION("""COMPUTED_VALUE"""),"Uncle Sams Cider (5/13/2022)")</f>
        <v>Uncle Sams Cider (5/13/2022)</v>
      </c>
      <c r="H2532" s="19"/>
    </row>
    <row r="2533">
      <c r="A2533" s="9"/>
      <c r="B2533" s="15"/>
      <c r="C2533" s="9">
        <f>IFERROR(__xludf.DUMMYFUNCTION("""COMPUTED_VALUE"""),44770.2267007523)</f>
        <v>44770.2267</v>
      </c>
      <c r="D2533" s="15">
        <f>IFERROR(__xludf.DUMMYFUNCTION("""COMPUTED_VALUE"""),1.004)</f>
        <v>1.004</v>
      </c>
      <c r="E2533" s="16">
        <f>IFERROR(__xludf.DUMMYFUNCTION("""COMPUTED_VALUE"""),68.0)</f>
        <v>68</v>
      </c>
      <c r="F2533" s="19" t="str">
        <f>IFERROR(__xludf.DUMMYFUNCTION("""COMPUTED_VALUE"""),"BLACK")</f>
        <v>BLACK</v>
      </c>
      <c r="G2533" s="20" t="str">
        <f>IFERROR(__xludf.DUMMYFUNCTION("""COMPUTED_VALUE"""),"Uncle Sams Cider (5/13/2022)")</f>
        <v>Uncle Sams Cider (5/13/2022)</v>
      </c>
      <c r="H2533" s="19"/>
    </row>
    <row r="2534">
      <c r="A2534" s="9"/>
      <c r="B2534" s="15"/>
      <c r="C2534" s="9">
        <f>IFERROR(__xludf.DUMMYFUNCTION("""COMPUTED_VALUE"""),44770.2162794328)</f>
        <v>44770.21628</v>
      </c>
      <c r="D2534" s="15">
        <f>IFERROR(__xludf.DUMMYFUNCTION("""COMPUTED_VALUE"""),1.004)</f>
        <v>1.004</v>
      </c>
      <c r="E2534" s="16">
        <f>IFERROR(__xludf.DUMMYFUNCTION("""COMPUTED_VALUE"""),68.0)</f>
        <v>68</v>
      </c>
      <c r="F2534" s="19" t="str">
        <f>IFERROR(__xludf.DUMMYFUNCTION("""COMPUTED_VALUE"""),"BLACK")</f>
        <v>BLACK</v>
      </c>
      <c r="G2534" s="20" t="str">
        <f>IFERROR(__xludf.DUMMYFUNCTION("""COMPUTED_VALUE"""),"Uncle Sams Cider (5/13/2022)")</f>
        <v>Uncle Sams Cider (5/13/2022)</v>
      </c>
      <c r="H2534" s="19"/>
    </row>
    <row r="2535">
      <c r="A2535" s="9"/>
      <c r="B2535" s="15"/>
      <c r="C2535" s="9">
        <f>IFERROR(__xludf.DUMMYFUNCTION("""COMPUTED_VALUE"""),44770.2058459606)</f>
        <v>44770.20585</v>
      </c>
      <c r="D2535" s="15">
        <f>IFERROR(__xludf.DUMMYFUNCTION("""COMPUTED_VALUE"""),1.004)</f>
        <v>1.004</v>
      </c>
      <c r="E2535" s="16">
        <f>IFERROR(__xludf.DUMMYFUNCTION("""COMPUTED_VALUE"""),68.0)</f>
        <v>68</v>
      </c>
      <c r="F2535" s="19" t="str">
        <f>IFERROR(__xludf.DUMMYFUNCTION("""COMPUTED_VALUE"""),"BLACK")</f>
        <v>BLACK</v>
      </c>
      <c r="G2535" s="20" t="str">
        <f>IFERROR(__xludf.DUMMYFUNCTION("""COMPUTED_VALUE"""),"Uncle Sams Cider (5/13/2022)")</f>
        <v>Uncle Sams Cider (5/13/2022)</v>
      </c>
      <c r="H2535" s="19"/>
    </row>
    <row r="2536">
      <c r="A2536" s="9"/>
      <c r="B2536" s="15"/>
      <c r="C2536" s="9">
        <f>IFERROR(__xludf.DUMMYFUNCTION("""COMPUTED_VALUE"""),44770.1954247106)</f>
        <v>44770.19542</v>
      </c>
      <c r="D2536" s="15">
        <f>IFERROR(__xludf.DUMMYFUNCTION("""COMPUTED_VALUE"""),1.004)</f>
        <v>1.004</v>
      </c>
      <c r="E2536" s="16">
        <f>IFERROR(__xludf.DUMMYFUNCTION("""COMPUTED_VALUE"""),68.0)</f>
        <v>68</v>
      </c>
      <c r="F2536" s="19" t="str">
        <f>IFERROR(__xludf.DUMMYFUNCTION("""COMPUTED_VALUE"""),"BLACK")</f>
        <v>BLACK</v>
      </c>
      <c r="G2536" s="20" t="str">
        <f>IFERROR(__xludf.DUMMYFUNCTION("""COMPUTED_VALUE"""),"Uncle Sams Cider (5/13/2022)")</f>
        <v>Uncle Sams Cider (5/13/2022)</v>
      </c>
      <c r="H2536" s="19"/>
    </row>
    <row r="2537">
      <c r="A2537" s="9"/>
      <c r="B2537" s="15"/>
      <c r="C2537" s="9">
        <f>IFERROR(__xludf.DUMMYFUNCTION("""COMPUTED_VALUE"""),44770.1850036111)</f>
        <v>44770.185</v>
      </c>
      <c r="D2537" s="15">
        <f>IFERROR(__xludf.DUMMYFUNCTION("""COMPUTED_VALUE"""),1.004)</f>
        <v>1.004</v>
      </c>
      <c r="E2537" s="16">
        <f>IFERROR(__xludf.DUMMYFUNCTION("""COMPUTED_VALUE"""),68.0)</f>
        <v>68</v>
      </c>
      <c r="F2537" s="19" t="str">
        <f>IFERROR(__xludf.DUMMYFUNCTION("""COMPUTED_VALUE"""),"BLACK")</f>
        <v>BLACK</v>
      </c>
      <c r="G2537" s="20" t="str">
        <f>IFERROR(__xludf.DUMMYFUNCTION("""COMPUTED_VALUE"""),"Uncle Sams Cider (5/13/2022)")</f>
        <v>Uncle Sams Cider (5/13/2022)</v>
      </c>
      <c r="H2537" s="19"/>
    </row>
    <row r="2538">
      <c r="A2538" s="9"/>
      <c r="B2538" s="15"/>
      <c r="C2538" s="9">
        <f>IFERROR(__xludf.DUMMYFUNCTION("""COMPUTED_VALUE"""),44770.1745815624)</f>
        <v>44770.17458</v>
      </c>
      <c r="D2538" s="15">
        <f>IFERROR(__xludf.DUMMYFUNCTION("""COMPUTED_VALUE"""),1.004)</f>
        <v>1.004</v>
      </c>
      <c r="E2538" s="16">
        <f>IFERROR(__xludf.DUMMYFUNCTION("""COMPUTED_VALUE"""),68.0)</f>
        <v>68</v>
      </c>
      <c r="F2538" s="19" t="str">
        <f>IFERROR(__xludf.DUMMYFUNCTION("""COMPUTED_VALUE"""),"BLACK")</f>
        <v>BLACK</v>
      </c>
      <c r="G2538" s="20" t="str">
        <f>IFERROR(__xludf.DUMMYFUNCTION("""COMPUTED_VALUE"""),"Uncle Sams Cider (5/13/2022)")</f>
        <v>Uncle Sams Cider (5/13/2022)</v>
      </c>
      <c r="H2538" s="19"/>
    </row>
    <row r="2539">
      <c r="A2539" s="9"/>
      <c r="B2539" s="15"/>
      <c r="C2539" s="9">
        <f>IFERROR(__xludf.DUMMYFUNCTION("""COMPUTED_VALUE"""),44770.1641593634)</f>
        <v>44770.16416</v>
      </c>
      <c r="D2539" s="15">
        <f>IFERROR(__xludf.DUMMYFUNCTION("""COMPUTED_VALUE"""),1.004)</f>
        <v>1.004</v>
      </c>
      <c r="E2539" s="16">
        <f>IFERROR(__xludf.DUMMYFUNCTION("""COMPUTED_VALUE"""),68.0)</f>
        <v>68</v>
      </c>
      <c r="F2539" s="19" t="str">
        <f>IFERROR(__xludf.DUMMYFUNCTION("""COMPUTED_VALUE"""),"BLACK")</f>
        <v>BLACK</v>
      </c>
      <c r="G2539" s="20" t="str">
        <f>IFERROR(__xludf.DUMMYFUNCTION("""COMPUTED_VALUE"""),"Uncle Sams Cider (5/13/2022)")</f>
        <v>Uncle Sams Cider (5/13/2022)</v>
      </c>
      <c r="H2539" s="19"/>
    </row>
    <row r="2540">
      <c r="A2540" s="9"/>
      <c r="B2540" s="15"/>
      <c r="C2540" s="9">
        <f>IFERROR(__xludf.DUMMYFUNCTION("""COMPUTED_VALUE"""),44770.1537366435)</f>
        <v>44770.15374</v>
      </c>
      <c r="D2540" s="15">
        <f>IFERROR(__xludf.DUMMYFUNCTION("""COMPUTED_VALUE"""),1.004)</f>
        <v>1.004</v>
      </c>
      <c r="E2540" s="16">
        <f>IFERROR(__xludf.DUMMYFUNCTION("""COMPUTED_VALUE"""),68.0)</f>
        <v>68</v>
      </c>
      <c r="F2540" s="19" t="str">
        <f>IFERROR(__xludf.DUMMYFUNCTION("""COMPUTED_VALUE"""),"BLACK")</f>
        <v>BLACK</v>
      </c>
      <c r="G2540" s="20" t="str">
        <f>IFERROR(__xludf.DUMMYFUNCTION("""COMPUTED_VALUE"""),"Uncle Sams Cider (5/13/2022)")</f>
        <v>Uncle Sams Cider (5/13/2022)</v>
      </c>
      <c r="H2540" s="19"/>
    </row>
    <row r="2541">
      <c r="A2541" s="9"/>
      <c r="B2541" s="15"/>
      <c r="C2541" s="9">
        <f>IFERROR(__xludf.DUMMYFUNCTION("""COMPUTED_VALUE"""),44770.143303287)</f>
        <v>44770.1433</v>
      </c>
      <c r="D2541" s="15">
        <f>IFERROR(__xludf.DUMMYFUNCTION("""COMPUTED_VALUE"""),1.004)</f>
        <v>1.004</v>
      </c>
      <c r="E2541" s="16">
        <f>IFERROR(__xludf.DUMMYFUNCTION("""COMPUTED_VALUE"""),68.0)</f>
        <v>68</v>
      </c>
      <c r="F2541" s="19" t="str">
        <f>IFERROR(__xludf.DUMMYFUNCTION("""COMPUTED_VALUE"""),"BLACK")</f>
        <v>BLACK</v>
      </c>
      <c r="G2541" s="20" t="str">
        <f>IFERROR(__xludf.DUMMYFUNCTION("""COMPUTED_VALUE"""),"Uncle Sams Cider (5/13/2022)")</f>
        <v>Uncle Sams Cider (5/13/2022)</v>
      </c>
      <c r="H2541" s="19"/>
    </row>
    <row r="2542">
      <c r="A2542" s="9"/>
      <c r="B2542" s="15"/>
      <c r="C2542" s="9">
        <f>IFERROR(__xludf.DUMMYFUNCTION("""COMPUTED_VALUE"""),44770.1328811458)</f>
        <v>44770.13288</v>
      </c>
      <c r="D2542" s="15">
        <f>IFERROR(__xludf.DUMMYFUNCTION("""COMPUTED_VALUE"""),1.004)</f>
        <v>1.004</v>
      </c>
      <c r="E2542" s="16">
        <f>IFERROR(__xludf.DUMMYFUNCTION("""COMPUTED_VALUE"""),68.0)</f>
        <v>68</v>
      </c>
      <c r="F2542" s="19" t="str">
        <f>IFERROR(__xludf.DUMMYFUNCTION("""COMPUTED_VALUE"""),"BLACK")</f>
        <v>BLACK</v>
      </c>
      <c r="G2542" s="20" t="str">
        <f>IFERROR(__xludf.DUMMYFUNCTION("""COMPUTED_VALUE"""),"Uncle Sams Cider (5/13/2022)")</f>
        <v>Uncle Sams Cider (5/13/2022)</v>
      </c>
      <c r="H2542" s="19"/>
    </row>
    <row r="2543">
      <c r="A2543" s="9"/>
      <c r="B2543" s="15"/>
      <c r="C2543" s="9">
        <f>IFERROR(__xludf.DUMMYFUNCTION("""COMPUTED_VALUE"""),44770.1224603819)</f>
        <v>44770.12246</v>
      </c>
      <c r="D2543" s="15">
        <f>IFERROR(__xludf.DUMMYFUNCTION("""COMPUTED_VALUE"""),1.004)</f>
        <v>1.004</v>
      </c>
      <c r="E2543" s="16">
        <f>IFERROR(__xludf.DUMMYFUNCTION("""COMPUTED_VALUE"""),68.0)</f>
        <v>68</v>
      </c>
      <c r="F2543" s="19" t="str">
        <f>IFERROR(__xludf.DUMMYFUNCTION("""COMPUTED_VALUE"""),"BLACK")</f>
        <v>BLACK</v>
      </c>
      <c r="G2543" s="20" t="str">
        <f>IFERROR(__xludf.DUMMYFUNCTION("""COMPUTED_VALUE"""),"Uncle Sams Cider (5/13/2022)")</f>
        <v>Uncle Sams Cider (5/13/2022)</v>
      </c>
      <c r="H2543" s="19"/>
    </row>
    <row r="2544">
      <c r="A2544" s="9"/>
      <c r="B2544" s="15"/>
      <c r="C2544" s="9">
        <f>IFERROR(__xludf.DUMMYFUNCTION("""COMPUTED_VALUE"""),44770.1120377199)</f>
        <v>44770.11204</v>
      </c>
      <c r="D2544" s="15">
        <f>IFERROR(__xludf.DUMMYFUNCTION("""COMPUTED_VALUE"""),1.004)</f>
        <v>1.004</v>
      </c>
      <c r="E2544" s="16">
        <f>IFERROR(__xludf.DUMMYFUNCTION("""COMPUTED_VALUE"""),68.0)</f>
        <v>68</v>
      </c>
      <c r="F2544" s="19" t="str">
        <f>IFERROR(__xludf.DUMMYFUNCTION("""COMPUTED_VALUE"""),"BLACK")</f>
        <v>BLACK</v>
      </c>
      <c r="G2544" s="20" t="str">
        <f>IFERROR(__xludf.DUMMYFUNCTION("""COMPUTED_VALUE"""),"Uncle Sams Cider (5/13/2022)")</f>
        <v>Uncle Sams Cider (5/13/2022)</v>
      </c>
      <c r="H2544" s="19"/>
    </row>
    <row r="2545">
      <c r="A2545" s="9"/>
      <c r="B2545" s="15"/>
      <c r="C2545" s="9">
        <f>IFERROR(__xludf.DUMMYFUNCTION("""COMPUTED_VALUE"""),44770.1016161689)</f>
        <v>44770.10162</v>
      </c>
      <c r="D2545" s="15">
        <f>IFERROR(__xludf.DUMMYFUNCTION("""COMPUTED_VALUE"""),1.004)</f>
        <v>1.004</v>
      </c>
      <c r="E2545" s="16">
        <f>IFERROR(__xludf.DUMMYFUNCTION("""COMPUTED_VALUE"""),68.0)</f>
        <v>68</v>
      </c>
      <c r="F2545" s="19" t="str">
        <f>IFERROR(__xludf.DUMMYFUNCTION("""COMPUTED_VALUE"""),"BLACK")</f>
        <v>BLACK</v>
      </c>
      <c r="G2545" s="20" t="str">
        <f>IFERROR(__xludf.DUMMYFUNCTION("""COMPUTED_VALUE"""),"Uncle Sams Cider (5/13/2022)")</f>
        <v>Uncle Sams Cider (5/13/2022)</v>
      </c>
      <c r="H2545" s="19"/>
    </row>
    <row r="2546">
      <c r="A2546" s="9"/>
      <c r="B2546" s="15"/>
      <c r="C2546" s="9">
        <f>IFERROR(__xludf.DUMMYFUNCTION("""COMPUTED_VALUE"""),44770.0911950231)</f>
        <v>44770.0912</v>
      </c>
      <c r="D2546" s="15">
        <f>IFERROR(__xludf.DUMMYFUNCTION("""COMPUTED_VALUE"""),1.004)</f>
        <v>1.004</v>
      </c>
      <c r="E2546" s="16">
        <f>IFERROR(__xludf.DUMMYFUNCTION("""COMPUTED_VALUE"""),68.0)</f>
        <v>68</v>
      </c>
      <c r="F2546" s="19" t="str">
        <f>IFERROR(__xludf.DUMMYFUNCTION("""COMPUTED_VALUE"""),"BLACK")</f>
        <v>BLACK</v>
      </c>
      <c r="G2546" s="20" t="str">
        <f>IFERROR(__xludf.DUMMYFUNCTION("""COMPUTED_VALUE"""),"Uncle Sams Cider (5/13/2022)")</f>
        <v>Uncle Sams Cider (5/13/2022)</v>
      </c>
      <c r="H2546" s="19"/>
    </row>
    <row r="2547">
      <c r="A2547" s="9"/>
      <c r="B2547" s="15"/>
      <c r="C2547" s="9">
        <f>IFERROR(__xludf.DUMMYFUNCTION("""COMPUTED_VALUE"""),44770.0807741898)</f>
        <v>44770.08077</v>
      </c>
      <c r="D2547" s="15">
        <f>IFERROR(__xludf.DUMMYFUNCTION("""COMPUTED_VALUE"""),1.004)</f>
        <v>1.004</v>
      </c>
      <c r="E2547" s="16">
        <f>IFERROR(__xludf.DUMMYFUNCTION("""COMPUTED_VALUE"""),68.0)</f>
        <v>68</v>
      </c>
      <c r="F2547" s="19" t="str">
        <f>IFERROR(__xludf.DUMMYFUNCTION("""COMPUTED_VALUE"""),"BLACK")</f>
        <v>BLACK</v>
      </c>
      <c r="G2547" s="20" t="str">
        <f>IFERROR(__xludf.DUMMYFUNCTION("""COMPUTED_VALUE"""),"Uncle Sams Cider (5/13/2022)")</f>
        <v>Uncle Sams Cider (5/13/2022)</v>
      </c>
      <c r="H2547" s="19"/>
    </row>
    <row r="2548">
      <c r="A2548" s="9"/>
      <c r="B2548" s="15"/>
      <c r="C2548" s="9">
        <f>IFERROR(__xludf.DUMMYFUNCTION("""COMPUTED_VALUE"""),44770.0703529861)</f>
        <v>44770.07035</v>
      </c>
      <c r="D2548" s="15">
        <f>IFERROR(__xludf.DUMMYFUNCTION("""COMPUTED_VALUE"""),1.004)</f>
        <v>1.004</v>
      </c>
      <c r="E2548" s="16">
        <f>IFERROR(__xludf.DUMMYFUNCTION("""COMPUTED_VALUE"""),68.0)</f>
        <v>68</v>
      </c>
      <c r="F2548" s="19" t="str">
        <f>IFERROR(__xludf.DUMMYFUNCTION("""COMPUTED_VALUE"""),"BLACK")</f>
        <v>BLACK</v>
      </c>
      <c r="G2548" s="20" t="str">
        <f>IFERROR(__xludf.DUMMYFUNCTION("""COMPUTED_VALUE"""),"Uncle Sams Cider (5/13/2022)")</f>
        <v>Uncle Sams Cider (5/13/2022)</v>
      </c>
      <c r="H2548" s="19"/>
    </row>
    <row r="2549">
      <c r="A2549" s="9"/>
      <c r="B2549" s="15"/>
      <c r="C2549" s="9">
        <f>IFERROR(__xludf.DUMMYFUNCTION("""COMPUTED_VALUE"""),44770.0599310301)</f>
        <v>44770.05993</v>
      </c>
      <c r="D2549" s="15">
        <f>IFERROR(__xludf.DUMMYFUNCTION("""COMPUTED_VALUE"""),1.004)</f>
        <v>1.004</v>
      </c>
      <c r="E2549" s="16">
        <f>IFERROR(__xludf.DUMMYFUNCTION("""COMPUTED_VALUE"""),68.0)</f>
        <v>68</v>
      </c>
      <c r="F2549" s="19" t="str">
        <f>IFERROR(__xludf.DUMMYFUNCTION("""COMPUTED_VALUE"""),"BLACK")</f>
        <v>BLACK</v>
      </c>
      <c r="G2549" s="20" t="str">
        <f>IFERROR(__xludf.DUMMYFUNCTION("""COMPUTED_VALUE"""),"Uncle Sams Cider (5/13/2022)")</f>
        <v>Uncle Sams Cider (5/13/2022)</v>
      </c>
      <c r="H2549" s="19"/>
    </row>
    <row r="2550">
      <c r="A2550" s="9"/>
      <c r="B2550" s="15"/>
      <c r="C2550" s="9">
        <f>IFERROR(__xludf.DUMMYFUNCTION("""COMPUTED_VALUE"""),44770.0495100578)</f>
        <v>44770.04951</v>
      </c>
      <c r="D2550" s="15">
        <f>IFERROR(__xludf.DUMMYFUNCTION("""COMPUTED_VALUE"""),1.004)</f>
        <v>1.004</v>
      </c>
      <c r="E2550" s="16">
        <f>IFERROR(__xludf.DUMMYFUNCTION("""COMPUTED_VALUE"""),68.0)</f>
        <v>68</v>
      </c>
      <c r="F2550" s="19" t="str">
        <f>IFERROR(__xludf.DUMMYFUNCTION("""COMPUTED_VALUE"""),"BLACK")</f>
        <v>BLACK</v>
      </c>
      <c r="G2550" s="20" t="str">
        <f>IFERROR(__xludf.DUMMYFUNCTION("""COMPUTED_VALUE"""),"Uncle Sams Cider (5/13/2022)")</f>
        <v>Uncle Sams Cider (5/13/2022)</v>
      </c>
      <c r="H2550" s="19"/>
    </row>
    <row r="2551">
      <c r="A2551" s="9"/>
      <c r="B2551" s="15"/>
      <c r="C2551" s="9">
        <f>IFERROR(__xludf.DUMMYFUNCTION("""COMPUTED_VALUE"""),44770.0390897801)</f>
        <v>44770.03909</v>
      </c>
      <c r="D2551" s="15">
        <f>IFERROR(__xludf.DUMMYFUNCTION("""COMPUTED_VALUE"""),1.004)</f>
        <v>1.004</v>
      </c>
      <c r="E2551" s="16">
        <f>IFERROR(__xludf.DUMMYFUNCTION("""COMPUTED_VALUE"""),68.0)</f>
        <v>68</v>
      </c>
      <c r="F2551" s="19" t="str">
        <f>IFERROR(__xludf.DUMMYFUNCTION("""COMPUTED_VALUE"""),"BLACK")</f>
        <v>BLACK</v>
      </c>
      <c r="G2551" s="20" t="str">
        <f>IFERROR(__xludf.DUMMYFUNCTION("""COMPUTED_VALUE"""),"Uncle Sams Cider (5/13/2022)")</f>
        <v>Uncle Sams Cider (5/13/2022)</v>
      </c>
      <c r="H2551" s="19"/>
    </row>
    <row r="2552">
      <c r="A2552" s="9"/>
      <c r="B2552" s="15"/>
      <c r="C2552" s="9">
        <f>IFERROR(__xludf.DUMMYFUNCTION("""COMPUTED_VALUE"""),44770.0286576967)</f>
        <v>44770.02866</v>
      </c>
      <c r="D2552" s="15">
        <f>IFERROR(__xludf.DUMMYFUNCTION("""COMPUTED_VALUE"""),1.004)</f>
        <v>1.004</v>
      </c>
      <c r="E2552" s="16">
        <f>IFERROR(__xludf.DUMMYFUNCTION("""COMPUTED_VALUE"""),68.0)</f>
        <v>68</v>
      </c>
      <c r="F2552" s="19" t="str">
        <f>IFERROR(__xludf.DUMMYFUNCTION("""COMPUTED_VALUE"""),"BLACK")</f>
        <v>BLACK</v>
      </c>
      <c r="G2552" s="20" t="str">
        <f>IFERROR(__xludf.DUMMYFUNCTION("""COMPUTED_VALUE"""),"Uncle Sams Cider (5/13/2022)")</f>
        <v>Uncle Sams Cider (5/13/2022)</v>
      </c>
      <c r="H2552" s="19"/>
    </row>
    <row r="2553">
      <c r="A2553" s="9"/>
      <c r="B2553" s="15"/>
      <c r="C2553" s="9">
        <f>IFERROR(__xludf.DUMMYFUNCTION("""COMPUTED_VALUE"""),44770.0182249421)</f>
        <v>44770.01822</v>
      </c>
      <c r="D2553" s="15">
        <f>IFERROR(__xludf.DUMMYFUNCTION("""COMPUTED_VALUE"""),1.004)</f>
        <v>1.004</v>
      </c>
      <c r="E2553" s="16">
        <f>IFERROR(__xludf.DUMMYFUNCTION("""COMPUTED_VALUE"""),68.0)</f>
        <v>68</v>
      </c>
      <c r="F2553" s="19" t="str">
        <f>IFERROR(__xludf.DUMMYFUNCTION("""COMPUTED_VALUE"""),"BLACK")</f>
        <v>BLACK</v>
      </c>
      <c r="G2553" s="20" t="str">
        <f>IFERROR(__xludf.DUMMYFUNCTION("""COMPUTED_VALUE"""),"Uncle Sams Cider (5/13/2022)")</f>
        <v>Uncle Sams Cider (5/13/2022)</v>
      </c>
      <c r="H2553" s="19"/>
    </row>
    <row r="2554">
      <c r="A2554" s="9"/>
      <c r="B2554" s="15"/>
      <c r="C2554" s="9">
        <f>IFERROR(__xludf.DUMMYFUNCTION("""COMPUTED_VALUE"""),44770.0078065509)</f>
        <v>44770.00781</v>
      </c>
      <c r="D2554" s="15">
        <f>IFERROR(__xludf.DUMMYFUNCTION("""COMPUTED_VALUE"""),1.004)</f>
        <v>1.004</v>
      </c>
      <c r="E2554" s="16">
        <f>IFERROR(__xludf.DUMMYFUNCTION("""COMPUTED_VALUE"""),68.0)</f>
        <v>68</v>
      </c>
      <c r="F2554" s="19" t="str">
        <f>IFERROR(__xludf.DUMMYFUNCTION("""COMPUTED_VALUE"""),"BLACK")</f>
        <v>BLACK</v>
      </c>
      <c r="G2554" s="20" t="str">
        <f>IFERROR(__xludf.DUMMYFUNCTION("""COMPUTED_VALUE"""),"Uncle Sams Cider (5/13/2022)")</f>
        <v>Uncle Sams Cider (5/13/2022)</v>
      </c>
      <c r="H2554" s="19"/>
    </row>
    <row r="2555">
      <c r="A2555" s="9"/>
      <c r="B2555" s="15"/>
      <c r="C2555" s="9">
        <f>IFERROR(__xludf.DUMMYFUNCTION("""COMPUTED_VALUE"""),44769.9973851388)</f>
        <v>44769.99739</v>
      </c>
      <c r="D2555" s="15">
        <f>IFERROR(__xludf.DUMMYFUNCTION("""COMPUTED_VALUE"""),1.004)</f>
        <v>1.004</v>
      </c>
      <c r="E2555" s="16">
        <f>IFERROR(__xludf.DUMMYFUNCTION("""COMPUTED_VALUE"""),68.0)</f>
        <v>68</v>
      </c>
      <c r="F2555" s="19" t="str">
        <f>IFERROR(__xludf.DUMMYFUNCTION("""COMPUTED_VALUE"""),"BLACK")</f>
        <v>BLACK</v>
      </c>
      <c r="G2555" s="20" t="str">
        <f>IFERROR(__xludf.DUMMYFUNCTION("""COMPUTED_VALUE"""),"Uncle Sams Cider (5/13/2022)")</f>
        <v>Uncle Sams Cider (5/13/2022)</v>
      </c>
      <c r="H2555" s="19"/>
    </row>
    <row r="2556">
      <c r="A2556" s="9"/>
      <c r="B2556" s="15"/>
      <c r="C2556" s="9">
        <f>IFERROR(__xludf.DUMMYFUNCTION("""COMPUTED_VALUE"""),44769.9869632754)</f>
        <v>44769.98696</v>
      </c>
      <c r="D2556" s="15">
        <f>IFERROR(__xludf.DUMMYFUNCTION("""COMPUTED_VALUE"""),1.004)</f>
        <v>1.004</v>
      </c>
      <c r="E2556" s="16">
        <f>IFERROR(__xludf.DUMMYFUNCTION("""COMPUTED_VALUE"""),68.0)</f>
        <v>68</v>
      </c>
      <c r="F2556" s="19" t="str">
        <f>IFERROR(__xludf.DUMMYFUNCTION("""COMPUTED_VALUE"""),"BLACK")</f>
        <v>BLACK</v>
      </c>
      <c r="G2556" s="20" t="str">
        <f>IFERROR(__xludf.DUMMYFUNCTION("""COMPUTED_VALUE"""),"Uncle Sams Cider (5/13/2022)")</f>
        <v>Uncle Sams Cider (5/13/2022)</v>
      </c>
      <c r="H2556" s="19"/>
    </row>
    <row r="2557">
      <c r="A2557" s="9"/>
      <c r="B2557" s="15"/>
      <c r="C2557" s="9">
        <f>IFERROR(__xludf.DUMMYFUNCTION("""COMPUTED_VALUE"""),44769.9765431712)</f>
        <v>44769.97654</v>
      </c>
      <c r="D2557" s="15">
        <f>IFERROR(__xludf.DUMMYFUNCTION("""COMPUTED_VALUE"""),1.004)</f>
        <v>1.004</v>
      </c>
      <c r="E2557" s="16">
        <f>IFERROR(__xludf.DUMMYFUNCTION("""COMPUTED_VALUE"""),68.0)</f>
        <v>68</v>
      </c>
      <c r="F2557" s="19" t="str">
        <f>IFERROR(__xludf.DUMMYFUNCTION("""COMPUTED_VALUE"""),"BLACK")</f>
        <v>BLACK</v>
      </c>
      <c r="G2557" s="20" t="str">
        <f>IFERROR(__xludf.DUMMYFUNCTION("""COMPUTED_VALUE"""),"Uncle Sams Cider (5/13/2022)")</f>
        <v>Uncle Sams Cider (5/13/2022)</v>
      </c>
      <c r="H2557" s="19"/>
    </row>
    <row r="2558">
      <c r="A2558" s="9"/>
      <c r="B2558" s="15"/>
      <c r="C2558" s="9">
        <f>IFERROR(__xludf.DUMMYFUNCTION("""COMPUTED_VALUE"""),44769.9661104051)</f>
        <v>44769.96611</v>
      </c>
      <c r="D2558" s="15">
        <f>IFERROR(__xludf.DUMMYFUNCTION("""COMPUTED_VALUE"""),1.004)</f>
        <v>1.004</v>
      </c>
      <c r="E2558" s="16">
        <f>IFERROR(__xludf.DUMMYFUNCTION("""COMPUTED_VALUE"""),68.0)</f>
        <v>68</v>
      </c>
      <c r="F2558" s="19" t="str">
        <f>IFERROR(__xludf.DUMMYFUNCTION("""COMPUTED_VALUE"""),"BLACK")</f>
        <v>BLACK</v>
      </c>
      <c r="G2558" s="20" t="str">
        <f>IFERROR(__xludf.DUMMYFUNCTION("""COMPUTED_VALUE"""),"Uncle Sams Cider (5/13/2022)")</f>
        <v>Uncle Sams Cider (5/13/2022)</v>
      </c>
      <c r="H2558" s="19"/>
    </row>
    <row r="2559">
      <c r="A2559" s="9"/>
      <c r="B2559" s="15"/>
      <c r="C2559" s="9">
        <f>IFERROR(__xludf.DUMMYFUNCTION("""COMPUTED_VALUE"""),44769.9556894444)</f>
        <v>44769.95569</v>
      </c>
      <c r="D2559" s="15">
        <f>IFERROR(__xludf.DUMMYFUNCTION("""COMPUTED_VALUE"""),1.004)</f>
        <v>1.004</v>
      </c>
      <c r="E2559" s="16">
        <f>IFERROR(__xludf.DUMMYFUNCTION("""COMPUTED_VALUE"""),68.0)</f>
        <v>68</v>
      </c>
      <c r="F2559" s="19" t="str">
        <f>IFERROR(__xludf.DUMMYFUNCTION("""COMPUTED_VALUE"""),"BLACK")</f>
        <v>BLACK</v>
      </c>
      <c r="G2559" s="20" t="str">
        <f>IFERROR(__xludf.DUMMYFUNCTION("""COMPUTED_VALUE"""),"Uncle Sams Cider (5/13/2022)")</f>
        <v>Uncle Sams Cider (5/13/2022)</v>
      </c>
      <c r="H2559" s="19"/>
    </row>
    <row r="2560">
      <c r="A2560" s="9"/>
      <c r="B2560" s="15"/>
      <c r="C2560" s="9">
        <f>IFERROR(__xludf.DUMMYFUNCTION("""COMPUTED_VALUE"""),44769.9452676389)</f>
        <v>44769.94527</v>
      </c>
      <c r="D2560" s="15">
        <f>IFERROR(__xludf.DUMMYFUNCTION("""COMPUTED_VALUE"""),1.004)</f>
        <v>1.004</v>
      </c>
      <c r="E2560" s="16">
        <f>IFERROR(__xludf.DUMMYFUNCTION("""COMPUTED_VALUE"""),68.0)</f>
        <v>68</v>
      </c>
      <c r="F2560" s="19" t="str">
        <f>IFERROR(__xludf.DUMMYFUNCTION("""COMPUTED_VALUE"""),"BLACK")</f>
        <v>BLACK</v>
      </c>
      <c r="G2560" s="20" t="str">
        <f>IFERROR(__xludf.DUMMYFUNCTION("""COMPUTED_VALUE"""),"Uncle Sams Cider (5/13/2022)")</f>
        <v>Uncle Sams Cider (5/13/2022)</v>
      </c>
      <c r="H2560" s="19"/>
    </row>
    <row r="2561">
      <c r="A2561" s="9"/>
      <c r="B2561" s="15"/>
      <c r="C2561" s="9">
        <f>IFERROR(__xludf.DUMMYFUNCTION("""COMPUTED_VALUE"""),44769.9348451851)</f>
        <v>44769.93485</v>
      </c>
      <c r="D2561" s="15">
        <f>IFERROR(__xludf.DUMMYFUNCTION("""COMPUTED_VALUE"""),1.004)</f>
        <v>1.004</v>
      </c>
      <c r="E2561" s="16">
        <f>IFERROR(__xludf.DUMMYFUNCTION("""COMPUTED_VALUE"""),68.0)</f>
        <v>68</v>
      </c>
      <c r="F2561" s="19" t="str">
        <f>IFERROR(__xludf.DUMMYFUNCTION("""COMPUTED_VALUE"""),"BLACK")</f>
        <v>BLACK</v>
      </c>
      <c r="G2561" s="20" t="str">
        <f>IFERROR(__xludf.DUMMYFUNCTION("""COMPUTED_VALUE"""),"Uncle Sams Cider (5/13/2022)")</f>
        <v>Uncle Sams Cider (5/13/2022)</v>
      </c>
      <c r="H2561" s="19"/>
    </row>
    <row r="2562">
      <c r="A2562" s="9"/>
      <c r="B2562" s="15"/>
      <c r="C2562" s="9">
        <f>IFERROR(__xludf.DUMMYFUNCTION("""COMPUTED_VALUE"""),44769.9244140856)</f>
        <v>44769.92441</v>
      </c>
      <c r="D2562" s="15">
        <f>IFERROR(__xludf.DUMMYFUNCTION("""COMPUTED_VALUE"""),1.004)</f>
        <v>1.004</v>
      </c>
      <c r="E2562" s="16">
        <f>IFERROR(__xludf.DUMMYFUNCTION("""COMPUTED_VALUE"""),68.0)</f>
        <v>68</v>
      </c>
      <c r="F2562" s="19" t="str">
        <f>IFERROR(__xludf.DUMMYFUNCTION("""COMPUTED_VALUE"""),"BLACK")</f>
        <v>BLACK</v>
      </c>
      <c r="G2562" s="20" t="str">
        <f>IFERROR(__xludf.DUMMYFUNCTION("""COMPUTED_VALUE"""),"Uncle Sams Cider (5/13/2022)")</f>
        <v>Uncle Sams Cider (5/13/2022)</v>
      </c>
      <c r="H2562" s="19"/>
    </row>
    <row r="2563">
      <c r="A2563" s="9"/>
      <c r="B2563" s="15"/>
      <c r="C2563" s="9">
        <f>IFERROR(__xludf.DUMMYFUNCTION("""COMPUTED_VALUE"""),44769.9139935648)</f>
        <v>44769.91399</v>
      </c>
      <c r="D2563" s="15">
        <f>IFERROR(__xludf.DUMMYFUNCTION("""COMPUTED_VALUE"""),1.004)</f>
        <v>1.004</v>
      </c>
      <c r="E2563" s="16">
        <f>IFERROR(__xludf.DUMMYFUNCTION("""COMPUTED_VALUE"""),68.0)</f>
        <v>68</v>
      </c>
      <c r="F2563" s="19" t="str">
        <f>IFERROR(__xludf.DUMMYFUNCTION("""COMPUTED_VALUE"""),"BLACK")</f>
        <v>BLACK</v>
      </c>
      <c r="G2563" s="20" t="str">
        <f>IFERROR(__xludf.DUMMYFUNCTION("""COMPUTED_VALUE"""),"Uncle Sams Cider (5/13/2022)")</f>
        <v>Uncle Sams Cider (5/13/2022)</v>
      </c>
      <c r="H2563" s="19"/>
    </row>
    <row r="2564">
      <c r="A2564" s="9"/>
      <c r="B2564" s="15"/>
      <c r="C2564" s="9">
        <f>IFERROR(__xludf.DUMMYFUNCTION("""COMPUTED_VALUE"""),44769.9035617939)</f>
        <v>44769.90356</v>
      </c>
      <c r="D2564" s="15">
        <f>IFERROR(__xludf.DUMMYFUNCTION("""COMPUTED_VALUE"""),1.004)</f>
        <v>1.004</v>
      </c>
      <c r="E2564" s="16">
        <f>IFERROR(__xludf.DUMMYFUNCTION("""COMPUTED_VALUE"""),68.0)</f>
        <v>68</v>
      </c>
      <c r="F2564" s="19" t="str">
        <f>IFERROR(__xludf.DUMMYFUNCTION("""COMPUTED_VALUE"""),"BLACK")</f>
        <v>BLACK</v>
      </c>
      <c r="G2564" s="20" t="str">
        <f>IFERROR(__xludf.DUMMYFUNCTION("""COMPUTED_VALUE"""),"Uncle Sams Cider (5/13/2022)")</f>
        <v>Uncle Sams Cider (5/13/2022)</v>
      </c>
      <c r="H2564" s="19"/>
    </row>
    <row r="2565">
      <c r="A2565" s="9"/>
      <c r="B2565" s="15"/>
      <c r="C2565" s="9">
        <f>IFERROR(__xludf.DUMMYFUNCTION("""COMPUTED_VALUE"""),44769.8931413657)</f>
        <v>44769.89314</v>
      </c>
      <c r="D2565" s="15">
        <f>IFERROR(__xludf.DUMMYFUNCTION("""COMPUTED_VALUE"""),1.004)</f>
        <v>1.004</v>
      </c>
      <c r="E2565" s="16">
        <f>IFERROR(__xludf.DUMMYFUNCTION("""COMPUTED_VALUE"""),68.0)</f>
        <v>68</v>
      </c>
      <c r="F2565" s="19" t="str">
        <f>IFERROR(__xludf.DUMMYFUNCTION("""COMPUTED_VALUE"""),"BLACK")</f>
        <v>BLACK</v>
      </c>
      <c r="G2565" s="20" t="str">
        <f>IFERROR(__xludf.DUMMYFUNCTION("""COMPUTED_VALUE"""),"Uncle Sams Cider (5/13/2022)")</f>
        <v>Uncle Sams Cider (5/13/2022)</v>
      </c>
      <c r="H2565" s="19"/>
    </row>
    <row r="2566">
      <c r="A2566" s="9"/>
      <c r="B2566" s="15"/>
      <c r="C2566" s="9">
        <f>IFERROR(__xludf.DUMMYFUNCTION("""COMPUTED_VALUE"""),44769.8827193981)</f>
        <v>44769.88272</v>
      </c>
      <c r="D2566" s="15">
        <f>IFERROR(__xludf.DUMMYFUNCTION("""COMPUTED_VALUE"""),1.004)</f>
        <v>1.004</v>
      </c>
      <c r="E2566" s="16">
        <f>IFERROR(__xludf.DUMMYFUNCTION("""COMPUTED_VALUE"""),68.0)</f>
        <v>68</v>
      </c>
      <c r="F2566" s="19" t="str">
        <f>IFERROR(__xludf.DUMMYFUNCTION("""COMPUTED_VALUE"""),"BLACK")</f>
        <v>BLACK</v>
      </c>
      <c r="G2566" s="20" t="str">
        <f>IFERROR(__xludf.DUMMYFUNCTION("""COMPUTED_VALUE"""),"Uncle Sams Cider (5/13/2022)")</f>
        <v>Uncle Sams Cider (5/13/2022)</v>
      </c>
      <c r="H2566" s="19"/>
    </row>
    <row r="2567">
      <c r="A2567" s="9"/>
      <c r="B2567" s="15"/>
      <c r="C2567" s="9">
        <f>IFERROR(__xludf.DUMMYFUNCTION("""COMPUTED_VALUE"""),44769.8722974074)</f>
        <v>44769.8723</v>
      </c>
      <c r="D2567" s="15">
        <f>IFERROR(__xludf.DUMMYFUNCTION("""COMPUTED_VALUE"""),1.004)</f>
        <v>1.004</v>
      </c>
      <c r="E2567" s="16">
        <f>IFERROR(__xludf.DUMMYFUNCTION("""COMPUTED_VALUE"""),68.0)</f>
        <v>68</v>
      </c>
      <c r="F2567" s="19" t="str">
        <f>IFERROR(__xludf.DUMMYFUNCTION("""COMPUTED_VALUE"""),"BLACK")</f>
        <v>BLACK</v>
      </c>
      <c r="G2567" s="20" t="str">
        <f>IFERROR(__xludf.DUMMYFUNCTION("""COMPUTED_VALUE"""),"Uncle Sams Cider (5/13/2022)")</f>
        <v>Uncle Sams Cider (5/13/2022)</v>
      </c>
      <c r="H2567" s="19"/>
    </row>
    <row r="2568">
      <c r="A2568" s="9"/>
      <c r="B2568" s="15"/>
      <c r="C2568" s="9">
        <f>IFERROR(__xludf.DUMMYFUNCTION("""COMPUTED_VALUE"""),44769.8618768055)</f>
        <v>44769.86188</v>
      </c>
      <c r="D2568" s="15">
        <f>IFERROR(__xludf.DUMMYFUNCTION("""COMPUTED_VALUE"""),1.004)</f>
        <v>1.004</v>
      </c>
      <c r="E2568" s="16">
        <f>IFERROR(__xludf.DUMMYFUNCTION("""COMPUTED_VALUE"""),68.0)</f>
        <v>68</v>
      </c>
      <c r="F2568" s="19" t="str">
        <f>IFERROR(__xludf.DUMMYFUNCTION("""COMPUTED_VALUE"""),"BLACK")</f>
        <v>BLACK</v>
      </c>
      <c r="G2568" s="20" t="str">
        <f>IFERROR(__xludf.DUMMYFUNCTION("""COMPUTED_VALUE"""),"Uncle Sams Cider (5/13/2022)")</f>
        <v>Uncle Sams Cider (5/13/2022)</v>
      </c>
      <c r="H2568" s="19"/>
    </row>
    <row r="2569">
      <c r="A2569" s="9"/>
      <c r="B2569" s="15"/>
      <c r="C2569" s="9">
        <f>IFERROR(__xludf.DUMMYFUNCTION("""COMPUTED_VALUE"""),44769.8514555671)</f>
        <v>44769.85146</v>
      </c>
      <c r="D2569" s="15">
        <f>IFERROR(__xludf.DUMMYFUNCTION("""COMPUTED_VALUE"""),1.004)</f>
        <v>1.004</v>
      </c>
      <c r="E2569" s="16">
        <f>IFERROR(__xludf.DUMMYFUNCTION("""COMPUTED_VALUE"""),68.0)</f>
        <v>68</v>
      </c>
      <c r="F2569" s="19" t="str">
        <f>IFERROR(__xludf.DUMMYFUNCTION("""COMPUTED_VALUE"""),"BLACK")</f>
        <v>BLACK</v>
      </c>
      <c r="G2569" s="20" t="str">
        <f>IFERROR(__xludf.DUMMYFUNCTION("""COMPUTED_VALUE"""),"Uncle Sams Cider (5/13/2022)")</f>
        <v>Uncle Sams Cider (5/13/2022)</v>
      </c>
      <c r="H2569" s="19"/>
    </row>
    <row r="2570">
      <c r="A2570" s="9"/>
      <c r="B2570" s="15"/>
      <c r="C2570" s="9">
        <f>IFERROR(__xludf.DUMMYFUNCTION("""COMPUTED_VALUE"""),44769.8410360995)</f>
        <v>44769.84104</v>
      </c>
      <c r="D2570" s="15">
        <f>IFERROR(__xludf.DUMMYFUNCTION("""COMPUTED_VALUE"""),1.004)</f>
        <v>1.004</v>
      </c>
      <c r="E2570" s="16">
        <f>IFERROR(__xludf.DUMMYFUNCTION("""COMPUTED_VALUE"""),68.0)</f>
        <v>68</v>
      </c>
      <c r="F2570" s="19" t="str">
        <f>IFERROR(__xludf.DUMMYFUNCTION("""COMPUTED_VALUE"""),"BLACK")</f>
        <v>BLACK</v>
      </c>
      <c r="G2570" s="20" t="str">
        <f>IFERROR(__xludf.DUMMYFUNCTION("""COMPUTED_VALUE"""),"Uncle Sams Cider (5/13/2022)")</f>
        <v>Uncle Sams Cider (5/13/2022)</v>
      </c>
      <c r="H2570" s="19"/>
    </row>
    <row r="2571">
      <c r="A2571" s="9"/>
      <c r="B2571" s="15"/>
      <c r="C2571" s="9">
        <f>IFERROR(__xludf.DUMMYFUNCTION("""COMPUTED_VALUE"""),44769.8306041203)</f>
        <v>44769.8306</v>
      </c>
      <c r="D2571" s="15">
        <f>IFERROR(__xludf.DUMMYFUNCTION("""COMPUTED_VALUE"""),1.004)</f>
        <v>1.004</v>
      </c>
      <c r="E2571" s="16">
        <f>IFERROR(__xludf.DUMMYFUNCTION("""COMPUTED_VALUE"""),68.0)</f>
        <v>68</v>
      </c>
      <c r="F2571" s="19" t="str">
        <f>IFERROR(__xludf.DUMMYFUNCTION("""COMPUTED_VALUE"""),"BLACK")</f>
        <v>BLACK</v>
      </c>
      <c r="G2571" s="20" t="str">
        <f>IFERROR(__xludf.DUMMYFUNCTION("""COMPUTED_VALUE"""),"Uncle Sams Cider (5/13/2022)")</f>
        <v>Uncle Sams Cider (5/13/2022)</v>
      </c>
      <c r="H2571" s="19"/>
    </row>
    <row r="2572">
      <c r="A2572" s="9"/>
      <c r="B2572" s="15"/>
      <c r="C2572" s="9">
        <f>IFERROR(__xludf.DUMMYFUNCTION("""COMPUTED_VALUE"""),44769.8201838194)</f>
        <v>44769.82018</v>
      </c>
      <c r="D2572" s="15">
        <f>IFERROR(__xludf.DUMMYFUNCTION("""COMPUTED_VALUE"""),1.004)</f>
        <v>1.004</v>
      </c>
      <c r="E2572" s="16">
        <f>IFERROR(__xludf.DUMMYFUNCTION("""COMPUTED_VALUE"""),68.0)</f>
        <v>68</v>
      </c>
      <c r="F2572" s="19" t="str">
        <f>IFERROR(__xludf.DUMMYFUNCTION("""COMPUTED_VALUE"""),"BLACK")</f>
        <v>BLACK</v>
      </c>
      <c r="G2572" s="20" t="str">
        <f>IFERROR(__xludf.DUMMYFUNCTION("""COMPUTED_VALUE"""),"Uncle Sams Cider (5/13/2022)")</f>
        <v>Uncle Sams Cider (5/13/2022)</v>
      </c>
      <c r="H2572" s="19"/>
    </row>
    <row r="2573">
      <c r="A2573" s="9"/>
      <c r="B2573" s="15"/>
      <c r="C2573" s="9">
        <f>IFERROR(__xludf.DUMMYFUNCTION("""COMPUTED_VALUE"""),44769.8097380439)</f>
        <v>44769.80974</v>
      </c>
      <c r="D2573" s="15">
        <f>IFERROR(__xludf.DUMMYFUNCTION("""COMPUTED_VALUE"""),1.004)</f>
        <v>1.004</v>
      </c>
      <c r="E2573" s="16">
        <f>IFERROR(__xludf.DUMMYFUNCTION("""COMPUTED_VALUE"""),68.0)</f>
        <v>68</v>
      </c>
      <c r="F2573" s="19" t="str">
        <f>IFERROR(__xludf.DUMMYFUNCTION("""COMPUTED_VALUE"""),"BLACK")</f>
        <v>BLACK</v>
      </c>
      <c r="G2573" s="20" t="str">
        <f>IFERROR(__xludf.DUMMYFUNCTION("""COMPUTED_VALUE"""),"Uncle Sams Cider (5/13/2022)")</f>
        <v>Uncle Sams Cider (5/13/2022)</v>
      </c>
      <c r="H2573" s="19"/>
    </row>
    <row r="2574">
      <c r="A2574" s="9"/>
      <c r="B2574" s="15"/>
      <c r="C2574" s="9">
        <f>IFERROR(__xludf.DUMMYFUNCTION("""COMPUTED_VALUE"""),44769.799318368)</f>
        <v>44769.79932</v>
      </c>
      <c r="D2574" s="15">
        <f>IFERROR(__xludf.DUMMYFUNCTION("""COMPUTED_VALUE"""),1.004)</f>
        <v>1.004</v>
      </c>
      <c r="E2574" s="16">
        <f>IFERROR(__xludf.DUMMYFUNCTION("""COMPUTED_VALUE"""),68.0)</f>
        <v>68</v>
      </c>
      <c r="F2574" s="19" t="str">
        <f>IFERROR(__xludf.DUMMYFUNCTION("""COMPUTED_VALUE"""),"BLACK")</f>
        <v>BLACK</v>
      </c>
      <c r="G2574" s="20" t="str">
        <f>IFERROR(__xludf.DUMMYFUNCTION("""COMPUTED_VALUE"""),"Uncle Sams Cider (5/13/2022)")</f>
        <v>Uncle Sams Cider (5/13/2022)</v>
      </c>
      <c r="H2574" s="19"/>
    </row>
    <row r="2575">
      <c r="A2575" s="9"/>
      <c r="B2575" s="15"/>
      <c r="C2575" s="9">
        <f>IFERROR(__xludf.DUMMYFUNCTION("""COMPUTED_VALUE"""),44769.7888874884)</f>
        <v>44769.78889</v>
      </c>
      <c r="D2575" s="15">
        <f>IFERROR(__xludf.DUMMYFUNCTION("""COMPUTED_VALUE"""),1.004)</f>
        <v>1.004</v>
      </c>
      <c r="E2575" s="16">
        <f>IFERROR(__xludf.DUMMYFUNCTION("""COMPUTED_VALUE"""),68.0)</f>
        <v>68</v>
      </c>
      <c r="F2575" s="19" t="str">
        <f>IFERROR(__xludf.DUMMYFUNCTION("""COMPUTED_VALUE"""),"BLACK")</f>
        <v>BLACK</v>
      </c>
      <c r="G2575" s="20" t="str">
        <f>IFERROR(__xludf.DUMMYFUNCTION("""COMPUTED_VALUE"""),"Uncle Sams Cider (5/13/2022)")</f>
        <v>Uncle Sams Cider (5/13/2022)</v>
      </c>
      <c r="H2575" s="19"/>
    </row>
    <row r="2576">
      <c r="A2576" s="9"/>
      <c r="B2576" s="15"/>
      <c r="C2576" s="9">
        <f>IFERROR(__xludf.DUMMYFUNCTION("""COMPUTED_VALUE"""),44769.7784647569)</f>
        <v>44769.77846</v>
      </c>
      <c r="D2576" s="15">
        <f>IFERROR(__xludf.DUMMYFUNCTION("""COMPUTED_VALUE"""),1.004)</f>
        <v>1.004</v>
      </c>
      <c r="E2576" s="16">
        <f>IFERROR(__xludf.DUMMYFUNCTION("""COMPUTED_VALUE"""),68.0)</f>
        <v>68</v>
      </c>
      <c r="F2576" s="19" t="str">
        <f>IFERROR(__xludf.DUMMYFUNCTION("""COMPUTED_VALUE"""),"BLACK")</f>
        <v>BLACK</v>
      </c>
      <c r="G2576" s="20" t="str">
        <f>IFERROR(__xludf.DUMMYFUNCTION("""COMPUTED_VALUE"""),"Uncle Sams Cider (5/13/2022)")</f>
        <v>Uncle Sams Cider (5/13/2022)</v>
      </c>
      <c r="H2576" s="19"/>
    </row>
    <row r="2577">
      <c r="A2577" s="9"/>
      <c r="B2577" s="15"/>
      <c r="C2577" s="9">
        <f>IFERROR(__xludf.DUMMYFUNCTION("""COMPUTED_VALUE"""),44769.7680454861)</f>
        <v>44769.76805</v>
      </c>
      <c r="D2577" s="15">
        <f>IFERROR(__xludf.DUMMYFUNCTION("""COMPUTED_VALUE"""),1.004)</f>
        <v>1.004</v>
      </c>
      <c r="E2577" s="16">
        <f>IFERROR(__xludf.DUMMYFUNCTION("""COMPUTED_VALUE"""),68.0)</f>
        <v>68</v>
      </c>
      <c r="F2577" s="19" t="str">
        <f>IFERROR(__xludf.DUMMYFUNCTION("""COMPUTED_VALUE"""),"BLACK")</f>
        <v>BLACK</v>
      </c>
      <c r="G2577" s="20" t="str">
        <f>IFERROR(__xludf.DUMMYFUNCTION("""COMPUTED_VALUE"""),"Uncle Sams Cider (5/13/2022)")</f>
        <v>Uncle Sams Cider (5/13/2022)</v>
      </c>
      <c r="H2577" s="19"/>
    </row>
    <row r="2578">
      <c r="A2578" s="9"/>
      <c r="B2578" s="15"/>
      <c r="C2578" s="9">
        <f>IFERROR(__xludf.DUMMYFUNCTION("""COMPUTED_VALUE"""),44769.7576224421)</f>
        <v>44769.75762</v>
      </c>
      <c r="D2578" s="15">
        <f>IFERROR(__xludf.DUMMYFUNCTION("""COMPUTED_VALUE"""),1.004)</f>
        <v>1.004</v>
      </c>
      <c r="E2578" s="16">
        <f>IFERROR(__xludf.DUMMYFUNCTION("""COMPUTED_VALUE"""),68.0)</f>
        <v>68</v>
      </c>
      <c r="F2578" s="19" t="str">
        <f>IFERROR(__xludf.DUMMYFUNCTION("""COMPUTED_VALUE"""),"BLACK")</f>
        <v>BLACK</v>
      </c>
      <c r="G2578" s="20" t="str">
        <f>IFERROR(__xludf.DUMMYFUNCTION("""COMPUTED_VALUE"""),"Uncle Sams Cider (5/13/2022)")</f>
        <v>Uncle Sams Cider (5/13/2022)</v>
      </c>
      <c r="H2578" s="19"/>
    </row>
    <row r="2579">
      <c r="A2579" s="9"/>
      <c r="B2579" s="15"/>
      <c r="C2579" s="9">
        <f>IFERROR(__xludf.DUMMYFUNCTION("""COMPUTED_VALUE"""),44769.7471986458)</f>
        <v>44769.7472</v>
      </c>
      <c r="D2579" s="15">
        <f>IFERROR(__xludf.DUMMYFUNCTION("""COMPUTED_VALUE"""),1.004)</f>
        <v>1.004</v>
      </c>
      <c r="E2579" s="16">
        <f>IFERROR(__xludf.DUMMYFUNCTION("""COMPUTED_VALUE"""),68.0)</f>
        <v>68</v>
      </c>
      <c r="F2579" s="19" t="str">
        <f>IFERROR(__xludf.DUMMYFUNCTION("""COMPUTED_VALUE"""),"BLACK")</f>
        <v>BLACK</v>
      </c>
      <c r="G2579" s="20" t="str">
        <f>IFERROR(__xludf.DUMMYFUNCTION("""COMPUTED_VALUE"""),"Uncle Sams Cider (5/13/2022)")</f>
        <v>Uncle Sams Cider (5/13/2022)</v>
      </c>
      <c r="H2579" s="19"/>
    </row>
    <row r="2580">
      <c r="A2580" s="9"/>
      <c r="B2580" s="15"/>
      <c r="C2580" s="9">
        <f>IFERROR(__xludf.DUMMYFUNCTION("""COMPUTED_VALUE"""),44769.7367772338)</f>
        <v>44769.73678</v>
      </c>
      <c r="D2580" s="15">
        <f>IFERROR(__xludf.DUMMYFUNCTION("""COMPUTED_VALUE"""),1.004)</f>
        <v>1.004</v>
      </c>
      <c r="E2580" s="16">
        <f>IFERROR(__xludf.DUMMYFUNCTION("""COMPUTED_VALUE"""),68.0)</f>
        <v>68</v>
      </c>
      <c r="F2580" s="19" t="str">
        <f>IFERROR(__xludf.DUMMYFUNCTION("""COMPUTED_VALUE"""),"BLACK")</f>
        <v>BLACK</v>
      </c>
      <c r="G2580" s="20" t="str">
        <f>IFERROR(__xludf.DUMMYFUNCTION("""COMPUTED_VALUE"""),"Uncle Sams Cider (5/13/2022)")</f>
        <v>Uncle Sams Cider (5/13/2022)</v>
      </c>
      <c r="H2580" s="19"/>
    </row>
    <row r="2581">
      <c r="A2581" s="9"/>
      <c r="B2581" s="15"/>
      <c r="C2581" s="9">
        <f>IFERROR(__xludf.DUMMYFUNCTION("""COMPUTED_VALUE"""),44769.7263563541)</f>
        <v>44769.72636</v>
      </c>
      <c r="D2581" s="15">
        <f>IFERROR(__xludf.DUMMYFUNCTION("""COMPUTED_VALUE"""),1.004)</f>
        <v>1.004</v>
      </c>
      <c r="E2581" s="16">
        <f>IFERROR(__xludf.DUMMYFUNCTION("""COMPUTED_VALUE"""),68.0)</f>
        <v>68</v>
      </c>
      <c r="F2581" s="19" t="str">
        <f>IFERROR(__xludf.DUMMYFUNCTION("""COMPUTED_VALUE"""),"BLACK")</f>
        <v>BLACK</v>
      </c>
      <c r="G2581" s="20" t="str">
        <f>IFERROR(__xludf.DUMMYFUNCTION("""COMPUTED_VALUE"""),"Uncle Sams Cider (5/13/2022)")</f>
        <v>Uncle Sams Cider (5/13/2022)</v>
      </c>
      <c r="H2581" s="19"/>
    </row>
    <row r="2582">
      <c r="A2582" s="9"/>
      <c r="B2582" s="15"/>
      <c r="C2582" s="9">
        <f>IFERROR(__xludf.DUMMYFUNCTION("""COMPUTED_VALUE"""),44769.7159343518)</f>
        <v>44769.71593</v>
      </c>
      <c r="D2582" s="15">
        <f>IFERROR(__xludf.DUMMYFUNCTION("""COMPUTED_VALUE"""),1.004)</f>
        <v>1.004</v>
      </c>
      <c r="E2582" s="16">
        <f>IFERROR(__xludf.DUMMYFUNCTION("""COMPUTED_VALUE"""),68.0)</f>
        <v>68</v>
      </c>
      <c r="F2582" s="19" t="str">
        <f>IFERROR(__xludf.DUMMYFUNCTION("""COMPUTED_VALUE"""),"BLACK")</f>
        <v>BLACK</v>
      </c>
      <c r="G2582" s="20" t="str">
        <f>IFERROR(__xludf.DUMMYFUNCTION("""COMPUTED_VALUE"""),"Uncle Sams Cider (5/13/2022)")</f>
        <v>Uncle Sams Cider (5/13/2022)</v>
      </c>
      <c r="H2582" s="19"/>
    </row>
    <row r="2583">
      <c r="A2583" s="9"/>
      <c r="B2583" s="15"/>
      <c r="C2583" s="9">
        <f>IFERROR(__xludf.DUMMYFUNCTION("""COMPUTED_VALUE"""),44769.7055142129)</f>
        <v>44769.70551</v>
      </c>
      <c r="D2583" s="15">
        <f>IFERROR(__xludf.DUMMYFUNCTION("""COMPUTED_VALUE"""),1.004)</f>
        <v>1.004</v>
      </c>
      <c r="E2583" s="16">
        <f>IFERROR(__xludf.DUMMYFUNCTION("""COMPUTED_VALUE"""),67.0)</f>
        <v>67</v>
      </c>
      <c r="F2583" s="19" t="str">
        <f>IFERROR(__xludf.DUMMYFUNCTION("""COMPUTED_VALUE"""),"BLACK")</f>
        <v>BLACK</v>
      </c>
      <c r="G2583" s="20" t="str">
        <f>IFERROR(__xludf.DUMMYFUNCTION("""COMPUTED_VALUE"""),"Uncle Sams Cider (5/13/2022)")</f>
        <v>Uncle Sams Cider (5/13/2022)</v>
      </c>
      <c r="H2583" s="19"/>
    </row>
    <row r="2584">
      <c r="A2584" s="9"/>
      <c r="B2584" s="15"/>
      <c r="C2584" s="9">
        <f>IFERROR(__xludf.DUMMYFUNCTION("""COMPUTED_VALUE"""),44769.6950928703)</f>
        <v>44769.69509</v>
      </c>
      <c r="D2584" s="15">
        <f>IFERROR(__xludf.DUMMYFUNCTION("""COMPUTED_VALUE"""),1.004)</f>
        <v>1.004</v>
      </c>
      <c r="E2584" s="16">
        <f>IFERROR(__xludf.DUMMYFUNCTION("""COMPUTED_VALUE"""),67.0)</f>
        <v>67</v>
      </c>
      <c r="F2584" s="19" t="str">
        <f>IFERROR(__xludf.DUMMYFUNCTION("""COMPUTED_VALUE"""),"BLACK")</f>
        <v>BLACK</v>
      </c>
      <c r="G2584" s="20" t="str">
        <f>IFERROR(__xludf.DUMMYFUNCTION("""COMPUTED_VALUE"""),"Uncle Sams Cider (5/13/2022)")</f>
        <v>Uncle Sams Cider (5/13/2022)</v>
      </c>
      <c r="H2584" s="19"/>
    </row>
    <row r="2585">
      <c r="A2585" s="9"/>
      <c r="B2585" s="15"/>
      <c r="C2585" s="9">
        <f>IFERROR(__xludf.DUMMYFUNCTION("""COMPUTED_VALUE"""),44769.6846726389)</f>
        <v>44769.68467</v>
      </c>
      <c r="D2585" s="15">
        <f>IFERROR(__xludf.DUMMYFUNCTION("""COMPUTED_VALUE"""),1.004)</f>
        <v>1.004</v>
      </c>
      <c r="E2585" s="16">
        <f>IFERROR(__xludf.DUMMYFUNCTION("""COMPUTED_VALUE"""),67.0)</f>
        <v>67</v>
      </c>
      <c r="F2585" s="19" t="str">
        <f>IFERROR(__xludf.DUMMYFUNCTION("""COMPUTED_VALUE"""),"BLACK")</f>
        <v>BLACK</v>
      </c>
      <c r="G2585" s="20" t="str">
        <f>IFERROR(__xludf.DUMMYFUNCTION("""COMPUTED_VALUE"""),"Uncle Sams Cider (5/13/2022)")</f>
        <v>Uncle Sams Cider (5/13/2022)</v>
      </c>
      <c r="H2585" s="19"/>
    </row>
    <row r="2586">
      <c r="A2586" s="9"/>
      <c r="B2586" s="15"/>
      <c r="C2586" s="9">
        <f>IFERROR(__xludf.DUMMYFUNCTION("""COMPUTED_VALUE"""),44769.6742518055)</f>
        <v>44769.67425</v>
      </c>
      <c r="D2586" s="15">
        <f>IFERROR(__xludf.DUMMYFUNCTION("""COMPUTED_VALUE"""),1.004)</f>
        <v>1.004</v>
      </c>
      <c r="E2586" s="16">
        <f>IFERROR(__xludf.DUMMYFUNCTION("""COMPUTED_VALUE"""),67.0)</f>
        <v>67</v>
      </c>
      <c r="F2586" s="19" t="str">
        <f>IFERROR(__xludf.DUMMYFUNCTION("""COMPUTED_VALUE"""),"BLACK")</f>
        <v>BLACK</v>
      </c>
      <c r="G2586" s="20" t="str">
        <f>IFERROR(__xludf.DUMMYFUNCTION("""COMPUTED_VALUE"""),"Uncle Sams Cider (5/13/2022)")</f>
        <v>Uncle Sams Cider (5/13/2022)</v>
      </c>
      <c r="H2586" s="19"/>
    </row>
    <row r="2587">
      <c r="A2587" s="9"/>
      <c r="B2587" s="15"/>
      <c r="C2587" s="9">
        <f>IFERROR(__xludf.DUMMYFUNCTION("""COMPUTED_VALUE"""),44769.6638301273)</f>
        <v>44769.66383</v>
      </c>
      <c r="D2587" s="15">
        <f>IFERROR(__xludf.DUMMYFUNCTION("""COMPUTED_VALUE"""),1.004)</f>
        <v>1.004</v>
      </c>
      <c r="E2587" s="16">
        <f>IFERROR(__xludf.DUMMYFUNCTION("""COMPUTED_VALUE"""),67.0)</f>
        <v>67</v>
      </c>
      <c r="F2587" s="19" t="str">
        <f>IFERROR(__xludf.DUMMYFUNCTION("""COMPUTED_VALUE"""),"BLACK")</f>
        <v>BLACK</v>
      </c>
      <c r="G2587" s="20" t="str">
        <f>IFERROR(__xludf.DUMMYFUNCTION("""COMPUTED_VALUE"""),"Uncle Sams Cider (5/13/2022)")</f>
        <v>Uncle Sams Cider (5/13/2022)</v>
      </c>
      <c r="H2587" s="19"/>
    </row>
    <row r="2588">
      <c r="A2588" s="9"/>
      <c r="B2588" s="15"/>
      <c r="C2588" s="9">
        <f>IFERROR(__xludf.DUMMYFUNCTION("""COMPUTED_VALUE"""),44769.6534107291)</f>
        <v>44769.65341</v>
      </c>
      <c r="D2588" s="15">
        <f>IFERROR(__xludf.DUMMYFUNCTION("""COMPUTED_VALUE"""),1.004)</f>
        <v>1.004</v>
      </c>
      <c r="E2588" s="16">
        <f>IFERROR(__xludf.DUMMYFUNCTION("""COMPUTED_VALUE"""),67.0)</f>
        <v>67</v>
      </c>
      <c r="F2588" s="19" t="str">
        <f>IFERROR(__xludf.DUMMYFUNCTION("""COMPUTED_VALUE"""),"BLACK")</f>
        <v>BLACK</v>
      </c>
      <c r="G2588" s="20" t="str">
        <f>IFERROR(__xludf.DUMMYFUNCTION("""COMPUTED_VALUE"""),"Uncle Sams Cider (5/13/2022)")</f>
        <v>Uncle Sams Cider (5/13/2022)</v>
      </c>
      <c r="H2588" s="19"/>
    </row>
    <row r="2589">
      <c r="A2589" s="9"/>
      <c r="B2589" s="15"/>
      <c r="C2589" s="9">
        <f>IFERROR(__xludf.DUMMYFUNCTION("""COMPUTED_VALUE"""),44769.6429674189)</f>
        <v>44769.64297</v>
      </c>
      <c r="D2589" s="15">
        <f>IFERROR(__xludf.DUMMYFUNCTION("""COMPUTED_VALUE"""),1.004)</f>
        <v>1.004</v>
      </c>
      <c r="E2589" s="16">
        <f>IFERROR(__xludf.DUMMYFUNCTION("""COMPUTED_VALUE"""),67.0)</f>
        <v>67</v>
      </c>
      <c r="F2589" s="19" t="str">
        <f>IFERROR(__xludf.DUMMYFUNCTION("""COMPUTED_VALUE"""),"BLACK")</f>
        <v>BLACK</v>
      </c>
      <c r="G2589" s="20" t="str">
        <f>IFERROR(__xludf.DUMMYFUNCTION("""COMPUTED_VALUE"""),"Uncle Sams Cider (5/13/2022)")</f>
        <v>Uncle Sams Cider (5/13/2022)</v>
      </c>
      <c r="H2589" s="19"/>
    </row>
    <row r="2590">
      <c r="A2590" s="9"/>
      <c r="B2590" s="15"/>
      <c r="C2590" s="9">
        <f>IFERROR(__xludf.DUMMYFUNCTION("""COMPUTED_VALUE"""),44769.6325459722)</f>
        <v>44769.63255</v>
      </c>
      <c r="D2590" s="15">
        <f>IFERROR(__xludf.DUMMYFUNCTION("""COMPUTED_VALUE"""),1.004)</f>
        <v>1.004</v>
      </c>
      <c r="E2590" s="16">
        <f>IFERROR(__xludf.DUMMYFUNCTION("""COMPUTED_VALUE"""),67.0)</f>
        <v>67</v>
      </c>
      <c r="F2590" s="19" t="str">
        <f>IFERROR(__xludf.DUMMYFUNCTION("""COMPUTED_VALUE"""),"BLACK")</f>
        <v>BLACK</v>
      </c>
      <c r="G2590" s="20" t="str">
        <f>IFERROR(__xludf.DUMMYFUNCTION("""COMPUTED_VALUE"""),"Uncle Sams Cider (5/13/2022)")</f>
        <v>Uncle Sams Cider (5/13/2022)</v>
      </c>
      <c r="H2590" s="19"/>
    </row>
    <row r="2591">
      <c r="A2591" s="9"/>
      <c r="B2591" s="15"/>
      <c r="C2591" s="9">
        <f>IFERROR(__xludf.DUMMYFUNCTION("""COMPUTED_VALUE"""),44769.6221224305)</f>
        <v>44769.62212</v>
      </c>
      <c r="D2591" s="15">
        <f>IFERROR(__xludf.DUMMYFUNCTION("""COMPUTED_VALUE"""),1.004)</f>
        <v>1.004</v>
      </c>
      <c r="E2591" s="16">
        <f>IFERROR(__xludf.DUMMYFUNCTION("""COMPUTED_VALUE"""),67.0)</f>
        <v>67</v>
      </c>
      <c r="F2591" s="19" t="str">
        <f>IFERROR(__xludf.DUMMYFUNCTION("""COMPUTED_VALUE"""),"BLACK")</f>
        <v>BLACK</v>
      </c>
      <c r="G2591" s="20" t="str">
        <f>IFERROR(__xludf.DUMMYFUNCTION("""COMPUTED_VALUE"""),"Uncle Sams Cider (5/13/2022)")</f>
        <v>Uncle Sams Cider (5/13/2022)</v>
      </c>
      <c r="H2591" s="19"/>
    </row>
    <row r="2592">
      <c r="A2592" s="9"/>
      <c r="B2592" s="15"/>
      <c r="C2592" s="9">
        <f>IFERROR(__xludf.DUMMYFUNCTION("""COMPUTED_VALUE"""),44769.6116991088)</f>
        <v>44769.6117</v>
      </c>
      <c r="D2592" s="15">
        <f>IFERROR(__xludf.DUMMYFUNCTION("""COMPUTED_VALUE"""),1.004)</f>
        <v>1.004</v>
      </c>
      <c r="E2592" s="16">
        <f>IFERROR(__xludf.DUMMYFUNCTION("""COMPUTED_VALUE"""),67.0)</f>
        <v>67</v>
      </c>
      <c r="F2592" s="19" t="str">
        <f>IFERROR(__xludf.DUMMYFUNCTION("""COMPUTED_VALUE"""),"BLACK")</f>
        <v>BLACK</v>
      </c>
      <c r="G2592" s="20" t="str">
        <f>IFERROR(__xludf.DUMMYFUNCTION("""COMPUTED_VALUE"""),"Uncle Sams Cider (5/13/2022)")</f>
        <v>Uncle Sams Cider (5/13/2022)</v>
      </c>
      <c r="H2592" s="19"/>
    </row>
    <row r="2593">
      <c r="A2593" s="9"/>
      <c r="B2593" s="15"/>
      <c r="C2593" s="9">
        <f>IFERROR(__xludf.DUMMYFUNCTION("""COMPUTED_VALUE"""),44769.6012742939)</f>
        <v>44769.60127</v>
      </c>
      <c r="D2593" s="15">
        <f>IFERROR(__xludf.DUMMYFUNCTION("""COMPUTED_VALUE"""),1.004)</f>
        <v>1.004</v>
      </c>
      <c r="E2593" s="16">
        <f>IFERROR(__xludf.DUMMYFUNCTION("""COMPUTED_VALUE"""),67.0)</f>
        <v>67</v>
      </c>
      <c r="F2593" s="19" t="str">
        <f>IFERROR(__xludf.DUMMYFUNCTION("""COMPUTED_VALUE"""),"BLACK")</f>
        <v>BLACK</v>
      </c>
      <c r="G2593" s="20" t="str">
        <f>IFERROR(__xludf.DUMMYFUNCTION("""COMPUTED_VALUE"""),"Uncle Sams Cider (5/13/2022)")</f>
        <v>Uncle Sams Cider (5/13/2022)</v>
      </c>
      <c r="H2593" s="19"/>
    </row>
    <row r="2594">
      <c r="A2594" s="9"/>
      <c r="B2594" s="15"/>
      <c r="C2594" s="9">
        <f>IFERROR(__xludf.DUMMYFUNCTION("""COMPUTED_VALUE"""),44769.5908409027)</f>
        <v>44769.59084</v>
      </c>
      <c r="D2594" s="15">
        <f>IFERROR(__xludf.DUMMYFUNCTION("""COMPUTED_VALUE"""),1.004)</f>
        <v>1.004</v>
      </c>
      <c r="E2594" s="16">
        <f>IFERROR(__xludf.DUMMYFUNCTION("""COMPUTED_VALUE"""),67.0)</f>
        <v>67</v>
      </c>
      <c r="F2594" s="19" t="str">
        <f>IFERROR(__xludf.DUMMYFUNCTION("""COMPUTED_VALUE"""),"BLACK")</f>
        <v>BLACK</v>
      </c>
      <c r="G2594" s="20" t="str">
        <f>IFERROR(__xludf.DUMMYFUNCTION("""COMPUTED_VALUE"""),"Uncle Sams Cider (5/13/2022)")</f>
        <v>Uncle Sams Cider (5/13/2022)</v>
      </c>
      <c r="H2594" s="19"/>
    </row>
    <row r="2595">
      <c r="A2595" s="9"/>
      <c r="B2595" s="15"/>
      <c r="C2595" s="9">
        <f>IFERROR(__xludf.DUMMYFUNCTION("""COMPUTED_VALUE"""),44769.5804192708)</f>
        <v>44769.58042</v>
      </c>
      <c r="D2595" s="15">
        <f>IFERROR(__xludf.DUMMYFUNCTION("""COMPUTED_VALUE"""),1.004)</f>
        <v>1.004</v>
      </c>
      <c r="E2595" s="16">
        <f>IFERROR(__xludf.DUMMYFUNCTION("""COMPUTED_VALUE"""),67.0)</f>
        <v>67</v>
      </c>
      <c r="F2595" s="19" t="str">
        <f>IFERROR(__xludf.DUMMYFUNCTION("""COMPUTED_VALUE"""),"BLACK")</f>
        <v>BLACK</v>
      </c>
      <c r="G2595" s="20" t="str">
        <f>IFERROR(__xludf.DUMMYFUNCTION("""COMPUTED_VALUE"""),"Uncle Sams Cider (5/13/2022)")</f>
        <v>Uncle Sams Cider (5/13/2022)</v>
      </c>
      <c r="H2595" s="19"/>
    </row>
    <row r="2596">
      <c r="A2596" s="9"/>
      <c r="B2596" s="15"/>
      <c r="C2596" s="9">
        <f>IFERROR(__xludf.DUMMYFUNCTION("""COMPUTED_VALUE"""),44769.5699984838)</f>
        <v>44769.57</v>
      </c>
      <c r="D2596" s="15">
        <f>IFERROR(__xludf.DUMMYFUNCTION("""COMPUTED_VALUE"""),1.004)</f>
        <v>1.004</v>
      </c>
      <c r="E2596" s="16">
        <f>IFERROR(__xludf.DUMMYFUNCTION("""COMPUTED_VALUE"""),67.0)</f>
        <v>67</v>
      </c>
      <c r="F2596" s="19" t="str">
        <f>IFERROR(__xludf.DUMMYFUNCTION("""COMPUTED_VALUE"""),"BLACK")</f>
        <v>BLACK</v>
      </c>
      <c r="G2596" s="20" t="str">
        <f>IFERROR(__xludf.DUMMYFUNCTION("""COMPUTED_VALUE"""),"Uncle Sams Cider (5/13/2022)")</f>
        <v>Uncle Sams Cider (5/13/2022)</v>
      </c>
      <c r="H2596" s="19"/>
    </row>
    <row r="2597">
      <c r="A2597" s="9"/>
      <c r="B2597" s="15"/>
      <c r="C2597" s="9">
        <f>IFERROR(__xludf.DUMMYFUNCTION("""COMPUTED_VALUE"""),44769.5595651388)</f>
        <v>44769.55957</v>
      </c>
      <c r="D2597" s="15">
        <f>IFERROR(__xludf.DUMMYFUNCTION("""COMPUTED_VALUE"""),1.004)</f>
        <v>1.004</v>
      </c>
      <c r="E2597" s="16">
        <f>IFERROR(__xludf.DUMMYFUNCTION("""COMPUTED_VALUE"""),67.0)</f>
        <v>67</v>
      </c>
      <c r="F2597" s="19" t="str">
        <f>IFERROR(__xludf.DUMMYFUNCTION("""COMPUTED_VALUE"""),"BLACK")</f>
        <v>BLACK</v>
      </c>
      <c r="G2597" s="20" t="str">
        <f>IFERROR(__xludf.DUMMYFUNCTION("""COMPUTED_VALUE"""),"Uncle Sams Cider (5/13/2022)")</f>
        <v>Uncle Sams Cider (5/13/2022)</v>
      </c>
      <c r="H2597" s="19"/>
    </row>
    <row r="2598">
      <c r="A2598" s="9"/>
      <c r="B2598" s="15"/>
      <c r="C2598" s="9">
        <f>IFERROR(__xludf.DUMMYFUNCTION("""COMPUTED_VALUE"""),44769.5491417013)</f>
        <v>44769.54914</v>
      </c>
      <c r="D2598" s="15">
        <f>IFERROR(__xludf.DUMMYFUNCTION("""COMPUTED_VALUE"""),1.004)</f>
        <v>1.004</v>
      </c>
      <c r="E2598" s="16">
        <f>IFERROR(__xludf.DUMMYFUNCTION("""COMPUTED_VALUE"""),67.0)</f>
        <v>67</v>
      </c>
      <c r="F2598" s="19" t="str">
        <f>IFERROR(__xludf.DUMMYFUNCTION("""COMPUTED_VALUE"""),"BLACK")</f>
        <v>BLACK</v>
      </c>
      <c r="G2598" s="20" t="str">
        <f>IFERROR(__xludf.DUMMYFUNCTION("""COMPUTED_VALUE"""),"Uncle Sams Cider (5/13/2022)")</f>
        <v>Uncle Sams Cider (5/13/2022)</v>
      </c>
      <c r="H2598" s="19"/>
    </row>
    <row r="2599">
      <c r="A2599" s="9"/>
      <c r="B2599" s="15"/>
      <c r="C2599" s="9">
        <f>IFERROR(__xludf.DUMMYFUNCTION("""COMPUTED_VALUE"""),44769.5387191666)</f>
        <v>44769.53872</v>
      </c>
      <c r="D2599" s="15">
        <f>IFERROR(__xludf.DUMMYFUNCTION("""COMPUTED_VALUE"""),1.004)</f>
        <v>1.004</v>
      </c>
      <c r="E2599" s="16">
        <f>IFERROR(__xludf.DUMMYFUNCTION("""COMPUTED_VALUE"""),67.0)</f>
        <v>67</v>
      </c>
      <c r="F2599" s="19" t="str">
        <f>IFERROR(__xludf.DUMMYFUNCTION("""COMPUTED_VALUE"""),"BLACK")</f>
        <v>BLACK</v>
      </c>
      <c r="G2599" s="20" t="str">
        <f>IFERROR(__xludf.DUMMYFUNCTION("""COMPUTED_VALUE"""),"Uncle Sams Cider (5/13/2022)")</f>
        <v>Uncle Sams Cider (5/13/2022)</v>
      </c>
      <c r="H2599" s="19"/>
    </row>
    <row r="2600">
      <c r="A2600" s="9"/>
      <c r="B2600" s="15"/>
      <c r="C2600" s="9">
        <f>IFERROR(__xludf.DUMMYFUNCTION("""COMPUTED_VALUE"""),44769.5282984606)</f>
        <v>44769.5283</v>
      </c>
      <c r="D2600" s="15">
        <f>IFERROR(__xludf.DUMMYFUNCTION("""COMPUTED_VALUE"""),1.004)</f>
        <v>1.004</v>
      </c>
      <c r="E2600" s="16">
        <f>IFERROR(__xludf.DUMMYFUNCTION("""COMPUTED_VALUE"""),67.0)</f>
        <v>67</v>
      </c>
      <c r="F2600" s="19" t="str">
        <f>IFERROR(__xludf.DUMMYFUNCTION("""COMPUTED_VALUE"""),"BLACK")</f>
        <v>BLACK</v>
      </c>
      <c r="G2600" s="20" t="str">
        <f>IFERROR(__xludf.DUMMYFUNCTION("""COMPUTED_VALUE"""),"Uncle Sams Cider (5/13/2022)")</f>
        <v>Uncle Sams Cider (5/13/2022)</v>
      </c>
      <c r="H2600" s="19"/>
    </row>
    <row r="2601">
      <c r="A2601" s="9"/>
      <c r="B2601" s="15"/>
      <c r="C2601" s="9">
        <f>IFERROR(__xludf.DUMMYFUNCTION("""COMPUTED_VALUE"""),44769.5178769328)</f>
        <v>44769.51788</v>
      </c>
      <c r="D2601" s="15">
        <f>IFERROR(__xludf.DUMMYFUNCTION("""COMPUTED_VALUE"""),1.004)</f>
        <v>1.004</v>
      </c>
      <c r="E2601" s="16">
        <f>IFERROR(__xludf.DUMMYFUNCTION("""COMPUTED_VALUE"""),67.0)</f>
        <v>67</v>
      </c>
      <c r="F2601" s="19" t="str">
        <f>IFERROR(__xludf.DUMMYFUNCTION("""COMPUTED_VALUE"""),"BLACK")</f>
        <v>BLACK</v>
      </c>
      <c r="G2601" s="20" t="str">
        <f>IFERROR(__xludf.DUMMYFUNCTION("""COMPUTED_VALUE"""),"Uncle Sams Cider (5/13/2022)")</f>
        <v>Uncle Sams Cider (5/13/2022)</v>
      </c>
      <c r="H2601" s="19"/>
    </row>
    <row r="2602">
      <c r="A2602" s="9"/>
      <c r="B2602" s="15"/>
      <c r="C2602" s="9">
        <f>IFERROR(__xludf.DUMMYFUNCTION("""COMPUTED_VALUE"""),44769.5074543055)</f>
        <v>44769.50745</v>
      </c>
      <c r="D2602" s="15">
        <f>IFERROR(__xludf.DUMMYFUNCTION("""COMPUTED_VALUE"""),1.004)</f>
        <v>1.004</v>
      </c>
      <c r="E2602" s="16">
        <f>IFERROR(__xludf.DUMMYFUNCTION("""COMPUTED_VALUE"""),67.0)</f>
        <v>67</v>
      </c>
      <c r="F2602" s="19" t="str">
        <f>IFERROR(__xludf.DUMMYFUNCTION("""COMPUTED_VALUE"""),"BLACK")</f>
        <v>BLACK</v>
      </c>
      <c r="G2602" s="20" t="str">
        <f>IFERROR(__xludf.DUMMYFUNCTION("""COMPUTED_VALUE"""),"Uncle Sams Cider (5/13/2022)")</f>
        <v>Uncle Sams Cider (5/13/2022)</v>
      </c>
      <c r="H2602" s="19"/>
    </row>
    <row r="2603">
      <c r="A2603" s="9"/>
      <c r="B2603" s="15"/>
      <c r="C2603" s="9">
        <f>IFERROR(__xludf.DUMMYFUNCTION("""COMPUTED_VALUE"""),44769.4970327199)</f>
        <v>44769.49703</v>
      </c>
      <c r="D2603" s="15">
        <f>IFERROR(__xludf.DUMMYFUNCTION("""COMPUTED_VALUE"""),1.004)</f>
        <v>1.004</v>
      </c>
      <c r="E2603" s="16">
        <f>IFERROR(__xludf.DUMMYFUNCTION("""COMPUTED_VALUE"""),67.0)</f>
        <v>67</v>
      </c>
      <c r="F2603" s="19" t="str">
        <f>IFERROR(__xludf.DUMMYFUNCTION("""COMPUTED_VALUE"""),"BLACK")</f>
        <v>BLACK</v>
      </c>
      <c r="G2603" s="20" t="str">
        <f>IFERROR(__xludf.DUMMYFUNCTION("""COMPUTED_VALUE"""),"Uncle Sams Cider (5/13/2022)")</f>
        <v>Uncle Sams Cider (5/13/2022)</v>
      </c>
      <c r="H2603" s="19"/>
    </row>
    <row r="2604">
      <c r="A2604" s="9"/>
      <c r="B2604" s="15"/>
      <c r="C2604" s="9">
        <f>IFERROR(__xludf.DUMMYFUNCTION("""COMPUTED_VALUE"""),44769.4866006597)</f>
        <v>44769.4866</v>
      </c>
      <c r="D2604" s="15">
        <f>IFERROR(__xludf.DUMMYFUNCTION("""COMPUTED_VALUE"""),1.004)</f>
        <v>1.004</v>
      </c>
      <c r="E2604" s="16">
        <f>IFERROR(__xludf.DUMMYFUNCTION("""COMPUTED_VALUE"""),67.0)</f>
        <v>67</v>
      </c>
      <c r="F2604" s="19" t="str">
        <f>IFERROR(__xludf.DUMMYFUNCTION("""COMPUTED_VALUE"""),"BLACK")</f>
        <v>BLACK</v>
      </c>
      <c r="G2604" s="20" t="str">
        <f>IFERROR(__xludf.DUMMYFUNCTION("""COMPUTED_VALUE"""),"Uncle Sams Cider (5/13/2022)")</f>
        <v>Uncle Sams Cider (5/13/2022)</v>
      </c>
      <c r="H2604" s="19"/>
    </row>
    <row r="2605">
      <c r="A2605" s="9"/>
      <c r="B2605" s="15"/>
      <c r="C2605" s="9">
        <f>IFERROR(__xludf.DUMMYFUNCTION("""COMPUTED_VALUE"""),44769.4761689467)</f>
        <v>44769.47617</v>
      </c>
      <c r="D2605" s="15">
        <f>IFERROR(__xludf.DUMMYFUNCTION("""COMPUTED_VALUE"""),1.004)</f>
        <v>1.004</v>
      </c>
      <c r="E2605" s="16">
        <f>IFERROR(__xludf.DUMMYFUNCTION("""COMPUTED_VALUE"""),67.0)</f>
        <v>67</v>
      </c>
      <c r="F2605" s="19" t="str">
        <f>IFERROR(__xludf.DUMMYFUNCTION("""COMPUTED_VALUE"""),"BLACK")</f>
        <v>BLACK</v>
      </c>
      <c r="G2605" s="20" t="str">
        <f>IFERROR(__xludf.DUMMYFUNCTION("""COMPUTED_VALUE"""),"Uncle Sams Cider (5/13/2022)")</f>
        <v>Uncle Sams Cider (5/13/2022)</v>
      </c>
      <c r="H2605" s="19"/>
    </row>
    <row r="2606">
      <c r="A2606" s="9"/>
      <c r="B2606" s="15"/>
      <c r="C2606" s="9">
        <f>IFERROR(__xludf.DUMMYFUNCTION("""COMPUTED_VALUE"""),44769.4657377893)</f>
        <v>44769.46574</v>
      </c>
      <c r="D2606" s="15">
        <f>IFERROR(__xludf.DUMMYFUNCTION("""COMPUTED_VALUE"""),1.004)</f>
        <v>1.004</v>
      </c>
      <c r="E2606" s="16">
        <f>IFERROR(__xludf.DUMMYFUNCTION("""COMPUTED_VALUE"""),67.0)</f>
        <v>67</v>
      </c>
      <c r="F2606" s="19" t="str">
        <f>IFERROR(__xludf.DUMMYFUNCTION("""COMPUTED_VALUE"""),"BLACK")</f>
        <v>BLACK</v>
      </c>
      <c r="G2606" s="20" t="str">
        <f>IFERROR(__xludf.DUMMYFUNCTION("""COMPUTED_VALUE"""),"Uncle Sams Cider (5/13/2022)")</f>
        <v>Uncle Sams Cider (5/13/2022)</v>
      </c>
      <c r="H2606" s="19"/>
    </row>
    <row r="2607">
      <c r="A2607" s="9"/>
      <c r="B2607" s="15"/>
      <c r="C2607" s="9">
        <f>IFERROR(__xludf.DUMMYFUNCTION("""COMPUTED_VALUE"""),44769.4553149189)</f>
        <v>44769.45531</v>
      </c>
      <c r="D2607" s="15">
        <f>IFERROR(__xludf.DUMMYFUNCTION("""COMPUTED_VALUE"""),1.004)</f>
        <v>1.004</v>
      </c>
      <c r="E2607" s="16">
        <f>IFERROR(__xludf.DUMMYFUNCTION("""COMPUTED_VALUE"""),67.0)</f>
        <v>67</v>
      </c>
      <c r="F2607" s="19" t="str">
        <f>IFERROR(__xludf.DUMMYFUNCTION("""COMPUTED_VALUE"""),"BLACK")</f>
        <v>BLACK</v>
      </c>
      <c r="G2607" s="20" t="str">
        <f>IFERROR(__xludf.DUMMYFUNCTION("""COMPUTED_VALUE"""),"Uncle Sams Cider (5/13/2022)")</f>
        <v>Uncle Sams Cider (5/13/2022)</v>
      </c>
      <c r="H2607" s="19"/>
    </row>
    <row r="2608">
      <c r="A2608" s="9"/>
      <c r="B2608" s="15"/>
      <c r="C2608" s="9">
        <f>IFERROR(__xludf.DUMMYFUNCTION("""COMPUTED_VALUE"""),44769.4448944097)</f>
        <v>44769.44489</v>
      </c>
      <c r="D2608" s="15">
        <f>IFERROR(__xludf.DUMMYFUNCTION("""COMPUTED_VALUE"""),1.004)</f>
        <v>1.004</v>
      </c>
      <c r="E2608" s="16">
        <f>IFERROR(__xludf.DUMMYFUNCTION("""COMPUTED_VALUE"""),67.0)</f>
        <v>67</v>
      </c>
      <c r="F2608" s="19" t="str">
        <f>IFERROR(__xludf.DUMMYFUNCTION("""COMPUTED_VALUE"""),"BLACK")</f>
        <v>BLACK</v>
      </c>
      <c r="G2608" s="20" t="str">
        <f>IFERROR(__xludf.DUMMYFUNCTION("""COMPUTED_VALUE"""),"Uncle Sams Cider (5/13/2022)")</f>
        <v>Uncle Sams Cider (5/13/2022)</v>
      </c>
      <c r="H2608" s="19"/>
    </row>
    <row r="2609">
      <c r="A2609" s="9"/>
      <c r="B2609" s="15"/>
      <c r="C2609" s="9">
        <f>IFERROR(__xludf.DUMMYFUNCTION("""COMPUTED_VALUE"""),44769.4344733449)</f>
        <v>44769.43447</v>
      </c>
      <c r="D2609" s="15">
        <f>IFERROR(__xludf.DUMMYFUNCTION("""COMPUTED_VALUE"""),1.004)</f>
        <v>1.004</v>
      </c>
      <c r="E2609" s="16">
        <f>IFERROR(__xludf.DUMMYFUNCTION("""COMPUTED_VALUE"""),67.0)</f>
        <v>67</v>
      </c>
      <c r="F2609" s="19" t="str">
        <f>IFERROR(__xludf.DUMMYFUNCTION("""COMPUTED_VALUE"""),"BLACK")</f>
        <v>BLACK</v>
      </c>
      <c r="G2609" s="20" t="str">
        <f>IFERROR(__xludf.DUMMYFUNCTION("""COMPUTED_VALUE"""),"Uncle Sams Cider (5/13/2022)")</f>
        <v>Uncle Sams Cider (5/13/2022)</v>
      </c>
      <c r="H2609" s="19"/>
    </row>
    <row r="2610">
      <c r="A2610" s="9"/>
      <c r="B2610" s="15"/>
      <c r="C2610" s="9">
        <f>IFERROR(__xludf.DUMMYFUNCTION("""COMPUTED_VALUE"""),44769.4240510069)</f>
        <v>44769.42405</v>
      </c>
      <c r="D2610" s="15">
        <f>IFERROR(__xludf.DUMMYFUNCTION("""COMPUTED_VALUE"""),1.004)</f>
        <v>1.004</v>
      </c>
      <c r="E2610" s="16">
        <f>IFERROR(__xludf.DUMMYFUNCTION("""COMPUTED_VALUE"""),67.0)</f>
        <v>67</v>
      </c>
      <c r="F2610" s="19" t="str">
        <f>IFERROR(__xludf.DUMMYFUNCTION("""COMPUTED_VALUE"""),"BLACK")</f>
        <v>BLACK</v>
      </c>
      <c r="G2610" s="20" t="str">
        <f>IFERROR(__xludf.DUMMYFUNCTION("""COMPUTED_VALUE"""),"Uncle Sams Cider (5/13/2022)")</f>
        <v>Uncle Sams Cider (5/13/2022)</v>
      </c>
      <c r="H2610" s="19"/>
    </row>
    <row r="2611">
      <c r="A2611" s="9"/>
      <c r="B2611" s="15"/>
      <c r="C2611" s="9">
        <f>IFERROR(__xludf.DUMMYFUNCTION("""COMPUTED_VALUE"""),44769.4136307986)</f>
        <v>44769.41363</v>
      </c>
      <c r="D2611" s="15">
        <f>IFERROR(__xludf.DUMMYFUNCTION("""COMPUTED_VALUE"""),1.004)</f>
        <v>1.004</v>
      </c>
      <c r="E2611" s="16">
        <f>IFERROR(__xludf.DUMMYFUNCTION("""COMPUTED_VALUE"""),67.0)</f>
        <v>67</v>
      </c>
      <c r="F2611" s="19" t="str">
        <f>IFERROR(__xludf.DUMMYFUNCTION("""COMPUTED_VALUE"""),"BLACK")</f>
        <v>BLACK</v>
      </c>
      <c r="G2611" s="20" t="str">
        <f>IFERROR(__xludf.DUMMYFUNCTION("""COMPUTED_VALUE"""),"Uncle Sams Cider (5/13/2022)")</f>
        <v>Uncle Sams Cider (5/13/2022)</v>
      </c>
      <c r="H2611" s="19"/>
    </row>
    <row r="2612">
      <c r="A2612" s="9"/>
      <c r="B2612" s="15"/>
      <c r="C2612" s="9">
        <f>IFERROR(__xludf.DUMMYFUNCTION("""COMPUTED_VALUE"""),44769.4031983217)</f>
        <v>44769.4032</v>
      </c>
      <c r="D2612" s="15">
        <f>IFERROR(__xludf.DUMMYFUNCTION("""COMPUTED_VALUE"""),1.004)</f>
        <v>1.004</v>
      </c>
      <c r="E2612" s="16">
        <f>IFERROR(__xludf.DUMMYFUNCTION("""COMPUTED_VALUE"""),67.0)</f>
        <v>67</v>
      </c>
      <c r="F2612" s="19" t="str">
        <f>IFERROR(__xludf.DUMMYFUNCTION("""COMPUTED_VALUE"""),"BLACK")</f>
        <v>BLACK</v>
      </c>
      <c r="G2612" s="20" t="str">
        <f>IFERROR(__xludf.DUMMYFUNCTION("""COMPUTED_VALUE"""),"Uncle Sams Cider (5/13/2022)")</f>
        <v>Uncle Sams Cider (5/13/2022)</v>
      </c>
      <c r="H2612" s="19"/>
    </row>
    <row r="2613">
      <c r="A2613" s="9"/>
      <c r="B2613" s="15"/>
      <c r="C2613" s="9">
        <f>IFERROR(__xludf.DUMMYFUNCTION("""COMPUTED_VALUE"""),44769.3927767361)</f>
        <v>44769.39278</v>
      </c>
      <c r="D2613" s="15">
        <f>IFERROR(__xludf.DUMMYFUNCTION("""COMPUTED_VALUE"""),1.004)</f>
        <v>1.004</v>
      </c>
      <c r="E2613" s="16">
        <f>IFERROR(__xludf.DUMMYFUNCTION("""COMPUTED_VALUE"""),67.0)</f>
        <v>67</v>
      </c>
      <c r="F2613" s="19" t="str">
        <f>IFERROR(__xludf.DUMMYFUNCTION("""COMPUTED_VALUE"""),"BLACK")</f>
        <v>BLACK</v>
      </c>
      <c r="G2613" s="20" t="str">
        <f>IFERROR(__xludf.DUMMYFUNCTION("""COMPUTED_VALUE"""),"Uncle Sams Cider (5/13/2022)")</f>
        <v>Uncle Sams Cider (5/13/2022)</v>
      </c>
      <c r="H2613" s="19"/>
    </row>
    <row r="2614">
      <c r="A2614" s="9"/>
      <c r="B2614" s="15"/>
      <c r="C2614" s="9">
        <f>IFERROR(__xludf.DUMMYFUNCTION("""COMPUTED_VALUE"""),44769.3823553472)</f>
        <v>44769.38236</v>
      </c>
      <c r="D2614" s="15">
        <f>IFERROR(__xludf.DUMMYFUNCTION("""COMPUTED_VALUE"""),1.004)</f>
        <v>1.004</v>
      </c>
      <c r="E2614" s="16">
        <f>IFERROR(__xludf.DUMMYFUNCTION("""COMPUTED_VALUE"""),67.0)</f>
        <v>67</v>
      </c>
      <c r="F2614" s="19" t="str">
        <f>IFERROR(__xludf.DUMMYFUNCTION("""COMPUTED_VALUE"""),"BLACK")</f>
        <v>BLACK</v>
      </c>
      <c r="G2614" s="20" t="str">
        <f>IFERROR(__xludf.DUMMYFUNCTION("""COMPUTED_VALUE"""),"Uncle Sams Cider (5/13/2022)")</f>
        <v>Uncle Sams Cider (5/13/2022)</v>
      </c>
      <c r="H2614" s="19"/>
    </row>
    <row r="2615">
      <c r="A2615" s="9"/>
      <c r="B2615" s="15"/>
      <c r="C2615" s="9">
        <f>IFERROR(__xludf.DUMMYFUNCTION("""COMPUTED_VALUE"""),44769.3719107291)</f>
        <v>44769.37191</v>
      </c>
      <c r="D2615" s="15">
        <f>IFERROR(__xludf.DUMMYFUNCTION("""COMPUTED_VALUE"""),1.004)</f>
        <v>1.004</v>
      </c>
      <c r="E2615" s="16">
        <f>IFERROR(__xludf.DUMMYFUNCTION("""COMPUTED_VALUE"""),67.0)</f>
        <v>67</v>
      </c>
      <c r="F2615" s="19" t="str">
        <f>IFERROR(__xludf.DUMMYFUNCTION("""COMPUTED_VALUE"""),"BLACK")</f>
        <v>BLACK</v>
      </c>
      <c r="G2615" s="20" t="str">
        <f>IFERROR(__xludf.DUMMYFUNCTION("""COMPUTED_VALUE"""),"Uncle Sams Cider (5/13/2022)")</f>
        <v>Uncle Sams Cider (5/13/2022)</v>
      </c>
      <c r="H2615" s="19"/>
    </row>
    <row r="2616">
      <c r="A2616" s="9"/>
      <c r="B2616" s="15"/>
      <c r="C2616" s="9">
        <f>IFERROR(__xludf.DUMMYFUNCTION("""COMPUTED_VALUE"""),44769.3614904282)</f>
        <v>44769.36149</v>
      </c>
      <c r="D2616" s="15">
        <f>IFERROR(__xludf.DUMMYFUNCTION("""COMPUTED_VALUE"""),1.004)</f>
        <v>1.004</v>
      </c>
      <c r="E2616" s="16">
        <f>IFERROR(__xludf.DUMMYFUNCTION("""COMPUTED_VALUE"""),67.0)</f>
        <v>67</v>
      </c>
      <c r="F2616" s="19" t="str">
        <f>IFERROR(__xludf.DUMMYFUNCTION("""COMPUTED_VALUE"""),"BLACK")</f>
        <v>BLACK</v>
      </c>
      <c r="G2616" s="20" t="str">
        <f>IFERROR(__xludf.DUMMYFUNCTION("""COMPUTED_VALUE"""),"Uncle Sams Cider (5/13/2022)")</f>
        <v>Uncle Sams Cider (5/13/2022)</v>
      </c>
      <c r="H2616" s="19"/>
    </row>
    <row r="2617">
      <c r="A2617" s="9"/>
      <c r="B2617" s="15"/>
      <c r="C2617" s="9">
        <f>IFERROR(__xludf.DUMMYFUNCTION("""COMPUTED_VALUE"""),44769.3510693287)</f>
        <v>44769.35107</v>
      </c>
      <c r="D2617" s="15">
        <f>IFERROR(__xludf.DUMMYFUNCTION("""COMPUTED_VALUE"""),1.004)</f>
        <v>1.004</v>
      </c>
      <c r="E2617" s="16">
        <f>IFERROR(__xludf.DUMMYFUNCTION("""COMPUTED_VALUE"""),67.0)</f>
        <v>67</v>
      </c>
      <c r="F2617" s="19" t="str">
        <f>IFERROR(__xludf.DUMMYFUNCTION("""COMPUTED_VALUE"""),"BLACK")</f>
        <v>BLACK</v>
      </c>
      <c r="G2617" s="20" t="str">
        <f>IFERROR(__xludf.DUMMYFUNCTION("""COMPUTED_VALUE"""),"Uncle Sams Cider (5/13/2022)")</f>
        <v>Uncle Sams Cider (5/13/2022)</v>
      </c>
      <c r="H2617" s="19"/>
    </row>
    <row r="2618">
      <c r="A2618" s="9"/>
      <c r="B2618" s="15"/>
      <c r="C2618" s="9">
        <f>IFERROR(__xludf.DUMMYFUNCTION("""COMPUTED_VALUE"""),44769.3406469675)</f>
        <v>44769.34065</v>
      </c>
      <c r="D2618" s="15">
        <f>IFERROR(__xludf.DUMMYFUNCTION("""COMPUTED_VALUE"""),1.004)</f>
        <v>1.004</v>
      </c>
      <c r="E2618" s="16">
        <f>IFERROR(__xludf.DUMMYFUNCTION("""COMPUTED_VALUE"""),67.0)</f>
        <v>67</v>
      </c>
      <c r="F2618" s="19" t="str">
        <f>IFERROR(__xludf.DUMMYFUNCTION("""COMPUTED_VALUE"""),"BLACK")</f>
        <v>BLACK</v>
      </c>
      <c r="G2618" s="20" t="str">
        <f>IFERROR(__xludf.DUMMYFUNCTION("""COMPUTED_VALUE"""),"Uncle Sams Cider (5/13/2022)")</f>
        <v>Uncle Sams Cider (5/13/2022)</v>
      </c>
      <c r="H2618" s="19"/>
    </row>
    <row r="2619">
      <c r="A2619" s="9"/>
      <c r="B2619" s="15"/>
      <c r="C2619" s="9">
        <f>IFERROR(__xludf.DUMMYFUNCTION("""COMPUTED_VALUE"""),44769.3302149305)</f>
        <v>44769.33021</v>
      </c>
      <c r="D2619" s="15">
        <f>IFERROR(__xludf.DUMMYFUNCTION("""COMPUTED_VALUE"""),1.004)</f>
        <v>1.004</v>
      </c>
      <c r="E2619" s="16">
        <f>IFERROR(__xludf.DUMMYFUNCTION("""COMPUTED_VALUE"""),67.0)</f>
        <v>67</v>
      </c>
      <c r="F2619" s="19" t="str">
        <f>IFERROR(__xludf.DUMMYFUNCTION("""COMPUTED_VALUE"""),"BLACK")</f>
        <v>BLACK</v>
      </c>
      <c r="G2619" s="20" t="str">
        <f>IFERROR(__xludf.DUMMYFUNCTION("""COMPUTED_VALUE"""),"Uncle Sams Cider (5/13/2022)")</f>
        <v>Uncle Sams Cider (5/13/2022)</v>
      </c>
      <c r="H2619" s="19"/>
    </row>
    <row r="2620">
      <c r="A2620" s="9"/>
      <c r="B2620" s="15"/>
      <c r="C2620" s="9">
        <f>IFERROR(__xludf.DUMMYFUNCTION("""COMPUTED_VALUE"""),44769.3197929166)</f>
        <v>44769.31979</v>
      </c>
      <c r="D2620" s="15">
        <f>IFERROR(__xludf.DUMMYFUNCTION("""COMPUTED_VALUE"""),1.004)</f>
        <v>1.004</v>
      </c>
      <c r="E2620" s="16">
        <f>IFERROR(__xludf.DUMMYFUNCTION("""COMPUTED_VALUE"""),67.0)</f>
        <v>67</v>
      </c>
      <c r="F2620" s="19" t="str">
        <f>IFERROR(__xludf.DUMMYFUNCTION("""COMPUTED_VALUE"""),"BLACK")</f>
        <v>BLACK</v>
      </c>
      <c r="G2620" s="20" t="str">
        <f>IFERROR(__xludf.DUMMYFUNCTION("""COMPUTED_VALUE"""),"Uncle Sams Cider (5/13/2022)")</f>
        <v>Uncle Sams Cider (5/13/2022)</v>
      </c>
      <c r="H2620" s="19"/>
    </row>
    <row r="2621">
      <c r="A2621" s="9"/>
      <c r="B2621" s="15"/>
      <c r="C2621" s="9">
        <f>IFERROR(__xludf.DUMMYFUNCTION("""COMPUTED_VALUE"""),44769.3093699768)</f>
        <v>44769.30937</v>
      </c>
      <c r="D2621" s="15">
        <f>IFERROR(__xludf.DUMMYFUNCTION("""COMPUTED_VALUE"""),1.004)</f>
        <v>1.004</v>
      </c>
      <c r="E2621" s="16">
        <f>IFERROR(__xludf.DUMMYFUNCTION("""COMPUTED_VALUE"""),67.0)</f>
        <v>67</v>
      </c>
      <c r="F2621" s="19" t="str">
        <f>IFERROR(__xludf.DUMMYFUNCTION("""COMPUTED_VALUE"""),"BLACK")</f>
        <v>BLACK</v>
      </c>
      <c r="G2621" s="20" t="str">
        <f>IFERROR(__xludf.DUMMYFUNCTION("""COMPUTED_VALUE"""),"Uncle Sams Cider (5/13/2022)")</f>
        <v>Uncle Sams Cider (5/13/2022)</v>
      </c>
      <c r="H2621" s="19"/>
    </row>
    <row r="2622">
      <c r="A2622" s="9"/>
      <c r="B2622" s="15"/>
      <c r="C2622" s="9">
        <f>IFERROR(__xludf.DUMMYFUNCTION("""COMPUTED_VALUE"""),44769.2989376967)</f>
        <v>44769.29894</v>
      </c>
      <c r="D2622" s="15">
        <f>IFERROR(__xludf.DUMMYFUNCTION("""COMPUTED_VALUE"""),1.004)</f>
        <v>1.004</v>
      </c>
      <c r="E2622" s="16">
        <f>IFERROR(__xludf.DUMMYFUNCTION("""COMPUTED_VALUE"""),67.0)</f>
        <v>67</v>
      </c>
      <c r="F2622" s="19" t="str">
        <f>IFERROR(__xludf.DUMMYFUNCTION("""COMPUTED_VALUE"""),"BLACK")</f>
        <v>BLACK</v>
      </c>
      <c r="G2622" s="20" t="str">
        <f>IFERROR(__xludf.DUMMYFUNCTION("""COMPUTED_VALUE"""),"Uncle Sams Cider (5/13/2022)")</f>
        <v>Uncle Sams Cider (5/13/2022)</v>
      </c>
      <c r="H2622" s="19"/>
    </row>
    <row r="2623">
      <c r="A2623" s="9"/>
      <c r="B2623" s="15"/>
      <c r="C2623" s="9">
        <f>IFERROR(__xludf.DUMMYFUNCTION("""COMPUTED_VALUE"""),44769.2885171296)</f>
        <v>44769.28852</v>
      </c>
      <c r="D2623" s="15">
        <f>IFERROR(__xludf.DUMMYFUNCTION("""COMPUTED_VALUE"""),1.004)</f>
        <v>1.004</v>
      </c>
      <c r="E2623" s="16">
        <f>IFERROR(__xludf.DUMMYFUNCTION("""COMPUTED_VALUE"""),67.0)</f>
        <v>67</v>
      </c>
      <c r="F2623" s="19" t="str">
        <f>IFERROR(__xludf.DUMMYFUNCTION("""COMPUTED_VALUE"""),"BLACK")</f>
        <v>BLACK</v>
      </c>
      <c r="G2623" s="20" t="str">
        <f>IFERROR(__xludf.DUMMYFUNCTION("""COMPUTED_VALUE"""),"Uncle Sams Cider (5/13/2022)")</f>
        <v>Uncle Sams Cider (5/13/2022)</v>
      </c>
      <c r="H2623" s="19"/>
    </row>
    <row r="2624">
      <c r="A2624" s="9"/>
      <c r="B2624" s="15"/>
      <c r="C2624" s="9">
        <f>IFERROR(__xludf.DUMMYFUNCTION("""COMPUTED_VALUE"""),44769.278072118)</f>
        <v>44769.27807</v>
      </c>
      <c r="D2624" s="15">
        <f>IFERROR(__xludf.DUMMYFUNCTION("""COMPUTED_VALUE"""),1.004)</f>
        <v>1.004</v>
      </c>
      <c r="E2624" s="16">
        <f>IFERROR(__xludf.DUMMYFUNCTION("""COMPUTED_VALUE"""),67.0)</f>
        <v>67</v>
      </c>
      <c r="F2624" s="19" t="str">
        <f>IFERROR(__xludf.DUMMYFUNCTION("""COMPUTED_VALUE"""),"BLACK")</f>
        <v>BLACK</v>
      </c>
      <c r="G2624" s="20" t="str">
        <f>IFERROR(__xludf.DUMMYFUNCTION("""COMPUTED_VALUE"""),"Uncle Sams Cider (5/13/2022)")</f>
        <v>Uncle Sams Cider (5/13/2022)</v>
      </c>
      <c r="H2624" s="19"/>
    </row>
    <row r="2625">
      <c r="A2625" s="9"/>
      <c r="B2625" s="15"/>
      <c r="C2625" s="9">
        <f>IFERROR(__xludf.DUMMYFUNCTION("""COMPUTED_VALUE"""),44769.2676509606)</f>
        <v>44769.26765</v>
      </c>
      <c r="D2625" s="15">
        <f>IFERROR(__xludf.DUMMYFUNCTION("""COMPUTED_VALUE"""),1.004)</f>
        <v>1.004</v>
      </c>
      <c r="E2625" s="16">
        <f>IFERROR(__xludf.DUMMYFUNCTION("""COMPUTED_VALUE"""),67.0)</f>
        <v>67</v>
      </c>
      <c r="F2625" s="19" t="str">
        <f>IFERROR(__xludf.DUMMYFUNCTION("""COMPUTED_VALUE"""),"BLACK")</f>
        <v>BLACK</v>
      </c>
      <c r="G2625" s="20" t="str">
        <f>IFERROR(__xludf.DUMMYFUNCTION("""COMPUTED_VALUE"""),"Uncle Sams Cider (5/13/2022)")</f>
        <v>Uncle Sams Cider (5/13/2022)</v>
      </c>
      <c r="H2625" s="19"/>
    </row>
    <row r="2626">
      <c r="A2626" s="9"/>
      <c r="B2626" s="15"/>
      <c r="C2626" s="9">
        <f>IFERROR(__xludf.DUMMYFUNCTION("""COMPUTED_VALUE"""),44769.2572306713)</f>
        <v>44769.25723</v>
      </c>
      <c r="D2626" s="15">
        <f>IFERROR(__xludf.DUMMYFUNCTION("""COMPUTED_VALUE"""),1.004)</f>
        <v>1.004</v>
      </c>
      <c r="E2626" s="16">
        <f>IFERROR(__xludf.DUMMYFUNCTION("""COMPUTED_VALUE"""),67.0)</f>
        <v>67</v>
      </c>
      <c r="F2626" s="19" t="str">
        <f>IFERROR(__xludf.DUMMYFUNCTION("""COMPUTED_VALUE"""),"BLACK")</f>
        <v>BLACK</v>
      </c>
      <c r="G2626" s="20" t="str">
        <f>IFERROR(__xludf.DUMMYFUNCTION("""COMPUTED_VALUE"""),"Uncle Sams Cider (5/13/2022)")</f>
        <v>Uncle Sams Cider (5/13/2022)</v>
      </c>
      <c r="H2626" s="19"/>
    </row>
    <row r="2627">
      <c r="A2627" s="9"/>
      <c r="B2627" s="15"/>
      <c r="C2627" s="9">
        <f>IFERROR(__xludf.DUMMYFUNCTION("""COMPUTED_VALUE"""),44769.2468108217)</f>
        <v>44769.24681</v>
      </c>
      <c r="D2627" s="15">
        <f>IFERROR(__xludf.DUMMYFUNCTION("""COMPUTED_VALUE"""),1.004)</f>
        <v>1.004</v>
      </c>
      <c r="E2627" s="16">
        <f>IFERROR(__xludf.DUMMYFUNCTION("""COMPUTED_VALUE"""),67.0)</f>
        <v>67</v>
      </c>
      <c r="F2627" s="19" t="str">
        <f>IFERROR(__xludf.DUMMYFUNCTION("""COMPUTED_VALUE"""),"BLACK")</f>
        <v>BLACK</v>
      </c>
      <c r="G2627" s="20" t="str">
        <f>IFERROR(__xludf.DUMMYFUNCTION("""COMPUTED_VALUE"""),"Uncle Sams Cider (5/13/2022)")</f>
        <v>Uncle Sams Cider (5/13/2022)</v>
      </c>
      <c r="H2627" s="19"/>
    </row>
    <row r="2628">
      <c r="A2628" s="9"/>
      <c r="B2628" s="15"/>
      <c r="C2628" s="9">
        <f>IFERROR(__xludf.DUMMYFUNCTION("""COMPUTED_VALUE"""),44769.2363894213)</f>
        <v>44769.23639</v>
      </c>
      <c r="D2628" s="15">
        <f>IFERROR(__xludf.DUMMYFUNCTION("""COMPUTED_VALUE"""),1.004)</f>
        <v>1.004</v>
      </c>
      <c r="E2628" s="16">
        <f>IFERROR(__xludf.DUMMYFUNCTION("""COMPUTED_VALUE"""),67.0)</f>
        <v>67</v>
      </c>
      <c r="F2628" s="19" t="str">
        <f>IFERROR(__xludf.DUMMYFUNCTION("""COMPUTED_VALUE"""),"BLACK")</f>
        <v>BLACK</v>
      </c>
      <c r="G2628" s="20" t="str">
        <f>IFERROR(__xludf.DUMMYFUNCTION("""COMPUTED_VALUE"""),"Uncle Sams Cider (5/13/2022)")</f>
        <v>Uncle Sams Cider (5/13/2022)</v>
      </c>
      <c r="H2628" s="19"/>
    </row>
    <row r="2629">
      <c r="A2629" s="9"/>
      <c r="B2629" s="15"/>
      <c r="C2629" s="9">
        <f>IFERROR(__xludf.DUMMYFUNCTION("""COMPUTED_VALUE"""),44769.2259670833)</f>
        <v>44769.22597</v>
      </c>
      <c r="D2629" s="15">
        <f>IFERROR(__xludf.DUMMYFUNCTION("""COMPUTED_VALUE"""),1.004)</f>
        <v>1.004</v>
      </c>
      <c r="E2629" s="16">
        <f>IFERROR(__xludf.DUMMYFUNCTION("""COMPUTED_VALUE"""),67.0)</f>
        <v>67</v>
      </c>
      <c r="F2629" s="19" t="str">
        <f>IFERROR(__xludf.DUMMYFUNCTION("""COMPUTED_VALUE"""),"BLACK")</f>
        <v>BLACK</v>
      </c>
      <c r="G2629" s="20" t="str">
        <f>IFERROR(__xludf.DUMMYFUNCTION("""COMPUTED_VALUE"""),"Uncle Sams Cider (5/13/2022)")</f>
        <v>Uncle Sams Cider (5/13/2022)</v>
      </c>
      <c r="H2629" s="19"/>
    </row>
    <row r="2630">
      <c r="A2630" s="9"/>
      <c r="B2630" s="15"/>
      <c r="C2630" s="9">
        <f>IFERROR(__xludf.DUMMYFUNCTION("""COMPUTED_VALUE"""),44769.2155462268)</f>
        <v>44769.21555</v>
      </c>
      <c r="D2630" s="15">
        <f>IFERROR(__xludf.DUMMYFUNCTION("""COMPUTED_VALUE"""),1.004)</f>
        <v>1.004</v>
      </c>
      <c r="E2630" s="16">
        <f>IFERROR(__xludf.DUMMYFUNCTION("""COMPUTED_VALUE"""),67.0)</f>
        <v>67</v>
      </c>
      <c r="F2630" s="19" t="str">
        <f>IFERROR(__xludf.DUMMYFUNCTION("""COMPUTED_VALUE"""),"BLACK")</f>
        <v>BLACK</v>
      </c>
      <c r="G2630" s="20" t="str">
        <f>IFERROR(__xludf.DUMMYFUNCTION("""COMPUTED_VALUE"""),"Uncle Sams Cider (5/13/2022)")</f>
        <v>Uncle Sams Cider (5/13/2022)</v>
      </c>
      <c r="H2630" s="19"/>
    </row>
    <row r="2631">
      <c r="A2631" s="9"/>
      <c r="B2631" s="15"/>
      <c r="C2631" s="9">
        <f>IFERROR(__xludf.DUMMYFUNCTION("""COMPUTED_VALUE"""),44769.2051257754)</f>
        <v>44769.20513</v>
      </c>
      <c r="D2631" s="15">
        <f>IFERROR(__xludf.DUMMYFUNCTION("""COMPUTED_VALUE"""),1.004)</f>
        <v>1.004</v>
      </c>
      <c r="E2631" s="16">
        <f>IFERROR(__xludf.DUMMYFUNCTION("""COMPUTED_VALUE"""),67.0)</f>
        <v>67</v>
      </c>
      <c r="F2631" s="19" t="str">
        <f>IFERROR(__xludf.DUMMYFUNCTION("""COMPUTED_VALUE"""),"BLACK")</f>
        <v>BLACK</v>
      </c>
      <c r="G2631" s="20" t="str">
        <f>IFERROR(__xludf.DUMMYFUNCTION("""COMPUTED_VALUE"""),"Uncle Sams Cider (5/13/2022)")</f>
        <v>Uncle Sams Cider (5/13/2022)</v>
      </c>
      <c r="H2631" s="19"/>
    </row>
    <row r="2632">
      <c r="A2632" s="9"/>
      <c r="B2632" s="15"/>
      <c r="C2632" s="9">
        <f>IFERROR(__xludf.DUMMYFUNCTION("""COMPUTED_VALUE"""),44769.1947054861)</f>
        <v>44769.19471</v>
      </c>
      <c r="D2632" s="15">
        <f>IFERROR(__xludf.DUMMYFUNCTION("""COMPUTED_VALUE"""),1.004)</f>
        <v>1.004</v>
      </c>
      <c r="E2632" s="16">
        <f>IFERROR(__xludf.DUMMYFUNCTION("""COMPUTED_VALUE"""),67.0)</f>
        <v>67</v>
      </c>
      <c r="F2632" s="19" t="str">
        <f>IFERROR(__xludf.DUMMYFUNCTION("""COMPUTED_VALUE"""),"BLACK")</f>
        <v>BLACK</v>
      </c>
      <c r="G2632" s="20" t="str">
        <f>IFERROR(__xludf.DUMMYFUNCTION("""COMPUTED_VALUE"""),"Uncle Sams Cider (5/13/2022)")</f>
        <v>Uncle Sams Cider (5/13/2022)</v>
      </c>
      <c r="H2632" s="19"/>
    </row>
    <row r="2633">
      <c r="A2633" s="9"/>
      <c r="B2633" s="15"/>
      <c r="C2633" s="9">
        <f>IFERROR(__xludf.DUMMYFUNCTION("""COMPUTED_VALUE"""),44769.1842831944)</f>
        <v>44769.18428</v>
      </c>
      <c r="D2633" s="15">
        <f>IFERROR(__xludf.DUMMYFUNCTION("""COMPUTED_VALUE"""),1.004)</f>
        <v>1.004</v>
      </c>
      <c r="E2633" s="16">
        <f>IFERROR(__xludf.DUMMYFUNCTION("""COMPUTED_VALUE"""),67.0)</f>
        <v>67</v>
      </c>
      <c r="F2633" s="19" t="str">
        <f>IFERROR(__xludf.DUMMYFUNCTION("""COMPUTED_VALUE"""),"BLACK")</f>
        <v>BLACK</v>
      </c>
      <c r="G2633" s="20" t="str">
        <f>IFERROR(__xludf.DUMMYFUNCTION("""COMPUTED_VALUE"""),"Uncle Sams Cider (5/13/2022)")</f>
        <v>Uncle Sams Cider (5/13/2022)</v>
      </c>
      <c r="H2633" s="19"/>
    </row>
    <row r="2634">
      <c r="A2634" s="9"/>
      <c r="B2634" s="15"/>
      <c r="C2634" s="9">
        <f>IFERROR(__xludf.DUMMYFUNCTION("""COMPUTED_VALUE"""),44769.173837581)</f>
        <v>44769.17384</v>
      </c>
      <c r="D2634" s="15">
        <f>IFERROR(__xludf.DUMMYFUNCTION("""COMPUTED_VALUE"""),1.004)</f>
        <v>1.004</v>
      </c>
      <c r="E2634" s="16">
        <f>IFERROR(__xludf.DUMMYFUNCTION("""COMPUTED_VALUE"""),67.0)</f>
        <v>67</v>
      </c>
      <c r="F2634" s="19" t="str">
        <f>IFERROR(__xludf.DUMMYFUNCTION("""COMPUTED_VALUE"""),"BLACK")</f>
        <v>BLACK</v>
      </c>
      <c r="G2634" s="20" t="str">
        <f>IFERROR(__xludf.DUMMYFUNCTION("""COMPUTED_VALUE"""),"Uncle Sams Cider (5/13/2022)")</f>
        <v>Uncle Sams Cider (5/13/2022)</v>
      </c>
      <c r="H2634" s="19"/>
    </row>
    <row r="2635">
      <c r="A2635" s="9"/>
      <c r="B2635" s="15"/>
      <c r="C2635" s="9">
        <f>IFERROR(__xludf.DUMMYFUNCTION("""COMPUTED_VALUE"""),44769.1634164467)</f>
        <v>44769.16342</v>
      </c>
      <c r="D2635" s="15">
        <f>IFERROR(__xludf.DUMMYFUNCTION("""COMPUTED_VALUE"""),1.004)</f>
        <v>1.004</v>
      </c>
      <c r="E2635" s="16">
        <f>IFERROR(__xludf.DUMMYFUNCTION("""COMPUTED_VALUE"""),67.0)</f>
        <v>67</v>
      </c>
      <c r="F2635" s="19" t="str">
        <f>IFERROR(__xludf.DUMMYFUNCTION("""COMPUTED_VALUE"""),"BLACK")</f>
        <v>BLACK</v>
      </c>
      <c r="G2635" s="20" t="str">
        <f>IFERROR(__xludf.DUMMYFUNCTION("""COMPUTED_VALUE"""),"Uncle Sams Cider (5/13/2022)")</f>
        <v>Uncle Sams Cider (5/13/2022)</v>
      </c>
      <c r="H2635" s="19"/>
    </row>
    <row r="2636">
      <c r="A2636" s="9"/>
      <c r="B2636" s="15"/>
      <c r="C2636" s="9">
        <f>IFERROR(__xludf.DUMMYFUNCTION("""COMPUTED_VALUE"""),44769.1529951388)</f>
        <v>44769.153</v>
      </c>
      <c r="D2636" s="15">
        <f>IFERROR(__xludf.DUMMYFUNCTION("""COMPUTED_VALUE"""),1.004)</f>
        <v>1.004</v>
      </c>
      <c r="E2636" s="16">
        <f>IFERROR(__xludf.DUMMYFUNCTION("""COMPUTED_VALUE"""),67.0)</f>
        <v>67</v>
      </c>
      <c r="F2636" s="19" t="str">
        <f>IFERROR(__xludf.DUMMYFUNCTION("""COMPUTED_VALUE"""),"BLACK")</f>
        <v>BLACK</v>
      </c>
      <c r="G2636" s="20" t="str">
        <f>IFERROR(__xludf.DUMMYFUNCTION("""COMPUTED_VALUE"""),"Uncle Sams Cider (5/13/2022)")</f>
        <v>Uncle Sams Cider (5/13/2022)</v>
      </c>
      <c r="H2636" s="19"/>
    </row>
    <row r="2637">
      <c r="A2637" s="9"/>
      <c r="B2637" s="15"/>
      <c r="C2637" s="9">
        <f>IFERROR(__xludf.DUMMYFUNCTION("""COMPUTED_VALUE"""),44769.1425745023)</f>
        <v>44769.14257</v>
      </c>
      <c r="D2637" s="15">
        <f>IFERROR(__xludf.DUMMYFUNCTION("""COMPUTED_VALUE"""),1.004)</f>
        <v>1.004</v>
      </c>
      <c r="E2637" s="16">
        <f>IFERROR(__xludf.DUMMYFUNCTION("""COMPUTED_VALUE"""),67.0)</f>
        <v>67</v>
      </c>
      <c r="F2637" s="19" t="str">
        <f>IFERROR(__xludf.DUMMYFUNCTION("""COMPUTED_VALUE"""),"BLACK")</f>
        <v>BLACK</v>
      </c>
      <c r="G2637" s="20" t="str">
        <f>IFERROR(__xludf.DUMMYFUNCTION("""COMPUTED_VALUE"""),"Uncle Sams Cider (5/13/2022)")</f>
        <v>Uncle Sams Cider (5/13/2022)</v>
      </c>
      <c r="H2637" s="19"/>
    </row>
    <row r="2638">
      <c r="A2638" s="9"/>
      <c r="B2638" s="15"/>
      <c r="C2638" s="9">
        <f>IFERROR(__xludf.DUMMYFUNCTION("""COMPUTED_VALUE"""),44769.132151875)</f>
        <v>44769.13215</v>
      </c>
      <c r="D2638" s="15">
        <f>IFERROR(__xludf.DUMMYFUNCTION("""COMPUTED_VALUE"""),1.004)</f>
        <v>1.004</v>
      </c>
      <c r="E2638" s="16">
        <f>IFERROR(__xludf.DUMMYFUNCTION("""COMPUTED_VALUE"""),67.0)</f>
        <v>67</v>
      </c>
      <c r="F2638" s="19" t="str">
        <f>IFERROR(__xludf.DUMMYFUNCTION("""COMPUTED_VALUE"""),"BLACK")</f>
        <v>BLACK</v>
      </c>
      <c r="G2638" s="20" t="str">
        <f>IFERROR(__xludf.DUMMYFUNCTION("""COMPUTED_VALUE"""),"Uncle Sams Cider (5/13/2022)")</f>
        <v>Uncle Sams Cider (5/13/2022)</v>
      </c>
      <c r="H2638" s="19"/>
    </row>
    <row r="2639">
      <c r="A2639" s="9"/>
      <c r="B2639" s="15"/>
      <c r="C2639" s="9">
        <f>IFERROR(__xludf.DUMMYFUNCTION("""COMPUTED_VALUE"""),44769.1217301851)</f>
        <v>44769.12173</v>
      </c>
      <c r="D2639" s="15">
        <f>IFERROR(__xludf.DUMMYFUNCTION("""COMPUTED_VALUE"""),1.004)</f>
        <v>1.004</v>
      </c>
      <c r="E2639" s="16">
        <f>IFERROR(__xludf.DUMMYFUNCTION("""COMPUTED_VALUE"""),67.0)</f>
        <v>67</v>
      </c>
      <c r="F2639" s="19" t="str">
        <f>IFERROR(__xludf.DUMMYFUNCTION("""COMPUTED_VALUE"""),"BLACK")</f>
        <v>BLACK</v>
      </c>
      <c r="G2639" s="20" t="str">
        <f>IFERROR(__xludf.DUMMYFUNCTION("""COMPUTED_VALUE"""),"Uncle Sams Cider (5/13/2022)")</f>
        <v>Uncle Sams Cider (5/13/2022)</v>
      </c>
      <c r="H2639" s="19"/>
    </row>
    <row r="2640">
      <c r="A2640" s="9"/>
      <c r="B2640" s="15"/>
      <c r="C2640" s="9">
        <f>IFERROR(__xludf.DUMMYFUNCTION("""COMPUTED_VALUE"""),44769.1113087847)</f>
        <v>44769.11131</v>
      </c>
      <c r="D2640" s="15">
        <f>IFERROR(__xludf.DUMMYFUNCTION("""COMPUTED_VALUE"""),1.004)</f>
        <v>1.004</v>
      </c>
      <c r="E2640" s="16">
        <f>IFERROR(__xludf.DUMMYFUNCTION("""COMPUTED_VALUE"""),67.0)</f>
        <v>67</v>
      </c>
      <c r="F2640" s="19" t="str">
        <f>IFERROR(__xludf.DUMMYFUNCTION("""COMPUTED_VALUE"""),"BLACK")</f>
        <v>BLACK</v>
      </c>
      <c r="G2640" s="20" t="str">
        <f>IFERROR(__xludf.DUMMYFUNCTION("""COMPUTED_VALUE"""),"Uncle Sams Cider (5/13/2022)")</f>
        <v>Uncle Sams Cider (5/13/2022)</v>
      </c>
      <c r="H2640" s="19"/>
    </row>
    <row r="2641">
      <c r="A2641" s="9"/>
      <c r="B2641" s="15"/>
      <c r="C2641" s="9">
        <f>IFERROR(__xludf.DUMMYFUNCTION("""COMPUTED_VALUE"""),44769.1008874189)</f>
        <v>44769.10089</v>
      </c>
      <c r="D2641" s="15">
        <f>IFERROR(__xludf.DUMMYFUNCTION("""COMPUTED_VALUE"""),1.004)</f>
        <v>1.004</v>
      </c>
      <c r="E2641" s="16">
        <f>IFERROR(__xludf.DUMMYFUNCTION("""COMPUTED_VALUE"""),67.0)</f>
        <v>67</v>
      </c>
      <c r="F2641" s="19" t="str">
        <f>IFERROR(__xludf.DUMMYFUNCTION("""COMPUTED_VALUE"""),"BLACK")</f>
        <v>BLACK</v>
      </c>
      <c r="G2641" s="20" t="str">
        <f>IFERROR(__xludf.DUMMYFUNCTION("""COMPUTED_VALUE"""),"Uncle Sams Cider (5/13/2022)")</f>
        <v>Uncle Sams Cider (5/13/2022)</v>
      </c>
      <c r="H2641" s="19"/>
    </row>
    <row r="2642">
      <c r="A2642" s="9"/>
      <c r="B2642" s="15"/>
      <c r="C2642" s="9">
        <f>IFERROR(__xludf.DUMMYFUNCTION("""COMPUTED_VALUE"""),44769.090466875)</f>
        <v>44769.09047</v>
      </c>
      <c r="D2642" s="15">
        <f>IFERROR(__xludf.DUMMYFUNCTION("""COMPUTED_VALUE"""),1.004)</f>
        <v>1.004</v>
      </c>
      <c r="E2642" s="16">
        <f>IFERROR(__xludf.DUMMYFUNCTION("""COMPUTED_VALUE"""),67.0)</f>
        <v>67</v>
      </c>
      <c r="F2642" s="19" t="str">
        <f>IFERROR(__xludf.DUMMYFUNCTION("""COMPUTED_VALUE"""),"BLACK")</f>
        <v>BLACK</v>
      </c>
      <c r="G2642" s="20" t="str">
        <f>IFERROR(__xludf.DUMMYFUNCTION("""COMPUTED_VALUE"""),"Uncle Sams Cider (5/13/2022)")</f>
        <v>Uncle Sams Cider (5/13/2022)</v>
      </c>
      <c r="H2642" s="19"/>
    </row>
    <row r="2643">
      <c r="A2643" s="9"/>
      <c r="B2643" s="15"/>
      <c r="C2643" s="9">
        <f>IFERROR(__xludf.DUMMYFUNCTION("""COMPUTED_VALUE"""),44769.0800465509)</f>
        <v>44769.08005</v>
      </c>
      <c r="D2643" s="15">
        <f>IFERROR(__xludf.DUMMYFUNCTION("""COMPUTED_VALUE"""),1.004)</f>
        <v>1.004</v>
      </c>
      <c r="E2643" s="16">
        <f>IFERROR(__xludf.DUMMYFUNCTION("""COMPUTED_VALUE"""),67.0)</f>
        <v>67</v>
      </c>
      <c r="F2643" s="19" t="str">
        <f>IFERROR(__xludf.DUMMYFUNCTION("""COMPUTED_VALUE"""),"BLACK")</f>
        <v>BLACK</v>
      </c>
      <c r="G2643" s="20" t="str">
        <f>IFERROR(__xludf.DUMMYFUNCTION("""COMPUTED_VALUE"""),"Uncle Sams Cider (5/13/2022)")</f>
        <v>Uncle Sams Cider (5/13/2022)</v>
      </c>
      <c r="H2643" s="19"/>
    </row>
    <row r="2644">
      <c r="A2644" s="9"/>
      <c r="B2644" s="15"/>
      <c r="C2644" s="9">
        <f>IFERROR(__xludf.DUMMYFUNCTION("""COMPUTED_VALUE"""),44769.0696249305)</f>
        <v>44769.06962</v>
      </c>
      <c r="D2644" s="15">
        <f>IFERROR(__xludf.DUMMYFUNCTION("""COMPUTED_VALUE"""),1.004)</f>
        <v>1.004</v>
      </c>
      <c r="E2644" s="16">
        <f>IFERROR(__xludf.DUMMYFUNCTION("""COMPUTED_VALUE"""),67.0)</f>
        <v>67</v>
      </c>
      <c r="F2644" s="19" t="str">
        <f>IFERROR(__xludf.DUMMYFUNCTION("""COMPUTED_VALUE"""),"BLACK")</f>
        <v>BLACK</v>
      </c>
      <c r="G2644" s="20" t="str">
        <f>IFERROR(__xludf.DUMMYFUNCTION("""COMPUTED_VALUE"""),"Uncle Sams Cider (5/13/2022)")</f>
        <v>Uncle Sams Cider (5/13/2022)</v>
      </c>
      <c r="H2644" s="19"/>
    </row>
    <row r="2645">
      <c r="A2645" s="9"/>
      <c r="B2645" s="15"/>
      <c r="C2645" s="9">
        <f>IFERROR(__xludf.DUMMYFUNCTION("""COMPUTED_VALUE"""),44769.0592043171)</f>
        <v>44769.0592</v>
      </c>
      <c r="D2645" s="15">
        <f>IFERROR(__xludf.DUMMYFUNCTION("""COMPUTED_VALUE"""),1.004)</f>
        <v>1.004</v>
      </c>
      <c r="E2645" s="16">
        <f>IFERROR(__xludf.DUMMYFUNCTION("""COMPUTED_VALUE"""),67.0)</f>
        <v>67</v>
      </c>
      <c r="F2645" s="19" t="str">
        <f>IFERROR(__xludf.DUMMYFUNCTION("""COMPUTED_VALUE"""),"BLACK")</f>
        <v>BLACK</v>
      </c>
      <c r="G2645" s="20" t="str">
        <f>IFERROR(__xludf.DUMMYFUNCTION("""COMPUTED_VALUE"""),"Uncle Sams Cider (5/13/2022)")</f>
        <v>Uncle Sams Cider (5/13/2022)</v>
      </c>
      <c r="H2645" s="19"/>
    </row>
    <row r="2646">
      <c r="A2646" s="9"/>
      <c r="B2646" s="15"/>
      <c r="C2646" s="9">
        <f>IFERROR(__xludf.DUMMYFUNCTION("""COMPUTED_VALUE"""),44769.048773449)</f>
        <v>44769.04877</v>
      </c>
      <c r="D2646" s="15">
        <f>IFERROR(__xludf.DUMMYFUNCTION("""COMPUTED_VALUE"""),1.004)</f>
        <v>1.004</v>
      </c>
      <c r="E2646" s="16">
        <f>IFERROR(__xludf.DUMMYFUNCTION("""COMPUTED_VALUE"""),66.0)</f>
        <v>66</v>
      </c>
      <c r="F2646" s="19" t="str">
        <f>IFERROR(__xludf.DUMMYFUNCTION("""COMPUTED_VALUE"""),"BLACK")</f>
        <v>BLACK</v>
      </c>
      <c r="G2646" s="20" t="str">
        <f>IFERROR(__xludf.DUMMYFUNCTION("""COMPUTED_VALUE"""),"Uncle Sams Cider (5/13/2022)")</f>
        <v>Uncle Sams Cider (5/13/2022)</v>
      </c>
      <c r="H2646" s="19"/>
    </row>
    <row r="2647">
      <c r="A2647" s="9"/>
      <c r="B2647" s="15"/>
      <c r="C2647" s="9">
        <f>IFERROR(__xludf.DUMMYFUNCTION("""COMPUTED_VALUE"""),44769.0383540277)</f>
        <v>44769.03835</v>
      </c>
      <c r="D2647" s="15">
        <f>IFERROR(__xludf.DUMMYFUNCTION("""COMPUTED_VALUE"""),1.004)</f>
        <v>1.004</v>
      </c>
      <c r="E2647" s="16">
        <f>IFERROR(__xludf.DUMMYFUNCTION("""COMPUTED_VALUE"""),66.0)</f>
        <v>66</v>
      </c>
      <c r="F2647" s="19" t="str">
        <f>IFERROR(__xludf.DUMMYFUNCTION("""COMPUTED_VALUE"""),"BLACK")</f>
        <v>BLACK</v>
      </c>
      <c r="G2647" s="20" t="str">
        <f>IFERROR(__xludf.DUMMYFUNCTION("""COMPUTED_VALUE"""),"Uncle Sams Cider (5/13/2022)")</f>
        <v>Uncle Sams Cider (5/13/2022)</v>
      </c>
      <c r="H2647" s="19"/>
    </row>
    <row r="2648">
      <c r="A2648" s="9"/>
      <c r="B2648" s="15"/>
      <c r="C2648" s="9">
        <f>IFERROR(__xludf.DUMMYFUNCTION("""COMPUTED_VALUE"""),44769.0279322453)</f>
        <v>44769.02793</v>
      </c>
      <c r="D2648" s="15">
        <f>IFERROR(__xludf.DUMMYFUNCTION("""COMPUTED_VALUE"""),1.004)</f>
        <v>1.004</v>
      </c>
      <c r="E2648" s="16">
        <f>IFERROR(__xludf.DUMMYFUNCTION("""COMPUTED_VALUE"""),66.0)</f>
        <v>66</v>
      </c>
      <c r="F2648" s="19" t="str">
        <f>IFERROR(__xludf.DUMMYFUNCTION("""COMPUTED_VALUE"""),"BLACK")</f>
        <v>BLACK</v>
      </c>
      <c r="G2648" s="20" t="str">
        <f>IFERROR(__xludf.DUMMYFUNCTION("""COMPUTED_VALUE"""),"Uncle Sams Cider (5/13/2022)")</f>
        <v>Uncle Sams Cider (5/13/2022)</v>
      </c>
      <c r="H2648" s="19"/>
    </row>
    <row r="2649">
      <c r="A2649" s="9"/>
      <c r="B2649" s="15"/>
      <c r="C2649" s="9">
        <f>IFERROR(__xludf.DUMMYFUNCTION("""COMPUTED_VALUE"""),44769.017511412)</f>
        <v>44769.01751</v>
      </c>
      <c r="D2649" s="15">
        <f>IFERROR(__xludf.DUMMYFUNCTION("""COMPUTED_VALUE"""),1.004)</f>
        <v>1.004</v>
      </c>
      <c r="E2649" s="16">
        <f>IFERROR(__xludf.DUMMYFUNCTION("""COMPUTED_VALUE"""),66.0)</f>
        <v>66</v>
      </c>
      <c r="F2649" s="19" t="str">
        <f>IFERROR(__xludf.DUMMYFUNCTION("""COMPUTED_VALUE"""),"BLACK")</f>
        <v>BLACK</v>
      </c>
      <c r="G2649" s="20" t="str">
        <f>IFERROR(__xludf.DUMMYFUNCTION("""COMPUTED_VALUE"""),"Uncle Sams Cider (5/13/2022)")</f>
        <v>Uncle Sams Cider (5/13/2022)</v>
      </c>
      <c r="H2649" s="19"/>
    </row>
    <row r="2650">
      <c r="A2650" s="9"/>
      <c r="B2650" s="15"/>
      <c r="C2650" s="9">
        <f>IFERROR(__xludf.DUMMYFUNCTION("""COMPUTED_VALUE"""),44769.0070897106)</f>
        <v>44769.00709</v>
      </c>
      <c r="D2650" s="15">
        <f>IFERROR(__xludf.DUMMYFUNCTION("""COMPUTED_VALUE"""),1.004)</f>
        <v>1.004</v>
      </c>
      <c r="E2650" s="16">
        <f>IFERROR(__xludf.DUMMYFUNCTION("""COMPUTED_VALUE"""),66.0)</f>
        <v>66</v>
      </c>
      <c r="F2650" s="19" t="str">
        <f>IFERROR(__xludf.DUMMYFUNCTION("""COMPUTED_VALUE"""),"BLACK")</f>
        <v>BLACK</v>
      </c>
      <c r="G2650" s="20" t="str">
        <f>IFERROR(__xludf.DUMMYFUNCTION("""COMPUTED_VALUE"""),"Uncle Sams Cider (5/13/2022)")</f>
        <v>Uncle Sams Cider (5/13/2022)</v>
      </c>
      <c r="H2650" s="19"/>
    </row>
    <row r="2651">
      <c r="A2651" s="9"/>
      <c r="B2651" s="15"/>
      <c r="C2651" s="9">
        <f>IFERROR(__xludf.DUMMYFUNCTION("""COMPUTED_VALUE"""),44768.9966568634)</f>
        <v>44768.99666</v>
      </c>
      <c r="D2651" s="15">
        <f>IFERROR(__xludf.DUMMYFUNCTION("""COMPUTED_VALUE"""),1.004)</f>
        <v>1.004</v>
      </c>
      <c r="E2651" s="16">
        <f>IFERROR(__xludf.DUMMYFUNCTION("""COMPUTED_VALUE"""),66.0)</f>
        <v>66</v>
      </c>
      <c r="F2651" s="19" t="str">
        <f>IFERROR(__xludf.DUMMYFUNCTION("""COMPUTED_VALUE"""),"BLACK")</f>
        <v>BLACK</v>
      </c>
      <c r="G2651" s="20" t="str">
        <f>IFERROR(__xludf.DUMMYFUNCTION("""COMPUTED_VALUE"""),"Uncle Sams Cider (5/13/2022)")</f>
        <v>Uncle Sams Cider (5/13/2022)</v>
      </c>
      <c r="H2651" s="19"/>
    </row>
    <row r="2652">
      <c r="A2652" s="9"/>
      <c r="B2652" s="15"/>
      <c r="C2652" s="9">
        <f>IFERROR(__xludf.DUMMYFUNCTION("""COMPUTED_VALUE"""),44768.9862353472)</f>
        <v>44768.98624</v>
      </c>
      <c r="D2652" s="15">
        <f>IFERROR(__xludf.DUMMYFUNCTION("""COMPUTED_VALUE"""),1.004)</f>
        <v>1.004</v>
      </c>
      <c r="E2652" s="16">
        <f>IFERROR(__xludf.DUMMYFUNCTION("""COMPUTED_VALUE"""),66.0)</f>
        <v>66</v>
      </c>
      <c r="F2652" s="19" t="str">
        <f>IFERROR(__xludf.DUMMYFUNCTION("""COMPUTED_VALUE"""),"BLACK")</f>
        <v>BLACK</v>
      </c>
      <c r="G2652" s="20" t="str">
        <f>IFERROR(__xludf.DUMMYFUNCTION("""COMPUTED_VALUE"""),"Uncle Sams Cider (5/13/2022)")</f>
        <v>Uncle Sams Cider (5/13/2022)</v>
      </c>
      <c r="H2652" s="19"/>
    </row>
    <row r="2653">
      <c r="A2653" s="9"/>
      <c r="B2653" s="15"/>
      <c r="C2653" s="9">
        <f>IFERROR(__xludf.DUMMYFUNCTION("""COMPUTED_VALUE"""),44768.9758132523)</f>
        <v>44768.97581</v>
      </c>
      <c r="D2653" s="15">
        <f>IFERROR(__xludf.DUMMYFUNCTION("""COMPUTED_VALUE"""),1.004)</f>
        <v>1.004</v>
      </c>
      <c r="E2653" s="16">
        <f>IFERROR(__xludf.DUMMYFUNCTION("""COMPUTED_VALUE"""),66.0)</f>
        <v>66</v>
      </c>
      <c r="F2653" s="19" t="str">
        <f>IFERROR(__xludf.DUMMYFUNCTION("""COMPUTED_VALUE"""),"BLACK")</f>
        <v>BLACK</v>
      </c>
      <c r="G2653" s="20" t="str">
        <f>IFERROR(__xludf.DUMMYFUNCTION("""COMPUTED_VALUE"""),"Uncle Sams Cider (5/13/2022)")</f>
        <v>Uncle Sams Cider (5/13/2022)</v>
      </c>
      <c r="H2653" s="19"/>
    </row>
    <row r="2654">
      <c r="A2654" s="9"/>
      <c r="B2654" s="15"/>
      <c r="C2654" s="9">
        <f>IFERROR(__xludf.DUMMYFUNCTION("""COMPUTED_VALUE"""),44768.9653910648)</f>
        <v>44768.96539</v>
      </c>
      <c r="D2654" s="15">
        <f>IFERROR(__xludf.DUMMYFUNCTION("""COMPUTED_VALUE"""),1.004)</f>
        <v>1.004</v>
      </c>
      <c r="E2654" s="16">
        <f>IFERROR(__xludf.DUMMYFUNCTION("""COMPUTED_VALUE"""),66.0)</f>
        <v>66</v>
      </c>
      <c r="F2654" s="19" t="str">
        <f>IFERROR(__xludf.DUMMYFUNCTION("""COMPUTED_VALUE"""),"BLACK")</f>
        <v>BLACK</v>
      </c>
      <c r="G2654" s="20" t="str">
        <f>IFERROR(__xludf.DUMMYFUNCTION("""COMPUTED_VALUE"""),"Uncle Sams Cider (5/13/2022)")</f>
        <v>Uncle Sams Cider (5/13/2022)</v>
      </c>
      <c r="H2654" s="19"/>
    </row>
    <row r="2655">
      <c r="A2655" s="9"/>
      <c r="B2655" s="15"/>
      <c r="C2655" s="9">
        <f>IFERROR(__xludf.DUMMYFUNCTION("""COMPUTED_VALUE"""),44768.9549694213)</f>
        <v>44768.95497</v>
      </c>
      <c r="D2655" s="15">
        <f>IFERROR(__xludf.DUMMYFUNCTION("""COMPUTED_VALUE"""),1.004)</f>
        <v>1.004</v>
      </c>
      <c r="E2655" s="16">
        <f>IFERROR(__xludf.DUMMYFUNCTION("""COMPUTED_VALUE"""),66.0)</f>
        <v>66</v>
      </c>
      <c r="F2655" s="19" t="str">
        <f>IFERROR(__xludf.DUMMYFUNCTION("""COMPUTED_VALUE"""),"BLACK")</f>
        <v>BLACK</v>
      </c>
      <c r="G2655" s="20" t="str">
        <f>IFERROR(__xludf.DUMMYFUNCTION("""COMPUTED_VALUE"""),"Uncle Sams Cider (5/13/2022)")</f>
        <v>Uncle Sams Cider (5/13/2022)</v>
      </c>
      <c r="H2655" s="19"/>
    </row>
    <row r="2656">
      <c r="A2656" s="9"/>
      <c r="B2656" s="15"/>
      <c r="C2656" s="9">
        <f>IFERROR(__xludf.DUMMYFUNCTION("""COMPUTED_VALUE"""),44768.9445491319)</f>
        <v>44768.94455</v>
      </c>
      <c r="D2656" s="15">
        <f>IFERROR(__xludf.DUMMYFUNCTION("""COMPUTED_VALUE"""),1.004)</f>
        <v>1.004</v>
      </c>
      <c r="E2656" s="16">
        <f>IFERROR(__xludf.DUMMYFUNCTION("""COMPUTED_VALUE"""),66.0)</f>
        <v>66</v>
      </c>
      <c r="F2656" s="19" t="str">
        <f>IFERROR(__xludf.DUMMYFUNCTION("""COMPUTED_VALUE"""),"BLACK")</f>
        <v>BLACK</v>
      </c>
      <c r="G2656" s="20" t="str">
        <f>IFERROR(__xludf.DUMMYFUNCTION("""COMPUTED_VALUE"""),"Uncle Sams Cider (5/13/2022)")</f>
        <v>Uncle Sams Cider (5/13/2022)</v>
      </c>
      <c r="H2656" s="19"/>
    </row>
    <row r="2657">
      <c r="A2657" s="9"/>
      <c r="B2657" s="15"/>
      <c r="C2657" s="9">
        <f>IFERROR(__xludf.DUMMYFUNCTION("""COMPUTED_VALUE"""),44768.9341273842)</f>
        <v>44768.93413</v>
      </c>
      <c r="D2657" s="15">
        <f>IFERROR(__xludf.DUMMYFUNCTION("""COMPUTED_VALUE"""),1.004)</f>
        <v>1.004</v>
      </c>
      <c r="E2657" s="16">
        <f>IFERROR(__xludf.DUMMYFUNCTION("""COMPUTED_VALUE"""),66.0)</f>
        <v>66</v>
      </c>
      <c r="F2657" s="19" t="str">
        <f>IFERROR(__xludf.DUMMYFUNCTION("""COMPUTED_VALUE"""),"BLACK")</f>
        <v>BLACK</v>
      </c>
      <c r="G2657" s="20" t="str">
        <f>IFERROR(__xludf.DUMMYFUNCTION("""COMPUTED_VALUE"""),"Uncle Sams Cider (5/13/2022)")</f>
        <v>Uncle Sams Cider (5/13/2022)</v>
      </c>
      <c r="H2657" s="19"/>
    </row>
    <row r="2658">
      <c r="A2658" s="9"/>
      <c r="B2658" s="15"/>
      <c r="C2658" s="9">
        <f>IFERROR(__xludf.DUMMYFUNCTION("""COMPUTED_VALUE"""),44768.9237047338)</f>
        <v>44768.9237</v>
      </c>
      <c r="D2658" s="15">
        <f>IFERROR(__xludf.DUMMYFUNCTION("""COMPUTED_VALUE"""),1.004)</f>
        <v>1.004</v>
      </c>
      <c r="E2658" s="16">
        <f>IFERROR(__xludf.DUMMYFUNCTION("""COMPUTED_VALUE"""),66.0)</f>
        <v>66</v>
      </c>
      <c r="F2658" s="19" t="str">
        <f>IFERROR(__xludf.DUMMYFUNCTION("""COMPUTED_VALUE"""),"BLACK")</f>
        <v>BLACK</v>
      </c>
      <c r="G2658" s="20" t="str">
        <f>IFERROR(__xludf.DUMMYFUNCTION("""COMPUTED_VALUE"""),"Uncle Sams Cider (5/13/2022)")</f>
        <v>Uncle Sams Cider (5/13/2022)</v>
      </c>
      <c r="H2658" s="19"/>
    </row>
    <row r="2659">
      <c r="A2659" s="9"/>
      <c r="B2659" s="15"/>
      <c r="C2659" s="9">
        <f>IFERROR(__xludf.DUMMYFUNCTION("""COMPUTED_VALUE"""),44768.9132841782)</f>
        <v>44768.91328</v>
      </c>
      <c r="D2659" s="15">
        <f>IFERROR(__xludf.DUMMYFUNCTION("""COMPUTED_VALUE"""),1.004)</f>
        <v>1.004</v>
      </c>
      <c r="E2659" s="16">
        <f>IFERROR(__xludf.DUMMYFUNCTION("""COMPUTED_VALUE"""),66.0)</f>
        <v>66</v>
      </c>
      <c r="F2659" s="19" t="str">
        <f>IFERROR(__xludf.DUMMYFUNCTION("""COMPUTED_VALUE"""),"BLACK")</f>
        <v>BLACK</v>
      </c>
      <c r="G2659" s="20" t="str">
        <f>IFERROR(__xludf.DUMMYFUNCTION("""COMPUTED_VALUE"""),"Uncle Sams Cider (5/13/2022)")</f>
        <v>Uncle Sams Cider (5/13/2022)</v>
      </c>
      <c r="H2659" s="19"/>
    </row>
    <row r="2660">
      <c r="A2660" s="9"/>
      <c r="B2660" s="15"/>
      <c r="C2660" s="9">
        <f>IFERROR(__xludf.DUMMYFUNCTION("""COMPUTED_VALUE"""),44768.9028629513)</f>
        <v>44768.90286</v>
      </c>
      <c r="D2660" s="15">
        <f>IFERROR(__xludf.DUMMYFUNCTION("""COMPUTED_VALUE"""),1.003)</f>
        <v>1.003</v>
      </c>
      <c r="E2660" s="16">
        <f>IFERROR(__xludf.DUMMYFUNCTION("""COMPUTED_VALUE"""),66.0)</f>
        <v>66</v>
      </c>
      <c r="F2660" s="19" t="str">
        <f>IFERROR(__xludf.DUMMYFUNCTION("""COMPUTED_VALUE"""),"BLACK")</f>
        <v>BLACK</v>
      </c>
      <c r="G2660" s="20" t="str">
        <f>IFERROR(__xludf.DUMMYFUNCTION("""COMPUTED_VALUE"""),"Uncle Sams Cider (5/13/2022)")</f>
        <v>Uncle Sams Cider (5/13/2022)</v>
      </c>
      <c r="H2660" s="19"/>
    </row>
    <row r="2661">
      <c r="A2661" s="9"/>
      <c r="B2661" s="15"/>
      <c r="C2661" s="9">
        <f>IFERROR(__xludf.DUMMYFUNCTION("""COMPUTED_VALUE"""),44768.89242978)</f>
        <v>44768.89243</v>
      </c>
      <c r="D2661" s="15">
        <f>IFERROR(__xludf.DUMMYFUNCTION("""COMPUTED_VALUE"""),1.004)</f>
        <v>1.004</v>
      </c>
      <c r="E2661" s="16">
        <f>IFERROR(__xludf.DUMMYFUNCTION("""COMPUTED_VALUE"""),66.0)</f>
        <v>66</v>
      </c>
      <c r="F2661" s="19" t="str">
        <f>IFERROR(__xludf.DUMMYFUNCTION("""COMPUTED_VALUE"""),"BLACK")</f>
        <v>BLACK</v>
      </c>
      <c r="G2661" s="20" t="str">
        <f>IFERROR(__xludf.DUMMYFUNCTION("""COMPUTED_VALUE"""),"Uncle Sams Cider (5/13/2022)")</f>
        <v>Uncle Sams Cider (5/13/2022)</v>
      </c>
      <c r="H2661" s="19"/>
    </row>
    <row r="2662">
      <c r="A2662" s="9"/>
      <c r="B2662" s="15"/>
      <c r="C2662" s="9">
        <f>IFERROR(__xludf.DUMMYFUNCTION("""COMPUTED_VALUE"""),44768.8819845833)</f>
        <v>44768.88198</v>
      </c>
      <c r="D2662" s="15">
        <f>IFERROR(__xludf.DUMMYFUNCTION("""COMPUTED_VALUE"""),1.004)</f>
        <v>1.004</v>
      </c>
      <c r="E2662" s="16">
        <f>IFERROR(__xludf.DUMMYFUNCTION("""COMPUTED_VALUE"""),66.0)</f>
        <v>66</v>
      </c>
      <c r="F2662" s="19" t="str">
        <f>IFERROR(__xludf.DUMMYFUNCTION("""COMPUTED_VALUE"""),"BLACK")</f>
        <v>BLACK</v>
      </c>
      <c r="G2662" s="20" t="str">
        <f>IFERROR(__xludf.DUMMYFUNCTION("""COMPUTED_VALUE"""),"Uncle Sams Cider (5/13/2022)")</f>
        <v>Uncle Sams Cider (5/13/2022)</v>
      </c>
      <c r="H2662" s="19"/>
    </row>
    <row r="2663">
      <c r="A2663" s="9"/>
      <c r="B2663" s="15"/>
      <c r="C2663" s="9">
        <f>IFERROR(__xludf.DUMMYFUNCTION("""COMPUTED_VALUE"""),44768.8715639467)</f>
        <v>44768.87156</v>
      </c>
      <c r="D2663" s="15">
        <f>IFERROR(__xludf.DUMMYFUNCTION("""COMPUTED_VALUE"""),1.004)</f>
        <v>1.004</v>
      </c>
      <c r="E2663" s="16">
        <f>IFERROR(__xludf.DUMMYFUNCTION("""COMPUTED_VALUE"""),66.0)</f>
        <v>66</v>
      </c>
      <c r="F2663" s="19" t="str">
        <f>IFERROR(__xludf.DUMMYFUNCTION("""COMPUTED_VALUE"""),"BLACK")</f>
        <v>BLACK</v>
      </c>
      <c r="G2663" s="20" t="str">
        <f>IFERROR(__xludf.DUMMYFUNCTION("""COMPUTED_VALUE"""),"Uncle Sams Cider (5/13/2022)")</f>
        <v>Uncle Sams Cider (5/13/2022)</v>
      </c>
      <c r="H2663" s="19"/>
    </row>
    <row r="2664">
      <c r="A2664" s="9"/>
      <c r="B2664" s="15"/>
      <c r="C2664" s="9">
        <f>IFERROR(__xludf.DUMMYFUNCTION("""COMPUTED_VALUE"""),44768.8611433217)</f>
        <v>44768.86114</v>
      </c>
      <c r="D2664" s="15">
        <f>IFERROR(__xludf.DUMMYFUNCTION("""COMPUTED_VALUE"""),1.004)</f>
        <v>1.004</v>
      </c>
      <c r="E2664" s="16">
        <f>IFERROR(__xludf.DUMMYFUNCTION("""COMPUTED_VALUE"""),66.0)</f>
        <v>66</v>
      </c>
      <c r="F2664" s="19" t="str">
        <f>IFERROR(__xludf.DUMMYFUNCTION("""COMPUTED_VALUE"""),"BLACK")</f>
        <v>BLACK</v>
      </c>
      <c r="G2664" s="20" t="str">
        <f>IFERROR(__xludf.DUMMYFUNCTION("""COMPUTED_VALUE"""),"Uncle Sams Cider (5/13/2022)")</f>
        <v>Uncle Sams Cider (5/13/2022)</v>
      </c>
      <c r="H2664" s="19"/>
    </row>
    <row r="2665">
      <c r="A2665" s="9"/>
      <c r="B2665" s="15"/>
      <c r="C2665" s="9">
        <f>IFERROR(__xludf.DUMMYFUNCTION("""COMPUTED_VALUE"""),44768.8507224884)</f>
        <v>44768.85072</v>
      </c>
      <c r="D2665" s="15">
        <f>IFERROR(__xludf.DUMMYFUNCTION("""COMPUTED_VALUE"""),1.004)</f>
        <v>1.004</v>
      </c>
      <c r="E2665" s="16">
        <f>IFERROR(__xludf.DUMMYFUNCTION("""COMPUTED_VALUE"""),66.0)</f>
        <v>66</v>
      </c>
      <c r="F2665" s="19" t="str">
        <f>IFERROR(__xludf.DUMMYFUNCTION("""COMPUTED_VALUE"""),"BLACK")</f>
        <v>BLACK</v>
      </c>
      <c r="G2665" s="20" t="str">
        <f>IFERROR(__xludf.DUMMYFUNCTION("""COMPUTED_VALUE"""),"Uncle Sams Cider (5/13/2022)")</f>
        <v>Uncle Sams Cider (5/13/2022)</v>
      </c>
      <c r="H2665" s="19"/>
    </row>
    <row r="2666">
      <c r="A2666" s="9"/>
      <c r="B2666" s="15"/>
      <c r="C2666" s="9">
        <f>IFERROR(__xludf.DUMMYFUNCTION("""COMPUTED_VALUE"""),44768.8403008564)</f>
        <v>44768.8403</v>
      </c>
      <c r="D2666" s="15">
        <f>IFERROR(__xludf.DUMMYFUNCTION("""COMPUTED_VALUE"""),1.004)</f>
        <v>1.004</v>
      </c>
      <c r="E2666" s="16">
        <f>IFERROR(__xludf.DUMMYFUNCTION("""COMPUTED_VALUE"""),66.0)</f>
        <v>66</v>
      </c>
      <c r="F2666" s="19" t="str">
        <f>IFERROR(__xludf.DUMMYFUNCTION("""COMPUTED_VALUE"""),"BLACK")</f>
        <v>BLACK</v>
      </c>
      <c r="G2666" s="20" t="str">
        <f>IFERROR(__xludf.DUMMYFUNCTION("""COMPUTED_VALUE"""),"Uncle Sams Cider (5/13/2022)")</f>
        <v>Uncle Sams Cider (5/13/2022)</v>
      </c>
      <c r="H2666" s="19"/>
    </row>
    <row r="2667">
      <c r="A2667" s="9"/>
      <c r="B2667" s="15"/>
      <c r="C2667" s="9">
        <f>IFERROR(__xludf.DUMMYFUNCTION("""COMPUTED_VALUE"""),44768.8298817361)</f>
        <v>44768.82988</v>
      </c>
      <c r="D2667" s="15">
        <f>IFERROR(__xludf.DUMMYFUNCTION("""COMPUTED_VALUE"""),1.004)</f>
        <v>1.004</v>
      </c>
      <c r="E2667" s="16">
        <f>IFERROR(__xludf.DUMMYFUNCTION("""COMPUTED_VALUE"""),66.0)</f>
        <v>66</v>
      </c>
      <c r="F2667" s="19" t="str">
        <f>IFERROR(__xludf.DUMMYFUNCTION("""COMPUTED_VALUE"""),"BLACK")</f>
        <v>BLACK</v>
      </c>
      <c r="G2667" s="20" t="str">
        <f>IFERROR(__xludf.DUMMYFUNCTION("""COMPUTED_VALUE"""),"Uncle Sams Cider (5/13/2022)")</f>
        <v>Uncle Sams Cider (5/13/2022)</v>
      </c>
      <c r="H2667" s="19"/>
    </row>
    <row r="2668">
      <c r="A2668" s="9"/>
      <c r="B2668" s="15"/>
      <c r="C2668" s="9">
        <f>IFERROR(__xludf.DUMMYFUNCTION("""COMPUTED_VALUE"""),44768.8194614351)</f>
        <v>44768.81946</v>
      </c>
      <c r="D2668" s="15">
        <f>IFERROR(__xludf.DUMMYFUNCTION("""COMPUTED_VALUE"""),1.004)</f>
        <v>1.004</v>
      </c>
      <c r="E2668" s="16">
        <f>IFERROR(__xludf.DUMMYFUNCTION("""COMPUTED_VALUE"""),66.0)</f>
        <v>66</v>
      </c>
      <c r="F2668" s="19" t="str">
        <f>IFERROR(__xludf.DUMMYFUNCTION("""COMPUTED_VALUE"""),"BLACK")</f>
        <v>BLACK</v>
      </c>
      <c r="G2668" s="20" t="str">
        <f>IFERROR(__xludf.DUMMYFUNCTION("""COMPUTED_VALUE"""),"Uncle Sams Cider (5/13/2022)")</f>
        <v>Uncle Sams Cider (5/13/2022)</v>
      </c>
      <c r="H2668" s="19"/>
    </row>
    <row r="2669">
      <c r="A2669" s="9"/>
      <c r="B2669" s="15"/>
      <c r="C2669" s="9">
        <f>IFERROR(__xludf.DUMMYFUNCTION("""COMPUTED_VALUE"""),44768.809038831)</f>
        <v>44768.80904</v>
      </c>
      <c r="D2669" s="15">
        <f>IFERROR(__xludf.DUMMYFUNCTION("""COMPUTED_VALUE"""),1.004)</f>
        <v>1.004</v>
      </c>
      <c r="E2669" s="16">
        <f>IFERROR(__xludf.DUMMYFUNCTION("""COMPUTED_VALUE"""),67.0)</f>
        <v>67</v>
      </c>
      <c r="F2669" s="19" t="str">
        <f>IFERROR(__xludf.DUMMYFUNCTION("""COMPUTED_VALUE"""),"BLACK")</f>
        <v>BLACK</v>
      </c>
      <c r="G2669" s="20" t="str">
        <f>IFERROR(__xludf.DUMMYFUNCTION("""COMPUTED_VALUE"""),"Uncle Sams Cider (5/13/2022)")</f>
        <v>Uncle Sams Cider (5/13/2022)</v>
      </c>
      <c r="H2669" s="19"/>
    </row>
    <row r="2670">
      <c r="A2670" s="9"/>
      <c r="B2670" s="15"/>
      <c r="C2670" s="9">
        <f>IFERROR(__xludf.DUMMYFUNCTION("""COMPUTED_VALUE"""),44768.7986165162)</f>
        <v>44768.79862</v>
      </c>
      <c r="D2670" s="15">
        <f>IFERROR(__xludf.DUMMYFUNCTION("""COMPUTED_VALUE"""),1.004)</f>
        <v>1.004</v>
      </c>
      <c r="E2670" s="16">
        <f>IFERROR(__xludf.DUMMYFUNCTION("""COMPUTED_VALUE"""),67.0)</f>
        <v>67</v>
      </c>
      <c r="F2670" s="19" t="str">
        <f>IFERROR(__xludf.DUMMYFUNCTION("""COMPUTED_VALUE"""),"BLACK")</f>
        <v>BLACK</v>
      </c>
      <c r="G2670" s="20" t="str">
        <f>IFERROR(__xludf.DUMMYFUNCTION("""COMPUTED_VALUE"""),"Uncle Sams Cider (5/13/2022)")</f>
        <v>Uncle Sams Cider (5/13/2022)</v>
      </c>
      <c r="H2670" s="19"/>
    </row>
    <row r="2671">
      <c r="A2671" s="9"/>
      <c r="B2671" s="15"/>
      <c r="C2671" s="9">
        <f>IFERROR(__xludf.DUMMYFUNCTION("""COMPUTED_VALUE"""),44768.7881853356)</f>
        <v>44768.78819</v>
      </c>
      <c r="D2671" s="15">
        <f>IFERROR(__xludf.DUMMYFUNCTION("""COMPUTED_VALUE"""),1.004)</f>
        <v>1.004</v>
      </c>
      <c r="E2671" s="16">
        <f>IFERROR(__xludf.DUMMYFUNCTION("""COMPUTED_VALUE"""),68.0)</f>
        <v>68</v>
      </c>
      <c r="F2671" s="19" t="str">
        <f>IFERROR(__xludf.DUMMYFUNCTION("""COMPUTED_VALUE"""),"BLACK")</f>
        <v>BLACK</v>
      </c>
      <c r="G2671" s="20" t="str">
        <f>IFERROR(__xludf.DUMMYFUNCTION("""COMPUTED_VALUE"""),"Uncle Sams Cider (5/13/2022)")</f>
        <v>Uncle Sams Cider (5/13/2022)</v>
      </c>
      <c r="H2671" s="19"/>
    </row>
    <row r="2672">
      <c r="A2672" s="9"/>
      <c r="B2672" s="15"/>
      <c r="C2672" s="9">
        <f>IFERROR(__xludf.DUMMYFUNCTION("""COMPUTED_VALUE"""),44768.7777646759)</f>
        <v>44768.77776</v>
      </c>
      <c r="D2672" s="15">
        <f>IFERROR(__xludf.DUMMYFUNCTION("""COMPUTED_VALUE"""),1.004)</f>
        <v>1.004</v>
      </c>
      <c r="E2672" s="16">
        <f>IFERROR(__xludf.DUMMYFUNCTION("""COMPUTED_VALUE"""),69.0)</f>
        <v>69</v>
      </c>
      <c r="F2672" s="19" t="str">
        <f>IFERROR(__xludf.DUMMYFUNCTION("""COMPUTED_VALUE"""),"BLACK")</f>
        <v>BLACK</v>
      </c>
      <c r="G2672" s="20" t="str">
        <f>IFERROR(__xludf.DUMMYFUNCTION("""COMPUTED_VALUE"""),"Uncle Sams Cider (5/13/2022)")</f>
        <v>Uncle Sams Cider (5/13/2022)</v>
      </c>
      <c r="H2672" s="19"/>
    </row>
    <row r="2673">
      <c r="A2673" s="9"/>
      <c r="B2673" s="15"/>
      <c r="C2673" s="9">
        <f>IFERROR(__xludf.DUMMYFUNCTION("""COMPUTED_VALUE"""),44768.767344074)</f>
        <v>44768.76734</v>
      </c>
      <c r="D2673" s="15">
        <f>IFERROR(__xludf.DUMMYFUNCTION("""COMPUTED_VALUE"""),1.004)</f>
        <v>1.004</v>
      </c>
      <c r="E2673" s="16">
        <f>IFERROR(__xludf.DUMMYFUNCTION("""COMPUTED_VALUE"""),69.0)</f>
        <v>69</v>
      </c>
      <c r="F2673" s="19" t="str">
        <f>IFERROR(__xludf.DUMMYFUNCTION("""COMPUTED_VALUE"""),"BLACK")</f>
        <v>BLACK</v>
      </c>
      <c r="G2673" s="20" t="str">
        <f>IFERROR(__xludf.DUMMYFUNCTION("""COMPUTED_VALUE"""),"Uncle Sams Cider (5/13/2022)")</f>
        <v>Uncle Sams Cider (5/13/2022)</v>
      </c>
      <c r="H2673" s="19"/>
    </row>
    <row r="2674">
      <c r="A2674" s="9"/>
      <c r="B2674" s="15"/>
      <c r="C2674" s="9">
        <f>IFERROR(__xludf.DUMMYFUNCTION("""COMPUTED_VALUE"""),44768.7569216087)</f>
        <v>44768.75692</v>
      </c>
      <c r="D2674" s="15">
        <f>IFERROR(__xludf.DUMMYFUNCTION("""COMPUTED_VALUE"""),1.004)</f>
        <v>1.004</v>
      </c>
      <c r="E2674" s="16">
        <f>IFERROR(__xludf.DUMMYFUNCTION("""COMPUTED_VALUE"""),70.0)</f>
        <v>70</v>
      </c>
      <c r="F2674" s="19" t="str">
        <f>IFERROR(__xludf.DUMMYFUNCTION("""COMPUTED_VALUE"""),"BLACK")</f>
        <v>BLACK</v>
      </c>
      <c r="G2674" s="20" t="str">
        <f>IFERROR(__xludf.DUMMYFUNCTION("""COMPUTED_VALUE"""),"Uncle Sams Cider (5/13/2022)")</f>
        <v>Uncle Sams Cider (5/13/2022)</v>
      </c>
      <c r="H2674" s="19"/>
    </row>
    <row r="2675">
      <c r="A2675" s="9"/>
      <c r="B2675" s="15"/>
      <c r="C2675" s="9">
        <f>IFERROR(__xludf.DUMMYFUNCTION("""COMPUTED_VALUE"""),44768.7465012268)</f>
        <v>44768.7465</v>
      </c>
      <c r="D2675" s="15">
        <f>IFERROR(__xludf.DUMMYFUNCTION("""COMPUTED_VALUE"""),1.004)</f>
        <v>1.004</v>
      </c>
      <c r="E2675" s="16">
        <f>IFERROR(__xludf.DUMMYFUNCTION("""COMPUTED_VALUE"""),70.0)</f>
        <v>70</v>
      </c>
      <c r="F2675" s="19" t="str">
        <f>IFERROR(__xludf.DUMMYFUNCTION("""COMPUTED_VALUE"""),"BLACK")</f>
        <v>BLACK</v>
      </c>
      <c r="G2675" s="20" t="str">
        <f>IFERROR(__xludf.DUMMYFUNCTION("""COMPUTED_VALUE"""),"Uncle Sams Cider (5/13/2022)")</f>
        <v>Uncle Sams Cider (5/13/2022)</v>
      </c>
      <c r="H2675" s="19"/>
    </row>
    <row r="2676">
      <c r="A2676" s="9"/>
      <c r="B2676" s="15"/>
      <c r="C2676" s="9">
        <f>IFERROR(__xludf.DUMMYFUNCTION("""COMPUTED_VALUE"""),44768.7360811574)</f>
        <v>44768.73608</v>
      </c>
      <c r="D2676" s="15">
        <f>IFERROR(__xludf.DUMMYFUNCTION("""COMPUTED_VALUE"""),1.004)</f>
        <v>1.004</v>
      </c>
      <c r="E2676" s="16">
        <f>IFERROR(__xludf.DUMMYFUNCTION("""COMPUTED_VALUE"""),70.0)</f>
        <v>70</v>
      </c>
      <c r="F2676" s="19" t="str">
        <f>IFERROR(__xludf.DUMMYFUNCTION("""COMPUTED_VALUE"""),"BLACK")</f>
        <v>BLACK</v>
      </c>
      <c r="G2676" s="20" t="str">
        <f>IFERROR(__xludf.DUMMYFUNCTION("""COMPUTED_VALUE"""),"Uncle Sams Cider (5/13/2022)")</f>
        <v>Uncle Sams Cider (5/13/2022)</v>
      </c>
      <c r="H2676" s="19"/>
    </row>
    <row r="2677">
      <c r="A2677" s="9"/>
      <c r="B2677" s="15"/>
      <c r="C2677" s="9">
        <f>IFERROR(__xludf.DUMMYFUNCTION("""COMPUTED_VALUE"""),44768.7256594213)</f>
        <v>44768.72566</v>
      </c>
      <c r="D2677" s="15">
        <f>IFERROR(__xludf.DUMMYFUNCTION("""COMPUTED_VALUE"""),1.004)</f>
        <v>1.004</v>
      </c>
      <c r="E2677" s="16">
        <f>IFERROR(__xludf.DUMMYFUNCTION("""COMPUTED_VALUE"""),70.0)</f>
        <v>70</v>
      </c>
      <c r="F2677" s="19" t="str">
        <f>IFERROR(__xludf.DUMMYFUNCTION("""COMPUTED_VALUE"""),"BLACK")</f>
        <v>BLACK</v>
      </c>
      <c r="G2677" s="20" t="str">
        <f>IFERROR(__xludf.DUMMYFUNCTION("""COMPUTED_VALUE"""),"Uncle Sams Cider (5/13/2022)")</f>
        <v>Uncle Sams Cider (5/13/2022)</v>
      </c>
      <c r="H2677" s="19"/>
    </row>
    <row r="2678">
      <c r="A2678" s="9"/>
      <c r="B2678" s="15"/>
      <c r="C2678" s="9">
        <f>IFERROR(__xludf.DUMMYFUNCTION("""COMPUTED_VALUE"""),44768.7152401273)</f>
        <v>44768.71524</v>
      </c>
      <c r="D2678" s="15">
        <f>IFERROR(__xludf.DUMMYFUNCTION("""COMPUTED_VALUE"""),1.004)</f>
        <v>1.004</v>
      </c>
      <c r="E2678" s="16">
        <f>IFERROR(__xludf.DUMMYFUNCTION("""COMPUTED_VALUE"""),70.0)</f>
        <v>70</v>
      </c>
      <c r="F2678" s="19" t="str">
        <f>IFERROR(__xludf.DUMMYFUNCTION("""COMPUTED_VALUE"""),"BLACK")</f>
        <v>BLACK</v>
      </c>
      <c r="G2678" s="20" t="str">
        <f>IFERROR(__xludf.DUMMYFUNCTION("""COMPUTED_VALUE"""),"Uncle Sams Cider (5/13/2022)")</f>
        <v>Uncle Sams Cider (5/13/2022)</v>
      </c>
      <c r="H2678" s="19"/>
    </row>
    <row r="2679">
      <c r="A2679" s="9"/>
      <c r="B2679" s="15"/>
      <c r="C2679" s="9">
        <f>IFERROR(__xludf.DUMMYFUNCTION("""COMPUTED_VALUE"""),44768.7047942824)</f>
        <v>44768.70479</v>
      </c>
      <c r="D2679" s="15">
        <f>IFERROR(__xludf.DUMMYFUNCTION("""COMPUTED_VALUE"""),1.004)</f>
        <v>1.004</v>
      </c>
      <c r="E2679" s="16">
        <f>IFERROR(__xludf.DUMMYFUNCTION("""COMPUTED_VALUE"""),70.0)</f>
        <v>70</v>
      </c>
      <c r="F2679" s="19" t="str">
        <f>IFERROR(__xludf.DUMMYFUNCTION("""COMPUTED_VALUE"""),"BLACK")</f>
        <v>BLACK</v>
      </c>
      <c r="G2679" s="20" t="str">
        <f>IFERROR(__xludf.DUMMYFUNCTION("""COMPUTED_VALUE"""),"Uncle Sams Cider (5/13/2022)")</f>
        <v>Uncle Sams Cider (5/13/2022)</v>
      </c>
      <c r="H2679" s="19"/>
    </row>
    <row r="2680">
      <c r="A2680" s="9"/>
      <c r="B2680" s="15"/>
      <c r="C2680" s="9">
        <f>IFERROR(__xludf.DUMMYFUNCTION("""COMPUTED_VALUE"""),44768.6943617592)</f>
        <v>44768.69436</v>
      </c>
      <c r="D2680" s="15">
        <f>IFERROR(__xludf.DUMMYFUNCTION("""COMPUTED_VALUE"""),1.004)</f>
        <v>1.004</v>
      </c>
      <c r="E2680" s="16">
        <f>IFERROR(__xludf.DUMMYFUNCTION("""COMPUTED_VALUE"""),70.0)</f>
        <v>70</v>
      </c>
      <c r="F2680" s="19" t="str">
        <f>IFERROR(__xludf.DUMMYFUNCTION("""COMPUTED_VALUE"""),"BLACK")</f>
        <v>BLACK</v>
      </c>
      <c r="G2680" s="20" t="str">
        <f>IFERROR(__xludf.DUMMYFUNCTION("""COMPUTED_VALUE"""),"Uncle Sams Cider (5/13/2022)")</f>
        <v>Uncle Sams Cider (5/13/2022)</v>
      </c>
      <c r="H2680" s="19"/>
    </row>
    <row r="2681">
      <c r="A2681" s="9"/>
      <c r="B2681" s="15"/>
      <c r="C2681" s="9">
        <f>IFERROR(__xludf.DUMMYFUNCTION("""COMPUTED_VALUE"""),44768.6839293055)</f>
        <v>44768.68393</v>
      </c>
      <c r="D2681" s="15">
        <f>IFERROR(__xludf.DUMMYFUNCTION("""COMPUTED_VALUE"""),1.004)</f>
        <v>1.004</v>
      </c>
      <c r="E2681" s="16">
        <f>IFERROR(__xludf.DUMMYFUNCTION("""COMPUTED_VALUE"""),70.0)</f>
        <v>70</v>
      </c>
      <c r="F2681" s="19" t="str">
        <f>IFERROR(__xludf.DUMMYFUNCTION("""COMPUTED_VALUE"""),"BLACK")</f>
        <v>BLACK</v>
      </c>
      <c r="G2681" s="20" t="str">
        <f>IFERROR(__xludf.DUMMYFUNCTION("""COMPUTED_VALUE"""),"Uncle Sams Cider (5/13/2022)")</f>
        <v>Uncle Sams Cider (5/13/2022)</v>
      </c>
      <c r="H2681" s="19"/>
    </row>
    <row r="2682">
      <c r="A2682" s="9"/>
      <c r="B2682" s="15"/>
      <c r="C2682" s="9">
        <f>IFERROR(__xludf.DUMMYFUNCTION("""COMPUTED_VALUE"""),44768.6735087152)</f>
        <v>44768.67351</v>
      </c>
      <c r="D2682" s="15">
        <f>IFERROR(__xludf.DUMMYFUNCTION("""COMPUTED_VALUE"""),1.004)</f>
        <v>1.004</v>
      </c>
      <c r="E2682" s="16">
        <f>IFERROR(__xludf.DUMMYFUNCTION("""COMPUTED_VALUE"""),70.0)</f>
        <v>70</v>
      </c>
      <c r="F2682" s="19" t="str">
        <f>IFERROR(__xludf.DUMMYFUNCTION("""COMPUTED_VALUE"""),"BLACK")</f>
        <v>BLACK</v>
      </c>
      <c r="G2682" s="20" t="str">
        <f>IFERROR(__xludf.DUMMYFUNCTION("""COMPUTED_VALUE"""),"Uncle Sams Cider (5/13/2022)")</f>
        <v>Uncle Sams Cider (5/13/2022)</v>
      </c>
      <c r="H2682" s="19"/>
    </row>
    <row r="2683">
      <c r="A2683" s="9"/>
      <c r="B2683" s="15"/>
      <c r="C2683" s="9">
        <f>IFERROR(__xludf.DUMMYFUNCTION("""COMPUTED_VALUE"""),44768.6630862963)</f>
        <v>44768.66309</v>
      </c>
      <c r="D2683" s="15">
        <f>IFERROR(__xludf.DUMMYFUNCTION("""COMPUTED_VALUE"""),1.004)</f>
        <v>1.004</v>
      </c>
      <c r="E2683" s="16">
        <f>IFERROR(__xludf.DUMMYFUNCTION("""COMPUTED_VALUE"""),70.0)</f>
        <v>70</v>
      </c>
      <c r="F2683" s="19" t="str">
        <f>IFERROR(__xludf.DUMMYFUNCTION("""COMPUTED_VALUE"""),"BLACK")</f>
        <v>BLACK</v>
      </c>
      <c r="G2683" s="20" t="str">
        <f>IFERROR(__xludf.DUMMYFUNCTION("""COMPUTED_VALUE"""),"Uncle Sams Cider (5/13/2022)")</f>
        <v>Uncle Sams Cider (5/13/2022)</v>
      </c>
      <c r="H2683" s="19"/>
    </row>
    <row r="2684">
      <c r="A2684" s="9"/>
      <c r="B2684" s="15"/>
      <c r="C2684" s="9">
        <f>IFERROR(__xludf.DUMMYFUNCTION("""COMPUTED_VALUE"""),44768.6526637615)</f>
        <v>44768.65266</v>
      </c>
      <c r="D2684" s="15">
        <f>IFERROR(__xludf.DUMMYFUNCTION("""COMPUTED_VALUE"""),1.004)</f>
        <v>1.004</v>
      </c>
      <c r="E2684" s="16">
        <f>IFERROR(__xludf.DUMMYFUNCTION("""COMPUTED_VALUE"""),70.0)</f>
        <v>70</v>
      </c>
      <c r="F2684" s="19" t="str">
        <f>IFERROR(__xludf.DUMMYFUNCTION("""COMPUTED_VALUE"""),"BLACK")</f>
        <v>BLACK</v>
      </c>
      <c r="G2684" s="20" t="str">
        <f>IFERROR(__xludf.DUMMYFUNCTION("""COMPUTED_VALUE"""),"Uncle Sams Cider (5/13/2022)")</f>
        <v>Uncle Sams Cider (5/13/2022)</v>
      </c>
      <c r="H2684" s="19"/>
    </row>
    <row r="2685">
      <c r="A2685" s="9"/>
      <c r="B2685" s="15"/>
      <c r="C2685" s="9">
        <f>IFERROR(__xludf.DUMMYFUNCTION("""COMPUTED_VALUE"""),44768.6422403124)</f>
        <v>44768.64224</v>
      </c>
      <c r="D2685" s="15">
        <f>IFERROR(__xludf.DUMMYFUNCTION("""COMPUTED_VALUE"""),1.004)</f>
        <v>1.004</v>
      </c>
      <c r="E2685" s="16">
        <f>IFERROR(__xludf.DUMMYFUNCTION("""COMPUTED_VALUE"""),70.0)</f>
        <v>70</v>
      </c>
      <c r="F2685" s="19" t="str">
        <f>IFERROR(__xludf.DUMMYFUNCTION("""COMPUTED_VALUE"""),"BLACK")</f>
        <v>BLACK</v>
      </c>
      <c r="G2685" s="20" t="str">
        <f>IFERROR(__xludf.DUMMYFUNCTION("""COMPUTED_VALUE"""),"Uncle Sams Cider (5/13/2022)")</f>
        <v>Uncle Sams Cider (5/13/2022)</v>
      </c>
      <c r="H2685" s="19"/>
    </row>
    <row r="2686">
      <c r="A2686" s="9"/>
      <c r="B2686" s="15"/>
      <c r="C2686" s="9">
        <f>IFERROR(__xludf.DUMMYFUNCTION("""COMPUTED_VALUE"""),44768.6318188541)</f>
        <v>44768.63182</v>
      </c>
      <c r="D2686" s="15">
        <f>IFERROR(__xludf.DUMMYFUNCTION("""COMPUTED_VALUE"""),1.004)</f>
        <v>1.004</v>
      </c>
      <c r="E2686" s="16">
        <f>IFERROR(__xludf.DUMMYFUNCTION("""COMPUTED_VALUE"""),70.0)</f>
        <v>70</v>
      </c>
      <c r="F2686" s="19" t="str">
        <f>IFERROR(__xludf.DUMMYFUNCTION("""COMPUTED_VALUE"""),"BLACK")</f>
        <v>BLACK</v>
      </c>
      <c r="G2686" s="20" t="str">
        <f>IFERROR(__xludf.DUMMYFUNCTION("""COMPUTED_VALUE"""),"Uncle Sams Cider (5/13/2022)")</f>
        <v>Uncle Sams Cider (5/13/2022)</v>
      </c>
      <c r="H2686" s="19"/>
    </row>
    <row r="2687">
      <c r="A2687" s="9"/>
      <c r="B2687" s="15"/>
      <c r="C2687" s="9">
        <f>IFERROR(__xludf.DUMMYFUNCTION("""COMPUTED_VALUE"""),44768.6213864236)</f>
        <v>44768.62139</v>
      </c>
      <c r="D2687" s="15">
        <f>IFERROR(__xludf.DUMMYFUNCTION("""COMPUTED_VALUE"""),1.004)</f>
        <v>1.004</v>
      </c>
      <c r="E2687" s="16">
        <f>IFERROR(__xludf.DUMMYFUNCTION("""COMPUTED_VALUE"""),70.0)</f>
        <v>70</v>
      </c>
      <c r="F2687" s="19" t="str">
        <f>IFERROR(__xludf.DUMMYFUNCTION("""COMPUTED_VALUE"""),"BLACK")</f>
        <v>BLACK</v>
      </c>
      <c r="G2687" s="20" t="str">
        <f>IFERROR(__xludf.DUMMYFUNCTION("""COMPUTED_VALUE"""),"Uncle Sams Cider (5/13/2022)")</f>
        <v>Uncle Sams Cider (5/13/2022)</v>
      </c>
      <c r="H2687" s="19"/>
    </row>
    <row r="2688">
      <c r="A2688" s="9"/>
      <c r="B2688" s="15"/>
      <c r="C2688" s="9">
        <f>IFERROR(__xludf.DUMMYFUNCTION("""COMPUTED_VALUE"""),44768.6109535416)</f>
        <v>44768.61095</v>
      </c>
      <c r="D2688" s="15">
        <f>IFERROR(__xludf.DUMMYFUNCTION("""COMPUTED_VALUE"""),1.004)</f>
        <v>1.004</v>
      </c>
      <c r="E2688" s="16">
        <f>IFERROR(__xludf.DUMMYFUNCTION("""COMPUTED_VALUE"""),70.0)</f>
        <v>70</v>
      </c>
      <c r="F2688" s="19" t="str">
        <f>IFERROR(__xludf.DUMMYFUNCTION("""COMPUTED_VALUE"""),"BLACK")</f>
        <v>BLACK</v>
      </c>
      <c r="G2688" s="20" t="str">
        <f>IFERROR(__xludf.DUMMYFUNCTION("""COMPUTED_VALUE"""),"Uncle Sams Cider (5/13/2022)")</f>
        <v>Uncle Sams Cider (5/13/2022)</v>
      </c>
      <c r="H2688" s="19"/>
    </row>
    <row r="2689">
      <c r="A2689" s="9"/>
      <c r="B2689" s="15"/>
      <c r="C2689" s="9">
        <f>IFERROR(__xludf.DUMMYFUNCTION("""COMPUTED_VALUE"""),44768.6005322222)</f>
        <v>44768.60053</v>
      </c>
      <c r="D2689" s="15">
        <f>IFERROR(__xludf.DUMMYFUNCTION("""COMPUTED_VALUE"""),1.004)</f>
        <v>1.004</v>
      </c>
      <c r="E2689" s="16">
        <f>IFERROR(__xludf.DUMMYFUNCTION("""COMPUTED_VALUE"""),70.0)</f>
        <v>70</v>
      </c>
      <c r="F2689" s="19" t="str">
        <f>IFERROR(__xludf.DUMMYFUNCTION("""COMPUTED_VALUE"""),"BLACK")</f>
        <v>BLACK</v>
      </c>
      <c r="G2689" s="20" t="str">
        <f>IFERROR(__xludf.DUMMYFUNCTION("""COMPUTED_VALUE"""),"Uncle Sams Cider (5/13/2022)")</f>
        <v>Uncle Sams Cider (5/13/2022)</v>
      </c>
      <c r="H2689" s="19"/>
    </row>
    <row r="2690">
      <c r="A2690" s="9"/>
      <c r="B2690" s="15"/>
      <c r="C2690" s="9">
        <f>IFERROR(__xludf.DUMMYFUNCTION("""COMPUTED_VALUE"""),44768.5901102662)</f>
        <v>44768.59011</v>
      </c>
      <c r="D2690" s="15">
        <f>IFERROR(__xludf.DUMMYFUNCTION("""COMPUTED_VALUE"""),1.004)</f>
        <v>1.004</v>
      </c>
      <c r="E2690" s="16">
        <f>IFERROR(__xludf.DUMMYFUNCTION("""COMPUTED_VALUE"""),70.0)</f>
        <v>70</v>
      </c>
      <c r="F2690" s="19" t="str">
        <f>IFERROR(__xludf.DUMMYFUNCTION("""COMPUTED_VALUE"""),"BLACK")</f>
        <v>BLACK</v>
      </c>
      <c r="G2690" s="20" t="str">
        <f>IFERROR(__xludf.DUMMYFUNCTION("""COMPUTED_VALUE"""),"Uncle Sams Cider (5/13/2022)")</f>
        <v>Uncle Sams Cider (5/13/2022)</v>
      </c>
      <c r="H2690" s="19"/>
    </row>
    <row r="2691">
      <c r="A2691" s="9"/>
      <c r="B2691" s="15"/>
      <c r="C2691" s="9">
        <f>IFERROR(__xludf.DUMMYFUNCTION("""COMPUTED_VALUE"""),44768.5796894097)</f>
        <v>44768.57969</v>
      </c>
      <c r="D2691" s="15">
        <f>IFERROR(__xludf.DUMMYFUNCTION("""COMPUTED_VALUE"""),1.004)</f>
        <v>1.004</v>
      </c>
      <c r="E2691" s="16">
        <f>IFERROR(__xludf.DUMMYFUNCTION("""COMPUTED_VALUE"""),70.0)</f>
        <v>70</v>
      </c>
      <c r="F2691" s="19" t="str">
        <f>IFERROR(__xludf.DUMMYFUNCTION("""COMPUTED_VALUE"""),"BLACK")</f>
        <v>BLACK</v>
      </c>
      <c r="G2691" s="20" t="str">
        <f>IFERROR(__xludf.DUMMYFUNCTION("""COMPUTED_VALUE"""),"Uncle Sams Cider (5/13/2022)")</f>
        <v>Uncle Sams Cider (5/13/2022)</v>
      </c>
      <c r="H2691" s="19"/>
    </row>
    <row r="2692">
      <c r="A2692" s="9"/>
      <c r="B2692" s="15"/>
      <c r="C2692" s="9">
        <f>IFERROR(__xludf.DUMMYFUNCTION("""COMPUTED_VALUE"""),44768.569271574)</f>
        <v>44768.56927</v>
      </c>
      <c r="D2692" s="15">
        <f>IFERROR(__xludf.DUMMYFUNCTION("""COMPUTED_VALUE"""),1.004)</f>
        <v>1.004</v>
      </c>
      <c r="E2692" s="16">
        <f>IFERROR(__xludf.DUMMYFUNCTION("""COMPUTED_VALUE"""),70.0)</f>
        <v>70</v>
      </c>
      <c r="F2692" s="19" t="str">
        <f>IFERROR(__xludf.DUMMYFUNCTION("""COMPUTED_VALUE"""),"BLACK")</f>
        <v>BLACK</v>
      </c>
      <c r="G2692" s="20" t="str">
        <f>IFERROR(__xludf.DUMMYFUNCTION("""COMPUTED_VALUE"""),"Uncle Sams Cider (5/13/2022)")</f>
        <v>Uncle Sams Cider (5/13/2022)</v>
      </c>
      <c r="H2692" s="19"/>
    </row>
    <row r="2693">
      <c r="A2693" s="9"/>
      <c r="B2693" s="15"/>
      <c r="C2693" s="9">
        <f>IFERROR(__xludf.DUMMYFUNCTION("""COMPUTED_VALUE"""),44768.558850324)</f>
        <v>44768.55885</v>
      </c>
      <c r="D2693" s="15">
        <f>IFERROR(__xludf.DUMMYFUNCTION("""COMPUTED_VALUE"""),1.004)</f>
        <v>1.004</v>
      </c>
      <c r="E2693" s="16">
        <f>IFERROR(__xludf.DUMMYFUNCTION("""COMPUTED_VALUE"""),70.0)</f>
        <v>70</v>
      </c>
      <c r="F2693" s="19" t="str">
        <f>IFERROR(__xludf.DUMMYFUNCTION("""COMPUTED_VALUE"""),"BLACK")</f>
        <v>BLACK</v>
      </c>
      <c r="G2693" s="20" t="str">
        <f>IFERROR(__xludf.DUMMYFUNCTION("""COMPUTED_VALUE"""),"Uncle Sams Cider (5/13/2022)")</f>
        <v>Uncle Sams Cider (5/13/2022)</v>
      </c>
      <c r="H2693" s="19"/>
    </row>
    <row r="2694">
      <c r="A2694" s="9"/>
      <c r="B2694" s="15"/>
      <c r="C2694" s="9">
        <f>IFERROR(__xludf.DUMMYFUNCTION("""COMPUTED_VALUE"""),44768.5484291088)</f>
        <v>44768.54843</v>
      </c>
      <c r="D2694" s="15">
        <f>IFERROR(__xludf.DUMMYFUNCTION("""COMPUTED_VALUE"""),1.004)</f>
        <v>1.004</v>
      </c>
      <c r="E2694" s="16">
        <f>IFERROR(__xludf.DUMMYFUNCTION("""COMPUTED_VALUE"""),70.0)</f>
        <v>70</v>
      </c>
      <c r="F2694" s="19" t="str">
        <f>IFERROR(__xludf.DUMMYFUNCTION("""COMPUTED_VALUE"""),"BLACK")</f>
        <v>BLACK</v>
      </c>
      <c r="G2694" s="20" t="str">
        <f>IFERROR(__xludf.DUMMYFUNCTION("""COMPUTED_VALUE"""),"Uncle Sams Cider (5/13/2022)")</f>
        <v>Uncle Sams Cider (5/13/2022)</v>
      </c>
      <c r="H2694" s="19"/>
    </row>
    <row r="2695">
      <c r="A2695" s="9"/>
      <c r="B2695" s="15"/>
      <c r="C2695" s="9">
        <f>IFERROR(__xludf.DUMMYFUNCTION("""COMPUTED_VALUE"""),44768.5379946412)</f>
        <v>44768.53799</v>
      </c>
      <c r="D2695" s="15">
        <f>IFERROR(__xludf.DUMMYFUNCTION("""COMPUTED_VALUE"""),1.004)</f>
        <v>1.004</v>
      </c>
      <c r="E2695" s="16">
        <f>IFERROR(__xludf.DUMMYFUNCTION("""COMPUTED_VALUE"""),70.0)</f>
        <v>70</v>
      </c>
      <c r="F2695" s="19" t="str">
        <f>IFERROR(__xludf.DUMMYFUNCTION("""COMPUTED_VALUE"""),"BLACK")</f>
        <v>BLACK</v>
      </c>
      <c r="G2695" s="20" t="str">
        <f>IFERROR(__xludf.DUMMYFUNCTION("""COMPUTED_VALUE"""),"Uncle Sams Cider (5/13/2022)")</f>
        <v>Uncle Sams Cider (5/13/2022)</v>
      </c>
      <c r="H2695" s="19"/>
    </row>
    <row r="2696">
      <c r="A2696" s="9"/>
      <c r="B2696" s="15"/>
      <c r="C2696" s="9">
        <f>IFERROR(__xludf.DUMMYFUNCTION("""COMPUTED_VALUE"""),44768.5275731134)</f>
        <v>44768.52757</v>
      </c>
      <c r="D2696" s="15">
        <f>IFERROR(__xludf.DUMMYFUNCTION("""COMPUTED_VALUE"""),1.004)</f>
        <v>1.004</v>
      </c>
      <c r="E2696" s="16">
        <f>IFERROR(__xludf.DUMMYFUNCTION("""COMPUTED_VALUE"""),70.0)</f>
        <v>70</v>
      </c>
      <c r="F2696" s="19" t="str">
        <f>IFERROR(__xludf.DUMMYFUNCTION("""COMPUTED_VALUE"""),"BLACK")</f>
        <v>BLACK</v>
      </c>
      <c r="G2696" s="20" t="str">
        <f>IFERROR(__xludf.DUMMYFUNCTION("""COMPUTED_VALUE"""),"Uncle Sams Cider (5/13/2022)")</f>
        <v>Uncle Sams Cider (5/13/2022)</v>
      </c>
      <c r="H2696" s="19"/>
    </row>
    <row r="2697">
      <c r="A2697" s="9"/>
      <c r="B2697" s="15"/>
      <c r="C2697" s="9">
        <f>IFERROR(__xludf.DUMMYFUNCTION("""COMPUTED_VALUE"""),44768.5171403125)</f>
        <v>44768.51714</v>
      </c>
      <c r="D2697" s="15">
        <f>IFERROR(__xludf.DUMMYFUNCTION("""COMPUTED_VALUE"""),1.004)</f>
        <v>1.004</v>
      </c>
      <c r="E2697" s="16">
        <f>IFERROR(__xludf.DUMMYFUNCTION("""COMPUTED_VALUE"""),70.0)</f>
        <v>70</v>
      </c>
      <c r="F2697" s="19" t="str">
        <f>IFERROR(__xludf.DUMMYFUNCTION("""COMPUTED_VALUE"""),"BLACK")</f>
        <v>BLACK</v>
      </c>
      <c r="G2697" s="20" t="str">
        <f>IFERROR(__xludf.DUMMYFUNCTION("""COMPUTED_VALUE"""),"Uncle Sams Cider (5/13/2022)")</f>
        <v>Uncle Sams Cider (5/13/2022)</v>
      </c>
      <c r="H2697" s="19"/>
    </row>
    <row r="2698">
      <c r="A2698" s="9"/>
      <c r="B2698" s="15"/>
      <c r="C2698" s="9">
        <f>IFERROR(__xludf.DUMMYFUNCTION("""COMPUTED_VALUE"""),44768.5067168287)</f>
        <v>44768.50672</v>
      </c>
      <c r="D2698" s="15">
        <f>IFERROR(__xludf.DUMMYFUNCTION("""COMPUTED_VALUE"""),1.004)</f>
        <v>1.004</v>
      </c>
      <c r="E2698" s="16">
        <f>IFERROR(__xludf.DUMMYFUNCTION("""COMPUTED_VALUE"""),70.0)</f>
        <v>70</v>
      </c>
      <c r="F2698" s="19" t="str">
        <f>IFERROR(__xludf.DUMMYFUNCTION("""COMPUTED_VALUE"""),"BLACK")</f>
        <v>BLACK</v>
      </c>
      <c r="G2698" s="20" t="str">
        <f>IFERROR(__xludf.DUMMYFUNCTION("""COMPUTED_VALUE"""),"Uncle Sams Cider (5/13/2022)")</f>
        <v>Uncle Sams Cider (5/13/2022)</v>
      </c>
      <c r="H2698" s="19"/>
    </row>
    <row r="2699">
      <c r="A2699" s="9"/>
      <c r="B2699" s="15"/>
      <c r="C2699" s="9">
        <f>IFERROR(__xludf.DUMMYFUNCTION("""COMPUTED_VALUE"""),44768.4962958796)</f>
        <v>44768.4963</v>
      </c>
      <c r="D2699" s="15">
        <f>IFERROR(__xludf.DUMMYFUNCTION("""COMPUTED_VALUE"""),1.004)</f>
        <v>1.004</v>
      </c>
      <c r="E2699" s="16">
        <f>IFERROR(__xludf.DUMMYFUNCTION("""COMPUTED_VALUE"""),70.0)</f>
        <v>70</v>
      </c>
      <c r="F2699" s="19" t="str">
        <f>IFERROR(__xludf.DUMMYFUNCTION("""COMPUTED_VALUE"""),"BLACK")</f>
        <v>BLACK</v>
      </c>
      <c r="G2699" s="20" t="str">
        <f>IFERROR(__xludf.DUMMYFUNCTION("""COMPUTED_VALUE"""),"Uncle Sams Cider (5/13/2022)")</f>
        <v>Uncle Sams Cider (5/13/2022)</v>
      </c>
      <c r="H2699" s="19"/>
    </row>
    <row r="2700">
      <c r="A2700" s="9"/>
      <c r="B2700" s="15"/>
      <c r="C2700" s="9">
        <f>IFERROR(__xludf.DUMMYFUNCTION("""COMPUTED_VALUE"""),44768.485873206)</f>
        <v>44768.48587</v>
      </c>
      <c r="D2700" s="15">
        <f>IFERROR(__xludf.DUMMYFUNCTION("""COMPUTED_VALUE"""),1.004)</f>
        <v>1.004</v>
      </c>
      <c r="E2700" s="16">
        <f>IFERROR(__xludf.DUMMYFUNCTION("""COMPUTED_VALUE"""),70.0)</f>
        <v>70</v>
      </c>
      <c r="F2700" s="19" t="str">
        <f>IFERROR(__xludf.DUMMYFUNCTION("""COMPUTED_VALUE"""),"BLACK")</f>
        <v>BLACK</v>
      </c>
      <c r="G2700" s="20" t="str">
        <f>IFERROR(__xludf.DUMMYFUNCTION("""COMPUTED_VALUE"""),"Uncle Sams Cider (5/13/2022)")</f>
        <v>Uncle Sams Cider (5/13/2022)</v>
      </c>
      <c r="H2700" s="19"/>
    </row>
    <row r="2701">
      <c r="A2701" s="9"/>
      <c r="B2701" s="15"/>
      <c r="C2701" s="9">
        <f>IFERROR(__xludf.DUMMYFUNCTION("""COMPUTED_VALUE"""),44768.4754542245)</f>
        <v>44768.47545</v>
      </c>
      <c r="D2701" s="15">
        <f>IFERROR(__xludf.DUMMYFUNCTION("""COMPUTED_VALUE"""),1.004)</f>
        <v>1.004</v>
      </c>
      <c r="E2701" s="16">
        <f>IFERROR(__xludf.DUMMYFUNCTION("""COMPUTED_VALUE"""),70.0)</f>
        <v>70</v>
      </c>
      <c r="F2701" s="19" t="str">
        <f>IFERROR(__xludf.DUMMYFUNCTION("""COMPUTED_VALUE"""),"BLACK")</f>
        <v>BLACK</v>
      </c>
      <c r="G2701" s="20" t="str">
        <f>IFERROR(__xludf.DUMMYFUNCTION("""COMPUTED_VALUE"""),"Uncle Sams Cider (5/13/2022)")</f>
        <v>Uncle Sams Cider (5/13/2022)</v>
      </c>
      <c r="H2701" s="19"/>
    </row>
    <row r="2702">
      <c r="A2702" s="9"/>
      <c r="B2702" s="15"/>
      <c r="C2702" s="9">
        <f>IFERROR(__xludf.DUMMYFUNCTION("""COMPUTED_VALUE"""),44768.4650330092)</f>
        <v>44768.46503</v>
      </c>
      <c r="D2702" s="15">
        <f>IFERROR(__xludf.DUMMYFUNCTION("""COMPUTED_VALUE"""),1.004)</f>
        <v>1.004</v>
      </c>
      <c r="E2702" s="16">
        <f>IFERROR(__xludf.DUMMYFUNCTION("""COMPUTED_VALUE"""),70.0)</f>
        <v>70</v>
      </c>
      <c r="F2702" s="19" t="str">
        <f>IFERROR(__xludf.DUMMYFUNCTION("""COMPUTED_VALUE"""),"BLACK")</f>
        <v>BLACK</v>
      </c>
      <c r="G2702" s="20" t="str">
        <f>IFERROR(__xludf.DUMMYFUNCTION("""COMPUTED_VALUE"""),"Uncle Sams Cider (5/13/2022)")</f>
        <v>Uncle Sams Cider (5/13/2022)</v>
      </c>
      <c r="H2702" s="19"/>
    </row>
    <row r="2703">
      <c r="A2703" s="9"/>
      <c r="B2703" s="15"/>
      <c r="C2703" s="9">
        <f>IFERROR(__xludf.DUMMYFUNCTION("""COMPUTED_VALUE"""),44768.454612037)</f>
        <v>44768.45461</v>
      </c>
      <c r="D2703" s="15">
        <f>IFERROR(__xludf.DUMMYFUNCTION("""COMPUTED_VALUE"""),1.004)</f>
        <v>1.004</v>
      </c>
      <c r="E2703" s="16">
        <f>IFERROR(__xludf.DUMMYFUNCTION("""COMPUTED_VALUE"""),70.0)</f>
        <v>70</v>
      </c>
      <c r="F2703" s="19" t="str">
        <f>IFERROR(__xludf.DUMMYFUNCTION("""COMPUTED_VALUE"""),"BLACK")</f>
        <v>BLACK</v>
      </c>
      <c r="G2703" s="20" t="str">
        <f>IFERROR(__xludf.DUMMYFUNCTION("""COMPUTED_VALUE"""),"Uncle Sams Cider (5/13/2022)")</f>
        <v>Uncle Sams Cider (5/13/2022)</v>
      </c>
      <c r="H2703" s="19"/>
    </row>
    <row r="2704">
      <c r="A2704" s="9"/>
      <c r="B2704" s="15"/>
      <c r="C2704" s="9">
        <f>IFERROR(__xludf.DUMMYFUNCTION("""COMPUTED_VALUE"""),44768.4441789236)</f>
        <v>44768.44418</v>
      </c>
      <c r="D2704" s="15">
        <f>IFERROR(__xludf.DUMMYFUNCTION("""COMPUTED_VALUE"""),1.004)</f>
        <v>1.004</v>
      </c>
      <c r="E2704" s="16">
        <f>IFERROR(__xludf.DUMMYFUNCTION("""COMPUTED_VALUE"""),70.0)</f>
        <v>70</v>
      </c>
      <c r="F2704" s="19" t="str">
        <f>IFERROR(__xludf.DUMMYFUNCTION("""COMPUTED_VALUE"""),"BLACK")</f>
        <v>BLACK</v>
      </c>
      <c r="G2704" s="20" t="str">
        <f>IFERROR(__xludf.DUMMYFUNCTION("""COMPUTED_VALUE"""),"Uncle Sams Cider (5/13/2022)")</f>
        <v>Uncle Sams Cider (5/13/2022)</v>
      </c>
      <c r="H2704" s="19"/>
    </row>
    <row r="2705">
      <c r="A2705" s="9"/>
      <c r="B2705" s="15"/>
      <c r="C2705" s="9">
        <f>IFERROR(__xludf.DUMMYFUNCTION("""COMPUTED_VALUE"""),44768.4337580092)</f>
        <v>44768.43376</v>
      </c>
      <c r="D2705" s="15">
        <f>IFERROR(__xludf.DUMMYFUNCTION("""COMPUTED_VALUE"""),1.004)</f>
        <v>1.004</v>
      </c>
      <c r="E2705" s="16">
        <f>IFERROR(__xludf.DUMMYFUNCTION("""COMPUTED_VALUE"""),70.0)</f>
        <v>70</v>
      </c>
      <c r="F2705" s="19" t="str">
        <f>IFERROR(__xludf.DUMMYFUNCTION("""COMPUTED_VALUE"""),"BLACK")</f>
        <v>BLACK</v>
      </c>
      <c r="G2705" s="20" t="str">
        <f>IFERROR(__xludf.DUMMYFUNCTION("""COMPUTED_VALUE"""),"Uncle Sams Cider (5/13/2022)")</f>
        <v>Uncle Sams Cider (5/13/2022)</v>
      </c>
      <c r="H2705" s="19"/>
    </row>
    <row r="2706">
      <c r="A2706" s="9"/>
      <c r="B2706" s="15"/>
      <c r="C2706" s="9">
        <f>IFERROR(__xludf.DUMMYFUNCTION("""COMPUTED_VALUE"""),44768.4233368171)</f>
        <v>44768.42334</v>
      </c>
      <c r="D2706" s="15">
        <f>IFERROR(__xludf.DUMMYFUNCTION("""COMPUTED_VALUE"""),1.004)</f>
        <v>1.004</v>
      </c>
      <c r="E2706" s="16">
        <f>IFERROR(__xludf.DUMMYFUNCTION("""COMPUTED_VALUE"""),70.0)</f>
        <v>70</v>
      </c>
      <c r="F2706" s="19" t="str">
        <f>IFERROR(__xludf.DUMMYFUNCTION("""COMPUTED_VALUE"""),"BLACK")</f>
        <v>BLACK</v>
      </c>
      <c r="G2706" s="20" t="str">
        <f>IFERROR(__xludf.DUMMYFUNCTION("""COMPUTED_VALUE"""),"Uncle Sams Cider (5/13/2022)")</f>
        <v>Uncle Sams Cider (5/13/2022)</v>
      </c>
      <c r="H2706" s="19"/>
    </row>
    <row r="2707">
      <c r="A2707" s="9"/>
      <c r="B2707" s="15"/>
      <c r="C2707" s="9">
        <f>IFERROR(__xludf.DUMMYFUNCTION("""COMPUTED_VALUE"""),44768.412914456)</f>
        <v>44768.41291</v>
      </c>
      <c r="D2707" s="15">
        <f>IFERROR(__xludf.DUMMYFUNCTION("""COMPUTED_VALUE"""),1.004)</f>
        <v>1.004</v>
      </c>
      <c r="E2707" s="16">
        <f>IFERROR(__xludf.DUMMYFUNCTION("""COMPUTED_VALUE"""),70.0)</f>
        <v>70</v>
      </c>
      <c r="F2707" s="19" t="str">
        <f>IFERROR(__xludf.DUMMYFUNCTION("""COMPUTED_VALUE"""),"BLACK")</f>
        <v>BLACK</v>
      </c>
      <c r="G2707" s="20" t="str">
        <f>IFERROR(__xludf.DUMMYFUNCTION("""COMPUTED_VALUE"""),"Uncle Sams Cider (5/13/2022)")</f>
        <v>Uncle Sams Cider (5/13/2022)</v>
      </c>
      <c r="H2707" s="19"/>
    </row>
    <row r="2708">
      <c r="A2708" s="9"/>
      <c r="B2708" s="15"/>
      <c r="C2708" s="9">
        <f>IFERROR(__xludf.DUMMYFUNCTION("""COMPUTED_VALUE"""),44768.402493368)</f>
        <v>44768.40249</v>
      </c>
      <c r="D2708" s="15">
        <f>IFERROR(__xludf.DUMMYFUNCTION("""COMPUTED_VALUE"""),1.004)</f>
        <v>1.004</v>
      </c>
      <c r="E2708" s="16">
        <f>IFERROR(__xludf.DUMMYFUNCTION("""COMPUTED_VALUE"""),70.0)</f>
        <v>70</v>
      </c>
      <c r="F2708" s="19" t="str">
        <f>IFERROR(__xludf.DUMMYFUNCTION("""COMPUTED_VALUE"""),"BLACK")</f>
        <v>BLACK</v>
      </c>
      <c r="G2708" s="20" t="str">
        <f>IFERROR(__xludf.DUMMYFUNCTION("""COMPUTED_VALUE"""),"Uncle Sams Cider (5/13/2022)")</f>
        <v>Uncle Sams Cider (5/13/2022)</v>
      </c>
      <c r="H2708" s="19"/>
    </row>
    <row r="2709">
      <c r="A2709" s="9"/>
      <c r="B2709" s="15"/>
      <c r="C2709" s="9">
        <f>IFERROR(__xludf.DUMMYFUNCTION("""COMPUTED_VALUE"""),44768.3920600347)</f>
        <v>44768.39206</v>
      </c>
      <c r="D2709" s="15">
        <f>IFERROR(__xludf.DUMMYFUNCTION("""COMPUTED_VALUE"""),1.004)</f>
        <v>1.004</v>
      </c>
      <c r="E2709" s="16">
        <f>IFERROR(__xludf.DUMMYFUNCTION("""COMPUTED_VALUE"""),70.0)</f>
        <v>70</v>
      </c>
      <c r="F2709" s="19" t="str">
        <f>IFERROR(__xludf.DUMMYFUNCTION("""COMPUTED_VALUE"""),"BLACK")</f>
        <v>BLACK</v>
      </c>
      <c r="G2709" s="20" t="str">
        <f>IFERROR(__xludf.DUMMYFUNCTION("""COMPUTED_VALUE"""),"Uncle Sams Cider (5/13/2022)")</f>
        <v>Uncle Sams Cider (5/13/2022)</v>
      </c>
      <c r="H2709" s="19"/>
    </row>
    <row r="2710">
      <c r="A2710" s="9"/>
      <c r="B2710" s="15"/>
      <c r="C2710" s="9">
        <f>IFERROR(__xludf.DUMMYFUNCTION("""COMPUTED_VALUE"""),44768.3816384259)</f>
        <v>44768.38164</v>
      </c>
      <c r="D2710" s="15">
        <f>IFERROR(__xludf.DUMMYFUNCTION("""COMPUTED_VALUE"""),1.004)</f>
        <v>1.004</v>
      </c>
      <c r="E2710" s="16">
        <f>IFERROR(__xludf.DUMMYFUNCTION("""COMPUTED_VALUE"""),70.0)</f>
        <v>70</v>
      </c>
      <c r="F2710" s="19" t="str">
        <f>IFERROR(__xludf.DUMMYFUNCTION("""COMPUTED_VALUE"""),"BLACK")</f>
        <v>BLACK</v>
      </c>
      <c r="G2710" s="20" t="str">
        <f>IFERROR(__xludf.DUMMYFUNCTION("""COMPUTED_VALUE"""),"Uncle Sams Cider (5/13/2022)")</f>
        <v>Uncle Sams Cider (5/13/2022)</v>
      </c>
      <c r="H2710" s="19"/>
    </row>
    <row r="2711">
      <c r="A2711" s="9"/>
      <c r="B2711" s="15"/>
      <c r="C2711" s="9">
        <f>IFERROR(__xludf.DUMMYFUNCTION("""COMPUTED_VALUE"""),44768.3712158449)</f>
        <v>44768.37122</v>
      </c>
      <c r="D2711" s="15">
        <f>IFERROR(__xludf.DUMMYFUNCTION("""COMPUTED_VALUE"""),1.004)</f>
        <v>1.004</v>
      </c>
      <c r="E2711" s="16">
        <f>IFERROR(__xludf.DUMMYFUNCTION("""COMPUTED_VALUE"""),70.0)</f>
        <v>70</v>
      </c>
      <c r="F2711" s="19" t="str">
        <f>IFERROR(__xludf.DUMMYFUNCTION("""COMPUTED_VALUE"""),"BLACK")</f>
        <v>BLACK</v>
      </c>
      <c r="G2711" s="20" t="str">
        <f>IFERROR(__xludf.DUMMYFUNCTION("""COMPUTED_VALUE"""),"Uncle Sams Cider (5/13/2022)")</f>
        <v>Uncle Sams Cider (5/13/2022)</v>
      </c>
      <c r="H2711" s="19"/>
    </row>
    <row r="2712">
      <c r="A2712" s="9"/>
      <c r="B2712" s="15"/>
      <c r="C2712" s="9">
        <f>IFERROR(__xludf.DUMMYFUNCTION("""COMPUTED_VALUE"""),44768.3607939467)</f>
        <v>44768.36079</v>
      </c>
      <c r="D2712" s="15">
        <f>IFERROR(__xludf.DUMMYFUNCTION("""COMPUTED_VALUE"""),1.004)</f>
        <v>1.004</v>
      </c>
      <c r="E2712" s="16">
        <f>IFERROR(__xludf.DUMMYFUNCTION("""COMPUTED_VALUE"""),70.0)</f>
        <v>70</v>
      </c>
      <c r="F2712" s="19" t="str">
        <f>IFERROR(__xludf.DUMMYFUNCTION("""COMPUTED_VALUE"""),"BLACK")</f>
        <v>BLACK</v>
      </c>
      <c r="G2712" s="20" t="str">
        <f>IFERROR(__xludf.DUMMYFUNCTION("""COMPUTED_VALUE"""),"Uncle Sams Cider (5/13/2022)")</f>
        <v>Uncle Sams Cider (5/13/2022)</v>
      </c>
      <c r="H2712" s="19"/>
    </row>
    <row r="2713">
      <c r="A2713" s="9"/>
      <c r="B2713" s="15"/>
      <c r="C2713" s="9">
        <f>IFERROR(__xludf.DUMMYFUNCTION("""COMPUTED_VALUE"""),44768.3503723726)</f>
        <v>44768.35037</v>
      </c>
      <c r="D2713" s="15">
        <f>IFERROR(__xludf.DUMMYFUNCTION("""COMPUTED_VALUE"""),1.004)</f>
        <v>1.004</v>
      </c>
      <c r="E2713" s="16">
        <f>IFERROR(__xludf.DUMMYFUNCTION("""COMPUTED_VALUE"""),70.0)</f>
        <v>70</v>
      </c>
      <c r="F2713" s="19" t="str">
        <f>IFERROR(__xludf.DUMMYFUNCTION("""COMPUTED_VALUE"""),"BLACK")</f>
        <v>BLACK</v>
      </c>
      <c r="G2713" s="20" t="str">
        <f>IFERROR(__xludf.DUMMYFUNCTION("""COMPUTED_VALUE"""),"Uncle Sams Cider (5/13/2022)")</f>
        <v>Uncle Sams Cider (5/13/2022)</v>
      </c>
      <c r="H2713" s="19"/>
    </row>
    <row r="2714">
      <c r="A2714" s="9"/>
      <c r="B2714" s="15"/>
      <c r="C2714" s="9">
        <f>IFERROR(__xludf.DUMMYFUNCTION("""COMPUTED_VALUE"""),44768.3399531018)</f>
        <v>44768.33995</v>
      </c>
      <c r="D2714" s="15">
        <f>IFERROR(__xludf.DUMMYFUNCTION("""COMPUTED_VALUE"""),1.004)</f>
        <v>1.004</v>
      </c>
      <c r="E2714" s="16">
        <f>IFERROR(__xludf.DUMMYFUNCTION("""COMPUTED_VALUE"""),70.0)</f>
        <v>70</v>
      </c>
      <c r="F2714" s="19" t="str">
        <f>IFERROR(__xludf.DUMMYFUNCTION("""COMPUTED_VALUE"""),"BLACK")</f>
        <v>BLACK</v>
      </c>
      <c r="G2714" s="20" t="str">
        <f>IFERROR(__xludf.DUMMYFUNCTION("""COMPUTED_VALUE"""),"Uncle Sams Cider (5/13/2022)")</f>
        <v>Uncle Sams Cider (5/13/2022)</v>
      </c>
      <c r="H2714" s="19"/>
    </row>
    <row r="2715">
      <c r="A2715" s="9"/>
      <c r="B2715" s="15"/>
      <c r="C2715" s="9">
        <f>IFERROR(__xludf.DUMMYFUNCTION("""COMPUTED_VALUE"""),44768.3295334838)</f>
        <v>44768.32953</v>
      </c>
      <c r="D2715" s="15">
        <f>IFERROR(__xludf.DUMMYFUNCTION("""COMPUTED_VALUE"""),1.004)</f>
        <v>1.004</v>
      </c>
      <c r="E2715" s="16">
        <f>IFERROR(__xludf.DUMMYFUNCTION("""COMPUTED_VALUE"""),70.0)</f>
        <v>70</v>
      </c>
      <c r="F2715" s="19" t="str">
        <f>IFERROR(__xludf.DUMMYFUNCTION("""COMPUTED_VALUE"""),"BLACK")</f>
        <v>BLACK</v>
      </c>
      <c r="G2715" s="20" t="str">
        <f>IFERROR(__xludf.DUMMYFUNCTION("""COMPUTED_VALUE"""),"Uncle Sams Cider (5/13/2022)")</f>
        <v>Uncle Sams Cider (5/13/2022)</v>
      </c>
      <c r="H2715" s="19"/>
    </row>
    <row r="2716">
      <c r="A2716" s="9"/>
      <c r="B2716" s="15"/>
      <c r="C2716" s="9">
        <f>IFERROR(__xludf.DUMMYFUNCTION("""COMPUTED_VALUE"""),44768.3191136458)</f>
        <v>44768.31911</v>
      </c>
      <c r="D2716" s="15">
        <f>IFERROR(__xludf.DUMMYFUNCTION("""COMPUTED_VALUE"""),1.004)</f>
        <v>1.004</v>
      </c>
      <c r="E2716" s="16">
        <f>IFERROR(__xludf.DUMMYFUNCTION("""COMPUTED_VALUE"""),70.0)</f>
        <v>70</v>
      </c>
      <c r="F2716" s="19" t="str">
        <f>IFERROR(__xludf.DUMMYFUNCTION("""COMPUTED_VALUE"""),"BLACK")</f>
        <v>BLACK</v>
      </c>
      <c r="G2716" s="20" t="str">
        <f>IFERROR(__xludf.DUMMYFUNCTION("""COMPUTED_VALUE"""),"Uncle Sams Cider (5/13/2022)")</f>
        <v>Uncle Sams Cider (5/13/2022)</v>
      </c>
      <c r="H2716" s="19"/>
    </row>
    <row r="2717">
      <c r="A2717" s="9"/>
      <c r="B2717" s="15"/>
      <c r="C2717" s="9">
        <f>IFERROR(__xludf.DUMMYFUNCTION("""COMPUTED_VALUE"""),44768.3086945486)</f>
        <v>44768.30869</v>
      </c>
      <c r="D2717" s="15">
        <f>IFERROR(__xludf.DUMMYFUNCTION("""COMPUTED_VALUE"""),1.004)</f>
        <v>1.004</v>
      </c>
      <c r="E2717" s="16">
        <f>IFERROR(__xludf.DUMMYFUNCTION("""COMPUTED_VALUE"""),70.0)</f>
        <v>70</v>
      </c>
      <c r="F2717" s="19" t="str">
        <f>IFERROR(__xludf.DUMMYFUNCTION("""COMPUTED_VALUE"""),"BLACK")</f>
        <v>BLACK</v>
      </c>
      <c r="G2717" s="20" t="str">
        <f>IFERROR(__xludf.DUMMYFUNCTION("""COMPUTED_VALUE"""),"Uncle Sams Cider (5/13/2022)")</f>
        <v>Uncle Sams Cider (5/13/2022)</v>
      </c>
      <c r="H2717" s="19"/>
    </row>
    <row r="2718">
      <c r="A2718" s="9"/>
      <c r="B2718" s="15"/>
      <c r="C2718" s="9">
        <f>IFERROR(__xludf.DUMMYFUNCTION("""COMPUTED_VALUE"""),44768.2982742129)</f>
        <v>44768.29827</v>
      </c>
      <c r="D2718" s="15">
        <f>IFERROR(__xludf.DUMMYFUNCTION("""COMPUTED_VALUE"""),1.004)</f>
        <v>1.004</v>
      </c>
      <c r="E2718" s="16">
        <f>IFERROR(__xludf.DUMMYFUNCTION("""COMPUTED_VALUE"""),70.0)</f>
        <v>70</v>
      </c>
      <c r="F2718" s="19" t="str">
        <f>IFERROR(__xludf.DUMMYFUNCTION("""COMPUTED_VALUE"""),"BLACK")</f>
        <v>BLACK</v>
      </c>
      <c r="G2718" s="20" t="str">
        <f>IFERROR(__xludf.DUMMYFUNCTION("""COMPUTED_VALUE"""),"Uncle Sams Cider (5/13/2022)")</f>
        <v>Uncle Sams Cider (5/13/2022)</v>
      </c>
      <c r="H2718" s="19"/>
    </row>
    <row r="2719">
      <c r="A2719" s="9"/>
      <c r="B2719" s="15"/>
      <c r="C2719" s="9">
        <f>IFERROR(__xludf.DUMMYFUNCTION("""COMPUTED_VALUE"""),44768.28784)</f>
        <v>44768.28784</v>
      </c>
      <c r="D2719" s="15">
        <f>IFERROR(__xludf.DUMMYFUNCTION("""COMPUTED_VALUE"""),1.004)</f>
        <v>1.004</v>
      </c>
      <c r="E2719" s="16">
        <f>IFERROR(__xludf.DUMMYFUNCTION("""COMPUTED_VALUE"""),70.0)</f>
        <v>70</v>
      </c>
      <c r="F2719" s="19" t="str">
        <f>IFERROR(__xludf.DUMMYFUNCTION("""COMPUTED_VALUE"""),"BLACK")</f>
        <v>BLACK</v>
      </c>
      <c r="G2719" s="20" t="str">
        <f>IFERROR(__xludf.DUMMYFUNCTION("""COMPUTED_VALUE"""),"Uncle Sams Cider (5/13/2022)")</f>
        <v>Uncle Sams Cider (5/13/2022)</v>
      </c>
      <c r="H2719" s="19"/>
    </row>
    <row r="2720">
      <c r="A2720" s="9"/>
      <c r="B2720" s="15"/>
      <c r="C2720" s="9">
        <f>IFERROR(__xludf.DUMMYFUNCTION("""COMPUTED_VALUE"""),44768.27740603)</f>
        <v>44768.27741</v>
      </c>
      <c r="D2720" s="15">
        <f>IFERROR(__xludf.DUMMYFUNCTION("""COMPUTED_VALUE"""),1.004)</f>
        <v>1.004</v>
      </c>
      <c r="E2720" s="16">
        <f>IFERROR(__xludf.DUMMYFUNCTION("""COMPUTED_VALUE"""),70.0)</f>
        <v>70</v>
      </c>
      <c r="F2720" s="19" t="str">
        <f>IFERROR(__xludf.DUMMYFUNCTION("""COMPUTED_VALUE"""),"BLACK")</f>
        <v>BLACK</v>
      </c>
      <c r="G2720" s="20" t="str">
        <f>IFERROR(__xludf.DUMMYFUNCTION("""COMPUTED_VALUE"""),"Uncle Sams Cider (5/13/2022)")</f>
        <v>Uncle Sams Cider (5/13/2022)</v>
      </c>
      <c r="H2720" s="19"/>
    </row>
    <row r="2721">
      <c r="A2721" s="9"/>
      <c r="B2721" s="15"/>
      <c r="C2721" s="9">
        <f>IFERROR(__xludf.DUMMYFUNCTION("""COMPUTED_VALUE"""),44768.2669866435)</f>
        <v>44768.26699</v>
      </c>
      <c r="D2721" s="15">
        <f>IFERROR(__xludf.DUMMYFUNCTION("""COMPUTED_VALUE"""),1.004)</f>
        <v>1.004</v>
      </c>
      <c r="E2721" s="16">
        <f>IFERROR(__xludf.DUMMYFUNCTION("""COMPUTED_VALUE"""),70.0)</f>
        <v>70</v>
      </c>
      <c r="F2721" s="19" t="str">
        <f>IFERROR(__xludf.DUMMYFUNCTION("""COMPUTED_VALUE"""),"BLACK")</f>
        <v>BLACK</v>
      </c>
      <c r="G2721" s="20" t="str">
        <f>IFERROR(__xludf.DUMMYFUNCTION("""COMPUTED_VALUE"""),"Uncle Sams Cider (5/13/2022)")</f>
        <v>Uncle Sams Cider (5/13/2022)</v>
      </c>
      <c r="H2721" s="19"/>
    </row>
    <row r="2722">
      <c r="A2722" s="9"/>
      <c r="B2722" s="15"/>
      <c r="C2722" s="9">
        <f>IFERROR(__xludf.DUMMYFUNCTION("""COMPUTED_VALUE"""),44768.2565660416)</f>
        <v>44768.25657</v>
      </c>
      <c r="D2722" s="15">
        <f>IFERROR(__xludf.DUMMYFUNCTION("""COMPUTED_VALUE"""),1.004)</f>
        <v>1.004</v>
      </c>
      <c r="E2722" s="16">
        <f>IFERROR(__xludf.DUMMYFUNCTION("""COMPUTED_VALUE"""),70.0)</f>
        <v>70</v>
      </c>
      <c r="F2722" s="19" t="str">
        <f>IFERROR(__xludf.DUMMYFUNCTION("""COMPUTED_VALUE"""),"BLACK")</f>
        <v>BLACK</v>
      </c>
      <c r="G2722" s="20" t="str">
        <f>IFERROR(__xludf.DUMMYFUNCTION("""COMPUTED_VALUE"""),"Uncle Sams Cider (5/13/2022)")</f>
        <v>Uncle Sams Cider (5/13/2022)</v>
      </c>
      <c r="H2722" s="19"/>
    </row>
    <row r="2723">
      <c r="A2723" s="9"/>
      <c r="B2723" s="15"/>
      <c r="C2723" s="9">
        <f>IFERROR(__xludf.DUMMYFUNCTION("""COMPUTED_VALUE"""),44768.2461436689)</f>
        <v>44768.24614</v>
      </c>
      <c r="D2723" s="15">
        <f>IFERROR(__xludf.DUMMYFUNCTION("""COMPUTED_VALUE"""),1.004)</f>
        <v>1.004</v>
      </c>
      <c r="E2723" s="16">
        <f>IFERROR(__xludf.DUMMYFUNCTION("""COMPUTED_VALUE"""),70.0)</f>
        <v>70</v>
      </c>
      <c r="F2723" s="19" t="str">
        <f>IFERROR(__xludf.DUMMYFUNCTION("""COMPUTED_VALUE"""),"BLACK")</f>
        <v>BLACK</v>
      </c>
      <c r="G2723" s="20" t="str">
        <f>IFERROR(__xludf.DUMMYFUNCTION("""COMPUTED_VALUE"""),"Uncle Sams Cider (5/13/2022)")</f>
        <v>Uncle Sams Cider (5/13/2022)</v>
      </c>
      <c r="H2723" s="19"/>
    </row>
    <row r="2724">
      <c r="A2724" s="9"/>
      <c r="B2724" s="15"/>
      <c r="C2724" s="9">
        <f>IFERROR(__xludf.DUMMYFUNCTION("""COMPUTED_VALUE"""),44768.2357221643)</f>
        <v>44768.23572</v>
      </c>
      <c r="D2724" s="15">
        <f>IFERROR(__xludf.DUMMYFUNCTION("""COMPUTED_VALUE"""),1.004)</f>
        <v>1.004</v>
      </c>
      <c r="E2724" s="16">
        <f>IFERROR(__xludf.DUMMYFUNCTION("""COMPUTED_VALUE"""),70.0)</f>
        <v>70</v>
      </c>
      <c r="F2724" s="19" t="str">
        <f>IFERROR(__xludf.DUMMYFUNCTION("""COMPUTED_VALUE"""),"BLACK")</f>
        <v>BLACK</v>
      </c>
      <c r="G2724" s="20" t="str">
        <f>IFERROR(__xludf.DUMMYFUNCTION("""COMPUTED_VALUE"""),"Uncle Sams Cider (5/13/2022)")</f>
        <v>Uncle Sams Cider (5/13/2022)</v>
      </c>
      <c r="H2724" s="19"/>
    </row>
    <row r="2725">
      <c r="A2725" s="9"/>
      <c r="B2725" s="15"/>
      <c r="C2725" s="9">
        <f>IFERROR(__xludf.DUMMYFUNCTION("""COMPUTED_VALUE"""),44768.2253010069)</f>
        <v>44768.2253</v>
      </c>
      <c r="D2725" s="15">
        <f>IFERROR(__xludf.DUMMYFUNCTION("""COMPUTED_VALUE"""),1.004)</f>
        <v>1.004</v>
      </c>
      <c r="E2725" s="16">
        <f>IFERROR(__xludf.DUMMYFUNCTION("""COMPUTED_VALUE"""),70.0)</f>
        <v>70</v>
      </c>
      <c r="F2725" s="19" t="str">
        <f>IFERROR(__xludf.DUMMYFUNCTION("""COMPUTED_VALUE"""),"BLACK")</f>
        <v>BLACK</v>
      </c>
      <c r="G2725" s="20" t="str">
        <f>IFERROR(__xludf.DUMMYFUNCTION("""COMPUTED_VALUE"""),"Uncle Sams Cider (5/13/2022)")</f>
        <v>Uncle Sams Cider (5/13/2022)</v>
      </c>
      <c r="H2725" s="19"/>
    </row>
    <row r="2726">
      <c r="A2726" s="9"/>
      <c r="B2726" s="15"/>
      <c r="C2726" s="9">
        <f>IFERROR(__xludf.DUMMYFUNCTION("""COMPUTED_VALUE"""),44768.2148809722)</f>
        <v>44768.21488</v>
      </c>
      <c r="D2726" s="15">
        <f>IFERROR(__xludf.DUMMYFUNCTION("""COMPUTED_VALUE"""),1.004)</f>
        <v>1.004</v>
      </c>
      <c r="E2726" s="16">
        <f>IFERROR(__xludf.DUMMYFUNCTION("""COMPUTED_VALUE"""),70.0)</f>
        <v>70</v>
      </c>
      <c r="F2726" s="19" t="str">
        <f>IFERROR(__xludf.DUMMYFUNCTION("""COMPUTED_VALUE"""),"BLACK")</f>
        <v>BLACK</v>
      </c>
      <c r="G2726" s="20" t="str">
        <f>IFERROR(__xludf.DUMMYFUNCTION("""COMPUTED_VALUE"""),"Uncle Sams Cider (5/13/2022)")</f>
        <v>Uncle Sams Cider (5/13/2022)</v>
      </c>
      <c r="H2726" s="19"/>
    </row>
    <row r="2727">
      <c r="A2727" s="9"/>
      <c r="B2727" s="15"/>
      <c r="C2727" s="9">
        <f>IFERROR(__xludf.DUMMYFUNCTION("""COMPUTED_VALUE"""),44768.2044591782)</f>
        <v>44768.20446</v>
      </c>
      <c r="D2727" s="15">
        <f>IFERROR(__xludf.DUMMYFUNCTION("""COMPUTED_VALUE"""),1.004)</f>
        <v>1.004</v>
      </c>
      <c r="E2727" s="16">
        <f>IFERROR(__xludf.DUMMYFUNCTION("""COMPUTED_VALUE"""),70.0)</f>
        <v>70</v>
      </c>
      <c r="F2727" s="19" t="str">
        <f>IFERROR(__xludf.DUMMYFUNCTION("""COMPUTED_VALUE"""),"BLACK")</f>
        <v>BLACK</v>
      </c>
      <c r="G2727" s="20" t="str">
        <f>IFERROR(__xludf.DUMMYFUNCTION("""COMPUTED_VALUE"""),"Uncle Sams Cider (5/13/2022)")</f>
        <v>Uncle Sams Cider (5/13/2022)</v>
      </c>
      <c r="H2727" s="19"/>
    </row>
    <row r="2728">
      <c r="A2728" s="9"/>
      <c r="B2728" s="15"/>
      <c r="C2728" s="9">
        <f>IFERROR(__xludf.DUMMYFUNCTION("""COMPUTED_VALUE"""),44768.1940267129)</f>
        <v>44768.19403</v>
      </c>
      <c r="D2728" s="15">
        <f>IFERROR(__xludf.DUMMYFUNCTION("""COMPUTED_VALUE"""),1.004)</f>
        <v>1.004</v>
      </c>
      <c r="E2728" s="16">
        <f>IFERROR(__xludf.DUMMYFUNCTION("""COMPUTED_VALUE"""),70.0)</f>
        <v>70</v>
      </c>
      <c r="F2728" s="19" t="str">
        <f>IFERROR(__xludf.DUMMYFUNCTION("""COMPUTED_VALUE"""),"BLACK")</f>
        <v>BLACK</v>
      </c>
      <c r="G2728" s="20" t="str">
        <f>IFERROR(__xludf.DUMMYFUNCTION("""COMPUTED_VALUE"""),"Uncle Sams Cider (5/13/2022)")</f>
        <v>Uncle Sams Cider (5/13/2022)</v>
      </c>
      <c r="H2728" s="19"/>
    </row>
    <row r="2729">
      <c r="A2729" s="9"/>
      <c r="B2729" s="15"/>
      <c r="C2729" s="9">
        <f>IFERROR(__xludf.DUMMYFUNCTION("""COMPUTED_VALUE"""),44768.183605787)</f>
        <v>44768.18361</v>
      </c>
      <c r="D2729" s="15">
        <f>IFERROR(__xludf.DUMMYFUNCTION("""COMPUTED_VALUE"""),1.004)</f>
        <v>1.004</v>
      </c>
      <c r="E2729" s="16">
        <f>IFERROR(__xludf.DUMMYFUNCTION("""COMPUTED_VALUE"""),70.0)</f>
        <v>70</v>
      </c>
      <c r="F2729" s="19" t="str">
        <f>IFERROR(__xludf.DUMMYFUNCTION("""COMPUTED_VALUE"""),"BLACK")</f>
        <v>BLACK</v>
      </c>
      <c r="G2729" s="20" t="str">
        <f>IFERROR(__xludf.DUMMYFUNCTION("""COMPUTED_VALUE"""),"Uncle Sams Cider (5/13/2022)")</f>
        <v>Uncle Sams Cider (5/13/2022)</v>
      </c>
      <c r="H2729" s="19"/>
    </row>
    <row r="2730">
      <c r="A2730" s="9"/>
      <c r="B2730" s="15"/>
      <c r="C2730" s="9">
        <f>IFERROR(__xludf.DUMMYFUNCTION("""COMPUTED_VALUE"""),44768.1731725578)</f>
        <v>44768.17317</v>
      </c>
      <c r="D2730" s="15">
        <f>IFERROR(__xludf.DUMMYFUNCTION("""COMPUTED_VALUE"""),1.004)</f>
        <v>1.004</v>
      </c>
      <c r="E2730" s="16">
        <f>IFERROR(__xludf.DUMMYFUNCTION("""COMPUTED_VALUE"""),69.0)</f>
        <v>69</v>
      </c>
      <c r="F2730" s="19" t="str">
        <f>IFERROR(__xludf.DUMMYFUNCTION("""COMPUTED_VALUE"""),"BLACK")</f>
        <v>BLACK</v>
      </c>
      <c r="G2730" s="20" t="str">
        <f>IFERROR(__xludf.DUMMYFUNCTION("""COMPUTED_VALUE"""),"Uncle Sams Cider (5/13/2022)")</f>
        <v>Uncle Sams Cider (5/13/2022)</v>
      </c>
      <c r="H2730" s="19"/>
    </row>
    <row r="2731">
      <c r="A2731" s="9"/>
      <c r="B2731" s="15"/>
      <c r="C2731" s="9">
        <f>IFERROR(__xludf.DUMMYFUNCTION("""COMPUTED_VALUE"""),44768.1627516088)</f>
        <v>44768.16275</v>
      </c>
      <c r="D2731" s="15">
        <f>IFERROR(__xludf.DUMMYFUNCTION("""COMPUTED_VALUE"""),1.004)</f>
        <v>1.004</v>
      </c>
      <c r="E2731" s="16">
        <f>IFERROR(__xludf.DUMMYFUNCTION("""COMPUTED_VALUE"""),69.0)</f>
        <v>69</v>
      </c>
      <c r="F2731" s="19" t="str">
        <f>IFERROR(__xludf.DUMMYFUNCTION("""COMPUTED_VALUE"""),"BLACK")</f>
        <v>BLACK</v>
      </c>
      <c r="G2731" s="20" t="str">
        <f>IFERROR(__xludf.DUMMYFUNCTION("""COMPUTED_VALUE"""),"Uncle Sams Cider (5/13/2022)")</f>
        <v>Uncle Sams Cider (5/13/2022)</v>
      </c>
      <c r="H2731" s="19"/>
    </row>
    <row r="2732">
      <c r="A2732" s="9"/>
      <c r="B2732" s="15"/>
      <c r="C2732" s="9">
        <f>IFERROR(__xludf.DUMMYFUNCTION("""COMPUTED_VALUE"""),44768.1523325347)</f>
        <v>44768.15233</v>
      </c>
      <c r="D2732" s="15">
        <f>IFERROR(__xludf.DUMMYFUNCTION("""COMPUTED_VALUE"""),1.004)</f>
        <v>1.004</v>
      </c>
      <c r="E2732" s="16">
        <f>IFERROR(__xludf.DUMMYFUNCTION("""COMPUTED_VALUE"""),70.0)</f>
        <v>70</v>
      </c>
      <c r="F2732" s="19" t="str">
        <f>IFERROR(__xludf.DUMMYFUNCTION("""COMPUTED_VALUE"""),"BLACK")</f>
        <v>BLACK</v>
      </c>
      <c r="G2732" s="20" t="str">
        <f>IFERROR(__xludf.DUMMYFUNCTION("""COMPUTED_VALUE"""),"Uncle Sams Cider (5/13/2022)")</f>
        <v>Uncle Sams Cider (5/13/2022)</v>
      </c>
      <c r="H2732" s="19"/>
    </row>
    <row r="2733">
      <c r="A2733" s="9"/>
      <c r="B2733" s="15"/>
      <c r="C2733" s="9">
        <f>IFERROR(__xludf.DUMMYFUNCTION("""COMPUTED_VALUE"""),44768.141910162)</f>
        <v>44768.14191</v>
      </c>
      <c r="D2733" s="15">
        <f>IFERROR(__xludf.DUMMYFUNCTION("""COMPUTED_VALUE"""),1.004)</f>
        <v>1.004</v>
      </c>
      <c r="E2733" s="16">
        <f>IFERROR(__xludf.DUMMYFUNCTION("""COMPUTED_VALUE"""),69.0)</f>
        <v>69</v>
      </c>
      <c r="F2733" s="19" t="str">
        <f>IFERROR(__xludf.DUMMYFUNCTION("""COMPUTED_VALUE"""),"BLACK")</f>
        <v>BLACK</v>
      </c>
      <c r="G2733" s="20" t="str">
        <f>IFERROR(__xludf.DUMMYFUNCTION("""COMPUTED_VALUE"""),"Uncle Sams Cider (5/13/2022)")</f>
        <v>Uncle Sams Cider (5/13/2022)</v>
      </c>
      <c r="H2733" s="19"/>
    </row>
    <row r="2734">
      <c r="A2734" s="9"/>
      <c r="B2734" s="15"/>
      <c r="C2734" s="9">
        <f>IFERROR(__xludf.DUMMYFUNCTION("""COMPUTED_VALUE"""),44768.1314886574)</f>
        <v>44768.13149</v>
      </c>
      <c r="D2734" s="15">
        <f>IFERROR(__xludf.DUMMYFUNCTION("""COMPUTED_VALUE"""),1.004)</f>
        <v>1.004</v>
      </c>
      <c r="E2734" s="16">
        <f>IFERROR(__xludf.DUMMYFUNCTION("""COMPUTED_VALUE"""),70.0)</f>
        <v>70</v>
      </c>
      <c r="F2734" s="19" t="str">
        <f>IFERROR(__xludf.DUMMYFUNCTION("""COMPUTED_VALUE"""),"BLACK")</f>
        <v>BLACK</v>
      </c>
      <c r="G2734" s="20" t="str">
        <f>IFERROR(__xludf.DUMMYFUNCTION("""COMPUTED_VALUE"""),"Uncle Sams Cider (5/13/2022)")</f>
        <v>Uncle Sams Cider (5/13/2022)</v>
      </c>
      <c r="H2734" s="19"/>
    </row>
    <row r="2735">
      <c r="A2735" s="9"/>
      <c r="B2735" s="15"/>
      <c r="C2735" s="9">
        <f>IFERROR(__xludf.DUMMYFUNCTION("""COMPUTED_VALUE"""),44768.1210683912)</f>
        <v>44768.12107</v>
      </c>
      <c r="D2735" s="15">
        <f>IFERROR(__xludf.DUMMYFUNCTION("""COMPUTED_VALUE"""),1.004)</f>
        <v>1.004</v>
      </c>
      <c r="E2735" s="16">
        <f>IFERROR(__xludf.DUMMYFUNCTION("""COMPUTED_VALUE"""),69.0)</f>
        <v>69</v>
      </c>
      <c r="F2735" s="19" t="str">
        <f>IFERROR(__xludf.DUMMYFUNCTION("""COMPUTED_VALUE"""),"BLACK")</f>
        <v>BLACK</v>
      </c>
      <c r="G2735" s="20" t="str">
        <f>IFERROR(__xludf.DUMMYFUNCTION("""COMPUTED_VALUE"""),"Uncle Sams Cider (5/13/2022)")</f>
        <v>Uncle Sams Cider (5/13/2022)</v>
      </c>
      <c r="H2735" s="19"/>
    </row>
    <row r="2736">
      <c r="A2736" s="9"/>
      <c r="B2736" s="15"/>
      <c r="C2736" s="9">
        <f>IFERROR(__xludf.DUMMYFUNCTION("""COMPUTED_VALUE"""),44768.1106359722)</f>
        <v>44768.11064</v>
      </c>
      <c r="D2736" s="15">
        <f>IFERROR(__xludf.DUMMYFUNCTION("""COMPUTED_VALUE"""),1.004)</f>
        <v>1.004</v>
      </c>
      <c r="E2736" s="16">
        <f>IFERROR(__xludf.DUMMYFUNCTION("""COMPUTED_VALUE"""),69.0)</f>
        <v>69</v>
      </c>
      <c r="F2736" s="19" t="str">
        <f>IFERROR(__xludf.DUMMYFUNCTION("""COMPUTED_VALUE"""),"BLACK")</f>
        <v>BLACK</v>
      </c>
      <c r="G2736" s="20" t="str">
        <f>IFERROR(__xludf.DUMMYFUNCTION("""COMPUTED_VALUE"""),"Uncle Sams Cider (5/13/2022)")</f>
        <v>Uncle Sams Cider (5/13/2022)</v>
      </c>
      <c r="H2736" s="19"/>
    </row>
    <row r="2737">
      <c r="A2737" s="9"/>
      <c r="B2737" s="15"/>
      <c r="C2737" s="9">
        <f>IFERROR(__xludf.DUMMYFUNCTION("""COMPUTED_VALUE"""),44768.1002139004)</f>
        <v>44768.10021</v>
      </c>
      <c r="D2737" s="15">
        <f>IFERROR(__xludf.DUMMYFUNCTION("""COMPUTED_VALUE"""),1.004)</f>
        <v>1.004</v>
      </c>
      <c r="E2737" s="16">
        <f>IFERROR(__xludf.DUMMYFUNCTION("""COMPUTED_VALUE"""),69.0)</f>
        <v>69</v>
      </c>
      <c r="F2737" s="19" t="str">
        <f>IFERROR(__xludf.DUMMYFUNCTION("""COMPUTED_VALUE"""),"BLACK")</f>
        <v>BLACK</v>
      </c>
      <c r="G2737" s="20" t="str">
        <f>IFERROR(__xludf.DUMMYFUNCTION("""COMPUTED_VALUE"""),"Uncle Sams Cider (5/13/2022)")</f>
        <v>Uncle Sams Cider (5/13/2022)</v>
      </c>
      <c r="H2737" s="19"/>
    </row>
    <row r="2738">
      <c r="A2738" s="9"/>
      <c r="B2738" s="15"/>
      <c r="C2738" s="9">
        <f>IFERROR(__xludf.DUMMYFUNCTION("""COMPUTED_VALUE"""),44768.0897917824)</f>
        <v>44768.08979</v>
      </c>
      <c r="D2738" s="15">
        <f>IFERROR(__xludf.DUMMYFUNCTION("""COMPUTED_VALUE"""),1.004)</f>
        <v>1.004</v>
      </c>
      <c r="E2738" s="16">
        <f>IFERROR(__xludf.DUMMYFUNCTION("""COMPUTED_VALUE"""),69.0)</f>
        <v>69</v>
      </c>
      <c r="F2738" s="19" t="str">
        <f>IFERROR(__xludf.DUMMYFUNCTION("""COMPUTED_VALUE"""),"BLACK")</f>
        <v>BLACK</v>
      </c>
      <c r="G2738" s="20" t="str">
        <f>IFERROR(__xludf.DUMMYFUNCTION("""COMPUTED_VALUE"""),"Uncle Sams Cider (5/13/2022)")</f>
        <v>Uncle Sams Cider (5/13/2022)</v>
      </c>
      <c r="H2738" s="19"/>
    </row>
    <row r="2739">
      <c r="A2739" s="9"/>
      <c r="B2739" s="15"/>
      <c r="C2739" s="9">
        <f>IFERROR(__xludf.DUMMYFUNCTION("""COMPUTED_VALUE"""),44768.0793598263)</f>
        <v>44768.07936</v>
      </c>
      <c r="D2739" s="15">
        <f>IFERROR(__xludf.DUMMYFUNCTION("""COMPUTED_VALUE"""),1.004)</f>
        <v>1.004</v>
      </c>
      <c r="E2739" s="16">
        <f>IFERROR(__xludf.DUMMYFUNCTION("""COMPUTED_VALUE"""),69.0)</f>
        <v>69</v>
      </c>
      <c r="F2739" s="19" t="str">
        <f>IFERROR(__xludf.DUMMYFUNCTION("""COMPUTED_VALUE"""),"BLACK")</f>
        <v>BLACK</v>
      </c>
      <c r="G2739" s="20" t="str">
        <f>IFERROR(__xludf.DUMMYFUNCTION("""COMPUTED_VALUE"""),"Uncle Sams Cider (5/13/2022)")</f>
        <v>Uncle Sams Cider (5/13/2022)</v>
      </c>
      <c r="H2739" s="19"/>
    </row>
    <row r="2740">
      <c r="A2740" s="9"/>
      <c r="B2740" s="15"/>
      <c r="C2740" s="9">
        <f>IFERROR(__xludf.DUMMYFUNCTION("""COMPUTED_VALUE"""),44768.0689381018)</f>
        <v>44768.06894</v>
      </c>
      <c r="D2740" s="15">
        <f>IFERROR(__xludf.DUMMYFUNCTION("""COMPUTED_VALUE"""),1.004)</f>
        <v>1.004</v>
      </c>
      <c r="E2740" s="16">
        <f>IFERROR(__xludf.DUMMYFUNCTION("""COMPUTED_VALUE"""),69.0)</f>
        <v>69</v>
      </c>
      <c r="F2740" s="19" t="str">
        <f>IFERROR(__xludf.DUMMYFUNCTION("""COMPUTED_VALUE"""),"BLACK")</f>
        <v>BLACK</v>
      </c>
      <c r="G2740" s="20" t="str">
        <f>IFERROR(__xludf.DUMMYFUNCTION("""COMPUTED_VALUE"""),"Uncle Sams Cider (5/13/2022)")</f>
        <v>Uncle Sams Cider (5/13/2022)</v>
      </c>
      <c r="H2740" s="19"/>
    </row>
    <row r="2741">
      <c r="A2741" s="9"/>
      <c r="B2741" s="15"/>
      <c r="C2741" s="9">
        <f>IFERROR(__xludf.DUMMYFUNCTION("""COMPUTED_VALUE"""),44768.0585173148)</f>
        <v>44768.05852</v>
      </c>
      <c r="D2741" s="15">
        <f>IFERROR(__xludf.DUMMYFUNCTION("""COMPUTED_VALUE"""),1.004)</f>
        <v>1.004</v>
      </c>
      <c r="E2741" s="16">
        <f>IFERROR(__xludf.DUMMYFUNCTION("""COMPUTED_VALUE"""),69.0)</f>
        <v>69</v>
      </c>
      <c r="F2741" s="19" t="str">
        <f>IFERROR(__xludf.DUMMYFUNCTION("""COMPUTED_VALUE"""),"BLACK")</f>
        <v>BLACK</v>
      </c>
      <c r="G2741" s="20" t="str">
        <f>IFERROR(__xludf.DUMMYFUNCTION("""COMPUTED_VALUE"""),"Uncle Sams Cider (5/13/2022)")</f>
        <v>Uncle Sams Cider (5/13/2022)</v>
      </c>
      <c r="H2741" s="19"/>
    </row>
    <row r="2742">
      <c r="A2742" s="9"/>
      <c r="B2742" s="15"/>
      <c r="C2742" s="9">
        <f>IFERROR(__xludf.DUMMYFUNCTION("""COMPUTED_VALUE"""),44768.0480966551)</f>
        <v>44768.0481</v>
      </c>
      <c r="D2742" s="15">
        <f>IFERROR(__xludf.DUMMYFUNCTION("""COMPUTED_VALUE"""),1.004)</f>
        <v>1.004</v>
      </c>
      <c r="E2742" s="16">
        <f>IFERROR(__xludf.DUMMYFUNCTION("""COMPUTED_VALUE"""),69.0)</f>
        <v>69</v>
      </c>
      <c r="F2742" s="19" t="str">
        <f>IFERROR(__xludf.DUMMYFUNCTION("""COMPUTED_VALUE"""),"BLACK")</f>
        <v>BLACK</v>
      </c>
      <c r="G2742" s="20" t="str">
        <f>IFERROR(__xludf.DUMMYFUNCTION("""COMPUTED_VALUE"""),"Uncle Sams Cider (5/13/2022)")</f>
        <v>Uncle Sams Cider (5/13/2022)</v>
      </c>
      <c r="H2742" s="19"/>
    </row>
    <row r="2743">
      <c r="A2743" s="9"/>
      <c r="B2743" s="15"/>
      <c r="C2743" s="9">
        <f>IFERROR(__xludf.DUMMYFUNCTION("""COMPUTED_VALUE"""),44768.0376755324)</f>
        <v>44768.03768</v>
      </c>
      <c r="D2743" s="15">
        <f>IFERROR(__xludf.DUMMYFUNCTION("""COMPUTED_VALUE"""),1.004)</f>
        <v>1.004</v>
      </c>
      <c r="E2743" s="16">
        <f>IFERROR(__xludf.DUMMYFUNCTION("""COMPUTED_VALUE"""),69.0)</f>
        <v>69</v>
      </c>
      <c r="F2743" s="19" t="str">
        <f>IFERROR(__xludf.DUMMYFUNCTION("""COMPUTED_VALUE"""),"BLACK")</f>
        <v>BLACK</v>
      </c>
      <c r="G2743" s="20" t="str">
        <f>IFERROR(__xludf.DUMMYFUNCTION("""COMPUTED_VALUE"""),"Uncle Sams Cider (5/13/2022)")</f>
        <v>Uncle Sams Cider (5/13/2022)</v>
      </c>
      <c r="H2743" s="19"/>
    </row>
    <row r="2744">
      <c r="A2744" s="9"/>
      <c r="B2744" s="15"/>
      <c r="C2744" s="9">
        <f>IFERROR(__xludf.DUMMYFUNCTION("""COMPUTED_VALUE"""),44768.0272540972)</f>
        <v>44768.02725</v>
      </c>
      <c r="D2744" s="15">
        <f>IFERROR(__xludf.DUMMYFUNCTION("""COMPUTED_VALUE"""),1.004)</f>
        <v>1.004</v>
      </c>
      <c r="E2744" s="16">
        <f>IFERROR(__xludf.DUMMYFUNCTION("""COMPUTED_VALUE"""),69.0)</f>
        <v>69</v>
      </c>
      <c r="F2744" s="19" t="str">
        <f>IFERROR(__xludf.DUMMYFUNCTION("""COMPUTED_VALUE"""),"BLACK")</f>
        <v>BLACK</v>
      </c>
      <c r="G2744" s="20" t="str">
        <f>IFERROR(__xludf.DUMMYFUNCTION("""COMPUTED_VALUE"""),"Uncle Sams Cider (5/13/2022)")</f>
        <v>Uncle Sams Cider (5/13/2022)</v>
      </c>
      <c r="H2744" s="19"/>
    </row>
    <row r="2745">
      <c r="A2745" s="9"/>
      <c r="B2745" s="15"/>
      <c r="C2745" s="9">
        <f>IFERROR(__xludf.DUMMYFUNCTION("""COMPUTED_VALUE"""),44768.0168322453)</f>
        <v>44768.01683</v>
      </c>
      <c r="D2745" s="15">
        <f>IFERROR(__xludf.DUMMYFUNCTION("""COMPUTED_VALUE"""),1.004)</f>
        <v>1.004</v>
      </c>
      <c r="E2745" s="16">
        <f>IFERROR(__xludf.DUMMYFUNCTION("""COMPUTED_VALUE"""),69.0)</f>
        <v>69</v>
      </c>
      <c r="F2745" s="19" t="str">
        <f>IFERROR(__xludf.DUMMYFUNCTION("""COMPUTED_VALUE"""),"BLACK")</f>
        <v>BLACK</v>
      </c>
      <c r="G2745" s="20" t="str">
        <f>IFERROR(__xludf.DUMMYFUNCTION("""COMPUTED_VALUE"""),"Uncle Sams Cider (5/13/2022)")</f>
        <v>Uncle Sams Cider (5/13/2022)</v>
      </c>
      <c r="H2745" s="19"/>
    </row>
    <row r="2746">
      <c r="A2746" s="9"/>
      <c r="B2746" s="15"/>
      <c r="C2746" s="9">
        <f>IFERROR(__xludf.DUMMYFUNCTION("""COMPUTED_VALUE"""),44768.006399074)</f>
        <v>44768.0064</v>
      </c>
      <c r="D2746" s="15">
        <f>IFERROR(__xludf.DUMMYFUNCTION("""COMPUTED_VALUE"""),1.004)</f>
        <v>1.004</v>
      </c>
      <c r="E2746" s="16">
        <f>IFERROR(__xludf.DUMMYFUNCTION("""COMPUTED_VALUE"""),69.0)</f>
        <v>69</v>
      </c>
      <c r="F2746" s="19" t="str">
        <f>IFERROR(__xludf.DUMMYFUNCTION("""COMPUTED_VALUE"""),"BLACK")</f>
        <v>BLACK</v>
      </c>
      <c r="G2746" s="20" t="str">
        <f>IFERROR(__xludf.DUMMYFUNCTION("""COMPUTED_VALUE"""),"Uncle Sams Cider (5/13/2022)")</f>
        <v>Uncle Sams Cider (5/13/2022)</v>
      </c>
      <c r="H2746" s="19"/>
    </row>
    <row r="2747">
      <c r="A2747" s="9"/>
      <c r="B2747" s="15"/>
      <c r="C2747" s="9">
        <f>IFERROR(__xludf.DUMMYFUNCTION("""COMPUTED_VALUE"""),44767.9959758217)</f>
        <v>44767.99598</v>
      </c>
      <c r="D2747" s="15">
        <f>IFERROR(__xludf.DUMMYFUNCTION("""COMPUTED_VALUE"""),1.004)</f>
        <v>1.004</v>
      </c>
      <c r="E2747" s="16">
        <f>IFERROR(__xludf.DUMMYFUNCTION("""COMPUTED_VALUE"""),69.0)</f>
        <v>69</v>
      </c>
      <c r="F2747" s="19" t="str">
        <f>IFERROR(__xludf.DUMMYFUNCTION("""COMPUTED_VALUE"""),"BLACK")</f>
        <v>BLACK</v>
      </c>
      <c r="G2747" s="20" t="str">
        <f>IFERROR(__xludf.DUMMYFUNCTION("""COMPUTED_VALUE"""),"Uncle Sams Cider (5/13/2022)")</f>
        <v>Uncle Sams Cider (5/13/2022)</v>
      </c>
      <c r="H2747" s="19"/>
    </row>
    <row r="2748">
      <c r="A2748" s="9"/>
      <c r="B2748" s="15"/>
      <c r="C2748" s="9">
        <f>IFERROR(__xludf.DUMMYFUNCTION("""COMPUTED_VALUE"""),44767.9855558796)</f>
        <v>44767.98556</v>
      </c>
      <c r="D2748" s="15">
        <f>IFERROR(__xludf.DUMMYFUNCTION("""COMPUTED_VALUE"""),1.004)</f>
        <v>1.004</v>
      </c>
      <c r="E2748" s="16">
        <f>IFERROR(__xludf.DUMMYFUNCTION("""COMPUTED_VALUE"""),69.0)</f>
        <v>69</v>
      </c>
      <c r="F2748" s="19" t="str">
        <f>IFERROR(__xludf.DUMMYFUNCTION("""COMPUTED_VALUE"""),"BLACK")</f>
        <v>BLACK</v>
      </c>
      <c r="G2748" s="20" t="str">
        <f>IFERROR(__xludf.DUMMYFUNCTION("""COMPUTED_VALUE"""),"Uncle Sams Cider (5/13/2022)")</f>
        <v>Uncle Sams Cider (5/13/2022)</v>
      </c>
      <c r="H2748" s="19"/>
    </row>
    <row r="2749">
      <c r="A2749" s="9"/>
      <c r="B2749" s="15"/>
      <c r="C2749" s="9">
        <f>IFERROR(__xludf.DUMMYFUNCTION("""COMPUTED_VALUE"""),44767.9751101388)</f>
        <v>44767.97511</v>
      </c>
      <c r="D2749" s="15">
        <f>IFERROR(__xludf.DUMMYFUNCTION("""COMPUTED_VALUE"""),1.004)</f>
        <v>1.004</v>
      </c>
      <c r="E2749" s="16">
        <f>IFERROR(__xludf.DUMMYFUNCTION("""COMPUTED_VALUE"""),69.0)</f>
        <v>69</v>
      </c>
      <c r="F2749" s="19" t="str">
        <f>IFERROR(__xludf.DUMMYFUNCTION("""COMPUTED_VALUE"""),"BLACK")</f>
        <v>BLACK</v>
      </c>
      <c r="G2749" s="20" t="str">
        <f>IFERROR(__xludf.DUMMYFUNCTION("""COMPUTED_VALUE"""),"Uncle Sams Cider (5/13/2022)")</f>
        <v>Uncle Sams Cider (5/13/2022)</v>
      </c>
      <c r="H2749" s="19"/>
    </row>
    <row r="2750">
      <c r="A2750" s="9"/>
      <c r="B2750" s="15"/>
      <c r="C2750" s="9">
        <f>IFERROR(__xludf.DUMMYFUNCTION("""COMPUTED_VALUE"""),44767.9646636574)</f>
        <v>44767.96466</v>
      </c>
      <c r="D2750" s="15">
        <f>IFERROR(__xludf.DUMMYFUNCTION("""COMPUTED_VALUE"""),1.004)</f>
        <v>1.004</v>
      </c>
      <c r="E2750" s="16">
        <f>IFERROR(__xludf.DUMMYFUNCTION("""COMPUTED_VALUE"""),69.0)</f>
        <v>69</v>
      </c>
      <c r="F2750" s="19" t="str">
        <f>IFERROR(__xludf.DUMMYFUNCTION("""COMPUTED_VALUE"""),"BLACK")</f>
        <v>BLACK</v>
      </c>
      <c r="G2750" s="20" t="str">
        <f>IFERROR(__xludf.DUMMYFUNCTION("""COMPUTED_VALUE"""),"Uncle Sams Cider (5/13/2022)")</f>
        <v>Uncle Sams Cider (5/13/2022)</v>
      </c>
      <c r="H2750" s="19"/>
    </row>
    <row r="2751">
      <c r="A2751" s="9"/>
      <c r="B2751" s="15"/>
      <c r="C2751" s="9">
        <f>IFERROR(__xludf.DUMMYFUNCTION("""COMPUTED_VALUE"""),44767.9542316898)</f>
        <v>44767.95423</v>
      </c>
      <c r="D2751" s="15">
        <f>IFERROR(__xludf.DUMMYFUNCTION("""COMPUTED_VALUE"""),1.004)</f>
        <v>1.004</v>
      </c>
      <c r="E2751" s="16">
        <f>IFERROR(__xludf.DUMMYFUNCTION("""COMPUTED_VALUE"""),69.0)</f>
        <v>69</v>
      </c>
      <c r="F2751" s="19" t="str">
        <f>IFERROR(__xludf.DUMMYFUNCTION("""COMPUTED_VALUE"""),"BLACK")</f>
        <v>BLACK</v>
      </c>
      <c r="G2751" s="20" t="str">
        <f>IFERROR(__xludf.DUMMYFUNCTION("""COMPUTED_VALUE"""),"Uncle Sams Cider (5/13/2022)")</f>
        <v>Uncle Sams Cider (5/13/2022)</v>
      </c>
      <c r="H2751" s="19"/>
    </row>
    <row r="2752">
      <c r="A2752" s="9"/>
      <c r="B2752" s="15"/>
      <c r="C2752" s="9">
        <f>IFERROR(__xludf.DUMMYFUNCTION("""COMPUTED_VALUE"""),44767.943808831)</f>
        <v>44767.94381</v>
      </c>
      <c r="D2752" s="15">
        <f>IFERROR(__xludf.DUMMYFUNCTION("""COMPUTED_VALUE"""),1.004)</f>
        <v>1.004</v>
      </c>
      <c r="E2752" s="16">
        <f>IFERROR(__xludf.DUMMYFUNCTION("""COMPUTED_VALUE"""),69.0)</f>
        <v>69</v>
      </c>
      <c r="F2752" s="19" t="str">
        <f>IFERROR(__xludf.DUMMYFUNCTION("""COMPUTED_VALUE"""),"BLACK")</f>
        <v>BLACK</v>
      </c>
      <c r="G2752" s="20" t="str">
        <f>IFERROR(__xludf.DUMMYFUNCTION("""COMPUTED_VALUE"""),"Uncle Sams Cider (5/13/2022)")</f>
        <v>Uncle Sams Cider (5/13/2022)</v>
      </c>
      <c r="H2752" s="19"/>
    </row>
    <row r="2753">
      <c r="A2753" s="9"/>
      <c r="B2753" s="15"/>
      <c r="C2753" s="9">
        <f>IFERROR(__xludf.DUMMYFUNCTION("""COMPUTED_VALUE"""),44767.9333870486)</f>
        <v>44767.93339</v>
      </c>
      <c r="D2753" s="15">
        <f>IFERROR(__xludf.DUMMYFUNCTION("""COMPUTED_VALUE"""),1.004)</f>
        <v>1.004</v>
      </c>
      <c r="E2753" s="16">
        <f>IFERROR(__xludf.DUMMYFUNCTION("""COMPUTED_VALUE"""),69.0)</f>
        <v>69</v>
      </c>
      <c r="F2753" s="19" t="str">
        <f>IFERROR(__xludf.DUMMYFUNCTION("""COMPUTED_VALUE"""),"BLACK")</f>
        <v>BLACK</v>
      </c>
      <c r="G2753" s="20" t="str">
        <f>IFERROR(__xludf.DUMMYFUNCTION("""COMPUTED_VALUE"""),"Uncle Sams Cider (5/13/2022)")</f>
        <v>Uncle Sams Cider (5/13/2022)</v>
      </c>
      <c r="H2753" s="19"/>
    </row>
    <row r="2754">
      <c r="A2754" s="9"/>
      <c r="B2754" s="15"/>
      <c r="C2754" s="9">
        <f>IFERROR(__xludf.DUMMYFUNCTION("""COMPUTED_VALUE"""),44767.9229555439)</f>
        <v>44767.92296</v>
      </c>
      <c r="D2754" s="15">
        <f>IFERROR(__xludf.DUMMYFUNCTION("""COMPUTED_VALUE"""),1.004)</f>
        <v>1.004</v>
      </c>
      <c r="E2754" s="16">
        <f>IFERROR(__xludf.DUMMYFUNCTION("""COMPUTED_VALUE"""),69.0)</f>
        <v>69</v>
      </c>
      <c r="F2754" s="19" t="str">
        <f>IFERROR(__xludf.DUMMYFUNCTION("""COMPUTED_VALUE"""),"BLACK")</f>
        <v>BLACK</v>
      </c>
      <c r="G2754" s="20" t="str">
        <f>IFERROR(__xludf.DUMMYFUNCTION("""COMPUTED_VALUE"""),"Uncle Sams Cider (5/13/2022)")</f>
        <v>Uncle Sams Cider (5/13/2022)</v>
      </c>
      <c r="H2754" s="19"/>
    </row>
    <row r="2755">
      <c r="A2755" s="9"/>
      <c r="B2755" s="15"/>
      <c r="C2755" s="9">
        <f>IFERROR(__xludf.DUMMYFUNCTION("""COMPUTED_VALUE"""),44767.912535868)</f>
        <v>44767.91254</v>
      </c>
      <c r="D2755" s="15">
        <f>IFERROR(__xludf.DUMMYFUNCTION("""COMPUTED_VALUE"""),1.004)</f>
        <v>1.004</v>
      </c>
      <c r="E2755" s="16">
        <f>IFERROR(__xludf.DUMMYFUNCTION("""COMPUTED_VALUE"""),69.0)</f>
        <v>69</v>
      </c>
      <c r="F2755" s="19" t="str">
        <f>IFERROR(__xludf.DUMMYFUNCTION("""COMPUTED_VALUE"""),"BLACK")</f>
        <v>BLACK</v>
      </c>
      <c r="G2755" s="20" t="str">
        <f>IFERROR(__xludf.DUMMYFUNCTION("""COMPUTED_VALUE"""),"Uncle Sams Cider (5/13/2022)")</f>
        <v>Uncle Sams Cider (5/13/2022)</v>
      </c>
      <c r="H2755" s="19"/>
    </row>
    <row r="2756">
      <c r="A2756" s="9"/>
      <c r="B2756" s="15"/>
      <c r="C2756" s="9">
        <f>IFERROR(__xludf.DUMMYFUNCTION("""COMPUTED_VALUE"""),44767.9021025)</f>
        <v>44767.9021</v>
      </c>
      <c r="D2756" s="15">
        <f>IFERROR(__xludf.DUMMYFUNCTION("""COMPUTED_VALUE"""),1.004)</f>
        <v>1.004</v>
      </c>
      <c r="E2756" s="16">
        <f>IFERROR(__xludf.DUMMYFUNCTION("""COMPUTED_VALUE"""),69.0)</f>
        <v>69</v>
      </c>
      <c r="F2756" s="19" t="str">
        <f>IFERROR(__xludf.DUMMYFUNCTION("""COMPUTED_VALUE"""),"BLACK")</f>
        <v>BLACK</v>
      </c>
      <c r="G2756" s="20" t="str">
        <f>IFERROR(__xludf.DUMMYFUNCTION("""COMPUTED_VALUE"""),"Uncle Sams Cider (5/13/2022)")</f>
        <v>Uncle Sams Cider (5/13/2022)</v>
      </c>
      <c r="H2756" s="19"/>
    </row>
    <row r="2757">
      <c r="A2757" s="9"/>
      <c r="B2757" s="15"/>
      <c r="C2757" s="9">
        <f>IFERROR(__xludf.DUMMYFUNCTION("""COMPUTED_VALUE"""),44767.8916804976)</f>
        <v>44767.89168</v>
      </c>
      <c r="D2757" s="15">
        <f>IFERROR(__xludf.DUMMYFUNCTION("""COMPUTED_VALUE"""),1.004)</f>
        <v>1.004</v>
      </c>
      <c r="E2757" s="16">
        <f>IFERROR(__xludf.DUMMYFUNCTION("""COMPUTED_VALUE"""),69.0)</f>
        <v>69</v>
      </c>
      <c r="F2757" s="19" t="str">
        <f>IFERROR(__xludf.DUMMYFUNCTION("""COMPUTED_VALUE"""),"BLACK")</f>
        <v>BLACK</v>
      </c>
      <c r="G2757" s="20" t="str">
        <f>IFERROR(__xludf.DUMMYFUNCTION("""COMPUTED_VALUE"""),"Uncle Sams Cider (5/13/2022)")</f>
        <v>Uncle Sams Cider (5/13/2022)</v>
      </c>
      <c r="H2757" s="19"/>
    </row>
    <row r="2758">
      <c r="A2758" s="9"/>
      <c r="B2758" s="15"/>
      <c r="C2758" s="9">
        <f>IFERROR(__xludf.DUMMYFUNCTION("""COMPUTED_VALUE"""),44767.8812584837)</f>
        <v>44767.88126</v>
      </c>
      <c r="D2758" s="15">
        <f>IFERROR(__xludf.DUMMYFUNCTION("""COMPUTED_VALUE"""),1.004)</f>
        <v>1.004</v>
      </c>
      <c r="E2758" s="16">
        <f>IFERROR(__xludf.DUMMYFUNCTION("""COMPUTED_VALUE"""),69.0)</f>
        <v>69</v>
      </c>
      <c r="F2758" s="19" t="str">
        <f>IFERROR(__xludf.DUMMYFUNCTION("""COMPUTED_VALUE"""),"BLACK")</f>
        <v>BLACK</v>
      </c>
      <c r="G2758" s="20" t="str">
        <f>IFERROR(__xludf.DUMMYFUNCTION("""COMPUTED_VALUE"""),"Uncle Sams Cider (5/13/2022)")</f>
        <v>Uncle Sams Cider (5/13/2022)</v>
      </c>
      <c r="H2758" s="19"/>
    </row>
    <row r="2759">
      <c r="A2759" s="9"/>
      <c r="B2759" s="15"/>
      <c r="C2759" s="9">
        <f>IFERROR(__xludf.DUMMYFUNCTION("""COMPUTED_VALUE"""),44767.8708140277)</f>
        <v>44767.87081</v>
      </c>
      <c r="D2759" s="15">
        <f>IFERROR(__xludf.DUMMYFUNCTION("""COMPUTED_VALUE"""),1.004)</f>
        <v>1.004</v>
      </c>
      <c r="E2759" s="16">
        <f>IFERROR(__xludf.DUMMYFUNCTION("""COMPUTED_VALUE"""),69.0)</f>
        <v>69</v>
      </c>
      <c r="F2759" s="19" t="str">
        <f>IFERROR(__xludf.DUMMYFUNCTION("""COMPUTED_VALUE"""),"BLACK")</f>
        <v>BLACK</v>
      </c>
      <c r="G2759" s="20" t="str">
        <f>IFERROR(__xludf.DUMMYFUNCTION("""COMPUTED_VALUE"""),"Uncle Sams Cider (5/13/2022)")</f>
        <v>Uncle Sams Cider (5/13/2022)</v>
      </c>
      <c r="H2759" s="19"/>
    </row>
    <row r="2760">
      <c r="A2760" s="9"/>
      <c r="B2760" s="15"/>
      <c r="C2760" s="9">
        <f>IFERROR(__xludf.DUMMYFUNCTION("""COMPUTED_VALUE"""),44767.8603943865)</f>
        <v>44767.86039</v>
      </c>
      <c r="D2760" s="15">
        <f>IFERROR(__xludf.DUMMYFUNCTION("""COMPUTED_VALUE"""),1.004)</f>
        <v>1.004</v>
      </c>
      <c r="E2760" s="16">
        <f>IFERROR(__xludf.DUMMYFUNCTION("""COMPUTED_VALUE"""),69.0)</f>
        <v>69</v>
      </c>
      <c r="F2760" s="19" t="str">
        <f>IFERROR(__xludf.DUMMYFUNCTION("""COMPUTED_VALUE"""),"BLACK")</f>
        <v>BLACK</v>
      </c>
      <c r="G2760" s="20" t="str">
        <f>IFERROR(__xludf.DUMMYFUNCTION("""COMPUTED_VALUE"""),"Uncle Sams Cider (5/13/2022)")</f>
        <v>Uncle Sams Cider (5/13/2022)</v>
      </c>
      <c r="H2760" s="19"/>
    </row>
    <row r="2761">
      <c r="A2761" s="9"/>
      <c r="B2761" s="15"/>
      <c r="C2761" s="9">
        <f>IFERROR(__xludf.DUMMYFUNCTION("""COMPUTED_VALUE"""),44767.8499734838)</f>
        <v>44767.84997</v>
      </c>
      <c r="D2761" s="15">
        <f>IFERROR(__xludf.DUMMYFUNCTION("""COMPUTED_VALUE"""),1.004)</f>
        <v>1.004</v>
      </c>
      <c r="E2761" s="16">
        <f>IFERROR(__xludf.DUMMYFUNCTION("""COMPUTED_VALUE"""),69.0)</f>
        <v>69</v>
      </c>
      <c r="F2761" s="19" t="str">
        <f>IFERROR(__xludf.DUMMYFUNCTION("""COMPUTED_VALUE"""),"BLACK")</f>
        <v>BLACK</v>
      </c>
      <c r="G2761" s="20" t="str">
        <f>IFERROR(__xludf.DUMMYFUNCTION("""COMPUTED_VALUE"""),"Uncle Sams Cider (5/13/2022)")</f>
        <v>Uncle Sams Cider (5/13/2022)</v>
      </c>
      <c r="H2761" s="19"/>
    </row>
    <row r="2762">
      <c r="A2762" s="9"/>
      <c r="B2762" s="15"/>
      <c r="C2762" s="9">
        <f>IFERROR(__xludf.DUMMYFUNCTION("""COMPUTED_VALUE"""),44767.8395535416)</f>
        <v>44767.83955</v>
      </c>
      <c r="D2762" s="15">
        <f>IFERROR(__xludf.DUMMYFUNCTION("""COMPUTED_VALUE"""),1.004)</f>
        <v>1.004</v>
      </c>
      <c r="E2762" s="16">
        <f>IFERROR(__xludf.DUMMYFUNCTION("""COMPUTED_VALUE"""),69.0)</f>
        <v>69</v>
      </c>
      <c r="F2762" s="19" t="str">
        <f>IFERROR(__xludf.DUMMYFUNCTION("""COMPUTED_VALUE"""),"BLACK")</f>
        <v>BLACK</v>
      </c>
      <c r="G2762" s="20" t="str">
        <f>IFERROR(__xludf.DUMMYFUNCTION("""COMPUTED_VALUE"""),"Uncle Sams Cider (5/13/2022)")</f>
        <v>Uncle Sams Cider (5/13/2022)</v>
      </c>
      <c r="H2762" s="19"/>
    </row>
    <row r="2763">
      <c r="A2763" s="9"/>
      <c r="B2763" s="15"/>
      <c r="C2763" s="9">
        <f>IFERROR(__xludf.DUMMYFUNCTION("""COMPUTED_VALUE"""),44767.829134537)</f>
        <v>44767.82913</v>
      </c>
      <c r="D2763" s="15">
        <f>IFERROR(__xludf.DUMMYFUNCTION("""COMPUTED_VALUE"""),1.004)</f>
        <v>1.004</v>
      </c>
      <c r="E2763" s="16">
        <f>IFERROR(__xludf.DUMMYFUNCTION("""COMPUTED_VALUE"""),69.0)</f>
        <v>69</v>
      </c>
      <c r="F2763" s="19" t="str">
        <f>IFERROR(__xludf.DUMMYFUNCTION("""COMPUTED_VALUE"""),"BLACK")</f>
        <v>BLACK</v>
      </c>
      <c r="G2763" s="20" t="str">
        <f>IFERROR(__xludf.DUMMYFUNCTION("""COMPUTED_VALUE"""),"Uncle Sams Cider (5/13/2022)")</f>
        <v>Uncle Sams Cider (5/13/2022)</v>
      </c>
      <c r="H2763" s="19"/>
    </row>
    <row r="2764">
      <c r="A2764" s="9"/>
      <c r="B2764" s="15"/>
      <c r="C2764" s="9">
        <f>IFERROR(__xludf.DUMMYFUNCTION("""COMPUTED_VALUE"""),44767.8187131713)</f>
        <v>44767.81871</v>
      </c>
      <c r="D2764" s="15">
        <f>IFERROR(__xludf.DUMMYFUNCTION("""COMPUTED_VALUE"""),1.004)</f>
        <v>1.004</v>
      </c>
      <c r="E2764" s="16">
        <f>IFERROR(__xludf.DUMMYFUNCTION("""COMPUTED_VALUE"""),69.0)</f>
        <v>69</v>
      </c>
      <c r="F2764" s="19" t="str">
        <f>IFERROR(__xludf.DUMMYFUNCTION("""COMPUTED_VALUE"""),"BLACK")</f>
        <v>BLACK</v>
      </c>
      <c r="G2764" s="20" t="str">
        <f>IFERROR(__xludf.DUMMYFUNCTION("""COMPUTED_VALUE"""),"Uncle Sams Cider (5/13/2022)")</f>
        <v>Uncle Sams Cider (5/13/2022)</v>
      </c>
      <c r="H2764" s="19"/>
    </row>
    <row r="2765">
      <c r="A2765" s="9"/>
      <c r="B2765" s="15"/>
      <c r="C2765" s="9">
        <f>IFERROR(__xludf.DUMMYFUNCTION("""COMPUTED_VALUE"""),44767.808293831)</f>
        <v>44767.80829</v>
      </c>
      <c r="D2765" s="15">
        <f>IFERROR(__xludf.DUMMYFUNCTION("""COMPUTED_VALUE"""),1.004)</f>
        <v>1.004</v>
      </c>
      <c r="E2765" s="16">
        <f>IFERROR(__xludf.DUMMYFUNCTION("""COMPUTED_VALUE"""),69.0)</f>
        <v>69</v>
      </c>
      <c r="F2765" s="19" t="str">
        <f>IFERROR(__xludf.DUMMYFUNCTION("""COMPUTED_VALUE"""),"BLACK")</f>
        <v>BLACK</v>
      </c>
      <c r="G2765" s="20" t="str">
        <f>IFERROR(__xludf.DUMMYFUNCTION("""COMPUTED_VALUE"""),"Uncle Sams Cider (5/13/2022)")</f>
        <v>Uncle Sams Cider (5/13/2022)</v>
      </c>
      <c r="H2765" s="19"/>
    </row>
    <row r="2766">
      <c r="A2766" s="9"/>
      <c r="B2766" s="15"/>
      <c r="C2766" s="9">
        <f>IFERROR(__xludf.DUMMYFUNCTION("""COMPUTED_VALUE"""),44767.7978706365)</f>
        <v>44767.79787</v>
      </c>
      <c r="D2766" s="15">
        <f>IFERROR(__xludf.DUMMYFUNCTION("""COMPUTED_VALUE"""),1.004)</f>
        <v>1.004</v>
      </c>
      <c r="E2766" s="16">
        <f>IFERROR(__xludf.DUMMYFUNCTION("""COMPUTED_VALUE"""),69.0)</f>
        <v>69</v>
      </c>
      <c r="F2766" s="19" t="str">
        <f>IFERROR(__xludf.DUMMYFUNCTION("""COMPUTED_VALUE"""),"BLACK")</f>
        <v>BLACK</v>
      </c>
      <c r="G2766" s="20" t="str">
        <f>IFERROR(__xludf.DUMMYFUNCTION("""COMPUTED_VALUE"""),"Uncle Sams Cider (5/13/2022)")</f>
        <v>Uncle Sams Cider (5/13/2022)</v>
      </c>
      <c r="H2766" s="19"/>
    </row>
    <row r="2767">
      <c r="A2767" s="9"/>
      <c r="B2767" s="15"/>
      <c r="C2767" s="9">
        <f>IFERROR(__xludf.DUMMYFUNCTION("""COMPUTED_VALUE"""),44767.7874380324)</f>
        <v>44767.78744</v>
      </c>
      <c r="D2767" s="15">
        <f>IFERROR(__xludf.DUMMYFUNCTION("""COMPUTED_VALUE"""),1.004)</f>
        <v>1.004</v>
      </c>
      <c r="E2767" s="16">
        <f>IFERROR(__xludf.DUMMYFUNCTION("""COMPUTED_VALUE"""),69.0)</f>
        <v>69</v>
      </c>
      <c r="F2767" s="19" t="str">
        <f>IFERROR(__xludf.DUMMYFUNCTION("""COMPUTED_VALUE"""),"BLACK")</f>
        <v>BLACK</v>
      </c>
      <c r="G2767" s="20" t="str">
        <f>IFERROR(__xludf.DUMMYFUNCTION("""COMPUTED_VALUE"""),"Uncle Sams Cider (5/13/2022)")</f>
        <v>Uncle Sams Cider (5/13/2022)</v>
      </c>
      <c r="H2767" s="19"/>
    </row>
    <row r="2768">
      <c r="A2768" s="9"/>
      <c r="B2768" s="15"/>
      <c r="C2768" s="9">
        <f>IFERROR(__xludf.DUMMYFUNCTION("""COMPUTED_VALUE"""),44767.777015787)</f>
        <v>44767.77702</v>
      </c>
      <c r="D2768" s="15">
        <f>IFERROR(__xludf.DUMMYFUNCTION("""COMPUTED_VALUE"""),1.004)</f>
        <v>1.004</v>
      </c>
      <c r="E2768" s="16">
        <f>IFERROR(__xludf.DUMMYFUNCTION("""COMPUTED_VALUE"""),69.0)</f>
        <v>69</v>
      </c>
      <c r="F2768" s="19" t="str">
        <f>IFERROR(__xludf.DUMMYFUNCTION("""COMPUTED_VALUE"""),"BLACK")</f>
        <v>BLACK</v>
      </c>
      <c r="G2768" s="20" t="str">
        <f>IFERROR(__xludf.DUMMYFUNCTION("""COMPUTED_VALUE"""),"Uncle Sams Cider (5/13/2022)")</f>
        <v>Uncle Sams Cider (5/13/2022)</v>
      </c>
      <c r="H2768" s="19"/>
    </row>
    <row r="2769">
      <c r="A2769" s="9"/>
      <c r="B2769" s="15"/>
      <c r="C2769" s="9">
        <f>IFERROR(__xludf.DUMMYFUNCTION("""COMPUTED_VALUE"""),44767.7665808333)</f>
        <v>44767.76658</v>
      </c>
      <c r="D2769" s="15">
        <f>IFERROR(__xludf.DUMMYFUNCTION("""COMPUTED_VALUE"""),1.004)</f>
        <v>1.004</v>
      </c>
      <c r="E2769" s="16">
        <f>IFERROR(__xludf.DUMMYFUNCTION("""COMPUTED_VALUE"""),69.0)</f>
        <v>69</v>
      </c>
      <c r="F2769" s="19" t="str">
        <f>IFERROR(__xludf.DUMMYFUNCTION("""COMPUTED_VALUE"""),"BLACK")</f>
        <v>BLACK</v>
      </c>
      <c r="G2769" s="20" t="str">
        <f>IFERROR(__xludf.DUMMYFUNCTION("""COMPUTED_VALUE"""),"Uncle Sams Cider (5/13/2022)")</f>
        <v>Uncle Sams Cider (5/13/2022)</v>
      </c>
      <c r="H2769" s="19"/>
    </row>
    <row r="2770">
      <c r="A2770" s="9"/>
      <c r="B2770" s="15"/>
      <c r="C2770" s="9">
        <f>IFERROR(__xludf.DUMMYFUNCTION("""COMPUTED_VALUE"""),44767.7561492013)</f>
        <v>44767.75615</v>
      </c>
      <c r="D2770" s="15">
        <f>IFERROR(__xludf.DUMMYFUNCTION("""COMPUTED_VALUE"""),1.004)</f>
        <v>1.004</v>
      </c>
      <c r="E2770" s="16">
        <f>IFERROR(__xludf.DUMMYFUNCTION("""COMPUTED_VALUE"""),69.0)</f>
        <v>69</v>
      </c>
      <c r="F2770" s="19" t="str">
        <f>IFERROR(__xludf.DUMMYFUNCTION("""COMPUTED_VALUE"""),"BLACK")</f>
        <v>BLACK</v>
      </c>
      <c r="G2770" s="20" t="str">
        <f>IFERROR(__xludf.DUMMYFUNCTION("""COMPUTED_VALUE"""),"Uncle Sams Cider (5/13/2022)")</f>
        <v>Uncle Sams Cider (5/13/2022)</v>
      </c>
      <c r="H2770" s="19"/>
    </row>
    <row r="2771">
      <c r="A2771" s="9"/>
      <c r="B2771" s="15"/>
      <c r="C2771" s="9">
        <f>IFERROR(__xludf.DUMMYFUNCTION("""COMPUTED_VALUE"""),44767.7457272569)</f>
        <v>44767.74573</v>
      </c>
      <c r="D2771" s="15">
        <f>IFERROR(__xludf.DUMMYFUNCTION("""COMPUTED_VALUE"""),1.004)</f>
        <v>1.004</v>
      </c>
      <c r="E2771" s="16">
        <f>IFERROR(__xludf.DUMMYFUNCTION("""COMPUTED_VALUE"""),69.0)</f>
        <v>69</v>
      </c>
      <c r="F2771" s="19" t="str">
        <f>IFERROR(__xludf.DUMMYFUNCTION("""COMPUTED_VALUE"""),"BLACK")</f>
        <v>BLACK</v>
      </c>
      <c r="G2771" s="20" t="str">
        <f>IFERROR(__xludf.DUMMYFUNCTION("""COMPUTED_VALUE"""),"Uncle Sams Cider (5/13/2022)")</f>
        <v>Uncle Sams Cider (5/13/2022)</v>
      </c>
      <c r="H2771" s="19"/>
    </row>
    <row r="2772">
      <c r="A2772" s="9"/>
      <c r="B2772" s="15"/>
      <c r="C2772" s="9">
        <f>IFERROR(__xludf.DUMMYFUNCTION("""COMPUTED_VALUE"""),44767.7353053356)</f>
        <v>44767.73531</v>
      </c>
      <c r="D2772" s="15">
        <f>IFERROR(__xludf.DUMMYFUNCTION("""COMPUTED_VALUE"""),1.004)</f>
        <v>1.004</v>
      </c>
      <c r="E2772" s="16">
        <f>IFERROR(__xludf.DUMMYFUNCTION("""COMPUTED_VALUE"""),69.0)</f>
        <v>69</v>
      </c>
      <c r="F2772" s="19" t="str">
        <f>IFERROR(__xludf.DUMMYFUNCTION("""COMPUTED_VALUE"""),"BLACK")</f>
        <v>BLACK</v>
      </c>
      <c r="G2772" s="20" t="str">
        <f>IFERROR(__xludf.DUMMYFUNCTION("""COMPUTED_VALUE"""),"Uncle Sams Cider (5/13/2022)")</f>
        <v>Uncle Sams Cider (5/13/2022)</v>
      </c>
      <c r="H2772" s="19"/>
    </row>
    <row r="2773">
      <c r="A2773" s="9"/>
      <c r="B2773" s="15"/>
      <c r="C2773" s="9">
        <f>IFERROR(__xludf.DUMMYFUNCTION("""COMPUTED_VALUE"""),44767.7248858796)</f>
        <v>44767.72489</v>
      </c>
      <c r="D2773" s="15">
        <f>IFERROR(__xludf.DUMMYFUNCTION("""COMPUTED_VALUE"""),1.004)</f>
        <v>1.004</v>
      </c>
      <c r="E2773" s="16">
        <f>IFERROR(__xludf.DUMMYFUNCTION("""COMPUTED_VALUE"""),69.0)</f>
        <v>69</v>
      </c>
      <c r="F2773" s="19" t="str">
        <f>IFERROR(__xludf.DUMMYFUNCTION("""COMPUTED_VALUE"""),"BLACK")</f>
        <v>BLACK</v>
      </c>
      <c r="G2773" s="20" t="str">
        <f>IFERROR(__xludf.DUMMYFUNCTION("""COMPUTED_VALUE"""),"Uncle Sams Cider (5/13/2022)")</f>
        <v>Uncle Sams Cider (5/13/2022)</v>
      </c>
      <c r="H2773" s="19"/>
    </row>
    <row r="2774">
      <c r="A2774" s="9"/>
      <c r="B2774" s="15"/>
      <c r="C2774" s="9">
        <f>IFERROR(__xludf.DUMMYFUNCTION("""COMPUTED_VALUE"""),44767.7144639351)</f>
        <v>44767.71446</v>
      </c>
      <c r="D2774" s="15">
        <f>IFERROR(__xludf.DUMMYFUNCTION("""COMPUTED_VALUE"""),1.004)</f>
        <v>1.004</v>
      </c>
      <c r="E2774" s="16">
        <f>IFERROR(__xludf.DUMMYFUNCTION("""COMPUTED_VALUE"""),69.0)</f>
        <v>69</v>
      </c>
      <c r="F2774" s="19" t="str">
        <f>IFERROR(__xludf.DUMMYFUNCTION("""COMPUTED_VALUE"""),"BLACK")</f>
        <v>BLACK</v>
      </c>
      <c r="G2774" s="20" t="str">
        <f>IFERROR(__xludf.DUMMYFUNCTION("""COMPUTED_VALUE"""),"Uncle Sams Cider (5/13/2022)")</f>
        <v>Uncle Sams Cider (5/13/2022)</v>
      </c>
      <c r="H2774" s="19"/>
    </row>
    <row r="2775">
      <c r="A2775" s="9"/>
      <c r="B2775" s="15"/>
      <c r="C2775" s="9">
        <f>IFERROR(__xludf.DUMMYFUNCTION("""COMPUTED_VALUE"""),44767.7040436689)</f>
        <v>44767.70404</v>
      </c>
      <c r="D2775" s="15">
        <f>IFERROR(__xludf.DUMMYFUNCTION("""COMPUTED_VALUE"""),1.004)</f>
        <v>1.004</v>
      </c>
      <c r="E2775" s="16">
        <f>IFERROR(__xludf.DUMMYFUNCTION("""COMPUTED_VALUE"""),69.0)</f>
        <v>69</v>
      </c>
      <c r="F2775" s="19" t="str">
        <f>IFERROR(__xludf.DUMMYFUNCTION("""COMPUTED_VALUE"""),"BLACK")</f>
        <v>BLACK</v>
      </c>
      <c r="G2775" s="20" t="str">
        <f>IFERROR(__xludf.DUMMYFUNCTION("""COMPUTED_VALUE"""),"Uncle Sams Cider (5/13/2022)")</f>
        <v>Uncle Sams Cider (5/13/2022)</v>
      </c>
      <c r="H2775" s="19"/>
    </row>
    <row r="2776">
      <c r="A2776" s="9"/>
      <c r="B2776" s="15"/>
      <c r="C2776" s="9">
        <f>IFERROR(__xludf.DUMMYFUNCTION("""COMPUTED_VALUE"""),44767.693621493)</f>
        <v>44767.69362</v>
      </c>
      <c r="D2776" s="15">
        <f>IFERROR(__xludf.DUMMYFUNCTION("""COMPUTED_VALUE"""),1.004)</f>
        <v>1.004</v>
      </c>
      <c r="E2776" s="16">
        <f>IFERROR(__xludf.DUMMYFUNCTION("""COMPUTED_VALUE"""),69.0)</f>
        <v>69</v>
      </c>
      <c r="F2776" s="19" t="str">
        <f>IFERROR(__xludf.DUMMYFUNCTION("""COMPUTED_VALUE"""),"BLACK")</f>
        <v>BLACK</v>
      </c>
      <c r="G2776" s="20" t="str">
        <f>IFERROR(__xludf.DUMMYFUNCTION("""COMPUTED_VALUE"""),"Uncle Sams Cider (5/13/2022)")</f>
        <v>Uncle Sams Cider (5/13/2022)</v>
      </c>
      <c r="H2776" s="19"/>
    </row>
    <row r="2777">
      <c r="A2777" s="9"/>
      <c r="B2777" s="15"/>
      <c r="C2777" s="9">
        <f>IFERROR(__xludf.DUMMYFUNCTION("""COMPUTED_VALUE"""),44767.6832026273)</f>
        <v>44767.6832</v>
      </c>
      <c r="D2777" s="15">
        <f>IFERROR(__xludf.DUMMYFUNCTION("""COMPUTED_VALUE"""),1.004)</f>
        <v>1.004</v>
      </c>
      <c r="E2777" s="16">
        <f>IFERROR(__xludf.DUMMYFUNCTION("""COMPUTED_VALUE"""),69.0)</f>
        <v>69</v>
      </c>
      <c r="F2777" s="19" t="str">
        <f>IFERROR(__xludf.DUMMYFUNCTION("""COMPUTED_VALUE"""),"BLACK")</f>
        <v>BLACK</v>
      </c>
      <c r="G2777" s="20" t="str">
        <f>IFERROR(__xludf.DUMMYFUNCTION("""COMPUTED_VALUE"""),"Uncle Sams Cider (5/13/2022)")</f>
        <v>Uncle Sams Cider (5/13/2022)</v>
      </c>
      <c r="H2777" s="19"/>
    </row>
    <row r="2778">
      <c r="A2778" s="9"/>
      <c r="B2778" s="15"/>
      <c r="C2778" s="9">
        <f>IFERROR(__xludf.DUMMYFUNCTION("""COMPUTED_VALUE"""),44767.6727814814)</f>
        <v>44767.67278</v>
      </c>
      <c r="D2778" s="15">
        <f>IFERROR(__xludf.DUMMYFUNCTION("""COMPUTED_VALUE"""),1.004)</f>
        <v>1.004</v>
      </c>
      <c r="E2778" s="16">
        <f>IFERROR(__xludf.DUMMYFUNCTION("""COMPUTED_VALUE"""),69.0)</f>
        <v>69</v>
      </c>
      <c r="F2778" s="19" t="str">
        <f>IFERROR(__xludf.DUMMYFUNCTION("""COMPUTED_VALUE"""),"BLACK")</f>
        <v>BLACK</v>
      </c>
      <c r="G2778" s="20" t="str">
        <f>IFERROR(__xludf.DUMMYFUNCTION("""COMPUTED_VALUE"""),"Uncle Sams Cider (5/13/2022)")</f>
        <v>Uncle Sams Cider (5/13/2022)</v>
      </c>
      <c r="H2778" s="19"/>
    </row>
    <row r="2779">
      <c r="A2779" s="9"/>
      <c r="B2779" s="15"/>
      <c r="C2779" s="9">
        <f>IFERROR(__xludf.DUMMYFUNCTION("""COMPUTED_VALUE"""),44767.662361956)</f>
        <v>44767.66236</v>
      </c>
      <c r="D2779" s="15">
        <f>IFERROR(__xludf.DUMMYFUNCTION("""COMPUTED_VALUE"""),1.004)</f>
        <v>1.004</v>
      </c>
      <c r="E2779" s="16">
        <f>IFERROR(__xludf.DUMMYFUNCTION("""COMPUTED_VALUE"""),69.0)</f>
        <v>69</v>
      </c>
      <c r="F2779" s="19" t="str">
        <f>IFERROR(__xludf.DUMMYFUNCTION("""COMPUTED_VALUE"""),"BLACK")</f>
        <v>BLACK</v>
      </c>
      <c r="G2779" s="20" t="str">
        <f>IFERROR(__xludf.DUMMYFUNCTION("""COMPUTED_VALUE"""),"Uncle Sams Cider (5/13/2022)")</f>
        <v>Uncle Sams Cider (5/13/2022)</v>
      </c>
      <c r="H2779" s="19"/>
    </row>
    <row r="2780">
      <c r="A2780" s="9"/>
      <c r="B2780" s="15"/>
      <c r="C2780" s="9">
        <f>IFERROR(__xludf.DUMMYFUNCTION("""COMPUTED_VALUE"""),44767.6519413773)</f>
        <v>44767.65194</v>
      </c>
      <c r="D2780" s="15">
        <f>IFERROR(__xludf.DUMMYFUNCTION("""COMPUTED_VALUE"""),1.004)</f>
        <v>1.004</v>
      </c>
      <c r="E2780" s="16">
        <f>IFERROR(__xludf.DUMMYFUNCTION("""COMPUTED_VALUE"""),69.0)</f>
        <v>69</v>
      </c>
      <c r="F2780" s="19" t="str">
        <f>IFERROR(__xludf.DUMMYFUNCTION("""COMPUTED_VALUE"""),"BLACK")</f>
        <v>BLACK</v>
      </c>
      <c r="G2780" s="20" t="str">
        <f>IFERROR(__xludf.DUMMYFUNCTION("""COMPUTED_VALUE"""),"Uncle Sams Cider (5/13/2022)")</f>
        <v>Uncle Sams Cider (5/13/2022)</v>
      </c>
      <c r="H2780" s="19"/>
    </row>
    <row r="2781">
      <c r="A2781" s="9"/>
      <c r="B2781" s="15"/>
      <c r="C2781" s="9">
        <f>IFERROR(__xludf.DUMMYFUNCTION("""COMPUTED_VALUE"""),44767.6415199305)</f>
        <v>44767.64152</v>
      </c>
      <c r="D2781" s="15">
        <f>IFERROR(__xludf.DUMMYFUNCTION("""COMPUTED_VALUE"""),1.004)</f>
        <v>1.004</v>
      </c>
      <c r="E2781" s="16">
        <f>IFERROR(__xludf.DUMMYFUNCTION("""COMPUTED_VALUE"""),69.0)</f>
        <v>69</v>
      </c>
      <c r="F2781" s="19" t="str">
        <f>IFERROR(__xludf.DUMMYFUNCTION("""COMPUTED_VALUE"""),"BLACK")</f>
        <v>BLACK</v>
      </c>
      <c r="G2781" s="20" t="str">
        <f>IFERROR(__xludf.DUMMYFUNCTION("""COMPUTED_VALUE"""),"Uncle Sams Cider (5/13/2022)")</f>
        <v>Uncle Sams Cider (5/13/2022)</v>
      </c>
      <c r="H2781" s="19"/>
    </row>
    <row r="2782">
      <c r="A2782" s="9"/>
      <c r="B2782" s="15"/>
      <c r="C2782" s="9">
        <f>IFERROR(__xludf.DUMMYFUNCTION("""COMPUTED_VALUE"""),44767.6310985185)</f>
        <v>44767.6311</v>
      </c>
      <c r="D2782" s="15">
        <f>IFERROR(__xludf.DUMMYFUNCTION("""COMPUTED_VALUE"""),1.004)</f>
        <v>1.004</v>
      </c>
      <c r="E2782" s="16">
        <f>IFERROR(__xludf.DUMMYFUNCTION("""COMPUTED_VALUE"""),69.0)</f>
        <v>69</v>
      </c>
      <c r="F2782" s="19" t="str">
        <f>IFERROR(__xludf.DUMMYFUNCTION("""COMPUTED_VALUE"""),"BLACK")</f>
        <v>BLACK</v>
      </c>
      <c r="G2782" s="20" t="str">
        <f>IFERROR(__xludf.DUMMYFUNCTION("""COMPUTED_VALUE"""),"Uncle Sams Cider (5/13/2022)")</f>
        <v>Uncle Sams Cider (5/13/2022)</v>
      </c>
      <c r="H2782" s="19"/>
    </row>
    <row r="2783">
      <c r="A2783" s="9"/>
      <c r="B2783" s="15"/>
      <c r="C2783" s="9">
        <f>IFERROR(__xludf.DUMMYFUNCTION("""COMPUTED_VALUE"""),44767.6206774074)</f>
        <v>44767.62068</v>
      </c>
      <c r="D2783" s="15">
        <f>IFERROR(__xludf.DUMMYFUNCTION("""COMPUTED_VALUE"""),1.004)</f>
        <v>1.004</v>
      </c>
      <c r="E2783" s="16">
        <f>IFERROR(__xludf.DUMMYFUNCTION("""COMPUTED_VALUE"""),69.0)</f>
        <v>69</v>
      </c>
      <c r="F2783" s="19" t="str">
        <f>IFERROR(__xludf.DUMMYFUNCTION("""COMPUTED_VALUE"""),"BLACK")</f>
        <v>BLACK</v>
      </c>
      <c r="G2783" s="20" t="str">
        <f>IFERROR(__xludf.DUMMYFUNCTION("""COMPUTED_VALUE"""),"Uncle Sams Cider (5/13/2022)")</f>
        <v>Uncle Sams Cider (5/13/2022)</v>
      </c>
      <c r="H2783" s="19"/>
    </row>
    <row r="2784">
      <c r="A2784" s="9"/>
      <c r="B2784" s="15"/>
      <c r="C2784" s="9">
        <f>IFERROR(__xludf.DUMMYFUNCTION("""COMPUTED_VALUE"""),44767.6102557291)</f>
        <v>44767.61026</v>
      </c>
      <c r="D2784" s="15">
        <f>IFERROR(__xludf.DUMMYFUNCTION("""COMPUTED_VALUE"""),1.004)</f>
        <v>1.004</v>
      </c>
      <c r="E2784" s="16">
        <f>IFERROR(__xludf.DUMMYFUNCTION("""COMPUTED_VALUE"""),69.0)</f>
        <v>69</v>
      </c>
      <c r="F2784" s="19" t="str">
        <f>IFERROR(__xludf.DUMMYFUNCTION("""COMPUTED_VALUE"""),"BLACK")</f>
        <v>BLACK</v>
      </c>
      <c r="G2784" s="20" t="str">
        <f>IFERROR(__xludf.DUMMYFUNCTION("""COMPUTED_VALUE"""),"Uncle Sams Cider (5/13/2022)")</f>
        <v>Uncle Sams Cider (5/13/2022)</v>
      </c>
      <c r="H2784" s="19"/>
    </row>
    <row r="2785">
      <c r="A2785" s="9"/>
      <c r="B2785" s="15"/>
      <c r="C2785" s="9">
        <f>IFERROR(__xludf.DUMMYFUNCTION("""COMPUTED_VALUE"""),44767.5998365393)</f>
        <v>44767.59984</v>
      </c>
      <c r="D2785" s="15">
        <f>IFERROR(__xludf.DUMMYFUNCTION("""COMPUTED_VALUE"""),1.004)</f>
        <v>1.004</v>
      </c>
      <c r="E2785" s="16">
        <f>IFERROR(__xludf.DUMMYFUNCTION("""COMPUTED_VALUE"""),69.0)</f>
        <v>69</v>
      </c>
      <c r="F2785" s="19" t="str">
        <f>IFERROR(__xludf.DUMMYFUNCTION("""COMPUTED_VALUE"""),"BLACK")</f>
        <v>BLACK</v>
      </c>
      <c r="G2785" s="20" t="str">
        <f>IFERROR(__xludf.DUMMYFUNCTION("""COMPUTED_VALUE"""),"Uncle Sams Cider (5/13/2022)")</f>
        <v>Uncle Sams Cider (5/13/2022)</v>
      </c>
      <c r="H2785" s="19"/>
    </row>
    <row r="2786">
      <c r="A2786" s="9"/>
      <c r="B2786" s="15"/>
      <c r="C2786" s="9">
        <f>IFERROR(__xludf.DUMMYFUNCTION("""COMPUTED_VALUE"""),44767.5894160185)</f>
        <v>44767.58942</v>
      </c>
      <c r="D2786" s="15">
        <f>IFERROR(__xludf.DUMMYFUNCTION("""COMPUTED_VALUE"""),1.004)</f>
        <v>1.004</v>
      </c>
      <c r="E2786" s="16">
        <f>IFERROR(__xludf.DUMMYFUNCTION("""COMPUTED_VALUE"""),69.0)</f>
        <v>69</v>
      </c>
      <c r="F2786" s="19" t="str">
        <f>IFERROR(__xludf.DUMMYFUNCTION("""COMPUTED_VALUE"""),"BLACK")</f>
        <v>BLACK</v>
      </c>
      <c r="G2786" s="20" t="str">
        <f>IFERROR(__xludf.DUMMYFUNCTION("""COMPUTED_VALUE"""),"Uncle Sams Cider (5/13/2022)")</f>
        <v>Uncle Sams Cider (5/13/2022)</v>
      </c>
      <c r="H2786" s="19"/>
    </row>
    <row r="2787">
      <c r="A2787" s="9"/>
      <c r="B2787" s="15"/>
      <c r="C2787" s="9">
        <f>IFERROR(__xludf.DUMMYFUNCTION("""COMPUTED_VALUE"""),44767.5789960648)</f>
        <v>44767.579</v>
      </c>
      <c r="D2787" s="15">
        <f>IFERROR(__xludf.DUMMYFUNCTION("""COMPUTED_VALUE"""),1.004)</f>
        <v>1.004</v>
      </c>
      <c r="E2787" s="16">
        <f>IFERROR(__xludf.DUMMYFUNCTION("""COMPUTED_VALUE"""),69.0)</f>
        <v>69</v>
      </c>
      <c r="F2787" s="19" t="str">
        <f>IFERROR(__xludf.DUMMYFUNCTION("""COMPUTED_VALUE"""),"BLACK")</f>
        <v>BLACK</v>
      </c>
      <c r="G2787" s="20" t="str">
        <f>IFERROR(__xludf.DUMMYFUNCTION("""COMPUTED_VALUE"""),"Uncle Sams Cider (5/13/2022)")</f>
        <v>Uncle Sams Cider (5/13/2022)</v>
      </c>
      <c r="H2787" s="19"/>
    </row>
    <row r="2788">
      <c r="A2788" s="9"/>
      <c r="B2788" s="15"/>
      <c r="C2788" s="9">
        <f>IFERROR(__xludf.DUMMYFUNCTION("""COMPUTED_VALUE"""),44767.568576655)</f>
        <v>44767.56858</v>
      </c>
      <c r="D2788" s="15">
        <f>IFERROR(__xludf.DUMMYFUNCTION("""COMPUTED_VALUE"""),1.004)</f>
        <v>1.004</v>
      </c>
      <c r="E2788" s="16">
        <f>IFERROR(__xludf.DUMMYFUNCTION("""COMPUTED_VALUE"""),69.0)</f>
        <v>69</v>
      </c>
      <c r="F2788" s="19" t="str">
        <f>IFERROR(__xludf.DUMMYFUNCTION("""COMPUTED_VALUE"""),"BLACK")</f>
        <v>BLACK</v>
      </c>
      <c r="G2788" s="20" t="str">
        <f>IFERROR(__xludf.DUMMYFUNCTION("""COMPUTED_VALUE"""),"Uncle Sams Cider (5/13/2022)")</f>
        <v>Uncle Sams Cider (5/13/2022)</v>
      </c>
      <c r="H2788" s="19"/>
    </row>
    <row r="2789">
      <c r="A2789" s="9"/>
      <c r="B2789" s="15"/>
      <c r="C2789" s="9">
        <f>IFERROR(__xludf.DUMMYFUNCTION("""COMPUTED_VALUE"""),44767.5581442245)</f>
        <v>44767.55814</v>
      </c>
      <c r="D2789" s="15">
        <f>IFERROR(__xludf.DUMMYFUNCTION("""COMPUTED_VALUE"""),1.004)</f>
        <v>1.004</v>
      </c>
      <c r="E2789" s="16">
        <f>IFERROR(__xludf.DUMMYFUNCTION("""COMPUTED_VALUE"""),69.0)</f>
        <v>69</v>
      </c>
      <c r="F2789" s="19" t="str">
        <f>IFERROR(__xludf.DUMMYFUNCTION("""COMPUTED_VALUE"""),"BLACK")</f>
        <v>BLACK</v>
      </c>
      <c r="G2789" s="20" t="str">
        <f>IFERROR(__xludf.DUMMYFUNCTION("""COMPUTED_VALUE"""),"Uncle Sams Cider (5/13/2022)")</f>
        <v>Uncle Sams Cider (5/13/2022)</v>
      </c>
      <c r="H2789" s="19"/>
    </row>
    <row r="2790">
      <c r="A2790" s="9"/>
      <c r="B2790" s="15"/>
      <c r="C2790" s="9">
        <f>IFERROR(__xludf.DUMMYFUNCTION("""COMPUTED_VALUE"""),44767.5477124884)</f>
        <v>44767.54771</v>
      </c>
      <c r="D2790" s="15">
        <f>IFERROR(__xludf.DUMMYFUNCTION("""COMPUTED_VALUE"""),1.004)</f>
        <v>1.004</v>
      </c>
      <c r="E2790" s="16">
        <f>IFERROR(__xludf.DUMMYFUNCTION("""COMPUTED_VALUE"""),69.0)</f>
        <v>69</v>
      </c>
      <c r="F2790" s="19" t="str">
        <f>IFERROR(__xludf.DUMMYFUNCTION("""COMPUTED_VALUE"""),"BLACK")</f>
        <v>BLACK</v>
      </c>
      <c r="G2790" s="20" t="str">
        <f>IFERROR(__xludf.DUMMYFUNCTION("""COMPUTED_VALUE"""),"Uncle Sams Cider (5/13/2022)")</f>
        <v>Uncle Sams Cider (5/13/2022)</v>
      </c>
      <c r="H2790" s="19"/>
    </row>
    <row r="2791">
      <c r="A2791" s="9"/>
      <c r="B2791" s="15"/>
      <c r="C2791" s="9">
        <f>IFERROR(__xludf.DUMMYFUNCTION("""COMPUTED_VALUE"""),44767.5372911458)</f>
        <v>44767.53729</v>
      </c>
      <c r="D2791" s="15">
        <f>IFERROR(__xludf.DUMMYFUNCTION("""COMPUTED_VALUE"""),1.004)</f>
        <v>1.004</v>
      </c>
      <c r="E2791" s="16">
        <f>IFERROR(__xludf.DUMMYFUNCTION("""COMPUTED_VALUE"""),69.0)</f>
        <v>69</v>
      </c>
      <c r="F2791" s="19" t="str">
        <f>IFERROR(__xludf.DUMMYFUNCTION("""COMPUTED_VALUE"""),"BLACK")</f>
        <v>BLACK</v>
      </c>
      <c r="G2791" s="20" t="str">
        <f>IFERROR(__xludf.DUMMYFUNCTION("""COMPUTED_VALUE"""),"Uncle Sams Cider (5/13/2022)")</f>
        <v>Uncle Sams Cider (5/13/2022)</v>
      </c>
      <c r="H2791" s="19"/>
    </row>
    <row r="2792">
      <c r="A2792" s="9"/>
      <c r="B2792" s="15"/>
      <c r="C2792" s="9">
        <f>IFERROR(__xludf.DUMMYFUNCTION("""COMPUTED_VALUE"""),44767.5268700925)</f>
        <v>44767.52687</v>
      </c>
      <c r="D2792" s="15">
        <f>IFERROR(__xludf.DUMMYFUNCTION("""COMPUTED_VALUE"""),1.004)</f>
        <v>1.004</v>
      </c>
      <c r="E2792" s="16">
        <f>IFERROR(__xludf.DUMMYFUNCTION("""COMPUTED_VALUE"""),69.0)</f>
        <v>69</v>
      </c>
      <c r="F2792" s="19" t="str">
        <f>IFERROR(__xludf.DUMMYFUNCTION("""COMPUTED_VALUE"""),"BLACK")</f>
        <v>BLACK</v>
      </c>
      <c r="G2792" s="20" t="str">
        <f>IFERROR(__xludf.DUMMYFUNCTION("""COMPUTED_VALUE"""),"Uncle Sams Cider (5/13/2022)")</f>
        <v>Uncle Sams Cider (5/13/2022)</v>
      </c>
      <c r="H2792" s="19"/>
    </row>
    <row r="2793">
      <c r="A2793" s="9"/>
      <c r="B2793" s="15"/>
      <c r="C2793" s="9">
        <f>IFERROR(__xludf.DUMMYFUNCTION("""COMPUTED_VALUE"""),44767.5164492708)</f>
        <v>44767.51645</v>
      </c>
      <c r="D2793" s="15">
        <f>IFERROR(__xludf.DUMMYFUNCTION("""COMPUTED_VALUE"""),1.004)</f>
        <v>1.004</v>
      </c>
      <c r="E2793" s="16">
        <f>IFERROR(__xludf.DUMMYFUNCTION("""COMPUTED_VALUE"""),69.0)</f>
        <v>69</v>
      </c>
      <c r="F2793" s="19" t="str">
        <f>IFERROR(__xludf.DUMMYFUNCTION("""COMPUTED_VALUE"""),"BLACK")</f>
        <v>BLACK</v>
      </c>
      <c r="G2793" s="20" t="str">
        <f>IFERROR(__xludf.DUMMYFUNCTION("""COMPUTED_VALUE"""),"Uncle Sams Cider (5/13/2022)")</f>
        <v>Uncle Sams Cider (5/13/2022)</v>
      </c>
      <c r="H2793" s="19"/>
    </row>
    <row r="2794">
      <c r="A2794" s="9"/>
      <c r="B2794" s="15"/>
      <c r="C2794" s="9">
        <f>IFERROR(__xludf.DUMMYFUNCTION("""COMPUTED_VALUE"""),44767.5060170833)</f>
        <v>44767.50602</v>
      </c>
      <c r="D2794" s="15">
        <f>IFERROR(__xludf.DUMMYFUNCTION("""COMPUTED_VALUE"""),1.004)</f>
        <v>1.004</v>
      </c>
      <c r="E2794" s="16">
        <f>IFERROR(__xludf.DUMMYFUNCTION("""COMPUTED_VALUE"""),69.0)</f>
        <v>69</v>
      </c>
      <c r="F2794" s="19" t="str">
        <f>IFERROR(__xludf.DUMMYFUNCTION("""COMPUTED_VALUE"""),"BLACK")</f>
        <v>BLACK</v>
      </c>
      <c r="G2794" s="20" t="str">
        <f>IFERROR(__xludf.DUMMYFUNCTION("""COMPUTED_VALUE"""),"Uncle Sams Cider (5/13/2022)")</f>
        <v>Uncle Sams Cider (5/13/2022)</v>
      </c>
      <c r="H2794" s="19"/>
    </row>
    <row r="2795">
      <c r="A2795" s="9"/>
      <c r="B2795" s="15"/>
      <c r="C2795" s="9">
        <f>IFERROR(__xludf.DUMMYFUNCTION("""COMPUTED_VALUE"""),44767.4955852199)</f>
        <v>44767.49559</v>
      </c>
      <c r="D2795" s="15">
        <f>IFERROR(__xludf.DUMMYFUNCTION("""COMPUTED_VALUE"""),1.004)</f>
        <v>1.004</v>
      </c>
      <c r="E2795" s="16">
        <f>IFERROR(__xludf.DUMMYFUNCTION("""COMPUTED_VALUE"""),69.0)</f>
        <v>69</v>
      </c>
      <c r="F2795" s="19" t="str">
        <f>IFERROR(__xludf.DUMMYFUNCTION("""COMPUTED_VALUE"""),"BLACK")</f>
        <v>BLACK</v>
      </c>
      <c r="G2795" s="20" t="str">
        <f>IFERROR(__xludf.DUMMYFUNCTION("""COMPUTED_VALUE"""),"Uncle Sams Cider (5/13/2022)")</f>
        <v>Uncle Sams Cider (5/13/2022)</v>
      </c>
      <c r="H2795" s="19"/>
    </row>
    <row r="2796">
      <c r="A2796" s="9"/>
      <c r="B2796" s="15"/>
      <c r="C2796" s="9">
        <f>IFERROR(__xludf.DUMMYFUNCTION("""COMPUTED_VALUE"""),44767.4851630902)</f>
        <v>44767.48516</v>
      </c>
      <c r="D2796" s="15">
        <f>IFERROR(__xludf.DUMMYFUNCTION("""COMPUTED_VALUE"""),1.004)</f>
        <v>1.004</v>
      </c>
      <c r="E2796" s="16">
        <f>IFERROR(__xludf.DUMMYFUNCTION("""COMPUTED_VALUE"""),69.0)</f>
        <v>69</v>
      </c>
      <c r="F2796" s="19" t="str">
        <f>IFERROR(__xludf.DUMMYFUNCTION("""COMPUTED_VALUE"""),"BLACK")</f>
        <v>BLACK</v>
      </c>
      <c r="G2796" s="20" t="str">
        <f>IFERROR(__xludf.DUMMYFUNCTION("""COMPUTED_VALUE"""),"Uncle Sams Cider (5/13/2022)")</f>
        <v>Uncle Sams Cider (5/13/2022)</v>
      </c>
      <c r="H2796" s="19"/>
    </row>
    <row r="2797">
      <c r="A2797" s="9"/>
      <c r="B2797" s="15"/>
      <c r="C2797" s="9">
        <f>IFERROR(__xludf.DUMMYFUNCTION("""COMPUTED_VALUE"""),44767.4747417245)</f>
        <v>44767.47474</v>
      </c>
      <c r="D2797" s="15">
        <f>IFERROR(__xludf.DUMMYFUNCTION("""COMPUTED_VALUE"""),1.004)</f>
        <v>1.004</v>
      </c>
      <c r="E2797" s="16">
        <f>IFERROR(__xludf.DUMMYFUNCTION("""COMPUTED_VALUE"""),69.0)</f>
        <v>69</v>
      </c>
      <c r="F2797" s="19" t="str">
        <f>IFERROR(__xludf.DUMMYFUNCTION("""COMPUTED_VALUE"""),"BLACK")</f>
        <v>BLACK</v>
      </c>
      <c r="G2797" s="20" t="str">
        <f>IFERROR(__xludf.DUMMYFUNCTION("""COMPUTED_VALUE"""),"Uncle Sams Cider (5/13/2022)")</f>
        <v>Uncle Sams Cider (5/13/2022)</v>
      </c>
      <c r="H2797" s="19"/>
    </row>
    <row r="2798">
      <c r="A2798" s="9"/>
      <c r="B2798" s="15"/>
      <c r="C2798" s="9">
        <f>IFERROR(__xludf.DUMMYFUNCTION("""COMPUTED_VALUE"""),44767.4643102662)</f>
        <v>44767.46431</v>
      </c>
      <c r="D2798" s="15">
        <f>IFERROR(__xludf.DUMMYFUNCTION("""COMPUTED_VALUE"""),1.004)</f>
        <v>1.004</v>
      </c>
      <c r="E2798" s="16">
        <f>IFERROR(__xludf.DUMMYFUNCTION("""COMPUTED_VALUE"""),69.0)</f>
        <v>69</v>
      </c>
      <c r="F2798" s="19" t="str">
        <f>IFERROR(__xludf.DUMMYFUNCTION("""COMPUTED_VALUE"""),"BLACK")</f>
        <v>BLACK</v>
      </c>
      <c r="G2798" s="20" t="str">
        <f>IFERROR(__xludf.DUMMYFUNCTION("""COMPUTED_VALUE"""),"Uncle Sams Cider (5/13/2022)")</f>
        <v>Uncle Sams Cider (5/13/2022)</v>
      </c>
      <c r="H2798" s="19"/>
    </row>
    <row r="2799">
      <c r="A2799" s="9"/>
      <c r="B2799" s="15"/>
      <c r="C2799" s="9">
        <f>IFERROR(__xludf.DUMMYFUNCTION("""COMPUTED_VALUE"""),44767.4538891782)</f>
        <v>44767.45389</v>
      </c>
      <c r="D2799" s="15">
        <f>IFERROR(__xludf.DUMMYFUNCTION("""COMPUTED_VALUE"""),1.004)</f>
        <v>1.004</v>
      </c>
      <c r="E2799" s="16">
        <f>IFERROR(__xludf.DUMMYFUNCTION("""COMPUTED_VALUE"""),69.0)</f>
        <v>69</v>
      </c>
      <c r="F2799" s="19" t="str">
        <f>IFERROR(__xludf.DUMMYFUNCTION("""COMPUTED_VALUE"""),"BLACK")</f>
        <v>BLACK</v>
      </c>
      <c r="G2799" s="20" t="str">
        <f>IFERROR(__xludf.DUMMYFUNCTION("""COMPUTED_VALUE"""),"Uncle Sams Cider (5/13/2022)")</f>
        <v>Uncle Sams Cider (5/13/2022)</v>
      </c>
      <c r="H2799" s="19"/>
    </row>
    <row r="2800">
      <c r="A2800" s="9"/>
      <c r="B2800" s="15"/>
      <c r="C2800" s="9">
        <f>IFERROR(__xludf.DUMMYFUNCTION("""COMPUTED_VALUE"""),44767.4434671064)</f>
        <v>44767.44347</v>
      </c>
      <c r="D2800" s="15">
        <f>IFERROR(__xludf.DUMMYFUNCTION("""COMPUTED_VALUE"""),1.004)</f>
        <v>1.004</v>
      </c>
      <c r="E2800" s="16">
        <f>IFERROR(__xludf.DUMMYFUNCTION("""COMPUTED_VALUE"""),69.0)</f>
        <v>69</v>
      </c>
      <c r="F2800" s="19" t="str">
        <f>IFERROR(__xludf.DUMMYFUNCTION("""COMPUTED_VALUE"""),"BLACK")</f>
        <v>BLACK</v>
      </c>
      <c r="G2800" s="20" t="str">
        <f>IFERROR(__xludf.DUMMYFUNCTION("""COMPUTED_VALUE"""),"Uncle Sams Cider (5/13/2022)")</f>
        <v>Uncle Sams Cider (5/13/2022)</v>
      </c>
      <c r="H2800" s="19"/>
    </row>
    <row r="2801">
      <c r="A2801" s="9"/>
      <c r="B2801" s="15"/>
      <c r="C2801" s="9">
        <f>IFERROR(__xludf.DUMMYFUNCTION("""COMPUTED_VALUE"""),44767.4330357291)</f>
        <v>44767.43304</v>
      </c>
      <c r="D2801" s="15">
        <f>IFERROR(__xludf.DUMMYFUNCTION("""COMPUTED_VALUE"""),1.004)</f>
        <v>1.004</v>
      </c>
      <c r="E2801" s="16">
        <f>IFERROR(__xludf.DUMMYFUNCTION("""COMPUTED_VALUE"""),69.0)</f>
        <v>69</v>
      </c>
      <c r="F2801" s="19" t="str">
        <f>IFERROR(__xludf.DUMMYFUNCTION("""COMPUTED_VALUE"""),"BLACK")</f>
        <v>BLACK</v>
      </c>
      <c r="G2801" s="20" t="str">
        <f>IFERROR(__xludf.DUMMYFUNCTION("""COMPUTED_VALUE"""),"Uncle Sams Cider (5/13/2022)")</f>
        <v>Uncle Sams Cider (5/13/2022)</v>
      </c>
      <c r="H2801" s="19"/>
    </row>
    <row r="2802">
      <c r="A2802" s="9"/>
      <c r="B2802" s="15"/>
      <c r="C2802" s="9">
        <f>IFERROR(__xludf.DUMMYFUNCTION("""COMPUTED_VALUE"""),44767.4226137963)</f>
        <v>44767.42261</v>
      </c>
      <c r="D2802" s="15">
        <f>IFERROR(__xludf.DUMMYFUNCTION("""COMPUTED_VALUE"""),1.004)</f>
        <v>1.004</v>
      </c>
      <c r="E2802" s="16">
        <f>IFERROR(__xludf.DUMMYFUNCTION("""COMPUTED_VALUE"""),69.0)</f>
        <v>69</v>
      </c>
      <c r="F2802" s="19" t="str">
        <f>IFERROR(__xludf.DUMMYFUNCTION("""COMPUTED_VALUE"""),"BLACK")</f>
        <v>BLACK</v>
      </c>
      <c r="G2802" s="20" t="str">
        <f>IFERROR(__xludf.DUMMYFUNCTION("""COMPUTED_VALUE"""),"Uncle Sams Cider (5/13/2022)")</f>
        <v>Uncle Sams Cider (5/13/2022)</v>
      </c>
      <c r="H2802" s="19"/>
    </row>
    <row r="2803">
      <c r="A2803" s="9"/>
      <c r="B2803" s="15"/>
      <c r="C2803" s="9">
        <f>IFERROR(__xludf.DUMMYFUNCTION("""COMPUTED_VALUE"""),44767.4121807407)</f>
        <v>44767.41218</v>
      </c>
      <c r="D2803" s="15">
        <f>IFERROR(__xludf.DUMMYFUNCTION("""COMPUTED_VALUE"""),1.004)</f>
        <v>1.004</v>
      </c>
      <c r="E2803" s="16">
        <f>IFERROR(__xludf.DUMMYFUNCTION("""COMPUTED_VALUE"""),69.0)</f>
        <v>69</v>
      </c>
      <c r="F2803" s="19" t="str">
        <f>IFERROR(__xludf.DUMMYFUNCTION("""COMPUTED_VALUE"""),"BLACK")</f>
        <v>BLACK</v>
      </c>
      <c r="G2803" s="20" t="str">
        <f>IFERROR(__xludf.DUMMYFUNCTION("""COMPUTED_VALUE"""),"Uncle Sams Cider (5/13/2022)")</f>
        <v>Uncle Sams Cider (5/13/2022)</v>
      </c>
      <c r="H2803" s="19"/>
    </row>
    <row r="2804">
      <c r="A2804" s="9"/>
      <c r="B2804" s="15"/>
      <c r="C2804" s="9">
        <f>IFERROR(__xludf.DUMMYFUNCTION("""COMPUTED_VALUE"""),44767.4017461689)</f>
        <v>44767.40175</v>
      </c>
      <c r="D2804" s="15">
        <f>IFERROR(__xludf.DUMMYFUNCTION("""COMPUTED_VALUE"""),1.004)</f>
        <v>1.004</v>
      </c>
      <c r="E2804" s="16">
        <f>IFERROR(__xludf.DUMMYFUNCTION("""COMPUTED_VALUE"""),69.0)</f>
        <v>69</v>
      </c>
      <c r="F2804" s="19" t="str">
        <f>IFERROR(__xludf.DUMMYFUNCTION("""COMPUTED_VALUE"""),"BLACK")</f>
        <v>BLACK</v>
      </c>
      <c r="G2804" s="20" t="str">
        <f>IFERROR(__xludf.DUMMYFUNCTION("""COMPUTED_VALUE"""),"Uncle Sams Cider (5/13/2022)")</f>
        <v>Uncle Sams Cider (5/13/2022)</v>
      </c>
      <c r="H2804" s="19"/>
    </row>
    <row r="2805">
      <c r="A2805" s="9"/>
      <c r="B2805" s="15"/>
      <c r="C2805" s="9">
        <f>IFERROR(__xludf.DUMMYFUNCTION("""COMPUTED_VALUE"""),44767.3913253472)</f>
        <v>44767.39133</v>
      </c>
      <c r="D2805" s="15">
        <f>IFERROR(__xludf.DUMMYFUNCTION("""COMPUTED_VALUE"""),1.004)</f>
        <v>1.004</v>
      </c>
      <c r="E2805" s="16">
        <f>IFERROR(__xludf.DUMMYFUNCTION("""COMPUTED_VALUE"""),69.0)</f>
        <v>69</v>
      </c>
      <c r="F2805" s="19" t="str">
        <f>IFERROR(__xludf.DUMMYFUNCTION("""COMPUTED_VALUE"""),"BLACK")</f>
        <v>BLACK</v>
      </c>
      <c r="G2805" s="20" t="str">
        <f>IFERROR(__xludf.DUMMYFUNCTION("""COMPUTED_VALUE"""),"Uncle Sams Cider (5/13/2022)")</f>
        <v>Uncle Sams Cider (5/13/2022)</v>
      </c>
      <c r="H2805" s="19"/>
    </row>
    <row r="2806">
      <c r="A2806" s="9"/>
      <c r="B2806" s="15"/>
      <c r="C2806" s="9">
        <f>IFERROR(__xludf.DUMMYFUNCTION("""COMPUTED_VALUE"""),44767.3808918171)</f>
        <v>44767.38089</v>
      </c>
      <c r="D2806" s="15">
        <f>IFERROR(__xludf.DUMMYFUNCTION("""COMPUTED_VALUE"""),1.004)</f>
        <v>1.004</v>
      </c>
      <c r="E2806" s="16">
        <f>IFERROR(__xludf.DUMMYFUNCTION("""COMPUTED_VALUE"""),69.0)</f>
        <v>69</v>
      </c>
      <c r="F2806" s="19" t="str">
        <f>IFERROR(__xludf.DUMMYFUNCTION("""COMPUTED_VALUE"""),"BLACK")</f>
        <v>BLACK</v>
      </c>
      <c r="G2806" s="20" t="str">
        <f>IFERROR(__xludf.DUMMYFUNCTION("""COMPUTED_VALUE"""),"Uncle Sams Cider (5/13/2022)")</f>
        <v>Uncle Sams Cider (5/13/2022)</v>
      </c>
      <c r="H2806" s="19"/>
    </row>
    <row r="2807">
      <c r="A2807" s="9"/>
      <c r="B2807" s="15"/>
      <c r="C2807" s="9">
        <f>IFERROR(__xludf.DUMMYFUNCTION("""COMPUTED_VALUE"""),44767.3704690509)</f>
        <v>44767.37047</v>
      </c>
      <c r="D2807" s="15">
        <f>IFERROR(__xludf.DUMMYFUNCTION("""COMPUTED_VALUE"""),1.004)</f>
        <v>1.004</v>
      </c>
      <c r="E2807" s="16">
        <f>IFERROR(__xludf.DUMMYFUNCTION("""COMPUTED_VALUE"""),69.0)</f>
        <v>69</v>
      </c>
      <c r="F2807" s="19" t="str">
        <f>IFERROR(__xludf.DUMMYFUNCTION("""COMPUTED_VALUE"""),"BLACK")</f>
        <v>BLACK</v>
      </c>
      <c r="G2807" s="20" t="str">
        <f>IFERROR(__xludf.DUMMYFUNCTION("""COMPUTED_VALUE"""),"Uncle Sams Cider (5/13/2022)")</f>
        <v>Uncle Sams Cider (5/13/2022)</v>
      </c>
      <c r="H2807" s="19"/>
    </row>
    <row r="2808">
      <c r="A2808" s="9"/>
      <c r="B2808" s="15"/>
      <c r="C2808" s="9">
        <f>IFERROR(__xludf.DUMMYFUNCTION("""COMPUTED_VALUE"""),44767.3600456365)</f>
        <v>44767.36005</v>
      </c>
      <c r="D2808" s="15">
        <f>IFERROR(__xludf.DUMMYFUNCTION("""COMPUTED_VALUE"""),1.004)</f>
        <v>1.004</v>
      </c>
      <c r="E2808" s="16">
        <f>IFERROR(__xludf.DUMMYFUNCTION("""COMPUTED_VALUE"""),69.0)</f>
        <v>69</v>
      </c>
      <c r="F2808" s="19" t="str">
        <f>IFERROR(__xludf.DUMMYFUNCTION("""COMPUTED_VALUE"""),"BLACK")</f>
        <v>BLACK</v>
      </c>
      <c r="G2808" s="20" t="str">
        <f>IFERROR(__xludf.DUMMYFUNCTION("""COMPUTED_VALUE"""),"Uncle Sams Cider (5/13/2022)")</f>
        <v>Uncle Sams Cider (5/13/2022)</v>
      </c>
      <c r="H2808" s="19"/>
    </row>
    <row r="2809">
      <c r="A2809" s="9"/>
      <c r="B2809" s="15"/>
      <c r="C2809" s="9">
        <f>IFERROR(__xludf.DUMMYFUNCTION("""COMPUTED_VALUE"""),44767.3496271296)</f>
        <v>44767.34963</v>
      </c>
      <c r="D2809" s="15">
        <f>IFERROR(__xludf.DUMMYFUNCTION("""COMPUTED_VALUE"""),1.004)</f>
        <v>1.004</v>
      </c>
      <c r="E2809" s="16">
        <f>IFERROR(__xludf.DUMMYFUNCTION("""COMPUTED_VALUE"""),69.0)</f>
        <v>69</v>
      </c>
      <c r="F2809" s="19" t="str">
        <f>IFERROR(__xludf.DUMMYFUNCTION("""COMPUTED_VALUE"""),"BLACK")</f>
        <v>BLACK</v>
      </c>
      <c r="G2809" s="20" t="str">
        <f>IFERROR(__xludf.DUMMYFUNCTION("""COMPUTED_VALUE"""),"Uncle Sams Cider (5/13/2022)")</f>
        <v>Uncle Sams Cider (5/13/2022)</v>
      </c>
      <c r="H2809" s="19"/>
    </row>
    <row r="2810">
      <c r="A2810" s="9"/>
      <c r="B2810" s="15"/>
      <c r="C2810" s="9">
        <f>IFERROR(__xludf.DUMMYFUNCTION("""COMPUTED_VALUE"""),44767.339194699)</f>
        <v>44767.33919</v>
      </c>
      <c r="D2810" s="15">
        <f>IFERROR(__xludf.DUMMYFUNCTION("""COMPUTED_VALUE"""),1.004)</f>
        <v>1.004</v>
      </c>
      <c r="E2810" s="16">
        <f>IFERROR(__xludf.DUMMYFUNCTION("""COMPUTED_VALUE"""),69.0)</f>
        <v>69</v>
      </c>
      <c r="F2810" s="19" t="str">
        <f>IFERROR(__xludf.DUMMYFUNCTION("""COMPUTED_VALUE"""),"BLACK")</f>
        <v>BLACK</v>
      </c>
      <c r="G2810" s="20" t="str">
        <f>IFERROR(__xludf.DUMMYFUNCTION("""COMPUTED_VALUE"""),"Uncle Sams Cider (5/13/2022)")</f>
        <v>Uncle Sams Cider (5/13/2022)</v>
      </c>
      <c r="H2810" s="19"/>
    </row>
    <row r="2811">
      <c r="A2811" s="9"/>
      <c r="B2811" s="15"/>
      <c r="C2811" s="9">
        <f>IFERROR(__xludf.DUMMYFUNCTION("""COMPUTED_VALUE"""),44767.3287605671)</f>
        <v>44767.32876</v>
      </c>
      <c r="D2811" s="15">
        <f>IFERROR(__xludf.DUMMYFUNCTION("""COMPUTED_VALUE"""),1.004)</f>
        <v>1.004</v>
      </c>
      <c r="E2811" s="16">
        <f>IFERROR(__xludf.DUMMYFUNCTION("""COMPUTED_VALUE"""),69.0)</f>
        <v>69</v>
      </c>
      <c r="F2811" s="19" t="str">
        <f>IFERROR(__xludf.DUMMYFUNCTION("""COMPUTED_VALUE"""),"BLACK")</f>
        <v>BLACK</v>
      </c>
      <c r="G2811" s="20" t="str">
        <f>IFERROR(__xludf.DUMMYFUNCTION("""COMPUTED_VALUE"""),"Uncle Sams Cider (5/13/2022)")</f>
        <v>Uncle Sams Cider (5/13/2022)</v>
      </c>
      <c r="H2811" s="19"/>
    </row>
    <row r="2812">
      <c r="A2812" s="9"/>
      <c r="B2812" s="15"/>
      <c r="C2812" s="9">
        <f>IFERROR(__xludf.DUMMYFUNCTION("""COMPUTED_VALUE"""),44767.3183387268)</f>
        <v>44767.31834</v>
      </c>
      <c r="D2812" s="15">
        <f>IFERROR(__xludf.DUMMYFUNCTION("""COMPUTED_VALUE"""),1.004)</f>
        <v>1.004</v>
      </c>
      <c r="E2812" s="16">
        <f>IFERROR(__xludf.DUMMYFUNCTION("""COMPUTED_VALUE"""),69.0)</f>
        <v>69</v>
      </c>
      <c r="F2812" s="19" t="str">
        <f>IFERROR(__xludf.DUMMYFUNCTION("""COMPUTED_VALUE"""),"BLACK")</f>
        <v>BLACK</v>
      </c>
      <c r="G2812" s="20" t="str">
        <f>IFERROR(__xludf.DUMMYFUNCTION("""COMPUTED_VALUE"""),"Uncle Sams Cider (5/13/2022)")</f>
        <v>Uncle Sams Cider (5/13/2022)</v>
      </c>
      <c r="H2812" s="19"/>
    </row>
    <row r="2813">
      <c r="A2813" s="9"/>
      <c r="B2813" s="15"/>
      <c r="C2813" s="9">
        <f>IFERROR(__xludf.DUMMYFUNCTION("""COMPUTED_VALUE"""),44767.3079169791)</f>
        <v>44767.30792</v>
      </c>
      <c r="D2813" s="15">
        <f>IFERROR(__xludf.DUMMYFUNCTION("""COMPUTED_VALUE"""),1.004)</f>
        <v>1.004</v>
      </c>
      <c r="E2813" s="16">
        <f>IFERROR(__xludf.DUMMYFUNCTION("""COMPUTED_VALUE"""),69.0)</f>
        <v>69</v>
      </c>
      <c r="F2813" s="19" t="str">
        <f>IFERROR(__xludf.DUMMYFUNCTION("""COMPUTED_VALUE"""),"BLACK")</f>
        <v>BLACK</v>
      </c>
      <c r="G2813" s="20" t="str">
        <f>IFERROR(__xludf.DUMMYFUNCTION("""COMPUTED_VALUE"""),"Uncle Sams Cider (5/13/2022)")</f>
        <v>Uncle Sams Cider (5/13/2022)</v>
      </c>
      <c r="H2813" s="19"/>
    </row>
    <row r="2814">
      <c r="A2814" s="9"/>
      <c r="B2814" s="15"/>
      <c r="C2814" s="9">
        <f>IFERROR(__xludf.DUMMYFUNCTION("""COMPUTED_VALUE"""),44767.2974967592)</f>
        <v>44767.2975</v>
      </c>
      <c r="D2814" s="15">
        <f>IFERROR(__xludf.DUMMYFUNCTION("""COMPUTED_VALUE"""),1.004)</f>
        <v>1.004</v>
      </c>
      <c r="E2814" s="16">
        <f>IFERROR(__xludf.DUMMYFUNCTION("""COMPUTED_VALUE"""),69.0)</f>
        <v>69</v>
      </c>
      <c r="F2814" s="19" t="str">
        <f>IFERROR(__xludf.DUMMYFUNCTION("""COMPUTED_VALUE"""),"BLACK")</f>
        <v>BLACK</v>
      </c>
      <c r="G2814" s="20" t="str">
        <f>IFERROR(__xludf.DUMMYFUNCTION("""COMPUTED_VALUE"""),"Uncle Sams Cider (5/13/2022)")</f>
        <v>Uncle Sams Cider (5/13/2022)</v>
      </c>
      <c r="H2814" s="19"/>
    </row>
    <row r="2815">
      <c r="A2815" s="9"/>
      <c r="B2815" s="15"/>
      <c r="C2815" s="9">
        <f>IFERROR(__xludf.DUMMYFUNCTION("""COMPUTED_VALUE"""),44767.287076956)</f>
        <v>44767.28708</v>
      </c>
      <c r="D2815" s="15">
        <f>IFERROR(__xludf.DUMMYFUNCTION("""COMPUTED_VALUE"""),1.004)</f>
        <v>1.004</v>
      </c>
      <c r="E2815" s="16">
        <f>IFERROR(__xludf.DUMMYFUNCTION("""COMPUTED_VALUE"""),69.0)</f>
        <v>69</v>
      </c>
      <c r="F2815" s="19" t="str">
        <f>IFERROR(__xludf.DUMMYFUNCTION("""COMPUTED_VALUE"""),"BLACK")</f>
        <v>BLACK</v>
      </c>
      <c r="G2815" s="20" t="str">
        <f>IFERROR(__xludf.DUMMYFUNCTION("""COMPUTED_VALUE"""),"Uncle Sams Cider (5/13/2022)")</f>
        <v>Uncle Sams Cider (5/13/2022)</v>
      </c>
      <c r="H2815" s="19"/>
    </row>
    <row r="2816">
      <c r="A2816" s="9"/>
      <c r="B2816" s="15"/>
      <c r="C2816" s="9">
        <f>IFERROR(__xludf.DUMMYFUNCTION("""COMPUTED_VALUE"""),44767.2766550925)</f>
        <v>44767.27666</v>
      </c>
      <c r="D2816" s="15">
        <f>IFERROR(__xludf.DUMMYFUNCTION("""COMPUTED_VALUE"""),1.004)</f>
        <v>1.004</v>
      </c>
      <c r="E2816" s="16">
        <f>IFERROR(__xludf.DUMMYFUNCTION("""COMPUTED_VALUE"""),69.0)</f>
        <v>69</v>
      </c>
      <c r="F2816" s="19" t="str">
        <f>IFERROR(__xludf.DUMMYFUNCTION("""COMPUTED_VALUE"""),"BLACK")</f>
        <v>BLACK</v>
      </c>
      <c r="G2816" s="20" t="str">
        <f>IFERROR(__xludf.DUMMYFUNCTION("""COMPUTED_VALUE"""),"Uncle Sams Cider (5/13/2022)")</f>
        <v>Uncle Sams Cider (5/13/2022)</v>
      </c>
      <c r="H2816" s="19"/>
    </row>
    <row r="2817">
      <c r="A2817" s="9"/>
      <c r="B2817" s="15"/>
      <c r="C2817" s="9">
        <f>IFERROR(__xludf.DUMMYFUNCTION("""COMPUTED_VALUE"""),44767.2662350925)</f>
        <v>44767.26624</v>
      </c>
      <c r="D2817" s="15">
        <f>IFERROR(__xludf.DUMMYFUNCTION("""COMPUTED_VALUE"""),1.004)</f>
        <v>1.004</v>
      </c>
      <c r="E2817" s="16">
        <f>IFERROR(__xludf.DUMMYFUNCTION("""COMPUTED_VALUE"""),69.0)</f>
        <v>69</v>
      </c>
      <c r="F2817" s="19" t="str">
        <f>IFERROR(__xludf.DUMMYFUNCTION("""COMPUTED_VALUE"""),"BLACK")</f>
        <v>BLACK</v>
      </c>
      <c r="G2817" s="20" t="str">
        <f>IFERROR(__xludf.DUMMYFUNCTION("""COMPUTED_VALUE"""),"Uncle Sams Cider (5/13/2022)")</f>
        <v>Uncle Sams Cider (5/13/2022)</v>
      </c>
      <c r="H2817" s="19"/>
    </row>
    <row r="2818">
      <c r="A2818" s="9"/>
      <c r="B2818" s="15"/>
      <c r="C2818" s="9">
        <f>IFERROR(__xludf.DUMMYFUNCTION("""COMPUTED_VALUE"""),44767.2558131828)</f>
        <v>44767.25581</v>
      </c>
      <c r="D2818" s="15">
        <f>IFERROR(__xludf.DUMMYFUNCTION("""COMPUTED_VALUE"""),1.004)</f>
        <v>1.004</v>
      </c>
      <c r="E2818" s="16">
        <f>IFERROR(__xludf.DUMMYFUNCTION("""COMPUTED_VALUE"""),69.0)</f>
        <v>69</v>
      </c>
      <c r="F2818" s="19" t="str">
        <f>IFERROR(__xludf.DUMMYFUNCTION("""COMPUTED_VALUE"""),"BLACK")</f>
        <v>BLACK</v>
      </c>
      <c r="G2818" s="20" t="str">
        <f>IFERROR(__xludf.DUMMYFUNCTION("""COMPUTED_VALUE"""),"Uncle Sams Cider (5/13/2022)")</f>
        <v>Uncle Sams Cider (5/13/2022)</v>
      </c>
      <c r="H2818" s="19"/>
    </row>
    <row r="2819">
      <c r="A2819" s="9"/>
      <c r="B2819" s="15"/>
      <c r="C2819" s="9">
        <f>IFERROR(__xludf.DUMMYFUNCTION("""COMPUTED_VALUE"""),44767.2453922453)</f>
        <v>44767.24539</v>
      </c>
      <c r="D2819" s="15">
        <f>IFERROR(__xludf.DUMMYFUNCTION("""COMPUTED_VALUE"""),1.004)</f>
        <v>1.004</v>
      </c>
      <c r="E2819" s="16">
        <f>IFERROR(__xludf.DUMMYFUNCTION("""COMPUTED_VALUE"""),69.0)</f>
        <v>69</v>
      </c>
      <c r="F2819" s="19" t="str">
        <f>IFERROR(__xludf.DUMMYFUNCTION("""COMPUTED_VALUE"""),"BLACK")</f>
        <v>BLACK</v>
      </c>
      <c r="G2819" s="20" t="str">
        <f>IFERROR(__xludf.DUMMYFUNCTION("""COMPUTED_VALUE"""),"Uncle Sams Cider (5/13/2022)")</f>
        <v>Uncle Sams Cider (5/13/2022)</v>
      </c>
      <c r="H2819" s="19"/>
    </row>
    <row r="2820">
      <c r="A2820" s="9"/>
      <c r="B2820" s="15"/>
      <c r="C2820" s="9">
        <f>IFERROR(__xludf.DUMMYFUNCTION("""COMPUTED_VALUE"""),44767.2349711921)</f>
        <v>44767.23497</v>
      </c>
      <c r="D2820" s="15">
        <f>IFERROR(__xludf.DUMMYFUNCTION("""COMPUTED_VALUE"""),1.004)</f>
        <v>1.004</v>
      </c>
      <c r="E2820" s="16">
        <f>IFERROR(__xludf.DUMMYFUNCTION("""COMPUTED_VALUE"""),69.0)</f>
        <v>69</v>
      </c>
      <c r="F2820" s="19" t="str">
        <f>IFERROR(__xludf.DUMMYFUNCTION("""COMPUTED_VALUE"""),"BLACK")</f>
        <v>BLACK</v>
      </c>
      <c r="G2820" s="20" t="str">
        <f>IFERROR(__xludf.DUMMYFUNCTION("""COMPUTED_VALUE"""),"Uncle Sams Cider (5/13/2022)")</f>
        <v>Uncle Sams Cider (5/13/2022)</v>
      </c>
      <c r="H2820" s="19"/>
    </row>
    <row r="2821">
      <c r="A2821" s="9"/>
      <c r="B2821" s="15"/>
      <c r="C2821" s="9">
        <f>IFERROR(__xludf.DUMMYFUNCTION("""COMPUTED_VALUE"""),44767.2245396875)</f>
        <v>44767.22454</v>
      </c>
      <c r="D2821" s="15">
        <f>IFERROR(__xludf.DUMMYFUNCTION("""COMPUTED_VALUE"""),1.004)</f>
        <v>1.004</v>
      </c>
      <c r="E2821" s="16">
        <f>IFERROR(__xludf.DUMMYFUNCTION("""COMPUTED_VALUE"""),68.0)</f>
        <v>68</v>
      </c>
      <c r="F2821" s="19" t="str">
        <f>IFERROR(__xludf.DUMMYFUNCTION("""COMPUTED_VALUE"""),"BLACK")</f>
        <v>BLACK</v>
      </c>
      <c r="G2821" s="20" t="str">
        <f>IFERROR(__xludf.DUMMYFUNCTION("""COMPUTED_VALUE"""),"Uncle Sams Cider (5/13/2022)")</f>
        <v>Uncle Sams Cider (5/13/2022)</v>
      </c>
      <c r="H2821" s="19"/>
    </row>
    <row r="2822">
      <c r="A2822" s="9"/>
      <c r="B2822" s="15"/>
      <c r="C2822" s="9">
        <f>IFERROR(__xludf.DUMMYFUNCTION("""COMPUTED_VALUE"""),44767.2141190625)</f>
        <v>44767.21412</v>
      </c>
      <c r="D2822" s="15">
        <f>IFERROR(__xludf.DUMMYFUNCTION("""COMPUTED_VALUE"""),1.004)</f>
        <v>1.004</v>
      </c>
      <c r="E2822" s="16">
        <f>IFERROR(__xludf.DUMMYFUNCTION("""COMPUTED_VALUE"""),69.0)</f>
        <v>69</v>
      </c>
      <c r="F2822" s="19" t="str">
        <f>IFERROR(__xludf.DUMMYFUNCTION("""COMPUTED_VALUE"""),"BLACK")</f>
        <v>BLACK</v>
      </c>
      <c r="G2822" s="20" t="str">
        <f>IFERROR(__xludf.DUMMYFUNCTION("""COMPUTED_VALUE"""),"Uncle Sams Cider (5/13/2022)")</f>
        <v>Uncle Sams Cider (5/13/2022)</v>
      </c>
      <c r="H2822" s="19"/>
    </row>
    <row r="2823">
      <c r="A2823" s="9"/>
      <c r="B2823" s="15"/>
      <c r="C2823" s="9">
        <f>IFERROR(__xludf.DUMMYFUNCTION("""COMPUTED_VALUE"""),44767.2036970486)</f>
        <v>44767.2037</v>
      </c>
      <c r="D2823" s="15">
        <f>IFERROR(__xludf.DUMMYFUNCTION("""COMPUTED_VALUE"""),1.004)</f>
        <v>1.004</v>
      </c>
      <c r="E2823" s="16">
        <f>IFERROR(__xludf.DUMMYFUNCTION("""COMPUTED_VALUE"""),68.0)</f>
        <v>68</v>
      </c>
      <c r="F2823" s="19" t="str">
        <f>IFERROR(__xludf.DUMMYFUNCTION("""COMPUTED_VALUE"""),"BLACK")</f>
        <v>BLACK</v>
      </c>
      <c r="G2823" s="20" t="str">
        <f>IFERROR(__xludf.DUMMYFUNCTION("""COMPUTED_VALUE"""),"Uncle Sams Cider (5/13/2022)")</f>
        <v>Uncle Sams Cider (5/13/2022)</v>
      </c>
      <c r="H2823" s="19"/>
    </row>
    <row r="2824">
      <c r="A2824" s="9"/>
      <c r="B2824" s="15"/>
      <c r="C2824" s="9">
        <f>IFERROR(__xludf.DUMMYFUNCTION("""COMPUTED_VALUE"""),44767.1932632407)</f>
        <v>44767.19326</v>
      </c>
      <c r="D2824" s="15">
        <f>IFERROR(__xludf.DUMMYFUNCTION("""COMPUTED_VALUE"""),1.004)</f>
        <v>1.004</v>
      </c>
      <c r="E2824" s="16">
        <f>IFERROR(__xludf.DUMMYFUNCTION("""COMPUTED_VALUE"""),68.0)</f>
        <v>68</v>
      </c>
      <c r="F2824" s="19" t="str">
        <f>IFERROR(__xludf.DUMMYFUNCTION("""COMPUTED_VALUE"""),"BLACK")</f>
        <v>BLACK</v>
      </c>
      <c r="G2824" s="20" t="str">
        <f>IFERROR(__xludf.DUMMYFUNCTION("""COMPUTED_VALUE"""),"Uncle Sams Cider (5/13/2022)")</f>
        <v>Uncle Sams Cider (5/13/2022)</v>
      </c>
      <c r="H2824" s="19"/>
    </row>
    <row r="2825">
      <c r="A2825" s="9"/>
      <c r="B2825" s="15"/>
      <c r="C2825" s="9">
        <f>IFERROR(__xludf.DUMMYFUNCTION("""COMPUTED_VALUE"""),44767.1828413426)</f>
        <v>44767.18284</v>
      </c>
      <c r="D2825" s="15">
        <f>IFERROR(__xludf.DUMMYFUNCTION("""COMPUTED_VALUE"""),1.004)</f>
        <v>1.004</v>
      </c>
      <c r="E2825" s="16">
        <f>IFERROR(__xludf.DUMMYFUNCTION("""COMPUTED_VALUE"""),68.0)</f>
        <v>68</v>
      </c>
      <c r="F2825" s="19" t="str">
        <f>IFERROR(__xludf.DUMMYFUNCTION("""COMPUTED_VALUE"""),"BLACK")</f>
        <v>BLACK</v>
      </c>
      <c r="G2825" s="20" t="str">
        <f>IFERROR(__xludf.DUMMYFUNCTION("""COMPUTED_VALUE"""),"Uncle Sams Cider (5/13/2022)")</f>
        <v>Uncle Sams Cider (5/13/2022)</v>
      </c>
      <c r="H2825" s="19"/>
    </row>
    <row r="2826">
      <c r="A2826" s="9"/>
      <c r="B2826" s="15"/>
      <c r="C2826" s="9">
        <f>IFERROR(__xludf.DUMMYFUNCTION("""COMPUTED_VALUE"""),44767.1724208217)</f>
        <v>44767.17242</v>
      </c>
      <c r="D2826" s="15">
        <f>IFERROR(__xludf.DUMMYFUNCTION("""COMPUTED_VALUE"""),1.004)</f>
        <v>1.004</v>
      </c>
      <c r="E2826" s="16">
        <f>IFERROR(__xludf.DUMMYFUNCTION("""COMPUTED_VALUE"""),68.0)</f>
        <v>68</v>
      </c>
      <c r="F2826" s="19" t="str">
        <f>IFERROR(__xludf.DUMMYFUNCTION("""COMPUTED_VALUE"""),"BLACK")</f>
        <v>BLACK</v>
      </c>
      <c r="G2826" s="20" t="str">
        <f>IFERROR(__xludf.DUMMYFUNCTION("""COMPUTED_VALUE"""),"Uncle Sams Cider (5/13/2022)")</f>
        <v>Uncle Sams Cider (5/13/2022)</v>
      </c>
      <c r="H2826" s="19"/>
    </row>
    <row r="2827">
      <c r="A2827" s="9"/>
      <c r="B2827" s="15"/>
      <c r="C2827" s="9">
        <f>IFERROR(__xludf.DUMMYFUNCTION("""COMPUTED_VALUE"""),44767.1619872106)</f>
        <v>44767.16199</v>
      </c>
      <c r="D2827" s="15">
        <f>IFERROR(__xludf.DUMMYFUNCTION("""COMPUTED_VALUE"""),1.004)</f>
        <v>1.004</v>
      </c>
      <c r="E2827" s="16">
        <f>IFERROR(__xludf.DUMMYFUNCTION("""COMPUTED_VALUE"""),68.0)</f>
        <v>68</v>
      </c>
      <c r="F2827" s="19" t="str">
        <f>IFERROR(__xludf.DUMMYFUNCTION("""COMPUTED_VALUE"""),"BLACK")</f>
        <v>BLACK</v>
      </c>
      <c r="G2827" s="20" t="str">
        <f>IFERROR(__xludf.DUMMYFUNCTION("""COMPUTED_VALUE"""),"Uncle Sams Cider (5/13/2022)")</f>
        <v>Uncle Sams Cider (5/13/2022)</v>
      </c>
      <c r="H2827" s="19"/>
    </row>
    <row r="2828">
      <c r="A2828" s="9"/>
      <c r="B2828" s="15"/>
      <c r="C2828" s="9">
        <f>IFERROR(__xludf.DUMMYFUNCTION("""COMPUTED_VALUE"""),44767.1515665277)</f>
        <v>44767.15157</v>
      </c>
      <c r="D2828" s="15">
        <f>IFERROR(__xludf.DUMMYFUNCTION("""COMPUTED_VALUE"""),1.004)</f>
        <v>1.004</v>
      </c>
      <c r="E2828" s="16">
        <f>IFERROR(__xludf.DUMMYFUNCTION("""COMPUTED_VALUE"""),68.0)</f>
        <v>68</v>
      </c>
      <c r="F2828" s="19" t="str">
        <f>IFERROR(__xludf.DUMMYFUNCTION("""COMPUTED_VALUE"""),"BLACK")</f>
        <v>BLACK</v>
      </c>
      <c r="G2828" s="20" t="str">
        <f>IFERROR(__xludf.DUMMYFUNCTION("""COMPUTED_VALUE"""),"Uncle Sams Cider (5/13/2022)")</f>
        <v>Uncle Sams Cider (5/13/2022)</v>
      </c>
      <c r="H2828" s="19"/>
    </row>
    <row r="2829">
      <c r="A2829" s="9"/>
      <c r="B2829" s="15"/>
      <c r="C2829" s="9">
        <f>IFERROR(__xludf.DUMMYFUNCTION("""COMPUTED_VALUE"""),44767.1411461805)</f>
        <v>44767.14115</v>
      </c>
      <c r="D2829" s="15">
        <f>IFERROR(__xludf.DUMMYFUNCTION("""COMPUTED_VALUE"""),1.004)</f>
        <v>1.004</v>
      </c>
      <c r="E2829" s="16">
        <f>IFERROR(__xludf.DUMMYFUNCTION("""COMPUTED_VALUE"""),68.0)</f>
        <v>68</v>
      </c>
      <c r="F2829" s="19" t="str">
        <f>IFERROR(__xludf.DUMMYFUNCTION("""COMPUTED_VALUE"""),"BLACK")</f>
        <v>BLACK</v>
      </c>
      <c r="G2829" s="20" t="str">
        <f>IFERROR(__xludf.DUMMYFUNCTION("""COMPUTED_VALUE"""),"Uncle Sams Cider (5/13/2022)")</f>
        <v>Uncle Sams Cider (5/13/2022)</v>
      </c>
      <c r="H2829" s="19"/>
    </row>
    <row r="2830">
      <c r="A2830" s="9"/>
      <c r="B2830" s="15"/>
      <c r="C2830" s="9">
        <f>IFERROR(__xludf.DUMMYFUNCTION("""COMPUTED_VALUE"""),44767.1307245023)</f>
        <v>44767.13072</v>
      </c>
      <c r="D2830" s="15">
        <f>IFERROR(__xludf.DUMMYFUNCTION("""COMPUTED_VALUE"""),1.004)</f>
        <v>1.004</v>
      </c>
      <c r="E2830" s="16">
        <f>IFERROR(__xludf.DUMMYFUNCTION("""COMPUTED_VALUE"""),68.0)</f>
        <v>68</v>
      </c>
      <c r="F2830" s="19" t="str">
        <f>IFERROR(__xludf.DUMMYFUNCTION("""COMPUTED_VALUE"""),"BLACK")</f>
        <v>BLACK</v>
      </c>
      <c r="G2830" s="20" t="str">
        <f>IFERROR(__xludf.DUMMYFUNCTION("""COMPUTED_VALUE"""),"Uncle Sams Cider (5/13/2022)")</f>
        <v>Uncle Sams Cider (5/13/2022)</v>
      </c>
      <c r="H2830" s="19"/>
    </row>
    <row r="2831">
      <c r="A2831" s="9"/>
      <c r="B2831" s="15"/>
      <c r="C2831" s="9">
        <f>IFERROR(__xludf.DUMMYFUNCTION("""COMPUTED_VALUE"""),44767.1203018981)</f>
        <v>44767.1203</v>
      </c>
      <c r="D2831" s="15">
        <f>IFERROR(__xludf.DUMMYFUNCTION("""COMPUTED_VALUE"""),1.004)</f>
        <v>1.004</v>
      </c>
      <c r="E2831" s="16">
        <f>IFERROR(__xludf.DUMMYFUNCTION("""COMPUTED_VALUE"""),68.0)</f>
        <v>68</v>
      </c>
      <c r="F2831" s="19" t="str">
        <f>IFERROR(__xludf.DUMMYFUNCTION("""COMPUTED_VALUE"""),"BLACK")</f>
        <v>BLACK</v>
      </c>
      <c r="G2831" s="20" t="str">
        <f>IFERROR(__xludf.DUMMYFUNCTION("""COMPUTED_VALUE"""),"Uncle Sams Cider (5/13/2022)")</f>
        <v>Uncle Sams Cider (5/13/2022)</v>
      </c>
      <c r="H2831" s="19"/>
    </row>
    <row r="2832">
      <c r="A2832" s="9"/>
      <c r="B2832" s="15"/>
      <c r="C2832" s="9">
        <f>IFERROR(__xludf.DUMMYFUNCTION("""COMPUTED_VALUE"""),44767.109857118)</f>
        <v>44767.10986</v>
      </c>
      <c r="D2832" s="15">
        <f>IFERROR(__xludf.DUMMYFUNCTION("""COMPUTED_VALUE"""),1.004)</f>
        <v>1.004</v>
      </c>
      <c r="E2832" s="16">
        <f>IFERROR(__xludf.DUMMYFUNCTION("""COMPUTED_VALUE"""),68.0)</f>
        <v>68</v>
      </c>
      <c r="F2832" s="19" t="str">
        <f>IFERROR(__xludf.DUMMYFUNCTION("""COMPUTED_VALUE"""),"BLACK")</f>
        <v>BLACK</v>
      </c>
      <c r="G2832" s="20" t="str">
        <f>IFERROR(__xludf.DUMMYFUNCTION("""COMPUTED_VALUE"""),"Uncle Sams Cider (5/13/2022)")</f>
        <v>Uncle Sams Cider (5/13/2022)</v>
      </c>
      <c r="H2832" s="19"/>
    </row>
    <row r="2833">
      <c r="A2833" s="9"/>
      <c r="B2833" s="15"/>
      <c r="C2833" s="9">
        <f>IFERROR(__xludf.DUMMYFUNCTION("""COMPUTED_VALUE"""),44767.0994355324)</f>
        <v>44767.09944</v>
      </c>
      <c r="D2833" s="15">
        <f>IFERROR(__xludf.DUMMYFUNCTION("""COMPUTED_VALUE"""),1.004)</f>
        <v>1.004</v>
      </c>
      <c r="E2833" s="16">
        <f>IFERROR(__xludf.DUMMYFUNCTION("""COMPUTED_VALUE"""),68.0)</f>
        <v>68</v>
      </c>
      <c r="F2833" s="19" t="str">
        <f>IFERROR(__xludf.DUMMYFUNCTION("""COMPUTED_VALUE"""),"BLACK")</f>
        <v>BLACK</v>
      </c>
      <c r="G2833" s="20" t="str">
        <f>IFERROR(__xludf.DUMMYFUNCTION("""COMPUTED_VALUE"""),"Uncle Sams Cider (5/13/2022)")</f>
        <v>Uncle Sams Cider (5/13/2022)</v>
      </c>
      <c r="H2833" s="19"/>
    </row>
    <row r="2834">
      <c r="A2834" s="9"/>
      <c r="B2834" s="15"/>
      <c r="C2834" s="9">
        <f>IFERROR(__xludf.DUMMYFUNCTION("""COMPUTED_VALUE"""),44767.0890030092)</f>
        <v>44767.089</v>
      </c>
      <c r="D2834" s="15">
        <f>IFERROR(__xludf.DUMMYFUNCTION("""COMPUTED_VALUE"""),1.004)</f>
        <v>1.004</v>
      </c>
      <c r="E2834" s="16">
        <f>IFERROR(__xludf.DUMMYFUNCTION("""COMPUTED_VALUE"""),68.0)</f>
        <v>68</v>
      </c>
      <c r="F2834" s="19" t="str">
        <f>IFERROR(__xludf.DUMMYFUNCTION("""COMPUTED_VALUE"""),"BLACK")</f>
        <v>BLACK</v>
      </c>
      <c r="G2834" s="20" t="str">
        <f>IFERROR(__xludf.DUMMYFUNCTION("""COMPUTED_VALUE"""),"Uncle Sams Cider (5/13/2022)")</f>
        <v>Uncle Sams Cider (5/13/2022)</v>
      </c>
      <c r="H2834" s="19"/>
    </row>
    <row r="2835">
      <c r="A2835" s="9"/>
      <c r="B2835" s="15"/>
      <c r="C2835" s="9">
        <f>IFERROR(__xludf.DUMMYFUNCTION("""COMPUTED_VALUE"""),44767.0785826273)</f>
        <v>44767.07858</v>
      </c>
      <c r="D2835" s="15">
        <f>IFERROR(__xludf.DUMMYFUNCTION("""COMPUTED_VALUE"""),1.004)</f>
        <v>1.004</v>
      </c>
      <c r="E2835" s="16">
        <f>IFERROR(__xludf.DUMMYFUNCTION("""COMPUTED_VALUE"""),68.0)</f>
        <v>68</v>
      </c>
      <c r="F2835" s="19" t="str">
        <f>IFERROR(__xludf.DUMMYFUNCTION("""COMPUTED_VALUE"""),"BLACK")</f>
        <v>BLACK</v>
      </c>
      <c r="G2835" s="20" t="str">
        <f>IFERROR(__xludf.DUMMYFUNCTION("""COMPUTED_VALUE"""),"Uncle Sams Cider (5/13/2022)")</f>
        <v>Uncle Sams Cider (5/13/2022)</v>
      </c>
      <c r="H2835" s="19"/>
    </row>
    <row r="2836">
      <c r="A2836" s="9"/>
      <c r="B2836" s="15"/>
      <c r="C2836" s="9">
        <f>IFERROR(__xludf.DUMMYFUNCTION("""COMPUTED_VALUE"""),44767.0681502662)</f>
        <v>44767.06815</v>
      </c>
      <c r="D2836" s="15">
        <f>IFERROR(__xludf.DUMMYFUNCTION("""COMPUTED_VALUE"""),1.004)</f>
        <v>1.004</v>
      </c>
      <c r="E2836" s="16">
        <f>IFERROR(__xludf.DUMMYFUNCTION("""COMPUTED_VALUE"""),68.0)</f>
        <v>68</v>
      </c>
      <c r="F2836" s="19" t="str">
        <f>IFERROR(__xludf.DUMMYFUNCTION("""COMPUTED_VALUE"""),"BLACK")</f>
        <v>BLACK</v>
      </c>
      <c r="G2836" s="20" t="str">
        <f>IFERROR(__xludf.DUMMYFUNCTION("""COMPUTED_VALUE"""),"Uncle Sams Cider (5/13/2022)")</f>
        <v>Uncle Sams Cider (5/13/2022)</v>
      </c>
      <c r="H2836" s="19"/>
    </row>
    <row r="2837">
      <c r="A2837" s="9"/>
      <c r="B2837" s="15"/>
      <c r="C2837" s="9">
        <f>IFERROR(__xludf.DUMMYFUNCTION("""COMPUTED_VALUE"""),44767.0577293402)</f>
        <v>44767.05773</v>
      </c>
      <c r="D2837" s="15">
        <f>IFERROR(__xludf.DUMMYFUNCTION("""COMPUTED_VALUE"""),1.004)</f>
        <v>1.004</v>
      </c>
      <c r="E2837" s="16">
        <f>IFERROR(__xludf.DUMMYFUNCTION("""COMPUTED_VALUE"""),68.0)</f>
        <v>68</v>
      </c>
      <c r="F2837" s="19" t="str">
        <f>IFERROR(__xludf.DUMMYFUNCTION("""COMPUTED_VALUE"""),"BLACK")</f>
        <v>BLACK</v>
      </c>
      <c r="G2837" s="20" t="str">
        <f>IFERROR(__xludf.DUMMYFUNCTION("""COMPUTED_VALUE"""),"Uncle Sams Cider (5/13/2022)")</f>
        <v>Uncle Sams Cider (5/13/2022)</v>
      </c>
      <c r="H2837" s="19"/>
    </row>
    <row r="2838">
      <c r="A2838" s="9"/>
      <c r="B2838" s="15"/>
      <c r="C2838" s="9">
        <f>IFERROR(__xludf.DUMMYFUNCTION("""COMPUTED_VALUE"""),44767.0473062384)</f>
        <v>44767.04731</v>
      </c>
      <c r="D2838" s="15">
        <f>IFERROR(__xludf.DUMMYFUNCTION("""COMPUTED_VALUE"""),1.004)</f>
        <v>1.004</v>
      </c>
      <c r="E2838" s="16">
        <f>IFERROR(__xludf.DUMMYFUNCTION("""COMPUTED_VALUE"""),68.0)</f>
        <v>68</v>
      </c>
      <c r="F2838" s="19" t="str">
        <f>IFERROR(__xludf.DUMMYFUNCTION("""COMPUTED_VALUE"""),"BLACK")</f>
        <v>BLACK</v>
      </c>
      <c r="G2838" s="20" t="str">
        <f>IFERROR(__xludf.DUMMYFUNCTION("""COMPUTED_VALUE"""),"Uncle Sams Cider (5/13/2022)")</f>
        <v>Uncle Sams Cider (5/13/2022)</v>
      </c>
      <c r="H2838" s="19"/>
    </row>
    <row r="2839">
      <c r="A2839" s="9"/>
      <c r="B2839" s="15"/>
      <c r="C2839" s="9">
        <f>IFERROR(__xludf.DUMMYFUNCTION("""COMPUTED_VALUE"""),44767.0368857523)</f>
        <v>44767.03689</v>
      </c>
      <c r="D2839" s="15">
        <f>IFERROR(__xludf.DUMMYFUNCTION("""COMPUTED_VALUE"""),1.004)</f>
        <v>1.004</v>
      </c>
      <c r="E2839" s="16">
        <f>IFERROR(__xludf.DUMMYFUNCTION("""COMPUTED_VALUE"""),68.0)</f>
        <v>68</v>
      </c>
      <c r="F2839" s="19" t="str">
        <f>IFERROR(__xludf.DUMMYFUNCTION("""COMPUTED_VALUE"""),"BLACK")</f>
        <v>BLACK</v>
      </c>
      <c r="G2839" s="20" t="str">
        <f>IFERROR(__xludf.DUMMYFUNCTION("""COMPUTED_VALUE"""),"Uncle Sams Cider (5/13/2022)")</f>
        <v>Uncle Sams Cider (5/13/2022)</v>
      </c>
      <c r="H2839" s="19"/>
    </row>
    <row r="2840">
      <c r="A2840" s="9"/>
      <c r="B2840" s="15"/>
      <c r="C2840" s="9">
        <f>IFERROR(__xludf.DUMMYFUNCTION("""COMPUTED_VALUE"""),44767.0264647338)</f>
        <v>44767.02646</v>
      </c>
      <c r="D2840" s="15">
        <f>IFERROR(__xludf.DUMMYFUNCTION("""COMPUTED_VALUE"""),1.004)</f>
        <v>1.004</v>
      </c>
      <c r="E2840" s="16">
        <f>IFERROR(__xludf.DUMMYFUNCTION("""COMPUTED_VALUE"""),68.0)</f>
        <v>68</v>
      </c>
      <c r="F2840" s="19" t="str">
        <f>IFERROR(__xludf.DUMMYFUNCTION("""COMPUTED_VALUE"""),"BLACK")</f>
        <v>BLACK</v>
      </c>
      <c r="G2840" s="20" t="str">
        <f>IFERROR(__xludf.DUMMYFUNCTION("""COMPUTED_VALUE"""),"Uncle Sams Cider (5/13/2022)")</f>
        <v>Uncle Sams Cider (5/13/2022)</v>
      </c>
      <c r="H2840" s="19"/>
    </row>
    <row r="2841">
      <c r="A2841" s="9"/>
      <c r="B2841" s="15"/>
      <c r="C2841" s="9">
        <f>IFERROR(__xludf.DUMMYFUNCTION("""COMPUTED_VALUE"""),44767.0160311689)</f>
        <v>44767.01603</v>
      </c>
      <c r="D2841" s="15">
        <f>IFERROR(__xludf.DUMMYFUNCTION("""COMPUTED_VALUE"""),1.004)</f>
        <v>1.004</v>
      </c>
      <c r="E2841" s="16">
        <f>IFERROR(__xludf.DUMMYFUNCTION("""COMPUTED_VALUE"""),68.0)</f>
        <v>68</v>
      </c>
      <c r="F2841" s="19" t="str">
        <f>IFERROR(__xludf.DUMMYFUNCTION("""COMPUTED_VALUE"""),"BLACK")</f>
        <v>BLACK</v>
      </c>
      <c r="G2841" s="20" t="str">
        <f>IFERROR(__xludf.DUMMYFUNCTION("""COMPUTED_VALUE"""),"Uncle Sams Cider (5/13/2022)")</f>
        <v>Uncle Sams Cider (5/13/2022)</v>
      </c>
      <c r="H2841" s="19"/>
    </row>
    <row r="2842">
      <c r="A2842" s="9"/>
      <c r="B2842" s="15"/>
      <c r="C2842" s="9">
        <f>IFERROR(__xludf.DUMMYFUNCTION("""COMPUTED_VALUE"""),44767.0056124074)</f>
        <v>44767.00561</v>
      </c>
      <c r="D2842" s="15">
        <f>IFERROR(__xludf.DUMMYFUNCTION("""COMPUTED_VALUE"""),1.004)</f>
        <v>1.004</v>
      </c>
      <c r="E2842" s="16">
        <f>IFERROR(__xludf.DUMMYFUNCTION("""COMPUTED_VALUE"""),68.0)</f>
        <v>68</v>
      </c>
      <c r="F2842" s="19" t="str">
        <f>IFERROR(__xludf.DUMMYFUNCTION("""COMPUTED_VALUE"""),"BLACK")</f>
        <v>BLACK</v>
      </c>
      <c r="G2842" s="20" t="str">
        <f>IFERROR(__xludf.DUMMYFUNCTION("""COMPUTED_VALUE"""),"Uncle Sams Cider (5/13/2022)")</f>
        <v>Uncle Sams Cider (5/13/2022)</v>
      </c>
      <c r="H2842" s="19"/>
    </row>
    <row r="2843">
      <c r="A2843" s="9"/>
      <c r="B2843" s="15"/>
      <c r="C2843" s="9">
        <f>IFERROR(__xludf.DUMMYFUNCTION("""COMPUTED_VALUE"""),44766.9951908101)</f>
        <v>44766.99519</v>
      </c>
      <c r="D2843" s="15">
        <f>IFERROR(__xludf.DUMMYFUNCTION("""COMPUTED_VALUE"""),1.004)</f>
        <v>1.004</v>
      </c>
      <c r="E2843" s="16">
        <f>IFERROR(__xludf.DUMMYFUNCTION("""COMPUTED_VALUE"""),68.0)</f>
        <v>68</v>
      </c>
      <c r="F2843" s="19" t="str">
        <f>IFERROR(__xludf.DUMMYFUNCTION("""COMPUTED_VALUE"""),"BLACK")</f>
        <v>BLACK</v>
      </c>
      <c r="G2843" s="20" t="str">
        <f>IFERROR(__xludf.DUMMYFUNCTION("""COMPUTED_VALUE"""),"Uncle Sams Cider (5/13/2022)")</f>
        <v>Uncle Sams Cider (5/13/2022)</v>
      </c>
      <c r="H2843" s="19"/>
    </row>
    <row r="2844">
      <c r="A2844" s="9"/>
      <c r="B2844" s="15"/>
      <c r="C2844" s="9">
        <f>IFERROR(__xludf.DUMMYFUNCTION("""COMPUTED_VALUE"""),44766.9847702662)</f>
        <v>44766.98477</v>
      </c>
      <c r="D2844" s="15">
        <f>IFERROR(__xludf.DUMMYFUNCTION("""COMPUTED_VALUE"""),1.004)</f>
        <v>1.004</v>
      </c>
      <c r="E2844" s="16">
        <f>IFERROR(__xludf.DUMMYFUNCTION("""COMPUTED_VALUE"""),68.0)</f>
        <v>68</v>
      </c>
      <c r="F2844" s="19" t="str">
        <f>IFERROR(__xludf.DUMMYFUNCTION("""COMPUTED_VALUE"""),"BLACK")</f>
        <v>BLACK</v>
      </c>
      <c r="G2844" s="20" t="str">
        <f>IFERROR(__xludf.DUMMYFUNCTION("""COMPUTED_VALUE"""),"Uncle Sams Cider (5/13/2022)")</f>
        <v>Uncle Sams Cider (5/13/2022)</v>
      </c>
      <c r="H2844" s="19"/>
    </row>
    <row r="2845">
      <c r="A2845" s="9"/>
      <c r="B2845" s="15"/>
      <c r="C2845" s="9">
        <f>IFERROR(__xludf.DUMMYFUNCTION("""COMPUTED_VALUE"""),44766.9743471412)</f>
        <v>44766.97435</v>
      </c>
      <c r="D2845" s="15">
        <f>IFERROR(__xludf.DUMMYFUNCTION("""COMPUTED_VALUE"""),1.004)</f>
        <v>1.004</v>
      </c>
      <c r="E2845" s="16">
        <f>IFERROR(__xludf.DUMMYFUNCTION("""COMPUTED_VALUE"""),68.0)</f>
        <v>68</v>
      </c>
      <c r="F2845" s="19" t="str">
        <f>IFERROR(__xludf.DUMMYFUNCTION("""COMPUTED_VALUE"""),"BLACK")</f>
        <v>BLACK</v>
      </c>
      <c r="G2845" s="20" t="str">
        <f>IFERROR(__xludf.DUMMYFUNCTION("""COMPUTED_VALUE"""),"Uncle Sams Cider (5/13/2022)")</f>
        <v>Uncle Sams Cider (5/13/2022)</v>
      </c>
      <c r="H2845" s="19"/>
    </row>
    <row r="2846">
      <c r="A2846" s="9"/>
      <c r="B2846" s="15"/>
      <c r="C2846" s="9">
        <f>IFERROR(__xludf.DUMMYFUNCTION("""COMPUTED_VALUE"""),44766.9639271412)</f>
        <v>44766.96393</v>
      </c>
      <c r="D2846" s="15">
        <f>IFERROR(__xludf.DUMMYFUNCTION("""COMPUTED_VALUE"""),1.004)</f>
        <v>1.004</v>
      </c>
      <c r="E2846" s="16">
        <f>IFERROR(__xludf.DUMMYFUNCTION("""COMPUTED_VALUE"""),68.0)</f>
        <v>68</v>
      </c>
      <c r="F2846" s="19" t="str">
        <f>IFERROR(__xludf.DUMMYFUNCTION("""COMPUTED_VALUE"""),"BLACK")</f>
        <v>BLACK</v>
      </c>
      <c r="G2846" s="20" t="str">
        <f>IFERROR(__xludf.DUMMYFUNCTION("""COMPUTED_VALUE"""),"Uncle Sams Cider (5/13/2022)")</f>
        <v>Uncle Sams Cider (5/13/2022)</v>
      </c>
      <c r="H2846" s="19"/>
    </row>
    <row r="2847">
      <c r="A2847" s="9"/>
      <c r="B2847" s="15"/>
      <c r="C2847" s="9">
        <f>IFERROR(__xludf.DUMMYFUNCTION("""COMPUTED_VALUE"""),44766.9534963888)</f>
        <v>44766.9535</v>
      </c>
      <c r="D2847" s="15">
        <f>IFERROR(__xludf.DUMMYFUNCTION("""COMPUTED_VALUE"""),1.004)</f>
        <v>1.004</v>
      </c>
      <c r="E2847" s="16">
        <f>IFERROR(__xludf.DUMMYFUNCTION("""COMPUTED_VALUE"""),68.0)</f>
        <v>68</v>
      </c>
      <c r="F2847" s="19" t="str">
        <f>IFERROR(__xludf.DUMMYFUNCTION("""COMPUTED_VALUE"""),"BLACK")</f>
        <v>BLACK</v>
      </c>
      <c r="G2847" s="20" t="str">
        <f>IFERROR(__xludf.DUMMYFUNCTION("""COMPUTED_VALUE"""),"Uncle Sams Cider (5/13/2022)")</f>
        <v>Uncle Sams Cider (5/13/2022)</v>
      </c>
      <c r="H2847" s="19"/>
    </row>
    <row r="2848">
      <c r="A2848" s="9"/>
      <c r="B2848" s="15"/>
      <c r="C2848" s="9">
        <f>IFERROR(__xludf.DUMMYFUNCTION("""COMPUTED_VALUE"""),44766.9430751388)</f>
        <v>44766.94308</v>
      </c>
      <c r="D2848" s="15">
        <f>IFERROR(__xludf.DUMMYFUNCTION("""COMPUTED_VALUE"""),1.004)</f>
        <v>1.004</v>
      </c>
      <c r="E2848" s="16">
        <f>IFERROR(__xludf.DUMMYFUNCTION("""COMPUTED_VALUE"""),68.0)</f>
        <v>68</v>
      </c>
      <c r="F2848" s="19" t="str">
        <f>IFERROR(__xludf.DUMMYFUNCTION("""COMPUTED_VALUE"""),"BLACK")</f>
        <v>BLACK</v>
      </c>
      <c r="G2848" s="20" t="str">
        <f>IFERROR(__xludf.DUMMYFUNCTION("""COMPUTED_VALUE"""),"Uncle Sams Cider (5/13/2022)")</f>
        <v>Uncle Sams Cider (5/13/2022)</v>
      </c>
      <c r="H2848" s="19"/>
    </row>
    <row r="2849">
      <c r="A2849" s="9"/>
      <c r="B2849" s="15"/>
      <c r="C2849" s="9">
        <f>IFERROR(__xludf.DUMMYFUNCTION("""COMPUTED_VALUE"""),44766.9326534143)</f>
        <v>44766.93265</v>
      </c>
      <c r="D2849" s="15">
        <f>IFERROR(__xludf.DUMMYFUNCTION("""COMPUTED_VALUE"""),1.004)</f>
        <v>1.004</v>
      </c>
      <c r="E2849" s="16">
        <f>IFERROR(__xludf.DUMMYFUNCTION("""COMPUTED_VALUE"""),68.0)</f>
        <v>68</v>
      </c>
      <c r="F2849" s="19" t="str">
        <f>IFERROR(__xludf.DUMMYFUNCTION("""COMPUTED_VALUE"""),"BLACK")</f>
        <v>BLACK</v>
      </c>
      <c r="G2849" s="20" t="str">
        <f>IFERROR(__xludf.DUMMYFUNCTION("""COMPUTED_VALUE"""),"Uncle Sams Cider (5/13/2022)")</f>
        <v>Uncle Sams Cider (5/13/2022)</v>
      </c>
      <c r="H2849" s="19"/>
    </row>
    <row r="2850">
      <c r="A2850" s="9"/>
      <c r="B2850" s="15"/>
      <c r="C2850" s="9">
        <f>IFERROR(__xludf.DUMMYFUNCTION("""COMPUTED_VALUE"""),44766.9222330324)</f>
        <v>44766.92223</v>
      </c>
      <c r="D2850" s="15">
        <f>IFERROR(__xludf.DUMMYFUNCTION("""COMPUTED_VALUE"""),1.004)</f>
        <v>1.004</v>
      </c>
      <c r="E2850" s="16">
        <f>IFERROR(__xludf.DUMMYFUNCTION("""COMPUTED_VALUE"""),68.0)</f>
        <v>68</v>
      </c>
      <c r="F2850" s="19" t="str">
        <f>IFERROR(__xludf.DUMMYFUNCTION("""COMPUTED_VALUE"""),"BLACK")</f>
        <v>BLACK</v>
      </c>
      <c r="G2850" s="20" t="str">
        <f>IFERROR(__xludf.DUMMYFUNCTION("""COMPUTED_VALUE"""),"Uncle Sams Cider (5/13/2022)")</f>
        <v>Uncle Sams Cider (5/13/2022)</v>
      </c>
      <c r="H2850" s="19"/>
    </row>
    <row r="2851">
      <c r="A2851" s="9"/>
      <c r="B2851" s="15"/>
      <c r="C2851" s="9">
        <f>IFERROR(__xludf.DUMMYFUNCTION("""COMPUTED_VALUE"""),44766.9118133564)</f>
        <v>44766.91181</v>
      </c>
      <c r="D2851" s="15">
        <f>IFERROR(__xludf.DUMMYFUNCTION("""COMPUTED_VALUE"""),1.004)</f>
        <v>1.004</v>
      </c>
      <c r="E2851" s="16">
        <f>IFERROR(__xludf.DUMMYFUNCTION("""COMPUTED_VALUE"""),68.0)</f>
        <v>68</v>
      </c>
      <c r="F2851" s="19" t="str">
        <f>IFERROR(__xludf.DUMMYFUNCTION("""COMPUTED_VALUE"""),"BLACK")</f>
        <v>BLACK</v>
      </c>
      <c r="G2851" s="20" t="str">
        <f>IFERROR(__xludf.DUMMYFUNCTION("""COMPUTED_VALUE"""),"Uncle Sams Cider (5/13/2022)")</f>
        <v>Uncle Sams Cider (5/13/2022)</v>
      </c>
      <c r="H2851" s="19"/>
    </row>
    <row r="2852">
      <c r="A2852" s="9"/>
      <c r="B2852" s="15"/>
      <c r="C2852" s="9">
        <f>IFERROR(__xludf.DUMMYFUNCTION("""COMPUTED_VALUE"""),44766.9013939583)</f>
        <v>44766.90139</v>
      </c>
      <c r="D2852" s="15">
        <f>IFERROR(__xludf.DUMMYFUNCTION("""COMPUTED_VALUE"""),1.004)</f>
        <v>1.004</v>
      </c>
      <c r="E2852" s="16">
        <f>IFERROR(__xludf.DUMMYFUNCTION("""COMPUTED_VALUE"""),68.0)</f>
        <v>68</v>
      </c>
      <c r="F2852" s="19" t="str">
        <f>IFERROR(__xludf.DUMMYFUNCTION("""COMPUTED_VALUE"""),"BLACK")</f>
        <v>BLACK</v>
      </c>
      <c r="G2852" s="20" t="str">
        <f>IFERROR(__xludf.DUMMYFUNCTION("""COMPUTED_VALUE"""),"Uncle Sams Cider (5/13/2022)")</f>
        <v>Uncle Sams Cider (5/13/2022)</v>
      </c>
      <c r="H2852" s="19"/>
    </row>
    <row r="2853">
      <c r="A2853" s="9"/>
      <c r="B2853" s="15"/>
      <c r="C2853" s="9">
        <f>IFERROR(__xludf.DUMMYFUNCTION("""COMPUTED_VALUE"""),44766.8909723148)</f>
        <v>44766.89097</v>
      </c>
      <c r="D2853" s="15">
        <f>IFERROR(__xludf.DUMMYFUNCTION("""COMPUTED_VALUE"""),1.004)</f>
        <v>1.004</v>
      </c>
      <c r="E2853" s="16">
        <f>IFERROR(__xludf.DUMMYFUNCTION("""COMPUTED_VALUE"""),68.0)</f>
        <v>68</v>
      </c>
      <c r="F2853" s="19" t="str">
        <f>IFERROR(__xludf.DUMMYFUNCTION("""COMPUTED_VALUE"""),"BLACK")</f>
        <v>BLACK</v>
      </c>
      <c r="G2853" s="20" t="str">
        <f>IFERROR(__xludf.DUMMYFUNCTION("""COMPUTED_VALUE"""),"Uncle Sams Cider (5/13/2022)")</f>
        <v>Uncle Sams Cider (5/13/2022)</v>
      </c>
      <c r="H2853" s="19"/>
    </row>
    <row r="2854">
      <c r="A2854" s="9"/>
      <c r="B2854" s="15"/>
      <c r="C2854" s="9">
        <f>IFERROR(__xludf.DUMMYFUNCTION("""COMPUTED_VALUE"""),44766.8805516435)</f>
        <v>44766.88055</v>
      </c>
      <c r="D2854" s="15">
        <f>IFERROR(__xludf.DUMMYFUNCTION("""COMPUTED_VALUE"""),1.004)</f>
        <v>1.004</v>
      </c>
      <c r="E2854" s="16">
        <f>IFERROR(__xludf.DUMMYFUNCTION("""COMPUTED_VALUE"""),68.0)</f>
        <v>68</v>
      </c>
      <c r="F2854" s="19" t="str">
        <f>IFERROR(__xludf.DUMMYFUNCTION("""COMPUTED_VALUE"""),"BLACK")</f>
        <v>BLACK</v>
      </c>
      <c r="G2854" s="20" t="str">
        <f>IFERROR(__xludf.DUMMYFUNCTION("""COMPUTED_VALUE"""),"Uncle Sams Cider (5/13/2022)")</f>
        <v>Uncle Sams Cider (5/13/2022)</v>
      </c>
      <c r="H2854" s="19"/>
    </row>
    <row r="2855">
      <c r="A2855" s="9"/>
      <c r="B2855" s="15"/>
      <c r="C2855" s="9">
        <f>IFERROR(__xludf.DUMMYFUNCTION("""COMPUTED_VALUE"""),44766.8701302893)</f>
        <v>44766.87013</v>
      </c>
      <c r="D2855" s="15">
        <f>IFERROR(__xludf.DUMMYFUNCTION("""COMPUTED_VALUE"""),1.004)</f>
        <v>1.004</v>
      </c>
      <c r="E2855" s="16">
        <f>IFERROR(__xludf.DUMMYFUNCTION("""COMPUTED_VALUE"""),68.0)</f>
        <v>68</v>
      </c>
      <c r="F2855" s="19" t="str">
        <f>IFERROR(__xludf.DUMMYFUNCTION("""COMPUTED_VALUE"""),"BLACK")</f>
        <v>BLACK</v>
      </c>
      <c r="G2855" s="20" t="str">
        <f>IFERROR(__xludf.DUMMYFUNCTION("""COMPUTED_VALUE"""),"Uncle Sams Cider (5/13/2022)")</f>
        <v>Uncle Sams Cider (5/13/2022)</v>
      </c>
      <c r="H2855" s="19"/>
    </row>
    <row r="2856">
      <c r="A2856" s="9"/>
      <c r="B2856" s="15"/>
      <c r="C2856" s="9">
        <f>IFERROR(__xludf.DUMMYFUNCTION("""COMPUTED_VALUE"""),44766.8596967013)</f>
        <v>44766.8597</v>
      </c>
      <c r="D2856" s="15">
        <f>IFERROR(__xludf.DUMMYFUNCTION("""COMPUTED_VALUE"""),1.004)</f>
        <v>1.004</v>
      </c>
      <c r="E2856" s="16">
        <f>IFERROR(__xludf.DUMMYFUNCTION("""COMPUTED_VALUE"""),68.0)</f>
        <v>68</v>
      </c>
      <c r="F2856" s="19" t="str">
        <f>IFERROR(__xludf.DUMMYFUNCTION("""COMPUTED_VALUE"""),"BLACK")</f>
        <v>BLACK</v>
      </c>
      <c r="G2856" s="20" t="str">
        <f>IFERROR(__xludf.DUMMYFUNCTION("""COMPUTED_VALUE"""),"Uncle Sams Cider (5/13/2022)")</f>
        <v>Uncle Sams Cider (5/13/2022)</v>
      </c>
      <c r="H2856" s="19"/>
    </row>
    <row r="2857">
      <c r="A2857" s="9"/>
      <c r="B2857" s="15"/>
      <c r="C2857" s="9">
        <f>IFERROR(__xludf.DUMMYFUNCTION("""COMPUTED_VALUE"""),44766.8492743055)</f>
        <v>44766.84927</v>
      </c>
      <c r="D2857" s="15">
        <f>IFERROR(__xludf.DUMMYFUNCTION("""COMPUTED_VALUE"""),1.004)</f>
        <v>1.004</v>
      </c>
      <c r="E2857" s="16">
        <f>IFERROR(__xludf.DUMMYFUNCTION("""COMPUTED_VALUE"""),68.0)</f>
        <v>68</v>
      </c>
      <c r="F2857" s="19" t="str">
        <f>IFERROR(__xludf.DUMMYFUNCTION("""COMPUTED_VALUE"""),"BLACK")</f>
        <v>BLACK</v>
      </c>
      <c r="G2857" s="20" t="str">
        <f>IFERROR(__xludf.DUMMYFUNCTION("""COMPUTED_VALUE"""),"Uncle Sams Cider (5/13/2022)")</f>
        <v>Uncle Sams Cider (5/13/2022)</v>
      </c>
      <c r="H2857" s="19"/>
    </row>
    <row r="2858">
      <c r="A2858" s="9"/>
      <c r="B2858" s="15"/>
      <c r="C2858" s="9">
        <f>IFERROR(__xludf.DUMMYFUNCTION("""COMPUTED_VALUE"""),44766.8388540972)</f>
        <v>44766.83885</v>
      </c>
      <c r="D2858" s="15">
        <f>IFERROR(__xludf.DUMMYFUNCTION("""COMPUTED_VALUE"""),1.004)</f>
        <v>1.004</v>
      </c>
      <c r="E2858" s="16">
        <f>IFERROR(__xludf.DUMMYFUNCTION("""COMPUTED_VALUE"""),68.0)</f>
        <v>68</v>
      </c>
      <c r="F2858" s="19" t="str">
        <f>IFERROR(__xludf.DUMMYFUNCTION("""COMPUTED_VALUE"""),"BLACK")</f>
        <v>BLACK</v>
      </c>
      <c r="G2858" s="20" t="str">
        <f>IFERROR(__xludf.DUMMYFUNCTION("""COMPUTED_VALUE"""),"Uncle Sams Cider (5/13/2022)")</f>
        <v>Uncle Sams Cider (5/13/2022)</v>
      </c>
      <c r="H2858" s="19"/>
    </row>
    <row r="2859">
      <c r="A2859" s="9"/>
      <c r="B2859" s="15"/>
      <c r="C2859" s="9">
        <f>IFERROR(__xludf.DUMMYFUNCTION("""COMPUTED_VALUE"""),44766.8284310648)</f>
        <v>44766.82843</v>
      </c>
      <c r="D2859" s="15">
        <f>IFERROR(__xludf.DUMMYFUNCTION("""COMPUTED_VALUE"""),1.004)</f>
        <v>1.004</v>
      </c>
      <c r="E2859" s="16">
        <f>IFERROR(__xludf.DUMMYFUNCTION("""COMPUTED_VALUE"""),68.0)</f>
        <v>68</v>
      </c>
      <c r="F2859" s="19" t="str">
        <f>IFERROR(__xludf.DUMMYFUNCTION("""COMPUTED_VALUE"""),"BLACK")</f>
        <v>BLACK</v>
      </c>
      <c r="G2859" s="20" t="str">
        <f>IFERROR(__xludf.DUMMYFUNCTION("""COMPUTED_VALUE"""),"Uncle Sams Cider (5/13/2022)")</f>
        <v>Uncle Sams Cider (5/13/2022)</v>
      </c>
      <c r="H2859" s="19"/>
    </row>
    <row r="2860">
      <c r="A2860" s="9"/>
      <c r="B2860" s="15"/>
      <c r="C2860" s="9">
        <f>IFERROR(__xludf.DUMMYFUNCTION("""COMPUTED_VALUE"""),44766.8180095601)</f>
        <v>44766.81801</v>
      </c>
      <c r="D2860" s="15">
        <f>IFERROR(__xludf.DUMMYFUNCTION("""COMPUTED_VALUE"""),1.004)</f>
        <v>1.004</v>
      </c>
      <c r="E2860" s="16">
        <f>IFERROR(__xludf.DUMMYFUNCTION("""COMPUTED_VALUE"""),68.0)</f>
        <v>68</v>
      </c>
      <c r="F2860" s="19" t="str">
        <f>IFERROR(__xludf.DUMMYFUNCTION("""COMPUTED_VALUE"""),"BLACK")</f>
        <v>BLACK</v>
      </c>
      <c r="G2860" s="20" t="str">
        <f>IFERROR(__xludf.DUMMYFUNCTION("""COMPUTED_VALUE"""),"Uncle Sams Cider (5/13/2022)")</f>
        <v>Uncle Sams Cider (5/13/2022)</v>
      </c>
      <c r="H2860" s="19"/>
    </row>
    <row r="2861">
      <c r="A2861" s="9"/>
      <c r="B2861" s="15"/>
      <c r="C2861" s="9">
        <f>IFERROR(__xludf.DUMMYFUNCTION("""COMPUTED_VALUE"""),44766.8075883449)</f>
        <v>44766.80759</v>
      </c>
      <c r="D2861" s="15">
        <f>IFERROR(__xludf.DUMMYFUNCTION("""COMPUTED_VALUE"""),1.004)</f>
        <v>1.004</v>
      </c>
      <c r="E2861" s="16">
        <f>IFERROR(__xludf.DUMMYFUNCTION("""COMPUTED_VALUE"""),68.0)</f>
        <v>68</v>
      </c>
      <c r="F2861" s="19" t="str">
        <f>IFERROR(__xludf.DUMMYFUNCTION("""COMPUTED_VALUE"""),"BLACK")</f>
        <v>BLACK</v>
      </c>
      <c r="G2861" s="20" t="str">
        <f>IFERROR(__xludf.DUMMYFUNCTION("""COMPUTED_VALUE"""),"Uncle Sams Cider (5/13/2022)")</f>
        <v>Uncle Sams Cider (5/13/2022)</v>
      </c>
      <c r="H2861" s="19"/>
    </row>
    <row r="2862">
      <c r="A2862" s="9"/>
      <c r="B2862" s="15"/>
      <c r="C2862" s="9">
        <f>IFERROR(__xludf.DUMMYFUNCTION("""COMPUTED_VALUE"""),44766.7971659259)</f>
        <v>44766.79717</v>
      </c>
      <c r="D2862" s="15">
        <f>IFERROR(__xludf.DUMMYFUNCTION("""COMPUTED_VALUE"""),1.004)</f>
        <v>1.004</v>
      </c>
      <c r="E2862" s="16">
        <f>IFERROR(__xludf.DUMMYFUNCTION("""COMPUTED_VALUE"""),68.0)</f>
        <v>68</v>
      </c>
      <c r="F2862" s="19" t="str">
        <f>IFERROR(__xludf.DUMMYFUNCTION("""COMPUTED_VALUE"""),"BLACK")</f>
        <v>BLACK</v>
      </c>
      <c r="G2862" s="20" t="str">
        <f>IFERROR(__xludf.DUMMYFUNCTION("""COMPUTED_VALUE"""),"Uncle Sams Cider (5/13/2022)")</f>
        <v>Uncle Sams Cider (5/13/2022)</v>
      </c>
      <c r="H2862" s="19"/>
    </row>
    <row r="2863">
      <c r="A2863" s="9"/>
      <c r="B2863" s="15"/>
      <c r="C2863" s="9">
        <f>IFERROR(__xludf.DUMMYFUNCTION("""COMPUTED_VALUE"""),44766.7867443055)</f>
        <v>44766.78674</v>
      </c>
      <c r="D2863" s="15">
        <f>IFERROR(__xludf.DUMMYFUNCTION("""COMPUTED_VALUE"""),1.004)</f>
        <v>1.004</v>
      </c>
      <c r="E2863" s="16">
        <f>IFERROR(__xludf.DUMMYFUNCTION("""COMPUTED_VALUE"""),68.0)</f>
        <v>68</v>
      </c>
      <c r="F2863" s="19" t="str">
        <f>IFERROR(__xludf.DUMMYFUNCTION("""COMPUTED_VALUE"""),"BLACK")</f>
        <v>BLACK</v>
      </c>
      <c r="G2863" s="20" t="str">
        <f>IFERROR(__xludf.DUMMYFUNCTION("""COMPUTED_VALUE"""),"Uncle Sams Cider (5/13/2022)")</f>
        <v>Uncle Sams Cider (5/13/2022)</v>
      </c>
      <c r="H2863" s="19"/>
    </row>
    <row r="2864">
      <c r="A2864" s="9"/>
      <c r="B2864" s="15"/>
      <c r="C2864" s="9">
        <f>IFERROR(__xludf.DUMMYFUNCTION("""COMPUTED_VALUE"""),44766.7763243865)</f>
        <v>44766.77632</v>
      </c>
      <c r="D2864" s="15">
        <f>IFERROR(__xludf.DUMMYFUNCTION("""COMPUTED_VALUE"""),1.004)</f>
        <v>1.004</v>
      </c>
      <c r="E2864" s="16">
        <f>IFERROR(__xludf.DUMMYFUNCTION("""COMPUTED_VALUE"""),68.0)</f>
        <v>68</v>
      </c>
      <c r="F2864" s="19" t="str">
        <f>IFERROR(__xludf.DUMMYFUNCTION("""COMPUTED_VALUE"""),"BLACK")</f>
        <v>BLACK</v>
      </c>
      <c r="G2864" s="20" t="str">
        <f>IFERROR(__xludf.DUMMYFUNCTION("""COMPUTED_VALUE"""),"Uncle Sams Cider (5/13/2022)")</f>
        <v>Uncle Sams Cider (5/13/2022)</v>
      </c>
      <c r="H2864" s="19"/>
    </row>
    <row r="2865">
      <c r="A2865" s="9"/>
      <c r="B2865" s="15"/>
      <c r="C2865" s="9">
        <f>IFERROR(__xludf.DUMMYFUNCTION("""COMPUTED_VALUE"""),44766.7659032754)</f>
        <v>44766.7659</v>
      </c>
      <c r="D2865" s="15">
        <f>IFERROR(__xludf.DUMMYFUNCTION("""COMPUTED_VALUE"""),1.004)</f>
        <v>1.004</v>
      </c>
      <c r="E2865" s="16">
        <f>IFERROR(__xludf.DUMMYFUNCTION("""COMPUTED_VALUE"""),68.0)</f>
        <v>68</v>
      </c>
      <c r="F2865" s="19" t="str">
        <f>IFERROR(__xludf.DUMMYFUNCTION("""COMPUTED_VALUE"""),"BLACK")</f>
        <v>BLACK</v>
      </c>
      <c r="G2865" s="20" t="str">
        <f>IFERROR(__xludf.DUMMYFUNCTION("""COMPUTED_VALUE"""),"Uncle Sams Cider (5/13/2022)")</f>
        <v>Uncle Sams Cider (5/13/2022)</v>
      </c>
      <c r="H2865" s="19"/>
    </row>
    <row r="2866">
      <c r="A2866" s="9"/>
      <c r="B2866" s="15"/>
      <c r="C2866" s="9">
        <f>IFERROR(__xludf.DUMMYFUNCTION("""COMPUTED_VALUE"""),44766.7554700925)</f>
        <v>44766.75547</v>
      </c>
      <c r="D2866" s="15">
        <f>IFERROR(__xludf.DUMMYFUNCTION("""COMPUTED_VALUE"""),1.004)</f>
        <v>1.004</v>
      </c>
      <c r="E2866" s="16">
        <f>IFERROR(__xludf.DUMMYFUNCTION("""COMPUTED_VALUE"""),68.0)</f>
        <v>68</v>
      </c>
      <c r="F2866" s="19" t="str">
        <f>IFERROR(__xludf.DUMMYFUNCTION("""COMPUTED_VALUE"""),"BLACK")</f>
        <v>BLACK</v>
      </c>
      <c r="G2866" s="20" t="str">
        <f>IFERROR(__xludf.DUMMYFUNCTION("""COMPUTED_VALUE"""),"Uncle Sams Cider (5/13/2022)")</f>
        <v>Uncle Sams Cider (5/13/2022)</v>
      </c>
      <c r="H2866" s="19"/>
    </row>
    <row r="2867">
      <c r="A2867" s="9"/>
      <c r="B2867" s="15"/>
      <c r="C2867" s="9">
        <f>IFERROR(__xludf.DUMMYFUNCTION("""COMPUTED_VALUE"""),44766.7450375578)</f>
        <v>44766.74504</v>
      </c>
      <c r="D2867" s="15">
        <f>IFERROR(__xludf.DUMMYFUNCTION("""COMPUTED_VALUE"""),1.004)</f>
        <v>1.004</v>
      </c>
      <c r="E2867" s="16">
        <f>IFERROR(__xludf.DUMMYFUNCTION("""COMPUTED_VALUE"""),68.0)</f>
        <v>68</v>
      </c>
      <c r="F2867" s="19" t="str">
        <f>IFERROR(__xludf.DUMMYFUNCTION("""COMPUTED_VALUE"""),"BLACK")</f>
        <v>BLACK</v>
      </c>
      <c r="G2867" s="20" t="str">
        <f>IFERROR(__xludf.DUMMYFUNCTION("""COMPUTED_VALUE"""),"Uncle Sams Cider (5/13/2022)")</f>
        <v>Uncle Sams Cider (5/13/2022)</v>
      </c>
      <c r="H2867" s="19"/>
    </row>
    <row r="2868">
      <c r="A2868" s="9"/>
      <c r="B2868" s="15"/>
      <c r="C2868" s="9">
        <f>IFERROR(__xludf.DUMMYFUNCTION("""COMPUTED_VALUE"""),44766.7346155092)</f>
        <v>44766.73462</v>
      </c>
      <c r="D2868" s="15">
        <f>IFERROR(__xludf.DUMMYFUNCTION("""COMPUTED_VALUE"""),1.004)</f>
        <v>1.004</v>
      </c>
      <c r="E2868" s="16">
        <f>IFERROR(__xludf.DUMMYFUNCTION("""COMPUTED_VALUE"""),68.0)</f>
        <v>68</v>
      </c>
      <c r="F2868" s="19" t="str">
        <f>IFERROR(__xludf.DUMMYFUNCTION("""COMPUTED_VALUE"""),"BLACK")</f>
        <v>BLACK</v>
      </c>
      <c r="G2868" s="20" t="str">
        <f>IFERROR(__xludf.DUMMYFUNCTION("""COMPUTED_VALUE"""),"Uncle Sams Cider (5/13/2022)")</f>
        <v>Uncle Sams Cider (5/13/2022)</v>
      </c>
      <c r="H2868" s="19"/>
    </row>
    <row r="2869">
      <c r="A2869" s="9"/>
      <c r="B2869" s="15"/>
      <c r="C2869" s="9">
        <f>IFERROR(__xludf.DUMMYFUNCTION("""COMPUTED_VALUE"""),44766.7241956944)</f>
        <v>44766.7242</v>
      </c>
      <c r="D2869" s="15">
        <f>IFERROR(__xludf.DUMMYFUNCTION("""COMPUTED_VALUE"""),1.004)</f>
        <v>1.004</v>
      </c>
      <c r="E2869" s="16">
        <f>IFERROR(__xludf.DUMMYFUNCTION("""COMPUTED_VALUE"""),68.0)</f>
        <v>68</v>
      </c>
      <c r="F2869" s="19" t="str">
        <f>IFERROR(__xludf.DUMMYFUNCTION("""COMPUTED_VALUE"""),"BLACK")</f>
        <v>BLACK</v>
      </c>
      <c r="G2869" s="20" t="str">
        <f>IFERROR(__xludf.DUMMYFUNCTION("""COMPUTED_VALUE"""),"Uncle Sams Cider (5/13/2022)")</f>
        <v>Uncle Sams Cider (5/13/2022)</v>
      </c>
      <c r="H2869" s="19"/>
    </row>
    <row r="2870">
      <c r="A2870" s="9"/>
      <c r="B2870" s="15"/>
      <c r="C2870" s="9">
        <f>IFERROR(__xludf.DUMMYFUNCTION("""COMPUTED_VALUE"""),44766.71377375)</f>
        <v>44766.71377</v>
      </c>
      <c r="D2870" s="15">
        <f>IFERROR(__xludf.DUMMYFUNCTION("""COMPUTED_VALUE"""),1.004)</f>
        <v>1.004</v>
      </c>
      <c r="E2870" s="16">
        <f>IFERROR(__xludf.DUMMYFUNCTION("""COMPUTED_VALUE"""),68.0)</f>
        <v>68</v>
      </c>
      <c r="F2870" s="19" t="str">
        <f>IFERROR(__xludf.DUMMYFUNCTION("""COMPUTED_VALUE"""),"BLACK")</f>
        <v>BLACK</v>
      </c>
      <c r="G2870" s="20" t="str">
        <f>IFERROR(__xludf.DUMMYFUNCTION("""COMPUTED_VALUE"""),"Uncle Sams Cider (5/13/2022)")</f>
        <v>Uncle Sams Cider (5/13/2022)</v>
      </c>
      <c r="H2870" s="19"/>
    </row>
    <row r="2871">
      <c r="A2871" s="9"/>
      <c r="B2871" s="15"/>
      <c r="C2871" s="9">
        <f>IFERROR(__xludf.DUMMYFUNCTION("""COMPUTED_VALUE"""),44766.7033409953)</f>
        <v>44766.70334</v>
      </c>
      <c r="D2871" s="15">
        <f>IFERROR(__xludf.DUMMYFUNCTION("""COMPUTED_VALUE"""),1.004)</f>
        <v>1.004</v>
      </c>
      <c r="E2871" s="16">
        <f>IFERROR(__xludf.DUMMYFUNCTION("""COMPUTED_VALUE"""),68.0)</f>
        <v>68</v>
      </c>
      <c r="F2871" s="19" t="str">
        <f>IFERROR(__xludf.DUMMYFUNCTION("""COMPUTED_VALUE"""),"BLACK")</f>
        <v>BLACK</v>
      </c>
      <c r="G2871" s="20" t="str">
        <f>IFERROR(__xludf.DUMMYFUNCTION("""COMPUTED_VALUE"""),"Uncle Sams Cider (5/13/2022)")</f>
        <v>Uncle Sams Cider (5/13/2022)</v>
      </c>
      <c r="H2871" s="19"/>
    </row>
    <row r="2872">
      <c r="A2872" s="9"/>
      <c r="B2872" s="15"/>
      <c r="C2872" s="9">
        <f>IFERROR(__xludf.DUMMYFUNCTION("""COMPUTED_VALUE"""),44766.6929183101)</f>
        <v>44766.69292</v>
      </c>
      <c r="D2872" s="15">
        <f>IFERROR(__xludf.DUMMYFUNCTION("""COMPUTED_VALUE"""),1.004)</f>
        <v>1.004</v>
      </c>
      <c r="E2872" s="16">
        <f>IFERROR(__xludf.DUMMYFUNCTION("""COMPUTED_VALUE"""),68.0)</f>
        <v>68</v>
      </c>
      <c r="F2872" s="19" t="str">
        <f>IFERROR(__xludf.DUMMYFUNCTION("""COMPUTED_VALUE"""),"BLACK")</f>
        <v>BLACK</v>
      </c>
      <c r="G2872" s="20" t="str">
        <f>IFERROR(__xludf.DUMMYFUNCTION("""COMPUTED_VALUE"""),"Uncle Sams Cider (5/13/2022)")</f>
        <v>Uncle Sams Cider (5/13/2022)</v>
      </c>
      <c r="H2872" s="19"/>
    </row>
    <row r="2873">
      <c r="A2873" s="9"/>
      <c r="B2873" s="15"/>
      <c r="C2873" s="9">
        <f>IFERROR(__xludf.DUMMYFUNCTION("""COMPUTED_VALUE"""),44766.6824975)</f>
        <v>44766.6825</v>
      </c>
      <c r="D2873" s="15">
        <f>IFERROR(__xludf.DUMMYFUNCTION("""COMPUTED_VALUE"""),1.004)</f>
        <v>1.004</v>
      </c>
      <c r="E2873" s="16">
        <f>IFERROR(__xludf.DUMMYFUNCTION("""COMPUTED_VALUE"""),68.0)</f>
        <v>68</v>
      </c>
      <c r="F2873" s="19" t="str">
        <f>IFERROR(__xludf.DUMMYFUNCTION("""COMPUTED_VALUE"""),"BLACK")</f>
        <v>BLACK</v>
      </c>
      <c r="G2873" s="20" t="str">
        <f>IFERROR(__xludf.DUMMYFUNCTION("""COMPUTED_VALUE"""),"Uncle Sams Cider (5/13/2022)")</f>
        <v>Uncle Sams Cider (5/13/2022)</v>
      </c>
      <c r="H2873" s="19"/>
    </row>
    <row r="2874">
      <c r="A2874" s="9"/>
      <c r="B2874" s="15"/>
      <c r="C2874" s="9">
        <f>IFERROR(__xludf.DUMMYFUNCTION("""COMPUTED_VALUE"""),44766.6720771296)</f>
        <v>44766.67208</v>
      </c>
      <c r="D2874" s="15">
        <f>IFERROR(__xludf.DUMMYFUNCTION("""COMPUTED_VALUE"""),1.004)</f>
        <v>1.004</v>
      </c>
      <c r="E2874" s="16">
        <f>IFERROR(__xludf.DUMMYFUNCTION("""COMPUTED_VALUE"""),68.0)</f>
        <v>68</v>
      </c>
      <c r="F2874" s="19" t="str">
        <f>IFERROR(__xludf.DUMMYFUNCTION("""COMPUTED_VALUE"""),"BLACK")</f>
        <v>BLACK</v>
      </c>
      <c r="G2874" s="20" t="str">
        <f>IFERROR(__xludf.DUMMYFUNCTION("""COMPUTED_VALUE"""),"Uncle Sams Cider (5/13/2022)")</f>
        <v>Uncle Sams Cider (5/13/2022)</v>
      </c>
      <c r="H2874" s="19"/>
    </row>
    <row r="2875">
      <c r="A2875" s="9"/>
      <c r="B2875" s="15"/>
      <c r="C2875" s="9">
        <f>IFERROR(__xludf.DUMMYFUNCTION("""COMPUTED_VALUE"""),44766.6616543402)</f>
        <v>44766.66165</v>
      </c>
      <c r="D2875" s="15">
        <f>IFERROR(__xludf.DUMMYFUNCTION("""COMPUTED_VALUE"""),1.004)</f>
        <v>1.004</v>
      </c>
      <c r="E2875" s="16">
        <f>IFERROR(__xludf.DUMMYFUNCTION("""COMPUTED_VALUE"""),68.0)</f>
        <v>68</v>
      </c>
      <c r="F2875" s="19" t="str">
        <f>IFERROR(__xludf.DUMMYFUNCTION("""COMPUTED_VALUE"""),"BLACK")</f>
        <v>BLACK</v>
      </c>
      <c r="G2875" s="20" t="str">
        <f>IFERROR(__xludf.DUMMYFUNCTION("""COMPUTED_VALUE"""),"Uncle Sams Cider (5/13/2022)")</f>
        <v>Uncle Sams Cider (5/13/2022)</v>
      </c>
      <c r="H2875" s="19"/>
    </row>
    <row r="2876">
      <c r="A2876" s="9"/>
      <c r="B2876" s="15"/>
      <c r="C2876" s="9">
        <f>IFERROR(__xludf.DUMMYFUNCTION("""COMPUTED_VALUE"""),44766.6512330902)</f>
        <v>44766.65123</v>
      </c>
      <c r="D2876" s="15">
        <f>IFERROR(__xludf.DUMMYFUNCTION("""COMPUTED_VALUE"""),1.004)</f>
        <v>1.004</v>
      </c>
      <c r="E2876" s="16">
        <f>IFERROR(__xludf.DUMMYFUNCTION("""COMPUTED_VALUE"""),68.0)</f>
        <v>68</v>
      </c>
      <c r="F2876" s="19" t="str">
        <f>IFERROR(__xludf.DUMMYFUNCTION("""COMPUTED_VALUE"""),"BLACK")</f>
        <v>BLACK</v>
      </c>
      <c r="G2876" s="20" t="str">
        <f>IFERROR(__xludf.DUMMYFUNCTION("""COMPUTED_VALUE"""),"Uncle Sams Cider (5/13/2022)")</f>
        <v>Uncle Sams Cider (5/13/2022)</v>
      </c>
      <c r="H2876" s="19"/>
    </row>
    <row r="2877">
      <c r="A2877" s="9"/>
      <c r="B2877" s="15"/>
      <c r="C2877" s="9">
        <f>IFERROR(__xludf.DUMMYFUNCTION("""COMPUTED_VALUE"""),44766.6408003703)</f>
        <v>44766.6408</v>
      </c>
      <c r="D2877" s="15">
        <f>IFERROR(__xludf.DUMMYFUNCTION("""COMPUTED_VALUE"""),1.004)</f>
        <v>1.004</v>
      </c>
      <c r="E2877" s="16">
        <f>IFERROR(__xludf.DUMMYFUNCTION("""COMPUTED_VALUE"""),68.0)</f>
        <v>68</v>
      </c>
      <c r="F2877" s="19" t="str">
        <f>IFERROR(__xludf.DUMMYFUNCTION("""COMPUTED_VALUE"""),"BLACK")</f>
        <v>BLACK</v>
      </c>
      <c r="G2877" s="20" t="str">
        <f>IFERROR(__xludf.DUMMYFUNCTION("""COMPUTED_VALUE"""),"Uncle Sams Cider (5/13/2022)")</f>
        <v>Uncle Sams Cider (5/13/2022)</v>
      </c>
      <c r="H2877" s="19"/>
    </row>
    <row r="2878">
      <c r="A2878" s="9"/>
      <c r="B2878" s="15"/>
      <c r="C2878" s="9">
        <f>IFERROR(__xludf.DUMMYFUNCTION("""COMPUTED_VALUE"""),44766.6303799652)</f>
        <v>44766.63038</v>
      </c>
      <c r="D2878" s="15">
        <f>IFERROR(__xludf.DUMMYFUNCTION("""COMPUTED_VALUE"""),1.004)</f>
        <v>1.004</v>
      </c>
      <c r="E2878" s="16">
        <f>IFERROR(__xludf.DUMMYFUNCTION("""COMPUTED_VALUE"""),68.0)</f>
        <v>68</v>
      </c>
      <c r="F2878" s="19" t="str">
        <f>IFERROR(__xludf.DUMMYFUNCTION("""COMPUTED_VALUE"""),"BLACK")</f>
        <v>BLACK</v>
      </c>
      <c r="G2878" s="20" t="str">
        <f>IFERROR(__xludf.DUMMYFUNCTION("""COMPUTED_VALUE"""),"Uncle Sams Cider (5/13/2022)")</f>
        <v>Uncle Sams Cider (5/13/2022)</v>
      </c>
      <c r="H2878" s="19"/>
    </row>
    <row r="2879">
      <c r="A2879" s="9"/>
      <c r="B2879" s="15"/>
      <c r="C2879" s="9">
        <f>IFERROR(__xludf.DUMMYFUNCTION("""COMPUTED_VALUE"""),44766.6199574768)</f>
        <v>44766.61996</v>
      </c>
      <c r="D2879" s="15">
        <f>IFERROR(__xludf.DUMMYFUNCTION("""COMPUTED_VALUE"""),1.004)</f>
        <v>1.004</v>
      </c>
      <c r="E2879" s="16">
        <f>IFERROR(__xludf.DUMMYFUNCTION("""COMPUTED_VALUE"""),68.0)</f>
        <v>68</v>
      </c>
      <c r="F2879" s="19" t="str">
        <f>IFERROR(__xludf.DUMMYFUNCTION("""COMPUTED_VALUE"""),"BLACK")</f>
        <v>BLACK</v>
      </c>
      <c r="G2879" s="20" t="str">
        <f>IFERROR(__xludf.DUMMYFUNCTION("""COMPUTED_VALUE"""),"Uncle Sams Cider (5/13/2022)")</f>
        <v>Uncle Sams Cider (5/13/2022)</v>
      </c>
      <c r="H2879" s="19"/>
    </row>
    <row r="2880">
      <c r="A2880" s="9"/>
      <c r="B2880" s="15"/>
      <c r="C2880" s="9">
        <f>IFERROR(__xludf.DUMMYFUNCTION("""COMPUTED_VALUE"""),44766.6095361805)</f>
        <v>44766.60954</v>
      </c>
      <c r="D2880" s="15">
        <f>IFERROR(__xludf.DUMMYFUNCTION("""COMPUTED_VALUE"""),1.004)</f>
        <v>1.004</v>
      </c>
      <c r="E2880" s="16">
        <f>IFERROR(__xludf.DUMMYFUNCTION("""COMPUTED_VALUE"""),68.0)</f>
        <v>68</v>
      </c>
      <c r="F2880" s="19" t="str">
        <f>IFERROR(__xludf.DUMMYFUNCTION("""COMPUTED_VALUE"""),"BLACK")</f>
        <v>BLACK</v>
      </c>
      <c r="G2880" s="20" t="str">
        <f>IFERROR(__xludf.DUMMYFUNCTION("""COMPUTED_VALUE"""),"Uncle Sams Cider (5/13/2022)")</f>
        <v>Uncle Sams Cider (5/13/2022)</v>
      </c>
      <c r="H2880" s="19"/>
    </row>
    <row r="2881">
      <c r="A2881" s="9"/>
      <c r="B2881" s="15"/>
      <c r="C2881" s="9">
        <f>IFERROR(__xludf.DUMMYFUNCTION("""COMPUTED_VALUE"""),44766.5991139814)</f>
        <v>44766.59911</v>
      </c>
      <c r="D2881" s="15">
        <f>IFERROR(__xludf.DUMMYFUNCTION("""COMPUTED_VALUE"""),1.005)</f>
        <v>1.005</v>
      </c>
      <c r="E2881" s="16">
        <f>IFERROR(__xludf.DUMMYFUNCTION("""COMPUTED_VALUE"""),68.0)</f>
        <v>68</v>
      </c>
      <c r="F2881" s="19" t="str">
        <f>IFERROR(__xludf.DUMMYFUNCTION("""COMPUTED_VALUE"""),"BLACK")</f>
        <v>BLACK</v>
      </c>
      <c r="G2881" s="20" t="str">
        <f>IFERROR(__xludf.DUMMYFUNCTION("""COMPUTED_VALUE"""),"Uncle Sams Cider (5/13/2022)")</f>
        <v>Uncle Sams Cider (5/13/2022)</v>
      </c>
      <c r="H2881" s="19"/>
    </row>
    <row r="2882">
      <c r="A2882" s="9"/>
      <c r="B2882" s="15"/>
      <c r="C2882" s="9">
        <f>IFERROR(__xludf.DUMMYFUNCTION("""COMPUTED_VALUE"""),44766.5886924652)</f>
        <v>44766.58869</v>
      </c>
      <c r="D2882" s="15">
        <f>IFERROR(__xludf.DUMMYFUNCTION("""COMPUTED_VALUE"""),1.004)</f>
        <v>1.004</v>
      </c>
      <c r="E2882" s="16">
        <f>IFERROR(__xludf.DUMMYFUNCTION("""COMPUTED_VALUE"""),68.0)</f>
        <v>68</v>
      </c>
      <c r="F2882" s="19" t="str">
        <f>IFERROR(__xludf.DUMMYFUNCTION("""COMPUTED_VALUE"""),"BLACK")</f>
        <v>BLACK</v>
      </c>
      <c r="G2882" s="20" t="str">
        <f>IFERROR(__xludf.DUMMYFUNCTION("""COMPUTED_VALUE"""),"Uncle Sams Cider (5/13/2022)")</f>
        <v>Uncle Sams Cider (5/13/2022)</v>
      </c>
      <c r="H2882" s="19"/>
    </row>
    <row r="2883">
      <c r="A2883" s="9"/>
      <c r="B2883" s="15"/>
      <c r="C2883" s="9">
        <f>IFERROR(__xludf.DUMMYFUNCTION("""COMPUTED_VALUE"""),44766.578270787)</f>
        <v>44766.57827</v>
      </c>
      <c r="D2883" s="15">
        <f>IFERROR(__xludf.DUMMYFUNCTION("""COMPUTED_VALUE"""),1.004)</f>
        <v>1.004</v>
      </c>
      <c r="E2883" s="16">
        <f>IFERROR(__xludf.DUMMYFUNCTION("""COMPUTED_VALUE"""),68.0)</f>
        <v>68</v>
      </c>
      <c r="F2883" s="19" t="str">
        <f>IFERROR(__xludf.DUMMYFUNCTION("""COMPUTED_VALUE"""),"BLACK")</f>
        <v>BLACK</v>
      </c>
      <c r="G2883" s="20" t="str">
        <f>IFERROR(__xludf.DUMMYFUNCTION("""COMPUTED_VALUE"""),"Uncle Sams Cider (5/13/2022)")</f>
        <v>Uncle Sams Cider (5/13/2022)</v>
      </c>
      <c r="H2883" s="19"/>
    </row>
    <row r="2884">
      <c r="A2884" s="9"/>
      <c r="B2884" s="15"/>
      <c r="C2884" s="9">
        <f>IFERROR(__xludf.DUMMYFUNCTION("""COMPUTED_VALUE"""),44766.5678479282)</f>
        <v>44766.56785</v>
      </c>
      <c r="D2884" s="15">
        <f>IFERROR(__xludf.DUMMYFUNCTION("""COMPUTED_VALUE"""),1.004)</f>
        <v>1.004</v>
      </c>
      <c r="E2884" s="16">
        <f>IFERROR(__xludf.DUMMYFUNCTION("""COMPUTED_VALUE"""),68.0)</f>
        <v>68</v>
      </c>
      <c r="F2884" s="19" t="str">
        <f>IFERROR(__xludf.DUMMYFUNCTION("""COMPUTED_VALUE"""),"BLACK")</f>
        <v>BLACK</v>
      </c>
      <c r="G2884" s="20" t="str">
        <f>IFERROR(__xludf.DUMMYFUNCTION("""COMPUTED_VALUE"""),"Uncle Sams Cider (5/13/2022)")</f>
        <v>Uncle Sams Cider (5/13/2022)</v>
      </c>
      <c r="H2884" s="19"/>
    </row>
    <row r="2885">
      <c r="A2885" s="9"/>
      <c r="B2885" s="15"/>
      <c r="C2885" s="9">
        <f>IFERROR(__xludf.DUMMYFUNCTION("""COMPUTED_VALUE"""),44766.5574262963)</f>
        <v>44766.55743</v>
      </c>
      <c r="D2885" s="15">
        <f>IFERROR(__xludf.DUMMYFUNCTION("""COMPUTED_VALUE"""),1.004)</f>
        <v>1.004</v>
      </c>
      <c r="E2885" s="16">
        <f>IFERROR(__xludf.DUMMYFUNCTION("""COMPUTED_VALUE"""),68.0)</f>
        <v>68</v>
      </c>
      <c r="F2885" s="19" t="str">
        <f>IFERROR(__xludf.DUMMYFUNCTION("""COMPUTED_VALUE"""),"BLACK")</f>
        <v>BLACK</v>
      </c>
      <c r="G2885" s="20" t="str">
        <f>IFERROR(__xludf.DUMMYFUNCTION("""COMPUTED_VALUE"""),"Uncle Sams Cider (5/13/2022)")</f>
        <v>Uncle Sams Cider (5/13/2022)</v>
      </c>
      <c r="H2885" s="19"/>
    </row>
    <row r="2886">
      <c r="A2886" s="9"/>
      <c r="B2886" s="15"/>
      <c r="C2886" s="9">
        <f>IFERROR(__xludf.DUMMYFUNCTION("""COMPUTED_VALUE"""),44766.5470043287)</f>
        <v>44766.547</v>
      </c>
      <c r="D2886" s="15">
        <f>IFERROR(__xludf.DUMMYFUNCTION("""COMPUTED_VALUE"""),1.004)</f>
        <v>1.004</v>
      </c>
      <c r="E2886" s="16">
        <f>IFERROR(__xludf.DUMMYFUNCTION("""COMPUTED_VALUE"""),68.0)</f>
        <v>68</v>
      </c>
      <c r="F2886" s="19" t="str">
        <f>IFERROR(__xludf.DUMMYFUNCTION("""COMPUTED_VALUE"""),"BLACK")</f>
        <v>BLACK</v>
      </c>
      <c r="G2886" s="20" t="str">
        <f>IFERROR(__xludf.DUMMYFUNCTION("""COMPUTED_VALUE"""),"Uncle Sams Cider (5/13/2022)")</f>
        <v>Uncle Sams Cider (5/13/2022)</v>
      </c>
      <c r="H2886" s="19"/>
    </row>
    <row r="2887">
      <c r="A2887" s="9"/>
      <c r="B2887" s="15"/>
      <c r="C2887" s="9">
        <f>IFERROR(__xludf.DUMMYFUNCTION("""COMPUTED_VALUE"""),44766.536584155)</f>
        <v>44766.53658</v>
      </c>
      <c r="D2887" s="15">
        <f>IFERROR(__xludf.DUMMYFUNCTION("""COMPUTED_VALUE"""),1.004)</f>
        <v>1.004</v>
      </c>
      <c r="E2887" s="16">
        <f>IFERROR(__xludf.DUMMYFUNCTION("""COMPUTED_VALUE"""),68.0)</f>
        <v>68</v>
      </c>
      <c r="F2887" s="19" t="str">
        <f>IFERROR(__xludf.DUMMYFUNCTION("""COMPUTED_VALUE"""),"BLACK")</f>
        <v>BLACK</v>
      </c>
      <c r="G2887" s="20" t="str">
        <f>IFERROR(__xludf.DUMMYFUNCTION("""COMPUTED_VALUE"""),"Uncle Sams Cider (5/13/2022)")</f>
        <v>Uncle Sams Cider (5/13/2022)</v>
      </c>
      <c r="H2887" s="19"/>
    </row>
    <row r="2888">
      <c r="A2888" s="9"/>
      <c r="B2888" s="15"/>
      <c r="C2888" s="9">
        <f>IFERROR(__xludf.DUMMYFUNCTION("""COMPUTED_VALUE"""),44766.5261638194)</f>
        <v>44766.52616</v>
      </c>
      <c r="D2888" s="15">
        <f>IFERROR(__xludf.DUMMYFUNCTION("""COMPUTED_VALUE"""),1.004)</f>
        <v>1.004</v>
      </c>
      <c r="E2888" s="16">
        <f>IFERROR(__xludf.DUMMYFUNCTION("""COMPUTED_VALUE"""),68.0)</f>
        <v>68</v>
      </c>
      <c r="F2888" s="19" t="str">
        <f>IFERROR(__xludf.DUMMYFUNCTION("""COMPUTED_VALUE"""),"BLACK")</f>
        <v>BLACK</v>
      </c>
      <c r="G2888" s="20" t="str">
        <f>IFERROR(__xludf.DUMMYFUNCTION("""COMPUTED_VALUE"""),"Uncle Sams Cider (5/13/2022)")</f>
        <v>Uncle Sams Cider (5/13/2022)</v>
      </c>
      <c r="H2888" s="19"/>
    </row>
    <row r="2889">
      <c r="A2889" s="9"/>
      <c r="B2889" s="15"/>
      <c r="C2889" s="9">
        <f>IFERROR(__xludf.DUMMYFUNCTION("""COMPUTED_VALUE"""),44766.5157416551)</f>
        <v>44766.51574</v>
      </c>
      <c r="D2889" s="15">
        <f>IFERROR(__xludf.DUMMYFUNCTION("""COMPUTED_VALUE"""),1.004)</f>
        <v>1.004</v>
      </c>
      <c r="E2889" s="16">
        <f>IFERROR(__xludf.DUMMYFUNCTION("""COMPUTED_VALUE"""),68.0)</f>
        <v>68</v>
      </c>
      <c r="F2889" s="19" t="str">
        <f>IFERROR(__xludf.DUMMYFUNCTION("""COMPUTED_VALUE"""),"BLACK")</f>
        <v>BLACK</v>
      </c>
      <c r="G2889" s="20" t="str">
        <f>IFERROR(__xludf.DUMMYFUNCTION("""COMPUTED_VALUE"""),"Uncle Sams Cider (5/13/2022)")</f>
        <v>Uncle Sams Cider (5/13/2022)</v>
      </c>
      <c r="H2889" s="19"/>
    </row>
    <row r="2890">
      <c r="A2890" s="9"/>
      <c r="B2890" s="15"/>
      <c r="C2890" s="9">
        <f>IFERROR(__xludf.DUMMYFUNCTION("""COMPUTED_VALUE"""),44766.5053202893)</f>
        <v>44766.50532</v>
      </c>
      <c r="D2890" s="15">
        <f>IFERROR(__xludf.DUMMYFUNCTION("""COMPUTED_VALUE"""),1.004)</f>
        <v>1.004</v>
      </c>
      <c r="E2890" s="16">
        <f>IFERROR(__xludf.DUMMYFUNCTION("""COMPUTED_VALUE"""),68.0)</f>
        <v>68</v>
      </c>
      <c r="F2890" s="19" t="str">
        <f>IFERROR(__xludf.DUMMYFUNCTION("""COMPUTED_VALUE"""),"BLACK")</f>
        <v>BLACK</v>
      </c>
      <c r="G2890" s="20" t="str">
        <f>IFERROR(__xludf.DUMMYFUNCTION("""COMPUTED_VALUE"""),"Uncle Sams Cider (5/13/2022)")</f>
        <v>Uncle Sams Cider (5/13/2022)</v>
      </c>
      <c r="H2890" s="19"/>
    </row>
    <row r="2891">
      <c r="A2891" s="9"/>
      <c r="B2891" s="15"/>
      <c r="C2891" s="9">
        <f>IFERROR(__xludf.DUMMYFUNCTION("""COMPUTED_VALUE"""),44766.4948997916)</f>
        <v>44766.4949</v>
      </c>
      <c r="D2891" s="15">
        <f>IFERROR(__xludf.DUMMYFUNCTION("""COMPUTED_VALUE"""),1.004)</f>
        <v>1.004</v>
      </c>
      <c r="E2891" s="16">
        <f>IFERROR(__xludf.DUMMYFUNCTION("""COMPUTED_VALUE"""),68.0)</f>
        <v>68</v>
      </c>
      <c r="F2891" s="19" t="str">
        <f>IFERROR(__xludf.DUMMYFUNCTION("""COMPUTED_VALUE"""),"BLACK")</f>
        <v>BLACK</v>
      </c>
      <c r="G2891" s="20" t="str">
        <f>IFERROR(__xludf.DUMMYFUNCTION("""COMPUTED_VALUE"""),"Uncle Sams Cider (5/13/2022)")</f>
        <v>Uncle Sams Cider (5/13/2022)</v>
      </c>
      <c r="H2891" s="19"/>
    </row>
    <row r="2892">
      <c r="A2892" s="9"/>
      <c r="B2892" s="15"/>
      <c r="C2892" s="9">
        <f>IFERROR(__xludf.DUMMYFUNCTION("""COMPUTED_VALUE"""),44766.4844783333)</f>
        <v>44766.48448</v>
      </c>
      <c r="D2892" s="15">
        <f>IFERROR(__xludf.DUMMYFUNCTION("""COMPUTED_VALUE"""),1.004)</f>
        <v>1.004</v>
      </c>
      <c r="E2892" s="16">
        <f>IFERROR(__xludf.DUMMYFUNCTION("""COMPUTED_VALUE"""),67.0)</f>
        <v>67</v>
      </c>
      <c r="F2892" s="19" t="str">
        <f>IFERROR(__xludf.DUMMYFUNCTION("""COMPUTED_VALUE"""),"BLACK")</f>
        <v>BLACK</v>
      </c>
      <c r="G2892" s="20" t="str">
        <f>IFERROR(__xludf.DUMMYFUNCTION("""COMPUTED_VALUE"""),"Uncle Sams Cider (5/13/2022)")</f>
        <v>Uncle Sams Cider (5/13/2022)</v>
      </c>
      <c r="H2892" s="19"/>
    </row>
    <row r="2893">
      <c r="A2893" s="9"/>
      <c r="B2893" s="15"/>
      <c r="C2893" s="9">
        <f>IFERROR(__xludf.DUMMYFUNCTION("""COMPUTED_VALUE"""),44766.474059074)</f>
        <v>44766.47406</v>
      </c>
      <c r="D2893" s="15">
        <f>IFERROR(__xludf.DUMMYFUNCTION("""COMPUTED_VALUE"""),1.004)</f>
        <v>1.004</v>
      </c>
      <c r="E2893" s="16">
        <f>IFERROR(__xludf.DUMMYFUNCTION("""COMPUTED_VALUE"""),67.0)</f>
        <v>67</v>
      </c>
      <c r="F2893" s="19" t="str">
        <f>IFERROR(__xludf.DUMMYFUNCTION("""COMPUTED_VALUE"""),"BLACK")</f>
        <v>BLACK</v>
      </c>
      <c r="G2893" s="20" t="str">
        <f>IFERROR(__xludf.DUMMYFUNCTION("""COMPUTED_VALUE"""),"Uncle Sams Cider (5/13/2022)")</f>
        <v>Uncle Sams Cider (5/13/2022)</v>
      </c>
      <c r="H2893" s="19"/>
    </row>
    <row r="2894">
      <c r="A2894" s="9"/>
      <c r="B2894" s="15"/>
      <c r="C2894" s="9">
        <f>IFERROR(__xludf.DUMMYFUNCTION("""COMPUTED_VALUE"""),44766.4636365625)</f>
        <v>44766.46364</v>
      </c>
      <c r="D2894" s="15">
        <f>IFERROR(__xludf.DUMMYFUNCTION("""COMPUTED_VALUE"""),1.004)</f>
        <v>1.004</v>
      </c>
      <c r="E2894" s="16">
        <f>IFERROR(__xludf.DUMMYFUNCTION("""COMPUTED_VALUE"""),67.0)</f>
        <v>67</v>
      </c>
      <c r="F2894" s="19" t="str">
        <f>IFERROR(__xludf.DUMMYFUNCTION("""COMPUTED_VALUE"""),"BLACK")</f>
        <v>BLACK</v>
      </c>
      <c r="G2894" s="20" t="str">
        <f>IFERROR(__xludf.DUMMYFUNCTION("""COMPUTED_VALUE"""),"Uncle Sams Cider (5/13/2022)")</f>
        <v>Uncle Sams Cider (5/13/2022)</v>
      </c>
      <c r="H2894" s="19"/>
    </row>
    <row r="2895">
      <c r="A2895" s="9"/>
      <c r="B2895" s="15"/>
      <c r="C2895" s="9">
        <f>IFERROR(__xludf.DUMMYFUNCTION("""COMPUTED_VALUE"""),44766.4532146296)</f>
        <v>44766.45321</v>
      </c>
      <c r="D2895" s="15">
        <f>IFERROR(__xludf.DUMMYFUNCTION("""COMPUTED_VALUE"""),1.004)</f>
        <v>1.004</v>
      </c>
      <c r="E2895" s="16">
        <f>IFERROR(__xludf.DUMMYFUNCTION("""COMPUTED_VALUE"""),67.0)</f>
        <v>67</v>
      </c>
      <c r="F2895" s="19" t="str">
        <f>IFERROR(__xludf.DUMMYFUNCTION("""COMPUTED_VALUE"""),"BLACK")</f>
        <v>BLACK</v>
      </c>
      <c r="G2895" s="20" t="str">
        <f>IFERROR(__xludf.DUMMYFUNCTION("""COMPUTED_VALUE"""),"Uncle Sams Cider (5/13/2022)")</f>
        <v>Uncle Sams Cider (5/13/2022)</v>
      </c>
      <c r="H2895" s="19"/>
    </row>
    <row r="2896">
      <c r="A2896" s="9"/>
      <c r="B2896" s="15"/>
      <c r="C2896" s="9">
        <f>IFERROR(__xludf.DUMMYFUNCTION("""COMPUTED_VALUE"""),44766.4427940856)</f>
        <v>44766.44279</v>
      </c>
      <c r="D2896" s="15">
        <f>IFERROR(__xludf.DUMMYFUNCTION("""COMPUTED_VALUE"""),1.004)</f>
        <v>1.004</v>
      </c>
      <c r="E2896" s="16">
        <f>IFERROR(__xludf.DUMMYFUNCTION("""COMPUTED_VALUE"""),67.0)</f>
        <v>67</v>
      </c>
      <c r="F2896" s="19" t="str">
        <f>IFERROR(__xludf.DUMMYFUNCTION("""COMPUTED_VALUE"""),"BLACK")</f>
        <v>BLACK</v>
      </c>
      <c r="G2896" s="20" t="str">
        <f>IFERROR(__xludf.DUMMYFUNCTION("""COMPUTED_VALUE"""),"Uncle Sams Cider (5/13/2022)")</f>
        <v>Uncle Sams Cider (5/13/2022)</v>
      </c>
      <c r="H2896" s="19"/>
    </row>
    <row r="2897">
      <c r="A2897" s="9"/>
      <c r="B2897" s="15"/>
      <c r="C2897" s="9">
        <f>IFERROR(__xludf.DUMMYFUNCTION("""COMPUTED_VALUE"""),44766.4323604166)</f>
        <v>44766.43236</v>
      </c>
      <c r="D2897" s="15">
        <f>IFERROR(__xludf.DUMMYFUNCTION("""COMPUTED_VALUE"""),1.004)</f>
        <v>1.004</v>
      </c>
      <c r="E2897" s="16">
        <f>IFERROR(__xludf.DUMMYFUNCTION("""COMPUTED_VALUE"""),67.0)</f>
        <v>67</v>
      </c>
      <c r="F2897" s="19" t="str">
        <f>IFERROR(__xludf.DUMMYFUNCTION("""COMPUTED_VALUE"""),"BLACK")</f>
        <v>BLACK</v>
      </c>
      <c r="G2897" s="20" t="str">
        <f>IFERROR(__xludf.DUMMYFUNCTION("""COMPUTED_VALUE"""),"Uncle Sams Cider (5/13/2022)")</f>
        <v>Uncle Sams Cider (5/13/2022)</v>
      </c>
      <c r="H2897" s="19"/>
    </row>
    <row r="2898">
      <c r="A2898" s="9"/>
      <c r="B2898" s="15"/>
      <c r="C2898" s="9">
        <f>IFERROR(__xludf.DUMMYFUNCTION("""COMPUTED_VALUE"""),44766.4219398958)</f>
        <v>44766.42194</v>
      </c>
      <c r="D2898" s="15">
        <f>IFERROR(__xludf.DUMMYFUNCTION("""COMPUTED_VALUE"""),1.004)</f>
        <v>1.004</v>
      </c>
      <c r="E2898" s="16">
        <f>IFERROR(__xludf.DUMMYFUNCTION("""COMPUTED_VALUE"""),67.0)</f>
        <v>67</v>
      </c>
      <c r="F2898" s="19" t="str">
        <f>IFERROR(__xludf.DUMMYFUNCTION("""COMPUTED_VALUE"""),"BLACK")</f>
        <v>BLACK</v>
      </c>
      <c r="G2898" s="20" t="str">
        <f>IFERROR(__xludf.DUMMYFUNCTION("""COMPUTED_VALUE"""),"Uncle Sams Cider (5/13/2022)")</f>
        <v>Uncle Sams Cider (5/13/2022)</v>
      </c>
      <c r="H2898" s="19"/>
    </row>
    <row r="2899">
      <c r="A2899" s="9"/>
      <c r="B2899" s="15"/>
      <c r="C2899" s="9">
        <f>IFERROR(__xludf.DUMMYFUNCTION("""COMPUTED_VALUE"""),44766.4115187615)</f>
        <v>44766.41152</v>
      </c>
      <c r="D2899" s="15">
        <f>IFERROR(__xludf.DUMMYFUNCTION("""COMPUTED_VALUE"""),1.004)</f>
        <v>1.004</v>
      </c>
      <c r="E2899" s="16">
        <f>IFERROR(__xludf.DUMMYFUNCTION("""COMPUTED_VALUE"""),67.0)</f>
        <v>67</v>
      </c>
      <c r="F2899" s="19" t="str">
        <f>IFERROR(__xludf.DUMMYFUNCTION("""COMPUTED_VALUE"""),"BLACK")</f>
        <v>BLACK</v>
      </c>
      <c r="G2899" s="20" t="str">
        <f>IFERROR(__xludf.DUMMYFUNCTION("""COMPUTED_VALUE"""),"Uncle Sams Cider (5/13/2022)")</f>
        <v>Uncle Sams Cider (5/13/2022)</v>
      </c>
      <c r="H2899" s="19"/>
    </row>
    <row r="2900">
      <c r="A2900" s="9"/>
      <c r="B2900" s="15"/>
      <c r="C2900" s="9">
        <f>IFERROR(__xludf.DUMMYFUNCTION("""COMPUTED_VALUE"""),44766.4010868287)</f>
        <v>44766.40109</v>
      </c>
      <c r="D2900" s="15">
        <f>IFERROR(__xludf.DUMMYFUNCTION("""COMPUTED_VALUE"""),1.004)</f>
        <v>1.004</v>
      </c>
      <c r="E2900" s="16">
        <f>IFERROR(__xludf.DUMMYFUNCTION("""COMPUTED_VALUE"""),67.0)</f>
        <v>67</v>
      </c>
      <c r="F2900" s="19" t="str">
        <f>IFERROR(__xludf.DUMMYFUNCTION("""COMPUTED_VALUE"""),"BLACK")</f>
        <v>BLACK</v>
      </c>
      <c r="G2900" s="20" t="str">
        <f>IFERROR(__xludf.DUMMYFUNCTION("""COMPUTED_VALUE"""),"Uncle Sams Cider (5/13/2022)")</f>
        <v>Uncle Sams Cider (5/13/2022)</v>
      </c>
      <c r="H2900" s="19"/>
    </row>
    <row r="2901">
      <c r="A2901" s="9"/>
      <c r="B2901" s="15"/>
      <c r="C2901" s="9">
        <f>IFERROR(__xludf.DUMMYFUNCTION("""COMPUTED_VALUE"""),44766.3906657407)</f>
        <v>44766.39067</v>
      </c>
      <c r="D2901" s="15">
        <f>IFERROR(__xludf.DUMMYFUNCTION("""COMPUTED_VALUE"""),1.004)</f>
        <v>1.004</v>
      </c>
      <c r="E2901" s="16">
        <f>IFERROR(__xludf.DUMMYFUNCTION("""COMPUTED_VALUE"""),67.0)</f>
        <v>67</v>
      </c>
      <c r="F2901" s="19" t="str">
        <f>IFERROR(__xludf.DUMMYFUNCTION("""COMPUTED_VALUE"""),"BLACK")</f>
        <v>BLACK</v>
      </c>
      <c r="G2901" s="20" t="str">
        <f>IFERROR(__xludf.DUMMYFUNCTION("""COMPUTED_VALUE"""),"Uncle Sams Cider (5/13/2022)")</f>
        <v>Uncle Sams Cider (5/13/2022)</v>
      </c>
      <c r="H2901" s="19"/>
    </row>
    <row r="2902">
      <c r="A2902" s="9"/>
      <c r="B2902" s="15"/>
      <c r="C2902" s="9">
        <f>IFERROR(__xludf.DUMMYFUNCTION("""COMPUTED_VALUE"""),44766.3802431828)</f>
        <v>44766.38024</v>
      </c>
      <c r="D2902" s="15">
        <f>IFERROR(__xludf.DUMMYFUNCTION("""COMPUTED_VALUE"""),1.004)</f>
        <v>1.004</v>
      </c>
      <c r="E2902" s="16">
        <f>IFERROR(__xludf.DUMMYFUNCTION("""COMPUTED_VALUE"""),67.0)</f>
        <v>67</v>
      </c>
      <c r="F2902" s="19" t="str">
        <f>IFERROR(__xludf.DUMMYFUNCTION("""COMPUTED_VALUE"""),"BLACK")</f>
        <v>BLACK</v>
      </c>
      <c r="G2902" s="20" t="str">
        <f>IFERROR(__xludf.DUMMYFUNCTION("""COMPUTED_VALUE"""),"Uncle Sams Cider (5/13/2022)")</f>
        <v>Uncle Sams Cider (5/13/2022)</v>
      </c>
      <c r="H2902" s="19"/>
    </row>
    <row r="2903">
      <c r="A2903" s="9"/>
      <c r="B2903" s="15"/>
      <c r="C2903" s="9">
        <f>IFERROR(__xludf.DUMMYFUNCTION("""COMPUTED_VALUE"""),44766.3698239583)</f>
        <v>44766.36982</v>
      </c>
      <c r="D2903" s="15">
        <f>IFERROR(__xludf.DUMMYFUNCTION("""COMPUTED_VALUE"""),1.004)</f>
        <v>1.004</v>
      </c>
      <c r="E2903" s="16">
        <f>IFERROR(__xludf.DUMMYFUNCTION("""COMPUTED_VALUE"""),67.0)</f>
        <v>67</v>
      </c>
      <c r="F2903" s="19" t="str">
        <f>IFERROR(__xludf.DUMMYFUNCTION("""COMPUTED_VALUE"""),"BLACK")</f>
        <v>BLACK</v>
      </c>
      <c r="G2903" s="20" t="str">
        <f>IFERROR(__xludf.DUMMYFUNCTION("""COMPUTED_VALUE"""),"Uncle Sams Cider (5/13/2022)")</f>
        <v>Uncle Sams Cider (5/13/2022)</v>
      </c>
      <c r="H2903" s="19"/>
    </row>
    <row r="2904">
      <c r="A2904" s="9"/>
      <c r="B2904" s="15"/>
      <c r="C2904" s="9">
        <f>IFERROR(__xludf.DUMMYFUNCTION("""COMPUTED_VALUE"""),44766.3593916319)</f>
        <v>44766.35939</v>
      </c>
      <c r="D2904" s="15">
        <f>IFERROR(__xludf.DUMMYFUNCTION("""COMPUTED_VALUE"""),1.004)</f>
        <v>1.004</v>
      </c>
      <c r="E2904" s="16">
        <f>IFERROR(__xludf.DUMMYFUNCTION("""COMPUTED_VALUE"""),67.0)</f>
        <v>67</v>
      </c>
      <c r="F2904" s="19" t="str">
        <f>IFERROR(__xludf.DUMMYFUNCTION("""COMPUTED_VALUE"""),"BLACK")</f>
        <v>BLACK</v>
      </c>
      <c r="G2904" s="20" t="str">
        <f>IFERROR(__xludf.DUMMYFUNCTION("""COMPUTED_VALUE"""),"Uncle Sams Cider (5/13/2022)")</f>
        <v>Uncle Sams Cider (5/13/2022)</v>
      </c>
      <c r="H2904" s="19"/>
    </row>
    <row r="2905">
      <c r="A2905" s="9"/>
      <c r="B2905" s="15"/>
      <c r="C2905" s="9">
        <f>IFERROR(__xludf.DUMMYFUNCTION("""COMPUTED_VALUE"""),44766.3489588657)</f>
        <v>44766.34896</v>
      </c>
      <c r="D2905" s="15">
        <f>IFERROR(__xludf.DUMMYFUNCTION("""COMPUTED_VALUE"""),1.004)</f>
        <v>1.004</v>
      </c>
      <c r="E2905" s="16">
        <f>IFERROR(__xludf.DUMMYFUNCTION("""COMPUTED_VALUE"""),67.0)</f>
        <v>67</v>
      </c>
      <c r="F2905" s="19" t="str">
        <f>IFERROR(__xludf.DUMMYFUNCTION("""COMPUTED_VALUE"""),"BLACK")</f>
        <v>BLACK</v>
      </c>
      <c r="G2905" s="20" t="str">
        <f>IFERROR(__xludf.DUMMYFUNCTION("""COMPUTED_VALUE"""),"Uncle Sams Cider (5/13/2022)")</f>
        <v>Uncle Sams Cider (5/13/2022)</v>
      </c>
      <c r="H2905" s="19"/>
    </row>
    <row r="2906">
      <c r="A2906" s="9"/>
      <c r="B2906" s="15"/>
      <c r="C2906" s="9">
        <f>IFERROR(__xludf.DUMMYFUNCTION("""COMPUTED_VALUE"""),44766.3385380671)</f>
        <v>44766.33854</v>
      </c>
      <c r="D2906" s="15">
        <f>IFERROR(__xludf.DUMMYFUNCTION("""COMPUTED_VALUE"""),1.004)</f>
        <v>1.004</v>
      </c>
      <c r="E2906" s="16">
        <f>IFERROR(__xludf.DUMMYFUNCTION("""COMPUTED_VALUE"""),67.0)</f>
        <v>67</v>
      </c>
      <c r="F2906" s="19" t="str">
        <f>IFERROR(__xludf.DUMMYFUNCTION("""COMPUTED_VALUE"""),"BLACK")</f>
        <v>BLACK</v>
      </c>
      <c r="G2906" s="20" t="str">
        <f>IFERROR(__xludf.DUMMYFUNCTION("""COMPUTED_VALUE"""),"Uncle Sams Cider (5/13/2022)")</f>
        <v>Uncle Sams Cider (5/13/2022)</v>
      </c>
      <c r="H2906" s="19"/>
    </row>
    <row r="2907">
      <c r="A2907" s="9"/>
      <c r="B2907" s="15"/>
      <c r="C2907" s="9">
        <f>IFERROR(__xludf.DUMMYFUNCTION("""COMPUTED_VALUE"""),44766.3281175578)</f>
        <v>44766.32812</v>
      </c>
      <c r="D2907" s="15">
        <f>IFERROR(__xludf.DUMMYFUNCTION("""COMPUTED_VALUE"""),1.004)</f>
        <v>1.004</v>
      </c>
      <c r="E2907" s="16">
        <f>IFERROR(__xludf.DUMMYFUNCTION("""COMPUTED_VALUE"""),67.0)</f>
        <v>67</v>
      </c>
      <c r="F2907" s="19" t="str">
        <f>IFERROR(__xludf.DUMMYFUNCTION("""COMPUTED_VALUE"""),"BLACK")</f>
        <v>BLACK</v>
      </c>
      <c r="G2907" s="20" t="str">
        <f>IFERROR(__xludf.DUMMYFUNCTION("""COMPUTED_VALUE"""),"Uncle Sams Cider (5/13/2022)")</f>
        <v>Uncle Sams Cider (5/13/2022)</v>
      </c>
      <c r="H2907" s="19"/>
    </row>
    <row r="2908">
      <c r="A2908" s="9"/>
      <c r="B2908" s="15"/>
      <c r="C2908" s="9">
        <f>IFERROR(__xludf.DUMMYFUNCTION("""COMPUTED_VALUE"""),44766.3176848379)</f>
        <v>44766.31768</v>
      </c>
      <c r="D2908" s="15">
        <f>IFERROR(__xludf.DUMMYFUNCTION("""COMPUTED_VALUE"""),1.004)</f>
        <v>1.004</v>
      </c>
      <c r="E2908" s="16">
        <f>IFERROR(__xludf.DUMMYFUNCTION("""COMPUTED_VALUE"""),67.0)</f>
        <v>67</v>
      </c>
      <c r="F2908" s="19" t="str">
        <f>IFERROR(__xludf.DUMMYFUNCTION("""COMPUTED_VALUE"""),"BLACK")</f>
        <v>BLACK</v>
      </c>
      <c r="G2908" s="20" t="str">
        <f>IFERROR(__xludf.DUMMYFUNCTION("""COMPUTED_VALUE"""),"Uncle Sams Cider (5/13/2022)")</f>
        <v>Uncle Sams Cider (5/13/2022)</v>
      </c>
      <c r="H2908" s="19"/>
    </row>
    <row r="2909">
      <c r="A2909" s="9"/>
      <c r="B2909" s="15"/>
      <c r="C2909" s="9">
        <f>IFERROR(__xludf.DUMMYFUNCTION("""COMPUTED_VALUE"""),44766.3072616435)</f>
        <v>44766.30726</v>
      </c>
      <c r="D2909" s="15">
        <f>IFERROR(__xludf.DUMMYFUNCTION("""COMPUTED_VALUE"""),1.004)</f>
        <v>1.004</v>
      </c>
      <c r="E2909" s="16">
        <f>IFERROR(__xludf.DUMMYFUNCTION("""COMPUTED_VALUE"""),67.0)</f>
        <v>67</v>
      </c>
      <c r="F2909" s="19" t="str">
        <f>IFERROR(__xludf.DUMMYFUNCTION("""COMPUTED_VALUE"""),"BLACK")</f>
        <v>BLACK</v>
      </c>
      <c r="G2909" s="20" t="str">
        <f>IFERROR(__xludf.DUMMYFUNCTION("""COMPUTED_VALUE"""),"Uncle Sams Cider (5/13/2022)")</f>
        <v>Uncle Sams Cider (5/13/2022)</v>
      </c>
      <c r="H2909" s="19"/>
    </row>
    <row r="2910">
      <c r="A2910" s="9"/>
      <c r="B2910" s="15"/>
      <c r="C2910" s="9">
        <f>IFERROR(__xludf.DUMMYFUNCTION("""COMPUTED_VALUE"""),44766.2968414699)</f>
        <v>44766.29684</v>
      </c>
      <c r="D2910" s="15">
        <f>IFERROR(__xludf.DUMMYFUNCTION("""COMPUTED_VALUE"""),1.004)</f>
        <v>1.004</v>
      </c>
      <c r="E2910" s="16">
        <f>IFERROR(__xludf.DUMMYFUNCTION("""COMPUTED_VALUE"""),67.0)</f>
        <v>67</v>
      </c>
      <c r="F2910" s="19" t="str">
        <f>IFERROR(__xludf.DUMMYFUNCTION("""COMPUTED_VALUE"""),"BLACK")</f>
        <v>BLACK</v>
      </c>
      <c r="G2910" s="20" t="str">
        <f>IFERROR(__xludf.DUMMYFUNCTION("""COMPUTED_VALUE"""),"Uncle Sams Cider (5/13/2022)")</f>
        <v>Uncle Sams Cider (5/13/2022)</v>
      </c>
      <c r="H2910" s="19"/>
    </row>
    <row r="2911">
      <c r="A2911" s="9"/>
      <c r="B2911" s="15"/>
      <c r="C2911" s="9">
        <f>IFERROR(__xludf.DUMMYFUNCTION("""COMPUTED_VALUE"""),44766.2864208564)</f>
        <v>44766.28642</v>
      </c>
      <c r="D2911" s="15">
        <f>IFERROR(__xludf.DUMMYFUNCTION("""COMPUTED_VALUE"""),1.004)</f>
        <v>1.004</v>
      </c>
      <c r="E2911" s="16">
        <f>IFERROR(__xludf.DUMMYFUNCTION("""COMPUTED_VALUE"""),67.0)</f>
        <v>67</v>
      </c>
      <c r="F2911" s="19" t="str">
        <f>IFERROR(__xludf.DUMMYFUNCTION("""COMPUTED_VALUE"""),"BLACK")</f>
        <v>BLACK</v>
      </c>
      <c r="G2911" s="20" t="str">
        <f>IFERROR(__xludf.DUMMYFUNCTION("""COMPUTED_VALUE"""),"Uncle Sams Cider (5/13/2022)")</f>
        <v>Uncle Sams Cider (5/13/2022)</v>
      </c>
      <c r="H2911" s="19"/>
    </row>
    <row r="2912">
      <c r="A2912" s="9"/>
      <c r="B2912" s="15"/>
      <c r="C2912" s="9">
        <f>IFERROR(__xludf.DUMMYFUNCTION("""COMPUTED_VALUE"""),44766.2760000231)</f>
        <v>44766.276</v>
      </c>
      <c r="D2912" s="15">
        <f>IFERROR(__xludf.DUMMYFUNCTION("""COMPUTED_VALUE"""),1.004)</f>
        <v>1.004</v>
      </c>
      <c r="E2912" s="16">
        <f>IFERROR(__xludf.DUMMYFUNCTION("""COMPUTED_VALUE"""),67.0)</f>
        <v>67</v>
      </c>
      <c r="F2912" s="19" t="str">
        <f>IFERROR(__xludf.DUMMYFUNCTION("""COMPUTED_VALUE"""),"BLACK")</f>
        <v>BLACK</v>
      </c>
      <c r="G2912" s="20" t="str">
        <f>IFERROR(__xludf.DUMMYFUNCTION("""COMPUTED_VALUE"""),"Uncle Sams Cider (5/13/2022)")</f>
        <v>Uncle Sams Cider (5/13/2022)</v>
      </c>
      <c r="H2912" s="19"/>
    </row>
    <row r="2913">
      <c r="A2913" s="9"/>
      <c r="B2913" s="15"/>
      <c r="C2913" s="9">
        <f>IFERROR(__xludf.DUMMYFUNCTION("""COMPUTED_VALUE"""),44766.2655771643)</f>
        <v>44766.26558</v>
      </c>
      <c r="D2913" s="15">
        <f>IFERROR(__xludf.DUMMYFUNCTION("""COMPUTED_VALUE"""),1.004)</f>
        <v>1.004</v>
      </c>
      <c r="E2913" s="16">
        <f>IFERROR(__xludf.DUMMYFUNCTION("""COMPUTED_VALUE"""),67.0)</f>
        <v>67</v>
      </c>
      <c r="F2913" s="19" t="str">
        <f>IFERROR(__xludf.DUMMYFUNCTION("""COMPUTED_VALUE"""),"BLACK")</f>
        <v>BLACK</v>
      </c>
      <c r="G2913" s="20" t="str">
        <f>IFERROR(__xludf.DUMMYFUNCTION("""COMPUTED_VALUE"""),"Uncle Sams Cider (5/13/2022)")</f>
        <v>Uncle Sams Cider (5/13/2022)</v>
      </c>
      <c r="H2913" s="19"/>
    </row>
    <row r="2914">
      <c r="A2914" s="9"/>
      <c r="B2914" s="15"/>
      <c r="C2914" s="9">
        <f>IFERROR(__xludf.DUMMYFUNCTION("""COMPUTED_VALUE"""),44766.2551549189)</f>
        <v>44766.25515</v>
      </c>
      <c r="D2914" s="15">
        <f>IFERROR(__xludf.DUMMYFUNCTION("""COMPUTED_VALUE"""),1.004)</f>
        <v>1.004</v>
      </c>
      <c r="E2914" s="16">
        <f>IFERROR(__xludf.DUMMYFUNCTION("""COMPUTED_VALUE"""),67.0)</f>
        <v>67</v>
      </c>
      <c r="F2914" s="19" t="str">
        <f>IFERROR(__xludf.DUMMYFUNCTION("""COMPUTED_VALUE"""),"BLACK")</f>
        <v>BLACK</v>
      </c>
      <c r="G2914" s="20" t="str">
        <f>IFERROR(__xludf.DUMMYFUNCTION("""COMPUTED_VALUE"""),"Uncle Sams Cider (5/13/2022)")</f>
        <v>Uncle Sams Cider (5/13/2022)</v>
      </c>
      <c r="H2914" s="19"/>
    </row>
    <row r="2915">
      <c r="A2915" s="9"/>
      <c r="B2915" s="15"/>
      <c r="C2915" s="9">
        <f>IFERROR(__xludf.DUMMYFUNCTION("""COMPUTED_VALUE"""),44766.2447340625)</f>
        <v>44766.24473</v>
      </c>
      <c r="D2915" s="15">
        <f>IFERROR(__xludf.DUMMYFUNCTION("""COMPUTED_VALUE"""),1.004)</f>
        <v>1.004</v>
      </c>
      <c r="E2915" s="16">
        <f>IFERROR(__xludf.DUMMYFUNCTION("""COMPUTED_VALUE"""),67.0)</f>
        <v>67</v>
      </c>
      <c r="F2915" s="19" t="str">
        <f>IFERROR(__xludf.DUMMYFUNCTION("""COMPUTED_VALUE"""),"BLACK")</f>
        <v>BLACK</v>
      </c>
      <c r="G2915" s="20" t="str">
        <f>IFERROR(__xludf.DUMMYFUNCTION("""COMPUTED_VALUE"""),"Uncle Sams Cider (5/13/2022)")</f>
        <v>Uncle Sams Cider (5/13/2022)</v>
      </c>
      <c r="H2915" s="19"/>
    </row>
    <row r="2916">
      <c r="A2916" s="9"/>
      <c r="B2916" s="15"/>
      <c r="C2916" s="9">
        <f>IFERROR(__xludf.DUMMYFUNCTION("""COMPUTED_VALUE"""),44766.2343115162)</f>
        <v>44766.23431</v>
      </c>
      <c r="D2916" s="15">
        <f>IFERROR(__xludf.DUMMYFUNCTION("""COMPUTED_VALUE"""),1.004)</f>
        <v>1.004</v>
      </c>
      <c r="E2916" s="16">
        <f>IFERROR(__xludf.DUMMYFUNCTION("""COMPUTED_VALUE"""),67.0)</f>
        <v>67</v>
      </c>
      <c r="F2916" s="19" t="str">
        <f>IFERROR(__xludf.DUMMYFUNCTION("""COMPUTED_VALUE"""),"BLACK")</f>
        <v>BLACK</v>
      </c>
      <c r="G2916" s="20" t="str">
        <f>IFERROR(__xludf.DUMMYFUNCTION("""COMPUTED_VALUE"""),"Uncle Sams Cider (5/13/2022)")</f>
        <v>Uncle Sams Cider (5/13/2022)</v>
      </c>
      <c r="H2916" s="19"/>
    </row>
    <row r="2917">
      <c r="A2917" s="9"/>
      <c r="B2917" s="15"/>
      <c r="C2917" s="9">
        <f>IFERROR(__xludf.DUMMYFUNCTION("""COMPUTED_VALUE"""),44766.2238911921)</f>
        <v>44766.22389</v>
      </c>
      <c r="D2917" s="15">
        <f>IFERROR(__xludf.DUMMYFUNCTION("""COMPUTED_VALUE"""),1.004)</f>
        <v>1.004</v>
      </c>
      <c r="E2917" s="16">
        <f>IFERROR(__xludf.DUMMYFUNCTION("""COMPUTED_VALUE"""),67.0)</f>
        <v>67</v>
      </c>
      <c r="F2917" s="19" t="str">
        <f>IFERROR(__xludf.DUMMYFUNCTION("""COMPUTED_VALUE"""),"BLACK")</f>
        <v>BLACK</v>
      </c>
      <c r="G2917" s="20" t="str">
        <f>IFERROR(__xludf.DUMMYFUNCTION("""COMPUTED_VALUE"""),"Uncle Sams Cider (5/13/2022)")</f>
        <v>Uncle Sams Cider (5/13/2022)</v>
      </c>
      <c r="H2917" s="19"/>
    </row>
    <row r="2918">
      <c r="A2918" s="9"/>
      <c r="B2918" s="15"/>
      <c r="C2918" s="9">
        <f>IFERROR(__xludf.DUMMYFUNCTION("""COMPUTED_VALUE"""),44766.2134678472)</f>
        <v>44766.21347</v>
      </c>
      <c r="D2918" s="15">
        <f>IFERROR(__xludf.DUMMYFUNCTION("""COMPUTED_VALUE"""),1.004)</f>
        <v>1.004</v>
      </c>
      <c r="E2918" s="16">
        <f>IFERROR(__xludf.DUMMYFUNCTION("""COMPUTED_VALUE"""),67.0)</f>
        <v>67</v>
      </c>
      <c r="F2918" s="19" t="str">
        <f>IFERROR(__xludf.DUMMYFUNCTION("""COMPUTED_VALUE"""),"BLACK")</f>
        <v>BLACK</v>
      </c>
      <c r="G2918" s="20" t="str">
        <f>IFERROR(__xludf.DUMMYFUNCTION("""COMPUTED_VALUE"""),"Uncle Sams Cider (5/13/2022)")</f>
        <v>Uncle Sams Cider (5/13/2022)</v>
      </c>
      <c r="H2918" s="19"/>
    </row>
    <row r="2919">
      <c r="A2919" s="9"/>
      <c r="B2919" s="15"/>
      <c r="C2919" s="9">
        <f>IFERROR(__xludf.DUMMYFUNCTION("""COMPUTED_VALUE"""),44766.2030477083)</f>
        <v>44766.20305</v>
      </c>
      <c r="D2919" s="15">
        <f>IFERROR(__xludf.DUMMYFUNCTION("""COMPUTED_VALUE"""),1.004)</f>
        <v>1.004</v>
      </c>
      <c r="E2919" s="16">
        <f>IFERROR(__xludf.DUMMYFUNCTION("""COMPUTED_VALUE"""),67.0)</f>
        <v>67</v>
      </c>
      <c r="F2919" s="19" t="str">
        <f>IFERROR(__xludf.DUMMYFUNCTION("""COMPUTED_VALUE"""),"BLACK")</f>
        <v>BLACK</v>
      </c>
      <c r="G2919" s="20" t="str">
        <f>IFERROR(__xludf.DUMMYFUNCTION("""COMPUTED_VALUE"""),"Uncle Sams Cider (5/13/2022)")</f>
        <v>Uncle Sams Cider (5/13/2022)</v>
      </c>
      <c r="H2919" s="19"/>
    </row>
    <row r="2920">
      <c r="A2920" s="9"/>
      <c r="B2920" s="15"/>
      <c r="C2920" s="9">
        <f>IFERROR(__xludf.DUMMYFUNCTION("""COMPUTED_VALUE"""),44766.1926276041)</f>
        <v>44766.19263</v>
      </c>
      <c r="D2920" s="15">
        <f>IFERROR(__xludf.DUMMYFUNCTION("""COMPUTED_VALUE"""),1.004)</f>
        <v>1.004</v>
      </c>
      <c r="E2920" s="16">
        <f>IFERROR(__xludf.DUMMYFUNCTION("""COMPUTED_VALUE"""),67.0)</f>
        <v>67</v>
      </c>
      <c r="F2920" s="19" t="str">
        <f>IFERROR(__xludf.DUMMYFUNCTION("""COMPUTED_VALUE"""),"BLACK")</f>
        <v>BLACK</v>
      </c>
      <c r="G2920" s="20" t="str">
        <f>IFERROR(__xludf.DUMMYFUNCTION("""COMPUTED_VALUE"""),"Uncle Sams Cider (5/13/2022)")</f>
        <v>Uncle Sams Cider (5/13/2022)</v>
      </c>
      <c r="H2920" s="19"/>
    </row>
    <row r="2921">
      <c r="A2921" s="9"/>
      <c r="B2921" s="15"/>
      <c r="C2921" s="9">
        <f>IFERROR(__xludf.DUMMYFUNCTION("""COMPUTED_VALUE"""),44766.1821952893)</f>
        <v>44766.1822</v>
      </c>
      <c r="D2921" s="15">
        <f>IFERROR(__xludf.DUMMYFUNCTION("""COMPUTED_VALUE"""),1.004)</f>
        <v>1.004</v>
      </c>
      <c r="E2921" s="16">
        <f>IFERROR(__xludf.DUMMYFUNCTION("""COMPUTED_VALUE"""),67.0)</f>
        <v>67</v>
      </c>
      <c r="F2921" s="19" t="str">
        <f>IFERROR(__xludf.DUMMYFUNCTION("""COMPUTED_VALUE"""),"BLACK")</f>
        <v>BLACK</v>
      </c>
      <c r="G2921" s="20" t="str">
        <f>IFERROR(__xludf.DUMMYFUNCTION("""COMPUTED_VALUE"""),"Uncle Sams Cider (5/13/2022)")</f>
        <v>Uncle Sams Cider (5/13/2022)</v>
      </c>
      <c r="H2921" s="19"/>
    </row>
    <row r="2922">
      <c r="A2922" s="9"/>
      <c r="B2922" s="15"/>
      <c r="C2922" s="9">
        <f>IFERROR(__xludf.DUMMYFUNCTION("""COMPUTED_VALUE"""),44766.1717758449)</f>
        <v>44766.17178</v>
      </c>
      <c r="D2922" s="15">
        <f>IFERROR(__xludf.DUMMYFUNCTION("""COMPUTED_VALUE"""),1.004)</f>
        <v>1.004</v>
      </c>
      <c r="E2922" s="16">
        <f>IFERROR(__xludf.DUMMYFUNCTION("""COMPUTED_VALUE"""),67.0)</f>
        <v>67</v>
      </c>
      <c r="F2922" s="19" t="str">
        <f>IFERROR(__xludf.DUMMYFUNCTION("""COMPUTED_VALUE"""),"BLACK")</f>
        <v>BLACK</v>
      </c>
      <c r="G2922" s="20" t="str">
        <f>IFERROR(__xludf.DUMMYFUNCTION("""COMPUTED_VALUE"""),"Uncle Sams Cider (5/13/2022)")</f>
        <v>Uncle Sams Cider (5/13/2022)</v>
      </c>
      <c r="H2922" s="19"/>
    </row>
    <row r="2923">
      <c r="A2923" s="9"/>
      <c r="B2923" s="15"/>
      <c r="C2923" s="9">
        <f>IFERROR(__xludf.DUMMYFUNCTION("""COMPUTED_VALUE"""),44766.1613555671)</f>
        <v>44766.16136</v>
      </c>
      <c r="D2923" s="15">
        <f>IFERROR(__xludf.DUMMYFUNCTION("""COMPUTED_VALUE"""),1.004)</f>
        <v>1.004</v>
      </c>
      <c r="E2923" s="16">
        <f>IFERROR(__xludf.DUMMYFUNCTION("""COMPUTED_VALUE"""),67.0)</f>
        <v>67</v>
      </c>
      <c r="F2923" s="19" t="str">
        <f>IFERROR(__xludf.DUMMYFUNCTION("""COMPUTED_VALUE"""),"BLACK")</f>
        <v>BLACK</v>
      </c>
      <c r="G2923" s="20" t="str">
        <f>IFERROR(__xludf.DUMMYFUNCTION("""COMPUTED_VALUE"""),"Uncle Sams Cider (5/13/2022)")</f>
        <v>Uncle Sams Cider (5/13/2022)</v>
      </c>
      <c r="H2923" s="19"/>
    </row>
    <row r="2924">
      <c r="A2924" s="9"/>
      <c r="B2924" s="15"/>
      <c r="C2924" s="9">
        <f>IFERROR(__xludf.DUMMYFUNCTION("""COMPUTED_VALUE"""),44766.1509235995)</f>
        <v>44766.15092</v>
      </c>
      <c r="D2924" s="15">
        <f>IFERROR(__xludf.DUMMYFUNCTION("""COMPUTED_VALUE"""),1.004)</f>
        <v>1.004</v>
      </c>
      <c r="E2924" s="16">
        <f>IFERROR(__xludf.DUMMYFUNCTION("""COMPUTED_VALUE"""),67.0)</f>
        <v>67</v>
      </c>
      <c r="F2924" s="19" t="str">
        <f>IFERROR(__xludf.DUMMYFUNCTION("""COMPUTED_VALUE"""),"BLACK")</f>
        <v>BLACK</v>
      </c>
      <c r="G2924" s="20" t="str">
        <f>IFERROR(__xludf.DUMMYFUNCTION("""COMPUTED_VALUE"""),"Uncle Sams Cider (5/13/2022)")</f>
        <v>Uncle Sams Cider (5/13/2022)</v>
      </c>
      <c r="H2924" s="19"/>
    </row>
    <row r="2925">
      <c r="A2925" s="9"/>
      <c r="B2925" s="15"/>
      <c r="C2925" s="9">
        <f>IFERROR(__xludf.DUMMYFUNCTION("""COMPUTED_VALUE"""),44766.1405013888)</f>
        <v>44766.1405</v>
      </c>
      <c r="D2925" s="15">
        <f>IFERROR(__xludf.DUMMYFUNCTION("""COMPUTED_VALUE"""),1.004)</f>
        <v>1.004</v>
      </c>
      <c r="E2925" s="16">
        <f>IFERROR(__xludf.DUMMYFUNCTION("""COMPUTED_VALUE"""),67.0)</f>
        <v>67</v>
      </c>
      <c r="F2925" s="19" t="str">
        <f>IFERROR(__xludf.DUMMYFUNCTION("""COMPUTED_VALUE"""),"BLACK")</f>
        <v>BLACK</v>
      </c>
      <c r="G2925" s="20" t="str">
        <f>IFERROR(__xludf.DUMMYFUNCTION("""COMPUTED_VALUE"""),"Uncle Sams Cider (5/13/2022)")</f>
        <v>Uncle Sams Cider (5/13/2022)</v>
      </c>
      <c r="H2925" s="19"/>
    </row>
    <row r="2926">
      <c r="A2926" s="9"/>
      <c r="B2926" s="15"/>
      <c r="C2926" s="9">
        <f>IFERROR(__xludf.DUMMYFUNCTION("""COMPUTED_VALUE"""),44766.1300813426)</f>
        <v>44766.13008</v>
      </c>
      <c r="D2926" s="15">
        <f>IFERROR(__xludf.DUMMYFUNCTION("""COMPUTED_VALUE"""),1.004)</f>
        <v>1.004</v>
      </c>
      <c r="E2926" s="16">
        <f>IFERROR(__xludf.DUMMYFUNCTION("""COMPUTED_VALUE"""),67.0)</f>
        <v>67</v>
      </c>
      <c r="F2926" s="19" t="str">
        <f>IFERROR(__xludf.DUMMYFUNCTION("""COMPUTED_VALUE"""),"BLACK")</f>
        <v>BLACK</v>
      </c>
      <c r="G2926" s="20" t="str">
        <f>IFERROR(__xludf.DUMMYFUNCTION("""COMPUTED_VALUE"""),"Uncle Sams Cider (5/13/2022)")</f>
        <v>Uncle Sams Cider (5/13/2022)</v>
      </c>
      <c r="H2926" s="19"/>
    </row>
    <row r="2927">
      <c r="A2927" s="9"/>
      <c r="B2927" s="15"/>
      <c r="C2927" s="9">
        <f>IFERROR(__xludf.DUMMYFUNCTION("""COMPUTED_VALUE"""),44766.1196605902)</f>
        <v>44766.11966</v>
      </c>
      <c r="D2927" s="15">
        <f>IFERROR(__xludf.DUMMYFUNCTION("""COMPUTED_VALUE"""),1.004)</f>
        <v>1.004</v>
      </c>
      <c r="E2927" s="16">
        <f>IFERROR(__xludf.DUMMYFUNCTION("""COMPUTED_VALUE"""),67.0)</f>
        <v>67</v>
      </c>
      <c r="F2927" s="19" t="str">
        <f>IFERROR(__xludf.DUMMYFUNCTION("""COMPUTED_VALUE"""),"BLACK")</f>
        <v>BLACK</v>
      </c>
      <c r="G2927" s="20" t="str">
        <f>IFERROR(__xludf.DUMMYFUNCTION("""COMPUTED_VALUE"""),"Uncle Sams Cider (5/13/2022)")</f>
        <v>Uncle Sams Cider (5/13/2022)</v>
      </c>
      <c r="H2927" s="19"/>
    </row>
    <row r="2928">
      <c r="A2928" s="9"/>
      <c r="B2928" s="15"/>
      <c r="C2928" s="9">
        <f>IFERROR(__xludf.DUMMYFUNCTION("""COMPUTED_VALUE"""),44766.1092408912)</f>
        <v>44766.10924</v>
      </c>
      <c r="D2928" s="15">
        <f>IFERROR(__xludf.DUMMYFUNCTION("""COMPUTED_VALUE"""),1.004)</f>
        <v>1.004</v>
      </c>
      <c r="E2928" s="16">
        <f>IFERROR(__xludf.DUMMYFUNCTION("""COMPUTED_VALUE"""),67.0)</f>
        <v>67</v>
      </c>
      <c r="F2928" s="19" t="str">
        <f>IFERROR(__xludf.DUMMYFUNCTION("""COMPUTED_VALUE"""),"BLACK")</f>
        <v>BLACK</v>
      </c>
      <c r="G2928" s="20" t="str">
        <f>IFERROR(__xludf.DUMMYFUNCTION("""COMPUTED_VALUE"""),"Uncle Sams Cider (5/13/2022)")</f>
        <v>Uncle Sams Cider (5/13/2022)</v>
      </c>
      <c r="H2928" s="19"/>
    </row>
    <row r="2929">
      <c r="A2929" s="9"/>
      <c r="B2929" s="15"/>
      <c r="C2929" s="9">
        <f>IFERROR(__xludf.DUMMYFUNCTION("""COMPUTED_VALUE"""),44766.0988196064)</f>
        <v>44766.09882</v>
      </c>
      <c r="D2929" s="15">
        <f>IFERROR(__xludf.DUMMYFUNCTION("""COMPUTED_VALUE"""),1.004)</f>
        <v>1.004</v>
      </c>
      <c r="E2929" s="16">
        <f>IFERROR(__xludf.DUMMYFUNCTION("""COMPUTED_VALUE"""),67.0)</f>
        <v>67</v>
      </c>
      <c r="F2929" s="19" t="str">
        <f>IFERROR(__xludf.DUMMYFUNCTION("""COMPUTED_VALUE"""),"BLACK")</f>
        <v>BLACK</v>
      </c>
      <c r="G2929" s="20" t="str">
        <f>IFERROR(__xludf.DUMMYFUNCTION("""COMPUTED_VALUE"""),"Uncle Sams Cider (5/13/2022)")</f>
        <v>Uncle Sams Cider (5/13/2022)</v>
      </c>
      <c r="H2929" s="19"/>
    </row>
    <row r="2930">
      <c r="A2930" s="9"/>
      <c r="B2930" s="15"/>
      <c r="C2930" s="9">
        <f>IFERROR(__xludf.DUMMYFUNCTION("""COMPUTED_VALUE"""),44766.0883981713)</f>
        <v>44766.0884</v>
      </c>
      <c r="D2930" s="15">
        <f>IFERROR(__xludf.DUMMYFUNCTION("""COMPUTED_VALUE"""),1.004)</f>
        <v>1.004</v>
      </c>
      <c r="E2930" s="16">
        <f>IFERROR(__xludf.DUMMYFUNCTION("""COMPUTED_VALUE"""),67.0)</f>
        <v>67</v>
      </c>
      <c r="F2930" s="19" t="str">
        <f>IFERROR(__xludf.DUMMYFUNCTION("""COMPUTED_VALUE"""),"BLACK")</f>
        <v>BLACK</v>
      </c>
      <c r="G2930" s="20" t="str">
        <f>IFERROR(__xludf.DUMMYFUNCTION("""COMPUTED_VALUE"""),"Uncle Sams Cider (5/13/2022)")</f>
        <v>Uncle Sams Cider (5/13/2022)</v>
      </c>
      <c r="H2930" s="19"/>
    </row>
    <row r="2931">
      <c r="A2931" s="9"/>
      <c r="B2931" s="15"/>
      <c r="C2931" s="9">
        <f>IFERROR(__xludf.DUMMYFUNCTION("""COMPUTED_VALUE"""),44766.0779763541)</f>
        <v>44766.07798</v>
      </c>
      <c r="D2931" s="15">
        <f>IFERROR(__xludf.DUMMYFUNCTION("""COMPUTED_VALUE"""),1.004)</f>
        <v>1.004</v>
      </c>
      <c r="E2931" s="16">
        <f>IFERROR(__xludf.DUMMYFUNCTION("""COMPUTED_VALUE"""),67.0)</f>
        <v>67</v>
      </c>
      <c r="F2931" s="19" t="str">
        <f>IFERROR(__xludf.DUMMYFUNCTION("""COMPUTED_VALUE"""),"BLACK")</f>
        <v>BLACK</v>
      </c>
      <c r="G2931" s="20" t="str">
        <f>IFERROR(__xludf.DUMMYFUNCTION("""COMPUTED_VALUE"""),"Uncle Sams Cider (5/13/2022)")</f>
        <v>Uncle Sams Cider (5/13/2022)</v>
      </c>
      <c r="H2931" s="19"/>
    </row>
    <row r="2932">
      <c r="A2932" s="9"/>
      <c r="B2932" s="15"/>
      <c r="C2932" s="9">
        <f>IFERROR(__xludf.DUMMYFUNCTION("""COMPUTED_VALUE"""),44766.0675561111)</f>
        <v>44766.06756</v>
      </c>
      <c r="D2932" s="15">
        <f>IFERROR(__xludf.DUMMYFUNCTION("""COMPUTED_VALUE"""),1.004)</f>
        <v>1.004</v>
      </c>
      <c r="E2932" s="16">
        <f>IFERROR(__xludf.DUMMYFUNCTION("""COMPUTED_VALUE"""),67.0)</f>
        <v>67</v>
      </c>
      <c r="F2932" s="19" t="str">
        <f>IFERROR(__xludf.DUMMYFUNCTION("""COMPUTED_VALUE"""),"BLACK")</f>
        <v>BLACK</v>
      </c>
      <c r="G2932" s="20" t="str">
        <f>IFERROR(__xludf.DUMMYFUNCTION("""COMPUTED_VALUE"""),"Uncle Sams Cider (5/13/2022)")</f>
        <v>Uncle Sams Cider (5/13/2022)</v>
      </c>
      <c r="H2932" s="19"/>
    </row>
    <row r="2933">
      <c r="A2933" s="9"/>
      <c r="B2933" s="15"/>
      <c r="C2933" s="9">
        <f>IFERROR(__xludf.DUMMYFUNCTION("""COMPUTED_VALUE"""),44766.057136655)</f>
        <v>44766.05714</v>
      </c>
      <c r="D2933" s="15">
        <f>IFERROR(__xludf.DUMMYFUNCTION("""COMPUTED_VALUE"""),1.004)</f>
        <v>1.004</v>
      </c>
      <c r="E2933" s="16">
        <f>IFERROR(__xludf.DUMMYFUNCTION("""COMPUTED_VALUE"""),67.0)</f>
        <v>67</v>
      </c>
      <c r="F2933" s="19" t="str">
        <f>IFERROR(__xludf.DUMMYFUNCTION("""COMPUTED_VALUE"""),"BLACK")</f>
        <v>BLACK</v>
      </c>
      <c r="G2933" s="20" t="str">
        <f>IFERROR(__xludf.DUMMYFUNCTION("""COMPUTED_VALUE"""),"Uncle Sams Cider (5/13/2022)")</f>
        <v>Uncle Sams Cider (5/13/2022)</v>
      </c>
      <c r="H2933" s="19"/>
    </row>
    <row r="2934">
      <c r="A2934" s="9"/>
      <c r="B2934" s="15"/>
      <c r="C2934" s="9">
        <f>IFERROR(__xludf.DUMMYFUNCTION("""COMPUTED_VALUE"""),44766.0467038889)</f>
        <v>44766.0467</v>
      </c>
      <c r="D2934" s="15">
        <f>IFERROR(__xludf.DUMMYFUNCTION("""COMPUTED_VALUE"""),1.004)</f>
        <v>1.004</v>
      </c>
      <c r="E2934" s="16">
        <f>IFERROR(__xludf.DUMMYFUNCTION("""COMPUTED_VALUE"""),67.0)</f>
        <v>67</v>
      </c>
      <c r="F2934" s="19" t="str">
        <f>IFERROR(__xludf.DUMMYFUNCTION("""COMPUTED_VALUE"""),"BLACK")</f>
        <v>BLACK</v>
      </c>
      <c r="G2934" s="20" t="str">
        <f>IFERROR(__xludf.DUMMYFUNCTION("""COMPUTED_VALUE"""),"Uncle Sams Cider (5/13/2022)")</f>
        <v>Uncle Sams Cider (5/13/2022)</v>
      </c>
      <c r="H2934" s="19"/>
    </row>
    <row r="2935">
      <c r="A2935" s="9"/>
      <c r="B2935" s="15"/>
      <c r="C2935" s="9">
        <f>IFERROR(__xludf.DUMMYFUNCTION("""COMPUTED_VALUE"""),44766.036283831)</f>
        <v>44766.03628</v>
      </c>
      <c r="D2935" s="15">
        <f>IFERROR(__xludf.DUMMYFUNCTION("""COMPUTED_VALUE"""),1.004)</f>
        <v>1.004</v>
      </c>
      <c r="E2935" s="16">
        <f>IFERROR(__xludf.DUMMYFUNCTION("""COMPUTED_VALUE"""),67.0)</f>
        <v>67</v>
      </c>
      <c r="F2935" s="19" t="str">
        <f>IFERROR(__xludf.DUMMYFUNCTION("""COMPUTED_VALUE"""),"BLACK")</f>
        <v>BLACK</v>
      </c>
      <c r="G2935" s="20" t="str">
        <f>IFERROR(__xludf.DUMMYFUNCTION("""COMPUTED_VALUE"""),"Uncle Sams Cider (5/13/2022)")</f>
        <v>Uncle Sams Cider (5/13/2022)</v>
      </c>
      <c r="H2935" s="19"/>
    </row>
    <row r="2936">
      <c r="A2936" s="9"/>
      <c r="B2936" s="15"/>
      <c r="C2936" s="9">
        <f>IFERROR(__xludf.DUMMYFUNCTION("""COMPUTED_VALUE"""),44766.025862824)</f>
        <v>44766.02586</v>
      </c>
      <c r="D2936" s="15">
        <f>IFERROR(__xludf.DUMMYFUNCTION("""COMPUTED_VALUE"""),1.004)</f>
        <v>1.004</v>
      </c>
      <c r="E2936" s="16">
        <f>IFERROR(__xludf.DUMMYFUNCTION("""COMPUTED_VALUE"""),67.0)</f>
        <v>67</v>
      </c>
      <c r="F2936" s="19" t="str">
        <f>IFERROR(__xludf.DUMMYFUNCTION("""COMPUTED_VALUE"""),"BLACK")</f>
        <v>BLACK</v>
      </c>
      <c r="G2936" s="20" t="str">
        <f>IFERROR(__xludf.DUMMYFUNCTION("""COMPUTED_VALUE"""),"Uncle Sams Cider (5/13/2022)")</f>
        <v>Uncle Sams Cider (5/13/2022)</v>
      </c>
      <c r="H2936" s="19"/>
    </row>
    <row r="2937">
      <c r="A2937" s="9"/>
      <c r="B2937" s="15"/>
      <c r="C2937" s="9">
        <f>IFERROR(__xludf.DUMMYFUNCTION("""COMPUTED_VALUE"""),44766.0154189004)</f>
        <v>44766.01542</v>
      </c>
      <c r="D2937" s="15">
        <f>IFERROR(__xludf.DUMMYFUNCTION("""COMPUTED_VALUE"""),1.004)</f>
        <v>1.004</v>
      </c>
      <c r="E2937" s="16">
        <f>IFERROR(__xludf.DUMMYFUNCTION("""COMPUTED_VALUE"""),67.0)</f>
        <v>67</v>
      </c>
      <c r="F2937" s="19" t="str">
        <f>IFERROR(__xludf.DUMMYFUNCTION("""COMPUTED_VALUE"""),"BLACK")</f>
        <v>BLACK</v>
      </c>
      <c r="G2937" s="20" t="str">
        <f>IFERROR(__xludf.DUMMYFUNCTION("""COMPUTED_VALUE"""),"Uncle Sams Cider (5/13/2022)")</f>
        <v>Uncle Sams Cider (5/13/2022)</v>
      </c>
      <c r="H2937" s="19"/>
    </row>
    <row r="2938">
      <c r="A2938" s="9"/>
      <c r="B2938" s="15"/>
      <c r="C2938" s="9">
        <f>IFERROR(__xludf.DUMMYFUNCTION("""COMPUTED_VALUE"""),44766.0049988657)</f>
        <v>44766.005</v>
      </c>
      <c r="D2938" s="15">
        <f>IFERROR(__xludf.DUMMYFUNCTION("""COMPUTED_VALUE"""),1.004)</f>
        <v>1.004</v>
      </c>
      <c r="E2938" s="16">
        <f>IFERROR(__xludf.DUMMYFUNCTION("""COMPUTED_VALUE"""),67.0)</f>
        <v>67</v>
      </c>
      <c r="F2938" s="19" t="str">
        <f>IFERROR(__xludf.DUMMYFUNCTION("""COMPUTED_VALUE"""),"BLACK")</f>
        <v>BLACK</v>
      </c>
      <c r="G2938" s="20" t="str">
        <f>IFERROR(__xludf.DUMMYFUNCTION("""COMPUTED_VALUE"""),"Uncle Sams Cider (5/13/2022)")</f>
        <v>Uncle Sams Cider (5/13/2022)</v>
      </c>
      <c r="H2938" s="19"/>
    </row>
    <row r="2939">
      <c r="A2939" s="9"/>
      <c r="B2939" s="15"/>
      <c r="C2939" s="9">
        <f>IFERROR(__xludf.DUMMYFUNCTION("""COMPUTED_VALUE"""),44765.9945679629)</f>
        <v>44765.99457</v>
      </c>
      <c r="D2939" s="15">
        <f>IFERROR(__xludf.DUMMYFUNCTION("""COMPUTED_VALUE"""),1.004)</f>
        <v>1.004</v>
      </c>
      <c r="E2939" s="16">
        <f>IFERROR(__xludf.DUMMYFUNCTION("""COMPUTED_VALUE"""),67.0)</f>
        <v>67</v>
      </c>
      <c r="F2939" s="19" t="str">
        <f>IFERROR(__xludf.DUMMYFUNCTION("""COMPUTED_VALUE"""),"BLACK")</f>
        <v>BLACK</v>
      </c>
      <c r="G2939" s="20" t="str">
        <f>IFERROR(__xludf.DUMMYFUNCTION("""COMPUTED_VALUE"""),"Uncle Sams Cider (5/13/2022)")</f>
        <v>Uncle Sams Cider (5/13/2022)</v>
      </c>
      <c r="H2939" s="19"/>
    </row>
    <row r="2940">
      <c r="A2940" s="9"/>
      <c r="B2940" s="15"/>
      <c r="C2940" s="9">
        <f>IFERROR(__xludf.DUMMYFUNCTION("""COMPUTED_VALUE"""),44765.9841490393)</f>
        <v>44765.98415</v>
      </c>
      <c r="D2940" s="15">
        <f>IFERROR(__xludf.DUMMYFUNCTION("""COMPUTED_VALUE"""),1.004)</f>
        <v>1.004</v>
      </c>
      <c r="E2940" s="16">
        <f>IFERROR(__xludf.DUMMYFUNCTION("""COMPUTED_VALUE"""),67.0)</f>
        <v>67</v>
      </c>
      <c r="F2940" s="19" t="str">
        <f>IFERROR(__xludf.DUMMYFUNCTION("""COMPUTED_VALUE"""),"BLACK")</f>
        <v>BLACK</v>
      </c>
      <c r="G2940" s="20" t="str">
        <f>IFERROR(__xludf.DUMMYFUNCTION("""COMPUTED_VALUE"""),"Uncle Sams Cider (5/13/2022)")</f>
        <v>Uncle Sams Cider (5/13/2022)</v>
      </c>
      <c r="H2940" s="19"/>
    </row>
    <row r="2941">
      <c r="A2941" s="9"/>
      <c r="B2941" s="15"/>
      <c r="C2941" s="9">
        <f>IFERROR(__xludf.DUMMYFUNCTION("""COMPUTED_VALUE"""),44765.973715706)</f>
        <v>44765.97372</v>
      </c>
      <c r="D2941" s="15">
        <f>IFERROR(__xludf.DUMMYFUNCTION("""COMPUTED_VALUE"""),1.004)</f>
        <v>1.004</v>
      </c>
      <c r="E2941" s="16">
        <f>IFERROR(__xludf.DUMMYFUNCTION("""COMPUTED_VALUE"""),67.0)</f>
        <v>67</v>
      </c>
      <c r="F2941" s="19" t="str">
        <f>IFERROR(__xludf.DUMMYFUNCTION("""COMPUTED_VALUE"""),"BLACK")</f>
        <v>BLACK</v>
      </c>
      <c r="G2941" s="20" t="str">
        <f>IFERROR(__xludf.DUMMYFUNCTION("""COMPUTED_VALUE"""),"Uncle Sams Cider (5/13/2022)")</f>
        <v>Uncle Sams Cider (5/13/2022)</v>
      </c>
      <c r="H2941" s="19"/>
    </row>
    <row r="2942">
      <c r="A2942" s="9"/>
      <c r="B2942" s="15"/>
      <c r="C2942" s="9">
        <f>IFERROR(__xludf.DUMMYFUNCTION("""COMPUTED_VALUE"""),44765.9632829398)</f>
        <v>44765.96328</v>
      </c>
      <c r="D2942" s="15">
        <f>IFERROR(__xludf.DUMMYFUNCTION("""COMPUTED_VALUE"""),1.004)</f>
        <v>1.004</v>
      </c>
      <c r="E2942" s="16">
        <f>IFERROR(__xludf.DUMMYFUNCTION("""COMPUTED_VALUE"""),67.0)</f>
        <v>67</v>
      </c>
      <c r="F2942" s="19" t="str">
        <f>IFERROR(__xludf.DUMMYFUNCTION("""COMPUTED_VALUE"""),"BLACK")</f>
        <v>BLACK</v>
      </c>
      <c r="G2942" s="20" t="str">
        <f>IFERROR(__xludf.DUMMYFUNCTION("""COMPUTED_VALUE"""),"Uncle Sams Cider (5/13/2022)")</f>
        <v>Uncle Sams Cider (5/13/2022)</v>
      </c>
      <c r="H2942" s="19"/>
    </row>
    <row r="2943">
      <c r="A2943" s="9"/>
      <c r="B2943" s="15"/>
      <c r="C2943" s="9">
        <f>IFERROR(__xludf.DUMMYFUNCTION("""COMPUTED_VALUE"""),44765.9528490856)</f>
        <v>44765.95285</v>
      </c>
      <c r="D2943" s="15">
        <f>IFERROR(__xludf.DUMMYFUNCTION("""COMPUTED_VALUE"""),1.004)</f>
        <v>1.004</v>
      </c>
      <c r="E2943" s="16">
        <f>IFERROR(__xludf.DUMMYFUNCTION("""COMPUTED_VALUE"""),67.0)</f>
        <v>67</v>
      </c>
      <c r="F2943" s="19" t="str">
        <f>IFERROR(__xludf.DUMMYFUNCTION("""COMPUTED_VALUE"""),"BLACK")</f>
        <v>BLACK</v>
      </c>
      <c r="G2943" s="20" t="str">
        <f>IFERROR(__xludf.DUMMYFUNCTION("""COMPUTED_VALUE"""),"Uncle Sams Cider (5/13/2022)")</f>
        <v>Uncle Sams Cider (5/13/2022)</v>
      </c>
      <c r="H2943" s="19"/>
    </row>
    <row r="2944">
      <c r="A2944" s="9"/>
      <c r="B2944" s="15"/>
      <c r="C2944" s="9">
        <f>IFERROR(__xludf.DUMMYFUNCTION("""COMPUTED_VALUE"""),44765.9424283912)</f>
        <v>44765.94243</v>
      </c>
      <c r="D2944" s="15">
        <f>IFERROR(__xludf.DUMMYFUNCTION("""COMPUTED_VALUE"""),1.004)</f>
        <v>1.004</v>
      </c>
      <c r="E2944" s="16">
        <f>IFERROR(__xludf.DUMMYFUNCTION("""COMPUTED_VALUE"""),67.0)</f>
        <v>67</v>
      </c>
      <c r="F2944" s="19" t="str">
        <f>IFERROR(__xludf.DUMMYFUNCTION("""COMPUTED_VALUE"""),"BLACK")</f>
        <v>BLACK</v>
      </c>
      <c r="G2944" s="20" t="str">
        <f>IFERROR(__xludf.DUMMYFUNCTION("""COMPUTED_VALUE"""),"Uncle Sams Cider (5/13/2022)")</f>
        <v>Uncle Sams Cider (5/13/2022)</v>
      </c>
      <c r="H2944" s="19"/>
    </row>
    <row r="2945">
      <c r="A2945" s="9"/>
      <c r="B2945" s="15"/>
      <c r="C2945" s="9">
        <f>IFERROR(__xludf.DUMMYFUNCTION("""COMPUTED_VALUE"""),44765.9320068055)</f>
        <v>44765.93201</v>
      </c>
      <c r="D2945" s="15">
        <f>IFERROR(__xludf.DUMMYFUNCTION("""COMPUTED_VALUE"""),1.004)</f>
        <v>1.004</v>
      </c>
      <c r="E2945" s="16">
        <f>IFERROR(__xludf.DUMMYFUNCTION("""COMPUTED_VALUE"""),66.0)</f>
        <v>66</v>
      </c>
      <c r="F2945" s="19" t="str">
        <f>IFERROR(__xludf.DUMMYFUNCTION("""COMPUTED_VALUE"""),"BLACK")</f>
        <v>BLACK</v>
      </c>
      <c r="G2945" s="20" t="str">
        <f>IFERROR(__xludf.DUMMYFUNCTION("""COMPUTED_VALUE"""),"Uncle Sams Cider (5/13/2022)")</f>
        <v>Uncle Sams Cider (5/13/2022)</v>
      </c>
      <c r="H2945" s="19"/>
    </row>
    <row r="2946">
      <c r="A2946" s="9"/>
      <c r="B2946" s="15"/>
      <c r="C2946" s="9">
        <f>IFERROR(__xludf.DUMMYFUNCTION("""COMPUTED_VALUE"""),44765.9215729745)</f>
        <v>44765.92157</v>
      </c>
      <c r="D2946" s="15">
        <f>IFERROR(__xludf.DUMMYFUNCTION("""COMPUTED_VALUE"""),1.004)</f>
        <v>1.004</v>
      </c>
      <c r="E2946" s="16">
        <f>IFERROR(__xludf.DUMMYFUNCTION("""COMPUTED_VALUE"""),66.0)</f>
        <v>66</v>
      </c>
      <c r="F2946" s="19" t="str">
        <f>IFERROR(__xludf.DUMMYFUNCTION("""COMPUTED_VALUE"""),"BLACK")</f>
        <v>BLACK</v>
      </c>
      <c r="G2946" s="20" t="str">
        <f>IFERROR(__xludf.DUMMYFUNCTION("""COMPUTED_VALUE"""),"Uncle Sams Cider (5/13/2022)")</f>
        <v>Uncle Sams Cider (5/13/2022)</v>
      </c>
      <c r="H2946" s="19"/>
    </row>
    <row r="2947">
      <c r="A2947" s="9"/>
      <c r="B2947" s="15"/>
      <c r="C2947" s="9">
        <f>IFERROR(__xludf.DUMMYFUNCTION("""COMPUTED_VALUE"""),44765.91115228)</f>
        <v>44765.91115</v>
      </c>
      <c r="D2947" s="15">
        <f>IFERROR(__xludf.DUMMYFUNCTION("""COMPUTED_VALUE"""),1.004)</f>
        <v>1.004</v>
      </c>
      <c r="E2947" s="16">
        <f>IFERROR(__xludf.DUMMYFUNCTION("""COMPUTED_VALUE"""),66.0)</f>
        <v>66</v>
      </c>
      <c r="F2947" s="19" t="str">
        <f>IFERROR(__xludf.DUMMYFUNCTION("""COMPUTED_VALUE"""),"BLACK")</f>
        <v>BLACK</v>
      </c>
      <c r="G2947" s="20" t="str">
        <f>IFERROR(__xludf.DUMMYFUNCTION("""COMPUTED_VALUE"""),"Uncle Sams Cider (5/13/2022)")</f>
        <v>Uncle Sams Cider (5/13/2022)</v>
      </c>
      <c r="H2947" s="19"/>
    </row>
    <row r="2948">
      <c r="A2948" s="9"/>
      <c r="B2948" s="15"/>
      <c r="C2948" s="9">
        <f>IFERROR(__xludf.DUMMYFUNCTION("""COMPUTED_VALUE"""),44765.9007322569)</f>
        <v>44765.90073</v>
      </c>
      <c r="D2948" s="15">
        <f>IFERROR(__xludf.DUMMYFUNCTION("""COMPUTED_VALUE"""),1.004)</f>
        <v>1.004</v>
      </c>
      <c r="E2948" s="16">
        <f>IFERROR(__xludf.DUMMYFUNCTION("""COMPUTED_VALUE"""),66.0)</f>
        <v>66</v>
      </c>
      <c r="F2948" s="19" t="str">
        <f>IFERROR(__xludf.DUMMYFUNCTION("""COMPUTED_VALUE"""),"BLACK")</f>
        <v>BLACK</v>
      </c>
      <c r="G2948" s="20" t="str">
        <f>IFERROR(__xludf.DUMMYFUNCTION("""COMPUTED_VALUE"""),"Uncle Sams Cider (5/13/2022)")</f>
        <v>Uncle Sams Cider (5/13/2022)</v>
      </c>
      <c r="H2948" s="19"/>
    </row>
    <row r="2949">
      <c r="A2949" s="9"/>
      <c r="B2949" s="15"/>
      <c r="C2949" s="9">
        <f>IFERROR(__xludf.DUMMYFUNCTION("""COMPUTED_VALUE"""),44765.8902997685)</f>
        <v>44765.8903</v>
      </c>
      <c r="D2949" s="15">
        <f>IFERROR(__xludf.DUMMYFUNCTION("""COMPUTED_VALUE"""),1.004)</f>
        <v>1.004</v>
      </c>
      <c r="E2949" s="16">
        <f>IFERROR(__xludf.DUMMYFUNCTION("""COMPUTED_VALUE"""),66.0)</f>
        <v>66</v>
      </c>
      <c r="F2949" s="19" t="str">
        <f>IFERROR(__xludf.DUMMYFUNCTION("""COMPUTED_VALUE"""),"BLACK")</f>
        <v>BLACK</v>
      </c>
      <c r="G2949" s="20" t="str">
        <f>IFERROR(__xludf.DUMMYFUNCTION("""COMPUTED_VALUE"""),"Uncle Sams Cider (5/13/2022)")</f>
        <v>Uncle Sams Cider (5/13/2022)</v>
      </c>
      <c r="H2949" s="19"/>
    </row>
    <row r="2950">
      <c r="A2950" s="9"/>
      <c r="B2950" s="15"/>
      <c r="C2950" s="9">
        <f>IFERROR(__xludf.DUMMYFUNCTION("""COMPUTED_VALUE"""),44765.8798797106)</f>
        <v>44765.87988</v>
      </c>
      <c r="D2950" s="15">
        <f>IFERROR(__xludf.DUMMYFUNCTION("""COMPUTED_VALUE"""),1.004)</f>
        <v>1.004</v>
      </c>
      <c r="E2950" s="16">
        <f>IFERROR(__xludf.DUMMYFUNCTION("""COMPUTED_VALUE"""),66.0)</f>
        <v>66</v>
      </c>
      <c r="F2950" s="19" t="str">
        <f>IFERROR(__xludf.DUMMYFUNCTION("""COMPUTED_VALUE"""),"BLACK")</f>
        <v>BLACK</v>
      </c>
      <c r="G2950" s="20" t="str">
        <f>IFERROR(__xludf.DUMMYFUNCTION("""COMPUTED_VALUE"""),"Uncle Sams Cider (5/13/2022)")</f>
        <v>Uncle Sams Cider (5/13/2022)</v>
      </c>
      <c r="H2950" s="19"/>
    </row>
    <row r="2951">
      <c r="A2951" s="9"/>
      <c r="B2951" s="15"/>
      <c r="C2951" s="9">
        <f>IFERROR(__xludf.DUMMYFUNCTION("""COMPUTED_VALUE"""),44765.8694575578)</f>
        <v>44765.86946</v>
      </c>
      <c r="D2951" s="15">
        <f>IFERROR(__xludf.DUMMYFUNCTION("""COMPUTED_VALUE"""),1.004)</f>
        <v>1.004</v>
      </c>
      <c r="E2951" s="16">
        <f>IFERROR(__xludf.DUMMYFUNCTION("""COMPUTED_VALUE"""),66.0)</f>
        <v>66</v>
      </c>
      <c r="F2951" s="19" t="str">
        <f>IFERROR(__xludf.DUMMYFUNCTION("""COMPUTED_VALUE"""),"BLACK")</f>
        <v>BLACK</v>
      </c>
      <c r="G2951" s="20" t="str">
        <f>IFERROR(__xludf.DUMMYFUNCTION("""COMPUTED_VALUE"""),"Uncle Sams Cider (5/13/2022)")</f>
        <v>Uncle Sams Cider (5/13/2022)</v>
      </c>
      <c r="H2951" s="19"/>
    </row>
    <row r="2952">
      <c r="A2952" s="9"/>
      <c r="B2952" s="15"/>
      <c r="C2952" s="9">
        <f>IFERROR(__xludf.DUMMYFUNCTION("""COMPUTED_VALUE"""),44765.8590241088)</f>
        <v>44765.85902</v>
      </c>
      <c r="D2952" s="15">
        <f>IFERROR(__xludf.DUMMYFUNCTION("""COMPUTED_VALUE"""),1.004)</f>
        <v>1.004</v>
      </c>
      <c r="E2952" s="16">
        <f>IFERROR(__xludf.DUMMYFUNCTION("""COMPUTED_VALUE"""),66.0)</f>
        <v>66</v>
      </c>
      <c r="F2952" s="19" t="str">
        <f>IFERROR(__xludf.DUMMYFUNCTION("""COMPUTED_VALUE"""),"BLACK")</f>
        <v>BLACK</v>
      </c>
      <c r="G2952" s="20" t="str">
        <f>IFERROR(__xludf.DUMMYFUNCTION("""COMPUTED_VALUE"""),"Uncle Sams Cider (5/13/2022)")</f>
        <v>Uncle Sams Cider (5/13/2022)</v>
      </c>
      <c r="H2952" s="19"/>
    </row>
    <row r="2953">
      <c r="A2953" s="9"/>
      <c r="B2953" s="15"/>
      <c r="C2953" s="9">
        <f>IFERROR(__xludf.DUMMYFUNCTION("""COMPUTED_VALUE"""),44765.8485901851)</f>
        <v>44765.84859</v>
      </c>
      <c r="D2953" s="15">
        <f>IFERROR(__xludf.DUMMYFUNCTION("""COMPUTED_VALUE"""),1.004)</f>
        <v>1.004</v>
      </c>
      <c r="E2953" s="16">
        <f>IFERROR(__xludf.DUMMYFUNCTION("""COMPUTED_VALUE"""),66.0)</f>
        <v>66</v>
      </c>
      <c r="F2953" s="19" t="str">
        <f>IFERROR(__xludf.DUMMYFUNCTION("""COMPUTED_VALUE"""),"BLACK")</f>
        <v>BLACK</v>
      </c>
      <c r="G2953" s="20" t="str">
        <f>IFERROR(__xludf.DUMMYFUNCTION("""COMPUTED_VALUE"""),"Uncle Sams Cider (5/13/2022)")</f>
        <v>Uncle Sams Cider (5/13/2022)</v>
      </c>
      <c r="H2953" s="19"/>
    </row>
    <row r="2954">
      <c r="A2954" s="9"/>
      <c r="B2954" s="15"/>
      <c r="C2954" s="9">
        <f>IFERROR(__xludf.DUMMYFUNCTION("""COMPUTED_VALUE"""),44765.838157743)</f>
        <v>44765.83816</v>
      </c>
      <c r="D2954" s="15">
        <f>IFERROR(__xludf.DUMMYFUNCTION("""COMPUTED_VALUE"""),1.004)</f>
        <v>1.004</v>
      </c>
      <c r="E2954" s="16">
        <f>IFERROR(__xludf.DUMMYFUNCTION("""COMPUTED_VALUE"""),66.0)</f>
        <v>66</v>
      </c>
      <c r="F2954" s="19" t="str">
        <f>IFERROR(__xludf.DUMMYFUNCTION("""COMPUTED_VALUE"""),"BLACK")</f>
        <v>BLACK</v>
      </c>
      <c r="G2954" s="20" t="str">
        <f>IFERROR(__xludf.DUMMYFUNCTION("""COMPUTED_VALUE"""),"Uncle Sams Cider (5/13/2022)")</f>
        <v>Uncle Sams Cider (5/13/2022)</v>
      </c>
      <c r="H2954" s="19"/>
    </row>
    <row r="2955">
      <c r="A2955" s="9"/>
      <c r="B2955" s="15"/>
      <c r="C2955" s="9">
        <f>IFERROR(__xludf.DUMMYFUNCTION("""COMPUTED_VALUE"""),44765.8277369676)</f>
        <v>44765.82774</v>
      </c>
      <c r="D2955" s="15">
        <f>IFERROR(__xludf.DUMMYFUNCTION("""COMPUTED_VALUE"""),1.004)</f>
        <v>1.004</v>
      </c>
      <c r="E2955" s="16">
        <f>IFERROR(__xludf.DUMMYFUNCTION("""COMPUTED_VALUE"""),66.0)</f>
        <v>66</v>
      </c>
      <c r="F2955" s="19" t="str">
        <f>IFERROR(__xludf.DUMMYFUNCTION("""COMPUTED_VALUE"""),"BLACK")</f>
        <v>BLACK</v>
      </c>
      <c r="G2955" s="20" t="str">
        <f>IFERROR(__xludf.DUMMYFUNCTION("""COMPUTED_VALUE"""),"Uncle Sams Cider (5/13/2022)")</f>
        <v>Uncle Sams Cider (5/13/2022)</v>
      </c>
      <c r="H2955" s="19"/>
    </row>
    <row r="2956">
      <c r="A2956" s="9"/>
      <c r="B2956" s="15"/>
      <c r="C2956" s="9">
        <f>IFERROR(__xludf.DUMMYFUNCTION("""COMPUTED_VALUE"""),44765.8173187152)</f>
        <v>44765.81732</v>
      </c>
      <c r="D2956" s="15">
        <f>IFERROR(__xludf.DUMMYFUNCTION("""COMPUTED_VALUE"""),1.004)</f>
        <v>1.004</v>
      </c>
      <c r="E2956" s="16">
        <f>IFERROR(__xludf.DUMMYFUNCTION("""COMPUTED_VALUE"""),66.0)</f>
        <v>66</v>
      </c>
      <c r="F2956" s="19" t="str">
        <f>IFERROR(__xludf.DUMMYFUNCTION("""COMPUTED_VALUE"""),"BLACK")</f>
        <v>BLACK</v>
      </c>
      <c r="G2956" s="20" t="str">
        <f>IFERROR(__xludf.DUMMYFUNCTION("""COMPUTED_VALUE"""),"Uncle Sams Cider (5/13/2022)")</f>
        <v>Uncle Sams Cider (5/13/2022)</v>
      </c>
      <c r="H2956" s="19"/>
    </row>
    <row r="2957">
      <c r="A2957" s="9"/>
      <c r="B2957" s="15"/>
      <c r="C2957" s="9">
        <f>IFERROR(__xludf.DUMMYFUNCTION("""COMPUTED_VALUE"""),44765.8068983564)</f>
        <v>44765.8069</v>
      </c>
      <c r="D2957" s="15">
        <f>IFERROR(__xludf.DUMMYFUNCTION("""COMPUTED_VALUE"""),1.004)</f>
        <v>1.004</v>
      </c>
      <c r="E2957" s="16">
        <f>IFERROR(__xludf.DUMMYFUNCTION("""COMPUTED_VALUE"""),66.0)</f>
        <v>66</v>
      </c>
      <c r="F2957" s="19" t="str">
        <f>IFERROR(__xludf.DUMMYFUNCTION("""COMPUTED_VALUE"""),"BLACK")</f>
        <v>BLACK</v>
      </c>
      <c r="G2957" s="20" t="str">
        <f>IFERROR(__xludf.DUMMYFUNCTION("""COMPUTED_VALUE"""),"Uncle Sams Cider (5/13/2022)")</f>
        <v>Uncle Sams Cider (5/13/2022)</v>
      </c>
      <c r="H2957" s="19"/>
    </row>
    <row r="2958">
      <c r="A2958" s="9"/>
      <c r="B2958" s="15"/>
      <c r="C2958" s="9">
        <f>IFERROR(__xludf.DUMMYFUNCTION("""COMPUTED_VALUE"""),44765.7964768171)</f>
        <v>44765.79648</v>
      </c>
      <c r="D2958" s="15">
        <f>IFERROR(__xludf.DUMMYFUNCTION("""COMPUTED_VALUE"""),1.004)</f>
        <v>1.004</v>
      </c>
      <c r="E2958" s="16">
        <f>IFERROR(__xludf.DUMMYFUNCTION("""COMPUTED_VALUE"""),66.0)</f>
        <v>66</v>
      </c>
      <c r="F2958" s="19" t="str">
        <f>IFERROR(__xludf.DUMMYFUNCTION("""COMPUTED_VALUE"""),"BLACK")</f>
        <v>BLACK</v>
      </c>
      <c r="G2958" s="20" t="str">
        <f>IFERROR(__xludf.DUMMYFUNCTION("""COMPUTED_VALUE"""),"Uncle Sams Cider (5/13/2022)")</f>
        <v>Uncle Sams Cider (5/13/2022)</v>
      </c>
      <c r="H2958" s="19"/>
    </row>
    <row r="2959">
      <c r="A2959" s="9"/>
      <c r="B2959" s="15"/>
      <c r="C2959" s="9">
        <f>IFERROR(__xludf.DUMMYFUNCTION("""COMPUTED_VALUE"""),44765.7860553472)</f>
        <v>44765.78606</v>
      </c>
      <c r="D2959" s="15">
        <f>IFERROR(__xludf.DUMMYFUNCTION("""COMPUTED_VALUE"""),1.004)</f>
        <v>1.004</v>
      </c>
      <c r="E2959" s="16">
        <f>IFERROR(__xludf.DUMMYFUNCTION("""COMPUTED_VALUE"""),66.0)</f>
        <v>66</v>
      </c>
      <c r="F2959" s="19" t="str">
        <f>IFERROR(__xludf.DUMMYFUNCTION("""COMPUTED_VALUE"""),"BLACK")</f>
        <v>BLACK</v>
      </c>
      <c r="G2959" s="20" t="str">
        <f>IFERROR(__xludf.DUMMYFUNCTION("""COMPUTED_VALUE"""),"Uncle Sams Cider (5/13/2022)")</f>
        <v>Uncle Sams Cider (5/13/2022)</v>
      </c>
      <c r="H2959" s="19"/>
    </row>
    <row r="2960">
      <c r="A2960" s="9"/>
      <c r="B2960" s="15"/>
      <c r="C2960" s="9">
        <f>IFERROR(__xludf.DUMMYFUNCTION("""COMPUTED_VALUE"""),44765.7756334722)</f>
        <v>44765.77563</v>
      </c>
      <c r="D2960" s="15">
        <f>IFERROR(__xludf.DUMMYFUNCTION("""COMPUTED_VALUE"""),1.004)</f>
        <v>1.004</v>
      </c>
      <c r="E2960" s="16">
        <f>IFERROR(__xludf.DUMMYFUNCTION("""COMPUTED_VALUE"""),66.0)</f>
        <v>66</v>
      </c>
      <c r="F2960" s="19" t="str">
        <f>IFERROR(__xludf.DUMMYFUNCTION("""COMPUTED_VALUE"""),"BLACK")</f>
        <v>BLACK</v>
      </c>
      <c r="G2960" s="20" t="str">
        <f>IFERROR(__xludf.DUMMYFUNCTION("""COMPUTED_VALUE"""),"Uncle Sams Cider (5/13/2022)")</f>
        <v>Uncle Sams Cider (5/13/2022)</v>
      </c>
      <c r="H2960" s="19"/>
    </row>
    <row r="2961">
      <c r="A2961" s="9"/>
      <c r="B2961" s="15"/>
      <c r="C2961" s="9">
        <f>IFERROR(__xludf.DUMMYFUNCTION("""COMPUTED_VALUE"""),44765.7652020254)</f>
        <v>44765.7652</v>
      </c>
      <c r="D2961" s="15">
        <f>IFERROR(__xludf.DUMMYFUNCTION("""COMPUTED_VALUE"""),1.004)</f>
        <v>1.004</v>
      </c>
      <c r="E2961" s="16">
        <f>IFERROR(__xludf.DUMMYFUNCTION("""COMPUTED_VALUE"""),66.0)</f>
        <v>66</v>
      </c>
      <c r="F2961" s="19" t="str">
        <f>IFERROR(__xludf.DUMMYFUNCTION("""COMPUTED_VALUE"""),"BLACK")</f>
        <v>BLACK</v>
      </c>
      <c r="G2961" s="20" t="str">
        <f>IFERROR(__xludf.DUMMYFUNCTION("""COMPUTED_VALUE"""),"Uncle Sams Cider (5/13/2022)")</f>
        <v>Uncle Sams Cider (5/13/2022)</v>
      </c>
      <c r="H2961" s="19"/>
    </row>
    <row r="2962">
      <c r="A2962" s="9"/>
      <c r="B2962" s="15"/>
      <c r="C2962" s="9">
        <f>IFERROR(__xludf.DUMMYFUNCTION("""COMPUTED_VALUE"""),44765.7547825694)</f>
        <v>44765.75478</v>
      </c>
      <c r="D2962" s="15">
        <f>IFERROR(__xludf.DUMMYFUNCTION("""COMPUTED_VALUE"""),1.004)</f>
        <v>1.004</v>
      </c>
      <c r="E2962" s="16">
        <f>IFERROR(__xludf.DUMMYFUNCTION("""COMPUTED_VALUE"""),66.0)</f>
        <v>66</v>
      </c>
      <c r="F2962" s="19" t="str">
        <f>IFERROR(__xludf.DUMMYFUNCTION("""COMPUTED_VALUE"""),"BLACK")</f>
        <v>BLACK</v>
      </c>
      <c r="G2962" s="20" t="str">
        <f>IFERROR(__xludf.DUMMYFUNCTION("""COMPUTED_VALUE"""),"Uncle Sams Cider (5/13/2022)")</f>
        <v>Uncle Sams Cider (5/13/2022)</v>
      </c>
      <c r="H2962" s="19"/>
    </row>
    <row r="2963">
      <c r="A2963" s="9"/>
      <c r="B2963" s="15"/>
      <c r="C2963" s="9">
        <f>IFERROR(__xludf.DUMMYFUNCTION("""COMPUTED_VALUE"""),44765.7443608333)</f>
        <v>44765.74436</v>
      </c>
      <c r="D2963" s="15">
        <f>IFERROR(__xludf.DUMMYFUNCTION("""COMPUTED_VALUE"""),1.004)</f>
        <v>1.004</v>
      </c>
      <c r="E2963" s="16">
        <f>IFERROR(__xludf.DUMMYFUNCTION("""COMPUTED_VALUE"""),66.0)</f>
        <v>66</v>
      </c>
      <c r="F2963" s="19" t="str">
        <f>IFERROR(__xludf.DUMMYFUNCTION("""COMPUTED_VALUE"""),"BLACK")</f>
        <v>BLACK</v>
      </c>
      <c r="G2963" s="20" t="str">
        <f>IFERROR(__xludf.DUMMYFUNCTION("""COMPUTED_VALUE"""),"Uncle Sams Cider (5/13/2022)")</f>
        <v>Uncle Sams Cider (5/13/2022)</v>
      </c>
      <c r="H2963" s="19"/>
    </row>
    <row r="2964">
      <c r="A2964" s="9"/>
      <c r="B2964" s="15"/>
      <c r="C2964" s="9">
        <f>IFERROR(__xludf.DUMMYFUNCTION("""COMPUTED_VALUE"""),44765.7339397106)</f>
        <v>44765.73394</v>
      </c>
      <c r="D2964" s="15">
        <f>IFERROR(__xludf.DUMMYFUNCTION("""COMPUTED_VALUE"""),1.004)</f>
        <v>1.004</v>
      </c>
      <c r="E2964" s="16">
        <f>IFERROR(__xludf.DUMMYFUNCTION("""COMPUTED_VALUE"""),66.0)</f>
        <v>66</v>
      </c>
      <c r="F2964" s="19" t="str">
        <f>IFERROR(__xludf.DUMMYFUNCTION("""COMPUTED_VALUE"""),"BLACK")</f>
        <v>BLACK</v>
      </c>
      <c r="G2964" s="20" t="str">
        <f>IFERROR(__xludf.DUMMYFUNCTION("""COMPUTED_VALUE"""),"Uncle Sams Cider (5/13/2022)")</f>
        <v>Uncle Sams Cider (5/13/2022)</v>
      </c>
      <c r="H2964" s="19"/>
    </row>
    <row r="2965">
      <c r="A2965" s="9"/>
      <c r="B2965" s="15"/>
      <c r="C2965" s="9">
        <f>IFERROR(__xludf.DUMMYFUNCTION("""COMPUTED_VALUE"""),44765.7235182754)</f>
        <v>44765.72352</v>
      </c>
      <c r="D2965" s="15">
        <f>IFERROR(__xludf.DUMMYFUNCTION("""COMPUTED_VALUE"""),1.004)</f>
        <v>1.004</v>
      </c>
      <c r="E2965" s="16">
        <f>IFERROR(__xludf.DUMMYFUNCTION("""COMPUTED_VALUE"""),66.0)</f>
        <v>66</v>
      </c>
      <c r="F2965" s="19" t="str">
        <f>IFERROR(__xludf.DUMMYFUNCTION("""COMPUTED_VALUE"""),"BLACK")</f>
        <v>BLACK</v>
      </c>
      <c r="G2965" s="20" t="str">
        <f>IFERROR(__xludf.DUMMYFUNCTION("""COMPUTED_VALUE"""),"Uncle Sams Cider (5/13/2022)")</f>
        <v>Uncle Sams Cider (5/13/2022)</v>
      </c>
      <c r="H2965" s="19"/>
    </row>
    <row r="2966">
      <c r="A2966" s="9"/>
      <c r="B2966" s="15"/>
      <c r="C2966" s="9">
        <f>IFERROR(__xludf.DUMMYFUNCTION("""COMPUTED_VALUE"""),44765.7130978356)</f>
        <v>44765.7131</v>
      </c>
      <c r="D2966" s="15">
        <f>IFERROR(__xludf.DUMMYFUNCTION("""COMPUTED_VALUE"""),1.004)</f>
        <v>1.004</v>
      </c>
      <c r="E2966" s="16">
        <f>IFERROR(__xludf.DUMMYFUNCTION("""COMPUTED_VALUE"""),66.0)</f>
        <v>66</v>
      </c>
      <c r="F2966" s="19" t="str">
        <f>IFERROR(__xludf.DUMMYFUNCTION("""COMPUTED_VALUE"""),"BLACK")</f>
        <v>BLACK</v>
      </c>
      <c r="G2966" s="20" t="str">
        <f>IFERROR(__xludf.DUMMYFUNCTION("""COMPUTED_VALUE"""),"Uncle Sams Cider (5/13/2022)")</f>
        <v>Uncle Sams Cider (5/13/2022)</v>
      </c>
      <c r="H2966" s="19"/>
    </row>
    <row r="2967">
      <c r="A2967" s="9"/>
      <c r="B2967" s="15"/>
      <c r="C2967" s="9">
        <f>IFERROR(__xludf.DUMMYFUNCTION("""COMPUTED_VALUE"""),44765.7026768171)</f>
        <v>44765.70268</v>
      </c>
      <c r="D2967" s="15">
        <f>IFERROR(__xludf.DUMMYFUNCTION("""COMPUTED_VALUE"""),1.004)</f>
        <v>1.004</v>
      </c>
      <c r="E2967" s="16">
        <f>IFERROR(__xludf.DUMMYFUNCTION("""COMPUTED_VALUE"""),66.0)</f>
        <v>66</v>
      </c>
      <c r="F2967" s="19" t="str">
        <f>IFERROR(__xludf.DUMMYFUNCTION("""COMPUTED_VALUE"""),"BLACK")</f>
        <v>BLACK</v>
      </c>
      <c r="G2967" s="20" t="str">
        <f>IFERROR(__xludf.DUMMYFUNCTION("""COMPUTED_VALUE"""),"Uncle Sams Cider (5/13/2022)")</f>
        <v>Uncle Sams Cider (5/13/2022)</v>
      </c>
      <c r="H2967" s="19"/>
    </row>
    <row r="2968">
      <c r="A2968" s="9"/>
      <c r="B2968" s="15"/>
      <c r="C2968" s="9">
        <f>IFERROR(__xludf.DUMMYFUNCTION("""COMPUTED_VALUE"""),44765.6922557754)</f>
        <v>44765.69226</v>
      </c>
      <c r="D2968" s="15">
        <f>IFERROR(__xludf.DUMMYFUNCTION("""COMPUTED_VALUE"""),1.004)</f>
        <v>1.004</v>
      </c>
      <c r="E2968" s="16">
        <f>IFERROR(__xludf.DUMMYFUNCTION("""COMPUTED_VALUE"""),66.0)</f>
        <v>66</v>
      </c>
      <c r="F2968" s="19" t="str">
        <f>IFERROR(__xludf.DUMMYFUNCTION("""COMPUTED_VALUE"""),"BLACK")</f>
        <v>BLACK</v>
      </c>
      <c r="G2968" s="20" t="str">
        <f>IFERROR(__xludf.DUMMYFUNCTION("""COMPUTED_VALUE"""),"Uncle Sams Cider (5/13/2022)")</f>
        <v>Uncle Sams Cider (5/13/2022)</v>
      </c>
      <c r="H2968" s="19"/>
    </row>
    <row r="2969">
      <c r="A2969" s="9"/>
      <c r="B2969" s="15"/>
      <c r="C2969" s="9">
        <f>IFERROR(__xludf.DUMMYFUNCTION("""COMPUTED_VALUE"""),44765.6818349074)</f>
        <v>44765.68183</v>
      </c>
      <c r="D2969" s="15">
        <f>IFERROR(__xludf.DUMMYFUNCTION("""COMPUTED_VALUE"""),1.004)</f>
        <v>1.004</v>
      </c>
      <c r="E2969" s="16">
        <f>IFERROR(__xludf.DUMMYFUNCTION("""COMPUTED_VALUE"""),66.0)</f>
        <v>66</v>
      </c>
      <c r="F2969" s="19" t="str">
        <f>IFERROR(__xludf.DUMMYFUNCTION("""COMPUTED_VALUE"""),"BLACK")</f>
        <v>BLACK</v>
      </c>
      <c r="G2969" s="20" t="str">
        <f>IFERROR(__xludf.DUMMYFUNCTION("""COMPUTED_VALUE"""),"Uncle Sams Cider (5/13/2022)")</f>
        <v>Uncle Sams Cider (5/13/2022)</v>
      </c>
      <c r="H2969" s="19"/>
    </row>
    <row r="2970">
      <c r="A2970" s="9"/>
      <c r="B2970" s="15"/>
      <c r="C2970" s="9">
        <f>IFERROR(__xludf.DUMMYFUNCTION("""COMPUTED_VALUE"""),44765.6714137384)</f>
        <v>44765.67141</v>
      </c>
      <c r="D2970" s="15">
        <f>IFERROR(__xludf.DUMMYFUNCTION("""COMPUTED_VALUE"""),1.004)</f>
        <v>1.004</v>
      </c>
      <c r="E2970" s="16">
        <f>IFERROR(__xludf.DUMMYFUNCTION("""COMPUTED_VALUE"""),66.0)</f>
        <v>66</v>
      </c>
      <c r="F2970" s="19" t="str">
        <f>IFERROR(__xludf.DUMMYFUNCTION("""COMPUTED_VALUE"""),"BLACK")</f>
        <v>BLACK</v>
      </c>
      <c r="G2970" s="20" t="str">
        <f>IFERROR(__xludf.DUMMYFUNCTION("""COMPUTED_VALUE"""),"Uncle Sams Cider (5/13/2022)")</f>
        <v>Uncle Sams Cider (5/13/2022)</v>
      </c>
      <c r="H2970" s="19"/>
    </row>
    <row r="2971">
      <c r="A2971" s="9"/>
      <c r="B2971" s="15"/>
      <c r="C2971" s="9">
        <f>IFERROR(__xludf.DUMMYFUNCTION("""COMPUTED_VALUE"""),44765.6609802662)</f>
        <v>44765.66098</v>
      </c>
      <c r="D2971" s="15">
        <f>IFERROR(__xludf.DUMMYFUNCTION("""COMPUTED_VALUE"""),1.004)</f>
        <v>1.004</v>
      </c>
      <c r="E2971" s="16">
        <f>IFERROR(__xludf.DUMMYFUNCTION("""COMPUTED_VALUE"""),66.0)</f>
        <v>66</v>
      </c>
      <c r="F2971" s="19" t="str">
        <f>IFERROR(__xludf.DUMMYFUNCTION("""COMPUTED_VALUE"""),"BLACK")</f>
        <v>BLACK</v>
      </c>
      <c r="G2971" s="20" t="str">
        <f>IFERROR(__xludf.DUMMYFUNCTION("""COMPUTED_VALUE"""),"Uncle Sams Cider (5/13/2022)")</f>
        <v>Uncle Sams Cider (5/13/2022)</v>
      </c>
      <c r="H2971" s="19"/>
    </row>
    <row r="2972">
      <c r="A2972" s="9"/>
      <c r="B2972" s="15"/>
      <c r="C2972" s="9">
        <f>IFERROR(__xludf.DUMMYFUNCTION("""COMPUTED_VALUE"""),44765.65054853)</f>
        <v>44765.65055</v>
      </c>
      <c r="D2972" s="15">
        <f>IFERROR(__xludf.DUMMYFUNCTION("""COMPUTED_VALUE"""),1.004)</f>
        <v>1.004</v>
      </c>
      <c r="E2972" s="16">
        <f>IFERROR(__xludf.DUMMYFUNCTION("""COMPUTED_VALUE"""),66.0)</f>
        <v>66</v>
      </c>
      <c r="F2972" s="19" t="str">
        <f>IFERROR(__xludf.DUMMYFUNCTION("""COMPUTED_VALUE"""),"BLACK")</f>
        <v>BLACK</v>
      </c>
      <c r="G2972" s="20" t="str">
        <f>IFERROR(__xludf.DUMMYFUNCTION("""COMPUTED_VALUE"""),"Uncle Sams Cider (5/13/2022)")</f>
        <v>Uncle Sams Cider (5/13/2022)</v>
      </c>
      <c r="H2972" s="19"/>
    </row>
    <row r="2973">
      <c r="A2973" s="9"/>
      <c r="B2973" s="15"/>
      <c r="C2973" s="9">
        <f>IFERROR(__xludf.DUMMYFUNCTION("""COMPUTED_VALUE"""),44765.6401260995)</f>
        <v>44765.64013</v>
      </c>
      <c r="D2973" s="15">
        <f>IFERROR(__xludf.DUMMYFUNCTION("""COMPUTED_VALUE"""),1.004)</f>
        <v>1.004</v>
      </c>
      <c r="E2973" s="16">
        <f>IFERROR(__xludf.DUMMYFUNCTION("""COMPUTED_VALUE"""),66.0)</f>
        <v>66</v>
      </c>
      <c r="F2973" s="19" t="str">
        <f>IFERROR(__xludf.DUMMYFUNCTION("""COMPUTED_VALUE"""),"BLACK")</f>
        <v>BLACK</v>
      </c>
      <c r="G2973" s="20" t="str">
        <f>IFERROR(__xludf.DUMMYFUNCTION("""COMPUTED_VALUE"""),"Uncle Sams Cider (5/13/2022)")</f>
        <v>Uncle Sams Cider (5/13/2022)</v>
      </c>
      <c r="H2973" s="19"/>
    </row>
    <row r="2974">
      <c r="A2974" s="9"/>
      <c r="B2974" s="15"/>
      <c r="C2974" s="9">
        <f>IFERROR(__xludf.DUMMYFUNCTION("""COMPUTED_VALUE"""),44765.6297042245)</f>
        <v>44765.6297</v>
      </c>
      <c r="D2974" s="15">
        <f>IFERROR(__xludf.DUMMYFUNCTION("""COMPUTED_VALUE"""),1.004)</f>
        <v>1.004</v>
      </c>
      <c r="E2974" s="16">
        <f>IFERROR(__xludf.DUMMYFUNCTION("""COMPUTED_VALUE"""),66.0)</f>
        <v>66</v>
      </c>
      <c r="F2974" s="19" t="str">
        <f>IFERROR(__xludf.DUMMYFUNCTION("""COMPUTED_VALUE"""),"BLACK")</f>
        <v>BLACK</v>
      </c>
      <c r="G2974" s="20" t="str">
        <f>IFERROR(__xludf.DUMMYFUNCTION("""COMPUTED_VALUE"""),"Uncle Sams Cider (5/13/2022)")</f>
        <v>Uncle Sams Cider (5/13/2022)</v>
      </c>
      <c r="H2974" s="19"/>
    </row>
    <row r="2975">
      <c r="A2975" s="9"/>
      <c r="B2975" s="15"/>
      <c r="C2975" s="9">
        <f>IFERROR(__xludf.DUMMYFUNCTION("""COMPUTED_VALUE"""),44765.6192827662)</f>
        <v>44765.61928</v>
      </c>
      <c r="D2975" s="15">
        <f>IFERROR(__xludf.DUMMYFUNCTION("""COMPUTED_VALUE"""),1.004)</f>
        <v>1.004</v>
      </c>
      <c r="E2975" s="16">
        <f>IFERROR(__xludf.DUMMYFUNCTION("""COMPUTED_VALUE"""),66.0)</f>
        <v>66</v>
      </c>
      <c r="F2975" s="19" t="str">
        <f>IFERROR(__xludf.DUMMYFUNCTION("""COMPUTED_VALUE"""),"BLACK")</f>
        <v>BLACK</v>
      </c>
      <c r="G2975" s="20" t="str">
        <f>IFERROR(__xludf.DUMMYFUNCTION("""COMPUTED_VALUE"""),"Uncle Sams Cider (5/13/2022)")</f>
        <v>Uncle Sams Cider (5/13/2022)</v>
      </c>
      <c r="H2975" s="19"/>
    </row>
    <row r="2976">
      <c r="A2976" s="9"/>
      <c r="B2976" s="15"/>
      <c r="C2976" s="9">
        <f>IFERROR(__xludf.DUMMYFUNCTION("""COMPUTED_VALUE"""),44765.6088615625)</f>
        <v>44765.60886</v>
      </c>
      <c r="D2976" s="15">
        <f>IFERROR(__xludf.DUMMYFUNCTION("""COMPUTED_VALUE"""),1.004)</f>
        <v>1.004</v>
      </c>
      <c r="E2976" s="16">
        <f>IFERROR(__xludf.DUMMYFUNCTION("""COMPUTED_VALUE"""),66.0)</f>
        <v>66</v>
      </c>
      <c r="F2976" s="19" t="str">
        <f>IFERROR(__xludf.DUMMYFUNCTION("""COMPUTED_VALUE"""),"BLACK")</f>
        <v>BLACK</v>
      </c>
      <c r="G2976" s="20" t="str">
        <f>IFERROR(__xludf.DUMMYFUNCTION("""COMPUTED_VALUE"""),"Uncle Sams Cider (5/13/2022)")</f>
        <v>Uncle Sams Cider (5/13/2022)</v>
      </c>
      <c r="H2976" s="19"/>
    </row>
    <row r="2977">
      <c r="A2977" s="9"/>
      <c r="B2977" s="15"/>
      <c r="C2977" s="9">
        <f>IFERROR(__xludf.DUMMYFUNCTION("""COMPUTED_VALUE"""),44765.5984395601)</f>
        <v>44765.59844</v>
      </c>
      <c r="D2977" s="15">
        <f>IFERROR(__xludf.DUMMYFUNCTION("""COMPUTED_VALUE"""),1.004)</f>
        <v>1.004</v>
      </c>
      <c r="E2977" s="16">
        <f>IFERROR(__xludf.DUMMYFUNCTION("""COMPUTED_VALUE"""),66.0)</f>
        <v>66</v>
      </c>
      <c r="F2977" s="19" t="str">
        <f>IFERROR(__xludf.DUMMYFUNCTION("""COMPUTED_VALUE"""),"BLACK")</f>
        <v>BLACK</v>
      </c>
      <c r="G2977" s="20" t="str">
        <f>IFERROR(__xludf.DUMMYFUNCTION("""COMPUTED_VALUE"""),"Uncle Sams Cider (5/13/2022)")</f>
        <v>Uncle Sams Cider (5/13/2022)</v>
      </c>
      <c r="H2977" s="19"/>
    </row>
    <row r="2978">
      <c r="A2978" s="9"/>
      <c r="B2978" s="15"/>
      <c r="C2978" s="9">
        <f>IFERROR(__xludf.DUMMYFUNCTION("""COMPUTED_VALUE"""),44765.5880194097)</f>
        <v>44765.58802</v>
      </c>
      <c r="D2978" s="15">
        <f>IFERROR(__xludf.DUMMYFUNCTION("""COMPUTED_VALUE"""),1.004)</f>
        <v>1.004</v>
      </c>
      <c r="E2978" s="16">
        <f>IFERROR(__xludf.DUMMYFUNCTION("""COMPUTED_VALUE"""),66.0)</f>
        <v>66</v>
      </c>
      <c r="F2978" s="19" t="str">
        <f>IFERROR(__xludf.DUMMYFUNCTION("""COMPUTED_VALUE"""),"BLACK")</f>
        <v>BLACK</v>
      </c>
      <c r="G2978" s="20" t="str">
        <f>IFERROR(__xludf.DUMMYFUNCTION("""COMPUTED_VALUE"""),"Uncle Sams Cider (5/13/2022)")</f>
        <v>Uncle Sams Cider (5/13/2022)</v>
      </c>
      <c r="H2978" s="19"/>
    </row>
    <row r="2979">
      <c r="A2979" s="9"/>
      <c r="B2979" s="15"/>
      <c r="C2979" s="9">
        <f>IFERROR(__xludf.DUMMYFUNCTION("""COMPUTED_VALUE"""),44765.5775994097)</f>
        <v>44765.5776</v>
      </c>
      <c r="D2979" s="15">
        <f>IFERROR(__xludf.DUMMYFUNCTION("""COMPUTED_VALUE"""),1.004)</f>
        <v>1.004</v>
      </c>
      <c r="E2979" s="16">
        <f>IFERROR(__xludf.DUMMYFUNCTION("""COMPUTED_VALUE"""),66.0)</f>
        <v>66</v>
      </c>
      <c r="F2979" s="19" t="str">
        <f>IFERROR(__xludf.DUMMYFUNCTION("""COMPUTED_VALUE"""),"BLACK")</f>
        <v>BLACK</v>
      </c>
      <c r="G2979" s="20" t="str">
        <f>IFERROR(__xludf.DUMMYFUNCTION("""COMPUTED_VALUE"""),"Uncle Sams Cider (5/13/2022)")</f>
        <v>Uncle Sams Cider (5/13/2022)</v>
      </c>
      <c r="H2979" s="19"/>
    </row>
    <row r="2980">
      <c r="A2980" s="9"/>
      <c r="B2980" s="15"/>
      <c r="C2980" s="9">
        <f>IFERROR(__xludf.DUMMYFUNCTION("""COMPUTED_VALUE"""),44765.5671777314)</f>
        <v>44765.56718</v>
      </c>
      <c r="D2980" s="15">
        <f>IFERROR(__xludf.DUMMYFUNCTION("""COMPUTED_VALUE"""),1.004)</f>
        <v>1.004</v>
      </c>
      <c r="E2980" s="16">
        <f>IFERROR(__xludf.DUMMYFUNCTION("""COMPUTED_VALUE"""),66.0)</f>
        <v>66</v>
      </c>
      <c r="F2980" s="19" t="str">
        <f>IFERROR(__xludf.DUMMYFUNCTION("""COMPUTED_VALUE"""),"BLACK")</f>
        <v>BLACK</v>
      </c>
      <c r="G2980" s="20" t="str">
        <f>IFERROR(__xludf.DUMMYFUNCTION("""COMPUTED_VALUE"""),"Uncle Sams Cider (5/13/2022)")</f>
        <v>Uncle Sams Cider (5/13/2022)</v>
      </c>
      <c r="H2980" s="19"/>
    </row>
    <row r="2981">
      <c r="A2981" s="9"/>
      <c r="B2981" s="15"/>
      <c r="C2981" s="9">
        <f>IFERROR(__xludf.DUMMYFUNCTION("""COMPUTED_VALUE"""),44765.5567580324)</f>
        <v>44765.55676</v>
      </c>
      <c r="D2981" s="15">
        <f>IFERROR(__xludf.DUMMYFUNCTION("""COMPUTED_VALUE"""),1.004)</f>
        <v>1.004</v>
      </c>
      <c r="E2981" s="16">
        <f>IFERROR(__xludf.DUMMYFUNCTION("""COMPUTED_VALUE"""),66.0)</f>
        <v>66</v>
      </c>
      <c r="F2981" s="19" t="str">
        <f>IFERROR(__xludf.DUMMYFUNCTION("""COMPUTED_VALUE"""),"BLACK")</f>
        <v>BLACK</v>
      </c>
      <c r="G2981" s="20" t="str">
        <f>IFERROR(__xludf.DUMMYFUNCTION("""COMPUTED_VALUE"""),"Uncle Sams Cider (5/13/2022)")</f>
        <v>Uncle Sams Cider (5/13/2022)</v>
      </c>
      <c r="H2981" s="19"/>
    </row>
    <row r="2982">
      <c r="A2982" s="9"/>
      <c r="B2982" s="15"/>
      <c r="C2982" s="9">
        <f>IFERROR(__xludf.DUMMYFUNCTION("""COMPUTED_VALUE"""),44765.5463371412)</f>
        <v>44765.54634</v>
      </c>
      <c r="D2982" s="15">
        <f>IFERROR(__xludf.DUMMYFUNCTION("""COMPUTED_VALUE"""),1.004)</f>
        <v>1.004</v>
      </c>
      <c r="E2982" s="16">
        <f>IFERROR(__xludf.DUMMYFUNCTION("""COMPUTED_VALUE"""),66.0)</f>
        <v>66</v>
      </c>
      <c r="F2982" s="19" t="str">
        <f>IFERROR(__xludf.DUMMYFUNCTION("""COMPUTED_VALUE"""),"BLACK")</f>
        <v>BLACK</v>
      </c>
      <c r="G2982" s="20" t="str">
        <f>IFERROR(__xludf.DUMMYFUNCTION("""COMPUTED_VALUE"""),"Uncle Sams Cider (5/13/2022)")</f>
        <v>Uncle Sams Cider (5/13/2022)</v>
      </c>
      <c r="H2982" s="19"/>
    </row>
    <row r="2983">
      <c r="A2983" s="9"/>
      <c r="B2983" s="15"/>
      <c r="C2983" s="9">
        <f>IFERROR(__xludf.DUMMYFUNCTION("""COMPUTED_VALUE"""),44765.5359166203)</f>
        <v>44765.53592</v>
      </c>
      <c r="D2983" s="15">
        <f>IFERROR(__xludf.DUMMYFUNCTION("""COMPUTED_VALUE"""),1.004)</f>
        <v>1.004</v>
      </c>
      <c r="E2983" s="16">
        <f>IFERROR(__xludf.DUMMYFUNCTION("""COMPUTED_VALUE"""),66.0)</f>
        <v>66</v>
      </c>
      <c r="F2983" s="19" t="str">
        <f>IFERROR(__xludf.DUMMYFUNCTION("""COMPUTED_VALUE"""),"BLACK")</f>
        <v>BLACK</v>
      </c>
      <c r="G2983" s="20" t="str">
        <f>IFERROR(__xludf.DUMMYFUNCTION("""COMPUTED_VALUE"""),"Uncle Sams Cider (5/13/2022)")</f>
        <v>Uncle Sams Cider (5/13/2022)</v>
      </c>
      <c r="H2983" s="19"/>
    </row>
    <row r="2984">
      <c r="A2984" s="9"/>
      <c r="B2984" s="15"/>
      <c r="C2984" s="9">
        <f>IFERROR(__xludf.DUMMYFUNCTION("""COMPUTED_VALUE"""),44765.52549375)</f>
        <v>44765.52549</v>
      </c>
      <c r="D2984" s="15">
        <f>IFERROR(__xludf.DUMMYFUNCTION("""COMPUTED_VALUE"""),1.004)</f>
        <v>1.004</v>
      </c>
      <c r="E2984" s="16">
        <f>IFERROR(__xludf.DUMMYFUNCTION("""COMPUTED_VALUE"""),66.0)</f>
        <v>66</v>
      </c>
      <c r="F2984" s="19" t="str">
        <f>IFERROR(__xludf.DUMMYFUNCTION("""COMPUTED_VALUE"""),"BLACK")</f>
        <v>BLACK</v>
      </c>
      <c r="G2984" s="20" t="str">
        <f>IFERROR(__xludf.DUMMYFUNCTION("""COMPUTED_VALUE"""),"Uncle Sams Cider (5/13/2022)")</f>
        <v>Uncle Sams Cider (5/13/2022)</v>
      </c>
      <c r="H2984" s="19"/>
    </row>
    <row r="2985">
      <c r="A2985" s="9"/>
      <c r="B2985" s="15"/>
      <c r="C2985" s="9">
        <f>IFERROR(__xludf.DUMMYFUNCTION("""COMPUTED_VALUE"""),44765.5150610532)</f>
        <v>44765.51506</v>
      </c>
      <c r="D2985" s="15">
        <f>IFERROR(__xludf.DUMMYFUNCTION("""COMPUTED_VALUE"""),1.004)</f>
        <v>1.004</v>
      </c>
      <c r="E2985" s="16">
        <f>IFERROR(__xludf.DUMMYFUNCTION("""COMPUTED_VALUE"""),66.0)</f>
        <v>66</v>
      </c>
      <c r="F2985" s="19" t="str">
        <f>IFERROR(__xludf.DUMMYFUNCTION("""COMPUTED_VALUE"""),"BLACK")</f>
        <v>BLACK</v>
      </c>
      <c r="G2985" s="20" t="str">
        <f>IFERROR(__xludf.DUMMYFUNCTION("""COMPUTED_VALUE"""),"Uncle Sams Cider (5/13/2022)")</f>
        <v>Uncle Sams Cider (5/13/2022)</v>
      </c>
      <c r="H2985" s="19"/>
    </row>
    <row r="2986">
      <c r="A2986" s="9"/>
      <c r="B2986" s="15"/>
      <c r="C2986" s="9">
        <f>IFERROR(__xludf.DUMMYFUNCTION("""COMPUTED_VALUE"""),44765.5046404629)</f>
        <v>44765.50464</v>
      </c>
      <c r="D2986" s="15">
        <f>IFERROR(__xludf.DUMMYFUNCTION("""COMPUTED_VALUE"""),1.004)</f>
        <v>1.004</v>
      </c>
      <c r="E2986" s="16">
        <f>IFERROR(__xludf.DUMMYFUNCTION("""COMPUTED_VALUE"""),66.0)</f>
        <v>66</v>
      </c>
      <c r="F2986" s="19" t="str">
        <f>IFERROR(__xludf.DUMMYFUNCTION("""COMPUTED_VALUE"""),"BLACK")</f>
        <v>BLACK</v>
      </c>
      <c r="G2986" s="20" t="str">
        <f>IFERROR(__xludf.DUMMYFUNCTION("""COMPUTED_VALUE"""),"Uncle Sams Cider (5/13/2022)")</f>
        <v>Uncle Sams Cider (5/13/2022)</v>
      </c>
      <c r="H2986" s="19"/>
    </row>
    <row r="2987">
      <c r="A2987" s="9"/>
      <c r="B2987" s="15"/>
      <c r="C2987" s="9">
        <f>IFERROR(__xludf.DUMMYFUNCTION("""COMPUTED_VALUE"""),44765.4942187962)</f>
        <v>44765.49422</v>
      </c>
      <c r="D2987" s="15">
        <f>IFERROR(__xludf.DUMMYFUNCTION("""COMPUTED_VALUE"""),1.004)</f>
        <v>1.004</v>
      </c>
      <c r="E2987" s="16">
        <f>IFERROR(__xludf.DUMMYFUNCTION("""COMPUTED_VALUE"""),66.0)</f>
        <v>66</v>
      </c>
      <c r="F2987" s="19" t="str">
        <f>IFERROR(__xludf.DUMMYFUNCTION("""COMPUTED_VALUE"""),"BLACK")</f>
        <v>BLACK</v>
      </c>
      <c r="G2987" s="20" t="str">
        <f>IFERROR(__xludf.DUMMYFUNCTION("""COMPUTED_VALUE"""),"Uncle Sams Cider (5/13/2022)")</f>
        <v>Uncle Sams Cider (5/13/2022)</v>
      </c>
      <c r="H2987" s="19"/>
    </row>
    <row r="2988">
      <c r="A2988" s="9"/>
      <c r="B2988" s="15"/>
      <c r="C2988" s="9">
        <f>IFERROR(__xludf.DUMMYFUNCTION("""COMPUTED_VALUE"""),44765.4837980555)</f>
        <v>44765.4838</v>
      </c>
      <c r="D2988" s="15">
        <f>IFERROR(__xludf.DUMMYFUNCTION("""COMPUTED_VALUE"""),1.004)</f>
        <v>1.004</v>
      </c>
      <c r="E2988" s="16">
        <f>IFERROR(__xludf.DUMMYFUNCTION("""COMPUTED_VALUE"""),66.0)</f>
        <v>66</v>
      </c>
      <c r="F2988" s="19" t="str">
        <f>IFERROR(__xludf.DUMMYFUNCTION("""COMPUTED_VALUE"""),"BLACK")</f>
        <v>BLACK</v>
      </c>
      <c r="G2988" s="20" t="str">
        <f>IFERROR(__xludf.DUMMYFUNCTION("""COMPUTED_VALUE"""),"Uncle Sams Cider (5/13/2022)")</f>
        <v>Uncle Sams Cider (5/13/2022)</v>
      </c>
      <c r="H2988" s="19"/>
    </row>
    <row r="2989">
      <c r="A2989" s="9"/>
      <c r="B2989" s="15"/>
      <c r="C2989" s="9">
        <f>IFERROR(__xludf.DUMMYFUNCTION("""COMPUTED_VALUE"""),44765.4733776851)</f>
        <v>44765.47338</v>
      </c>
      <c r="D2989" s="15">
        <f>IFERROR(__xludf.DUMMYFUNCTION("""COMPUTED_VALUE"""),1.004)</f>
        <v>1.004</v>
      </c>
      <c r="E2989" s="16">
        <f>IFERROR(__xludf.DUMMYFUNCTION("""COMPUTED_VALUE"""),66.0)</f>
        <v>66</v>
      </c>
      <c r="F2989" s="19" t="str">
        <f>IFERROR(__xludf.DUMMYFUNCTION("""COMPUTED_VALUE"""),"BLACK")</f>
        <v>BLACK</v>
      </c>
      <c r="G2989" s="20" t="str">
        <f>IFERROR(__xludf.DUMMYFUNCTION("""COMPUTED_VALUE"""),"Uncle Sams Cider (5/13/2022)")</f>
        <v>Uncle Sams Cider (5/13/2022)</v>
      </c>
      <c r="H2989" s="19"/>
    </row>
    <row r="2990">
      <c r="A2990" s="9"/>
      <c r="B2990" s="15"/>
      <c r="C2990" s="9">
        <f>IFERROR(__xludf.DUMMYFUNCTION("""COMPUTED_VALUE"""),44765.4629574305)</f>
        <v>44765.46296</v>
      </c>
      <c r="D2990" s="15">
        <f>IFERROR(__xludf.DUMMYFUNCTION("""COMPUTED_VALUE"""),1.004)</f>
        <v>1.004</v>
      </c>
      <c r="E2990" s="16">
        <f>IFERROR(__xludf.DUMMYFUNCTION("""COMPUTED_VALUE"""),66.0)</f>
        <v>66</v>
      </c>
      <c r="F2990" s="19" t="str">
        <f>IFERROR(__xludf.DUMMYFUNCTION("""COMPUTED_VALUE"""),"BLACK")</f>
        <v>BLACK</v>
      </c>
      <c r="G2990" s="20" t="str">
        <f>IFERROR(__xludf.DUMMYFUNCTION("""COMPUTED_VALUE"""),"Uncle Sams Cider (5/13/2022)")</f>
        <v>Uncle Sams Cider (5/13/2022)</v>
      </c>
      <c r="H2990" s="19"/>
    </row>
    <row r="2991">
      <c r="A2991" s="9"/>
      <c r="B2991" s="15"/>
      <c r="C2991" s="9">
        <f>IFERROR(__xludf.DUMMYFUNCTION("""COMPUTED_VALUE"""),44765.4525371412)</f>
        <v>44765.45254</v>
      </c>
      <c r="D2991" s="15">
        <f>IFERROR(__xludf.DUMMYFUNCTION("""COMPUTED_VALUE"""),1.004)</f>
        <v>1.004</v>
      </c>
      <c r="E2991" s="16">
        <f>IFERROR(__xludf.DUMMYFUNCTION("""COMPUTED_VALUE"""),67.0)</f>
        <v>67</v>
      </c>
      <c r="F2991" s="19" t="str">
        <f>IFERROR(__xludf.DUMMYFUNCTION("""COMPUTED_VALUE"""),"BLACK")</f>
        <v>BLACK</v>
      </c>
      <c r="G2991" s="20" t="str">
        <f>IFERROR(__xludf.DUMMYFUNCTION("""COMPUTED_VALUE"""),"Uncle Sams Cider (5/13/2022)")</f>
        <v>Uncle Sams Cider (5/13/2022)</v>
      </c>
      <c r="H2991" s="19"/>
    </row>
    <row r="2992">
      <c r="A2992" s="9"/>
      <c r="B2992" s="15"/>
      <c r="C2992" s="9">
        <f>IFERROR(__xludf.DUMMYFUNCTION("""COMPUTED_VALUE"""),44765.4420797569)</f>
        <v>44765.44208</v>
      </c>
      <c r="D2992" s="15">
        <f>IFERROR(__xludf.DUMMYFUNCTION("""COMPUTED_VALUE"""),1.004)</f>
        <v>1.004</v>
      </c>
      <c r="E2992" s="16">
        <f>IFERROR(__xludf.DUMMYFUNCTION("""COMPUTED_VALUE"""),67.0)</f>
        <v>67</v>
      </c>
      <c r="F2992" s="19" t="str">
        <f>IFERROR(__xludf.DUMMYFUNCTION("""COMPUTED_VALUE"""),"BLACK")</f>
        <v>BLACK</v>
      </c>
      <c r="G2992" s="20" t="str">
        <f>IFERROR(__xludf.DUMMYFUNCTION("""COMPUTED_VALUE"""),"Uncle Sams Cider (5/13/2022)")</f>
        <v>Uncle Sams Cider (5/13/2022)</v>
      </c>
      <c r="H2992" s="19"/>
    </row>
    <row r="2993">
      <c r="A2993" s="9"/>
      <c r="B2993" s="15"/>
      <c r="C2993" s="9">
        <f>IFERROR(__xludf.DUMMYFUNCTION("""COMPUTED_VALUE"""),44765.4316580324)</f>
        <v>44765.43166</v>
      </c>
      <c r="D2993" s="15">
        <f>IFERROR(__xludf.DUMMYFUNCTION("""COMPUTED_VALUE"""),1.004)</f>
        <v>1.004</v>
      </c>
      <c r="E2993" s="16">
        <f>IFERROR(__xludf.DUMMYFUNCTION("""COMPUTED_VALUE"""),68.0)</f>
        <v>68</v>
      </c>
      <c r="F2993" s="19" t="str">
        <f>IFERROR(__xludf.DUMMYFUNCTION("""COMPUTED_VALUE"""),"BLACK")</f>
        <v>BLACK</v>
      </c>
      <c r="G2993" s="20" t="str">
        <f>IFERROR(__xludf.DUMMYFUNCTION("""COMPUTED_VALUE"""),"Uncle Sams Cider (5/13/2022)")</f>
        <v>Uncle Sams Cider (5/13/2022)</v>
      </c>
      <c r="H2993" s="19"/>
    </row>
    <row r="2994">
      <c r="A2994" s="9"/>
      <c r="B2994" s="15"/>
      <c r="C2994" s="9">
        <f>IFERROR(__xludf.DUMMYFUNCTION("""COMPUTED_VALUE"""),44765.4212363773)</f>
        <v>44765.42124</v>
      </c>
      <c r="D2994" s="15">
        <f>IFERROR(__xludf.DUMMYFUNCTION("""COMPUTED_VALUE"""),1.004)</f>
        <v>1.004</v>
      </c>
      <c r="E2994" s="16">
        <f>IFERROR(__xludf.DUMMYFUNCTION("""COMPUTED_VALUE"""),69.0)</f>
        <v>69</v>
      </c>
      <c r="F2994" s="19" t="str">
        <f>IFERROR(__xludf.DUMMYFUNCTION("""COMPUTED_VALUE"""),"BLACK")</f>
        <v>BLACK</v>
      </c>
      <c r="G2994" s="20" t="str">
        <f>IFERROR(__xludf.DUMMYFUNCTION("""COMPUTED_VALUE"""),"Uncle Sams Cider (5/13/2022)")</f>
        <v>Uncle Sams Cider (5/13/2022)</v>
      </c>
      <c r="H2994" s="19"/>
    </row>
    <row r="2995">
      <c r="A2995" s="9"/>
      <c r="B2995" s="15"/>
      <c r="C2995" s="9">
        <f>IFERROR(__xludf.DUMMYFUNCTION("""COMPUTED_VALUE"""),44765.4108177314)</f>
        <v>44765.41082</v>
      </c>
      <c r="D2995" s="15">
        <f>IFERROR(__xludf.DUMMYFUNCTION("""COMPUTED_VALUE"""),1.004)</f>
        <v>1.004</v>
      </c>
      <c r="E2995" s="16">
        <f>IFERROR(__xludf.DUMMYFUNCTION("""COMPUTED_VALUE"""),69.0)</f>
        <v>69</v>
      </c>
      <c r="F2995" s="19" t="str">
        <f>IFERROR(__xludf.DUMMYFUNCTION("""COMPUTED_VALUE"""),"BLACK")</f>
        <v>BLACK</v>
      </c>
      <c r="G2995" s="20" t="str">
        <f>IFERROR(__xludf.DUMMYFUNCTION("""COMPUTED_VALUE"""),"Uncle Sams Cider (5/13/2022)")</f>
        <v>Uncle Sams Cider (5/13/2022)</v>
      </c>
      <c r="H2995" s="19"/>
    </row>
    <row r="2996">
      <c r="A2996" s="9"/>
      <c r="B2996" s="15"/>
      <c r="C2996" s="9">
        <f>IFERROR(__xludf.DUMMYFUNCTION("""COMPUTED_VALUE"""),44765.4003965162)</f>
        <v>44765.4004</v>
      </c>
      <c r="D2996" s="15">
        <f>IFERROR(__xludf.DUMMYFUNCTION("""COMPUTED_VALUE"""),1.003)</f>
        <v>1.003</v>
      </c>
      <c r="E2996" s="16">
        <f>IFERROR(__xludf.DUMMYFUNCTION("""COMPUTED_VALUE"""),70.0)</f>
        <v>70</v>
      </c>
      <c r="F2996" s="19" t="str">
        <f>IFERROR(__xludf.DUMMYFUNCTION("""COMPUTED_VALUE"""),"BLACK")</f>
        <v>BLACK</v>
      </c>
      <c r="G2996" s="20" t="str">
        <f>IFERROR(__xludf.DUMMYFUNCTION("""COMPUTED_VALUE"""),"Uncle Sams Cider (5/13/2022)")</f>
        <v>Uncle Sams Cider (5/13/2022)</v>
      </c>
      <c r="H2996" s="19"/>
    </row>
    <row r="2997">
      <c r="A2997" s="9"/>
      <c r="B2997" s="15"/>
      <c r="C2997" s="9">
        <f>IFERROR(__xludf.DUMMYFUNCTION("""COMPUTED_VALUE"""),44765.3899767708)</f>
        <v>44765.38998</v>
      </c>
      <c r="D2997" s="15">
        <f>IFERROR(__xludf.DUMMYFUNCTION("""COMPUTED_VALUE"""),1.004)</f>
        <v>1.004</v>
      </c>
      <c r="E2997" s="16">
        <f>IFERROR(__xludf.DUMMYFUNCTION("""COMPUTED_VALUE"""),70.0)</f>
        <v>70</v>
      </c>
      <c r="F2997" s="19" t="str">
        <f>IFERROR(__xludf.DUMMYFUNCTION("""COMPUTED_VALUE"""),"BLACK")</f>
        <v>BLACK</v>
      </c>
      <c r="G2997" s="20" t="str">
        <f>IFERROR(__xludf.DUMMYFUNCTION("""COMPUTED_VALUE"""),"Uncle Sams Cider (5/13/2022)")</f>
        <v>Uncle Sams Cider (5/13/2022)</v>
      </c>
      <c r="H2997" s="19"/>
    </row>
    <row r="2998">
      <c r="A2998" s="9"/>
      <c r="B2998" s="15"/>
      <c r="C2998" s="9">
        <f>IFERROR(__xludf.DUMMYFUNCTION("""COMPUTED_VALUE"""),44765.379555706)</f>
        <v>44765.37956</v>
      </c>
      <c r="D2998" s="15">
        <f>IFERROR(__xludf.DUMMYFUNCTION("""COMPUTED_VALUE"""),1.004)</f>
        <v>1.004</v>
      </c>
      <c r="E2998" s="16">
        <f>IFERROR(__xludf.DUMMYFUNCTION("""COMPUTED_VALUE"""),70.0)</f>
        <v>70</v>
      </c>
      <c r="F2998" s="19" t="str">
        <f>IFERROR(__xludf.DUMMYFUNCTION("""COMPUTED_VALUE"""),"BLACK")</f>
        <v>BLACK</v>
      </c>
      <c r="G2998" s="20" t="str">
        <f>IFERROR(__xludf.DUMMYFUNCTION("""COMPUTED_VALUE"""),"Uncle Sams Cider (5/13/2022)")</f>
        <v>Uncle Sams Cider (5/13/2022)</v>
      </c>
      <c r="H2998" s="19"/>
    </row>
    <row r="2999">
      <c r="A2999" s="9"/>
      <c r="B2999" s="15"/>
      <c r="C2999" s="9">
        <f>IFERROR(__xludf.DUMMYFUNCTION("""COMPUTED_VALUE"""),44765.3691354745)</f>
        <v>44765.36914</v>
      </c>
      <c r="D2999" s="15">
        <f>IFERROR(__xludf.DUMMYFUNCTION("""COMPUTED_VALUE"""),1.004)</f>
        <v>1.004</v>
      </c>
      <c r="E2999" s="16">
        <f>IFERROR(__xludf.DUMMYFUNCTION("""COMPUTED_VALUE"""),70.0)</f>
        <v>70</v>
      </c>
      <c r="F2999" s="19" t="str">
        <f>IFERROR(__xludf.DUMMYFUNCTION("""COMPUTED_VALUE"""),"BLACK")</f>
        <v>BLACK</v>
      </c>
      <c r="G2999" s="20" t="str">
        <f>IFERROR(__xludf.DUMMYFUNCTION("""COMPUTED_VALUE"""),"Uncle Sams Cider (5/13/2022)")</f>
        <v>Uncle Sams Cider (5/13/2022)</v>
      </c>
      <c r="H2999" s="19"/>
    </row>
    <row r="3000">
      <c r="A3000" s="9"/>
      <c r="B3000" s="15"/>
      <c r="C3000" s="9">
        <f>IFERROR(__xludf.DUMMYFUNCTION("""COMPUTED_VALUE"""),44765.3587143402)</f>
        <v>44765.35871</v>
      </c>
      <c r="D3000" s="15">
        <f>IFERROR(__xludf.DUMMYFUNCTION("""COMPUTED_VALUE"""),1.004)</f>
        <v>1.004</v>
      </c>
      <c r="E3000" s="16">
        <f>IFERROR(__xludf.DUMMYFUNCTION("""COMPUTED_VALUE"""),70.0)</f>
        <v>70</v>
      </c>
      <c r="F3000" s="19" t="str">
        <f>IFERROR(__xludf.DUMMYFUNCTION("""COMPUTED_VALUE"""),"BLACK")</f>
        <v>BLACK</v>
      </c>
      <c r="G3000" s="20" t="str">
        <f>IFERROR(__xludf.DUMMYFUNCTION("""COMPUTED_VALUE"""),"Uncle Sams Cider (5/13/2022)")</f>
        <v>Uncle Sams Cider (5/13/2022)</v>
      </c>
      <c r="H3000" s="19"/>
    </row>
    <row r="3001">
      <c r="A3001" s="9"/>
      <c r="B3001" s="15"/>
      <c r="C3001" s="9">
        <f>IFERROR(__xludf.DUMMYFUNCTION("""COMPUTED_VALUE"""),44765.3482937037)</f>
        <v>44765.34829</v>
      </c>
      <c r="D3001" s="15">
        <f>IFERROR(__xludf.DUMMYFUNCTION("""COMPUTED_VALUE"""),1.004)</f>
        <v>1.004</v>
      </c>
      <c r="E3001" s="16">
        <f>IFERROR(__xludf.DUMMYFUNCTION("""COMPUTED_VALUE"""),70.0)</f>
        <v>70</v>
      </c>
      <c r="F3001" s="19" t="str">
        <f>IFERROR(__xludf.DUMMYFUNCTION("""COMPUTED_VALUE"""),"BLACK")</f>
        <v>BLACK</v>
      </c>
      <c r="G3001" s="20" t="str">
        <f>IFERROR(__xludf.DUMMYFUNCTION("""COMPUTED_VALUE"""),"Uncle Sams Cider (5/13/2022)")</f>
        <v>Uncle Sams Cider (5/13/2022)</v>
      </c>
      <c r="H3001" s="19"/>
    </row>
    <row r="3002">
      <c r="A3002" s="9"/>
      <c r="B3002" s="15"/>
      <c r="C3002" s="9">
        <f>IFERROR(__xludf.DUMMYFUNCTION("""COMPUTED_VALUE"""),44765.3378752083)</f>
        <v>44765.33788</v>
      </c>
      <c r="D3002" s="15">
        <f>IFERROR(__xludf.DUMMYFUNCTION("""COMPUTED_VALUE"""),1.004)</f>
        <v>1.004</v>
      </c>
      <c r="E3002" s="16">
        <f>IFERROR(__xludf.DUMMYFUNCTION("""COMPUTED_VALUE"""),70.0)</f>
        <v>70</v>
      </c>
      <c r="F3002" s="19" t="str">
        <f>IFERROR(__xludf.DUMMYFUNCTION("""COMPUTED_VALUE"""),"BLACK")</f>
        <v>BLACK</v>
      </c>
      <c r="G3002" s="20" t="str">
        <f>IFERROR(__xludf.DUMMYFUNCTION("""COMPUTED_VALUE"""),"Uncle Sams Cider (5/13/2022)")</f>
        <v>Uncle Sams Cider (5/13/2022)</v>
      </c>
      <c r="H3002" s="19"/>
    </row>
    <row r="3003">
      <c r="A3003" s="9"/>
      <c r="B3003" s="15"/>
      <c r="C3003" s="9">
        <f>IFERROR(__xludf.DUMMYFUNCTION("""COMPUTED_VALUE"""),44765.3274540162)</f>
        <v>44765.32745</v>
      </c>
      <c r="D3003" s="15">
        <f>IFERROR(__xludf.DUMMYFUNCTION("""COMPUTED_VALUE"""),1.004)</f>
        <v>1.004</v>
      </c>
      <c r="E3003" s="16">
        <f>IFERROR(__xludf.DUMMYFUNCTION("""COMPUTED_VALUE"""),70.0)</f>
        <v>70</v>
      </c>
      <c r="F3003" s="19" t="str">
        <f>IFERROR(__xludf.DUMMYFUNCTION("""COMPUTED_VALUE"""),"BLACK")</f>
        <v>BLACK</v>
      </c>
      <c r="G3003" s="20" t="str">
        <f>IFERROR(__xludf.DUMMYFUNCTION("""COMPUTED_VALUE"""),"Uncle Sams Cider (5/13/2022)")</f>
        <v>Uncle Sams Cider (5/13/2022)</v>
      </c>
      <c r="H3003" s="19"/>
    </row>
    <row r="3004">
      <c r="A3004" s="9"/>
      <c r="B3004" s="15"/>
      <c r="C3004" s="9">
        <f>IFERROR(__xludf.DUMMYFUNCTION("""COMPUTED_VALUE"""),44765.3170339583)</f>
        <v>44765.31703</v>
      </c>
      <c r="D3004" s="15">
        <f>IFERROR(__xludf.DUMMYFUNCTION("""COMPUTED_VALUE"""),1.004)</f>
        <v>1.004</v>
      </c>
      <c r="E3004" s="16">
        <f>IFERROR(__xludf.DUMMYFUNCTION("""COMPUTED_VALUE"""),70.0)</f>
        <v>70</v>
      </c>
      <c r="F3004" s="19" t="str">
        <f>IFERROR(__xludf.DUMMYFUNCTION("""COMPUTED_VALUE"""),"BLACK")</f>
        <v>BLACK</v>
      </c>
      <c r="G3004" s="20" t="str">
        <f>IFERROR(__xludf.DUMMYFUNCTION("""COMPUTED_VALUE"""),"Uncle Sams Cider (5/13/2022)")</f>
        <v>Uncle Sams Cider (5/13/2022)</v>
      </c>
      <c r="H3004" s="19"/>
    </row>
    <row r="3005">
      <c r="A3005" s="9"/>
      <c r="B3005" s="15"/>
      <c r="C3005" s="9">
        <f>IFERROR(__xludf.DUMMYFUNCTION("""COMPUTED_VALUE"""),44765.3066118518)</f>
        <v>44765.30661</v>
      </c>
      <c r="D3005" s="15">
        <f>IFERROR(__xludf.DUMMYFUNCTION("""COMPUTED_VALUE"""),1.004)</f>
        <v>1.004</v>
      </c>
      <c r="E3005" s="16">
        <f>IFERROR(__xludf.DUMMYFUNCTION("""COMPUTED_VALUE"""),70.0)</f>
        <v>70</v>
      </c>
      <c r="F3005" s="19" t="str">
        <f>IFERROR(__xludf.DUMMYFUNCTION("""COMPUTED_VALUE"""),"BLACK")</f>
        <v>BLACK</v>
      </c>
      <c r="G3005" s="20" t="str">
        <f>IFERROR(__xludf.DUMMYFUNCTION("""COMPUTED_VALUE"""),"Uncle Sams Cider (5/13/2022)")</f>
        <v>Uncle Sams Cider (5/13/2022)</v>
      </c>
      <c r="H3005" s="19"/>
    </row>
    <row r="3006">
      <c r="A3006" s="9"/>
      <c r="B3006" s="15"/>
      <c r="C3006" s="9">
        <f>IFERROR(__xludf.DUMMYFUNCTION("""COMPUTED_VALUE"""),44765.296191875)</f>
        <v>44765.29619</v>
      </c>
      <c r="D3006" s="15">
        <f>IFERROR(__xludf.DUMMYFUNCTION("""COMPUTED_VALUE"""),1.004)</f>
        <v>1.004</v>
      </c>
      <c r="E3006" s="16">
        <f>IFERROR(__xludf.DUMMYFUNCTION("""COMPUTED_VALUE"""),70.0)</f>
        <v>70</v>
      </c>
      <c r="F3006" s="19" t="str">
        <f>IFERROR(__xludf.DUMMYFUNCTION("""COMPUTED_VALUE"""),"BLACK")</f>
        <v>BLACK</v>
      </c>
      <c r="G3006" s="20" t="str">
        <f>IFERROR(__xludf.DUMMYFUNCTION("""COMPUTED_VALUE"""),"Uncle Sams Cider (5/13/2022)")</f>
        <v>Uncle Sams Cider (5/13/2022)</v>
      </c>
      <c r="H3006" s="19"/>
    </row>
    <row r="3007">
      <c r="A3007" s="9"/>
      <c r="B3007" s="15"/>
      <c r="C3007" s="9">
        <f>IFERROR(__xludf.DUMMYFUNCTION("""COMPUTED_VALUE"""),44765.2857705208)</f>
        <v>44765.28577</v>
      </c>
      <c r="D3007" s="15">
        <f>IFERROR(__xludf.DUMMYFUNCTION("""COMPUTED_VALUE"""),1.004)</f>
        <v>1.004</v>
      </c>
      <c r="E3007" s="16">
        <f>IFERROR(__xludf.DUMMYFUNCTION("""COMPUTED_VALUE"""),70.0)</f>
        <v>70</v>
      </c>
      <c r="F3007" s="19" t="str">
        <f>IFERROR(__xludf.DUMMYFUNCTION("""COMPUTED_VALUE"""),"BLACK")</f>
        <v>BLACK</v>
      </c>
      <c r="G3007" s="20" t="str">
        <f>IFERROR(__xludf.DUMMYFUNCTION("""COMPUTED_VALUE"""),"Uncle Sams Cider (5/13/2022)")</f>
        <v>Uncle Sams Cider (5/13/2022)</v>
      </c>
      <c r="H3007" s="19"/>
    </row>
    <row r="3008">
      <c r="A3008" s="9"/>
      <c r="B3008" s="15"/>
      <c r="C3008" s="9">
        <f>IFERROR(__xludf.DUMMYFUNCTION("""COMPUTED_VALUE"""),44765.2753492361)</f>
        <v>44765.27535</v>
      </c>
      <c r="D3008" s="15">
        <f>IFERROR(__xludf.DUMMYFUNCTION("""COMPUTED_VALUE"""),1.004)</f>
        <v>1.004</v>
      </c>
      <c r="E3008" s="16">
        <f>IFERROR(__xludf.DUMMYFUNCTION("""COMPUTED_VALUE"""),70.0)</f>
        <v>70</v>
      </c>
      <c r="F3008" s="19" t="str">
        <f>IFERROR(__xludf.DUMMYFUNCTION("""COMPUTED_VALUE"""),"BLACK")</f>
        <v>BLACK</v>
      </c>
      <c r="G3008" s="20" t="str">
        <f>IFERROR(__xludf.DUMMYFUNCTION("""COMPUTED_VALUE"""),"Uncle Sams Cider (5/13/2022)")</f>
        <v>Uncle Sams Cider (5/13/2022)</v>
      </c>
      <c r="H3008" s="19"/>
    </row>
    <row r="3009">
      <c r="A3009" s="9"/>
      <c r="B3009" s="15"/>
      <c r="C3009" s="9">
        <f>IFERROR(__xludf.DUMMYFUNCTION("""COMPUTED_VALUE"""),44765.2649167824)</f>
        <v>44765.26492</v>
      </c>
      <c r="D3009" s="15">
        <f>IFERROR(__xludf.DUMMYFUNCTION("""COMPUTED_VALUE"""),1.004)</f>
        <v>1.004</v>
      </c>
      <c r="E3009" s="16">
        <f>IFERROR(__xludf.DUMMYFUNCTION("""COMPUTED_VALUE"""),70.0)</f>
        <v>70</v>
      </c>
      <c r="F3009" s="19" t="str">
        <f>IFERROR(__xludf.DUMMYFUNCTION("""COMPUTED_VALUE"""),"BLACK")</f>
        <v>BLACK</v>
      </c>
      <c r="G3009" s="20" t="str">
        <f>IFERROR(__xludf.DUMMYFUNCTION("""COMPUTED_VALUE"""),"Uncle Sams Cider (5/13/2022)")</f>
        <v>Uncle Sams Cider (5/13/2022)</v>
      </c>
      <c r="H3009" s="19"/>
    </row>
    <row r="3010">
      <c r="A3010" s="9"/>
      <c r="B3010" s="15"/>
      <c r="C3010" s="9">
        <f>IFERROR(__xludf.DUMMYFUNCTION("""COMPUTED_VALUE"""),44765.2544954976)</f>
        <v>44765.2545</v>
      </c>
      <c r="D3010" s="15">
        <f>IFERROR(__xludf.DUMMYFUNCTION("""COMPUTED_VALUE"""),1.004)</f>
        <v>1.004</v>
      </c>
      <c r="E3010" s="16">
        <f>IFERROR(__xludf.DUMMYFUNCTION("""COMPUTED_VALUE"""),70.0)</f>
        <v>70</v>
      </c>
      <c r="F3010" s="19" t="str">
        <f>IFERROR(__xludf.DUMMYFUNCTION("""COMPUTED_VALUE"""),"BLACK")</f>
        <v>BLACK</v>
      </c>
      <c r="G3010" s="20" t="str">
        <f>IFERROR(__xludf.DUMMYFUNCTION("""COMPUTED_VALUE"""),"Uncle Sams Cider (5/13/2022)")</f>
        <v>Uncle Sams Cider (5/13/2022)</v>
      </c>
      <c r="H3010" s="19"/>
    </row>
    <row r="3011">
      <c r="A3011" s="9"/>
      <c r="B3011" s="15"/>
      <c r="C3011" s="9">
        <f>IFERROR(__xludf.DUMMYFUNCTION("""COMPUTED_VALUE"""),44765.244063125)</f>
        <v>44765.24406</v>
      </c>
      <c r="D3011" s="15">
        <f>IFERROR(__xludf.DUMMYFUNCTION("""COMPUTED_VALUE"""),1.004)</f>
        <v>1.004</v>
      </c>
      <c r="E3011" s="16">
        <f>IFERROR(__xludf.DUMMYFUNCTION("""COMPUTED_VALUE"""),70.0)</f>
        <v>70</v>
      </c>
      <c r="F3011" s="19" t="str">
        <f>IFERROR(__xludf.DUMMYFUNCTION("""COMPUTED_VALUE"""),"BLACK")</f>
        <v>BLACK</v>
      </c>
      <c r="G3011" s="20" t="str">
        <f>IFERROR(__xludf.DUMMYFUNCTION("""COMPUTED_VALUE"""),"Uncle Sams Cider (5/13/2022)")</f>
        <v>Uncle Sams Cider (5/13/2022)</v>
      </c>
      <c r="H3011" s="19"/>
    </row>
    <row r="3012">
      <c r="A3012" s="9"/>
      <c r="B3012" s="15"/>
      <c r="C3012" s="9">
        <f>IFERROR(__xludf.DUMMYFUNCTION("""COMPUTED_VALUE"""),44765.2336419328)</f>
        <v>44765.23364</v>
      </c>
      <c r="D3012" s="15">
        <f>IFERROR(__xludf.DUMMYFUNCTION("""COMPUTED_VALUE"""),1.004)</f>
        <v>1.004</v>
      </c>
      <c r="E3012" s="16">
        <f>IFERROR(__xludf.DUMMYFUNCTION("""COMPUTED_VALUE"""),70.0)</f>
        <v>70</v>
      </c>
      <c r="F3012" s="19" t="str">
        <f>IFERROR(__xludf.DUMMYFUNCTION("""COMPUTED_VALUE"""),"BLACK")</f>
        <v>BLACK</v>
      </c>
      <c r="G3012" s="20" t="str">
        <f>IFERROR(__xludf.DUMMYFUNCTION("""COMPUTED_VALUE"""),"Uncle Sams Cider (5/13/2022)")</f>
        <v>Uncle Sams Cider (5/13/2022)</v>
      </c>
      <c r="H3012" s="19"/>
    </row>
    <row r="3013">
      <c r="A3013" s="9"/>
      <c r="B3013" s="15"/>
      <c r="C3013" s="9">
        <f>IFERROR(__xludf.DUMMYFUNCTION("""COMPUTED_VALUE"""),44765.2232203472)</f>
        <v>44765.22322</v>
      </c>
      <c r="D3013" s="15">
        <f>IFERROR(__xludf.DUMMYFUNCTION("""COMPUTED_VALUE"""),1.004)</f>
        <v>1.004</v>
      </c>
      <c r="E3013" s="16">
        <f>IFERROR(__xludf.DUMMYFUNCTION("""COMPUTED_VALUE"""),70.0)</f>
        <v>70</v>
      </c>
      <c r="F3013" s="19" t="str">
        <f>IFERROR(__xludf.DUMMYFUNCTION("""COMPUTED_VALUE"""),"BLACK")</f>
        <v>BLACK</v>
      </c>
      <c r="G3013" s="20" t="str">
        <f>IFERROR(__xludf.DUMMYFUNCTION("""COMPUTED_VALUE"""),"Uncle Sams Cider (5/13/2022)")</f>
        <v>Uncle Sams Cider (5/13/2022)</v>
      </c>
      <c r="H3013" s="19"/>
    </row>
    <row r="3014">
      <c r="A3014" s="9"/>
      <c r="B3014" s="15"/>
      <c r="C3014" s="9">
        <f>IFERROR(__xludf.DUMMYFUNCTION("""COMPUTED_VALUE"""),44765.2127882986)</f>
        <v>44765.21279</v>
      </c>
      <c r="D3014" s="15">
        <f>IFERROR(__xludf.DUMMYFUNCTION("""COMPUTED_VALUE"""),1.004)</f>
        <v>1.004</v>
      </c>
      <c r="E3014" s="16">
        <f>IFERROR(__xludf.DUMMYFUNCTION("""COMPUTED_VALUE"""),70.0)</f>
        <v>70</v>
      </c>
      <c r="F3014" s="19" t="str">
        <f>IFERROR(__xludf.DUMMYFUNCTION("""COMPUTED_VALUE"""),"BLACK")</f>
        <v>BLACK</v>
      </c>
      <c r="G3014" s="20" t="str">
        <f>IFERROR(__xludf.DUMMYFUNCTION("""COMPUTED_VALUE"""),"Uncle Sams Cider (5/13/2022)")</f>
        <v>Uncle Sams Cider (5/13/2022)</v>
      </c>
      <c r="H3014" s="19"/>
    </row>
    <row r="3015">
      <c r="A3015" s="9"/>
      <c r="B3015" s="15"/>
      <c r="C3015" s="9">
        <f>IFERROR(__xludf.DUMMYFUNCTION("""COMPUTED_VALUE"""),44765.2023681365)</f>
        <v>44765.20237</v>
      </c>
      <c r="D3015" s="15">
        <f>IFERROR(__xludf.DUMMYFUNCTION("""COMPUTED_VALUE"""),1.004)</f>
        <v>1.004</v>
      </c>
      <c r="E3015" s="16">
        <f>IFERROR(__xludf.DUMMYFUNCTION("""COMPUTED_VALUE"""),70.0)</f>
        <v>70</v>
      </c>
      <c r="F3015" s="19" t="str">
        <f>IFERROR(__xludf.DUMMYFUNCTION("""COMPUTED_VALUE"""),"BLACK")</f>
        <v>BLACK</v>
      </c>
      <c r="G3015" s="20" t="str">
        <f>IFERROR(__xludf.DUMMYFUNCTION("""COMPUTED_VALUE"""),"Uncle Sams Cider (5/13/2022)")</f>
        <v>Uncle Sams Cider (5/13/2022)</v>
      </c>
      <c r="H3015" s="19"/>
    </row>
    <row r="3016">
      <c r="A3016" s="9"/>
      <c r="B3016" s="15"/>
      <c r="C3016" s="9">
        <f>IFERROR(__xludf.DUMMYFUNCTION("""COMPUTED_VALUE"""),44765.1919356597)</f>
        <v>44765.19194</v>
      </c>
      <c r="D3016" s="15">
        <f>IFERROR(__xludf.DUMMYFUNCTION("""COMPUTED_VALUE"""),1.004)</f>
        <v>1.004</v>
      </c>
      <c r="E3016" s="16">
        <f>IFERROR(__xludf.DUMMYFUNCTION("""COMPUTED_VALUE"""),70.0)</f>
        <v>70</v>
      </c>
      <c r="F3016" s="19" t="str">
        <f>IFERROR(__xludf.DUMMYFUNCTION("""COMPUTED_VALUE"""),"BLACK")</f>
        <v>BLACK</v>
      </c>
      <c r="G3016" s="20" t="str">
        <f>IFERROR(__xludf.DUMMYFUNCTION("""COMPUTED_VALUE"""),"Uncle Sams Cider (5/13/2022)")</f>
        <v>Uncle Sams Cider (5/13/2022)</v>
      </c>
      <c r="H3016" s="19"/>
    </row>
    <row r="3017">
      <c r="A3017" s="9"/>
      <c r="B3017" s="15"/>
      <c r="C3017" s="9">
        <f>IFERROR(__xludf.DUMMYFUNCTION("""COMPUTED_VALUE"""),44765.1815143981)</f>
        <v>44765.18151</v>
      </c>
      <c r="D3017" s="15">
        <f>IFERROR(__xludf.DUMMYFUNCTION("""COMPUTED_VALUE"""),1.004)</f>
        <v>1.004</v>
      </c>
      <c r="E3017" s="16">
        <f>IFERROR(__xludf.DUMMYFUNCTION("""COMPUTED_VALUE"""),70.0)</f>
        <v>70</v>
      </c>
      <c r="F3017" s="19" t="str">
        <f>IFERROR(__xludf.DUMMYFUNCTION("""COMPUTED_VALUE"""),"BLACK")</f>
        <v>BLACK</v>
      </c>
      <c r="G3017" s="20" t="str">
        <f>IFERROR(__xludf.DUMMYFUNCTION("""COMPUTED_VALUE"""),"Uncle Sams Cider (5/13/2022)")</f>
        <v>Uncle Sams Cider (5/13/2022)</v>
      </c>
      <c r="H3017" s="19"/>
    </row>
    <row r="3018">
      <c r="A3018" s="9"/>
      <c r="B3018" s="15"/>
      <c r="C3018" s="9">
        <f>IFERROR(__xludf.DUMMYFUNCTION("""COMPUTED_VALUE"""),44765.1710926157)</f>
        <v>44765.17109</v>
      </c>
      <c r="D3018" s="15">
        <f>IFERROR(__xludf.DUMMYFUNCTION("""COMPUTED_VALUE"""),1.004)</f>
        <v>1.004</v>
      </c>
      <c r="E3018" s="16">
        <f>IFERROR(__xludf.DUMMYFUNCTION("""COMPUTED_VALUE"""),70.0)</f>
        <v>70</v>
      </c>
      <c r="F3018" s="19" t="str">
        <f>IFERROR(__xludf.DUMMYFUNCTION("""COMPUTED_VALUE"""),"BLACK")</f>
        <v>BLACK</v>
      </c>
      <c r="G3018" s="20" t="str">
        <f>IFERROR(__xludf.DUMMYFUNCTION("""COMPUTED_VALUE"""),"Uncle Sams Cider (5/13/2022)")</f>
        <v>Uncle Sams Cider (5/13/2022)</v>
      </c>
      <c r="H3018" s="19"/>
    </row>
    <row r="3019">
      <c r="A3019" s="9"/>
      <c r="B3019" s="15"/>
      <c r="C3019" s="9">
        <f>IFERROR(__xludf.DUMMYFUNCTION("""COMPUTED_VALUE"""),44765.1606721296)</f>
        <v>44765.16067</v>
      </c>
      <c r="D3019" s="15">
        <f>IFERROR(__xludf.DUMMYFUNCTION("""COMPUTED_VALUE"""),1.004)</f>
        <v>1.004</v>
      </c>
      <c r="E3019" s="16">
        <f>IFERROR(__xludf.DUMMYFUNCTION("""COMPUTED_VALUE"""),70.0)</f>
        <v>70</v>
      </c>
      <c r="F3019" s="19" t="str">
        <f>IFERROR(__xludf.DUMMYFUNCTION("""COMPUTED_VALUE"""),"BLACK")</f>
        <v>BLACK</v>
      </c>
      <c r="G3019" s="20" t="str">
        <f>IFERROR(__xludf.DUMMYFUNCTION("""COMPUTED_VALUE"""),"Uncle Sams Cider (5/13/2022)")</f>
        <v>Uncle Sams Cider (5/13/2022)</v>
      </c>
      <c r="H3019" s="19"/>
    </row>
    <row r="3020">
      <c r="A3020" s="9"/>
      <c r="B3020" s="15"/>
      <c r="C3020" s="9">
        <f>IFERROR(__xludf.DUMMYFUNCTION("""COMPUTED_VALUE"""),44765.1502498379)</f>
        <v>44765.15025</v>
      </c>
      <c r="D3020" s="15">
        <f>IFERROR(__xludf.DUMMYFUNCTION("""COMPUTED_VALUE"""),1.004)</f>
        <v>1.004</v>
      </c>
      <c r="E3020" s="16">
        <f>IFERROR(__xludf.DUMMYFUNCTION("""COMPUTED_VALUE"""),70.0)</f>
        <v>70</v>
      </c>
      <c r="F3020" s="19" t="str">
        <f>IFERROR(__xludf.DUMMYFUNCTION("""COMPUTED_VALUE"""),"BLACK")</f>
        <v>BLACK</v>
      </c>
      <c r="G3020" s="20" t="str">
        <f>IFERROR(__xludf.DUMMYFUNCTION("""COMPUTED_VALUE"""),"Uncle Sams Cider (5/13/2022)")</f>
        <v>Uncle Sams Cider (5/13/2022)</v>
      </c>
      <c r="H3020" s="19"/>
    </row>
    <row r="3021">
      <c r="A3021" s="9"/>
      <c r="B3021" s="15"/>
      <c r="C3021" s="9">
        <f>IFERROR(__xludf.DUMMYFUNCTION("""COMPUTED_VALUE"""),44765.1398270833)</f>
        <v>44765.13983</v>
      </c>
      <c r="D3021" s="15">
        <f>IFERROR(__xludf.DUMMYFUNCTION("""COMPUTED_VALUE"""),1.004)</f>
        <v>1.004</v>
      </c>
      <c r="E3021" s="16">
        <f>IFERROR(__xludf.DUMMYFUNCTION("""COMPUTED_VALUE"""),70.0)</f>
        <v>70</v>
      </c>
      <c r="F3021" s="19" t="str">
        <f>IFERROR(__xludf.DUMMYFUNCTION("""COMPUTED_VALUE"""),"BLACK")</f>
        <v>BLACK</v>
      </c>
      <c r="G3021" s="20" t="str">
        <f>IFERROR(__xludf.DUMMYFUNCTION("""COMPUTED_VALUE"""),"Uncle Sams Cider (5/13/2022)")</f>
        <v>Uncle Sams Cider (5/13/2022)</v>
      </c>
      <c r="H3021" s="19"/>
    </row>
    <row r="3022">
      <c r="A3022" s="9"/>
      <c r="B3022" s="15"/>
      <c r="C3022" s="9">
        <f>IFERROR(__xludf.DUMMYFUNCTION("""COMPUTED_VALUE"""),44765.1294054861)</f>
        <v>44765.12941</v>
      </c>
      <c r="D3022" s="15">
        <f>IFERROR(__xludf.DUMMYFUNCTION("""COMPUTED_VALUE"""),1.004)</f>
        <v>1.004</v>
      </c>
      <c r="E3022" s="16">
        <f>IFERROR(__xludf.DUMMYFUNCTION("""COMPUTED_VALUE"""),70.0)</f>
        <v>70</v>
      </c>
      <c r="F3022" s="19" t="str">
        <f>IFERROR(__xludf.DUMMYFUNCTION("""COMPUTED_VALUE"""),"BLACK")</f>
        <v>BLACK</v>
      </c>
      <c r="G3022" s="20" t="str">
        <f>IFERROR(__xludf.DUMMYFUNCTION("""COMPUTED_VALUE"""),"Uncle Sams Cider (5/13/2022)")</f>
        <v>Uncle Sams Cider (5/13/2022)</v>
      </c>
      <c r="H3022" s="19"/>
    </row>
    <row r="3023">
      <c r="A3023" s="9"/>
      <c r="B3023" s="15"/>
      <c r="C3023" s="9">
        <f>IFERROR(__xludf.DUMMYFUNCTION("""COMPUTED_VALUE"""),44765.1189849421)</f>
        <v>44765.11898</v>
      </c>
      <c r="D3023" s="15">
        <f>IFERROR(__xludf.DUMMYFUNCTION("""COMPUTED_VALUE"""),1.004)</f>
        <v>1.004</v>
      </c>
      <c r="E3023" s="16">
        <f>IFERROR(__xludf.DUMMYFUNCTION("""COMPUTED_VALUE"""),70.0)</f>
        <v>70</v>
      </c>
      <c r="F3023" s="19" t="str">
        <f>IFERROR(__xludf.DUMMYFUNCTION("""COMPUTED_VALUE"""),"BLACK")</f>
        <v>BLACK</v>
      </c>
      <c r="G3023" s="20" t="str">
        <f>IFERROR(__xludf.DUMMYFUNCTION("""COMPUTED_VALUE"""),"Uncle Sams Cider (5/13/2022)")</f>
        <v>Uncle Sams Cider (5/13/2022)</v>
      </c>
      <c r="H3023" s="19"/>
    </row>
    <row r="3024">
      <c r="A3024" s="9"/>
      <c r="B3024" s="15"/>
      <c r="C3024" s="9">
        <f>IFERROR(__xludf.DUMMYFUNCTION("""COMPUTED_VALUE"""),44765.1085652662)</f>
        <v>44765.10857</v>
      </c>
      <c r="D3024" s="15">
        <f>IFERROR(__xludf.DUMMYFUNCTION("""COMPUTED_VALUE"""),1.004)</f>
        <v>1.004</v>
      </c>
      <c r="E3024" s="16">
        <f>IFERROR(__xludf.DUMMYFUNCTION("""COMPUTED_VALUE"""),70.0)</f>
        <v>70</v>
      </c>
      <c r="F3024" s="19" t="str">
        <f>IFERROR(__xludf.DUMMYFUNCTION("""COMPUTED_VALUE"""),"BLACK")</f>
        <v>BLACK</v>
      </c>
      <c r="G3024" s="20" t="str">
        <f>IFERROR(__xludf.DUMMYFUNCTION("""COMPUTED_VALUE"""),"Uncle Sams Cider (5/13/2022)")</f>
        <v>Uncle Sams Cider (5/13/2022)</v>
      </c>
      <c r="H3024" s="19"/>
    </row>
    <row r="3025">
      <c r="A3025" s="9"/>
      <c r="B3025" s="15"/>
      <c r="C3025" s="9">
        <f>IFERROR(__xludf.DUMMYFUNCTION("""COMPUTED_VALUE"""),44765.0981447453)</f>
        <v>44765.09814</v>
      </c>
      <c r="D3025" s="15">
        <f>IFERROR(__xludf.DUMMYFUNCTION("""COMPUTED_VALUE"""),1.004)</f>
        <v>1.004</v>
      </c>
      <c r="E3025" s="16">
        <f>IFERROR(__xludf.DUMMYFUNCTION("""COMPUTED_VALUE"""),70.0)</f>
        <v>70</v>
      </c>
      <c r="F3025" s="19" t="str">
        <f>IFERROR(__xludf.DUMMYFUNCTION("""COMPUTED_VALUE"""),"BLACK")</f>
        <v>BLACK</v>
      </c>
      <c r="G3025" s="20" t="str">
        <f>IFERROR(__xludf.DUMMYFUNCTION("""COMPUTED_VALUE"""),"Uncle Sams Cider (5/13/2022)")</f>
        <v>Uncle Sams Cider (5/13/2022)</v>
      </c>
      <c r="H3025" s="19"/>
    </row>
    <row r="3026">
      <c r="A3026" s="9"/>
      <c r="B3026" s="15"/>
      <c r="C3026" s="9">
        <f>IFERROR(__xludf.DUMMYFUNCTION("""COMPUTED_VALUE"""),44765.0877237384)</f>
        <v>44765.08772</v>
      </c>
      <c r="D3026" s="15">
        <f>IFERROR(__xludf.DUMMYFUNCTION("""COMPUTED_VALUE"""),1.004)</f>
        <v>1.004</v>
      </c>
      <c r="E3026" s="16">
        <f>IFERROR(__xludf.DUMMYFUNCTION("""COMPUTED_VALUE"""),70.0)</f>
        <v>70</v>
      </c>
      <c r="F3026" s="19" t="str">
        <f>IFERROR(__xludf.DUMMYFUNCTION("""COMPUTED_VALUE"""),"BLACK")</f>
        <v>BLACK</v>
      </c>
      <c r="G3026" s="20" t="str">
        <f>IFERROR(__xludf.DUMMYFUNCTION("""COMPUTED_VALUE"""),"Uncle Sams Cider (5/13/2022)")</f>
        <v>Uncle Sams Cider (5/13/2022)</v>
      </c>
      <c r="H3026" s="19"/>
    </row>
    <row r="3027">
      <c r="A3027" s="9"/>
      <c r="B3027" s="15"/>
      <c r="C3027" s="9">
        <f>IFERROR(__xludf.DUMMYFUNCTION("""COMPUTED_VALUE"""),44765.0773025115)</f>
        <v>44765.0773</v>
      </c>
      <c r="D3027" s="15">
        <f>IFERROR(__xludf.DUMMYFUNCTION("""COMPUTED_VALUE"""),1.004)</f>
        <v>1.004</v>
      </c>
      <c r="E3027" s="16">
        <f>IFERROR(__xludf.DUMMYFUNCTION("""COMPUTED_VALUE"""),70.0)</f>
        <v>70</v>
      </c>
      <c r="F3027" s="19" t="str">
        <f>IFERROR(__xludf.DUMMYFUNCTION("""COMPUTED_VALUE"""),"BLACK")</f>
        <v>BLACK</v>
      </c>
      <c r="G3027" s="20" t="str">
        <f>IFERROR(__xludf.DUMMYFUNCTION("""COMPUTED_VALUE"""),"Uncle Sams Cider (5/13/2022)")</f>
        <v>Uncle Sams Cider (5/13/2022)</v>
      </c>
      <c r="H3027" s="19"/>
    </row>
    <row r="3028">
      <c r="A3028" s="9"/>
      <c r="B3028" s="15"/>
      <c r="C3028" s="9">
        <f>IFERROR(__xludf.DUMMYFUNCTION("""COMPUTED_VALUE"""),44765.0668821527)</f>
        <v>44765.06688</v>
      </c>
      <c r="D3028" s="15">
        <f>IFERROR(__xludf.DUMMYFUNCTION("""COMPUTED_VALUE"""),1.004)</f>
        <v>1.004</v>
      </c>
      <c r="E3028" s="16">
        <f>IFERROR(__xludf.DUMMYFUNCTION("""COMPUTED_VALUE"""),70.0)</f>
        <v>70</v>
      </c>
      <c r="F3028" s="19" t="str">
        <f>IFERROR(__xludf.DUMMYFUNCTION("""COMPUTED_VALUE"""),"BLACK")</f>
        <v>BLACK</v>
      </c>
      <c r="G3028" s="20" t="str">
        <f>IFERROR(__xludf.DUMMYFUNCTION("""COMPUTED_VALUE"""),"Uncle Sams Cider (5/13/2022)")</f>
        <v>Uncle Sams Cider (5/13/2022)</v>
      </c>
      <c r="H3028" s="19"/>
    </row>
    <row r="3029">
      <c r="A3029" s="9"/>
      <c r="B3029" s="15"/>
      <c r="C3029" s="9">
        <f>IFERROR(__xludf.DUMMYFUNCTION("""COMPUTED_VALUE"""),44765.0564613078)</f>
        <v>44765.05646</v>
      </c>
      <c r="D3029" s="15">
        <f>IFERROR(__xludf.DUMMYFUNCTION("""COMPUTED_VALUE"""),1.004)</f>
        <v>1.004</v>
      </c>
      <c r="E3029" s="16">
        <f>IFERROR(__xludf.DUMMYFUNCTION("""COMPUTED_VALUE"""),70.0)</f>
        <v>70</v>
      </c>
      <c r="F3029" s="19" t="str">
        <f>IFERROR(__xludf.DUMMYFUNCTION("""COMPUTED_VALUE"""),"BLACK")</f>
        <v>BLACK</v>
      </c>
      <c r="G3029" s="20" t="str">
        <f>IFERROR(__xludf.DUMMYFUNCTION("""COMPUTED_VALUE"""),"Uncle Sams Cider (5/13/2022)")</f>
        <v>Uncle Sams Cider (5/13/2022)</v>
      </c>
      <c r="H3029" s="19"/>
    </row>
    <row r="3030">
      <c r="A3030" s="9"/>
      <c r="B3030" s="15"/>
      <c r="C3030" s="9">
        <f>IFERROR(__xludf.DUMMYFUNCTION("""COMPUTED_VALUE"""),44765.0460290162)</f>
        <v>44765.04603</v>
      </c>
      <c r="D3030" s="15">
        <f>IFERROR(__xludf.DUMMYFUNCTION("""COMPUTED_VALUE"""),1.004)</f>
        <v>1.004</v>
      </c>
      <c r="E3030" s="16">
        <f>IFERROR(__xludf.DUMMYFUNCTION("""COMPUTED_VALUE"""),70.0)</f>
        <v>70</v>
      </c>
      <c r="F3030" s="19" t="str">
        <f>IFERROR(__xludf.DUMMYFUNCTION("""COMPUTED_VALUE"""),"BLACK")</f>
        <v>BLACK</v>
      </c>
      <c r="G3030" s="20" t="str">
        <f>IFERROR(__xludf.DUMMYFUNCTION("""COMPUTED_VALUE"""),"Uncle Sams Cider (5/13/2022)")</f>
        <v>Uncle Sams Cider (5/13/2022)</v>
      </c>
      <c r="H3030" s="19"/>
    </row>
    <row r="3031">
      <c r="A3031" s="9"/>
      <c r="B3031" s="15"/>
      <c r="C3031" s="9">
        <f>IFERROR(__xludf.DUMMYFUNCTION("""COMPUTED_VALUE"""),44765.0355967592)</f>
        <v>44765.0356</v>
      </c>
      <c r="D3031" s="15">
        <f>IFERROR(__xludf.DUMMYFUNCTION("""COMPUTED_VALUE"""),1.004)</f>
        <v>1.004</v>
      </c>
      <c r="E3031" s="16">
        <f>IFERROR(__xludf.DUMMYFUNCTION("""COMPUTED_VALUE"""),70.0)</f>
        <v>70</v>
      </c>
      <c r="F3031" s="19" t="str">
        <f>IFERROR(__xludf.DUMMYFUNCTION("""COMPUTED_VALUE"""),"BLACK")</f>
        <v>BLACK</v>
      </c>
      <c r="G3031" s="20" t="str">
        <f>IFERROR(__xludf.DUMMYFUNCTION("""COMPUTED_VALUE"""),"Uncle Sams Cider (5/13/2022)")</f>
        <v>Uncle Sams Cider (5/13/2022)</v>
      </c>
      <c r="H3031" s="19"/>
    </row>
    <row r="3032">
      <c r="A3032" s="9"/>
      <c r="B3032" s="15"/>
      <c r="C3032" s="9">
        <f>IFERROR(__xludf.DUMMYFUNCTION("""COMPUTED_VALUE"""),44765.025164375)</f>
        <v>44765.02516</v>
      </c>
      <c r="D3032" s="15">
        <f>IFERROR(__xludf.DUMMYFUNCTION("""COMPUTED_VALUE"""),1.004)</f>
        <v>1.004</v>
      </c>
      <c r="E3032" s="16">
        <f>IFERROR(__xludf.DUMMYFUNCTION("""COMPUTED_VALUE"""),70.0)</f>
        <v>70</v>
      </c>
      <c r="F3032" s="19" t="str">
        <f>IFERROR(__xludf.DUMMYFUNCTION("""COMPUTED_VALUE"""),"BLACK")</f>
        <v>BLACK</v>
      </c>
      <c r="G3032" s="20" t="str">
        <f>IFERROR(__xludf.DUMMYFUNCTION("""COMPUTED_VALUE"""),"Uncle Sams Cider (5/13/2022)")</f>
        <v>Uncle Sams Cider (5/13/2022)</v>
      </c>
      <c r="H3032" s="19"/>
    </row>
    <row r="3033">
      <c r="A3033" s="9"/>
      <c r="B3033" s="15"/>
      <c r="C3033" s="9">
        <f>IFERROR(__xludf.DUMMYFUNCTION("""COMPUTED_VALUE"""),44765.0147442939)</f>
        <v>44765.01474</v>
      </c>
      <c r="D3033" s="15">
        <f>IFERROR(__xludf.DUMMYFUNCTION("""COMPUTED_VALUE"""),1.004)</f>
        <v>1.004</v>
      </c>
      <c r="E3033" s="16">
        <f>IFERROR(__xludf.DUMMYFUNCTION("""COMPUTED_VALUE"""),70.0)</f>
        <v>70</v>
      </c>
      <c r="F3033" s="19" t="str">
        <f>IFERROR(__xludf.DUMMYFUNCTION("""COMPUTED_VALUE"""),"BLACK")</f>
        <v>BLACK</v>
      </c>
      <c r="G3033" s="20" t="str">
        <f>IFERROR(__xludf.DUMMYFUNCTION("""COMPUTED_VALUE"""),"Uncle Sams Cider (5/13/2022)")</f>
        <v>Uncle Sams Cider (5/13/2022)</v>
      </c>
      <c r="H3033" s="19"/>
    </row>
    <row r="3034">
      <c r="A3034" s="9"/>
      <c r="B3034" s="15"/>
      <c r="C3034" s="9">
        <f>IFERROR(__xludf.DUMMYFUNCTION("""COMPUTED_VALUE"""),44765.0043217361)</f>
        <v>44765.00432</v>
      </c>
      <c r="D3034" s="15">
        <f>IFERROR(__xludf.DUMMYFUNCTION("""COMPUTED_VALUE"""),1.004)</f>
        <v>1.004</v>
      </c>
      <c r="E3034" s="16">
        <f>IFERROR(__xludf.DUMMYFUNCTION("""COMPUTED_VALUE"""),70.0)</f>
        <v>70</v>
      </c>
      <c r="F3034" s="19" t="str">
        <f>IFERROR(__xludf.DUMMYFUNCTION("""COMPUTED_VALUE"""),"BLACK")</f>
        <v>BLACK</v>
      </c>
      <c r="G3034" s="20" t="str">
        <f>IFERROR(__xludf.DUMMYFUNCTION("""COMPUTED_VALUE"""),"Uncle Sams Cider (5/13/2022)")</f>
        <v>Uncle Sams Cider (5/13/2022)</v>
      </c>
      <c r="H3034" s="19"/>
    </row>
    <row r="3035">
      <c r="A3035" s="9"/>
      <c r="B3035" s="15"/>
      <c r="C3035" s="9">
        <f>IFERROR(__xludf.DUMMYFUNCTION("""COMPUTED_VALUE"""),44764.9938996875)</f>
        <v>44764.9939</v>
      </c>
      <c r="D3035" s="15">
        <f>IFERROR(__xludf.DUMMYFUNCTION("""COMPUTED_VALUE"""),1.004)</f>
        <v>1.004</v>
      </c>
      <c r="E3035" s="16">
        <f>IFERROR(__xludf.DUMMYFUNCTION("""COMPUTED_VALUE"""),70.0)</f>
        <v>70</v>
      </c>
      <c r="F3035" s="19" t="str">
        <f>IFERROR(__xludf.DUMMYFUNCTION("""COMPUTED_VALUE"""),"BLACK")</f>
        <v>BLACK</v>
      </c>
      <c r="G3035" s="20" t="str">
        <f>IFERROR(__xludf.DUMMYFUNCTION("""COMPUTED_VALUE"""),"Uncle Sams Cider (5/13/2022)")</f>
        <v>Uncle Sams Cider (5/13/2022)</v>
      </c>
      <c r="H3035" s="19"/>
    </row>
    <row r="3036">
      <c r="A3036" s="9"/>
      <c r="B3036" s="15"/>
      <c r="C3036" s="9">
        <f>IFERROR(__xludf.DUMMYFUNCTION("""COMPUTED_VALUE"""),44764.9834553587)</f>
        <v>44764.98346</v>
      </c>
      <c r="D3036" s="15">
        <f>IFERROR(__xludf.DUMMYFUNCTION("""COMPUTED_VALUE"""),1.004)</f>
        <v>1.004</v>
      </c>
      <c r="E3036" s="16">
        <f>IFERROR(__xludf.DUMMYFUNCTION("""COMPUTED_VALUE"""),70.0)</f>
        <v>70</v>
      </c>
      <c r="F3036" s="19" t="str">
        <f>IFERROR(__xludf.DUMMYFUNCTION("""COMPUTED_VALUE"""),"BLACK")</f>
        <v>BLACK</v>
      </c>
      <c r="G3036" s="20" t="str">
        <f>IFERROR(__xludf.DUMMYFUNCTION("""COMPUTED_VALUE"""),"Uncle Sams Cider (5/13/2022)")</f>
        <v>Uncle Sams Cider (5/13/2022)</v>
      </c>
      <c r="H3036" s="19"/>
    </row>
    <row r="3037">
      <c r="A3037" s="9"/>
      <c r="B3037" s="15"/>
      <c r="C3037" s="9">
        <f>IFERROR(__xludf.DUMMYFUNCTION("""COMPUTED_VALUE"""),44764.9730219444)</f>
        <v>44764.97302</v>
      </c>
      <c r="D3037" s="15">
        <f>IFERROR(__xludf.DUMMYFUNCTION("""COMPUTED_VALUE"""),1.004)</f>
        <v>1.004</v>
      </c>
      <c r="E3037" s="16">
        <f>IFERROR(__xludf.DUMMYFUNCTION("""COMPUTED_VALUE"""),70.0)</f>
        <v>70</v>
      </c>
      <c r="F3037" s="19" t="str">
        <f>IFERROR(__xludf.DUMMYFUNCTION("""COMPUTED_VALUE"""),"BLACK")</f>
        <v>BLACK</v>
      </c>
      <c r="G3037" s="20" t="str">
        <f>IFERROR(__xludf.DUMMYFUNCTION("""COMPUTED_VALUE"""),"Uncle Sams Cider (5/13/2022)")</f>
        <v>Uncle Sams Cider (5/13/2022)</v>
      </c>
      <c r="H3037" s="19"/>
    </row>
    <row r="3038">
      <c r="A3038" s="9"/>
      <c r="B3038" s="15"/>
      <c r="C3038" s="9">
        <f>IFERROR(__xludf.DUMMYFUNCTION("""COMPUTED_VALUE"""),44764.9625996875)</f>
        <v>44764.9626</v>
      </c>
      <c r="D3038" s="15">
        <f>IFERROR(__xludf.DUMMYFUNCTION("""COMPUTED_VALUE"""),1.004)</f>
        <v>1.004</v>
      </c>
      <c r="E3038" s="16">
        <f>IFERROR(__xludf.DUMMYFUNCTION("""COMPUTED_VALUE"""),70.0)</f>
        <v>70</v>
      </c>
      <c r="F3038" s="19" t="str">
        <f>IFERROR(__xludf.DUMMYFUNCTION("""COMPUTED_VALUE"""),"BLACK")</f>
        <v>BLACK</v>
      </c>
      <c r="G3038" s="20" t="str">
        <f>IFERROR(__xludf.DUMMYFUNCTION("""COMPUTED_VALUE"""),"Uncle Sams Cider (5/13/2022)")</f>
        <v>Uncle Sams Cider (5/13/2022)</v>
      </c>
      <c r="H3038" s="19"/>
    </row>
    <row r="3039">
      <c r="A3039" s="9"/>
      <c r="B3039" s="15"/>
      <c r="C3039" s="9">
        <f>IFERROR(__xludf.DUMMYFUNCTION("""COMPUTED_VALUE"""),44764.9521792708)</f>
        <v>44764.95218</v>
      </c>
      <c r="D3039" s="15">
        <f>IFERROR(__xludf.DUMMYFUNCTION("""COMPUTED_VALUE"""),1.004)</f>
        <v>1.004</v>
      </c>
      <c r="E3039" s="16">
        <f>IFERROR(__xludf.DUMMYFUNCTION("""COMPUTED_VALUE"""),70.0)</f>
        <v>70</v>
      </c>
      <c r="F3039" s="19" t="str">
        <f>IFERROR(__xludf.DUMMYFUNCTION("""COMPUTED_VALUE"""),"BLACK")</f>
        <v>BLACK</v>
      </c>
      <c r="G3039" s="20" t="str">
        <f>IFERROR(__xludf.DUMMYFUNCTION("""COMPUTED_VALUE"""),"Uncle Sams Cider (5/13/2022)")</f>
        <v>Uncle Sams Cider (5/13/2022)</v>
      </c>
      <c r="H3039" s="19"/>
    </row>
    <row r="3040">
      <c r="A3040" s="9"/>
      <c r="B3040" s="15"/>
      <c r="C3040" s="9">
        <f>IFERROR(__xludf.DUMMYFUNCTION("""COMPUTED_VALUE"""),44764.9417569213)</f>
        <v>44764.94176</v>
      </c>
      <c r="D3040" s="15">
        <f>IFERROR(__xludf.DUMMYFUNCTION("""COMPUTED_VALUE"""),1.004)</f>
        <v>1.004</v>
      </c>
      <c r="E3040" s="16">
        <f>IFERROR(__xludf.DUMMYFUNCTION("""COMPUTED_VALUE"""),70.0)</f>
        <v>70</v>
      </c>
      <c r="F3040" s="19" t="str">
        <f>IFERROR(__xludf.DUMMYFUNCTION("""COMPUTED_VALUE"""),"BLACK")</f>
        <v>BLACK</v>
      </c>
      <c r="G3040" s="20" t="str">
        <f>IFERROR(__xludf.DUMMYFUNCTION("""COMPUTED_VALUE"""),"Uncle Sams Cider (5/13/2022)")</f>
        <v>Uncle Sams Cider (5/13/2022)</v>
      </c>
      <c r="H3040" s="19"/>
    </row>
    <row r="3041">
      <c r="A3041" s="9"/>
      <c r="B3041" s="15"/>
      <c r="C3041" s="9">
        <f>IFERROR(__xludf.DUMMYFUNCTION("""COMPUTED_VALUE"""),44764.9313350463)</f>
        <v>44764.93134</v>
      </c>
      <c r="D3041" s="15">
        <f>IFERROR(__xludf.DUMMYFUNCTION("""COMPUTED_VALUE"""),1.004)</f>
        <v>1.004</v>
      </c>
      <c r="E3041" s="16">
        <f>IFERROR(__xludf.DUMMYFUNCTION("""COMPUTED_VALUE"""),70.0)</f>
        <v>70</v>
      </c>
      <c r="F3041" s="19" t="str">
        <f>IFERROR(__xludf.DUMMYFUNCTION("""COMPUTED_VALUE"""),"BLACK")</f>
        <v>BLACK</v>
      </c>
      <c r="G3041" s="20" t="str">
        <f>IFERROR(__xludf.DUMMYFUNCTION("""COMPUTED_VALUE"""),"Uncle Sams Cider (5/13/2022)")</f>
        <v>Uncle Sams Cider (5/13/2022)</v>
      </c>
      <c r="H3041" s="19"/>
    </row>
    <row r="3042">
      <c r="A3042" s="9"/>
      <c r="B3042" s="15"/>
      <c r="C3042" s="9">
        <f>IFERROR(__xludf.DUMMYFUNCTION("""COMPUTED_VALUE"""),44764.9209039004)</f>
        <v>44764.9209</v>
      </c>
      <c r="D3042" s="15">
        <f>IFERROR(__xludf.DUMMYFUNCTION("""COMPUTED_VALUE"""),1.004)</f>
        <v>1.004</v>
      </c>
      <c r="E3042" s="16">
        <f>IFERROR(__xludf.DUMMYFUNCTION("""COMPUTED_VALUE"""),70.0)</f>
        <v>70</v>
      </c>
      <c r="F3042" s="19" t="str">
        <f>IFERROR(__xludf.DUMMYFUNCTION("""COMPUTED_VALUE"""),"BLACK")</f>
        <v>BLACK</v>
      </c>
      <c r="G3042" s="20" t="str">
        <f>IFERROR(__xludf.DUMMYFUNCTION("""COMPUTED_VALUE"""),"Uncle Sams Cider (5/13/2022)")</f>
        <v>Uncle Sams Cider (5/13/2022)</v>
      </c>
      <c r="H3042" s="19"/>
    </row>
    <row r="3043">
      <c r="A3043" s="9"/>
      <c r="B3043" s="15"/>
      <c r="C3043" s="9">
        <f>IFERROR(__xludf.DUMMYFUNCTION("""COMPUTED_VALUE"""),44764.91048228)</f>
        <v>44764.91048</v>
      </c>
      <c r="D3043" s="15">
        <f>IFERROR(__xludf.DUMMYFUNCTION("""COMPUTED_VALUE"""),1.004)</f>
        <v>1.004</v>
      </c>
      <c r="E3043" s="16">
        <f>IFERROR(__xludf.DUMMYFUNCTION("""COMPUTED_VALUE"""),70.0)</f>
        <v>70</v>
      </c>
      <c r="F3043" s="19" t="str">
        <f>IFERROR(__xludf.DUMMYFUNCTION("""COMPUTED_VALUE"""),"BLACK")</f>
        <v>BLACK</v>
      </c>
      <c r="G3043" s="20" t="str">
        <f>IFERROR(__xludf.DUMMYFUNCTION("""COMPUTED_VALUE"""),"Uncle Sams Cider (5/13/2022)")</f>
        <v>Uncle Sams Cider (5/13/2022)</v>
      </c>
      <c r="H3043" s="19"/>
    </row>
    <row r="3044">
      <c r="A3044" s="9"/>
      <c r="B3044" s="15"/>
      <c r="C3044" s="9">
        <f>IFERROR(__xludf.DUMMYFUNCTION("""COMPUTED_VALUE"""),44764.9000628472)</f>
        <v>44764.90006</v>
      </c>
      <c r="D3044" s="15">
        <f>IFERROR(__xludf.DUMMYFUNCTION("""COMPUTED_VALUE"""),1.004)</f>
        <v>1.004</v>
      </c>
      <c r="E3044" s="16">
        <f>IFERROR(__xludf.DUMMYFUNCTION("""COMPUTED_VALUE"""),70.0)</f>
        <v>70</v>
      </c>
      <c r="F3044" s="19" t="str">
        <f>IFERROR(__xludf.DUMMYFUNCTION("""COMPUTED_VALUE"""),"BLACK")</f>
        <v>BLACK</v>
      </c>
      <c r="G3044" s="20" t="str">
        <f>IFERROR(__xludf.DUMMYFUNCTION("""COMPUTED_VALUE"""),"Uncle Sams Cider (5/13/2022)")</f>
        <v>Uncle Sams Cider (5/13/2022)</v>
      </c>
      <c r="H3044" s="19"/>
    </row>
    <row r="3045">
      <c r="A3045" s="9"/>
      <c r="B3045" s="15"/>
      <c r="C3045" s="9">
        <f>IFERROR(__xludf.DUMMYFUNCTION("""COMPUTED_VALUE"""),44764.8896407407)</f>
        <v>44764.88964</v>
      </c>
      <c r="D3045" s="15">
        <f>IFERROR(__xludf.DUMMYFUNCTION("""COMPUTED_VALUE"""),1.004)</f>
        <v>1.004</v>
      </c>
      <c r="E3045" s="16">
        <f>IFERROR(__xludf.DUMMYFUNCTION("""COMPUTED_VALUE"""),70.0)</f>
        <v>70</v>
      </c>
      <c r="F3045" s="19" t="str">
        <f>IFERROR(__xludf.DUMMYFUNCTION("""COMPUTED_VALUE"""),"BLACK")</f>
        <v>BLACK</v>
      </c>
      <c r="G3045" s="20" t="str">
        <f>IFERROR(__xludf.DUMMYFUNCTION("""COMPUTED_VALUE"""),"Uncle Sams Cider (5/13/2022)")</f>
        <v>Uncle Sams Cider (5/13/2022)</v>
      </c>
      <c r="H3045" s="19"/>
    </row>
    <row r="3046">
      <c r="A3046" s="9"/>
      <c r="B3046" s="15"/>
      <c r="C3046" s="9">
        <f>IFERROR(__xludf.DUMMYFUNCTION("""COMPUTED_VALUE"""),44764.8792187615)</f>
        <v>44764.87922</v>
      </c>
      <c r="D3046" s="15">
        <f>IFERROR(__xludf.DUMMYFUNCTION("""COMPUTED_VALUE"""),1.004)</f>
        <v>1.004</v>
      </c>
      <c r="E3046" s="16">
        <f>IFERROR(__xludf.DUMMYFUNCTION("""COMPUTED_VALUE"""),70.0)</f>
        <v>70</v>
      </c>
      <c r="F3046" s="19" t="str">
        <f>IFERROR(__xludf.DUMMYFUNCTION("""COMPUTED_VALUE"""),"BLACK")</f>
        <v>BLACK</v>
      </c>
      <c r="G3046" s="20" t="str">
        <f>IFERROR(__xludf.DUMMYFUNCTION("""COMPUTED_VALUE"""),"Uncle Sams Cider (5/13/2022)")</f>
        <v>Uncle Sams Cider (5/13/2022)</v>
      </c>
      <c r="H3046" s="19"/>
    </row>
    <row r="3047">
      <c r="A3047" s="9"/>
      <c r="B3047" s="15"/>
      <c r="C3047" s="9">
        <f>IFERROR(__xludf.DUMMYFUNCTION("""COMPUTED_VALUE"""),44764.8687974884)</f>
        <v>44764.8688</v>
      </c>
      <c r="D3047" s="15">
        <f>IFERROR(__xludf.DUMMYFUNCTION("""COMPUTED_VALUE"""),1.004)</f>
        <v>1.004</v>
      </c>
      <c r="E3047" s="16">
        <f>IFERROR(__xludf.DUMMYFUNCTION("""COMPUTED_VALUE"""),70.0)</f>
        <v>70</v>
      </c>
      <c r="F3047" s="19" t="str">
        <f>IFERROR(__xludf.DUMMYFUNCTION("""COMPUTED_VALUE"""),"BLACK")</f>
        <v>BLACK</v>
      </c>
      <c r="G3047" s="20" t="str">
        <f>IFERROR(__xludf.DUMMYFUNCTION("""COMPUTED_VALUE"""),"Uncle Sams Cider (5/13/2022)")</f>
        <v>Uncle Sams Cider (5/13/2022)</v>
      </c>
      <c r="H3047" s="19"/>
    </row>
    <row r="3048">
      <c r="A3048" s="9"/>
      <c r="B3048" s="15"/>
      <c r="C3048" s="9">
        <f>IFERROR(__xludf.DUMMYFUNCTION("""COMPUTED_VALUE"""),44764.8583749421)</f>
        <v>44764.85837</v>
      </c>
      <c r="D3048" s="15">
        <f>IFERROR(__xludf.DUMMYFUNCTION("""COMPUTED_VALUE"""),1.004)</f>
        <v>1.004</v>
      </c>
      <c r="E3048" s="16">
        <f>IFERROR(__xludf.DUMMYFUNCTION("""COMPUTED_VALUE"""),70.0)</f>
        <v>70</v>
      </c>
      <c r="F3048" s="19" t="str">
        <f>IFERROR(__xludf.DUMMYFUNCTION("""COMPUTED_VALUE"""),"BLACK")</f>
        <v>BLACK</v>
      </c>
      <c r="G3048" s="20" t="str">
        <f>IFERROR(__xludf.DUMMYFUNCTION("""COMPUTED_VALUE"""),"Uncle Sams Cider (5/13/2022)")</f>
        <v>Uncle Sams Cider (5/13/2022)</v>
      </c>
      <c r="H3048" s="19"/>
    </row>
    <row r="3049">
      <c r="A3049" s="9"/>
      <c r="B3049" s="15"/>
      <c r="C3049" s="9">
        <f>IFERROR(__xludf.DUMMYFUNCTION("""COMPUTED_VALUE"""),44764.8479552199)</f>
        <v>44764.84796</v>
      </c>
      <c r="D3049" s="15">
        <f>IFERROR(__xludf.DUMMYFUNCTION("""COMPUTED_VALUE"""),1.004)</f>
        <v>1.004</v>
      </c>
      <c r="E3049" s="16">
        <f>IFERROR(__xludf.DUMMYFUNCTION("""COMPUTED_VALUE"""),70.0)</f>
        <v>70</v>
      </c>
      <c r="F3049" s="19" t="str">
        <f>IFERROR(__xludf.DUMMYFUNCTION("""COMPUTED_VALUE"""),"BLACK")</f>
        <v>BLACK</v>
      </c>
      <c r="G3049" s="20" t="str">
        <f>IFERROR(__xludf.DUMMYFUNCTION("""COMPUTED_VALUE"""),"Uncle Sams Cider (5/13/2022)")</f>
        <v>Uncle Sams Cider (5/13/2022)</v>
      </c>
      <c r="H3049" s="19"/>
    </row>
    <row r="3050">
      <c r="A3050" s="9"/>
      <c r="B3050" s="15"/>
      <c r="C3050" s="9">
        <f>IFERROR(__xludf.DUMMYFUNCTION("""COMPUTED_VALUE"""),44764.8375099074)</f>
        <v>44764.83751</v>
      </c>
      <c r="D3050" s="15">
        <f>IFERROR(__xludf.DUMMYFUNCTION("""COMPUTED_VALUE"""),1.004)</f>
        <v>1.004</v>
      </c>
      <c r="E3050" s="16">
        <f>IFERROR(__xludf.DUMMYFUNCTION("""COMPUTED_VALUE"""),70.0)</f>
        <v>70</v>
      </c>
      <c r="F3050" s="19" t="str">
        <f>IFERROR(__xludf.DUMMYFUNCTION("""COMPUTED_VALUE"""),"BLACK")</f>
        <v>BLACK</v>
      </c>
      <c r="G3050" s="20" t="str">
        <f>IFERROR(__xludf.DUMMYFUNCTION("""COMPUTED_VALUE"""),"Uncle Sams Cider (5/13/2022)")</f>
        <v>Uncle Sams Cider (5/13/2022)</v>
      </c>
      <c r="H3050" s="19"/>
    </row>
    <row r="3051">
      <c r="A3051" s="9"/>
      <c r="B3051" s="15"/>
      <c r="C3051" s="9">
        <f>IFERROR(__xludf.DUMMYFUNCTION("""COMPUTED_VALUE"""),44764.8270881365)</f>
        <v>44764.82709</v>
      </c>
      <c r="D3051" s="15">
        <f>IFERROR(__xludf.DUMMYFUNCTION("""COMPUTED_VALUE"""),1.004)</f>
        <v>1.004</v>
      </c>
      <c r="E3051" s="16">
        <f>IFERROR(__xludf.DUMMYFUNCTION("""COMPUTED_VALUE"""),70.0)</f>
        <v>70</v>
      </c>
      <c r="F3051" s="19" t="str">
        <f>IFERROR(__xludf.DUMMYFUNCTION("""COMPUTED_VALUE"""),"BLACK")</f>
        <v>BLACK</v>
      </c>
      <c r="G3051" s="20" t="str">
        <f>IFERROR(__xludf.DUMMYFUNCTION("""COMPUTED_VALUE"""),"Uncle Sams Cider (5/13/2022)")</f>
        <v>Uncle Sams Cider (5/13/2022)</v>
      </c>
      <c r="H3051" s="19"/>
    </row>
    <row r="3052">
      <c r="A3052" s="9"/>
      <c r="B3052" s="15"/>
      <c r="C3052" s="9">
        <f>IFERROR(__xludf.DUMMYFUNCTION("""COMPUTED_VALUE"""),44764.8166562268)</f>
        <v>44764.81666</v>
      </c>
      <c r="D3052" s="15">
        <f>IFERROR(__xludf.DUMMYFUNCTION("""COMPUTED_VALUE"""),1.004)</f>
        <v>1.004</v>
      </c>
      <c r="E3052" s="16">
        <f>IFERROR(__xludf.DUMMYFUNCTION("""COMPUTED_VALUE"""),70.0)</f>
        <v>70</v>
      </c>
      <c r="F3052" s="19" t="str">
        <f>IFERROR(__xludf.DUMMYFUNCTION("""COMPUTED_VALUE"""),"BLACK")</f>
        <v>BLACK</v>
      </c>
      <c r="G3052" s="20" t="str">
        <f>IFERROR(__xludf.DUMMYFUNCTION("""COMPUTED_VALUE"""),"Uncle Sams Cider (5/13/2022)")</f>
        <v>Uncle Sams Cider (5/13/2022)</v>
      </c>
      <c r="H3052" s="19"/>
    </row>
    <row r="3053">
      <c r="A3053" s="9"/>
      <c r="B3053" s="15"/>
      <c r="C3053" s="9">
        <f>IFERROR(__xludf.DUMMYFUNCTION("""COMPUTED_VALUE"""),44764.8062345949)</f>
        <v>44764.80623</v>
      </c>
      <c r="D3053" s="15">
        <f>IFERROR(__xludf.DUMMYFUNCTION("""COMPUTED_VALUE"""),1.004)</f>
        <v>1.004</v>
      </c>
      <c r="E3053" s="16">
        <f>IFERROR(__xludf.DUMMYFUNCTION("""COMPUTED_VALUE"""),70.0)</f>
        <v>70</v>
      </c>
      <c r="F3053" s="19" t="str">
        <f>IFERROR(__xludf.DUMMYFUNCTION("""COMPUTED_VALUE"""),"BLACK")</f>
        <v>BLACK</v>
      </c>
      <c r="G3053" s="20" t="str">
        <f>IFERROR(__xludf.DUMMYFUNCTION("""COMPUTED_VALUE"""),"Uncle Sams Cider (5/13/2022)")</f>
        <v>Uncle Sams Cider (5/13/2022)</v>
      </c>
      <c r="H3053" s="19"/>
    </row>
    <row r="3054">
      <c r="A3054" s="9"/>
      <c r="B3054" s="15"/>
      <c r="C3054" s="9">
        <f>IFERROR(__xludf.DUMMYFUNCTION("""COMPUTED_VALUE"""),44764.7958133796)</f>
        <v>44764.79581</v>
      </c>
      <c r="D3054" s="15">
        <f>IFERROR(__xludf.DUMMYFUNCTION("""COMPUTED_VALUE"""),1.004)</f>
        <v>1.004</v>
      </c>
      <c r="E3054" s="16">
        <f>IFERROR(__xludf.DUMMYFUNCTION("""COMPUTED_VALUE"""),70.0)</f>
        <v>70</v>
      </c>
      <c r="F3054" s="19" t="str">
        <f>IFERROR(__xludf.DUMMYFUNCTION("""COMPUTED_VALUE"""),"BLACK")</f>
        <v>BLACK</v>
      </c>
      <c r="G3054" s="20" t="str">
        <f>IFERROR(__xludf.DUMMYFUNCTION("""COMPUTED_VALUE"""),"Uncle Sams Cider (5/13/2022)")</f>
        <v>Uncle Sams Cider (5/13/2022)</v>
      </c>
      <c r="H3054" s="19"/>
    </row>
    <row r="3055">
      <c r="A3055" s="9"/>
      <c r="B3055" s="15"/>
      <c r="C3055" s="9">
        <f>IFERROR(__xludf.DUMMYFUNCTION("""COMPUTED_VALUE"""),44764.7853931828)</f>
        <v>44764.78539</v>
      </c>
      <c r="D3055" s="15">
        <f>IFERROR(__xludf.DUMMYFUNCTION("""COMPUTED_VALUE"""),1.004)</f>
        <v>1.004</v>
      </c>
      <c r="E3055" s="16">
        <f>IFERROR(__xludf.DUMMYFUNCTION("""COMPUTED_VALUE"""),70.0)</f>
        <v>70</v>
      </c>
      <c r="F3055" s="19" t="str">
        <f>IFERROR(__xludf.DUMMYFUNCTION("""COMPUTED_VALUE"""),"BLACK")</f>
        <v>BLACK</v>
      </c>
      <c r="G3055" s="20" t="str">
        <f>IFERROR(__xludf.DUMMYFUNCTION("""COMPUTED_VALUE"""),"Uncle Sams Cider (5/13/2022)")</f>
        <v>Uncle Sams Cider (5/13/2022)</v>
      </c>
      <c r="H3055" s="19"/>
    </row>
    <row r="3056">
      <c r="A3056" s="9"/>
      <c r="B3056" s="15"/>
      <c r="C3056" s="9">
        <f>IFERROR(__xludf.DUMMYFUNCTION("""COMPUTED_VALUE"""),44764.774971412)</f>
        <v>44764.77497</v>
      </c>
      <c r="D3056" s="15">
        <f>IFERROR(__xludf.DUMMYFUNCTION("""COMPUTED_VALUE"""),1.004)</f>
        <v>1.004</v>
      </c>
      <c r="E3056" s="16">
        <f>IFERROR(__xludf.DUMMYFUNCTION("""COMPUTED_VALUE"""),70.0)</f>
        <v>70</v>
      </c>
      <c r="F3056" s="19" t="str">
        <f>IFERROR(__xludf.DUMMYFUNCTION("""COMPUTED_VALUE"""),"BLACK")</f>
        <v>BLACK</v>
      </c>
      <c r="G3056" s="20" t="str">
        <f>IFERROR(__xludf.DUMMYFUNCTION("""COMPUTED_VALUE"""),"Uncle Sams Cider (5/13/2022)")</f>
        <v>Uncle Sams Cider (5/13/2022)</v>
      </c>
      <c r="H3056" s="19"/>
    </row>
    <row r="3057">
      <c r="A3057" s="9"/>
      <c r="B3057" s="15"/>
      <c r="C3057" s="9">
        <f>IFERROR(__xludf.DUMMYFUNCTION("""COMPUTED_VALUE"""),44764.7645501851)</f>
        <v>44764.76455</v>
      </c>
      <c r="D3057" s="15">
        <f>IFERROR(__xludf.DUMMYFUNCTION("""COMPUTED_VALUE"""),1.004)</f>
        <v>1.004</v>
      </c>
      <c r="E3057" s="16">
        <f>IFERROR(__xludf.DUMMYFUNCTION("""COMPUTED_VALUE"""),70.0)</f>
        <v>70</v>
      </c>
      <c r="F3057" s="19" t="str">
        <f>IFERROR(__xludf.DUMMYFUNCTION("""COMPUTED_VALUE"""),"BLACK")</f>
        <v>BLACK</v>
      </c>
      <c r="G3057" s="20" t="str">
        <f>IFERROR(__xludf.DUMMYFUNCTION("""COMPUTED_VALUE"""),"Uncle Sams Cider (5/13/2022)")</f>
        <v>Uncle Sams Cider (5/13/2022)</v>
      </c>
      <c r="H3057" s="19"/>
    </row>
    <row r="3058">
      <c r="A3058" s="9"/>
      <c r="B3058" s="15"/>
      <c r="C3058" s="9">
        <f>IFERROR(__xludf.DUMMYFUNCTION("""COMPUTED_VALUE"""),44764.7541291088)</f>
        <v>44764.75413</v>
      </c>
      <c r="D3058" s="15">
        <f>IFERROR(__xludf.DUMMYFUNCTION("""COMPUTED_VALUE"""),1.004)</f>
        <v>1.004</v>
      </c>
      <c r="E3058" s="16">
        <f>IFERROR(__xludf.DUMMYFUNCTION("""COMPUTED_VALUE"""),70.0)</f>
        <v>70</v>
      </c>
      <c r="F3058" s="19" t="str">
        <f>IFERROR(__xludf.DUMMYFUNCTION("""COMPUTED_VALUE"""),"BLACK")</f>
        <v>BLACK</v>
      </c>
      <c r="G3058" s="20" t="str">
        <f>IFERROR(__xludf.DUMMYFUNCTION("""COMPUTED_VALUE"""),"Uncle Sams Cider (5/13/2022)")</f>
        <v>Uncle Sams Cider (5/13/2022)</v>
      </c>
      <c r="H3058" s="19"/>
    </row>
    <row r="3059">
      <c r="A3059" s="9"/>
      <c r="B3059" s="15"/>
      <c r="C3059" s="9">
        <f>IFERROR(__xludf.DUMMYFUNCTION("""COMPUTED_VALUE"""),44764.7436951041)</f>
        <v>44764.7437</v>
      </c>
      <c r="D3059" s="15">
        <f>IFERROR(__xludf.DUMMYFUNCTION("""COMPUTED_VALUE"""),1.004)</f>
        <v>1.004</v>
      </c>
      <c r="E3059" s="16">
        <f>IFERROR(__xludf.DUMMYFUNCTION("""COMPUTED_VALUE"""),70.0)</f>
        <v>70</v>
      </c>
      <c r="F3059" s="19" t="str">
        <f>IFERROR(__xludf.DUMMYFUNCTION("""COMPUTED_VALUE"""),"BLACK")</f>
        <v>BLACK</v>
      </c>
      <c r="G3059" s="20" t="str">
        <f>IFERROR(__xludf.DUMMYFUNCTION("""COMPUTED_VALUE"""),"Uncle Sams Cider (5/13/2022)")</f>
        <v>Uncle Sams Cider (5/13/2022)</v>
      </c>
      <c r="H3059" s="19"/>
    </row>
    <row r="3060">
      <c r="A3060" s="9"/>
      <c r="B3060" s="15"/>
      <c r="C3060" s="9">
        <f>IFERROR(__xludf.DUMMYFUNCTION("""COMPUTED_VALUE"""),44764.733247662)</f>
        <v>44764.73325</v>
      </c>
      <c r="D3060" s="15">
        <f>IFERROR(__xludf.DUMMYFUNCTION("""COMPUTED_VALUE"""),1.004)</f>
        <v>1.004</v>
      </c>
      <c r="E3060" s="16">
        <f>IFERROR(__xludf.DUMMYFUNCTION("""COMPUTED_VALUE"""),70.0)</f>
        <v>70</v>
      </c>
      <c r="F3060" s="19" t="str">
        <f>IFERROR(__xludf.DUMMYFUNCTION("""COMPUTED_VALUE"""),"BLACK")</f>
        <v>BLACK</v>
      </c>
      <c r="G3060" s="20" t="str">
        <f>IFERROR(__xludf.DUMMYFUNCTION("""COMPUTED_VALUE"""),"Uncle Sams Cider (5/13/2022)")</f>
        <v>Uncle Sams Cider (5/13/2022)</v>
      </c>
      <c r="H3060" s="19"/>
    </row>
    <row r="3061">
      <c r="A3061" s="9"/>
      <c r="B3061" s="15"/>
      <c r="C3061" s="9">
        <f>IFERROR(__xludf.DUMMYFUNCTION("""COMPUTED_VALUE"""),44764.7228041203)</f>
        <v>44764.7228</v>
      </c>
      <c r="D3061" s="15">
        <f>IFERROR(__xludf.DUMMYFUNCTION("""COMPUTED_VALUE"""),1.004)</f>
        <v>1.004</v>
      </c>
      <c r="E3061" s="16">
        <f>IFERROR(__xludf.DUMMYFUNCTION("""COMPUTED_VALUE"""),70.0)</f>
        <v>70</v>
      </c>
      <c r="F3061" s="19" t="str">
        <f>IFERROR(__xludf.DUMMYFUNCTION("""COMPUTED_VALUE"""),"BLACK")</f>
        <v>BLACK</v>
      </c>
      <c r="G3061" s="20" t="str">
        <f>IFERROR(__xludf.DUMMYFUNCTION("""COMPUTED_VALUE"""),"Uncle Sams Cider (5/13/2022)")</f>
        <v>Uncle Sams Cider (5/13/2022)</v>
      </c>
      <c r="H3061" s="19"/>
    </row>
    <row r="3062">
      <c r="A3062" s="9"/>
      <c r="B3062" s="15"/>
      <c r="C3062" s="9">
        <f>IFERROR(__xludf.DUMMYFUNCTION("""COMPUTED_VALUE"""),44764.7123714467)</f>
        <v>44764.71237</v>
      </c>
      <c r="D3062" s="15">
        <f>IFERROR(__xludf.DUMMYFUNCTION("""COMPUTED_VALUE"""),1.004)</f>
        <v>1.004</v>
      </c>
      <c r="E3062" s="16">
        <f>IFERROR(__xludf.DUMMYFUNCTION("""COMPUTED_VALUE"""),70.0)</f>
        <v>70</v>
      </c>
      <c r="F3062" s="19" t="str">
        <f>IFERROR(__xludf.DUMMYFUNCTION("""COMPUTED_VALUE"""),"BLACK")</f>
        <v>BLACK</v>
      </c>
      <c r="G3062" s="20" t="str">
        <f>IFERROR(__xludf.DUMMYFUNCTION("""COMPUTED_VALUE"""),"Uncle Sams Cider (5/13/2022)")</f>
        <v>Uncle Sams Cider (5/13/2022)</v>
      </c>
      <c r="H3062" s="19"/>
    </row>
    <row r="3063">
      <c r="A3063" s="9"/>
      <c r="B3063" s="15"/>
      <c r="C3063" s="9">
        <f>IFERROR(__xludf.DUMMYFUNCTION("""COMPUTED_VALUE"""),44764.7019389004)</f>
        <v>44764.70194</v>
      </c>
      <c r="D3063" s="15">
        <f>IFERROR(__xludf.DUMMYFUNCTION("""COMPUTED_VALUE"""),1.004)</f>
        <v>1.004</v>
      </c>
      <c r="E3063" s="16">
        <f>IFERROR(__xludf.DUMMYFUNCTION("""COMPUTED_VALUE"""),69.0)</f>
        <v>69</v>
      </c>
      <c r="F3063" s="19" t="str">
        <f>IFERROR(__xludf.DUMMYFUNCTION("""COMPUTED_VALUE"""),"BLACK")</f>
        <v>BLACK</v>
      </c>
      <c r="G3063" s="20" t="str">
        <f>IFERROR(__xludf.DUMMYFUNCTION("""COMPUTED_VALUE"""),"Uncle Sams Cider (5/13/2022)")</f>
        <v>Uncle Sams Cider (5/13/2022)</v>
      </c>
      <c r="H3063" s="19"/>
    </row>
    <row r="3064">
      <c r="A3064" s="9"/>
      <c r="B3064" s="15"/>
      <c r="C3064" s="9">
        <f>IFERROR(__xludf.DUMMYFUNCTION("""COMPUTED_VALUE"""),44764.6915054976)</f>
        <v>44764.69151</v>
      </c>
      <c r="D3064" s="15">
        <f>IFERROR(__xludf.DUMMYFUNCTION("""COMPUTED_VALUE"""),1.004)</f>
        <v>1.004</v>
      </c>
      <c r="E3064" s="16">
        <f>IFERROR(__xludf.DUMMYFUNCTION("""COMPUTED_VALUE"""),70.0)</f>
        <v>70</v>
      </c>
      <c r="F3064" s="19" t="str">
        <f>IFERROR(__xludf.DUMMYFUNCTION("""COMPUTED_VALUE"""),"BLACK")</f>
        <v>BLACK</v>
      </c>
      <c r="G3064" s="20" t="str">
        <f>IFERROR(__xludf.DUMMYFUNCTION("""COMPUTED_VALUE"""),"Uncle Sams Cider (5/13/2022)")</f>
        <v>Uncle Sams Cider (5/13/2022)</v>
      </c>
      <c r="H3064" s="19"/>
    </row>
    <row r="3065">
      <c r="A3065" s="9"/>
      <c r="B3065" s="15"/>
      <c r="C3065" s="9">
        <f>IFERROR(__xludf.DUMMYFUNCTION("""COMPUTED_VALUE"""),44764.6810726967)</f>
        <v>44764.68107</v>
      </c>
      <c r="D3065" s="15">
        <f>IFERROR(__xludf.DUMMYFUNCTION("""COMPUTED_VALUE"""),1.004)</f>
        <v>1.004</v>
      </c>
      <c r="E3065" s="16">
        <f>IFERROR(__xludf.DUMMYFUNCTION("""COMPUTED_VALUE"""),70.0)</f>
        <v>70</v>
      </c>
      <c r="F3065" s="19" t="str">
        <f>IFERROR(__xludf.DUMMYFUNCTION("""COMPUTED_VALUE"""),"BLACK")</f>
        <v>BLACK</v>
      </c>
      <c r="G3065" s="20" t="str">
        <f>IFERROR(__xludf.DUMMYFUNCTION("""COMPUTED_VALUE"""),"Uncle Sams Cider (5/13/2022)")</f>
        <v>Uncle Sams Cider (5/13/2022)</v>
      </c>
      <c r="H3065" s="19"/>
    </row>
    <row r="3066">
      <c r="A3066" s="9"/>
      <c r="B3066" s="15"/>
      <c r="C3066" s="9">
        <f>IFERROR(__xludf.DUMMYFUNCTION("""COMPUTED_VALUE"""),44764.6706514004)</f>
        <v>44764.67065</v>
      </c>
      <c r="D3066" s="15">
        <f>IFERROR(__xludf.DUMMYFUNCTION("""COMPUTED_VALUE"""),1.004)</f>
        <v>1.004</v>
      </c>
      <c r="E3066" s="16">
        <f>IFERROR(__xludf.DUMMYFUNCTION("""COMPUTED_VALUE"""),70.0)</f>
        <v>70</v>
      </c>
      <c r="F3066" s="19" t="str">
        <f>IFERROR(__xludf.DUMMYFUNCTION("""COMPUTED_VALUE"""),"BLACK")</f>
        <v>BLACK</v>
      </c>
      <c r="G3066" s="20" t="str">
        <f>IFERROR(__xludf.DUMMYFUNCTION("""COMPUTED_VALUE"""),"Uncle Sams Cider (5/13/2022)")</f>
        <v>Uncle Sams Cider (5/13/2022)</v>
      </c>
      <c r="H3066" s="19"/>
    </row>
    <row r="3067">
      <c r="A3067" s="9"/>
      <c r="B3067" s="15"/>
      <c r="C3067" s="9">
        <f>IFERROR(__xludf.DUMMYFUNCTION("""COMPUTED_VALUE"""),44764.6601974074)</f>
        <v>44764.6602</v>
      </c>
      <c r="D3067" s="15">
        <f>IFERROR(__xludf.DUMMYFUNCTION("""COMPUTED_VALUE"""),1.004)</f>
        <v>1.004</v>
      </c>
      <c r="E3067" s="16">
        <f>IFERROR(__xludf.DUMMYFUNCTION("""COMPUTED_VALUE"""),70.0)</f>
        <v>70</v>
      </c>
      <c r="F3067" s="19" t="str">
        <f>IFERROR(__xludf.DUMMYFUNCTION("""COMPUTED_VALUE"""),"BLACK")</f>
        <v>BLACK</v>
      </c>
      <c r="G3067" s="20" t="str">
        <f>IFERROR(__xludf.DUMMYFUNCTION("""COMPUTED_VALUE"""),"Uncle Sams Cider (5/13/2022)")</f>
        <v>Uncle Sams Cider (5/13/2022)</v>
      </c>
      <c r="H3067" s="19"/>
    </row>
    <row r="3068">
      <c r="A3068" s="9"/>
      <c r="B3068" s="15"/>
      <c r="C3068" s="9">
        <f>IFERROR(__xludf.DUMMYFUNCTION("""COMPUTED_VALUE"""),44764.6497766666)</f>
        <v>44764.64978</v>
      </c>
      <c r="D3068" s="15">
        <f>IFERROR(__xludf.DUMMYFUNCTION("""COMPUTED_VALUE"""),1.004)</f>
        <v>1.004</v>
      </c>
      <c r="E3068" s="16">
        <f>IFERROR(__xludf.DUMMYFUNCTION("""COMPUTED_VALUE"""),69.0)</f>
        <v>69</v>
      </c>
      <c r="F3068" s="19" t="str">
        <f>IFERROR(__xludf.DUMMYFUNCTION("""COMPUTED_VALUE"""),"BLACK")</f>
        <v>BLACK</v>
      </c>
      <c r="G3068" s="20" t="str">
        <f>IFERROR(__xludf.DUMMYFUNCTION("""COMPUTED_VALUE"""),"Uncle Sams Cider (5/13/2022)")</f>
        <v>Uncle Sams Cider (5/13/2022)</v>
      </c>
      <c r="H3068" s="19"/>
    </row>
    <row r="3069">
      <c r="A3069" s="9"/>
      <c r="B3069" s="15"/>
      <c r="C3069" s="9">
        <f>IFERROR(__xludf.DUMMYFUNCTION("""COMPUTED_VALUE"""),44764.639355625)</f>
        <v>44764.63936</v>
      </c>
      <c r="D3069" s="15">
        <f>IFERROR(__xludf.DUMMYFUNCTION("""COMPUTED_VALUE"""),1.004)</f>
        <v>1.004</v>
      </c>
      <c r="E3069" s="16">
        <f>IFERROR(__xludf.DUMMYFUNCTION("""COMPUTED_VALUE"""),70.0)</f>
        <v>70</v>
      </c>
      <c r="F3069" s="19" t="str">
        <f>IFERROR(__xludf.DUMMYFUNCTION("""COMPUTED_VALUE"""),"BLACK")</f>
        <v>BLACK</v>
      </c>
      <c r="G3069" s="20" t="str">
        <f>IFERROR(__xludf.DUMMYFUNCTION("""COMPUTED_VALUE"""),"Uncle Sams Cider (5/13/2022)")</f>
        <v>Uncle Sams Cider (5/13/2022)</v>
      </c>
      <c r="H3069" s="19"/>
    </row>
    <row r="3070">
      <c r="A3070" s="9"/>
      <c r="B3070" s="15"/>
      <c r="C3070" s="9">
        <f>IFERROR(__xludf.DUMMYFUNCTION("""COMPUTED_VALUE"""),44764.6289346759)</f>
        <v>44764.62893</v>
      </c>
      <c r="D3070" s="15">
        <f>IFERROR(__xludf.DUMMYFUNCTION("""COMPUTED_VALUE"""),1.004)</f>
        <v>1.004</v>
      </c>
      <c r="E3070" s="16">
        <f>IFERROR(__xludf.DUMMYFUNCTION("""COMPUTED_VALUE"""),70.0)</f>
        <v>70</v>
      </c>
      <c r="F3070" s="19" t="str">
        <f>IFERROR(__xludf.DUMMYFUNCTION("""COMPUTED_VALUE"""),"BLACK")</f>
        <v>BLACK</v>
      </c>
      <c r="G3070" s="20" t="str">
        <f>IFERROR(__xludf.DUMMYFUNCTION("""COMPUTED_VALUE"""),"Uncle Sams Cider (5/13/2022)")</f>
        <v>Uncle Sams Cider (5/13/2022)</v>
      </c>
      <c r="H3070" s="19"/>
    </row>
    <row r="3071">
      <c r="A3071" s="9"/>
      <c r="B3071" s="15"/>
      <c r="C3071" s="9">
        <f>IFERROR(__xludf.DUMMYFUNCTION("""COMPUTED_VALUE"""),44764.618514074)</f>
        <v>44764.61851</v>
      </c>
      <c r="D3071" s="15">
        <f>IFERROR(__xludf.DUMMYFUNCTION("""COMPUTED_VALUE"""),1.004)</f>
        <v>1.004</v>
      </c>
      <c r="E3071" s="16">
        <f>IFERROR(__xludf.DUMMYFUNCTION("""COMPUTED_VALUE"""),70.0)</f>
        <v>70</v>
      </c>
      <c r="F3071" s="19" t="str">
        <f>IFERROR(__xludf.DUMMYFUNCTION("""COMPUTED_VALUE"""),"BLACK")</f>
        <v>BLACK</v>
      </c>
      <c r="G3071" s="20" t="str">
        <f>IFERROR(__xludf.DUMMYFUNCTION("""COMPUTED_VALUE"""),"Uncle Sams Cider (5/13/2022)")</f>
        <v>Uncle Sams Cider (5/13/2022)</v>
      </c>
      <c r="H3071" s="19"/>
    </row>
    <row r="3072">
      <c r="A3072" s="9"/>
      <c r="B3072" s="15"/>
      <c r="C3072" s="9">
        <f>IFERROR(__xludf.DUMMYFUNCTION("""COMPUTED_VALUE"""),44764.6080820833)</f>
        <v>44764.60808</v>
      </c>
      <c r="D3072" s="15">
        <f>IFERROR(__xludf.DUMMYFUNCTION("""COMPUTED_VALUE"""),1.004)</f>
        <v>1.004</v>
      </c>
      <c r="E3072" s="16">
        <f>IFERROR(__xludf.DUMMYFUNCTION("""COMPUTED_VALUE"""),69.0)</f>
        <v>69</v>
      </c>
      <c r="F3072" s="19" t="str">
        <f>IFERROR(__xludf.DUMMYFUNCTION("""COMPUTED_VALUE"""),"BLACK")</f>
        <v>BLACK</v>
      </c>
      <c r="G3072" s="20" t="str">
        <f>IFERROR(__xludf.DUMMYFUNCTION("""COMPUTED_VALUE"""),"Uncle Sams Cider (5/13/2022)")</f>
        <v>Uncle Sams Cider (5/13/2022)</v>
      </c>
      <c r="H3072" s="19"/>
    </row>
    <row r="3073">
      <c r="A3073" s="9"/>
      <c r="B3073" s="15"/>
      <c r="C3073" s="9">
        <f>IFERROR(__xludf.DUMMYFUNCTION("""COMPUTED_VALUE"""),44764.5976491551)</f>
        <v>44764.59765</v>
      </c>
      <c r="D3073" s="15">
        <f>IFERROR(__xludf.DUMMYFUNCTION("""COMPUTED_VALUE"""),1.004)</f>
        <v>1.004</v>
      </c>
      <c r="E3073" s="16">
        <f>IFERROR(__xludf.DUMMYFUNCTION("""COMPUTED_VALUE"""),70.0)</f>
        <v>70</v>
      </c>
      <c r="F3073" s="19" t="str">
        <f>IFERROR(__xludf.DUMMYFUNCTION("""COMPUTED_VALUE"""),"BLACK")</f>
        <v>BLACK</v>
      </c>
      <c r="G3073" s="20" t="str">
        <f>IFERROR(__xludf.DUMMYFUNCTION("""COMPUTED_VALUE"""),"Uncle Sams Cider (5/13/2022)")</f>
        <v>Uncle Sams Cider (5/13/2022)</v>
      </c>
      <c r="H3073" s="19"/>
    </row>
    <row r="3074">
      <c r="A3074" s="9"/>
      <c r="B3074" s="15"/>
      <c r="C3074" s="9">
        <f>IFERROR(__xludf.DUMMYFUNCTION("""COMPUTED_VALUE"""),44764.5872274189)</f>
        <v>44764.58723</v>
      </c>
      <c r="D3074" s="15">
        <f>IFERROR(__xludf.DUMMYFUNCTION("""COMPUTED_VALUE"""),1.004)</f>
        <v>1.004</v>
      </c>
      <c r="E3074" s="16">
        <f>IFERROR(__xludf.DUMMYFUNCTION("""COMPUTED_VALUE"""),70.0)</f>
        <v>70</v>
      </c>
      <c r="F3074" s="19" t="str">
        <f>IFERROR(__xludf.DUMMYFUNCTION("""COMPUTED_VALUE"""),"BLACK")</f>
        <v>BLACK</v>
      </c>
      <c r="G3074" s="20" t="str">
        <f>IFERROR(__xludf.DUMMYFUNCTION("""COMPUTED_VALUE"""),"Uncle Sams Cider (5/13/2022)")</f>
        <v>Uncle Sams Cider (5/13/2022)</v>
      </c>
      <c r="H3074" s="19"/>
    </row>
    <row r="3075">
      <c r="A3075" s="9"/>
      <c r="B3075" s="15"/>
      <c r="C3075" s="9">
        <f>IFERROR(__xludf.DUMMYFUNCTION("""COMPUTED_VALUE"""),44764.576793449)</f>
        <v>44764.57679</v>
      </c>
      <c r="D3075" s="15">
        <f>IFERROR(__xludf.DUMMYFUNCTION("""COMPUTED_VALUE"""),1.004)</f>
        <v>1.004</v>
      </c>
      <c r="E3075" s="16">
        <f>IFERROR(__xludf.DUMMYFUNCTION("""COMPUTED_VALUE"""),70.0)</f>
        <v>70</v>
      </c>
      <c r="F3075" s="19" t="str">
        <f>IFERROR(__xludf.DUMMYFUNCTION("""COMPUTED_VALUE"""),"BLACK")</f>
        <v>BLACK</v>
      </c>
      <c r="G3075" s="20" t="str">
        <f>IFERROR(__xludf.DUMMYFUNCTION("""COMPUTED_VALUE"""),"Uncle Sams Cider (5/13/2022)")</f>
        <v>Uncle Sams Cider (5/13/2022)</v>
      </c>
      <c r="H3075" s="19"/>
    </row>
    <row r="3076">
      <c r="A3076" s="9"/>
      <c r="B3076" s="15"/>
      <c r="C3076" s="9">
        <f>IFERROR(__xludf.DUMMYFUNCTION("""COMPUTED_VALUE"""),44764.5663719676)</f>
        <v>44764.56637</v>
      </c>
      <c r="D3076" s="15">
        <f>IFERROR(__xludf.DUMMYFUNCTION("""COMPUTED_VALUE"""),1.004)</f>
        <v>1.004</v>
      </c>
      <c r="E3076" s="16">
        <f>IFERROR(__xludf.DUMMYFUNCTION("""COMPUTED_VALUE"""),70.0)</f>
        <v>70</v>
      </c>
      <c r="F3076" s="19" t="str">
        <f>IFERROR(__xludf.DUMMYFUNCTION("""COMPUTED_VALUE"""),"BLACK")</f>
        <v>BLACK</v>
      </c>
      <c r="G3076" s="20" t="str">
        <f>IFERROR(__xludf.DUMMYFUNCTION("""COMPUTED_VALUE"""),"Uncle Sams Cider (5/13/2022)")</f>
        <v>Uncle Sams Cider (5/13/2022)</v>
      </c>
      <c r="H3076" s="19"/>
    </row>
    <row r="3077">
      <c r="A3077" s="9"/>
      <c r="B3077" s="15"/>
      <c r="C3077" s="9">
        <f>IFERROR(__xludf.DUMMYFUNCTION("""COMPUTED_VALUE"""),44764.5559397685)</f>
        <v>44764.55594</v>
      </c>
      <c r="D3077" s="15">
        <f>IFERROR(__xludf.DUMMYFUNCTION("""COMPUTED_VALUE"""),1.004)</f>
        <v>1.004</v>
      </c>
      <c r="E3077" s="16">
        <f>IFERROR(__xludf.DUMMYFUNCTION("""COMPUTED_VALUE"""),70.0)</f>
        <v>70</v>
      </c>
      <c r="F3077" s="19" t="str">
        <f>IFERROR(__xludf.DUMMYFUNCTION("""COMPUTED_VALUE"""),"BLACK")</f>
        <v>BLACK</v>
      </c>
      <c r="G3077" s="20" t="str">
        <f>IFERROR(__xludf.DUMMYFUNCTION("""COMPUTED_VALUE"""),"Uncle Sams Cider (5/13/2022)")</f>
        <v>Uncle Sams Cider (5/13/2022)</v>
      </c>
      <c r="H3077" s="19"/>
    </row>
    <row r="3078">
      <c r="A3078" s="9"/>
      <c r="B3078" s="15"/>
      <c r="C3078" s="9">
        <f>IFERROR(__xludf.DUMMYFUNCTION("""COMPUTED_VALUE"""),44764.5455179282)</f>
        <v>44764.54552</v>
      </c>
      <c r="D3078" s="15">
        <f>IFERROR(__xludf.DUMMYFUNCTION("""COMPUTED_VALUE"""),1.004)</f>
        <v>1.004</v>
      </c>
      <c r="E3078" s="16">
        <f>IFERROR(__xludf.DUMMYFUNCTION("""COMPUTED_VALUE"""),70.0)</f>
        <v>70</v>
      </c>
      <c r="F3078" s="19" t="str">
        <f>IFERROR(__xludf.DUMMYFUNCTION("""COMPUTED_VALUE"""),"BLACK")</f>
        <v>BLACK</v>
      </c>
      <c r="G3078" s="20" t="str">
        <f>IFERROR(__xludf.DUMMYFUNCTION("""COMPUTED_VALUE"""),"Uncle Sams Cider (5/13/2022)")</f>
        <v>Uncle Sams Cider (5/13/2022)</v>
      </c>
      <c r="H3078" s="19"/>
    </row>
    <row r="3079">
      <c r="A3079" s="9"/>
      <c r="B3079" s="15"/>
      <c r="C3079" s="9">
        <f>IFERROR(__xludf.DUMMYFUNCTION("""COMPUTED_VALUE"""),44764.5350967708)</f>
        <v>44764.5351</v>
      </c>
      <c r="D3079" s="15">
        <f>IFERROR(__xludf.DUMMYFUNCTION("""COMPUTED_VALUE"""),1.004)</f>
        <v>1.004</v>
      </c>
      <c r="E3079" s="16">
        <f>IFERROR(__xludf.DUMMYFUNCTION("""COMPUTED_VALUE"""),70.0)</f>
        <v>70</v>
      </c>
      <c r="F3079" s="19" t="str">
        <f>IFERROR(__xludf.DUMMYFUNCTION("""COMPUTED_VALUE"""),"BLACK")</f>
        <v>BLACK</v>
      </c>
      <c r="G3079" s="20" t="str">
        <f>IFERROR(__xludf.DUMMYFUNCTION("""COMPUTED_VALUE"""),"Uncle Sams Cider (5/13/2022)")</f>
        <v>Uncle Sams Cider (5/13/2022)</v>
      </c>
      <c r="H3079" s="19"/>
    </row>
    <row r="3080">
      <c r="A3080" s="9"/>
      <c r="B3080" s="15"/>
      <c r="C3080" s="9">
        <f>IFERROR(__xludf.DUMMYFUNCTION("""COMPUTED_VALUE"""),44764.5246744907)</f>
        <v>44764.52467</v>
      </c>
      <c r="D3080" s="15">
        <f>IFERROR(__xludf.DUMMYFUNCTION("""COMPUTED_VALUE"""),1.004)</f>
        <v>1.004</v>
      </c>
      <c r="E3080" s="16">
        <f>IFERROR(__xludf.DUMMYFUNCTION("""COMPUTED_VALUE"""),70.0)</f>
        <v>70</v>
      </c>
      <c r="F3080" s="19" t="str">
        <f>IFERROR(__xludf.DUMMYFUNCTION("""COMPUTED_VALUE"""),"BLACK")</f>
        <v>BLACK</v>
      </c>
      <c r="G3080" s="20" t="str">
        <f>IFERROR(__xludf.DUMMYFUNCTION("""COMPUTED_VALUE"""),"Uncle Sams Cider (5/13/2022)")</f>
        <v>Uncle Sams Cider (5/13/2022)</v>
      </c>
      <c r="H3080" s="19"/>
    </row>
    <row r="3081">
      <c r="A3081" s="9"/>
      <c r="B3081" s="15"/>
      <c r="C3081" s="9">
        <f>IFERROR(__xludf.DUMMYFUNCTION("""COMPUTED_VALUE"""),44764.5142518865)</f>
        <v>44764.51425</v>
      </c>
      <c r="D3081" s="15">
        <f>IFERROR(__xludf.DUMMYFUNCTION("""COMPUTED_VALUE"""),1.004)</f>
        <v>1.004</v>
      </c>
      <c r="E3081" s="16">
        <f>IFERROR(__xludf.DUMMYFUNCTION("""COMPUTED_VALUE"""),69.0)</f>
        <v>69</v>
      </c>
      <c r="F3081" s="19" t="str">
        <f>IFERROR(__xludf.DUMMYFUNCTION("""COMPUTED_VALUE"""),"BLACK")</f>
        <v>BLACK</v>
      </c>
      <c r="G3081" s="20" t="str">
        <f>IFERROR(__xludf.DUMMYFUNCTION("""COMPUTED_VALUE"""),"Uncle Sams Cider (5/13/2022)")</f>
        <v>Uncle Sams Cider (5/13/2022)</v>
      </c>
      <c r="H3081" s="19"/>
    </row>
    <row r="3082">
      <c r="A3082" s="9"/>
      <c r="B3082" s="15"/>
      <c r="C3082" s="9">
        <f>IFERROR(__xludf.DUMMYFUNCTION("""COMPUTED_VALUE"""),44764.5038311111)</f>
        <v>44764.50383</v>
      </c>
      <c r="D3082" s="15">
        <f>IFERROR(__xludf.DUMMYFUNCTION("""COMPUTED_VALUE"""),1.004)</f>
        <v>1.004</v>
      </c>
      <c r="E3082" s="16">
        <f>IFERROR(__xludf.DUMMYFUNCTION("""COMPUTED_VALUE"""),69.0)</f>
        <v>69</v>
      </c>
      <c r="F3082" s="19" t="str">
        <f>IFERROR(__xludf.DUMMYFUNCTION("""COMPUTED_VALUE"""),"BLACK")</f>
        <v>BLACK</v>
      </c>
      <c r="G3082" s="20" t="str">
        <f>IFERROR(__xludf.DUMMYFUNCTION("""COMPUTED_VALUE"""),"Uncle Sams Cider (5/13/2022)")</f>
        <v>Uncle Sams Cider (5/13/2022)</v>
      </c>
      <c r="H3082" s="19"/>
    </row>
    <row r="3083">
      <c r="A3083" s="9"/>
      <c r="B3083" s="15"/>
      <c r="C3083" s="9">
        <f>IFERROR(__xludf.DUMMYFUNCTION("""COMPUTED_VALUE"""),44764.4934109722)</f>
        <v>44764.49341</v>
      </c>
      <c r="D3083" s="15">
        <f>IFERROR(__xludf.DUMMYFUNCTION("""COMPUTED_VALUE"""),1.004)</f>
        <v>1.004</v>
      </c>
      <c r="E3083" s="16">
        <f>IFERROR(__xludf.DUMMYFUNCTION("""COMPUTED_VALUE"""),69.0)</f>
        <v>69</v>
      </c>
      <c r="F3083" s="19" t="str">
        <f>IFERROR(__xludf.DUMMYFUNCTION("""COMPUTED_VALUE"""),"BLACK")</f>
        <v>BLACK</v>
      </c>
      <c r="G3083" s="20" t="str">
        <f>IFERROR(__xludf.DUMMYFUNCTION("""COMPUTED_VALUE"""),"Uncle Sams Cider (5/13/2022)")</f>
        <v>Uncle Sams Cider (5/13/2022)</v>
      </c>
      <c r="H3083" s="19"/>
    </row>
    <row r="3084">
      <c r="A3084" s="9"/>
      <c r="B3084" s="15"/>
      <c r="C3084" s="9">
        <f>IFERROR(__xludf.DUMMYFUNCTION("""COMPUTED_VALUE"""),44764.4829909259)</f>
        <v>44764.48299</v>
      </c>
      <c r="D3084" s="15">
        <f>IFERROR(__xludf.DUMMYFUNCTION("""COMPUTED_VALUE"""),1.004)</f>
        <v>1.004</v>
      </c>
      <c r="E3084" s="16">
        <f>IFERROR(__xludf.DUMMYFUNCTION("""COMPUTED_VALUE"""),69.0)</f>
        <v>69</v>
      </c>
      <c r="F3084" s="19" t="str">
        <f>IFERROR(__xludf.DUMMYFUNCTION("""COMPUTED_VALUE"""),"BLACK")</f>
        <v>BLACK</v>
      </c>
      <c r="G3084" s="20" t="str">
        <f>IFERROR(__xludf.DUMMYFUNCTION("""COMPUTED_VALUE"""),"Uncle Sams Cider (5/13/2022)")</f>
        <v>Uncle Sams Cider (5/13/2022)</v>
      </c>
      <c r="H3084" s="19"/>
    </row>
    <row r="3085">
      <c r="A3085" s="9"/>
      <c r="B3085" s="15"/>
      <c r="C3085" s="9">
        <f>IFERROR(__xludf.DUMMYFUNCTION("""COMPUTED_VALUE"""),44764.472570081)</f>
        <v>44764.47257</v>
      </c>
      <c r="D3085" s="15">
        <f>IFERROR(__xludf.DUMMYFUNCTION("""COMPUTED_VALUE"""),1.004)</f>
        <v>1.004</v>
      </c>
      <c r="E3085" s="16">
        <f>IFERROR(__xludf.DUMMYFUNCTION("""COMPUTED_VALUE"""),69.0)</f>
        <v>69</v>
      </c>
      <c r="F3085" s="19" t="str">
        <f>IFERROR(__xludf.DUMMYFUNCTION("""COMPUTED_VALUE"""),"BLACK")</f>
        <v>BLACK</v>
      </c>
      <c r="G3085" s="20" t="str">
        <f>IFERROR(__xludf.DUMMYFUNCTION("""COMPUTED_VALUE"""),"Uncle Sams Cider (5/13/2022)")</f>
        <v>Uncle Sams Cider (5/13/2022)</v>
      </c>
      <c r="H3085" s="19"/>
    </row>
    <row r="3086">
      <c r="A3086" s="9"/>
      <c r="B3086" s="15"/>
      <c r="C3086" s="9">
        <f>IFERROR(__xludf.DUMMYFUNCTION("""COMPUTED_VALUE"""),44764.462138993)</f>
        <v>44764.46214</v>
      </c>
      <c r="D3086" s="15">
        <f>IFERROR(__xludf.DUMMYFUNCTION("""COMPUTED_VALUE"""),1.004)</f>
        <v>1.004</v>
      </c>
      <c r="E3086" s="16">
        <f>IFERROR(__xludf.DUMMYFUNCTION("""COMPUTED_VALUE"""),69.0)</f>
        <v>69</v>
      </c>
      <c r="F3086" s="19" t="str">
        <f>IFERROR(__xludf.DUMMYFUNCTION("""COMPUTED_VALUE"""),"BLACK")</f>
        <v>BLACK</v>
      </c>
      <c r="G3086" s="20" t="str">
        <f>IFERROR(__xludf.DUMMYFUNCTION("""COMPUTED_VALUE"""),"Uncle Sams Cider (5/13/2022)")</f>
        <v>Uncle Sams Cider (5/13/2022)</v>
      </c>
      <c r="H3086" s="19"/>
    </row>
    <row r="3087">
      <c r="A3087" s="9"/>
      <c r="B3087" s="15"/>
      <c r="C3087" s="9">
        <f>IFERROR(__xludf.DUMMYFUNCTION("""COMPUTED_VALUE"""),44764.4517062384)</f>
        <v>44764.45171</v>
      </c>
      <c r="D3087" s="15">
        <f>IFERROR(__xludf.DUMMYFUNCTION("""COMPUTED_VALUE"""),1.004)</f>
        <v>1.004</v>
      </c>
      <c r="E3087" s="16">
        <f>IFERROR(__xludf.DUMMYFUNCTION("""COMPUTED_VALUE"""),69.0)</f>
        <v>69</v>
      </c>
      <c r="F3087" s="19" t="str">
        <f>IFERROR(__xludf.DUMMYFUNCTION("""COMPUTED_VALUE"""),"BLACK")</f>
        <v>BLACK</v>
      </c>
      <c r="G3087" s="20" t="str">
        <f>IFERROR(__xludf.DUMMYFUNCTION("""COMPUTED_VALUE"""),"Uncle Sams Cider (5/13/2022)")</f>
        <v>Uncle Sams Cider (5/13/2022)</v>
      </c>
      <c r="H3087" s="19"/>
    </row>
    <row r="3088">
      <c r="A3088" s="9"/>
      <c r="B3088" s="15"/>
      <c r="C3088" s="9">
        <f>IFERROR(__xludf.DUMMYFUNCTION("""COMPUTED_VALUE"""),44764.4412859838)</f>
        <v>44764.44129</v>
      </c>
      <c r="D3088" s="15">
        <f>IFERROR(__xludf.DUMMYFUNCTION("""COMPUTED_VALUE"""),1.004)</f>
        <v>1.004</v>
      </c>
      <c r="E3088" s="16">
        <f>IFERROR(__xludf.DUMMYFUNCTION("""COMPUTED_VALUE"""),69.0)</f>
        <v>69</v>
      </c>
      <c r="F3088" s="19" t="str">
        <f>IFERROR(__xludf.DUMMYFUNCTION("""COMPUTED_VALUE"""),"BLACK")</f>
        <v>BLACK</v>
      </c>
      <c r="G3088" s="20" t="str">
        <f>IFERROR(__xludf.DUMMYFUNCTION("""COMPUTED_VALUE"""),"Uncle Sams Cider (5/13/2022)")</f>
        <v>Uncle Sams Cider (5/13/2022)</v>
      </c>
      <c r="H3088" s="19"/>
    </row>
    <row r="3089">
      <c r="A3089" s="9"/>
      <c r="B3089" s="15"/>
      <c r="C3089" s="9">
        <f>IFERROR(__xludf.DUMMYFUNCTION("""COMPUTED_VALUE"""),44764.430864456)</f>
        <v>44764.43086</v>
      </c>
      <c r="D3089" s="15">
        <f>IFERROR(__xludf.DUMMYFUNCTION("""COMPUTED_VALUE"""),1.004)</f>
        <v>1.004</v>
      </c>
      <c r="E3089" s="16">
        <f>IFERROR(__xludf.DUMMYFUNCTION("""COMPUTED_VALUE"""),69.0)</f>
        <v>69</v>
      </c>
      <c r="F3089" s="19" t="str">
        <f>IFERROR(__xludf.DUMMYFUNCTION("""COMPUTED_VALUE"""),"BLACK")</f>
        <v>BLACK</v>
      </c>
      <c r="G3089" s="20" t="str">
        <f>IFERROR(__xludf.DUMMYFUNCTION("""COMPUTED_VALUE"""),"Uncle Sams Cider (5/13/2022)")</f>
        <v>Uncle Sams Cider (5/13/2022)</v>
      </c>
      <c r="H3089" s="19"/>
    </row>
    <row r="3090">
      <c r="A3090" s="9"/>
      <c r="B3090" s="15"/>
      <c r="C3090" s="9">
        <f>IFERROR(__xludf.DUMMYFUNCTION("""COMPUTED_VALUE"""),44764.4204435648)</f>
        <v>44764.42044</v>
      </c>
      <c r="D3090" s="15">
        <f>IFERROR(__xludf.DUMMYFUNCTION("""COMPUTED_VALUE"""),1.004)</f>
        <v>1.004</v>
      </c>
      <c r="E3090" s="16">
        <f>IFERROR(__xludf.DUMMYFUNCTION("""COMPUTED_VALUE"""),69.0)</f>
        <v>69</v>
      </c>
      <c r="F3090" s="19" t="str">
        <f>IFERROR(__xludf.DUMMYFUNCTION("""COMPUTED_VALUE"""),"BLACK")</f>
        <v>BLACK</v>
      </c>
      <c r="G3090" s="20" t="str">
        <f>IFERROR(__xludf.DUMMYFUNCTION("""COMPUTED_VALUE"""),"Uncle Sams Cider (5/13/2022)")</f>
        <v>Uncle Sams Cider (5/13/2022)</v>
      </c>
      <c r="H3090" s="19"/>
    </row>
    <row r="3091">
      <c r="A3091" s="9"/>
      <c r="B3091" s="15"/>
      <c r="C3091" s="9">
        <f>IFERROR(__xludf.DUMMYFUNCTION("""COMPUTED_VALUE"""),44764.4100221643)</f>
        <v>44764.41002</v>
      </c>
      <c r="D3091" s="15">
        <f>IFERROR(__xludf.DUMMYFUNCTION("""COMPUTED_VALUE"""),1.004)</f>
        <v>1.004</v>
      </c>
      <c r="E3091" s="16">
        <f>IFERROR(__xludf.DUMMYFUNCTION("""COMPUTED_VALUE"""),69.0)</f>
        <v>69</v>
      </c>
      <c r="F3091" s="19" t="str">
        <f>IFERROR(__xludf.DUMMYFUNCTION("""COMPUTED_VALUE"""),"BLACK")</f>
        <v>BLACK</v>
      </c>
      <c r="G3091" s="20" t="str">
        <f>IFERROR(__xludf.DUMMYFUNCTION("""COMPUTED_VALUE"""),"Uncle Sams Cider (5/13/2022)")</f>
        <v>Uncle Sams Cider (5/13/2022)</v>
      </c>
      <c r="H3091" s="19"/>
    </row>
    <row r="3092">
      <c r="A3092" s="9"/>
      <c r="B3092" s="15"/>
      <c r="C3092" s="9">
        <f>IFERROR(__xludf.DUMMYFUNCTION("""COMPUTED_VALUE"""),44764.3995998495)</f>
        <v>44764.3996</v>
      </c>
      <c r="D3092" s="15">
        <f>IFERROR(__xludf.DUMMYFUNCTION("""COMPUTED_VALUE"""),1.004)</f>
        <v>1.004</v>
      </c>
      <c r="E3092" s="16">
        <f>IFERROR(__xludf.DUMMYFUNCTION("""COMPUTED_VALUE"""),69.0)</f>
        <v>69</v>
      </c>
      <c r="F3092" s="19" t="str">
        <f>IFERROR(__xludf.DUMMYFUNCTION("""COMPUTED_VALUE"""),"BLACK")</f>
        <v>BLACK</v>
      </c>
      <c r="G3092" s="20" t="str">
        <f>IFERROR(__xludf.DUMMYFUNCTION("""COMPUTED_VALUE"""),"Uncle Sams Cider (5/13/2022)")</f>
        <v>Uncle Sams Cider (5/13/2022)</v>
      </c>
      <c r="H3092" s="19"/>
    </row>
    <row r="3093">
      <c r="A3093" s="9"/>
      <c r="B3093" s="15"/>
      <c r="C3093" s="9">
        <f>IFERROR(__xludf.DUMMYFUNCTION("""COMPUTED_VALUE"""),44764.3891793518)</f>
        <v>44764.38918</v>
      </c>
      <c r="D3093" s="15">
        <f>IFERROR(__xludf.DUMMYFUNCTION("""COMPUTED_VALUE"""),1.004)</f>
        <v>1.004</v>
      </c>
      <c r="E3093" s="16">
        <f>IFERROR(__xludf.DUMMYFUNCTION("""COMPUTED_VALUE"""),69.0)</f>
        <v>69</v>
      </c>
      <c r="F3093" s="19" t="str">
        <f>IFERROR(__xludf.DUMMYFUNCTION("""COMPUTED_VALUE"""),"BLACK")</f>
        <v>BLACK</v>
      </c>
      <c r="G3093" s="20" t="str">
        <f>IFERROR(__xludf.DUMMYFUNCTION("""COMPUTED_VALUE"""),"Uncle Sams Cider (5/13/2022)")</f>
        <v>Uncle Sams Cider (5/13/2022)</v>
      </c>
      <c r="H3093" s="19"/>
    </row>
    <row r="3094">
      <c r="A3094" s="9"/>
      <c r="B3094" s="15"/>
      <c r="C3094" s="9">
        <f>IFERROR(__xludf.DUMMYFUNCTION("""COMPUTED_VALUE"""),44764.3787457407)</f>
        <v>44764.37875</v>
      </c>
      <c r="D3094" s="15">
        <f>IFERROR(__xludf.DUMMYFUNCTION("""COMPUTED_VALUE"""),1.004)</f>
        <v>1.004</v>
      </c>
      <c r="E3094" s="16">
        <f>IFERROR(__xludf.DUMMYFUNCTION("""COMPUTED_VALUE"""),69.0)</f>
        <v>69</v>
      </c>
      <c r="F3094" s="19" t="str">
        <f>IFERROR(__xludf.DUMMYFUNCTION("""COMPUTED_VALUE"""),"BLACK")</f>
        <v>BLACK</v>
      </c>
      <c r="G3094" s="20" t="str">
        <f>IFERROR(__xludf.DUMMYFUNCTION("""COMPUTED_VALUE"""),"Uncle Sams Cider (5/13/2022)")</f>
        <v>Uncle Sams Cider (5/13/2022)</v>
      </c>
      <c r="H3094" s="19"/>
    </row>
    <row r="3095">
      <c r="A3095" s="9"/>
      <c r="B3095" s="15"/>
      <c r="C3095" s="9">
        <f>IFERROR(__xludf.DUMMYFUNCTION("""COMPUTED_VALUE"""),44764.3683237963)</f>
        <v>44764.36832</v>
      </c>
      <c r="D3095" s="15">
        <f>IFERROR(__xludf.DUMMYFUNCTION("""COMPUTED_VALUE"""),1.004)</f>
        <v>1.004</v>
      </c>
      <c r="E3095" s="16">
        <f>IFERROR(__xludf.DUMMYFUNCTION("""COMPUTED_VALUE"""),69.0)</f>
        <v>69</v>
      </c>
      <c r="F3095" s="19" t="str">
        <f>IFERROR(__xludf.DUMMYFUNCTION("""COMPUTED_VALUE"""),"BLACK")</f>
        <v>BLACK</v>
      </c>
      <c r="G3095" s="20" t="str">
        <f>IFERROR(__xludf.DUMMYFUNCTION("""COMPUTED_VALUE"""),"Uncle Sams Cider (5/13/2022)")</f>
        <v>Uncle Sams Cider (5/13/2022)</v>
      </c>
      <c r="H3095" s="19"/>
    </row>
    <row r="3096">
      <c r="A3096" s="9"/>
      <c r="B3096" s="15"/>
      <c r="C3096" s="9">
        <f>IFERROR(__xludf.DUMMYFUNCTION("""COMPUTED_VALUE"""),44764.3579047338)</f>
        <v>44764.3579</v>
      </c>
      <c r="D3096" s="15">
        <f>IFERROR(__xludf.DUMMYFUNCTION("""COMPUTED_VALUE"""),1.004)</f>
        <v>1.004</v>
      </c>
      <c r="E3096" s="16">
        <f>IFERROR(__xludf.DUMMYFUNCTION("""COMPUTED_VALUE"""),69.0)</f>
        <v>69</v>
      </c>
      <c r="F3096" s="19" t="str">
        <f>IFERROR(__xludf.DUMMYFUNCTION("""COMPUTED_VALUE"""),"BLACK")</f>
        <v>BLACK</v>
      </c>
      <c r="G3096" s="20" t="str">
        <f>IFERROR(__xludf.DUMMYFUNCTION("""COMPUTED_VALUE"""),"Uncle Sams Cider (5/13/2022)")</f>
        <v>Uncle Sams Cider (5/13/2022)</v>
      </c>
      <c r="H3096" s="19"/>
    </row>
    <row r="3097">
      <c r="A3097" s="9"/>
      <c r="B3097" s="15"/>
      <c r="C3097" s="9">
        <f>IFERROR(__xludf.DUMMYFUNCTION("""COMPUTED_VALUE"""),44764.3474829282)</f>
        <v>44764.34748</v>
      </c>
      <c r="D3097" s="15">
        <f>IFERROR(__xludf.DUMMYFUNCTION("""COMPUTED_VALUE"""),1.004)</f>
        <v>1.004</v>
      </c>
      <c r="E3097" s="16">
        <f>IFERROR(__xludf.DUMMYFUNCTION("""COMPUTED_VALUE"""),69.0)</f>
        <v>69</v>
      </c>
      <c r="F3097" s="19" t="str">
        <f>IFERROR(__xludf.DUMMYFUNCTION("""COMPUTED_VALUE"""),"BLACK")</f>
        <v>BLACK</v>
      </c>
      <c r="G3097" s="20" t="str">
        <f>IFERROR(__xludf.DUMMYFUNCTION("""COMPUTED_VALUE"""),"Uncle Sams Cider (5/13/2022)")</f>
        <v>Uncle Sams Cider (5/13/2022)</v>
      </c>
      <c r="H3097" s="19"/>
    </row>
    <row r="3098">
      <c r="A3098" s="9"/>
      <c r="B3098" s="15"/>
      <c r="C3098" s="9">
        <f>IFERROR(__xludf.DUMMYFUNCTION("""COMPUTED_VALUE"""),44764.3370510995)</f>
        <v>44764.33705</v>
      </c>
      <c r="D3098" s="15">
        <f>IFERROR(__xludf.DUMMYFUNCTION("""COMPUTED_VALUE"""),1.004)</f>
        <v>1.004</v>
      </c>
      <c r="E3098" s="16">
        <f>IFERROR(__xludf.DUMMYFUNCTION("""COMPUTED_VALUE"""),69.0)</f>
        <v>69</v>
      </c>
      <c r="F3098" s="19" t="str">
        <f>IFERROR(__xludf.DUMMYFUNCTION("""COMPUTED_VALUE"""),"BLACK")</f>
        <v>BLACK</v>
      </c>
      <c r="G3098" s="20" t="str">
        <f>IFERROR(__xludf.DUMMYFUNCTION("""COMPUTED_VALUE"""),"Uncle Sams Cider (5/13/2022)")</f>
        <v>Uncle Sams Cider (5/13/2022)</v>
      </c>
      <c r="H3098" s="19"/>
    </row>
    <row r="3099">
      <c r="A3099" s="9"/>
      <c r="B3099" s="15"/>
      <c r="C3099" s="9">
        <f>IFERROR(__xludf.DUMMYFUNCTION("""COMPUTED_VALUE"""),44764.3266320023)</f>
        <v>44764.32663</v>
      </c>
      <c r="D3099" s="15">
        <f>IFERROR(__xludf.DUMMYFUNCTION("""COMPUTED_VALUE"""),1.004)</f>
        <v>1.004</v>
      </c>
      <c r="E3099" s="16">
        <f>IFERROR(__xludf.DUMMYFUNCTION("""COMPUTED_VALUE"""),69.0)</f>
        <v>69</v>
      </c>
      <c r="F3099" s="19" t="str">
        <f>IFERROR(__xludf.DUMMYFUNCTION("""COMPUTED_VALUE"""),"BLACK")</f>
        <v>BLACK</v>
      </c>
      <c r="G3099" s="20" t="str">
        <f>IFERROR(__xludf.DUMMYFUNCTION("""COMPUTED_VALUE"""),"Uncle Sams Cider (5/13/2022)")</f>
        <v>Uncle Sams Cider (5/13/2022)</v>
      </c>
      <c r="H3099" s="19"/>
    </row>
    <row r="3100">
      <c r="A3100" s="9"/>
      <c r="B3100" s="15"/>
      <c r="C3100" s="9">
        <f>IFERROR(__xludf.DUMMYFUNCTION("""COMPUTED_VALUE"""),44764.3162108101)</f>
        <v>44764.31621</v>
      </c>
      <c r="D3100" s="15">
        <f>IFERROR(__xludf.DUMMYFUNCTION("""COMPUTED_VALUE"""),1.004)</f>
        <v>1.004</v>
      </c>
      <c r="E3100" s="16">
        <f>IFERROR(__xludf.DUMMYFUNCTION("""COMPUTED_VALUE"""),69.0)</f>
        <v>69</v>
      </c>
      <c r="F3100" s="19" t="str">
        <f>IFERROR(__xludf.DUMMYFUNCTION("""COMPUTED_VALUE"""),"BLACK")</f>
        <v>BLACK</v>
      </c>
      <c r="G3100" s="20" t="str">
        <f>IFERROR(__xludf.DUMMYFUNCTION("""COMPUTED_VALUE"""),"Uncle Sams Cider (5/13/2022)")</f>
        <v>Uncle Sams Cider (5/13/2022)</v>
      </c>
      <c r="H3100" s="19"/>
    </row>
    <row r="3101">
      <c r="A3101" s="9"/>
      <c r="B3101" s="15"/>
      <c r="C3101" s="9">
        <f>IFERROR(__xludf.DUMMYFUNCTION("""COMPUTED_VALUE"""),44764.3057898611)</f>
        <v>44764.30579</v>
      </c>
      <c r="D3101" s="15">
        <f>IFERROR(__xludf.DUMMYFUNCTION("""COMPUTED_VALUE"""),1.004)</f>
        <v>1.004</v>
      </c>
      <c r="E3101" s="16">
        <f>IFERROR(__xludf.DUMMYFUNCTION("""COMPUTED_VALUE"""),69.0)</f>
        <v>69</v>
      </c>
      <c r="F3101" s="19" t="str">
        <f>IFERROR(__xludf.DUMMYFUNCTION("""COMPUTED_VALUE"""),"BLACK")</f>
        <v>BLACK</v>
      </c>
      <c r="G3101" s="20" t="str">
        <f>IFERROR(__xludf.DUMMYFUNCTION("""COMPUTED_VALUE"""),"Uncle Sams Cider (5/13/2022)")</f>
        <v>Uncle Sams Cider (5/13/2022)</v>
      </c>
      <c r="H3101" s="19"/>
    </row>
    <row r="3102">
      <c r="A3102" s="9"/>
      <c r="B3102" s="15"/>
      <c r="C3102" s="9">
        <f>IFERROR(__xludf.DUMMYFUNCTION("""COMPUTED_VALUE"""),44764.2953682986)</f>
        <v>44764.29537</v>
      </c>
      <c r="D3102" s="15">
        <f>IFERROR(__xludf.DUMMYFUNCTION("""COMPUTED_VALUE"""),1.004)</f>
        <v>1.004</v>
      </c>
      <c r="E3102" s="16">
        <f>IFERROR(__xludf.DUMMYFUNCTION("""COMPUTED_VALUE"""),69.0)</f>
        <v>69</v>
      </c>
      <c r="F3102" s="19" t="str">
        <f>IFERROR(__xludf.DUMMYFUNCTION("""COMPUTED_VALUE"""),"BLACK")</f>
        <v>BLACK</v>
      </c>
      <c r="G3102" s="20" t="str">
        <f>IFERROR(__xludf.DUMMYFUNCTION("""COMPUTED_VALUE"""),"Uncle Sams Cider (5/13/2022)")</f>
        <v>Uncle Sams Cider (5/13/2022)</v>
      </c>
      <c r="H3102" s="19"/>
    </row>
    <row r="3103">
      <c r="A3103" s="9"/>
      <c r="B3103" s="15"/>
      <c r="C3103" s="9">
        <f>IFERROR(__xludf.DUMMYFUNCTION("""COMPUTED_VALUE"""),44764.284947037)</f>
        <v>44764.28495</v>
      </c>
      <c r="D3103" s="15">
        <f>IFERROR(__xludf.DUMMYFUNCTION("""COMPUTED_VALUE"""),1.004)</f>
        <v>1.004</v>
      </c>
      <c r="E3103" s="16">
        <f>IFERROR(__xludf.DUMMYFUNCTION("""COMPUTED_VALUE"""),69.0)</f>
        <v>69</v>
      </c>
      <c r="F3103" s="19" t="str">
        <f>IFERROR(__xludf.DUMMYFUNCTION("""COMPUTED_VALUE"""),"BLACK")</f>
        <v>BLACK</v>
      </c>
      <c r="G3103" s="20" t="str">
        <f>IFERROR(__xludf.DUMMYFUNCTION("""COMPUTED_VALUE"""),"Uncle Sams Cider (5/13/2022)")</f>
        <v>Uncle Sams Cider (5/13/2022)</v>
      </c>
      <c r="H3103" s="19"/>
    </row>
    <row r="3104">
      <c r="A3104" s="9"/>
      <c r="B3104" s="15"/>
      <c r="C3104" s="9">
        <f>IFERROR(__xludf.DUMMYFUNCTION("""COMPUTED_VALUE"""),44764.274525243)</f>
        <v>44764.27453</v>
      </c>
      <c r="D3104" s="15">
        <f>IFERROR(__xludf.DUMMYFUNCTION("""COMPUTED_VALUE"""),1.004)</f>
        <v>1.004</v>
      </c>
      <c r="E3104" s="16">
        <f>IFERROR(__xludf.DUMMYFUNCTION("""COMPUTED_VALUE"""),69.0)</f>
        <v>69</v>
      </c>
      <c r="F3104" s="19" t="str">
        <f>IFERROR(__xludf.DUMMYFUNCTION("""COMPUTED_VALUE"""),"BLACK")</f>
        <v>BLACK</v>
      </c>
      <c r="G3104" s="20" t="str">
        <f>IFERROR(__xludf.DUMMYFUNCTION("""COMPUTED_VALUE"""),"Uncle Sams Cider (5/13/2022)")</f>
        <v>Uncle Sams Cider (5/13/2022)</v>
      </c>
      <c r="H3104" s="19"/>
    </row>
    <row r="3105">
      <c r="A3105" s="9"/>
      <c r="B3105" s="15"/>
      <c r="C3105" s="9">
        <f>IFERROR(__xludf.DUMMYFUNCTION("""COMPUTED_VALUE"""),44764.264103368)</f>
        <v>44764.2641</v>
      </c>
      <c r="D3105" s="15">
        <f>IFERROR(__xludf.DUMMYFUNCTION("""COMPUTED_VALUE"""),1.004)</f>
        <v>1.004</v>
      </c>
      <c r="E3105" s="16">
        <f>IFERROR(__xludf.DUMMYFUNCTION("""COMPUTED_VALUE"""),69.0)</f>
        <v>69</v>
      </c>
      <c r="F3105" s="19" t="str">
        <f>IFERROR(__xludf.DUMMYFUNCTION("""COMPUTED_VALUE"""),"BLACK")</f>
        <v>BLACK</v>
      </c>
      <c r="G3105" s="20" t="str">
        <f>IFERROR(__xludf.DUMMYFUNCTION("""COMPUTED_VALUE"""),"Uncle Sams Cider (5/13/2022)")</f>
        <v>Uncle Sams Cider (5/13/2022)</v>
      </c>
      <c r="H3105" s="19"/>
    </row>
    <row r="3106">
      <c r="A3106" s="9"/>
      <c r="B3106" s="15"/>
      <c r="C3106" s="9">
        <f>IFERROR(__xludf.DUMMYFUNCTION("""COMPUTED_VALUE"""),44764.2536830555)</f>
        <v>44764.25368</v>
      </c>
      <c r="D3106" s="15">
        <f>IFERROR(__xludf.DUMMYFUNCTION("""COMPUTED_VALUE"""),1.004)</f>
        <v>1.004</v>
      </c>
      <c r="E3106" s="16">
        <f>IFERROR(__xludf.DUMMYFUNCTION("""COMPUTED_VALUE"""),69.0)</f>
        <v>69</v>
      </c>
      <c r="F3106" s="19" t="str">
        <f>IFERROR(__xludf.DUMMYFUNCTION("""COMPUTED_VALUE"""),"BLACK")</f>
        <v>BLACK</v>
      </c>
      <c r="G3106" s="20" t="str">
        <f>IFERROR(__xludf.DUMMYFUNCTION("""COMPUTED_VALUE"""),"Uncle Sams Cider (5/13/2022)")</f>
        <v>Uncle Sams Cider (5/13/2022)</v>
      </c>
      <c r="H3106" s="19"/>
    </row>
    <row r="3107">
      <c r="A3107" s="9"/>
      <c r="B3107" s="15"/>
      <c r="C3107" s="9">
        <f>IFERROR(__xludf.DUMMYFUNCTION("""COMPUTED_VALUE"""),44764.2432612268)</f>
        <v>44764.24326</v>
      </c>
      <c r="D3107" s="15">
        <f>IFERROR(__xludf.DUMMYFUNCTION("""COMPUTED_VALUE"""),1.004)</f>
        <v>1.004</v>
      </c>
      <c r="E3107" s="16">
        <f>IFERROR(__xludf.DUMMYFUNCTION("""COMPUTED_VALUE"""),69.0)</f>
        <v>69</v>
      </c>
      <c r="F3107" s="19" t="str">
        <f>IFERROR(__xludf.DUMMYFUNCTION("""COMPUTED_VALUE"""),"BLACK")</f>
        <v>BLACK</v>
      </c>
      <c r="G3107" s="20" t="str">
        <f>IFERROR(__xludf.DUMMYFUNCTION("""COMPUTED_VALUE"""),"Uncle Sams Cider (5/13/2022)")</f>
        <v>Uncle Sams Cider (5/13/2022)</v>
      </c>
      <c r="H3107" s="19"/>
    </row>
    <row r="3108">
      <c r="A3108" s="9"/>
      <c r="B3108" s="15"/>
      <c r="C3108" s="9">
        <f>IFERROR(__xludf.DUMMYFUNCTION("""COMPUTED_VALUE"""),44764.232839618)</f>
        <v>44764.23284</v>
      </c>
      <c r="D3108" s="15">
        <f>IFERROR(__xludf.DUMMYFUNCTION("""COMPUTED_VALUE"""),1.004)</f>
        <v>1.004</v>
      </c>
      <c r="E3108" s="16">
        <f>IFERROR(__xludf.DUMMYFUNCTION("""COMPUTED_VALUE"""),69.0)</f>
        <v>69</v>
      </c>
      <c r="F3108" s="19" t="str">
        <f>IFERROR(__xludf.DUMMYFUNCTION("""COMPUTED_VALUE"""),"BLACK")</f>
        <v>BLACK</v>
      </c>
      <c r="G3108" s="20" t="str">
        <f>IFERROR(__xludf.DUMMYFUNCTION("""COMPUTED_VALUE"""),"Uncle Sams Cider (5/13/2022)")</f>
        <v>Uncle Sams Cider (5/13/2022)</v>
      </c>
      <c r="H3108" s="19"/>
    </row>
    <row r="3109">
      <c r="A3109" s="9"/>
      <c r="B3109" s="15"/>
      <c r="C3109" s="9">
        <f>IFERROR(__xludf.DUMMYFUNCTION("""COMPUTED_VALUE"""),44764.2224065972)</f>
        <v>44764.22241</v>
      </c>
      <c r="D3109" s="15">
        <f>IFERROR(__xludf.DUMMYFUNCTION("""COMPUTED_VALUE"""),1.004)</f>
        <v>1.004</v>
      </c>
      <c r="E3109" s="16">
        <f>IFERROR(__xludf.DUMMYFUNCTION("""COMPUTED_VALUE"""),69.0)</f>
        <v>69</v>
      </c>
      <c r="F3109" s="19" t="str">
        <f>IFERROR(__xludf.DUMMYFUNCTION("""COMPUTED_VALUE"""),"BLACK")</f>
        <v>BLACK</v>
      </c>
      <c r="G3109" s="20" t="str">
        <f>IFERROR(__xludf.DUMMYFUNCTION("""COMPUTED_VALUE"""),"Uncle Sams Cider (5/13/2022)")</f>
        <v>Uncle Sams Cider (5/13/2022)</v>
      </c>
      <c r="H3109" s="19"/>
    </row>
    <row r="3110">
      <c r="A3110" s="9"/>
      <c r="B3110" s="15"/>
      <c r="C3110" s="9">
        <f>IFERROR(__xludf.DUMMYFUNCTION("""COMPUTED_VALUE"""),44764.2119735185)</f>
        <v>44764.21197</v>
      </c>
      <c r="D3110" s="15">
        <f>IFERROR(__xludf.DUMMYFUNCTION("""COMPUTED_VALUE"""),1.004)</f>
        <v>1.004</v>
      </c>
      <c r="E3110" s="16">
        <f>IFERROR(__xludf.DUMMYFUNCTION("""COMPUTED_VALUE"""),69.0)</f>
        <v>69</v>
      </c>
      <c r="F3110" s="19" t="str">
        <f>IFERROR(__xludf.DUMMYFUNCTION("""COMPUTED_VALUE"""),"BLACK")</f>
        <v>BLACK</v>
      </c>
      <c r="G3110" s="20" t="str">
        <f>IFERROR(__xludf.DUMMYFUNCTION("""COMPUTED_VALUE"""),"Uncle Sams Cider (5/13/2022)")</f>
        <v>Uncle Sams Cider (5/13/2022)</v>
      </c>
      <c r="H3110" s="19"/>
    </row>
    <row r="3111">
      <c r="A3111" s="9"/>
      <c r="B3111" s="15"/>
      <c r="C3111" s="9">
        <f>IFERROR(__xludf.DUMMYFUNCTION("""COMPUTED_VALUE"""),44764.2015555787)</f>
        <v>44764.20156</v>
      </c>
      <c r="D3111" s="15">
        <f>IFERROR(__xludf.DUMMYFUNCTION("""COMPUTED_VALUE"""),1.004)</f>
        <v>1.004</v>
      </c>
      <c r="E3111" s="16">
        <f>IFERROR(__xludf.DUMMYFUNCTION("""COMPUTED_VALUE"""),69.0)</f>
        <v>69</v>
      </c>
      <c r="F3111" s="19" t="str">
        <f>IFERROR(__xludf.DUMMYFUNCTION("""COMPUTED_VALUE"""),"BLACK")</f>
        <v>BLACK</v>
      </c>
      <c r="G3111" s="20" t="str">
        <f>IFERROR(__xludf.DUMMYFUNCTION("""COMPUTED_VALUE"""),"Uncle Sams Cider (5/13/2022)")</f>
        <v>Uncle Sams Cider (5/13/2022)</v>
      </c>
      <c r="H3111" s="19"/>
    </row>
    <row r="3112">
      <c r="A3112" s="9"/>
      <c r="B3112" s="15"/>
      <c r="C3112" s="9">
        <f>IFERROR(__xludf.DUMMYFUNCTION("""COMPUTED_VALUE"""),44764.1911348958)</f>
        <v>44764.19113</v>
      </c>
      <c r="D3112" s="15">
        <f>IFERROR(__xludf.DUMMYFUNCTION("""COMPUTED_VALUE"""),1.004)</f>
        <v>1.004</v>
      </c>
      <c r="E3112" s="16">
        <f>IFERROR(__xludf.DUMMYFUNCTION("""COMPUTED_VALUE"""),69.0)</f>
        <v>69</v>
      </c>
      <c r="F3112" s="19" t="str">
        <f>IFERROR(__xludf.DUMMYFUNCTION("""COMPUTED_VALUE"""),"BLACK")</f>
        <v>BLACK</v>
      </c>
      <c r="G3112" s="20" t="str">
        <f>IFERROR(__xludf.DUMMYFUNCTION("""COMPUTED_VALUE"""),"Uncle Sams Cider (5/13/2022)")</f>
        <v>Uncle Sams Cider (5/13/2022)</v>
      </c>
      <c r="H3112" s="19"/>
    </row>
    <row r="3113">
      <c r="A3113" s="9"/>
      <c r="B3113" s="15"/>
      <c r="C3113" s="9">
        <f>IFERROR(__xludf.DUMMYFUNCTION("""COMPUTED_VALUE"""),44764.1807128125)</f>
        <v>44764.18071</v>
      </c>
      <c r="D3113" s="15">
        <f>IFERROR(__xludf.DUMMYFUNCTION("""COMPUTED_VALUE"""),1.004)</f>
        <v>1.004</v>
      </c>
      <c r="E3113" s="16">
        <f>IFERROR(__xludf.DUMMYFUNCTION("""COMPUTED_VALUE"""),69.0)</f>
        <v>69</v>
      </c>
      <c r="F3113" s="19" t="str">
        <f>IFERROR(__xludf.DUMMYFUNCTION("""COMPUTED_VALUE"""),"BLACK")</f>
        <v>BLACK</v>
      </c>
      <c r="G3113" s="20" t="str">
        <f>IFERROR(__xludf.DUMMYFUNCTION("""COMPUTED_VALUE"""),"Uncle Sams Cider (5/13/2022)")</f>
        <v>Uncle Sams Cider (5/13/2022)</v>
      </c>
      <c r="H3113" s="19"/>
    </row>
    <row r="3114">
      <c r="A3114" s="9"/>
      <c r="B3114" s="15"/>
      <c r="C3114" s="9">
        <f>IFERROR(__xludf.DUMMYFUNCTION("""COMPUTED_VALUE"""),44764.1702790277)</f>
        <v>44764.17028</v>
      </c>
      <c r="D3114" s="15">
        <f>IFERROR(__xludf.DUMMYFUNCTION("""COMPUTED_VALUE"""),1.004)</f>
        <v>1.004</v>
      </c>
      <c r="E3114" s="16">
        <f>IFERROR(__xludf.DUMMYFUNCTION("""COMPUTED_VALUE"""),69.0)</f>
        <v>69</v>
      </c>
      <c r="F3114" s="19" t="str">
        <f>IFERROR(__xludf.DUMMYFUNCTION("""COMPUTED_VALUE"""),"BLACK")</f>
        <v>BLACK</v>
      </c>
      <c r="G3114" s="20" t="str">
        <f>IFERROR(__xludf.DUMMYFUNCTION("""COMPUTED_VALUE"""),"Uncle Sams Cider (5/13/2022)")</f>
        <v>Uncle Sams Cider (5/13/2022)</v>
      </c>
      <c r="H3114" s="19"/>
    </row>
    <row r="3115">
      <c r="A3115" s="9"/>
      <c r="B3115" s="15"/>
      <c r="C3115" s="9">
        <f>IFERROR(__xludf.DUMMYFUNCTION("""COMPUTED_VALUE"""),44764.1598586574)</f>
        <v>44764.15986</v>
      </c>
      <c r="D3115" s="15">
        <f>IFERROR(__xludf.DUMMYFUNCTION("""COMPUTED_VALUE"""),1.004)</f>
        <v>1.004</v>
      </c>
      <c r="E3115" s="16">
        <f>IFERROR(__xludf.DUMMYFUNCTION("""COMPUTED_VALUE"""),69.0)</f>
        <v>69</v>
      </c>
      <c r="F3115" s="19" t="str">
        <f>IFERROR(__xludf.DUMMYFUNCTION("""COMPUTED_VALUE"""),"BLACK")</f>
        <v>BLACK</v>
      </c>
      <c r="G3115" s="20" t="str">
        <f>IFERROR(__xludf.DUMMYFUNCTION("""COMPUTED_VALUE"""),"Uncle Sams Cider (5/13/2022)")</f>
        <v>Uncle Sams Cider (5/13/2022)</v>
      </c>
      <c r="H3115" s="19"/>
    </row>
    <row r="3116">
      <c r="A3116" s="9"/>
      <c r="B3116" s="15"/>
      <c r="C3116" s="9">
        <f>IFERROR(__xludf.DUMMYFUNCTION("""COMPUTED_VALUE"""),44764.149435706)</f>
        <v>44764.14944</v>
      </c>
      <c r="D3116" s="15">
        <f>IFERROR(__xludf.DUMMYFUNCTION("""COMPUTED_VALUE"""),1.004)</f>
        <v>1.004</v>
      </c>
      <c r="E3116" s="16">
        <f>IFERROR(__xludf.DUMMYFUNCTION("""COMPUTED_VALUE"""),69.0)</f>
        <v>69</v>
      </c>
      <c r="F3116" s="19" t="str">
        <f>IFERROR(__xludf.DUMMYFUNCTION("""COMPUTED_VALUE"""),"BLACK")</f>
        <v>BLACK</v>
      </c>
      <c r="G3116" s="20" t="str">
        <f>IFERROR(__xludf.DUMMYFUNCTION("""COMPUTED_VALUE"""),"Uncle Sams Cider (5/13/2022)")</f>
        <v>Uncle Sams Cider (5/13/2022)</v>
      </c>
      <c r="H3116" s="19"/>
    </row>
    <row r="3117">
      <c r="A3117" s="9"/>
      <c r="B3117" s="15"/>
      <c r="C3117" s="9">
        <f>IFERROR(__xludf.DUMMYFUNCTION("""COMPUTED_VALUE"""),44764.1390138773)</f>
        <v>44764.13901</v>
      </c>
      <c r="D3117" s="15">
        <f>IFERROR(__xludf.DUMMYFUNCTION("""COMPUTED_VALUE"""),1.004)</f>
        <v>1.004</v>
      </c>
      <c r="E3117" s="16">
        <f>IFERROR(__xludf.DUMMYFUNCTION("""COMPUTED_VALUE"""),69.0)</f>
        <v>69</v>
      </c>
      <c r="F3117" s="19" t="str">
        <f>IFERROR(__xludf.DUMMYFUNCTION("""COMPUTED_VALUE"""),"BLACK")</f>
        <v>BLACK</v>
      </c>
      <c r="G3117" s="20" t="str">
        <f>IFERROR(__xludf.DUMMYFUNCTION("""COMPUTED_VALUE"""),"Uncle Sams Cider (5/13/2022)")</f>
        <v>Uncle Sams Cider (5/13/2022)</v>
      </c>
      <c r="H3117" s="19"/>
    </row>
    <row r="3118">
      <c r="A3118" s="9"/>
      <c r="B3118" s="15"/>
      <c r="C3118" s="9">
        <f>IFERROR(__xludf.DUMMYFUNCTION("""COMPUTED_VALUE"""),44764.1285947916)</f>
        <v>44764.12859</v>
      </c>
      <c r="D3118" s="15">
        <f>IFERROR(__xludf.DUMMYFUNCTION("""COMPUTED_VALUE"""),1.004)</f>
        <v>1.004</v>
      </c>
      <c r="E3118" s="16">
        <f>IFERROR(__xludf.DUMMYFUNCTION("""COMPUTED_VALUE"""),69.0)</f>
        <v>69</v>
      </c>
      <c r="F3118" s="19" t="str">
        <f>IFERROR(__xludf.DUMMYFUNCTION("""COMPUTED_VALUE"""),"BLACK")</f>
        <v>BLACK</v>
      </c>
      <c r="G3118" s="20" t="str">
        <f>IFERROR(__xludf.DUMMYFUNCTION("""COMPUTED_VALUE"""),"Uncle Sams Cider (5/13/2022)")</f>
        <v>Uncle Sams Cider (5/13/2022)</v>
      </c>
      <c r="H3118" s="19"/>
    </row>
    <row r="3119">
      <c r="A3119" s="9"/>
      <c r="B3119" s="15"/>
      <c r="C3119" s="9">
        <f>IFERROR(__xludf.DUMMYFUNCTION("""COMPUTED_VALUE"""),44764.1181616898)</f>
        <v>44764.11816</v>
      </c>
      <c r="D3119" s="15">
        <f>IFERROR(__xludf.DUMMYFUNCTION("""COMPUTED_VALUE"""),1.004)</f>
        <v>1.004</v>
      </c>
      <c r="E3119" s="16">
        <f>IFERROR(__xludf.DUMMYFUNCTION("""COMPUTED_VALUE"""),69.0)</f>
        <v>69</v>
      </c>
      <c r="F3119" s="19" t="str">
        <f>IFERROR(__xludf.DUMMYFUNCTION("""COMPUTED_VALUE"""),"BLACK")</f>
        <v>BLACK</v>
      </c>
      <c r="G3119" s="20" t="str">
        <f>IFERROR(__xludf.DUMMYFUNCTION("""COMPUTED_VALUE"""),"Uncle Sams Cider (5/13/2022)")</f>
        <v>Uncle Sams Cider (5/13/2022)</v>
      </c>
      <c r="H3119" s="19"/>
    </row>
    <row r="3120">
      <c r="A3120" s="9"/>
      <c r="B3120" s="15"/>
      <c r="C3120" s="9">
        <f>IFERROR(__xludf.DUMMYFUNCTION("""COMPUTED_VALUE"""),44764.1077419675)</f>
        <v>44764.10774</v>
      </c>
      <c r="D3120" s="15">
        <f>IFERROR(__xludf.DUMMYFUNCTION("""COMPUTED_VALUE"""),1.004)</f>
        <v>1.004</v>
      </c>
      <c r="E3120" s="16">
        <f>IFERROR(__xludf.DUMMYFUNCTION("""COMPUTED_VALUE"""),69.0)</f>
        <v>69</v>
      </c>
      <c r="F3120" s="19" t="str">
        <f>IFERROR(__xludf.DUMMYFUNCTION("""COMPUTED_VALUE"""),"BLACK")</f>
        <v>BLACK</v>
      </c>
      <c r="G3120" s="20" t="str">
        <f>IFERROR(__xludf.DUMMYFUNCTION("""COMPUTED_VALUE"""),"Uncle Sams Cider (5/13/2022)")</f>
        <v>Uncle Sams Cider (5/13/2022)</v>
      </c>
      <c r="H3120" s="19"/>
    </row>
    <row r="3121">
      <c r="A3121" s="9"/>
      <c r="B3121" s="15"/>
      <c r="C3121" s="9">
        <f>IFERROR(__xludf.DUMMYFUNCTION("""COMPUTED_VALUE"""),44764.0973235416)</f>
        <v>44764.09732</v>
      </c>
      <c r="D3121" s="15">
        <f>IFERROR(__xludf.DUMMYFUNCTION("""COMPUTED_VALUE"""),1.004)</f>
        <v>1.004</v>
      </c>
      <c r="E3121" s="16">
        <f>IFERROR(__xludf.DUMMYFUNCTION("""COMPUTED_VALUE"""),69.0)</f>
        <v>69</v>
      </c>
      <c r="F3121" s="19" t="str">
        <f>IFERROR(__xludf.DUMMYFUNCTION("""COMPUTED_VALUE"""),"BLACK")</f>
        <v>BLACK</v>
      </c>
      <c r="G3121" s="20" t="str">
        <f>IFERROR(__xludf.DUMMYFUNCTION("""COMPUTED_VALUE"""),"Uncle Sams Cider (5/13/2022)")</f>
        <v>Uncle Sams Cider (5/13/2022)</v>
      </c>
      <c r="H3121" s="19"/>
    </row>
    <row r="3122">
      <c r="A3122" s="9"/>
      <c r="B3122" s="15"/>
      <c r="C3122" s="9">
        <f>IFERROR(__xludf.DUMMYFUNCTION("""COMPUTED_VALUE"""),44764.0868897106)</f>
        <v>44764.08689</v>
      </c>
      <c r="D3122" s="15">
        <f>IFERROR(__xludf.DUMMYFUNCTION("""COMPUTED_VALUE"""),1.004)</f>
        <v>1.004</v>
      </c>
      <c r="E3122" s="16">
        <f>IFERROR(__xludf.DUMMYFUNCTION("""COMPUTED_VALUE"""),69.0)</f>
        <v>69</v>
      </c>
      <c r="F3122" s="19" t="str">
        <f>IFERROR(__xludf.DUMMYFUNCTION("""COMPUTED_VALUE"""),"BLACK")</f>
        <v>BLACK</v>
      </c>
      <c r="G3122" s="20" t="str">
        <f>IFERROR(__xludf.DUMMYFUNCTION("""COMPUTED_VALUE"""),"Uncle Sams Cider (5/13/2022)")</f>
        <v>Uncle Sams Cider (5/13/2022)</v>
      </c>
      <c r="H3122" s="19"/>
    </row>
    <row r="3123">
      <c r="A3123" s="9"/>
      <c r="B3123" s="15"/>
      <c r="C3123" s="9">
        <f>IFERROR(__xludf.DUMMYFUNCTION("""COMPUTED_VALUE"""),44764.076466956)</f>
        <v>44764.07647</v>
      </c>
      <c r="D3123" s="15">
        <f>IFERROR(__xludf.DUMMYFUNCTION("""COMPUTED_VALUE"""),1.004)</f>
        <v>1.004</v>
      </c>
      <c r="E3123" s="16">
        <f>IFERROR(__xludf.DUMMYFUNCTION("""COMPUTED_VALUE"""),69.0)</f>
        <v>69</v>
      </c>
      <c r="F3123" s="19" t="str">
        <f>IFERROR(__xludf.DUMMYFUNCTION("""COMPUTED_VALUE"""),"BLACK")</f>
        <v>BLACK</v>
      </c>
      <c r="G3123" s="20" t="str">
        <f>IFERROR(__xludf.DUMMYFUNCTION("""COMPUTED_VALUE"""),"Uncle Sams Cider (5/13/2022)")</f>
        <v>Uncle Sams Cider (5/13/2022)</v>
      </c>
      <c r="H3123" s="19"/>
    </row>
    <row r="3124">
      <c r="A3124" s="9"/>
      <c r="B3124" s="15"/>
      <c r="C3124" s="9">
        <f>IFERROR(__xludf.DUMMYFUNCTION("""COMPUTED_VALUE"""),44764.0660456944)</f>
        <v>44764.06605</v>
      </c>
      <c r="D3124" s="15">
        <f>IFERROR(__xludf.DUMMYFUNCTION("""COMPUTED_VALUE"""),1.004)</f>
        <v>1.004</v>
      </c>
      <c r="E3124" s="16">
        <f>IFERROR(__xludf.DUMMYFUNCTION("""COMPUTED_VALUE"""),69.0)</f>
        <v>69</v>
      </c>
      <c r="F3124" s="19" t="str">
        <f>IFERROR(__xludf.DUMMYFUNCTION("""COMPUTED_VALUE"""),"BLACK")</f>
        <v>BLACK</v>
      </c>
      <c r="G3124" s="20" t="str">
        <f>IFERROR(__xludf.DUMMYFUNCTION("""COMPUTED_VALUE"""),"Uncle Sams Cider (5/13/2022)")</f>
        <v>Uncle Sams Cider (5/13/2022)</v>
      </c>
      <c r="H3124" s="19"/>
    </row>
    <row r="3125">
      <c r="A3125" s="9"/>
      <c r="B3125" s="15"/>
      <c r="C3125" s="9">
        <f>IFERROR(__xludf.DUMMYFUNCTION("""COMPUTED_VALUE"""),44764.0556245138)</f>
        <v>44764.05562</v>
      </c>
      <c r="D3125" s="15">
        <f>IFERROR(__xludf.DUMMYFUNCTION("""COMPUTED_VALUE"""),1.004)</f>
        <v>1.004</v>
      </c>
      <c r="E3125" s="16">
        <f>IFERROR(__xludf.DUMMYFUNCTION("""COMPUTED_VALUE"""),69.0)</f>
        <v>69</v>
      </c>
      <c r="F3125" s="19" t="str">
        <f>IFERROR(__xludf.DUMMYFUNCTION("""COMPUTED_VALUE"""),"BLACK")</f>
        <v>BLACK</v>
      </c>
      <c r="G3125" s="20" t="str">
        <f>IFERROR(__xludf.DUMMYFUNCTION("""COMPUTED_VALUE"""),"Uncle Sams Cider (5/13/2022)")</f>
        <v>Uncle Sams Cider (5/13/2022)</v>
      </c>
      <c r="H3125" s="19"/>
    </row>
    <row r="3126">
      <c r="A3126" s="9"/>
      <c r="B3126" s="15"/>
      <c r="C3126" s="9">
        <f>IFERROR(__xludf.DUMMYFUNCTION("""COMPUTED_VALUE"""),44764.0451932176)</f>
        <v>44764.04519</v>
      </c>
      <c r="D3126" s="15">
        <f>IFERROR(__xludf.DUMMYFUNCTION("""COMPUTED_VALUE"""),1.004)</f>
        <v>1.004</v>
      </c>
      <c r="E3126" s="16">
        <f>IFERROR(__xludf.DUMMYFUNCTION("""COMPUTED_VALUE"""),69.0)</f>
        <v>69</v>
      </c>
      <c r="F3126" s="19" t="str">
        <f>IFERROR(__xludf.DUMMYFUNCTION("""COMPUTED_VALUE"""),"BLACK")</f>
        <v>BLACK</v>
      </c>
      <c r="G3126" s="20" t="str">
        <f>IFERROR(__xludf.DUMMYFUNCTION("""COMPUTED_VALUE"""),"Uncle Sams Cider (5/13/2022)")</f>
        <v>Uncle Sams Cider (5/13/2022)</v>
      </c>
      <c r="H3126" s="19"/>
    </row>
    <row r="3127">
      <c r="A3127" s="9"/>
      <c r="B3127" s="15"/>
      <c r="C3127" s="9">
        <f>IFERROR(__xludf.DUMMYFUNCTION("""COMPUTED_VALUE"""),44764.0347717129)</f>
        <v>44764.03477</v>
      </c>
      <c r="D3127" s="15">
        <f>IFERROR(__xludf.DUMMYFUNCTION("""COMPUTED_VALUE"""),1.004)</f>
        <v>1.004</v>
      </c>
      <c r="E3127" s="16">
        <f>IFERROR(__xludf.DUMMYFUNCTION("""COMPUTED_VALUE"""),69.0)</f>
        <v>69</v>
      </c>
      <c r="F3127" s="19" t="str">
        <f>IFERROR(__xludf.DUMMYFUNCTION("""COMPUTED_VALUE"""),"BLACK")</f>
        <v>BLACK</v>
      </c>
      <c r="G3127" s="20" t="str">
        <f>IFERROR(__xludf.DUMMYFUNCTION("""COMPUTED_VALUE"""),"Uncle Sams Cider (5/13/2022)")</f>
        <v>Uncle Sams Cider (5/13/2022)</v>
      </c>
      <c r="H3127" s="19"/>
    </row>
    <row r="3128">
      <c r="A3128" s="9"/>
      <c r="B3128" s="15"/>
      <c r="C3128" s="9">
        <f>IFERROR(__xludf.DUMMYFUNCTION("""COMPUTED_VALUE"""),44764.0243484143)</f>
        <v>44764.02435</v>
      </c>
      <c r="D3128" s="15">
        <f>IFERROR(__xludf.DUMMYFUNCTION("""COMPUTED_VALUE"""),1.004)</f>
        <v>1.004</v>
      </c>
      <c r="E3128" s="16">
        <f>IFERROR(__xludf.DUMMYFUNCTION("""COMPUTED_VALUE"""),69.0)</f>
        <v>69</v>
      </c>
      <c r="F3128" s="19" t="str">
        <f>IFERROR(__xludf.DUMMYFUNCTION("""COMPUTED_VALUE"""),"BLACK")</f>
        <v>BLACK</v>
      </c>
      <c r="G3128" s="20" t="str">
        <f>IFERROR(__xludf.DUMMYFUNCTION("""COMPUTED_VALUE"""),"Uncle Sams Cider (5/13/2022)")</f>
        <v>Uncle Sams Cider (5/13/2022)</v>
      </c>
      <c r="H3128" s="19"/>
    </row>
    <row r="3129">
      <c r="A3129" s="9"/>
      <c r="B3129" s="15"/>
      <c r="C3129" s="9">
        <f>IFERROR(__xludf.DUMMYFUNCTION("""COMPUTED_VALUE"""),44764.0139158217)</f>
        <v>44764.01392</v>
      </c>
      <c r="D3129" s="15">
        <f>IFERROR(__xludf.DUMMYFUNCTION("""COMPUTED_VALUE"""),1.004)</f>
        <v>1.004</v>
      </c>
      <c r="E3129" s="16">
        <f>IFERROR(__xludf.DUMMYFUNCTION("""COMPUTED_VALUE"""),69.0)</f>
        <v>69</v>
      </c>
      <c r="F3129" s="19" t="str">
        <f>IFERROR(__xludf.DUMMYFUNCTION("""COMPUTED_VALUE"""),"BLACK")</f>
        <v>BLACK</v>
      </c>
      <c r="G3129" s="20" t="str">
        <f>IFERROR(__xludf.DUMMYFUNCTION("""COMPUTED_VALUE"""),"Uncle Sams Cider (5/13/2022)")</f>
        <v>Uncle Sams Cider (5/13/2022)</v>
      </c>
      <c r="H3129" s="19"/>
    </row>
    <row r="3130">
      <c r="A3130" s="9"/>
      <c r="B3130" s="15"/>
      <c r="C3130" s="9">
        <f>IFERROR(__xludf.DUMMYFUNCTION("""COMPUTED_VALUE"""),44764.0034962384)</f>
        <v>44764.0035</v>
      </c>
      <c r="D3130" s="15">
        <f>IFERROR(__xludf.DUMMYFUNCTION("""COMPUTED_VALUE"""),1.004)</f>
        <v>1.004</v>
      </c>
      <c r="E3130" s="16">
        <f>IFERROR(__xludf.DUMMYFUNCTION("""COMPUTED_VALUE"""),69.0)</f>
        <v>69</v>
      </c>
      <c r="F3130" s="19" t="str">
        <f>IFERROR(__xludf.DUMMYFUNCTION("""COMPUTED_VALUE"""),"BLACK")</f>
        <v>BLACK</v>
      </c>
      <c r="G3130" s="20" t="str">
        <f>IFERROR(__xludf.DUMMYFUNCTION("""COMPUTED_VALUE"""),"Uncle Sams Cider (5/13/2022)")</f>
        <v>Uncle Sams Cider (5/13/2022)</v>
      </c>
      <c r="H3130" s="19"/>
    </row>
    <row r="3131">
      <c r="A3131" s="9"/>
      <c r="B3131" s="15"/>
      <c r="C3131" s="9">
        <f>IFERROR(__xludf.DUMMYFUNCTION("""COMPUTED_VALUE"""),44763.9930640856)</f>
        <v>44763.99306</v>
      </c>
      <c r="D3131" s="15">
        <f>IFERROR(__xludf.DUMMYFUNCTION("""COMPUTED_VALUE"""),1.004)</f>
        <v>1.004</v>
      </c>
      <c r="E3131" s="16">
        <f>IFERROR(__xludf.DUMMYFUNCTION("""COMPUTED_VALUE"""),69.0)</f>
        <v>69</v>
      </c>
      <c r="F3131" s="19" t="str">
        <f>IFERROR(__xludf.DUMMYFUNCTION("""COMPUTED_VALUE"""),"BLACK")</f>
        <v>BLACK</v>
      </c>
      <c r="G3131" s="20" t="str">
        <f>IFERROR(__xludf.DUMMYFUNCTION("""COMPUTED_VALUE"""),"Uncle Sams Cider (5/13/2022)")</f>
        <v>Uncle Sams Cider (5/13/2022)</v>
      </c>
      <c r="H3131" s="19"/>
    </row>
    <row r="3132">
      <c r="A3132" s="9"/>
      <c r="B3132" s="15"/>
      <c r="C3132" s="9">
        <f>IFERROR(__xludf.DUMMYFUNCTION("""COMPUTED_VALUE"""),44763.9826420833)</f>
        <v>44763.98264</v>
      </c>
      <c r="D3132" s="15">
        <f>IFERROR(__xludf.DUMMYFUNCTION("""COMPUTED_VALUE"""),1.004)</f>
        <v>1.004</v>
      </c>
      <c r="E3132" s="16">
        <f>IFERROR(__xludf.DUMMYFUNCTION("""COMPUTED_VALUE"""),69.0)</f>
        <v>69</v>
      </c>
      <c r="F3132" s="19" t="str">
        <f>IFERROR(__xludf.DUMMYFUNCTION("""COMPUTED_VALUE"""),"BLACK")</f>
        <v>BLACK</v>
      </c>
      <c r="G3132" s="20" t="str">
        <f>IFERROR(__xludf.DUMMYFUNCTION("""COMPUTED_VALUE"""),"Uncle Sams Cider (5/13/2022)")</f>
        <v>Uncle Sams Cider (5/13/2022)</v>
      </c>
      <c r="H3132" s="19"/>
    </row>
    <row r="3133">
      <c r="A3133" s="9"/>
      <c r="B3133" s="15"/>
      <c r="C3133" s="9">
        <f>IFERROR(__xludf.DUMMYFUNCTION("""COMPUTED_VALUE"""),44763.9722198032)</f>
        <v>44763.97222</v>
      </c>
      <c r="D3133" s="15">
        <f>IFERROR(__xludf.DUMMYFUNCTION("""COMPUTED_VALUE"""),1.004)</f>
        <v>1.004</v>
      </c>
      <c r="E3133" s="16">
        <f>IFERROR(__xludf.DUMMYFUNCTION("""COMPUTED_VALUE"""),69.0)</f>
        <v>69</v>
      </c>
      <c r="F3133" s="19" t="str">
        <f>IFERROR(__xludf.DUMMYFUNCTION("""COMPUTED_VALUE"""),"BLACK")</f>
        <v>BLACK</v>
      </c>
      <c r="G3133" s="20" t="str">
        <f>IFERROR(__xludf.DUMMYFUNCTION("""COMPUTED_VALUE"""),"Uncle Sams Cider (5/13/2022)")</f>
        <v>Uncle Sams Cider (5/13/2022)</v>
      </c>
      <c r="H3133" s="19"/>
    </row>
    <row r="3134">
      <c r="A3134" s="9"/>
      <c r="B3134" s="15"/>
      <c r="C3134" s="9">
        <f>IFERROR(__xludf.DUMMYFUNCTION("""COMPUTED_VALUE"""),44763.9617992245)</f>
        <v>44763.9618</v>
      </c>
      <c r="D3134" s="15">
        <f>IFERROR(__xludf.DUMMYFUNCTION("""COMPUTED_VALUE"""),1.004)</f>
        <v>1.004</v>
      </c>
      <c r="E3134" s="16">
        <f>IFERROR(__xludf.DUMMYFUNCTION("""COMPUTED_VALUE"""),69.0)</f>
        <v>69</v>
      </c>
      <c r="F3134" s="19" t="str">
        <f>IFERROR(__xludf.DUMMYFUNCTION("""COMPUTED_VALUE"""),"BLACK")</f>
        <v>BLACK</v>
      </c>
      <c r="G3134" s="20" t="str">
        <f>IFERROR(__xludf.DUMMYFUNCTION("""COMPUTED_VALUE"""),"Uncle Sams Cider (5/13/2022)")</f>
        <v>Uncle Sams Cider (5/13/2022)</v>
      </c>
      <c r="H3134" s="19"/>
    </row>
    <row r="3135">
      <c r="A3135" s="9"/>
      <c r="B3135" s="15"/>
      <c r="C3135" s="9">
        <f>IFERROR(__xludf.DUMMYFUNCTION("""COMPUTED_VALUE"""),44763.9513784953)</f>
        <v>44763.95138</v>
      </c>
      <c r="D3135" s="15">
        <f>IFERROR(__xludf.DUMMYFUNCTION("""COMPUTED_VALUE"""),1.004)</f>
        <v>1.004</v>
      </c>
      <c r="E3135" s="16">
        <f>IFERROR(__xludf.DUMMYFUNCTION("""COMPUTED_VALUE"""),69.0)</f>
        <v>69</v>
      </c>
      <c r="F3135" s="19" t="str">
        <f>IFERROR(__xludf.DUMMYFUNCTION("""COMPUTED_VALUE"""),"BLACK")</f>
        <v>BLACK</v>
      </c>
      <c r="G3135" s="20" t="str">
        <f>IFERROR(__xludf.DUMMYFUNCTION("""COMPUTED_VALUE"""),"Uncle Sams Cider (5/13/2022)")</f>
        <v>Uncle Sams Cider (5/13/2022)</v>
      </c>
      <c r="H3135" s="19"/>
    </row>
    <row r="3136">
      <c r="A3136" s="9"/>
      <c r="B3136" s="15"/>
      <c r="C3136" s="9">
        <f>IFERROR(__xludf.DUMMYFUNCTION("""COMPUTED_VALUE"""),44763.9409579629)</f>
        <v>44763.94096</v>
      </c>
      <c r="D3136" s="15">
        <f>IFERROR(__xludf.DUMMYFUNCTION("""COMPUTED_VALUE"""),1.004)</f>
        <v>1.004</v>
      </c>
      <c r="E3136" s="16">
        <f>IFERROR(__xludf.DUMMYFUNCTION("""COMPUTED_VALUE"""),69.0)</f>
        <v>69</v>
      </c>
      <c r="F3136" s="19" t="str">
        <f>IFERROR(__xludf.DUMMYFUNCTION("""COMPUTED_VALUE"""),"BLACK")</f>
        <v>BLACK</v>
      </c>
      <c r="G3136" s="20" t="str">
        <f>IFERROR(__xludf.DUMMYFUNCTION("""COMPUTED_VALUE"""),"Uncle Sams Cider (5/13/2022)")</f>
        <v>Uncle Sams Cider (5/13/2022)</v>
      </c>
      <c r="H3136" s="19"/>
    </row>
    <row r="3137">
      <c r="A3137" s="9"/>
      <c r="B3137" s="15"/>
      <c r="C3137" s="9">
        <f>IFERROR(__xludf.DUMMYFUNCTION("""COMPUTED_VALUE"""),44763.9305236111)</f>
        <v>44763.93052</v>
      </c>
      <c r="D3137" s="15">
        <f>IFERROR(__xludf.DUMMYFUNCTION("""COMPUTED_VALUE"""),1.004)</f>
        <v>1.004</v>
      </c>
      <c r="E3137" s="16">
        <f>IFERROR(__xludf.DUMMYFUNCTION("""COMPUTED_VALUE"""),69.0)</f>
        <v>69</v>
      </c>
      <c r="F3137" s="19" t="str">
        <f>IFERROR(__xludf.DUMMYFUNCTION("""COMPUTED_VALUE"""),"BLACK")</f>
        <v>BLACK</v>
      </c>
      <c r="G3137" s="20" t="str">
        <f>IFERROR(__xludf.DUMMYFUNCTION("""COMPUTED_VALUE"""),"Uncle Sams Cider (5/13/2022)")</f>
        <v>Uncle Sams Cider (5/13/2022)</v>
      </c>
      <c r="H3137" s="19"/>
    </row>
    <row r="3138">
      <c r="A3138" s="9"/>
      <c r="B3138" s="15"/>
      <c r="C3138" s="9">
        <f>IFERROR(__xludf.DUMMYFUNCTION("""COMPUTED_VALUE"""),44763.9200912731)</f>
        <v>44763.92009</v>
      </c>
      <c r="D3138" s="15">
        <f>IFERROR(__xludf.DUMMYFUNCTION("""COMPUTED_VALUE"""),1.004)</f>
        <v>1.004</v>
      </c>
      <c r="E3138" s="16">
        <f>IFERROR(__xludf.DUMMYFUNCTION("""COMPUTED_VALUE"""),69.0)</f>
        <v>69</v>
      </c>
      <c r="F3138" s="19" t="str">
        <f>IFERROR(__xludf.DUMMYFUNCTION("""COMPUTED_VALUE"""),"BLACK")</f>
        <v>BLACK</v>
      </c>
      <c r="G3138" s="20" t="str">
        <f>IFERROR(__xludf.DUMMYFUNCTION("""COMPUTED_VALUE"""),"Uncle Sams Cider (5/13/2022)")</f>
        <v>Uncle Sams Cider (5/13/2022)</v>
      </c>
      <c r="H3138" s="19"/>
    </row>
    <row r="3139">
      <c r="A3139" s="9"/>
      <c r="B3139" s="15"/>
      <c r="C3139" s="9">
        <f>IFERROR(__xludf.DUMMYFUNCTION("""COMPUTED_VALUE"""),44763.909669699)</f>
        <v>44763.90967</v>
      </c>
      <c r="D3139" s="15">
        <f>IFERROR(__xludf.DUMMYFUNCTION("""COMPUTED_VALUE"""),1.004)</f>
        <v>1.004</v>
      </c>
      <c r="E3139" s="16">
        <f>IFERROR(__xludf.DUMMYFUNCTION("""COMPUTED_VALUE"""),69.0)</f>
        <v>69</v>
      </c>
      <c r="F3139" s="19" t="str">
        <f>IFERROR(__xludf.DUMMYFUNCTION("""COMPUTED_VALUE"""),"BLACK")</f>
        <v>BLACK</v>
      </c>
      <c r="G3139" s="20" t="str">
        <f>IFERROR(__xludf.DUMMYFUNCTION("""COMPUTED_VALUE"""),"Uncle Sams Cider (5/13/2022)")</f>
        <v>Uncle Sams Cider (5/13/2022)</v>
      </c>
      <c r="H3139" s="19"/>
    </row>
    <row r="3140">
      <c r="A3140" s="9"/>
      <c r="B3140" s="15"/>
      <c r="C3140" s="9">
        <f>IFERROR(__xludf.DUMMYFUNCTION("""COMPUTED_VALUE"""),44763.8992475115)</f>
        <v>44763.89925</v>
      </c>
      <c r="D3140" s="15">
        <f>IFERROR(__xludf.DUMMYFUNCTION("""COMPUTED_VALUE"""),1.004)</f>
        <v>1.004</v>
      </c>
      <c r="E3140" s="16">
        <f>IFERROR(__xludf.DUMMYFUNCTION("""COMPUTED_VALUE"""),69.0)</f>
        <v>69</v>
      </c>
      <c r="F3140" s="19" t="str">
        <f>IFERROR(__xludf.DUMMYFUNCTION("""COMPUTED_VALUE"""),"BLACK")</f>
        <v>BLACK</v>
      </c>
      <c r="G3140" s="20" t="str">
        <f>IFERROR(__xludf.DUMMYFUNCTION("""COMPUTED_VALUE"""),"Uncle Sams Cider (5/13/2022)")</f>
        <v>Uncle Sams Cider (5/13/2022)</v>
      </c>
      <c r="H3140" s="19"/>
    </row>
    <row r="3141">
      <c r="A3141" s="9"/>
      <c r="B3141" s="15"/>
      <c r="C3141" s="9">
        <f>IFERROR(__xludf.DUMMYFUNCTION("""COMPUTED_VALUE"""),44763.8888152777)</f>
        <v>44763.88882</v>
      </c>
      <c r="D3141" s="15">
        <f>IFERROR(__xludf.DUMMYFUNCTION("""COMPUTED_VALUE"""),1.004)</f>
        <v>1.004</v>
      </c>
      <c r="E3141" s="16">
        <f>IFERROR(__xludf.DUMMYFUNCTION("""COMPUTED_VALUE"""),69.0)</f>
        <v>69</v>
      </c>
      <c r="F3141" s="19" t="str">
        <f>IFERROR(__xludf.DUMMYFUNCTION("""COMPUTED_VALUE"""),"BLACK")</f>
        <v>BLACK</v>
      </c>
      <c r="G3141" s="20" t="str">
        <f>IFERROR(__xludf.DUMMYFUNCTION("""COMPUTED_VALUE"""),"Uncle Sams Cider (5/13/2022)")</f>
        <v>Uncle Sams Cider (5/13/2022)</v>
      </c>
      <c r="H3141" s="19"/>
    </row>
    <row r="3142">
      <c r="A3142" s="9"/>
      <c r="B3142" s="15"/>
      <c r="C3142" s="9">
        <f>IFERROR(__xludf.DUMMYFUNCTION("""COMPUTED_VALUE"""),44763.8783944907)</f>
        <v>44763.87839</v>
      </c>
      <c r="D3142" s="15">
        <f>IFERROR(__xludf.DUMMYFUNCTION("""COMPUTED_VALUE"""),1.004)</f>
        <v>1.004</v>
      </c>
      <c r="E3142" s="16">
        <f>IFERROR(__xludf.DUMMYFUNCTION("""COMPUTED_VALUE"""),69.0)</f>
        <v>69</v>
      </c>
      <c r="F3142" s="19" t="str">
        <f>IFERROR(__xludf.DUMMYFUNCTION("""COMPUTED_VALUE"""),"BLACK")</f>
        <v>BLACK</v>
      </c>
      <c r="G3142" s="20" t="str">
        <f>IFERROR(__xludf.DUMMYFUNCTION("""COMPUTED_VALUE"""),"Uncle Sams Cider (5/13/2022)")</f>
        <v>Uncle Sams Cider (5/13/2022)</v>
      </c>
      <c r="H3142" s="19"/>
    </row>
    <row r="3143">
      <c r="A3143" s="9"/>
      <c r="B3143" s="15"/>
      <c r="C3143" s="9">
        <f>IFERROR(__xludf.DUMMYFUNCTION("""COMPUTED_VALUE"""),44763.86796125)</f>
        <v>44763.86796</v>
      </c>
      <c r="D3143" s="15">
        <f>IFERROR(__xludf.DUMMYFUNCTION("""COMPUTED_VALUE"""),1.004)</f>
        <v>1.004</v>
      </c>
      <c r="E3143" s="16">
        <f>IFERROR(__xludf.DUMMYFUNCTION("""COMPUTED_VALUE"""),69.0)</f>
        <v>69</v>
      </c>
      <c r="F3143" s="19" t="str">
        <f>IFERROR(__xludf.DUMMYFUNCTION("""COMPUTED_VALUE"""),"BLACK")</f>
        <v>BLACK</v>
      </c>
      <c r="G3143" s="20" t="str">
        <f>IFERROR(__xludf.DUMMYFUNCTION("""COMPUTED_VALUE"""),"Uncle Sams Cider (5/13/2022)")</f>
        <v>Uncle Sams Cider (5/13/2022)</v>
      </c>
      <c r="H3143" s="19"/>
    </row>
    <row r="3144">
      <c r="A3144" s="9"/>
      <c r="B3144" s="15"/>
      <c r="C3144" s="9">
        <f>IFERROR(__xludf.DUMMYFUNCTION("""COMPUTED_VALUE"""),44763.8575379629)</f>
        <v>44763.85754</v>
      </c>
      <c r="D3144" s="15">
        <f>IFERROR(__xludf.DUMMYFUNCTION("""COMPUTED_VALUE"""),1.004)</f>
        <v>1.004</v>
      </c>
      <c r="E3144" s="16">
        <f>IFERROR(__xludf.DUMMYFUNCTION("""COMPUTED_VALUE"""),69.0)</f>
        <v>69</v>
      </c>
      <c r="F3144" s="19" t="str">
        <f>IFERROR(__xludf.DUMMYFUNCTION("""COMPUTED_VALUE"""),"BLACK")</f>
        <v>BLACK</v>
      </c>
      <c r="G3144" s="20" t="str">
        <f>IFERROR(__xludf.DUMMYFUNCTION("""COMPUTED_VALUE"""),"Uncle Sams Cider (5/13/2022)")</f>
        <v>Uncle Sams Cider (5/13/2022)</v>
      </c>
      <c r="H3144" s="19"/>
    </row>
    <row r="3145">
      <c r="A3145" s="9"/>
      <c r="B3145" s="15"/>
      <c r="C3145" s="9">
        <f>IFERROR(__xludf.DUMMYFUNCTION("""COMPUTED_VALUE"""),44763.8470948611)</f>
        <v>44763.84709</v>
      </c>
      <c r="D3145" s="15">
        <f>IFERROR(__xludf.DUMMYFUNCTION("""COMPUTED_VALUE"""),1.004)</f>
        <v>1.004</v>
      </c>
      <c r="E3145" s="16">
        <f>IFERROR(__xludf.DUMMYFUNCTION("""COMPUTED_VALUE"""),69.0)</f>
        <v>69</v>
      </c>
      <c r="F3145" s="19" t="str">
        <f>IFERROR(__xludf.DUMMYFUNCTION("""COMPUTED_VALUE"""),"BLACK")</f>
        <v>BLACK</v>
      </c>
      <c r="G3145" s="20" t="str">
        <f>IFERROR(__xludf.DUMMYFUNCTION("""COMPUTED_VALUE"""),"Uncle Sams Cider (5/13/2022)")</f>
        <v>Uncle Sams Cider (5/13/2022)</v>
      </c>
      <c r="H3145" s="19"/>
    </row>
    <row r="3146">
      <c r="A3146" s="9"/>
      <c r="B3146" s="15"/>
      <c r="C3146" s="9">
        <f>IFERROR(__xludf.DUMMYFUNCTION("""COMPUTED_VALUE"""),44763.8366734838)</f>
        <v>44763.83667</v>
      </c>
      <c r="D3146" s="15">
        <f>IFERROR(__xludf.DUMMYFUNCTION("""COMPUTED_VALUE"""),1.004)</f>
        <v>1.004</v>
      </c>
      <c r="E3146" s="16">
        <f>IFERROR(__xludf.DUMMYFUNCTION("""COMPUTED_VALUE"""),69.0)</f>
        <v>69</v>
      </c>
      <c r="F3146" s="19" t="str">
        <f>IFERROR(__xludf.DUMMYFUNCTION("""COMPUTED_VALUE"""),"BLACK")</f>
        <v>BLACK</v>
      </c>
      <c r="G3146" s="20" t="str">
        <f>IFERROR(__xludf.DUMMYFUNCTION("""COMPUTED_VALUE"""),"Uncle Sams Cider (5/13/2022)")</f>
        <v>Uncle Sams Cider (5/13/2022)</v>
      </c>
      <c r="H3146" s="19"/>
    </row>
    <row r="3147">
      <c r="A3147" s="9"/>
      <c r="B3147" s="15"/>
      <c r="C3147" s="9">
        <f>IFERROR(__xludf.DUMMYFUNCTION("""COMPUTED_VALUE"""),44763.8262535416)</f>
        <v>44763.82625</v>
      </c>
      <c r="D3147" s="15">
        <f>IFERROR(__xludf.DUMMYFUNCTION("""COMPUTED_VALUE"""),1.004)</f>
        <v>1.004</v>
      </c>
      <c r="E3147" s="16">
        <f>IFERROR(__xludf.DUMMYFUNCTION("""COMPUTED_VALUE"""),69.0)</f>
        <v>69</v>
      </c>
      <c r="F3147" s="19" t="str">
        <f>IFERROR(__xludf.DUMMYFUNCTION("""COMPUTED_VALUE"""),"BLACK")</f>
        <v>BLACK</v>
      </c>
      <c r="G3147" s="20" t="str">
        <f>IFERROR(__xludf.DUMMYFUNCTION("""COMPUTED_VALUE"""),"Uncle Sams Cider (5/13/2022)")</f>
        <v>Uncle Sams Cider (5/13/2022)</v>
      </c>
      <c r="H3147" s="19"/>
    </row>
    <row r="3148">
      <c r="A3148" s="9"/>
      <c r="B3148" s="15"/>
      <c r="C3148" s="9">
        <f>IFERROR(__xludf.DUMMYFUNCTION("""COMPUTED_VALUE"""),44763.8158311805)</f>
        <v>44763.81583</v>
      </c>
      <c r="D3148" s="15">
        <f>IFERROR(__xludf.DUMMYFUNCTION("""COMPUTED_VALUE"""),1.004)</f>
        <v>1.004</v>
      </c>
      <c r="E3148" s="16">
        <f>IFERROR(__xludf.DUMMYFUNCTION("""COMPUTED_VALUE"""),69.0)</f>
        <v>69</v>
      </c>
      <c r="F3148" s="19" t="str">
        <f>IFERROR(__xludf.DUMMYFUNCTION("""COMPUTED_VALUE"""),"BLACK")</f>
        <v>BLACK</v>
      </c>
      <c r="G3148" s="20" t="str">
        <f>IFERROR(__xludf.DUMMYFUNCTION("""COMPUTED_VALUE"""),"Uncle Sams Cider (5/13/2022)")</f>
        <v>Uncle Sams Cider (5/13/2022)</v>
      </c>
      <c r="H3148" s="19"/>
    </row>
    <row r="3149">
      <c r="A3149" s="9"/>
      <c r="B3149" s="15"/>
      <c r="C3149" s="9">
        <f>IFERROR(__xludf.DUMMYFUNCTION("""COMPUTED_VALUE"""),44763.8054095717)</f>
        <v>44763.80541</v>
      </c>
      <c r="D3149" s="15">
        <f>IFERROR(__xludf.DUMMYFUNCTION("""COMPUTED_VALUE"""),1.004)</f>
        <v>1.004</v>
      </c>
      <c r="E3149" s="16">
        <f>IFERROR(__xludf.DUMMYFUNCTION("""COMPUTED_VALUE"""),69.0)</f>
        <v>69</v>
      </c>
      <c r="F3149" s="19" t="str">
        <f>IFERROR(__xludf.DUMMYFUNCTION("""COMPUTED_VALUE"""),"BLACK")</f>
        <v>BLACK</v>
      </c>
      <c r="G3149" s="20" t="str">
        <f>IFERROR(__xludf.DUMMYFUNCTION("""COMPUTED_VALUE"""),"Uncle Sams Cider (5/13/2022)")</f>
        <v>Uncle Sams Cider (5/13/2022)</v>
      </c>
      <c r="H3149" s="19"/>
    </row>
    <row r="3150">
      <c r="A3150" s="9"/>
      <c r="B3150" s="15"/>
      <c r="C3150" s="9">
        <f>IFERROR(__xludf.DUMMYFUNCTION("""COMPUTED_VALUE"""),44763.7949882175)</f>
        <v>44763.79499</v>
      </c>
      <c r="D3150" s="15">
        <f>IFERROR(__xludf.DUMMYFUNCTION("""COMPUTED_VALUE"""),1.004)</f>
        <v>1.004</v>
      </c>
      <c r="E3150" s="16">
        <f>IFERROR(__xludf.DUMMYFUNCTION("""COMPUTED_VALUE"""),69.0)</f>
        <v>69</v>
      </c>
      <c r="F3150" s="19" t="str">
        <f>IFERROR(__xludf.DUMMYFUNCTION("""COMPUTED_VALUE"""),"BLACK")</f>
        <v>BLACK</v>
      </c>
      <c r="G3150" s="20" t="str">
        <f>IFERROR(__xludf.DUMMYFUNCTION("""COMPUTED_VALUE"""),"Uncle Sams Cider (5/13/2022)")</f>
        <v>Uncle Sams Cider (5/13/2022)</v>
      </c>
      <c r="H3150" s="19"/>
    </row>
    <row r="3151">
      <c r="A3151" s="9"/>
      <c r="B3151" s="15"/>
      <c r="C3151" s="9">
        <f>IFERROR(__xludf.DUMMYFUNCTION("""COMPUTED_VALUE"""),44763.7845660185)</f>
        <v>44763.78457</v>
      </c>
      <c r="D3151" s="15">
        <f>IFERROR(__xludf.DUMMYFUNCTION("""COMPUTED_VALUE"""),1.004)</f>
        <v>1.004</v>
      </c>
      <c r="E3151" s="16">
        <f>IFERROR(__xludf.DUMMYFUNCTION("""COMPUTED_VALUE"""),69.0)</f>
        <v>69</v>
      </c>
      <c r="F3151" s="19" t="str">
        <f>IFERROR(__xludf.DUMMYFUNCTION("""COMPUTED_VALUE"""),"BLACK")</f>
        <v>BLACK</v>
      </c>
      <c r="G3151" s="20" t="str">
        <f>IFERROR(__xludf.DUMMYFUNCTION("""COMPUTED_VALUE"""),"Uncle Sams Cider (5/13/2022)")</f>
        <v>Uncle Sams Cider (5/13/2022)</v>
      </c>
      <c r="H3151" s="19"/>
    </row>
    <row r="3152">
      <c r="A3152" s="9"/>
      <c r="B3152" s="15"/>
      <c r="C3152" s="9">
        <f>IFERROR(__xludf.DUMMYFUNCTION("""COMPUTED_VALUE"""),44763.774145405)</f>
        <v>44763.77415</v>
      </c>
      <c r="D3152" s="15">
        <f>IFERROR(__xludf.DUMMYFUNCTION("""COMPUTED_VALUE"""),1.004)</f>
        <v>1.004</v>
      </c>
      <c r="E3152" s="16">
        <f>IFERROR(__xludf.DUMMYFUNCTION("""COMPUTED_VALUE"""),69.0)</f>
        <v>69</v>
      </c>
      <c r="F3152" s="19" t="str">
        <f>IFERROR(__xludf.DUMMYFUNCTION("""COMPUTED_VALUE"""),"BLACK")</f>
        <v>BLACK</v>
      </c>
      <c r="G3152" s="20" t="str">
        <f>IFERROR(__xludf.DUMMYFUNCTION("""COMPUTED_VALUE"""),"Uncle Sams Cider (5/13/2022)")</f>
        <v>Uncle Sams Cider (5/13/2022)</v>
      </c>
      <c r="H3152" s="19"/>
    </row>
    <row r="3153">
      <c r="A3153" s="9"/>
      <c r="B3153" s="15"/>
      <c r="C3153" s="9">
        <f>IFERROR(__xludf.DUMMYFUNCTION("""COMPUTED_VALUE"""),44763.7637242708)</f>
        <v>44763.76372</v>
      </c>
      <c r="D3153" s="15">
        <f>IFERROR(__xludf.DUMMYFUNCTION("""COMPUTED_VALUE"""),1.004)</f>
        <v>1.004</v>
      </c>
      <c r="E3153" s="16">
        <f>IFERROR(__xludf.DUMMYFUNCTION("""COMPUTED_VALUE"""),69.0)</f>
        <v>69</v>
      </c>
      <c r="F3153" s="19" t="str">
        <f>IFERROR(__xludf.DUMMYFUNCTION("""COMPUTED_VALUE"""),"BLACK")</f>
        <v>BLACK</v>
      </c>
      <c r="G3153" s="20" t="str">
        <f>IFERROR(__xludf.DUMMYFUNCTION("""COMPUTED_VALUE"""),"Uncle Sams Cider (5/13/2022)")</f>
        <v>Uncle Sams Cider (5/13/2022)</v>
      </c>
      <c r="H3153" s="19"/>
    </row>
    <row r="3154">
      <c r="A3154" s="9"/>
      <c r="B3154" s="15"/>
      <c r="C3154" s="9">
        <f>IFERROR(__xludf.DUMMYFUNCTION("""COMPUTED_VALUE"""),44763.7533016203)</f>
        <v>44763.7533</v>
      </c>
      <c r="D3154" s="15">
        <f>IFERROR(__xludf.DUMMYFUNCTION("""COMPUTED_VALUE"""),1.004)</f>
        <v>1.004</v>
      </c>
      <c r="E3154" s="16">
        <f>IFERROR(__xludf.DUMMYFUNCTION("""COMPUTED_VALUE"""),69.0)</f>
        <v>69</v>
      </c>
      <c r="F3154" s="19" t="str">
        <f>IFERROR(__xludf.DUMMYFUNCTION("""COMPUTED_VALUE"""),"BLACK")</f>
        <v>BLACK</v>
      </c>
      <c r="G3154" s="20" t="str">
        <f>IFERROR(__xludf.DUMMYFUNCTION("""COMPUTED_VALUE"""),"Uncle Sams Cider (5/13/2022)")</f>
        <v>Uncle Sams Cider (5/13/2022)</v>
      </c>
      <c r="H3154" s="19"/>
    </row>
    <row r="3155">
      <c r="A3155" s="9"/>
      <c r="B3155" s="15"/>
      <c r="C3155" s="9">
        <f>IFERROR(__xludf.DUMMYFUNCTION("""COMPUTED_VALUE"""),44763.7428807986)</f>
        <v>44763.74288</v>
      </c>
      <c r="D3155" s="15">
        <f>IFERROR(__xludf.DUMMYFUNCTION("""COMPUTED_VALUE"""),1.004)</f>
        <v>1.004</v>
      </c>
      <c r="E3155" s="16">
        <f>IFERROR(__xludf.DUMMYFUNCTION("""COMPUTED_VALUE"""),69.0)</f>
        <v>69</v>
      </c>
      <c r="F3155" s="19" t="str">
        <f>IFERROR(__xludf.DUMMYFUNCTION("""COMPUTED_VALUE"""),"BLACK")</f>
        <v>BLACK</v>
      </c>
      <c r="G3155" s="20" t="str">
        <f>IFERROR(__xludf.DUMMYFUNCTION("""COMPUTED_VALUE"""),"Uncle Sams Cider (5/13/2022)")</f>
        <v>Uncle Sams Cider (5/13/2022)</v>
      </c>
      <c r="H3155" s="19"/>
    </row>
    <row r="3156">
      <c r="A3156" s="9"/>
      <c r="B3156" s="15"/>
      <c r="C3156" s="9">
        <f>IFERROR(__xludf.DUMMYFUNCTION("""COMPUTED_VALUE"""),44763.7324597222)</f>
        <v>44763.73246</v>
      </c>
      <c r="D3156" s="15">
        <f>IFERROR(__xludf.DUMMYFUNCTION("""COMPUTED_VALUE"""),1.004)</f>
        <v>1.004</v>
      </c>
      <c r="E3156" s="16">
        <f>IFERROR(__xludf.DUMMYFUNCTION("""COMPUTED_VALUE"""),69.0)</f>
        <v>69</v>
      </c>
      <c r="F3156" s="19" t="str">
        <f>IFERROR(__xludf.DUMMYFUNCTION("""COMPUTED_VALUE"""),"BLACK")</f>
        <v>BLACK</v>
      </c>
      <c r="G3156" s="20" t="str">
        <f>IFERROR(__xludf.DUMMYFUNCTION("""COMPUTED_VALUE"""),"Uncle Sams Cider (5/13/2022)")</f>
        <v>Uncle Sams Cider (5/13/2022)</v>
      </c>
      <c r="H3156" s="19"/>
    </row>
    <row r="3157">
      <c r="A3157" s="9"/>
      <c r="B3157" s="15"/>
      <c r="C3157" s="9">
        <f>IFERROR(__xludf.DUMMYFUNCTION("""COMPUTED_VALUE"""),44763.7220371759)</f>
        <v>44763.72204</v>
      </c>
      <c r="D3157" s="15">
        <f>IFERROR(__xludf.DUMMYFUNCTION("""COMPUTED_VALUE"""),1.004)</f>
        <v>1.004</v>
      </c>
      <c r="E3157" s="16">
        <f>IFERROR(__xludf.DUMMYFUNCTION("""COMPUTED_VALUE"""),69.0)</f>
        <v>69</v>
      </c>
      <c r="F3157" s="19" t="str">
        <f>IFERROR(__xludf.DUMMYFUNCTION("""COMPUTED_VALUE"""),"BLACK")</f>
        <v>BLACK</v>
      </c>
      <c r="G3157" s="20" t="str">
        <f>IFERROR(__xludf.DUMMYFUNCTION("""COMPUTED_VALUE"""),"Uncle Sams Cider (5/13/2022)")</f>
        <v>Uncle Sams Cider (5/13/2022)</v>
      </c>
      <c r="H3157" s="19"/>
    </row>
    <row r="3158">
      <c r="A3158" s="9"/>
      <c r="B3158" s="15"/>
      <c r="C3158" s="9">
        <f>IFERROR(__xludf.DUMMYFUNCTION("""COMPUTED_VALUE"""),44763.7116171064)</f>
        <v>44763.71162</v>
      </c>
      <c r="D3158" s="15">
        <f>IFERROR(__xludf.DUMMYFUNCTION("""COMPUTED_VALUE"""),1.004)</f>
        <v>1.004</v>
      </c>
      <c r="E3158" s="16">
        <f>IFERROR(__xludf.DUMMYFUNCTION("""COMPUTED_VALUE"""),69.0)</f>
        <v>69</v>
      </c>
      <c r="F3158" s="19" t="str">
        <f>IFERROR(__xludf.DUMMYFUNCTION("""COMPUTED_VALUE"""),"BLACK")</f>
        <v>BLACK</v>
      </c>
      <c r="G3158" s="20" t="str">
        <f>IFERROR(__xludf.DUMMYFUNCTION("""COMPUTED_VALUE"""),"Uncle Sams Cider (5/13/2022)")</f>
        <v>Uncle Sams Cider (5/13/2022)</v>
      </c>
      <c r="H3158" s="19"/>
    </row>
    <row r="3159">
      <c r="A3159" s="9"/>
      <c r="B3159" s="15"/>
      <c r="C3159" s="9">
        <f>IFERROR(__xludf.DUMMYFUNCTION("""COMPUTED_VALUE"""),44763.7011967361)</f>
        <v>44763.7012</v>
      </c>
      <c r="D3159" s="15">
        <f>IFERROR(__xludf.DUMMYFUNCTION("""COMPUTED_VALUE"""),1.004)</f>
        <v>1.004</v>
      </c>
      <c r="E3159" s="16">
        <f>IFERROR(__xludf.DUMMYFUNCTION("""COMPUTED_VALUE"""),69.0)</f>
        <v>69</v>
      </c>
      <c r="F3159" s="19" t="str">
        <f>IFERROR(__xludf.DUMMYFUNCTION("""COMPUTED_VALUE"""),"BLACK")</f>
        <v>BLACK</v>
      </c>
      <c r="G3159" s="20" t="str">
        <f>IFERROR(__xludf.DUMMYFUNCTION("""COMPUTED_VALUE"""),"Uncle Sams Cider (5/13/2022)")</f>
        <v>Uncle Sams Cider (5/13/2022)</v>
      </c>
      <c r="H3159" s="19"/>
    </row>
    <row r="3160">
      <c r="A3160" s="9"/>
      <c r="B3160" s="15"/>
      <c r="C3160" s="9">
        <f>IFERROR(__xludf.DUMMYFUNCTION("""COMPUTED_VALUE"""),44763.6907764467)</f>
        <v>44763.69078</v>
      </c>
      <c r="D3160" s="15">
        <f>IFERROR(__xludf.DUMMYFUNCTION("""COMPUTED_VALUE"""),1.004)</f>
        <v>1.004</v>
      </c>
      <c r="E3160" s="16">
        <f>IFERROR(__xludf.DUMMYFUNCTION("""COMPUTED_VALUE"""),69.0)</f>
        <v>69</v>
      </c>
      <c r="F3160" s="19" t="str">
        <f>IFERROR(__xludf.DUMMYFUNCTION("""COMPUTED_VALUE"""),"BLACK")</f>
        <v>BLACK</v>
      </c>
      <c r="G3160" s="20" t="str">
        <f>IFERROR(__xludf.DUMMYFUNCTION("""COMPUTED_VALUE"""),"Uncle Sams Cider (5/13/2022)")</f>
        <v>Uncle Sams Cider (5/13/2022)</v>
      </c>
      <c r="H3160" s="19"/>
    </row>
    <row r="3161">
      <c r="A3161" s="9"/>
      <c r="B3161" s="15"/>
      <c r="C3161" s="9">
        <f>IFERROR(__xludf.DUMMYFUNCTION("""COMPUTED_VALUE"""),44763.680355162)</f>
        <v>44763.68036</v>
      </c>
      <c r="D3161" s="15">
        <f>IFERROR(__xludf.DUMMYFUNCTION("""COMPUTED_VALUE"""),1.004)</f>
        <v>1.004</v>
      </c>
      <c r="E3161" s="16">
        <f>IFERROR(__xludf.DUMMYFUNCTION("""COMPUTED_VALUE"""),69.0)</f>
        <v>69</v>
      </c>
      <c r="F3161" s="19" t="str">
        <f>IFERROR(__xludf.DUMMYFUNCTION("""COMPUTED_VALUE"""),"BLACK")</f>
        <v>BLACK</v>
      </c>
      <c r="G3161" s="20" t="str">
        <f>IFERROR(__xludf.DUMMYFUNCTION("""COMPUTED_VALUE"""),"Uncle Sams Cider (5/13/2022)")</f>
        <v>Uncle Sams Cider (5/13/2022)</v>
      </c>
      <c r="H3161" s="19"/>
    </row>
    <row r="3162">
      <c r="A3162" s="9"/>
      <c r="B3162" s="15"/>
      <c r="C3162" s="9">
        <f>IFERROR(__xludf.DUMMYFUNCTION("""COMPUTED_VALUE"""),44763.6699223842)</f>
        <v>44763.66992</v>
      </c>
      <c r="D3162" s="15">
        <f>IFERROR(__xludf.DUMMYFUNCTION("""COMPUTED_VALUE"""),1.004)</f>
        <v>1.004</v>
      </c>
      <c r="E3162" s="16">
        <f>IFERROR(__xludf.DUMMYFUNCTION("""COMPUTED_VALUE"""),69.0)</f>
        <v>69</v>
      </c>
      <c r="F3162" s="19" t="str">
        <f>IFERROR(__xludf.DUMMYFUNCTION("""COMPUTED_VALUE"""),"BLACK")</f>
        <v>BLACK</v>
      </c>
      <c r="G3162" s="20" t="str">
        <f>IFERROR(__xludf.DUMMYFUNCTION("""COMPUTED_VALUE"""),"Uncle Sams Cider (5/13/2022)")</f>
        <v>Uncle Sams Cider (5/13/2022)</v>
      </c>
      <c r="H3162" s="19"/>
    </row>
    <row r="3163">
      <c r="A3163" s="9"/>
      <c r="B3163" s="15"/>
      <c r="C3163" s="9">
        <f>IFERROR(__xludf.DUMMYFUNCTION("""COMPUTED_VALUE"""),44763.6595025462)</f>
        <v>44763.6595</v>
      </c>
      <c r="D3163" s="15">
        <f>IFERROR(__xludf.DUMMYFUNCTION("""COMPUTED_VALUE"""),1.004)</f>
        <v>1.004</v>
      </c>
      <c r="E3163" s="16">
        <f>IFERROR(__xludf.DUMMYFUNCTION("""COMPUTED_VALUE"""),69.0)</f>
        <v>69</v>
      </c>
      <c r="F3163" s="19" t="str">
        <f>IFERROR(__xludf.DUMMYFUNCTION("""COMPUTED_VALUE"""),"BLACK")</f>
        <v>BLACK</v>
      </c>
      <c r="G3163" s="20" t="str">
        <f>IFERROR(__xludf.DUMMYFUNCTION("""COMPUTED_VALUE"""),"Uncle Sams Cider (5/13/2022)")</f>
        <v>Uncle Sams Cider (5/13/2022)</v>
      </c>
      <c r="H3163" s="19"/>
    </row>
    <row r="3164">
      <c r="A3164" s="9"/>
      <c r="B3164" s="15"/>
      <c r="C3164" s="9">
        <f>IFERROR(__xludf.DUMMYFUNCTION("""COMPUTED_VALUE"""),44763.6490707523)</f>
        <v>44763.64907</v>
      </c>
      <c r="D3164" s="15">
        <f>IFERROR(__xludf.DUMMYFUNCTION("""COMPUTED_VALUE"""),1.004)</f>
        <v>1.004</v>
      </c>
      <c r="E3164" s="16">
        <f>IFERROR(__xludf.DUMMYFUNCTION("""COMPUTED_VALUE"""),69.0)</f>
        <v>69</v>
      </c>
      <c r="F3164" s="19" t="str">
        <f>IFERROR(__xludf.DUMMYFUNCTION("""COMPUTED_VALUE"""),"BLACK")</f>
        <v>BLACK</v>
      </c>
      <c r="G3164" s="20" t="str">
        <f>IFERROR(__xludf.DUMMYFUNCTION("""COMPUTED_VALUE"""),"Uncle Sams Cider (5/13/2022)")</f>
        <v>Uncle Sams Cider (5/13/2022)</v>
      </c>
      <c r="H3164" s="19"/>
    </row>
    <row r="3165">
      <c r="A3165" s="9"/>
      <c r="B3165" s="15"/>
      <c r="C3165" s="9">
        <f>IFERROR(__xludf.DUMMYFUNCTION("""COMPUTED_VALUE"""),44763.6386503472)</f>
        <v>44763.63865</v>
      </c>
      <c r="D3165" s="15">
        <f>IFERROR(__xludf.DUMMYFUNCTION("""COMPUTED_VALUE"""),1.004)</f>
        <v>1.004</v>
      </c>
      <c r="E3165" s="16">
        <f>IFERROR(__xludf.DUMMYFUNCTION("""COMPUTED_VALUE"""),69.0)</f>
        <v>69</v>
      </c>
      <c r="F3165" s="19" t="str">
        <f>IFERROR(__xludf.DUMMYFUNCTION("""COMPUTED_VALUE"""),"BLACK")</f>
        <v>BLACK</v>
      </c>
      <c r="G3165" s="20" t="str">
        <f>IFERROR(__xludf.DUMMYFUNCTION("""COMPUTED_VALUE"""),"Uncle Sams Cider (5/13/2022)")</f>
        <v>Uncle Sams Cider (5/13/2022)</v>
      </c>
      <c r="H3165" s="19"/>
    </row>
    <row r="3166">
      <c r="A3166" s="9"/>
      <c r="B3166" s="15"/>
      <c r="C3166" s="9">
        <f>IFERROR(__xludf.DUMMYFUNCTION("""COMPUTED_VALUE"""),44763.628230324)</f>
        <v>44763.62823</v>
      </c>
      <c r="D3166" s="15">
        <f>IFERROR(__xludf.DUMMYFUNCTION("""COMPUTED_VALUE"""),1.004)</f>
        <v>1.004</v>
      </c>
      <c r="E3166" s="16">
        <f>IFERROR(__xludf.DUMMYFUNCTION("""COMPUTED_VALUE"""),69.0)</f>
        <v>69</v>
      </c>
      <c r="F3166" s="19" t="str">
        <f>IFERROR(__xludf.DUMMYFUNCTION("""COMPUTED_VALUE"""),"BLACK")</f>
        <v>BLACK</v>
      </c>
      <c r="G3166" s="20" t="str">
        <f>IFERROR(__xludf.DUMMYFUNCTION("""COMPUTED_VALUE"""),"Uncle Sams Cider (5/13/2022)")</f>
        <v>Uncle Sams Cider (5/13/2022)</v>
      </c>
      <c r="H3166" s="19"/>
    </row>
    <row r="3167">
      <c r="A3167" s="9"/>
      <c r="B3167" s="15"/>
      <c r="C3167" s="9">
        <f>IFERROR(__xludf.DUMMYFUNCTION("""COMPUTED_VALUE"""),44763.6178094907)</f>
        <v>44763.61781</v>
      </c>
      <c r="D3167" s="15">
        <f>IFERROR(__xludf.DUMMYFUNCTION("""COMPUTED_VALUE"""),1.004)</f>
        <v>1.004</v>
      </c>
      <c r="E3167" s="16">
        <f>IFERROR(__xludf.DUMMYFUNCTION("""COMPUTED_VALUE"""),69.0)</f>
        <v>69</v>
      </c>
      <c r="F3167" s="19" t="str">
        <f>IFERROR(__xludf.DUMMYFUNCTION("""COMPUTED_VALUE"""),"BLACK")</f>
        <v>BLACK</v>
      </c>
      <c r="G3167" s="20" t="str">
        <f>IFERROR(__xludf.DUMMYFUNCTION("""COMPUTED_VALUE"""),"Uncle Sams Cider (5/13/2022)")</f>
        <v>Uncle Sams Cider (5/13/2022)</v>
      </c>
      <c r="H3167" s="19"/>
    </row>
    <row r="3168">
      <c r="A3168" s="9"/>
      <c r="B3168" s="15"/>
      <c r="C3168" s="9">
        <f>IFERROR(__xludf.DUMMYFUNCTION("""COMPUTED_VALUE"""),44763.6073874074)</f>
        <v>44763.60739</v>
      </c>
      <c r="D3168" s="15">
        <f>IFERROR(__xludf.DUMMYFUNCTION("""COMPUTED_VALUE"""),1.004)</f>
        <v>1.004</v>
      </c>
      <c r="E3168" s="16">
        <f>IFERROR(__xludf.DUMMYFUNCTION("""COMPUTED_VALUE"""),69.0)</f>
        <v>69</v>
      </c>
      <c r="F3168" s="19" t="str">
        <f>IFERROR(__xludf.DUMMYFUNCTION("""COMPUTED_VALUE"""),"BLACK")</f>
        <v>BLACK</v>
      </c>
      <c r="G3168" s="20" t="str">
        <f>IFERROR(__xludf.DUMMYFUNCTION("""COMPUTED_VALUE"""),"Uncle Sams Cider (5/13/2022)")</f>
        <v>Uncle Sams Cider (5/13/2022)</v>
      </c>
      <c r="H3168" s="19"/>
    </row>
    <row r="3169">
      <c r="A3169" s="9"/>
      <c r="B3169" s="15"/>
      <c r="C3169" s="9">
        <f>IFERROR(__xludf.DUMMYFUNCTION("""COMPUTED_VALUE"""),44763.596965162)</f>
        <v>44763.59697</v>
      </c>
      <c r="D3169" s="15">
        <f>IFERROR(__xludf.DUMMYFUNCTION("""COMPUTED_VALUE"""),1.004)</f>
        <v>1.004</v>
      </c>
      <c r="E3169" s="16">
        <f>IFERROR(__xludf.DUMMYFUNCTION("""COMPUTED_VALUE"""),69.0)</f>
        <v>69</v>
      </c>
      <c r="F3169" s="19" t="str">
        <f>IFERROR(__xludf.DUMMYFUNCTION("""COMPUTED_VALUE"""),"BLACK")</f>
        <v>BLACK</v>
      </c>
      <c r="G3169" s="20" t="str">
        <f>IFERROR(__xludf.DUMMYFUNCTION("""COMPUTED_VALUE"""),"Uncle Sams Cider (5/13/2022)")</f>
        <v>Uncle Sams Cider (5/13/2022)</v>
      </c>
      <c r="H3169" s="19"/>
    </row>
    <row r="3170">
      <c r="A3170" s="9"/>
      <c r="B3170" s="15"/>
      <c r="C3170" s="9">
        <f>IFERROR(__xludf.DUMMYFUNCTION("""COMPUTED_VALUE"""),44763.5865437847)</f>
        <v>44763.58654</v>
      </c>
      <c r="D3170" s="15">
        <f>IFERROR(__xludf.DUMMYFUNCTION("""COMPUTED_VALUE"""),1.004)</f>
        <v>1.004</v>
      </c>
      <c r="E3170" s="16">
        <f>IFERROR(__xludf.DUMMYFUNCTION("""COMPUTED_VALUE"""),69.0)</f>
        <v>69</v>
      </c>
      <c r="F3170" s="19" t="str">
        <f>IFERROR(__xludf.DUMMYFUNCTION("""COMPUTED_VALUE"""),"BLACK")</f>
        <v>BLACK</v>
      </c>
      <c r="G3170" s="20" t="str">
        <f>IFERROR(__xludf.DUMMYFUNCTION("""COMPUTED_VALUE"""),"Uncle Sams Cider (5/13/2022)")</f>
        <v>Uncle Sams Cider (5/13/2022)</v>
      </c>
      <c r="H3170" s="19"/>
    </row>
    <row r="3171">
      <c r="A3171" s="9"/>
      <c r="B3171" s="15"/>
      <c r="C3171" s="9">
        <f>IFERROR(__xludf.DUMMYFUNCTION("""COMPUTED_VALUE"""),44763.5761114004)</f>
        <v>44763.57611</v>
      </c>
      <c r="D3171" s="15">
        <f>IFERROR(__xludf.DUMMYFUNCTION("""COMPUTED_VALUE"""),1.004)</f>
        <v>1.004</v>
      </c>
      <c r="E3171" s="16">
        <f>IFERROR(__xludf.DUMMYFUNCTION("""COMPUTED_VALUE"""),69.0)</f>
        <v>69</v>
      </c>
      <c r="F3171" s="19" t="str">
        <f>IFERROR(__xludf.DUMMYFUNCTION("""COMPUTED_VALUE"""),"BLACK")</f>
        <v>BLACK</v>
      </c>
      <c r="G3171" s="20" t="str">
        <f>IFERROR(__xludf.DUMMYFUNCTION("""COMPUTED_VALUE"""),"Uncle Sams Cider (5/13/2022)")</f>
        <v>Uncle Sams Cider (5/13/2022)</v>
      </c>
      <c r="H3171" s="19"/>
    </row>
    <row r="3172">
      <c r="A3172" s="9"/>
      <c r="B3172" s="15"/>
      <c r="C3172" s="9">
        <f>IFERROR(__xludf.DUMMYFUNCTION("""COMPUTED_VALUE"""),44763.5656769328)</f>
        <v>44763.56568</v>
      </c>
      <c r="D3172" s="15">
        <f>IFERROR(__xludf.DUMMYFUNCTION("""COMPUTED_VALUE"""),1.004)</f>
        <v>1.004</v>
      </c>
      <c r="E3172" s="16">
        <f>IFERROR(__xludf.DUMMYFUNCTION("""COMPUTED_VALUE"""),69.0)</f>
        <v>69</v>
      </c>
      <c r="F3172" s="19" t="str">
        <f>IFERROR(__xludf.DUMMYFUNCTION("""COMPUTED_VALUE"""),"BLACK")</f>
        <v>BLACK</v>
      </c>
      <c r="G3172" s="20" t="str">
        <f>IFERROR(__xludf.DUMMYFUNCTION("""COMPUTED_VALUE"""),"Uncle Sams Cider (5/13/2022)")</f>
        <v>Uncle Sams Cider (5/13/2022)</v>
      </c>
      <c r="H3172" s="19"/>
    </row>
    <row r="3173">
      <c r="A3173" s="9"/>
      <c r="B3173" s="15"/>
      <c r="C3173" s="9">
        <f>IFERROR(__xludf.DUMMYFUNCTION("""COMPUTED_VALUE"""),44763.555255405)</f>
        <v>44763.55526</v>
      </c>
      <c r="D3173" s="15">
        <f>IFERROR(__xludf.DUMMYFUNCTION("""COMPUTED_VALUE"""),1.004)</f>
        <v>1.004</v>
      </c>
      <c r="E3173" s="16">
        <f>IFERROR(__xludf.DUMMYFUNCTION("""COMPUTED_VALUE"""),69.0)</f>
        <v>69</v>
      </c>
      <c r="F3173" s="19" t="str">
        <f>IFERROR(__xludf.DUMMYFUNCTION("""COMPUTED_VALUE"""),"BLACK")</f>
        <v>BLACK</v>
      </c>
      <c r="G3173" s="20" t="str">
        <f>IFERROR(__xludf.DUMMYFUNCTION("""COMPUTED_VALUE"""),"Uncle Sams Cider (5/13/2022)")</f>
        <v>Uncle Sams Cider (5/13/2022)</v>
      </c>
      <c r="H3173" s="19"/>
    </row>
    <row r="3174">
      <c r="A3174" s="9"/>
      <c r="B3174" s="15"/>
      <c r="C3174" s="9">
        <f>IFERROR(__xludf.DUMMYFUNCTION("""COMPUTED_VALUE"""),44763.5448329976)</f>
        <v>44763.54483</v>
      </c>
      <c r="D3174" s="15">
        <f>IFERROR(__xludf.DUMMYFUNCTION("""COMPUTED_VALUE"""),1.004)</f>
        <v>1.004</v>
      </c>
      <c r="E3174" s="16">
        <f>IFERROR(__xludf.DUMMYFUNCTION("""COMPUTED_VALUE"""),69.0)</f>
        <v>69</v>
      </c>
      <c r="F3174" s="19" t="str">
        <f>IFERROR(__xludf.DUMMYFUNCTION("""COMPUTED_VALUE"""),"BLACK")</f>
        <v>BLACK</v>
      </c>
      <c r="G3174" s="20" t="str">
        <f>IFERROR(__xludf.DUMMYFUNCTION("""COMPUTED_VALUE"""),"Uncle Sams Cider (5/13/2022)")</f>
        <v>Uncle Sams Cider (5/13/2022)</v>
      </c>
      <c r="H3174" s="19"/>
    </row>
    <row r="3175">
      <c r="A3175" s="9"/>
      <c r="B3175" s="15"/>
      <c r="C3175" s="9">
        <f>IFERROR(__xludf.DUMMYFUNCTION("""COMPUTED_VALUE"""),44763.5343993518)</f>
        <v>44763.5344</v>
      </c>
      <c r="D3175" s="15">
        <f>IFERROR(__xludf.DUMMYFUNCTION("""COMPUTED_VALUE"""),1.004)</f>
        <v>1.004</v>
      </c>
      <c r="E3175" s="16">
        <f>IFERROR(__xludf.DUMMYFUNCTION("""COMPUTED_VALUE"""),69.0)</f>
        <v>69</v>
      </c>
      <c r="F3175" s="19" t="str">
        <f>IFERROR(__xludf.DUMMYFUNCTION("""COMPUTED_VALUE"""),"BLACK")</f>
        <v>BLACK</v>
      </c>
      <c r="G3175" s="20" t="str">
        <f>IFERROR(__xludf.DUMMYFUNCTION("""COMPUTED_VALUE"""),"Uncle Sams Cider (5/13/2022)")</f>
        <v>Uncle Sams Cider (5/13/2022)</v>
      </c>
      <c r="H3175" s="19"/>
    </row>
    <row r="3176">
      <c r="A3176" s="9"/>
      <c r="B3176" s="15"/>
      <c r="C3176" s="9">
        <f>IFERROR(__xludf.DUMMYFUNCTION("""COMPUTED_VALUE"""),44763.5239798495)</f>
        <v>44763.52398</v>
      </c>
      <c r="D3176" s="15">
        <f>IFERROR(__xludf.DUMMYFUNCTION("""COMPUTED_VALUE"""),1.004)</f>
        <v>1.004</v>
      </c>
      <c r="E3176" s="16">
        <f>IFERROR(__xludf.DUMMYFUNCTION("""COMPUTED_VALUE"""),69.0)</f>
        <v>69</v>
      </c>
      <c r="F3176" s="19" t="str">
        <f>IFERROR(__xludf.DUMMYFUNCTION("""COMPUTED_VALUE"""),"BLACK")</f>
        <v>BLACK</v>
      </c>
      <c r="G3176" s="20" t="str">
        <f>IFERROR(__xludf.DUMMYFUNCTION("""COMPUTED_VALUE"""),"Uncle Sams Cider (5/13/2022)")</f>
        <v>Uncle Sams Cider (5/13/2022)</v>
      </c>
      <c r="H3176" s="19"/>
    </row>
    <row r="3177">
      <c r="A3177" s="9"/>
      <c r="B3177" s="15"/>
      <c r="C3177" s="9">
        <f>IFERROR(__xludf.DUMMYFUNCTION("""COMPUTED_VALUE"""),44763.513556956)</f>
        <v>44763.51356</v>
      </c>
      <c r="D3177" s="15">
        <f>IFERROR(__xludf.DUMMYFUNCTION("""COMPUTED_VALUE"""),1.004)</f>
        <v>1.004</v>
      </c>
      <c r="E3177" s="16">
        <f>IFERROR(__xludf.DUMMYFUNCTION("""COMPUTED_VALUE"""),69.0)</f>
        <v>69</v>
      </c>
      <c r="F3177" s="19" t="str">
        <f>IFERROR(__xludf.DUMMYFUNCTION("""COMPUTED_VALUE"""),"BLACK")</f>
        <v>BLACK</v>
      </c>
      <c r="G3177" s="20" t="str">
        <f>IFERROR(__xludf.DUMMYFUNCTION("""COMPUTED_VALUE"""),"Uncle Sams Cider (5/13/2022)")</f>
        <v>Uncle Sams Cider (5/13/2022)</v>
      </c>
      <c r="H3177" s="19"/>
    </row>
    <row r="3178">
      <c r="A3178" s="9"/>
      <c r="B3178" s="15"/>
      <c r="C3178" s="9">
        <f>IFERROR(__xludf.DUMMYFUNCTION("""COMPUTED_VALUE"""),44763.50311228)</f>
        <v>44763.50311</v>
      </c>
      <c r="D3178" s="15">
        <f>IFERROR(__xludf.DUMMYFUNCTION("""COMPUTED_VALUE"""),1.004)</f>
        <v>1.004</v>
      </c>
      <c r="E3178" s="16">
        <f>IFERROR(__xludf.DUMMYFUNCTION("""COMPUTED_VALUE"""),69.0)</f>
        <v>69</v>
      </c>
      <c r="F3178" s="19" t="str">
        <f>IFERROR(__xludf.DUMMYFUNCTION("""COMPUTED_VALUE"""),"BLACK")</f>
        <v>BLACK</v>
      </c>
      <c r="G3178" s="20" t="str">
        <f>IFERROR(__xludf.DUMMYFUNCTION("""COMPUTED_VALUE"""),"Uncle Sams Cider (5/13/2022)")</f>
        <v>Uncle Sams Cider (5/13/2022)</v>
      </c>
      <c r="H3178" s="19"/>
    </row>
    <row r="3179">
      <c r="A3179" s="9"/>
      <c r="B3179" s="15"/>
      <c r="C3179" s="9">
        <f>IFERROR(__xludf.DUMMYFUNCTION("""COMPUTED_VALUE"""),44763.4926686921)</f>
        <v>44763.49267</v>
      </c>
      <c r="D3179" s="15">
        <f>IFERROR(__xludf.DUMMYFUNCTION("""COMPUTED_VALUE"""),1.004)</f>
        <v>1.004</v>
      </c>
      <c r="E3179" s="16">
        <f>IFERROR(__xludf.DUMMYFUNCTION("""COMPUTED_VALUE"""),69.0)</f>
        <v>69</v>
      </c>
      <c r="F3179" s="19" t="str">
        <f>IFERROR(__xludf.DUMMYFUNCTION("""COMPUTED_VALUE"""),"BLACK")</f>
        <v>BLACK</v>
      </c>
      <c r="G3179" s="20" t="str">
        <f>IFERROR(__xludf.DUMMYFUNCTION("""COMPUTED_VALUE"""),"Uncle Sams Cider (5/13/2022)")</f>
        <v>Uncle Sams Cider (5/13/2022)</v>
      </c>
      <c r="H3179" s="19"/>
    </row>
    <row r="3180">
      <c r="A3180" s="9"/>
      <c r="B3180" s="15"/>
      <c r="C3180" s="9">
        <f>IFERROR(__xludf.DUMMYFUNCTION("""COMPUTED_VALUE"""),44763.4822489467)</f>
        <v>44763.48225</v>
      </c>
      <c r="D3180" s="15">
        <f>IFERROR(__xludf.DUMMYFUNCTION("""COMPUTED_VALUE"""),1.004)</f>
        <v>1.004</v>
      </c>
      <c r="E3180" s="16">
        <f>IFERROR(__xludf.DUMMYFUNCTION("""COMPUTED_VALUE"""),69.0)</f>
        <v>69</v>
      </c>
      <c r="F3180" s="19" t="str">
        <f>IFERROR(__xludf.DUMMYFUNCTION("""COMPUTED_VALUE"""),"BLACK")</f>
        <v>BLACK</v>
      </c>
      <c r="G3180" s="20" t="str">
        <f>IFERROR(__xludf.DUMMYFUNCTION("""COMPUTED_VALUE"""),"Uncle Sams Cider (5/13/2022)")</f>
        <v>Uncle Sams Cider (5/13/2022)</v>
      </c>
      <c r="H3180" s="19"/>
    </row>
    <row r="3181">
      <c r="A3181" s="9"/>
      <c r="B3181" s="15"/>
      <c r="C3181" s="9">
        <f>IFERROR(__xludf.DUMMYFUNCTION("""COMPUTED_VALUE"""),44763.4718161574)</f>
        <v>44763.47182</v>
      </c>
      <c r="D3181" s="15">
        <f>IFERROR(__xludf.DUMMYFUNCTION("""COMPUTED_VALUE"""),1.004)</f>
        <v>1.004</v>
      </c>
      <c r="E3181" s="16">
        <f>IFERROR(__xludf.DUMMYFUNCTION("""COMPUTED_VALUE"""),69.0)</f>
        <v>69</v>
      </c>
      <c r="F3181" s="19" t="str">
        <f>IFERROR(__xludf.DUMMYFUNCTION("""COMPUTED_VALUE"""),"BLACK")</f>
        <v>BLACK</v>
      </c>
      <c r="G3181" s="20" t="str">
        <f>IFERROR(__xludf.DUMMYFUNCTION("""COMPUTED_VALUE"""),"Uncle Sams Cider (5/13/2022)")</f>
        <v>Uncle Sams Cider (5/13/2022)</v>
      </c>
      <c r="H3181" s="19"/>
    </row>
    <row r="3182">
      <c r="A3182" s="9"/>
      <c r="B3182" s="15"/>
      <c r="C3182" s="9">
        <f>IFERROR(__xludf.DUMMYFUNCTION("""COMPUTED_VALUE"""),44763.4613937615)</f>
        <v>44763.46139</v>
      </c>
      <c r="D3182" s="15">
        <f>IFERROR(__xludf.DUMMYFUNCTION("""COMPUTED_VALUE"""),1.004)</f>
        <v>1.004</v>
      </c>
      <c r="E3182" s="16">
        <f>IFERROR(__xludf.DUMMYFUNCTION("""COMPUTED_VALUE"""),69.0)</f>
        <v>69</v>
      </c>
      <c r="F3182" s="19" t="str">
        <f>IFERROR(__xludf.DUMMYFUNCTION("""COMPUTED_VALUE"""),"BLACK")</f>
        <v>BLACK</v>
      </c>
      <c r="G3182" s="20" t="str">
        <f>IFERROR(__xludf.DUMMYFUNCTION("""COMPUTED_VALUE"""),"Uncle Sams Cider (5/13/2022)")</f>
        <v>Uncle Sams Cider (5/13/2022)</v>
      </c>
      <c r="H3182" s="19"/>
    </row>
    <row r="3183">
      <c r="A3183" s="9"/>
      <c r="B3183" s="15"/>
      <c r="C3183" s="9">
        <f>IFERROR(__xludf.DUMMYFUNCTION("""COMPUTED_VALUE"""),44763.4509707176)</f>
        <v>44763.45097</v>
      </c>
      <c r="D3183" s="15">
        <f>IFERROR(__xludf.DUMMYFUNCTION("""COMPUTED_VALUE"""),1.004)</f>
        <v>1.004</v>
      </c>
      <c r="E3183" s="16">
        <f>IFERROR(__xludf.DUMMYFUNCTION("""COMPUTED_VALUE"""),68.0)</f>
        <v>68</v>
      </c>
      <c r="F3183" s="19" t="str">
        <f>IFERROR(__xludf.DUMMYFUNCTION("""COMPUTED_VALUE"""),"BLACK")</f>
        <v>BLACK</v>
      </c>
      <c r="G3183" s="20" t="str">
        <f>IFERROR(__xludf.DUMMYFUNCTION("""COMPUTED_VALUE"""),"Uncle Sams Cider (5/13/2022)")</f>
        <v>Uncle Sams Cider (5/13/2022)</v>
      </c>
      <c r="H3183" s="19"/>
    </row>
    <row r="3184">
      <c r="A3184" s="9"/>
      <c r="B3184" s="15"/>
      <c r="C3184" s="9">
        <f>IFERROR(__xludf.DUMMYFUNCTION("""COMPUTED_VALUE"""),44763.4405501967)</f>
        <v>44763.44055</v>
      </c>
      <c r="D3184" s="15">
        <f>IFERROR(__xludf.DUMMYFUNCTION("""COMPUTED_VALUE"""),1.004)</f>
        <v>1.004</v>
      </c>
      <c r="E3184" s="16">
        <f>IFERROR(__xludf.DUMMYFUNCTION("""COMPUTED_VALUE"""),69.0)</f>
        <v>69</v>
      </c>
      <c r="F3184" s="19" t="str">
        <f>IFERROR(__xludf.DUMMYFUNCTION("""COMPUTED_VALUE"""),"BLACK")</f>
        <v>BLACK</v>
      </c>
      <c r="G3184" s="20" t="str">
        <f>IFERROR(__xludf.DUMMYFUNCTION("""COMPUTED_VALUE"""),"Uncle Sams Cider (5/13/2022)")</f>
        <v>Uncle Sams Cider (5/13/2022)</v>
      </c>
      <c r="H3184" s="19"/>
    </row>
    <row r="3185">
      <c r="A3185" s="9"/>
      <c r="B3185" s="15"/>
      <c r="C3185" s="9">
        <f>IFERROR(__xludf.DUMMYFUNCTION("""COMPUTED_VALUE"""),44763.4301320833)</f>
        <v>44763.43013</v>
      </c>
      <c r="D3185" s="15">
        <f>IFERROR(__xludf.DUMMYFUNCTION("""COMPUTED_VALUE"""),1.004)</f>
        <v>1.004</v>
      </c>
      <c r="E3185" s="16">
        <f>IFERROR(__xludf.DUMMYFUNCTION("""COMPUTED_VALUE"""),69.0)</f>
        <v>69</v>
      </c>
      <c r="F3185" s="19" t="str">
        <f>IFERROR(__xludf.DUMMYFUNCTION("""COMPUTED_VALUE"""),"BLACK")</f>
        <v>BLACK</v>
      </c>
      <c r="G3185" s="20" t="str">
        <f>IFERROR(__xludf.DUMMYFUNCTION("""COMPUTED_VALUE"""),"Uncle Sams Cider (5/13/2022)")</f>
        <v>Uncle Sams Cider (5/13/2022)</v>
      </c>
      <c r="H3185" s="19"/>
    </row>
    <row r="3186">
      <c r="A3186" s="9"/>
      <c r="B3186" s="15"/>
      <c r="C3186" s="9">
        <f>IFERROR(__xludf.DUMMYFUNCTION("""COMPUTED_VALUE"""),44763.4196984722)</f>
        <v>44763.4197</v>
      </c>
      <c r="D3186" s="15">
        <f>IFERROR(__xludf.DUMMYFUNCTION("""COMPUTED_VALUE"""),1.004)</f>
        <v>1.004</v>
      </c>
      <c r="E3186" s="16">
        <f>IFERROR(__xludf.DUMMYFUNCTION("""COMPUTED_VALUE"""),68.0)</f>
        <v>68</v>
      </c>
      <c r="F3186" s="19" t="str">
        <f>IFERROR(__xludf.DUMMYFUNCTION("""COMPUTED_VALUE"""),"BLACK")</f>
        <v>BLACK</v>
      </c>
      <c r="G3186" s="20" t="str">
        <f>IFERROR(__xludf.DUMMYFUNCTION("""COMPUTED_VALUE"""),"Uncle Sams Cider (5/13/2022)")</f>
        <v>Uncle Sams Cider (5/13/2022)</v>
      </c>
      <c r="H3186" s="19"/>
    </row>
    <row r="3187">
      <c r="A3187" s="9"/>
      <c r="B3187" s="15"/>
      <c r="C3187" s="9">
        <f>IFERROR(__xludf.DUMMYFUNCTION("""COMPUTED_VALUE"""),44763.4092781018)</f>
        <v>44763.40928</v>
      </c>
      <c r="D3187" s="15">
        <f>IFERROR(__xludf.DUMMYFUNCTION("""COMPUTED_VALUE"""),1.004)</f>
        <v>1.004</v>
      </c>
      <c r="E3187" s="16">
        <f>IFERROR(__xludf.DUMMYFUNCTION("""COMPUTED_VALUE"""),68.0)</f>
        <v>68</v>
      </c>
      <c r="F3187" s="19" t="str">
        <f>IFERROR(__xludf.DUMMYFUNCTION("""COMPUTED_VALUE"""),"BLACK")</f>
        <v>BLACK</v>
      </c>
      <c r="G3187" s="20" t="str">
        <f>IFERROR(__xludf.DUMMYFUNCTION("""COMPUTED_VALUE"""),"Uncle Sams Cider (5/13/2022)")</f>
        <v>Uncle Sams Cider (5/13/2022)</v>
      </c>
      <c r="H3187" s="19"/>
    </row>
    <row r="3188">
      <c r="A3188" s="9"/>
      <c r="B3188" s="15"/>
      <c r="C3188" s="9">
        <f>IFERROR(__xludf.DUMMYFUNCTION("""COMPUTED_VALUE"""),44763.398856331)</f>
        <v>44763.39886</v>
      </c>
      <c r="D3188" s="15">
        <f>IFERROR(__xludf.DUMMYFUNCTION("""COMPUTED_VALUE"""),1.004)</f>
        <v>1.004</v>
      </c>
      <c r="E3188" s="16">
        <f>IFERROR(__xludf.DUMMYFUNCTION("""COMPUTED_VALUE"""),68.0)</f>
        <v>68</v>
      </c>
      <c r="F3188" s="19" t="str">
        <f>IFERROR(__xludf.DUMMYFUNCTION("""COMPUTED_VALUE"""),"BLACK")</f>
        <v>BLACK</v>
      </c>
      <c r="G3188" s="20" t="str">
        <f>IFERROR(__xludf.DUMMYFUNCTION("""COMPUTED_VALUE"""),"Uncle Sams Cider (5/13/2022)")</f>
        <v>Uncle Sams Cider (5/13/2022)</v>
      </c>
      <c r="H3188" s="19"/>
    </row>
    <row r="3189">
      <c r="A3189" s="9"/>
      <c r="B3189" s="15"/>
      <c r="C3189" s="9">
        <f>IFERROR(__xludf.DUMMYFUNCTION("""COMPUTED_VALUE"""),44763.3884347685)</f>
        <v>44763.38843</v>
      </c>
      <c r="D3189" s="15">
        <f>IFERROR(__xludf.DUMMYFUNCTION("""COMPUTED_VALUE"""),1.004)</f>
        <v>1.004</v>
      </c>
      <c r="E3189" s="16">
        <f>IFERROR(__xludf.DUMMYFUNCTION("""COMPUTED_VALUE"""),69.0)</f>
        <v>69</v>
      </c>
      <c r="F3189" s="19" t="str">
        <f>IFERROR(__xludf.DUMMYFUNCTION("""COMPUTED_VALUE"""),"BLACK")</f>
        <v>BLACK</v>
      </c>
      <c r="G3189" s="20" t="str">
        <f>IFERROR(__xludf.DUMMYFUNCTION("""COMPUTED_VALUE"""),"Uncle Sams Cider (5/13/2022)")</f>
        <v>Uncle Sams Cider (5/13/2022)</v>
      </c>
      <c r="H3189" s="19"/>
    </row>
    <row r="3190">
      <c r="A3190" s="9"/>
      <c r="B3190" s="15"/>
      <c r="C3190" s="9">
        <f>IFERROR(__xludf.DUMMYFUNCTION("""COMPUTED_VALUE"""),44763.3780154398)</f>
        <v>44763.37802</v>
      </c>
      <c r="D3190" s="15">
        <f>IFERROR(__xludf.DUMMYFUNCTION("""COMPUTED_VALUE"""),1.004)</f>
        <v>1.004</v>
      </c>
      <c r="E3190" s="16">
        <f>IFERROR(__xludf.DUMMYFUNCTION("""COMPUTED_VALUE"""),68.0)</f>
        <v>68</v>
      </c>
      <c r="F3190" s="19" t="str">
        <f>IFERROR(__xludf.DUMMYFUNCTION("""COMPUTED_VALUE"""),"BLACK")</f>
        <v>BLACK</v>
      </c>
      <c r="G3190" s="20" t="str">
        <f>IFERROR(__xludf.DUMMYFUNCTION("""COMPUTED_VALUE"""),"Uncle Sams Cider (5/13/2022)")</f>
        <v>Uncle Sams Cider (5/13/2022)</v>
      </c>
      <c r="H3190" s="19"/>
    </row>
    <row r="3191">
      <c r="A3191" s="9"/>
      <c r="B3191" s="15"/>
      <c r="C3191" s="9">
        <f>IFERROR(__xludf.DUMMYFUNCTION("""COMPUTED_VALUE"""),44763.3675716782)</f>
        <v>44763.36757</v>
      </c>
      <c r="D3191" s="15">
        <f>IFERROR(__xludf.DUMMYFUNCTION("""COMPUTED_VALUE"""),1.004)</f>
        <v>1.004</v>
      </c>
      <c r="E3191" s="16">
        <f>IFERROR(__xludf.DUMMYFUNCTION("""COMPUTED_VALUE"""),68.0)</f>
        <v>68</v>
      </c>
      <c r="F3191" s="19" t="str">
        <f>IFERROR(__xludf.DUMMYFUNCTION("""COMPUTED_VALUE"""),"BLACK")</f>
        <v>BLACK</v>
      </c>
      <c r="G3191" s="20" t="str">
        <f>IFERROR(__xludf.DUMMYFUNCTION("""COMPUTED_VALUE"""),"Uncle Sams Cider (5/13/2022)")</f>
        <v>Uncle Sams Cider (5/13/2022)</v>
      </c>
      <c r="H3191" s="19"/>
    </row>
    <row r="3192">
      <c r="A3192" s="9"/>
      <c r="B3192" s="15"/>
      <c r="C3192" s="9">
        <f>IFERROR(__xludf.DUMMYFUNCTION("""COMPUTED_VALUE"""),44763.3571520138)</f>
        <v>44763.35715</v>
      </c>
      <c r="D3192" s="15">
        <f>IFERROR(__xludf.DUMMYFUNCTION("""COMPUTED_VALUE"""),1.004)</f>
        <v>1.004</v>
      </c>
      <c r="E3192" s="16">
        <f>IFERROR(__xludf.DUMMYFUNCTION("""COMPUTED_VALUE"""),68.0)</f>
        <v>68</v>
      </c>
      <c r="F3192" s="19" t="str">
        <f>IFERROR(__xludf.DUMMYFUNCTION("""COMPUTED_VALUE"""),"BLACK")</f>
        <v>BLACK</v>
      </c>
      <c r="G3192" s="20" t="str">
        <f>IFERROR(__xludf.DUMMYFUNCTION("""COMPUTED_VALUE"""),"Uncle Sams Cider (5/13/2022)")</f>
        <v>Uncle Sams Cider (5/13/2022)</v>
      </c>
      <c r="H3192" s="19"/>
    </row>
    <row r="3193">
      <c r="A3193" s="9"/>
      <c r="B3193" s="15"/>
      <c r="C3193" s="9">
        <f>IFERROR(__xludf.DUMMYFUNCTION("""COMPUTED_VALUE"""),44763.3467184027)</f>
        <v>44763.34672</v>
      </c>
      <c r="D3193" s="15">
        <f>IFERROR(__xludf.DUMMYFUNCTION("""COMPUTED_VALUE"""),1.004)</f>
        <v>1.004</v>
      </c>
      <c r="E3193" s="16">
        <f>IFERROR(__xludf.DUMMYFUNCTION("""COMPUTED_VALUE"""),68.0)</f>
        <v>68</v>
      </c>
      <c r="F3193" s="19" t="str">
        <f>IFERROR(__xludf.DUMMYFUNCTION("""COMPUTED_VALUE"""),"BLACK")</f>
        <v>BLACK</v>
      </c>
      <c r="G3193" s="20" t="str">
        <f>IFERROR(__xludf.DUMMYFUNCTION("""COMPUTED_VALUE"""),"Uncle Sams Cider (5/13/2022)")</f>
        <v>Uncle Sams Cider (5/13/2022)</v>
      </c>
      <c r="H3193" s="19"/>
    </row>
    <row r="3194">
      <c r="A3194" s="9"/>
      <c r="B3194" s="15"/>
      <c r="C3194" s="9">
        <f>IFERROR(__xludf.DUMMYFUNCTION("""COMPUTED_VALUE"""),44763.3362966782)</f>
        <v>44763.3363</v>
      </c>
      <c r="D3194" s="15">
        <f>IFERROR(__xludf.DUMMYFUNCTION("""COMPUTED_VALUE"""),1.004)</f>
        <v>1.004</v>
      </c>
      <c r="E3194" s="16">
        <f>IFERROR(__xludf.DUMMYFUNCTION("""COMPUTED_VALUE"""),68.0)</f>
        <v>68</v>
      </c>
      <c r="F3194" s="19" t="str">
        <f>IFERROR(__xludf.DUMMYFUNCTION("""COMPUTED_VALUE"""),"BLACK")</f>
        <v>BLACK</v>
      </c>
      <c r="G3194" s="20" t="str">
        <f>IFERROR(__xludf.DUMMYFUNCTION("""COMPUTED_VALUE"""),"Uncle Sams Cider (5/13/2022)")</f>
        <v>Uncle Sams Cider (5/13/2022)</v>
      </c>
      <c r="H3194" s="19"/>
    </row>
    <row r="3195">
      <c r="A3195" s="9"/>
      <c r="B3195" s="15"/>
      <c r="C3195" s="9">
        <f>IFERROR(__xludf.DUMMYFUNCTION("""COMPUTED_VALUE"""),44763.3258637037)</f>
        <v>44763.32586</v>
      </c>
      <c r="D3195" s="15">
        <f>IFERROR(__xludf.DUMMYFUNCTION("""COMPUTED_VALUE"""),1.004)</f>
        <v>1.004</v>
      </c>
      <c r="E3195" s="16">
        <f>IFERROR(__xludf.DUMMYFUNCTION("""COMPUTED_VALUE"""),68.0)</f>
        <v>68</v>
      </c>
      <c r="F3195" s="19" t="str">
        <f>IFERROR(__xludf.DUMMYFUNCTION("""COMPUTED_VALUE"""),"BLACK")</f>
        <v>BLACK</v>
      </c>
      <c r="G3195" s="20" t="str">
        <f>IFERROR(__xludf.DUMMYFUNCTION("""COMPUTED_VALUE"""),"Uncle Sams Cider (5/13/2022)")</f>
        <v>Uncle Sams Cider (5/13/2022)</v>
      </c>
      <c r="H3195" s="19"/>
    </row>
    <row r="3196">
      <c r="A3196" s="9"/>
      <c r="B3196" s="15"/>
      <c r="C3196" s="9">
        <f>IFERROR(__xludf.DUMMYFUNCTION("""COMPUTED_VALUE"""),44763.3154428935)</f>
        <v>44763.31544</v>
      </c>
      <c r="D3196" s="15">
        <f>IFERROR(__xludf.DUMMYFUNCTION("""COMPUTED_VALUE"""),1.004)</f>
        <v>1.004</v>
      </c>
      <c r="E3196" s="16">
        <f>IFERROR(__xludf.DUMMYFUNCTION("""COMPUTED_VALUE"""),68.0)</f>
        <v>68</v>
      </c>
      <c r="F3196" s="19" t="str">
        <f>IFERROR(__xludf.DUMMYFUNCTION("""COMPUTED_VALUE"""),"BLACK")</f>
        <v>BLACK</v>
      </c>
      <c r="G3196" s="20" t="str">
        <f>IFERROR(__xludf.DUMMYFUNCTION("""COMPUTED_VALUE"""),"Uncle Sams Cider (5/13/2022)")</f>
        <v>Uncle Sams Cider (5/13/2022)</v>
      </c>
      <c r="H3196" s="19"/>
    </row>
    <row r="3197">
      <c r="A3197" s="9"/>
      <c r="B3197" s="15"/>
      <c r="C3197" s="9">
        <f>IFERROR(__xludf.DUMMYFUNCTION("""COMPUTED_VALUE"""),44763.3050233333)</f>
        <v>44763.30502</v>
      </c>
      <c r="D3197" s="15">
        <f>IFERROR(__xludf.DUMMYFUNCTION("""COMPUTED_VALUE"""),1.004)</f>
        <v>1.004</v>
      </c>
      <c r="E3197" s="16">
        <f>IFERROR(__xludf.DUMMYFUNCTION("""COMPUTED_VALUE"""),68.0)</f>
        <v>68</v>
      </c>
      <c r="F3197" s="19" t="str">
        <f>IFERROR(__xludf.DUMMYFUNCTION("""COMPUTED_VALUE"""),"BLACK")</f>
        <v>BLACK</v>
      </c>
      <c r="G3197" s="20" t="str">
        <f>IFERROR(__xludf.DUMMYFUNCTION("""COMPUTED_VALUE"""),"Uncle Sams Cider (5/13/2022)")</f>
        <v>Uncle Sams Cider (5/13/2022)</v>
      </c>
      <c r="H3197" s="19"/>
    </row>
    <row r="3198">
      <c r="A3198" s="9"/>
      <c r="B3198" s="15"/>
      <c r="C3198" s="9">
        <f>IFERROR(__xludf.DUMMYFUNCTION("""COMPUTED_VALUE"""),44763.2946034953)</f>
        <v>44763.2946</v>
      </c>
      <c r="D3198" s="15">
        <f>IFERROR(__xludf.DUMMYFUNCTION("""COMPUTED_VALUE"""),1.004)</f>
        <v>1.004</v>
      </c>
      <c r="E3198" s="16">
        <f>IFERROR(__xludf.DUMMYFUNCTION("""COMPUTED_VALUE"""),68.0)</f>
        <v>68</v>
      </c>
      <c r="F3198" s="19" t="str">
        <f>IFERROR(__xludf.DUMMYFUNCTION("""COMPUTED_VALUE"""),"BLACK")</f>
        <v>BLACK</v>
      </c>
      <c r="G3198" s="20" t="str">
        <f>IFERROR(__xludf.DUMMYFUNCTION("""COMPUTED_VALUE"""),"Uncle Sams Cider (5/13/2022)")</f>
        <v>Uncle Sams Cider (5/13/2022)</v>
      </c>
      <c r="H3198" s="19"/>
    </row>
    <row r="3199">
      <c r="A3199" s="9"/>
      <c r="B3199" s="15"/>
      <c r="C3199" s="9">
        <f>IFERROR(__xludf.DUMMYFUNCTION("""COMPUTED_VALUE"""),44763.284182824)</f>
        <v>44763.28418</v>
      </c>
      <c r="D3199" s="15">
        <f>IFERROR(__xludf.DUMMYFUNCTION("""COMPUTED_VALUE"""),1.004)</f>
        <v>1.004</v>
      </c>
      <c r="E3199" s="16">
        <f>IFERROR(__xludf.DUMMYFUNCTION("""COMPUTED_VALUE"""),68.0)</f>
        <v>68</v>
      </c>
      <c r="F3199" s="19" t="str">
        <f>IFERROR(__xludf.DUMMYFUNCTION("""COMPUTED_VALUE"""),"BLACK")</f>
        <v>BLACK</v>
      </c>
      <c r="G3199" s="20" t="str">
        <f>IFERROR(__xludf.DUMMYFUNCTION("""COMPUTED_VALUE"""),"Uncle Sams Cider (5/13/2022)")</f>
        <v>Uncle Sams Cider (5/13/2022)</v>
      </c>
      <c r="H3199" s="19"/>
    </row>
    <row r="3200">
      <c r="A3200" s="9"/>
      <c r="B3200" s="15"/>
      <c r="C3200" s="9">
        <f>IFERROR(__xludf.DUMMYFUNCTION("""COMPUTED_VALUE"""),44763.2737622569)</f>
        <v>44763.27376</v>
      </c>
      <c r="D3200" s="15">
        <f>IFERROR(__xludf.DUMMYFUNCTION("""COMPUTED_VALUE"""),1.004)</f>
        <v>1.004</v>
      </c>
      <c r="E3200" s="16">
        <f>IFERROR(__xludf.DUMMYFUNCTION("""COMPUTED_VALUE"""),68.0)</f>
        <v>68</v>
      </c>
      <c r="F3200" s="19" t="str">
        <f>IFERROR(__xludf.DUMMYFUNCTION("""COMPUTED_VALUE"""),"BLACK")</f>
        <v>BLACK</v>
      </c>
      <c r="G3200" s="20" t="str">
        <f>IFERROR(__xludf.DUMMYFUNCTION("""COMPUTED_VALUE"""),"Uncle Sams Cider (5/13/2022)")</f>
        <v>Uncle Sams Cider (5/13/2022)</v>
      </c>
      <c r="H3200" s="19"/>
    </row>
    <row r="3201">
      <c r="A3201" s="9"/>
      <c r="B3201" s="15"/>
      <c r="C3201" s="9">
        <f>IFERROR(__xludf.DUMMYFUNCTION("""COMPUTED_VALUE"""),44763.2633423263)</f>
        <v>44763.26334</v>
      </c>
      <c r="D3201" s="15">
        <f>IFERROR(__xludf.DUMMYFUNCTION("""COMPUTED_VALUE"""),1.004)</f>
        <v>1.004</v>
      </c>
      <c r="E3201" s="16">
        <f>IFERROR(__xludf.DUMMYFUNCTION("""COMPUTED_VALUE"""),68.0)</f>
        <v>68</v>
      </c>
      <c r="F3201" s="19" t="str">
        <f>IFERROR(__xludf.DUMMYFUNCTION("""COMPUTED_VALUE"""),"BLACK")</f>
        <v>BLACK</v>
      </c>
      <c r="G3201" s="20" t="str">
        <f>IFERROR(__xludf.DUMMYFUNCTION("""COMPUTED_VALUE"""),"Uncle Sams Cider (5/13/2022)")</f>
        <v>Uncle Sams Cider (5/13/2022)</v>
      </c>
      <c r="H3201" s="19"/>
    </row>
    <row r="3202">
      <c r="A3202" s="9"/>
      <c r="B3202" s="15"/>
      <c r="C3202" s="9">
        <f>IFERROR(__xludf.DUMMYFUNCTION("""COMPUTED_VALUE"""),44763.2529104861)</f>
        <v>44763.25291</v>
      </c>
      <c r="D3202" s="15">
        <f>IFERROR(__xludf.DUMMYFUNCTION("""COMPUTED_VALUE"""),1.004)</f>
        <v>1.004</v>
      </c>
      <c r="E3202" s="16">
        <f>IFERROR(__xludf.DUMMYFUNCTION("""COMPUTED_VALUE"""),68.0)</f>
        <v>68</v>
      </c>
      <c r="F3202" s="19" t="str">
        <f>IFERROR(__xludf.DUMMYFUNCTION("""COMPUTED_VALUE"""),"BLACK")</f>
        <v>BLACK</v>
      </c>
      <c r="G3202" s="20" t="str">
        <f>IFERROR(__xludf.DUMMYFUNCTION("""COMPUTED_VALUE"""),"Uncle Sams Cider (5/13/2022)")</f>
        <v>Uncle Sams Cider (5/13/2022)</v>
      </c>
      <c r="H3202" s="19"/>
    </row>
    <row r="3203">
      <c r="A3203" s="9"/>
      <c r="B3203" s="15"/>
      <c r="C3203" s="9">
        <f>IFERROR(__xludf.DUMMYFUNCTION("""COMPUTED_VALUE"""),44763.2424666666)</f>
        <v>44763.24247</v>
      </c>
      <c r="D3203" s="15">
        <f>IFERROR(__xludf.DUMMYFUNCTION("""COMPUTED_VALUE"""),1.004)</f>
        <v>1.004</v>
      </c>
      <c r="E3203" s="16">
        <f>IFERROR(__xludf.DUMMYFUNCTION("""COMPUTED_VALUE"""),68.0)</f>
        <v>68</v>
      </c>
      <c r="F3203" s="19" t="str">
        <f>IFERROR(__xludf.DUMMYFUNCTION("""COMPUTED_VALUE"""),"BLACK")</f>
        <v>BLACK</v>
      </c>
      <c r="G3203" s="20" t="str">
        <f>IFERROR(__xludf.DUMMYFUNCTION("""COMPUTED_VALUE"""),"Uncle Sams Cider (5/13/2022)")</f>
        <v>Uncle Sams Cider (5/13/2022)</v>
      </c>
      <c r="H3203" s="19"/>
    </row>
    <row r="3204">
      <c r="A3204" s="9"/>
      <c r="B3204" s="15"/>
      <c r="C3204" s="9">
        <f>IFERROR(__xludf.DUMMYFUNCTION("""COMPUTED_VALUE"""),44763.232044456)</f>
        <v>44763.23204</v>
      </c>
      <c r="D3204" s="15">
        <f>IFERROR(__xludf.DUMMYFUNCTION("""COMPUTED_VALUE"""),1.004)</f>
        <v>1.004</v>
      </c>
      <c r="E3204" s="16">
        <f>IFERROR(__xludf.DUMMYFUNCTION("""COMPUTED_VALUE"""),68.0)</f>
        <v>68</v>
      </c>
      <c r="F3204" s="19" t="str">
        <f>IFERROR(__xludf.DUMMYFUNCTION("""COMPUTED_VALUE"""),"BLACK")</f>
        <v>BLACK</v>
      </c>
      <c r="G3204" s="20" t="str">
        <f>IFERROR(__xludf.DUMMYFUNCTION("""COMPUTED_VALUE"""),"Uncle Sams Cider (5/13/2022)")</f>
        <v>Uncle Sams Cider (5/13/2022)</v>
      </c>
      <c r="H3204" s="19"/>
    </row>
    <row r="3205">
      <c r="A3205" s="9"/>
      <c r="B3205" s="15"/>
      <c r="C3205" s="9">
        <f>IFERROR(__xludf.DUMMYFUNCTION("""COMPUTED_VALUE"""),44763.2216235879)</f>
        <v>44763.22162</v>
      </c>
      <c r="D3205" s="15">
        <f>IFERROR(__xludf.DUMMYFUNCTION("""COMPUTED_VALUE"""),1.004)</f>
        <v>1.004</v>
      </c>
      <c r="E3205" s="16">
        <f>IFERROR(__xludf.DUMMYFUNCTION("""COMPUTED_VALUE"""),68.0)</f>
        <v>68</v>
      </c>
      <c r="F3205" s="19" t="str">
        <f>IFERROR(__xludf.DUMMYFUNCTION("""COMPUTED_VALUE"""),"BLACK")</f>
        <v>BLACK</v>
      </c>
      <c r="G3205" s="20" t="str">
        <f>IFERROR(__xludf.DUMMYFUNCTION("""COMPUTED_VALUE"""),"Uncle Sams Cider (5/13/2022)")</f>
        <v>Uncle Sams Cider (5/13/2022)</v>
      </c>
      <c r="H3205" s="19"/>
    </row>
    <row r="3206">
      <c r="A3206" s="9"/>
      <c r="B3206" s="15"/>
      <c r="C3206" s="9">
        <f>IFERROR(__xludf.DUMMYFUNCTION("""COMPUTED_VALUE"""),44763.2112010532)</f>
        <v>44763.2112</v>
      </c>
      <c r="D3206" s="15">
        <f>IFERROR(__xludf.DUMMYFUNCTION("""COMPUTED_VALUE"""),1.004)</f>
        <v>1.004</v>
      </c>
      <c r="E3206" s="16">
        <f>IFERROR(__xludf.DUMMYFUNCTION("""COMPUTED_VALUE"""),68.0)</f>
        <v>68</v>
      </c>
      <c r="F3206" s="19" t="str">
        <f>IFERROR(__xludf.DUMMYFUNCTION("""COMPUTED_VALUE"""),"BLACK")</f>
        <v>BLACK</v>
      </c>
      <c r="G3206" s="20" t="str">
        <f>IFERROR(__xludf.DUMMYFUNCTION("""COMPUTED_VALUE"""),"Uncle Sams Cider (5/13/2022)")</f>
        <v>Uncle Sams Cider (5/13/2022)</v>
      </c>
      <c r="H3206" s="19"/>
    </row>
    <row r="3207">
      <c r="A3207" s="9"/>
      <c r="B3207" s="15"/>
      <c r="C3207" s="9">
        <f>IFERROR(__xludf.DUMMYFUNCTION("""COMPUTED_VALUE"""),44763.2007806713)</f>
        <v>44763.20078</v>
      </c>
      <c r="D3207" s="15">
        <f>IFERROR(__xludf.DUMMYFUNCTION("""COMPUTED_VALUE"""),1.004)</f>
        <v>1.004</v>
      </c>
      <c r="E3207" s="16">
        <f>IFERROR(__xludf.DUMMYFUNCTION("""COMPUTED_VALUE"""),68.0)</f>
        <v>68</v>
      </c>
      <c r="F3207" s="19" t="str">
        <f>IFERROR(__xludf.DUMMYFUNCTION("""COMPUTED_VALUE"""),"BLACK")</f>
        <v>BLACK</v>
      </c>
      <c r="G3207" s="20" t="str">
        <f>IFERROR(__xludf.DUMMYFUNCTION("""COMPUTED_VALUE"""),"Uncle Sams Cider (5/13/2022)")</f>
        <v>Uncle Sams Cider (5/13/2022)</v>
      </c>
      <c r="H3207" s="19"/>
    </row>
    <row r="3208">
      <c r="A3208" s="9"/>
      <c r="B3208" s="15"/>
      <c r="C3208" s="9">
        <f>IFERROR(__xludf.DUMMYFUNCTION("""COMPUTED_VALUE"""),44763.1903604166)</f>
        <v>44763.19036</v>
      </c>
      <c r="D3208" s="15">
        <f>IFERROR(__xludf.DUMMYFUNCTION("""COMPUTED_VALUE"""),1.004)</f>
        <v>1.004</v>
      </c>
      <c r="E3208" s="16">
        <f>IFERROR(__xludf.DUMMYFUNCTION("""COMPUTED_VALUE"""),68.0)</f>
        <v>68</v>
      </c>
      <c r="F3208" s="19" t="str">
        <f>IFERROR(__xludf.DUMMYFUNCTION("""COMPUTED_VALUE"""),"BLACK")</f>
        <v>BLACK</v>
      </c>
      <c r="G3208" s="20" t="str">
        <f>IFERROR(__xludf.DUMMYFUNCTION("""COMPUTED_VALUE"""),"Uncle Sams Cider (5/13/2022)")</f>
        <v>Uncle Sams Cider (5/13/2022)</v>
      </c>
      <c r="H3208" s="19"/>
    </row>
    <row r="3209">
      <c r="A3209" s="9"/>
      <c r="B3209" s="15"/>
      <c r="C3209" s="9">
        <f>IFERROR(__xludf.DUMMYFUNCTION("""COMPUTED_VALUE"""),44763.1799373263)</f>
        <v>44763.17994</v>
      </c>
      <c r="D3209" s="15">
        <f>IFERROR(__xludf.DUMMYFUNCTION("""COMPUTED_VALUE"""),1.004)</f>
        <v>1.004</v>
      </c>
      <c r="E3209" s="16">
        <f>IFERROR(__xludf.DUMMYFUNCTION("""COMPUTED_VALUE"""),68.0)</f>
        <v>68</v>
      </c>
      <c r="F3209" s="19" t="str">
        <f>IFERROR(__xludf.DUMMYFUNCTION("""COMPUTED_VALUE"""),"BLACK")</f>
        <v>BLACK</v>
      </c>
      <c r="G3209" s="20" t="str">
        <f>IFERROR(__xludf.DUMMYFUNCTION("""COMPUTED_VALUE"""),"Uncle Sams Cider (5/13/2022)")</f>
        <v>Uncle Sams Cider (5/13/2022)</v>
      </c>
      <c r="H3209" s="19"/>
    </row>
    <row r="3210">
      <c r="A3210" s="9"/>
      <c r="B3210" s="15"/>
      <c r="C3210" s="9">
        <f>IFERROR(__xludf.DUMMYFUNCTION("""COMPUTED_VALUE"""),44763.169515787)</f>
        <v>44763.16952</v>
      </c>
      <c r="D3210" s="15">
        <f>IFERROR(__xludf.DUMMYFUNCTION("""COMPUTED_VALUE"""),1.004)</f>
        <v>1.004</v>
      </c>
      <c r="E3210" s="16">
        <f>IFERROR(__xludf.DUMMYFUNCTION("""COMPUTED_VALUE"""),68.0)</f>
        <v>68</v>
      </c>
      <c r="F3210" s="19" t="str">
        <f>IFERROR(__xludf.DUMMYFUNCTION("""COMPUTED_VALUE"""),"BLACK")</f>
        <v>BLACK</v>
      </c>
      <c r="G3210" s="20" t="str">
        <f>IFERROR(__xludf.DUMMYFUNCTION("""COMPUTED_VALUE"""),"Uncle Sams Cider (5/13/2022)")</f>
        <v>Uncle Sams Cider (5/13/2022)</v>
      </c>
      <c r="H3210" s="19"/>
    </row>
    <row r="3211">
      <c r="A3211" s="9"/>
      <c r="B3211" s="15"/>
      <c r="C3211" s="9">
        <f>IFERROR(__xludf.DUMMYFUNCTION("""COMPUTED_VALUE"""),44763.1590955324)</f>
        <v>44763.1591</v>
      </c>
      <c r="D3211" s="15">
        <f>IFERROR(__xludf.DUMMYFUNCTION("""COMPUTED_VALUE"""),1.004)</f>
        <v>1.004</v>
      </c>
      <c r="E3211" s="16">
        <f>IFERROR(__xludf.DUMMYFUNCTION("""COMPUTED_VALUE"""),68.0)</f>
        <v>68</v>
      </c>
      <c r="F3211" s="19" t="str">
        <f>IFERROR(__xludf.DUMMYFUNCTION("""COMPUTED_VALUE"""),"BLACK")</f>
        <v>BLACK</v>
      </c>
      <c r="G3211" s="20" t="str">
        <f>IFERROR(__xludf.DUMMYFUNCTION("""COMPUTED_VALUE"""),"Uncle Sams Cider (5/13/2022)")</f>
        <v>Uncle Sams Cider (5/13/2022)</v>
      </c>
      <c r="H3211" s="19"/>
    </row>
    <row r="3212">
      <c r="A3212" s="9"/>
      <c r="B3212" s="15"/>
      <c r="C3212" s="9">
        <f>IFERROR(__xludf.DUMMYFUNCTION("""COMPUTED_VALUE"""),44763.1486731828)</f>
        <v>44763.14867</v>
      </c>
      <c r="D3212" s="15">
        <f>IFERROR(__xludf.DUMMYFUNCTION("""COMPUTED_VALUE"""),1.004)</f>
        <v>1.004</v>
      </c>
      <c r="E3212" s="16">
        <f>IFERROR(__xludf.DUMMYFUNCTION("""COMPUTED_VALUE"""),68.0)</f>
        <v>68</v>
      </c>
      <c r="F3212" s="19" t="str">
        <f>IFERROR(__xludf.DUMMYFUNCTION("""COMPUTED_VALUE"""),"BLACK")</f>
        <v>BLACK</v>
      </c>
      <c r="G3212" s="20" t="str">
        <f>IFERROR(__xludf.DUMMYFUNCTION("""COMPUTED_VALUE"""),"Uncle Sams Cider (5/13/2022)")</f>
        <v>Uncle Sams Cider (5/13/2022)</v>
      </c>
      <c r="H3212" s="19"/>
    </row>
    <row r="3213">
      <c r="A3213" s="9"/>
      <c r="B3213" s="15"/>
      <c r="C3213" s="9">
        <f>IFERROR(__xludf.DUMMYFUNCTION("""COMPUTED_VALUE"""),44763.1382529166)</f>
        <v>44763.13825</v>
      </c>
      <c r="D3213" s="15">
        <f>IFERROR(__xludf.DUMMYFUNCTION("""COMPUTED_VALUE"""),1.004)</f>
        <v>1.004</v>
      </c>
      <c r="E3213" s="16">
        <f>IFERROR(__xludf.DUMMYFUNCTION("""COMPUTED_VALUE"""),68.0)</f>
        <v>68</v>
      </c>
      <c r="F3213" s="19" t="str">
        <f>IFERROR(__xludf.DUMMYFUNCTION("""COMPUTED_VALUE"""),"BLACK")</f>
        <v>BLACK</v>
      </c>
      <c r="G3213" s="20" t="str">
        <f>IFERROR(__xludf.DUMMYFUNCTION("""COMPUTED_VALUE"""),"Uncle Sams Cider (5/13/2022)")</f>
        <v>Uncle Sams Cider (5/13/2022)</v>
      </c>
      <c r="H3213" s="19"/>
    </row>
    <row r="3214">
      <c r="A3214" s="9"/>
      <c r="B3214" s="15"/>
      <c r="C3214" s="9">
        <f>IFERROR(__xludf.DUMMYFUNCTION("""COMPUTED_VALUE"""),44763.1278204629)</f>
        <v>44763.12782</v>
      </c>
      <c r="D3214" s="15">
        <f>IFERROR(__xludf.DUMMYFUNCTION("""COMPUTED_VALUE"""),1.004)</f>
        <v>1.004</v>
      </c>
      <c r="E3214" s="16">
        <f>IFERROR(__xludf.DUMMYFUNCTION("""COMPUTED_VALUE"""),68.0)</f>
        <v>68</v>
      </c>
      <c r="F3214" s="19" t="str">
        <f>IFERROR(__xludf.DUMMYFUNCTION("""COMPUTED_VALUE"""),"BLACK")</f>
        <v>BLACK</v>
      </c>
      <c r="G3214" s="20" t="str">
        <f>IFERROR(__xludf.DUMMYFUNCTION("""COMPUTED_VALUE"""),"Uncle Sams Cider (5/13/2022)")</f>
        <v>Uncle Sams Cider (5/13/2022)</v>
      </c>
      <c r="H3214" s="19"/>
    </row>
    <row r="3215">
      <c r="A3215" s="9"/>
      <c r="B3215" s="15"/>
      <c r="C3215" s="9">
        <f>IFERROR(__xludf.DUMMYFUNCTION("""COMPUTED_VALUE"""),44763.1173870601)</f>
        <v>44763.11739</v>
      </c>
      <c r="D3215" s="15">
        <f>IFERROR(__xludf.DUMMYFUNCTION("""COMPUTED_VALUE"""),1.004)</f>
        <v>1.004</v>
      </c>
      <c r="E3215" s="16">
        <f>IFERROR(__xludf.DUMMYFUNCTION("""COMPUTED_VALUE"""),68.0)</f>
        <v>68</v>
      </c>
      <c r="F3215" s="19" t="str">
        <f>IFERROR(__xludf.DUMMYFUNCTION("""COMPUTED_VALUE"""),"BLACK")</f>
        <v>BLACK</v>
      </c>
      <c r="G3215" s="20" t="str">
        <f>IFERROR(__xludf.DUMMYFUNCTION("""COMPUTED_VALUE"""),"Uncle Sams Cider (5/13/2022)")</f>
        <v>Uncle Sams Cider (5/13/2022)</v>
      </c>
      <c r="H3215" s="19"/>
    </row>
    <row r="3216">
      <c r="A3216" s="9"/>
      <c r="B3216" s="15"/>
      <c r="C3216" s="9">
        <f>IFERROR(__xludf.DUMMYFUNCTION("""COMPUTED_VALUE"""),44763.1069553935)</f>
        <v>44763.10696</v>
      </c>
      <c r="D3216" s="15">
        <f>IFERROR(__xludf.DUMMYFUNCTION("""COMPUTED_VALUE"""),1.004)</f>
        <v>1.004</v>
      </c>
      <c r="E3216" s="16">
        <f>IFERROR(__xludf.DUMMYFUNCTION("""COMPUTED_VALUE"""),68.0)</f>
        <v>68</v>
      </c>
      <c r="F3216" s="19" t="str">
        <f>IFERROR(__xludf.DUMMYFUNCTION("""COMPUTED_VALUE"""),"BLACK")</f>
        <v>BLACK</v>
      </c>
      <c r="G3216" s="20" t="str">
        <f>IFERROR(__xludf.DUMMYFUNCTION("""COMPUTED_VALUE"""),"Uncle Sams Cider (5/13/2022)")</f>
        <v>Uncle Sams Cider (5/13/2022)</v>
      </c>
      <c r="H3216" s="19"/>
    </row>
    <row r="3217">
      <c r="A3217" s="9"/>
      <c r="B3217" s="15"/>
      <c r="C3217" s="9">
        <f>IFERROR(__xludf.DUMMYFUNCTION("""COMPUTED_VALUE"""),44763.0965319097)</f>
        <v>44763.09653</v>
      </c>
      <c r="D3217" s="15">
        <f>IFERROR(__xludf.DUMMYFUNCTION("""COMPUTED_VALUE"""),1.004)</f>
        <v>1.004</v>
      </c>
      <c r="E3217" s="16">
        <f>IFERROR(__xludf.DUMMYFUNCTION("""COMPUTED_VALUE"""),68.0)</f>
        <v>68</v>
      </c>
      <c r="F3217" s="19" t="str">
        <f>IFERROR(__xludf.DUMMYFUNCTION("""COMPUTED_VALUE"""),"BLACK")</f>
        <v>BLACK</v>
      </c>
      <c r="G3217" s="20" t="str">
        <f>IFERROR(__xludf.DUMMYFUNCTION("""COMPUTED_VALUE"""),"Uncle Sams Cider (5/13/2022)")</f>
        <v>Uncle Sams Cider (5/13/2022)</v>
      </c>
      <c r="H3217" s="19"/>
    </row>
    <row r="3218">
      <c r="A3218" s="9"/>
      <c r="B3218" s="15"/>
      <c r="C3218" s="9">
        <f>IFERROR(__xludf.DUMMYFUNCTION("""COMPUTED_VALUE"""),44763.0861122338)</f>
        <v>44763.08611</v>
      </c>
      <c r="D3218" s="15">
        <f>IFERROR(__xludf.DUMMYFUNCTION("""COMPUTED_VALUE"""),1.004)</f>
        <v>1.004</v>
      </c>
      <c r="E3218" s="16">
        <f>IFERROR(__xludf.DUMMYFUNCTION("""COMPUTED_VALUE"""),68.0)</f>
        <v>68</v>
      </c>
      <c r="F3218" s="19" t="str">
        <f>IFERROR(__xludf.DUMMYFUNCTION("""COMPUTED_VALUE"""),"BLACK")</f>
        <v>BLACK</v>
      </c>
      <c r="G3218" s="20" t="str">
        <f>IFERROR(__xludf.DUMMYFUNCTION("""COMPUTED_VALUE"""),"Uncle Sams Cider (5/13/2022)")</f>
        <v>Uncle Sams Cider (5/13/2022)</v>
      </c>
      <c r="H3218" s="19"/>
    </row>
    <row r="3219">
      <c r="A3219" s="9"/>
      <c r="B3219" s="15"/>
      <c r="C3219" s="9">
        <f>IFERROR(__xludf.DUMMYFUNCTION("""COMPUTED_VALUE"""),44763.0756903703)</f>
        <v>44763.07569</v>
      </c>
      <c r="D3219" s="15">
        <f>IFERROR(__xludf.DUMMYFUNCTION("""COMPUTED_VALUE"""),1.004)</f>
        <v>1.004</v>
      </c>
      <c r="E3219" s="16">
        <f>IFERROR(__xludf.DUMMYFUNCTION("""COMPUTED_VALUE"""),68.0)</f>
        <v>68</v>
      </c>
      <c r="F3219" s="19" t="str">
        <f>IFERROR(__xludf.DUMMYFUNCTION("""COMPUTED_VALUE"""),"BLACK")</f>
        <v>BLACK</v>
      </c>
      <c r="G3219" s="20" t="str">
        <f>IFERROR(__xludf.DUMMYFUNCTION("""COMPUTED_VALUE"""),"Uncle Sams Cider (5/13/2022)")</f>
        <v>Uncle Sams Cider (5/13/2022)</v>
      </c>
      <c r="H3219" s="19"/>
    </row>
    <row r="3220">
      <c r="A3220" s="9"/>
      <c r="B3220" s="15"/>
      <c r="C3220" s="9">
        <f>IFERROR(__xludf.DUMMYFUNCTION("""COMPUTED_VALUE"""),44763.065270081)</f>
        <v>44763.06527</v>
      </c>
      <c r="D3220" s="15">
        <f>IFERROR(__xludf.DUMMYFUNCTION("""COMPUTED_VALUE"""),1.004)</f>
        <v>1.004</v>
      </c>
      <c r="E3220" s="16">
        <f>IFERROR(__xludf.DUMMYFUNCTION("""COMPUTED_VALUE"""),68.0)</f>
        <v>68</v>
      </c>
      <c r="F3220" s="19" t="str">
        <f>IFERROR(__xludf.DUMMYFUNCTION("""COMPUTED_VALUE"""),"BLACK")</f>
        <v>BLACK</v>
      </c>
      <c r="G3220" s="20" t="str">
        <f>IFERROR(__xludf.DUMMYFUNCTION("""COMPUTED_VALUE"""),"Uncle Sams Cider (5/13/2022)")</f>
        <v>Uncle Sams Cider (5/13/2022)</v>
      </c>
      <c r="H3220" s="19"/>
    </row>
    <row r="3221">
      <c r="A3221" s="9"/>
      <c r="B3221" s="15"/>
      <c r="C3221" s="9">
        <f>IFERROR(__xludf.DUMMYFUNCTION("""COMPUTED_VALUE"""),44763.0548342592)</f>
        <v>44763.05483</v>
      </c>
      <c r="D3221" s="15">
        <f>IFERROR(__xludf.DUMMYFUNCTION("""COMPUTED_VALUE"""),1.004)</f>
        <v>1.004</v>
      </c>
      <c r="E3221" s="16">
        <f>IFERROR(__xludf.DUMMYFUNCTION("""COMPUTED_VALUE"""),68.0)</f>
        <v>68</v>
      </c>
      <c r="F3221" s="19" t="str">
        <f>IFERROR(__xludf.DUMMYFUNCTION("""COMPUTED_VALUE"""),"BLACK")</f>
        <v>BLACK</v>
      </c>
      <c r="G3221" s="20" t="str">
        <f>IFERROR(__xludf.DUMMYFUNCTION("""COMPUTED_VALUE"""),"Uncle Sams Cider (5/13/2022)")</f>
        <v>Uncle Sams Cider (5/13/2022)</v>
      </c>
      <c r="H3221" s="19"/>
    </row>
    <row r="3222">
      <c r="A3222" s="9"/>
      <c r="B3222" s="15"/>
      <c r="C3222" s="9">
        <f>IFERROR(__xludf.DUMMYFUNCTION("""COMPUTED_VALUE"""),44763.0444130902)</f>
        <v>44763.04441</v>
      </c>
      <c r="D3222" s="15">
        <f>IFERROR(__xludf.DUMMYFUNCTION("""COMPUTED_VALUE"""),1.004)</f>
        <v>1.004</v>
      </c>
      <c r="E3222" s="16">
        <f>IFERROR(__xludf.DUMMYFUNCTION("""COMPUTED_VALUE"""),68.0)</f>
        <v>68</v>
      </c>
      <c r="F3222" s="19" t="str">
        <f>IFERROR(__xludf.DUMMYFUNCTION("""COMPUTED_VALUE"""),"BLACK")</f>
        <v>BLACK</v>
      </c>
      <c r="G3222" s="20" t="str">
        <f>IFERROR(__xludf.DUMMYFUNCTION("""COMPUTED_VALUE"""),"Uncle Sams Cider (5/13/2022)")</f>
        <v>Uncle Sams Cider (5/13/2022)</v>
      </c>
      <c r="H3222" s="19"/>
    </row>
    <row r="3223">
      <c r="A3223" s="9"/>
      <c r="B3223" s="15"/>
      <c r="C3223" s="9">
        <f>IFERROR(__xludf.DUMMYFUNCTION("""COMPUTED_VALUE"""),44763.03399353)</f>
        <v>44763.03399</v>
      </c>
      <c r="D3223" s="15">
        <f>IFERROR(__xludf.DUMMYFUNCTION("""COMPUTED_VALUE"""),1.004)</f>
        <v>1.004</v>
      </c>
      <c r="E3223" s="16">
        <f>IFERROR(__xludf.DUMMYFUNCTION("""COMPUTED_VALUE"""),68.0)</f>
        <v>68</v>
      </c>
      <c r="F3223" s="19" t="str">
        <f>IFERROR(__xludf.DUMMYFUNCTION("""COMPUTED_VALUE"""),"BLACK")</f>
        <v>BLACK</v>
      </c>
      <c r="G3223" s="20" t="str">
        <f>IFERROR(__xludf.DUMMYFUNCTION("""COMPUTED_VALUE"""),"Uncle Sams Cider (5/13/2022)")</f>
        <v>Uncle Sams Cider (5/13/2022)</v>
      </c>
      <c r="H3223" s="19"/>
    </row>
    <row r="3224">
      <c r="A3224" s="9"/>
      <c r="B3224" s="15"/>
      <c r="C3224" s="9">
        <f>IFERROR(__xludf.DUMMYFUNCTION("""COMPUTED_VALUE"""),44763.0235729629)</f>
        <v>44763.02357</v>
      </c>
      <c r="D3224" s="15">
        <f>IFERROR(__xludf.DUMMYFUNCTION("""COMPUTED_VALUE"""),1.004)</f>
        <v>1.004</v>
      </c>
      <c r="E3224" s="16">
        <f>IFERROR(__xludf.DUMMYFUNCTION("""COMPUTED_VALUE"""),68.0)</f>
        <v>68</v>
      </c>
      <c r="F3224" s="19" t="str">
        <f>IFERROR(__xludf.DUMMYFUNCTION("""COMPUTED_VALUE"""),"BLACK")</f>
        <v>BLACK</v>
      </c>
      <c r="G3224" s="20" t="str">
        <f>IFERROR(__xludf.DUMMYFUNCTION("""COMPUTED_VALUE"""),"Uncle Sams Cider (5/13/2022)")</f>
        <v>Uncle Sams Cider (5/13/2022)</v>
      </c>
      <c r="H3224" s="19"/>
    </row>
    <row r="3225">
      <c r="A3225" s="9"/>
      <c r="B3225" s="15"/>
      <c r="C3225" s="9">
        <f>IFERROR(__xludf.DUMMYFUNCTION("""COMPUTED_VALUE"""),44763.0131519328)</f>
        <v>44763.01315</v>
      </c>
      <c r="D3225" s="15">
        <f>IFERROR(__xludf.DUMMYFUNCTION("""COMPUTED_VALUE"""),1.004)</f>
        <v>1.004</v>
      </c>
      <c r="E3225" s="16">
        <f>IFERROR(__xludf.DUMMYFUNCTION("""COMPUTED_VALUE"""),68.0)</f>
        <v>68</v>
      </c>
      <c r="F3225" s="19" t="str">
        <f>IFERROR(__xludf.DUMMYFUNCTION("""COMPUTED_VALUE"""),"BLACK")</f>
        <v>BLACK</v>
      </c>
      <c r="G3225" s="20" t="str">
        <f>IFERROR(__xludf.DUMMYFUNCTION("""COMPUTED_VALUE"""),"Uncle Sams Cider (5/13/2022)")</f>
        <v>Uncle Sams Cider (5/13/2022)</v>
      </c>
      <c r="H3225" s="19"/>
    </row>
    <row r="3226">
      <c r="A3226" s="9"/>
      <c r="B3226" s="15"/>
      <c r="C3226" s="9">
        <f>IFERROR(__xludf.DUMMYFUNCTION("""COMPUTED_VALUE"""),44763.0027295833)</f>
        <v>44763.00273</v>
      </c>
      <c r="D3226" s="15">
        <f>IFERROR(__xludf.DUMMYFUNCTION("""COMPUTED_VALUE"""),1.004)</f>
        <v>1.004</v>
      </c>
      <c r="E3226" s="16">
        <f>IFERROR(__xludf.DUMMYFUNCTION("""COMPUTED_VALUE"""),68.0)</f>
        <v>68</v>
      </c>
      <c r="F3226" s="19" t="str">
        <f>IFERROR(__xludf.DUMMYFUNCTION("""COMPUTED_VALUE"""),"BLACK")</f>
        <v>BLACK</v>
      </c>
      <c r="G3226" s="20" t="str">
        <f>IFERROR(__xludf.DUMMYFUNCTION("""COMPUTED_VALUE"""),"Uncle Sams Cider (5/13/2022)")</f>
        <v>Uncle Sams Cider (5/13/2022)</v>
      </c>
      <c r="H3226" s="19"/>
    </row>
    <row r="3227">
      <c r="A3227" s="9"/>
      <c r="B3227" s="15"/>
      <c r="C3227" s="9">
        <f>IFERROR(__xludf.DUMMYFUNCTION("""COMPUTED_VALUE"""),44762.9923101504)</f>
        <v>44762.99231</v>
      </c>
      <c r="D3227" s="15">
        <f>IFERROR(__xludf.DUMMYFUNCTION("""COMPUTED_VALUE"""),1.004)</f>
        <v>1.004</v>
      </c>
      <c r="E3227" s="16">
        <f>IFERROR(__xludf.DUMMYFUNCTION("""COMPUTED_VALUE"""),68.0)</f>
        <v>68</v>
      </c>
      <c r="F3227" s="19" t="str">
        <f>IFERROR(__xludf.DUMMYFUNCTION("""COMPUTED_VALUE"""),"BLACK")</f>
        <v>BLACK</v>
      </c>
      <c r="G3227" s="20" t="str">
        <f>IFERROR(__xludf.DUMMYFUNCTION("""COMPUTED_VALUE"""),"Uncle Sams Cider (5/13/2022)")</f>
        <v>Uncle Sams Cider (5/13/2022)</v>
      </c>
      <c r="H3227" s="19"/>
    </row>
    <row r="3228">
      <c r="A3228" s="9"/>
      <c r="B3228" s="15"/>
      <c r="C3228" s="9">
        <f>IFERROR(__xludf.DUMMYFUNCTION("""COMPUTED_VALUE"""),44762.9818783912)</f>
        <v>44762.98188</v>
      </c>
      <c r="D3228" s="15">
        <f>IFERROR(__xludf.DUMMYFUNCTION("""COMPUTED_VALUE"""),1.004)</f>
        <v>1.004</v>
      </c>
      <c r="E3228" s="16">
        <f>IFERROR(__xludf.DUMMYFUNCTION("""COMPUTED_VALUE"""),68.0)</f>
        <v>68</v>
      </c>
      <c r="F3228" s="19" t="str">
        <f>IFERROR(__xludf.DUMMYFUNCTION("""COMPUTED_VALUE"""),"BLACK")</f>
        <v>BLACK</v>
      </c>
      <c r="G3228" s="20" t="str">
        <f>IFERROR(__xludf.DUMMYFUNCTION("""COMPUTED_VALUE"""),"Uncle Sams Cider (5/13/2022)")</f>
        <v>Uncle Sams Cider (5/13/2022)</v>
      </c>
      <c r="H3228" s="19"/>
    </row>
    <row r="3229">
      <c r="A3229" s="9"/>
      <c r="B3229" s="15"/>
      <c r="C3229" s="9">
        <f>IFERROR(__xludf.DUMMYFUNCTION("""COMPUTED_VALUE"""),44762.9714570717)</f>
        <v>44762.97146</v>
      </c>
      <c r="D3229" s="15">
        <f>IFERROR(__xludf.DUMMYFUNCTION("""COMPUTED_VALUE"""),1.004)</f>
        <v>1.004</v>
      </c>
      <c r="E3229" s="16">
        <f>IFERROR(__xludf.DUMMYFUNCTION("""COMPUTED_VALUE"""),68.0)</f>
        <v>68</v>
      </c>
      <c r="F3229" s="19" t="str">
        <f>IFERROR(__xludf.DUMMYFUNCTION("""COMPUTED_VALUE"""),"BLACK")</f>
        <v>BLACK</v>
      </c>
      <c r="G3229" s="20" t="str">
        <f>IFERROR(__xludf.DUMMYFUNCTION("""COMPUTED_VALUE"""),"Uncle Sams Cider (5/13/2022)")</f>
        <v>Uncle Sams Cider (5/13/2022)</v>
      </c>
      <c r="H3229" s="19"/>
    </row>
    <row r="3230">
      <c r="A3230" s="9"/>
      <c r="B3230" s="15"/>
      <c r="C3230" s="9">
        <f>IFERROR(__xludf.DUMMYFUNCTION("""COMPUTED_VALUE"""),44762.9610225)</f>
        <v>44762.96102</v>
      </c>
      <c r="D3230" s="15">
        <f>IFERROR(__xludf.DUMMYFUNCTION("""COMPUTED_VALUE"""),1.004)</f>
        <v>1.004</v>
      </c>
      <c r="E3230" s="16">
        <f>IFERROR(__xludf.DUMMYFUNCTION("""COMPUTED_VALUE"""),68.0)</f>
        <v>68</v>
      </c>
      <c r="F3230" s="19" t="str">
        <f>IFERROR(__xludf.DUMMYFUNCTION("""COMPUTED_VALUE"""),"BLACK")</f>
        <v>BLACK</v>
      </c>
      <c r="G3230" s="20" t="str">
        <f>IFERROR(__xludf.DUMMYFUNCTION("""COMPUTED_VALUE"""),"Uncle Sams Cider (5/13/2022)")</f>
        <v>Uncle Sams Cider (5/13/2022)</v>
      </c>
      <c r="H3230" s="19"/>
    </row>
    <row r="3231">
      <c r="A3231" s="9"/>
      <c r="B3231" s="15"/>
      <c r="C3231" s="9">
        <f>IFERROR(__xludf.DUMMYFUNCTION("""COMPUTED_VALUE"""),44762.950601412)</f>
        <v>44762.9506</v>
      </c>
      <c r="D3231" s="15">
        <f>IFERROR(__xludf.DUMMYFUNCTION("""COMPUTED_VALUE"""),1.004)</f>
        <v>1.004</v>
      </c>
      <c r="E3231" s="16">
        <f>IFERROR(__xludf.DUMMYFUNCTION("""COMPUTED_VALUE"""),68.0)</f>
        <v>68</v>
      </c>
      <c r="F3231" s="19" t="str">
        <f>IFERROR(__xludf.DUMMYFUNCTION("""COMPUTED_VALUE"""),"BLACK")</f>
        <v>BLACK</v>
      </c>
      <c r="G3231" s="20" t="str">
        <f>IFERROR(__xludf.DUMMYFUNCTION("""COMPUTED_VALUE"""),"Uncle Sams Cider (5/13/2022)")</f>
        <v>Uncle Sams Cider (5/13/2022)</v>
      </c>
      <c r="H3231" s="19"/>
    </row>
    <row r="3232">
      <c r="A3232" s="9"/>
      <c r="B3232" s="15"/>
      <c r="C3232" s="9">
        <f>IFERROR(__xludf.DUMMYFUNCTION("""COMPUTED_VALUE"""),44762.9401790856)</f>
        <v>44762.94018</v>
      </c>
      <c r="D3232" s="15">
        <f>IFERROR(__xludf.DUMMYFUNCTION("""COMPUTED_VALUE"""),1.004)</f>
        <v>1.004</v>
      </c>
      <c r="E3232" s="16">
        <f>IFERROR(__xludf.DUMMYFUNCTION("""COMPUTED_VALUE"""),68.0)</f>
        <v>68</v>
      </c>
      <c r="F3232" s="19" t="str">
        <f>IFERROR(__xludf.DUMMYFUNCTION("""COMPUTED_VALUE"""),"BLACK")</f>
        <v>BLACK</v>
      </c>
      <c r="G3232" s="20" t="str">
        <f>IFERROR(__xludf.DUMMYFUNCTION("""COMPUTED_VALUE"""),"Uncle Sams Cider (5/13/2022)")</f>
        <v>Uncle Sams Cider (5/13/2022)</v>
      </c>
      <c r="H3232" s="19"/>
    </row>
    <row r="3233">
      <c r="A3233" s="9"/>
      <c r="B3233" s="15"/>
      <c r="C3233" s="9">
        <f>IFERROR(__xludf.DUMMYFUNCTION("""COMPUTED_VALUE"""),44762.9297584953)</f>
        <v>44762.92976</v>
      </c>
      <c r="D3233" s="15">
        <f>IFERROR(__xludf.DUMMYFUNCTION("""COMPUTED_VALUE"""),1.004)</f>
        <v>1.004</v>
      </c>
      <c r="E3233" s="16">
        <f>IFERROR(__xludf.DUMMYFUNCTION("""COMPUTED_VALUE"""),68.0)</f>
        <v>68</v>
      </c>
      <c r="F3233" s="19" t="str">
        <f>IFERROR(__xludf.DUMMYFUNCTION("""COMPUTED_VALUE"""),"BLACK")</f>
        <v>BLACK</v>
      </c>
      <c r="G3233" s="20" t="str">
        <f>IFERROR(__xludf.DUMMYFUNCTION("""COMPUTED_VALUE"""),"Uncle Sams Cider (5/13/2022)")</f>
        <v>Uncle Sams Cider (5/13/2022)</v>
      </c>
      <c r="H3233" s="19"/>
    </row>
    <row r="3234">
      <c r="A3234" s="9"/>
      <c r="B3234" s="15"/>
      <c r="C3234" s="9">
        <f>IFERROR(__xludf.DUMMYFUNCTION("""COMPUTED_VALUE"""),44762.9193264467)</f>
        <v>44762.91933</v>
      </c>
      <c r="D3234" s="15">
        <f>IFERROR(__xludf.DUMMYFUNCTION("""COMPUTED_VALUE"""),1.004)</f>
        <v>1.004</v>
      </c>
      <c r="E3234" s="16">
        <f>IFERROR(__xludf.DUMMYFUNCTION("""COMPUTED_VALUE"""),68.0)</f>
        <v>68</v>
      </c>
      <c r="F3234" s="19" t="str">
        <f>IFERROR(__xludf.DUMMYFUNCTION("""COMPUTED_VALUE"""),"BLACK")</f>
        <v>BLACK</v>
      </c>
      <c r="G3234" s="20" t="str">
        <f>IFERROR(__xludf.DUMMYFUNCTION("""COMPUTED_VALUE"""),"Uncle Sams Cider (5/13/2022)")</f>
        <v>Uncle Sams Cider (5/13/2022)</v>
      </c>
      <c r="H3234" s="19"/>
    </row>
    <row r="3235">
      <c r="A3235" s="9"/>
      <c r="B3235" s="15"/>
      <c r="C3235" s="9">
        <f>IFERROR(__xludf.DUMMYFUNCTION("""COMPUTED_VALUE"""),44762.9088815856)</f>
        <v>44762.90888</v>
      </c>
      <c r="D3235" s="15">
        <f>IFERROR(__xludf.DUMMYFUNCTION("""COMPUTED_VALUE"""),1.004)</f>
        <v>1.004</v>
      </c>
      <c r="E3235" s="16">
        <f>IFERROR(__xludf.DUMMYFUNCTION("""COMPUTED_VALUE"""),68.0)</f>
        <v>68</v>
      </c>
      <c r="F3235" s="19" t="str">
        <f>IFERROR(__xludf.DUMMYFUNCTION("""COMPUTED_VALUE"""),"BLACK")</f>
        <v>BLACK</v>
      </c>
      <c r="G3235" s="20" t="str">
        <f>IFERROR(__xludf.DUMMYFUNCTION("""COMPUTED_VALUE"""),"Uncle Sams Cider (5/13/2022)")</f>
        <v>Uncle Sams Cider (5/13/2022)</v>
      </c>
      <c r="H3235" s="19"/>
    </row>
    <row r="3236">
      <c r="A3236" s="9"/>
      <c r="B3236" s="15"/>
      <c r="C3236" s="9">
        <f>IFERROR(__xludf.DUMMYFUNCTION("""COMPUTED_VALUE"""),44762.8984597685)</f>
        <v>44762.89846</v>
      </c>
      <c r="D3236" s="15">
        <f>IFERROR(__xludf.DUMMYFUNCTION("""COMPUTED_VALUE"""),1.004)</f>
        <v>1.004</v>
      </c>
      <c r="E3236" s="16">
        <f>IFERROR(__xludf.DUMMYFUNCTION("""COMPUTED_VALUE"""),68.0)</f>
        <v>68</v>
      </c>
      <c r="F3236" s="19" t="str">
        <f>IFERROR(__xludf.DUMMYFUNCTION("""COMPUTED_VALUE"""),"BLACK")</f>
        <v>BLACK</v>
      </c>
      <c r="G3236" s="20" t="str">
        <f>IFERROR(__xludf.DUMMYFUNCTION("""COMPUTED_VALUE"""),"Uncle Sams Cider (5/13/2022)")</f>
        <v>Uncle Sams Cider (5/13/2022)</v>
      </c>
      <c r="H3236" s="19"/>
    </row>
    <row r="3237">
      <c r="A3237" s="9"/>
      <c r="B3237" s="15"/>
      <c r="C3237" s="9">
        <f>IFERROR(__xludf.DUMMYFUNCTION("""COMPUTED_VALUE"""),44762.8880377546)</f>
        <v>44762.88804</v>
      </c>
      <c r="D3237" s="15">
        <f>IFERROR(__xludf.DUMMYFUNCTION("""COMPUTED_VALUE"""),1.004)</f>
        <v>1.004</v>
      </c>
      <c r="E3237" s="16">
        <f>IFERROR(__xludf.DUMMYFUNCTION("""COMPUTED_VALUE"""),68.0)</f>
        <v>68</v>
      </c>
      <c r="F3237" s="19" t="str">
        <f>IFERROR(__xludf.DUMMYFUNCTION("""COMPUTED_VALUE"""),"BLACK")</f>
        <v>BLACK</v>
      </c>
      <c r="G3237" s="20" t="str">
        <f>IFERROR(__xludf.DUMMYFUNCTION("""COMPUTED_VALUE"""),"Uncle Sams Cider (5/13/2022)")</f>
        <v>Uncle Sams Cider (5/13/2022)</v>
      </c>
      <c r="H3237" s="19"/>
    </row>
    <row r="3238">
      <c r="A3238" s="9"/>
      <c r="B3238" s="15"/>
      <c r="C3238" s="9">
        <f>IFERROR(__xludf.DUMMYFUNCTION("""COMPUTED_VALUE"""),44762.8776142361)</f>
        <v>44762.87761</v>
      </c>
      <c r="D3238" s="15">
        <f>IFERROR(__xludf.DUMMYFUNCTION("""COMPUTED_VALUE"""),1.004)</f>
        <v>1.004</v>
      </c>
      <c r="E3238" s="16">
        <f>IFERROR(__xludf.DUMMYFUNCTION("""COMPUTED_VALUE"""),68.0)</f>
        <v>68</v>
      </c>
      <c r="F3238" s="19" t="str">
        <f>IFERROR(__xludf.DUMMYFUNCTION("""COMPUTED_VALUE"""),"BLACK")</f>
        <v>BLACK</v>
      </c>
      <c r="G3238" s="20" t="str">
        <f>IFERROR(__xludf.DUMMYFUNCTION("""COMPUTED_VALUE"""),"Uncle Sams Cider (5/13/2022)")</f>
        <v>Uncle Sams Cider (5/13/2022)</v>
      </c>
      <c r="H3238" s="19"/>
    </row>
    <row r="3239">
      <c r="A3239" s="9"/>
      <c r="B3239" s="15"/>
      <c r="C3239" s="9">
        <f>IFERROR(__xludf.DUMMYFUNCTION("""COMPUTED_VALUE"""),44762.8671926851)</f>
        <v>44762.86719</v>
      </c>
      <c r="D3239" s="15">
        <f>IFERROR(__xludf.DUMMYFUNCTION("""COMPUTED_VALUE"""),1.004)</f>
        <v>1.004</v>
      </c>
      <c r="E3239" s="16">
        <f>IFERROR(__xludf.DUMMYFUNCTION("""COMPUTED_VALUE"""),68.0)</f>
        <v>68</v>
      </c>
      <c r="F3239" s="19" t="str">
        <f>IFERROR(__xludf.DUMMYFUNCTION("""COMPUTED_VALUE"""),"BLACK")</f>
        <v>BLACK</v>
      </c>
      <c r="G3239" s="20" t="str">
        <f>IFERROR(__xludf.DUMMYFUNCTION("""COMPUTED_VALUE"""),"Uncle Sams Cider (5/13/2022)")</f>
        <v>Uncle Sams Cider (5/13/2022)</v>
      </c>
      <c r="H3239" s="19"/>
    </row>
    <row r="3240">
      <c r="A3240" s="9"/>
      <c r="B3240" s="15"/>
      <c r="C3240" s="9">
        <f>IFERROR(__xludf.DUMMYFUNCTION("""COMPUTED_VALUE"""),44762.8567479976)</f>
        <v>44762.85675</v>
      </c>
      <c r="D3240" s="15">
        <f>IFERROR(__xludf.DUMMYFUNCTION("""COMPUTED_VALUE"""),1.004)</f>
        <v>1.004</v>
      </c>
      <c r="E3240" s="16">
        <f>IFERROR(__xludf.DUMMYFUNCTION("""COMPUTED_VALUE"""),68.0)</f>
        <v>68</v>
      </c>
      <c r="F3240" s="19" t="str">
        <f>IFERROR(__xludf.DUMMYFUNCTION("""COMPUTED_VALUE"""),"BLACK")</f>
        <v>BLACK</v>
      </c>
      <c r="G3240" s="20" t="str">
        <f>IFERROR(__xludf.DUMMYFUNCTION("""COMPUTED_VALUE"""),"Uncle Sams Cider (5/13/2022)")</f>
        <v>Uncle Sams Cider (5/13/2022)</v>
      </c>
      <c r="H3240" s="19"/>
    </row>
    <row r="3241">
      <c r="A3241" s="9"/>
      <c r="B3241" s="15"/>
      <c r="C3241" s="9">
        <f>IFERROR(__xludf.DUMMYFUNCTION("""COMPUTED_VALUE"""),44762.8463236458)</f>
        <v>44762.84632</v>
      </c>
      <c r="D3241" s="15">
        <f>IFERROR(__xludf.DUMMYFUNCTION("""COMPUTED_VALUE"""),1.004)</f>
        <v>1.004</v>
      </c>
      <c r="E3241" s="16">
        <f>IFERROR(__xludf.DUMMYFUNCTION("""COMPUTED_VALUE"""),68.0)</f>
        <v>68</v>
      </c>
      <c r="F3241" s="19" t="str">
        <f>IFERROR(__xludf.DUMMYFUNCTION("""COMPUTED_VALUE"""),"BLACK")</f>
        <v>BLACK</v>
      </c>
      <c r="G3241" s="20" t="str">
        <f>IFERROR(__xludf.DUMMYFUNCTION("""COMPUTED_VALUE"""),"Uncle Sams Cider (5/13/2022)")</f>
        <v>Uncle Sams Cider (5/13/2022)</v>
      </c>
      <c r="H3241" s="19"/>
    </row>
    <row r="3242">
      <c r="A3242" s="9"/>
      <c r="B3242" s="15"/>
      <c r="C3242" s="9">
        <f>IFERROR(__xludf.DUMMYFUNCTION("""COMPUTED_VALUE"""),44762.8359024768)</f>
        <v>44762.8359</v>
      </c>
      <c r="D3242" s="15">
        <f>IFERROR(__xludf.DUMMYFUNCTION("""COMPUTED_VALUE"""),1.004)</f>
        <v>1.004</v>
      </c>
      <c r="E3242" s="16">
        <f>IFERROR(__xludf.DUMMYFUNCTION("""COMPUTED_VALUE"""),68.0)</f>
        <v>68</v>
      </c>
      <c r="F3242" s="19" t="str">
        <f>IFERROR(__xludf.DUMMYFUNCTION("""COMPUTED_VALUE"""),"BLACK")</f>
        <v>BLACK</v>
      </c>
      <c r="G3242" s="20" t="str">
        <f>IFERROR(__xludf.DUMMYFUNCTION("""COMPUTED_VALUE"""),"Uncle Sams Cider (5/13/2022)")</f>
        <v>Uncle Sams Cider (5/13/2022)</v>
      </c>
      <c r="H3242" s="19"/>
    </row>
    <row r="3243">
      <c r="A3243" s="9"/>
      <c r="B3243" s="15"/>
      <c r="C3243" s="9">
        <f>IFERROR(__xludf.DUMMYFUNCTION("""COMPUTED_VALUE"""),44762.8254812037)</f>
        <v>44762.82548</v>
      </c>
      <c r="D3243" s="15">
        <f>IFERROR(__xludf.DUMMYFUNCTION("""COMPUTED_VALUE"""),1.004)</f>
        <v>1.004</v>
      </c>
      <c r="E3243" s="16">
        <f>IFERROR(__xludf.DUMMYFUNCTION("""COMPUTED_VALUE"""),68.0)</f>
        <v>68</v>
      </c>
      <c r="F3243" s="19" t="str">
        <f>IFERROR(__xludf.DUMMYFUNCTION("""COMPUTED_VALUE"""),"BLACK")</f>
        <v>BLACK</v>
      </c>
      <c r="G3243" s="20" t="str">
        <f>IFERROR(__xludf.DUMMYFUNCTION("""COMPUTED_VALUE"""),"Uncle Sams Cider (5/13/2022)")</f>
        <v>Uncle Sams Cider (5/13/2022)</v>
      </c>
      <c r="H3243" s="19"/>
    </row>
    <row r="3244">
      <c r="A3244" s="9"/>
      <c r="B3244" s="15"/>
      <c r="C3244" s="9">
        <f>IFERROR(__xludf.DUMMYFUNCTION("""COMPUTED_VALUE"""),44762.8150596412)</f>
        <v>44762.81506</v>
      </c>
      <c r="D3244" s="15">
        <f>IFERROR(__xludf.DUMMYFUNCTION("""COMPUTED_VALUE"""),1.004)</f>
        <v>1.004</v>
      </c>
      <c r="E3244" s="16">
        <f>IFERROR(__xludf.DUMMYFUNCTION("""COMPUTED_VALUE"""),68.0)</f>
        <v>68</v>
      </c>
      <c r="F3244" s="19" t="str">
        <f>IFERROR(__xludf.DUMMYFUNCTION("""COMPUTED_VALUE"""),"BLACK")</f>
        <v>BLACK</v>
      </c>
      <c r="G3244" s="20" t="str">
        <f>IFERROR(__xludf.DUMMYFUNCTION("""COMPUTED_VALUE"""),"Uncle Sams Cider (5/13/2022)")</f>
        <v>Uncle Sams Cider (5/13/2022)</v>
      </c>
      <c r="H3244" s="19"/>
    </row>
    <row r="3245">
      <c r="A3245" s="9"/>
      <c r="B3245" s="15"/>
      <c r="C3245" s="9">
        <f>IFERROR(__xludf.DUMMYFUNCTION("""COMPUTED_VALUE"""),44762.8046283333)</f>
        <v>44762.80463</v>
      </c>
      <c r="D3245" s="15">
        <f>IFERROR(__xludf.DUMMYFUNCTION("""COMPUTED_VALUE"""),1.004)</f>
        <v>1.004</v>
      </c>
      <c r="E3245" s="16">
        <f>IFERROR(__xludf.DUMMYFUNCTION("""COMPUTED_VALUE"""),68.0)</f>
        <v>68</v>
      </c>
      <c r="F3245" s="19" t="str">
        <f>IFERROR(__xludf.DUMMYFUNCTION("""COMPUTED_VALUE"""),"BLACK")</f>
        <v>BLACK</v>
      </c>
      <c r="G3245" s="20" t="str">
        <f>IFERROR(__xludf.DUMMYFUNCTION("""COMPUTED_VALUE"""),"Uncle Sams Cider (5/13/2022)")</f>
        <v>Uncle Sams Cider (5/13/2022)</v>
      </c>
      <c r="H3245" s="19"/>
    </row>
    <row r="3246">
      <c r="A3246" s="9"/>
      <c r="B3246" s="15"/>
      <c r="C3246" s="9">
        <f>IFERROR(__xludf.DUMMYFUNCTION("""COMPUTED_VALUE"""),44762.7941954976)</f>
        <v>44762.7942</v>
      </c>
      <c r="D3246" s="15">
        <f>IFERROR(__xludf.DUMMYFUNCTION("""COMPUTED_VALUE"""),1.004)</f>
        <v>1.004</v>
      </c>
      <c r="E3246" s="16">
        <f>IFERROR(__xludf.DUMMYFUNCTION("""COMPUTED_VALUE"""),68.0)</f>
        <v>68</v>
      </c>
      <c r="F3246" s="19" t="str">
        <f>IFERROR(__xludf.DUMMYFUNCTION("""COMPUTED_VALUE"""),"BLACK")</f>
        <v>BLACK</v>
      </c>
      <c r="G3246" s="20" t="str">
        <f>IFERROR(__xludf.DUMMYFUNCTION("""COMPUTED_VALUE"""),"Uncle Sams Cider (5/13/2022)")</f>
        <v>Uncle Sams Cider (5/13/2022)</v>
      </c>
      <c r="H3246" s="19"/>
    </row>
    <row r="3247">
      <c r="A3247" s="9"/>
      <c r="B3247" s="15"/>
      <c r="C3247" s="9">
        <f>IFERROR(__xludf.DUMMYFUNCTION("""COMPUTED_VALUE"""),44762.7837530208)</f>
        <v>44762.78375</v>
      </c>
      <c r="D3247" s="15">
        <f>IFERROR(__xludf.DUMMYFUNCTION("""COMPUTED_VALUE"""),1.004)</f>
        <v>1.004</v>
      </c>
      <c r="E3247" s="16">
        <f>IFERROR(__xludf.DUMMYFUNCTION("""COMPUTED_VALUE"""),68.0)</f>
        <v>68</v>
      </c>
      <c r="F3247" s="19" t="str">
        <f>IFERROR(__xludf.DUMMYFUNCTION("""COMPUTED_VALUE"""),"BLACK")</f>
        <v>BLACK</v>
      </c>
      <c r="G3247" s="20" t="str">
        <f>IFERROR(__xludf.DUMMYFUNCTION("""COMPUTED_VALUE"""),"Uncle Sams Cider (5/13/2022)")</f>
        <v>Uncle Sams Cider (5/13/2022)</v>
      </c>
      <c r="H3247" s="19"/>
    </row>
    <row r="3248">
      <c r="A3248" s="9"/>
      <c r="B3248" s="15"/>
      <c r="C3248" s="9">
        <f>IFERROR(__xludf.DUMMYFUNCTION("""COMPUTED_VALUE"""),44762.7733193981)</f>
        <v>44762.77332</v>
      </c>
      <c r="D3248" s="15">
        <f>IFERROR(__xludf.DUMMYFUNCTION("""COMPUTED_VALUE"""),1.004)</f>
        <v>1.004</v>
      </c>
      <c r="E3248" s="16">
        <f>IFERROR(__xludf.DUMMYFUNCTION("""COMPUTED_VALUE"""),68.0)</f>
        <v>68</v>
      </c>
      <c r="F3248" s="19" t="str">
        <f>IFERROR(__xludf.DUMMYFUNCTION("""COMPUTED_VALUE"""),"BLACK")</f>
        <v>BLACK</v>
      </c>
      <c r="G3248" s="20" t="str">
        <f>IFERROR(__xludf.DUMMYFUNCTION("""COMPUTED_VALUE"""),"Uncle Sams Cider (5/13/2022)")</f>
        <v>Uncle Sams Cider (5/13/2022)</v>
      </c>
      <c r="H3248" s="19"/>
    </row>
    <row r="3249">
      <c r="A3249" s="9"/>
      <c r="B3249" s="15"/>
      <c r="C3249" s="9">
        <f>IFERROR(__xludf.DUMMYFUNCTION("""COMPUTED_VALUE"""),44762.7628987268)</f>
        <v>44762.7629</v>
      </c>
      <c r="D3249" s="15">
        <f>IFERROR(__xludf.DUMMYFUNCTION("""COMPUTED_VALUE"""),1.004)</f>
        <v>1.004</v>
      </c>
      <c r="E3249" s="16">
        <f>IFERROR(__xludf.DUMMYFUNCTION("""COMPUTED_VALUE"""),68.0)</f>
        <v>68</v>
      </c>
      <c r="F3249" s="19" t="str">
        <f>IFERROR(__xludf.DUMMYFUNCTION("""COMPUTED_VALUE"""),"BLACK")</f>
        <v>BLACK</v>
      </c>
      <c r="G3249" s="20" t="str">
        <f>IFERROR(__xludf.DUMMYFUNCTION("""COMPUTED_VALUE"""),"Uncle Sams Cider (5/13/2022)")</f>
        <v>Uncle Sams Cider (5/13/2022)</v>
      </c>
      <c r="H3249" s="19"/>
    </row>
    <row r="3250">
      <c r="A3250" s="9"/>
      <c r="B3250" s="15"/>
      <c r="C3250" s="9">
        <f>IFERROR(__xludf.DUMMYFUNCTION("""COMPUTED_VALUE"""),44762.7524780671)</f>
        <v>44762.75248</v>
      </c>
      <c r="D3250" s="15">
        <f>IFERROR(__xludf.DUMMYFUNCTION("""COMPUTED_VALUE"""),1.004)</f>
        <v>1.004</v>
      </c>
      <c r="E3250" s="16">
        <f>IFERROR(__xludf.DUMMYFUNCTION("""COMPUTED_VALUE"""),68.0)</f>
        <v>68</v>
      </c>
      <c r="F3250" s="19" t="str">
        <f>IFERROR(__xludf.DUMMYFUNCTION("""COMPUTED_VALUE"""),"BLACK")</f>
        <v>BLACK</v>
      </c>
      <c r="G3250" s="20" t="str">
        <f>IFERROR(__xludf.DUMMYFUNCTION("""COMPUTED_VALUE"""),"Uncle Sams Cider (5/13/2022)")</f>
        <v>Uncle Sams Cider (5/13/2022)</v>
      </c>
      <c r="H3250" s="19"/>
    </row>
    <row r="3251">
      <c r="A3251" s="9"/>
      <c r="B3251" s="15"/>
      <c r="C3251" s="9">
        <f>IFERROR(__xludf.DUMMYFUNCTION("""COMPUTED_VALUE"""),44762.7420546759)</f>
        <v>44762.74205</v>
      </c>
      <c r="D3251" s="15">
        <f>IFERROR(__xludf.DUMMYFUNCTION("""COMPUTED_VALUE"""),1.004)</f>
        <v>1.004</v>
      </c>
      <c r="E3251" s="16">
        <f>IFERROR(__xludf.DUMMYFUNCTION("""COMPUTED_VALUE"""),68.0)</f>
        <v>68</v>
      </c>
      <c r="F3251" s="19" t="str">
        <f>IFERROR(__xludf.DUMMYFUNCTION("""COMPUTED_VALUE"""),"BLACK")</f>
        <v>BLACK</v>
      </c>
      <c r="G3251" s="20" t="str">
        <f>IFERROR(__xludf.DUMMYFUNCTION("""COMPUTED_VALUE"""),"Uncle Sams Cider (5/13/2022)")</f>
        <v>Uncle Sams Cider (5/13/2022)</v>
      </c>
      <c r="H3251" s="19"/>
    </row>
    <row r="3252">
      <c r="A3252" s="9"/>
      <c r="B3252" s="15"/>
      <c r="C3252" s="9">
        <f>IFERROR(__xludf.DUMMYFUNCTION("""COMPUTED_VALUE"""),44762.7316327199)</f>
        <v>44762.73163</v>
      </c>
      <c r="D3252" s="15">
        <f>IFERROR(__xludf.DUMMYFUNCTION("""COMPUTED_VALUE"""),1.004)</f>
        <v>1.004</v>
      </c>
      <c r="E3252" s="16">
        <f>IFERROR(__xludf.DUMMYFUNCTION("""COMPUTED_VALUE"""),67.0)</f>
        <v>67</v>
      </c>
      <c r="F3252" s="19" t="str">
        <f>IFERROR(__xludf.DUMMYFUNCTION("""COMPUTED_VALUE"""),"BLACK")</f>
        <v>BLACK</v>
      </c>
      <c r="G3252" s="20" t="str">
        <f>IFERROR(__xludf.DUMMYFUNCTION("""COMPUTED_VALUE"""),"Uncle Sams Cider (5/13/2022)")</f>
        <v>Uncle Sams Cider (5/13/2022)</v>
      </c>
      <c r="H3252" s="19"/>
    </row>
    <row r="3253">
      <c r="A3253" s="9"/>
      <c r="B3253" s="15"/>
      <c r="C3253" s="9">
        <f>IFERROR(__xludf.DUMMYFUNCTION("""COMPUTED_VALUE"""),44762.7212120138)</f>
        <v>44762.72121</v>
      </c>
      <c r="D3253" s="15">
        <f>IFERROR(__xludf.DUMMYFUNCTION("""COMPUTED_VALUE"""),1.004)</f>
        <v>1.004</v>
      </c>
      <c r="E3253" s="16">
        <f>IFERROR(__xludf.DUMMYFUNCTION("""COMPUTED_VALUE"""),68.0)</f>
        <v>68</v>
      </c>
      <c r="F3253" s="19" t="str">
        <f>IFERROR(__xludf.DUMMYFUNCTION("""COMPUTED_VALUE"""),"BLACK")</f>
        <v>BLACK</v>
      </c>
      <c r="G3253" s="20" t="str">
        <f>IFERROR(__xludf.DUMMYFUNCTION("""COMPUTED_VALUE"""),"Uncle Sams Cider (5/13/2022)")</f>
        <v>Uncle Sams Cider (5/13/2022)</v>
      </c>
      <c r="H3253" s="19"/>
    </row>
    <row r="3254">
      <c r="A3254" s="9"/>
      <c r="B3254" s="15"/>
      <c r="C3254" s="9">
        <f>IFERROR(__xludf.DUMMYFUNCTION("""COMPUTED_VALUE"""),44762.7107922338)</f>
        <v>44762.71079</v>
      </c>
      <c r="D3254" s="15">
        <f>IFERROR(__xludf.DUMMYFUNCTION("""COMPUTED_VALUE"""),1.004)</f>
        <v>1.004</v>
      </c>
      <c r="E3254" s="16">
        <f>IFERROR(__xludf.DUMMYFUNCTION("""COMPUTED_VALUE"""),67.0)</f>
        <v>67</v>
      </c>
      <c r="F3254" s="19" t="str">
        <f>IFERROR(__xludf.DUMMYFUNCTION("""COMPUTED_VALUE"""),"BLACK")</f>
        <v>BLACK</v>
      </c>
      <c r="G3254" s="20" t="str">
        <f>IFERROR(__xludf.DUMMYFUNCTION("""COMPUTED_VALUE"""),"Uncle Sams Cider (5/13/2022)")</f>
        <v>Uncle Sams Cider (5/13/2022)</v>
      </c>
      <c r="H3254" s="19"/>
    </row>
    <row r="3255">
      <c r="A3255" s="9"/>
      <c r="B3255" s="15"/>
      <c r="C3255" s="9">
        <f>IFERROR(__xludf.DUMMYFUNCTION("""COMPUTED_VALUE"""),44762.7003718634)</f>
        <v>44762.70037</v>
      </c>
      <c r="D3255" s="15">
        <f>IFERROR(__xludf.DUMMYFUNCTION("""COMPUTED_VALUE"""),1.004)</f>
        <v>1.004</v>
      </c>
      <c r="E3255" s="16">
        <f>IFERROR(__xludf.DUMMYFUNCTION("""COMPUTED_VALUE"""),68.0)</f>
        <v>68</v>
      </c>
      <c r="F3255" s="19" t="str">
        <f>IFERROR(__xludf.DUMMYFUNCTION("""COMPUTED_VALUE"""),"BLACK")</f>
        <v>BLACK</v>
      </c>
      <c r="G3255" s="20" t="str">
        <f>IFERROR(__xludf.DUMMYFUNCTION("""COMPUTED_VALUE"""),"Uncle Sams Cider (5/13/2022)")</f>
        <v>Uncle Sams Cider (5/13/2022)</v>
      </c>
      <c r="H3255" s="19"/>
    </row>
    <row r="3256">
      <c r="A3256" s="9"/>
      <c r="B3256" s="15"/>
      <c r="C3256" s="9">
        <f>IFERROR(__xludf.DUMMYFUNCTION("""COMPUTED_VALUE"""),44762.6899504861)</f>
        <v>44762.68995</v>
      </c>
      <c r="D3256" s="15">
        <f>IFERROR(__xludf.DUMMYFUNCTION("""COMPUTED_VALUE"""),1.004)</f>
        <v>1.004</v>
      </c>
      <c r="E3256" s="16">
        <f>IFERROR(__xludf.DUMMYFUNCTION("""COMPUTED_VALUE"""),67.0)</f>
        <v>67</v>
      </c>
      <c r="F3256" s="19" t="str">
        <f>IFERROR(__xludf.DUMMYFUNCTION("""COMPUTED_VALUE"""),"BLACK")</f>
        <v>BLACK</v>
      </c>
      <c r="G3256" s="20" t="str">
        <f>IFERROR(__xludf.DUMMYFUNCTION("""COMPUTED_VALUE"""),"Uncle Sams Cider (5/13/2022)")</f>
        <v>Uncle Sams Cider (5/13/2022)</v>
      </c>
      <c r="H3256" s="19"/>
    </row>
    <row r="3257">
      <c r="A3257" s="9"/>
      <c r="B3257" s="15"/>
      <c r="C3257" s="9">
        <f>IFERROR(__xludf.DUMMYFUNCTION("""COMPUTED_VALUE"""),44762.6795174074)</f>
        <v>44762.67952</v>
      </c>
      <c r="D3257" s="15">
        <f>IFERROR(__xludf.DUMMYFUNCTION("""COMPUTED_VALUE"""),1.004)</f>
        <v>1.004</v>
      </c>
      <c r="E3257" s="16">
        <f>IFERROR(__xludf.DUMMYFUNCTION("""COMPUTED_VALUE"""),67.0)</f>
        <v>67</v>
      </c>
      <c r="F3257" s="19" t="str">
        <f>IFERROR(__xludf.DUMMYFUNCTION("""COMPUTED_VALUE"""),"BLACK")</f>
        <v>BLACK</v>
      </c>
      <c r="G3257" s="20" t="str">
        <f>IFERROR(__xludf.DUMMYFUNCTION("""COMPUTED_VALUE"""),"Uncle Sams Cider (5/13/2022)")</f>
        <v>Uncle Sams Cider (5/13/2022)</v>
      </c>
      <c r="H3257" s="19"/>
    </row>
    <row r="3258">
      <c r="A3258" s="9"/>
      <c r="B3258" s="15"/>
      <c r="C3258" s="9">
        <f>IFERROR(__xludf.DUMMYFUNCTION("""COMPUTED_VALUE"""),44762.6690949537)</f>
        <v>44762.66909</v>
      </c>
      <c r="D3258" s="15">
        <f>IFERROR(__xludf.DUMMYFUNCTION("""COMPUTED_VALUE"""),1.004)</f>
        <v>1.004</v>
      </c>
      <c r="E3258" s="16">
        <f>IFERROR(__xludf.DUMMYFUNCTION("""COMPUTED_VALUE"""),68.0)</f>
        <v>68</v>
      </c>
      <c r="F3258" s="19" t="str">
        <f>IFERROR(__xludf.DUMMYFUNCTION("""COMPUTED_VALUE"""),"BLACK")</f>
        <v>BLACK</v>
      </c>
      <c r="G3258" s="20" t="str">
        <f>IFERROR(__xludf.DUMMYFUNCTION("""COMPUTED_VALUE"""),"Uncle Sams Cider (5/13/2022)")</f>
        <v>Uncle Sams Cider (5/13/2022)</v>
      </c>
      <c r="H3258" s="19"/>
    </row>
    <row r="3259">
      <c r="A3259" s="9"/>
      <c r="B3259" s="15"/>
      <c r="C3259" s="9">
        <f>IFERROR(__xludf.DUMMYFUNCTION("""COMPUTED_VALUE"""),44762.6586622338)</f>
        <v>44762.65866</v>
      </c>
      <c r="D3259" s="15">
        <f>IFERROR(__xludf.DUMMYFUNCTION("""COMPUTED_VALUE"""),1.004)</f>
        <v>1.004</v>
      </c>
      <c r="E3259" s="16">
        <f>IFERROR(__xludf.DUMMYFUNCTION("""COMPUTED_VALUE"""),67.0)</f>
        <v>67</v>
      </c>
      <c r="F3259" s="19" t="str">
        <f>IFERROR(__xludf.DUMMYFUNCTION("""COMPUTED_VALUE"""),"BLACK")</f>
        <v>BLACK</v>
      </c>
      <c r="G3259" s="20" t="str">
        <f>IFERROR(__xludf.DUMMYFUNCTION("""COMPUTED_VALUE"""),"Uncle Sams Cider (5/13/2022)")</f>
        <v>Uncle Sams Cider (5/13/2022)</v>
      </c>
      <c r="H3259" s="19"/>
    </row>
    <row r="3260">
      <c r="A3260" s="9"/>
      <c r="B3260" s="15"/>
      <c r="C3260" s="9">
        <f>IFERROR(__xludf.DUMMYFUNCTION("""COMPUTED_VALUE"""),44762.6482175231)</f>
        <v>44762.64822</v>
      </c>
      <c r="D3260" s="15">
        <f>IFERROR(__xludf.DUMMYFUNCTION("""COMPUTED_VALUE"""),1.004)</f>
        <v>1.004</v>
      </c>
      <c r="E3260" s="16">
        <f>IFERROR(__xludf.DUMMYFUNCTION("""COMPUTED_VALUE"""),67.0)</f>
        <v>67</v>
      </c>
      <c r="F3260" s="19" t="str">
        <f>IFERROR(__xludf.DUMMYFUNCTION("""COMPUTED_VALUE"""),"BLACK")</f>
        <v>BLACK</v>
      </c>
      <c r="G3260" s="20" t="str">
        <f>IFERROR(__xludf.DUMMYFUNCTION("""COMPUTED_VALUE"""),"Uncle Sams Cider (5/13/2022)")</f>
        <v>Uncle Sams Cider (5/13/2022)</v>
      </c>
      <c r="H3260" s="19"/>
    </row>
    <row r="3261">
      <c r="A3261" s="9"/>
      <c r="B3261" s="15"/>
      <c r="C3261" s="9">
        <f>IFERROR(__xludf.DUMMYFUNCTION("""COMPUTED_VALUE"""),44762.6377961921)</f>
        <v>44762.6378</v>
      </c>
      <c r="D3261" s="15">
        <f>IFERROR(__xludf.DUMMYFUNCTION("""COMPUTED_VALUE"""),1.004)</f>
        <v>1.004</v>
      </c>
      <c r="E3261" s="16">
        <f>IFERROR(__xludf.DUMMYFUNCTION("""COMPUTED_VALUE"""),67.0)</f>
        <v>67</v>
      </c>
      <c r="F3261" s="19" t="str">
        <f>IFERROR(__xludf.DUMMYFUNCTION("""COMPUTED_VALUE"""),"BLACK")</f>
        <v>BLACK</v>
      </c>
      <c r="G3261" s="20" t="str">
        <f>IFERROR(__xludf.DUMMYFUNCTION("""COMPUTED_VALUE"""),"Uncle Sams Cider (5/13/2022)")</f>
        <v>Uncle Sams Cider (5/13/2022)</v>
      </c>
      <c r="H3261" s="19"/>
    </row>
    <row r="3262">
      <c r="A3262" s="9"/>
      <c r="B3262" s="15"/>
      <c r="C3262" s="9">
        <f>IFERROR(__xludf.DUMMYFUNCTION("""COMPUTED_VALUE"""),44762.6273630787)</f>
        <v>44762.62736</v>
      </c>
      <c r="D3262" s="15">
        <f>IFERROR(__xludf.DUMMYFUNCTION("""COMPUTED_VALUE"""),1.004)</f>
        <v>1.004</v>
      </c>
      <c r="E3262" s="16">
        <f>IFERROR(__xludf.DUMMYFUNCTION("""COMPUTED_VALUE"""),67.0)</f>
        <v>67</v>
      </c>
      <c r="F3262" s="19" t="str">
        <f>IFERROR(__xludf.DUMMYFUNCTION("""COMPUTED_VALUE"""),"BLACK")</f>
        <v>BLACK</v>
      </c>
      <c r="G3262" s="20" t="str">
        <f>IFERROR(__xludf.DUMMYFUNCTION("""COMPUTED_VALUE"""),"Uncle Sams Cider (5/13/2022)")</f>
        <v>Uncle Sams Cider (5/13/2022)</v>
      </c>
      <c r="H3262" s="19"/>
    </row>
    <row r="3263">
      <c r="A3263" s="9"/>
      <c r="B3263" s="15"/>
      <c r="C3263" s="9">
        <f>IFERROR(__xludf.DUMMYFUNCTION("""COMPUTED_VALUE"""),44762.6169436458)</f>
        <v>44762.61694</v>
      </c>
      <c r="D3263" s="15">
        <f>IFERROR(__xludf.DUMMYFUNCTION("""COMPUTED_VALUE"""),1.004)</f>
        <v>1.004</v>
      </c>
      <c r="E3263" s="16">
        <f>IFERROR(__xludf.DUMMYFUNCTION("""COMPUTED_VALUE"""),67.0)</f>
        <v>67</v>
      </c>
      <c r="F3263" s="19" t="str">
        <f>IFERROR(__xludf.DUMMYFUNCTION("""COMPUTED_VALUE"""),"BLACK")</f>
        <v>BLACK</v>
      </c>
      <c r="G3263" s="20" t="str">
        <f>IFERROR(__xludf.DUMMYFUNCTION("""COMPUTED_VALUE"""),"Uncle Sams Cider (5/13/2022)")</f>
        <v>Uncle Sams Cider (5/13/2022)</v>
      </c>
      <c r="H3263" s="19"/>
    </row>
    <row r="3264">
      <c r="A3264" s="9"/>
      <c r="B3264" s="15"/>
      <c r="C3264" s="9">
        <f>IFERROR(__xludf.DUMMYFUNCTION("""COMPUTED_VALUE"""),44762.606511331)</f>
        <v>44762.60651</v>
      </c>
      <c r="D3264" s="15">
        <f>IFERROR(__xludf.DUMMYFUNCTION("""COMPUTED_VALUE"""),1.004)</f>
        <v>1.004</v>
      </c>
      <c r="E3264" s="16">
        <f>IFERROR(__xludf.DUMMYFUNCTION("""COMPUTED_VALUE"""),67.0)</f>
        <v>67</v>
      </c>
      <c r="F3264" s="19" t="str">
        <f>IFERROR(__xludf.DUMMYFUNCTION("""COMPUTED_VALUE"""),"BLACK")</f>
        <v>BLACK</v>
      </c>
      <c r="G3264" s="20" t="str">
        <f>IFERROR(__xludf.DUMMYFUNCTION("""COMPUTED_VALUE"""),"Uncle Sams Cider (5/13/2022)")</f>
        <v>Uncle Sams Cider (5/13/2022)</v>
      </c>
      <c r="H3264" s="19"/>
    </row>
    <row r="3265">
      <c r="A3265" s="9"/>
      <c r="B3265" s="15"/>
      <c r="C3265" s="9">
        <f>IFERROR(__xludf.DUMMYFUNCTION("""COMPUTED_VALUE"""),44762.5960794676)</f>
        <v>44762.59608</v>
      </c>
      <c r="D3265" s="15">
        <f>IFERROR(__xludf.DUMMYFUNCTION("""COMPUTED_VALUE"""),1.004)</f>
        <v>1.004</v>
      </c>
      <c r="E3265" s="16">
        <f>IFERROR(__xludf.DUMMYFUNCTION("""COMPUTED_VALUE"""),67.0)</f>
        <v>67</v>
      </c>
      <c r="F3265" s="19" t="str">
        <f>IFERROR(__xludf.DUMMYFUNCTION("""COMPUTED_VALUE"""),"BLACK")</f>
        <v>BLACK</v>
      </c>
      <c r="G3265" s="20" t="str">
        <f>IFERROR(__xludf.DUMMYFUNCTION("""COMPUTED_VALUE"""),"Uncle Sams Cider (5/13/2022)")</f>
        <v>Uncle Sams Cider (5/13/2022)</v>
      </c>
      <c r="H3265" s="19"/>
    </row>
    <row r="3266">
      <c r="A3266" s="9"/>
      <c r="B3266" s="15"/>
      <c r="C3266" s="9">
        <f>IFERROR(__xludf.DUMMYFUNCTION("""COMPUTED_VALUE"""),44762.5856573611)</f>
        <v>44762.58566</v>
      </c>
      <c r="D3266" s="15">
        <f>IFERROR(__xludf.DUMMYFUNCTION("""COMPUTED_VALUE"""),1.004)</f>
        <v>1.004</v>
      </c>
      <c r="E3266" s="16">
        <f>IFERROR(__xludf.DUMMYFUNCTION("""COMPUTED_VALUE"""),67.0)</f>
        <v>67</v>
      </c>
      <c r="F3266" s="19" t="str">
        <f>IFERROR(__xludf.DUMMYFUNCTION("""COMPUTED_VALUE"""),"BLACK")</f>
        <v>BLACK</v>
      </c>
      <c r="G3266" s="20" t="str">
        <f>IFERROR(__xludf.DUMMYFUNCTION("""COMPUTED_VALUE"""),"Uncle Sams Cider (5/13/2022)")</f>
        <v>Uncle Sams Cider (5/13/2022)</v>
      </c>
      <c r="H3266" s="19"/>
    </row>
    <row r="3267">
      <c r="A3267" s="9"/>
      <c r="B3267" s="15"/>
      <c r="C3267" s="9">
        <f>IFERROR(__xludf.DUMMYFUNCTION("""COMPUTED_VALUE"""),44762.5752337268)</f>
        <v>44762.57523</v>
      </c>
      <c r="D3267" s="15">
        <f>IFERROR(__xludf.DUMMYFUNCTION("""COMPUTED_VALUE"""),1.004)</f>
        <v>1.004</v>
      </c>
      <c r="E3267" s="16">
        <f>IFERROR(__xludf.DUMMYFUNCTION("""COMPUTED_VALUE"""),67.0)</f>
        <v>67</v>
      </c>
      <c r="F3267" s="19" t="str">
        <f>IFERROR(__xludf.DUMMYFUNCTION("""COMPUTED_VALUE"""),"BLACK")</f>
        <v>BLACK</v>
      </c>
      <c r="G3267" s="20" t="str">
        <f>IFERROR(__xludf.DUMMYFUNCTION("""COMPUTED_VALUE"""),"Uncle Sams Cider (5/13/2022)")</f>
        <v>Uncle Sams Cider (5/13/2022)</v>
      </c>
      <c r="H3267" s="19"/>
    </row>
    <row r="3268">
      <c r="A3268" s="9"/>
      <c r="B3268" s="15"/>
      <c r="C3268" s="9">
        <f>IFERROR(__xludf.DUMMYFUNCTION("""COMPUTED_VALUE"""),44762.5648124768)</f>
        <v>44762.56481</v>
      </c>
      <c r="D3268" s="15">
        <f>IFERROR(__xludf.DUMMYFUNCTION("""COMPUTED_VALUE"""),1.004)</f>
        <v>1.004</v>
      </c>
      <c r="E3268" s="16">
        <f>IFERROR(__xludf.DUMMYFUNCTION("""COMPUTED_VALUE"""),67.0)</f>
        <v>67</v>
      </c>
      <c r="F3268" s="19" t="str">
        <f>IFERROR(__xludf.DUMMYFUNCTION("""COMPUTED_VALUE"""),"BLACK")</f>
        <v>BLACK</v>
      </c>
      <c r="G3268" s="20" t="str">
        <f>IFERROR(__xludf.DUMMYFUNCTION("""COMPUTED_VALUE"""),"Uncle Sams Cider (5/13/2022)")</f>
        <v>Uncle Sams Cider (5/13/2022)</v>
      </c>
      <c r="H3268" s="19"/>
    </row>
    <row r="3269">
      <c r="A3269" s="9"/>
      <c r="B3269" s="15"/>
      <c r="C3269" s="9">
        <f>IFERROR(__xludf.DUMMYFUNCTION("""COMPUTED_VALUE"""),44762.5543794444)</f>
        <v>44762.55438</v>
      </c>
      <c r="D3269" s="15">
        <f>IFERROR(__xludf.DUMMYFUNCTION("""COMPUTED_VALUE"""),1.004)</f>
        <v>1.004</v>
      </c>
      <c r="E3269" s="16">
        <f>IFERROR(__xludf.DUMMYFUNCTION("""COMPUTED_VALUE"""),67.0)</f>
        <v>67</v>
      </c>
      <c r="F3269" s="19" t="str">
        <f>IFERROR(__xludf.DUMMYFUNCTION("""COMPUTED_VALUE"""),"BLACK")</f>
        <v>BLACK</v>
      </c>
      <c r="G3269" s="20" t="str">
        <f>IFERROR(__xludf.DUMMYFUNCTION("""COMPUTED_VALUE"""),"Uncle Sams Cider (5/13/2022)")</f>
        <v>Uncle Sams Cider (5/13/2022)</v>
      </c>
      <c r="H3269" s="19"/>
    </row>
    <row r="3270">
      <c r="A3270" s="9"/>
      <c r="B3270" s="15"/>
      <c r="C3270" s="9">
        <f>IFERROR(__xludf.DUMMYFUNCTION("""COMPUTED_VALUE"""),44762.5439580092)</f>
        <v>44762.54396</v>
      </c>
      <c r="D3270" s="15">
        <f>IFERROR(__xludf.DUMMYFUNCTION("""COMPUTED_VALUE"""),1.004)</f>
        <v>1.004</v>
      </c>
      <c r="E3270" s="16">
        <f>IFERROR(__xludf.DUMMYFUNCTION("""COMPUTED_VALUE"""),67.0)</f>
        <v>67</v>
      </c>
      <c r="F3270" s="19" t="str">
        <f>IFERROR(__xludf.DUMMYFUNCTION("""COMPUTED_VALUE"""),"BLACK")</f>
        <v>BLACK</v>
      </c>
      <c r="G3270" s="20" t="str">
        <f>IFERROR(__xludf.DUMMYFUNCTION("""COMPUTED_VALUE"""),"Uncle Sams Cider (5/13/2022)")</f>
        <v>Uncle Sams Cider (5/13/2022)</v>
      </c>
      <c r="H3270" s="19"/>
    </row>
    <row r="3271">
      <c r="A3271" s="9"/>
      <c r="B3271" s="15"/>
      <c r="C3271" s="9">
        <f>IFERROR(__xludf.DUMMYFUNCTION("""COMPUTED_VALUE"""),44762.5335373842)</f>
        <v>44762.53354</v>
      </c>
      <c r="D3271" s="15">
        <f>IFERROR(__xludf.DUMMYFUNCTION("""COMPUTED_VALUE"""),1.004)</f>
        <v>1.004</v>
      </c>
      <c r="E3271" s="16">
        <f>IFERROR(__xludf.DUMMYFUNCTION("""COMPUTED_VALUE"""),67.0)</f>
        <v>67</v>
      </c>
      <c r="F3271" s="19" t="str">
        <f>IFERROR(__xludf.DUMMYFUNCTION("""COMPUTED_VALUE"""),"BLACK")</f>
        <v>BLACK</v>
      </c>
      <c r="G3271" s="20" t="str">
        <f>IFERROR(__xludf.DUMMYFUNCTION("""COMPUTED_VALUE"""),"Uncle Sams Cider (5/13/2022)")</f>
        <v>Uncle Sams Cider (5/13/2022)</v>
      </c>
      <c r="H3271" s="19"/>
    </row>
    <row r="3272">
      <c r="A3272" s="9"/>
      <c r="B3272" s="15"/>
      <c r="C3272" s="9">
        <f>IFERROR(__xludf.DUMMYFUNCTION("""COMPUTED_VALUE"""),44762.5231155671)</f>
        <v>44762.52312</v>
      </c>
      <c r="D3272" s="15">
        <f>IFERROR(__xludf.DUMMYFUNCTION("""COMPUTED_VALUE"""),1.004)</f>
        <v>1.004</v>
      </c>
      <c r="E3272" s="16">
        <f>IFERROR(__xludf.DUMMYFUNCTION("""COMPUTED_VALUE"""),67.0)</f>
        <v>67</v>
      </c>
      <c r="F3272" s="19" t="str">
        <f>IFERROR(__xludf.DUMMYFUNCTION("""COMPUTED_VALUE"""),"BLACK")</f>
        <v>BLACK</v>
      </c>
      <c r="G3272" s="20" t="str">
        <f>IFERROR(__xludf.DUMMYFUNCTION("""COMPUTED_VALUE"""),"Uncle Sams Cider (5/13/2022)")</f>
        <v>Uncle Sams Cider (5/13/2022)</v>
      </c>
      <c r="H3272" s="19"/>
    </row>
    <row r="3273">
      <c r="A3273" s="9"/>
      <c r="B3273" s="15"/>
      <c r="C3273" s="9">
        <f>IFERROR(__xludf.DUMMYFUNCTION("""COMPUTED_VALUE"""),44762.5126707523)</f>
        <v>44762.51267</v>
      </c>
      <c r="D3273" s="15">
        <f>IFERROR(__xludf.DUMMYFUNCTION("""COMPUTED_VALUE"""),1.004)</f>
        <v>1.004</v>
      </c>
      <c r="E3273" s="16">
        <f>IFERROR(__xludf.DUMMYFUNCTION("""COMPUTED_VALUE"""),67.0)</f>
        <v>67</v>
      </c>
      <c r="F3273" s="19" t="str">
        <f>IFERROR(__xludf.DUMMYFUNCTION("""COMPUTED_VALUE"""),"BLACK")</f>
        <v>BLACK</v>
      </c>
      <c r="G3273" s="20" t="str">
        <f>IFERROR(__xludf.DUMMYFUNCTION("""COMPUTED_VALUE"""),"Uncle Sams Cider (5/13/2022)")</f>
        <v>Uncle Sams Cider (5/13/2022)</v>
      </c>
      <c r="H3273" s="19"/>
    </row>
    <row r="3274">
      <c r="A3274" s="9"/>
      <c r="B3274" s="15"/>
      <c r="C3274" s="9">
        <f>IFERROR(__xludf.DUMMYFUNCTION("""COMPUTED_VALUE"""),44762.5022499421)</f>
        <v>44762.50225</v>
      </c>
      <c r="D3274" s="15">
        <f>IFERROR(__xludf.DUMMYFUNCTION("""COMPUTED_VALUE"""),1.004)</f>
        <v>1.004</v>
      </c>
      <c r="E3274" s="16">
        <f>IFERROR(__xludf.DUMMYFUNCTION("""COMPUTED_VALUE"""),67.0)</f>
        <v>67</v>
      </c>
      <c r="F3274" s="19" t="str">
        <f>IFERROR(__xludf.DUMMYFUNCTION("""COMPUTED_VALUE"""),"BLACK")</f>
        <v>BLACK</v>
      </c>
      <c r="G3274" s="20" t="str">
        <f>IFERROR(__xludf.DUMMYFUNCTION("""COMPUTED_VALUE"""),"Uncle Sams Cider (5/13/2022)")</f>
        <v>Uncle Sams Cider (5/13/2022)</v>
      </c>
      <c r="H3274" s="19"/>
    </row>
    <row r="3275">
      <c r="A3275" s="9"/>
      <c r="B3275" s="15"/>
      <c r="C3275" s="9">
        <f>IFERROR(__xludf.DUMMYFUNCTION("""COMPUTED_VALUE"""),44762.4918142592)</f>
        <v>44762.49181</v>
      </c>
      <c r="D3275" s="15">
        <f>IFERROR(__xludf.DUMMYFUNCTION("""COMPUTED_VALUE"""),1.004)</f>
        <v>1.004</v>
      </c>
      <c r="E3275" s="16">
        <f>IFERROR(__xludf.DUMMYFUNCTION("""COMPUTED_VALUE"""),67.0)</f>
        <v>67</v>
      </c>
      <c r="F3275" s="19" t="str">
        <f>IFERROR(__xludf.DUMMYFUNCTION("""COMPUTED_VALUE"""),"BLACK")</f>
        <v>BLACK</v>
      </c>
      <c r="G3275" s="20" t="str">
        <f>IFERROR(__xludf.DUMMYFUNCTION("""COMPUTED_VALUE"""),"Uncle Sams Cider (5/13/2022)")</f>
        <v>Uncle Sams Cider (5/13/2022)</v>
      </c>
      <c r="H3275" s="19"/>
    </row>
    <row r="3276">
      <c r="A3276" s="9"/>
      <c r="B3276" s="15"/>
      <c r="C3276" s="9">
        <f>IFERROR(__xludf.DUMMYFUNCTION("""COMPUTED_VALUE"""),44762.4813935995)</f>
        <v>44762.48139</v>
      </c>
      <c r="D3276" s="15">
        <f>IFERROR(__xludf.DUMMYFUNCTION("""COMPUTED_VALUE"""),1.004)</f>
        <v>1.004</v>
      </c>
      <c r="E3276" s="16">
        <f>IFERROR(__xludf.DUMMYFUNCTION("""COMPUTED_VALUE"""),67.0)</f>
        <v>67</v>
      </c>
      <c r="F3276" s="19" t="str">
        <f>IFERROR(__xludf.DUMMYFUNCTION("""COMPUTED_VALUE"""),"BLACK")</f>
        <v>BLACK</v>
      </c>
      <c r="G3276" s="20" t="str">
        <f>IFERROR(__xludf.DUMMYFUNCTION("""COMPUTED_VALUE"""),"Uncle Sams Cider (5/13/2022)")</f>
        <v>Uncle Sams Cider (5/13/2022)</v>
      </c>
      <c r="H3276" s="19"/>
    </row>
    <row r="3277">
      <c r="A3277" s="9"/>
      <c r="B3277" s="15"/>
      <c r="C3277" s="9">
        <f>IFERROR(__xludf.DUMMYFUNCTION("""COMPUTED_VALUE"""),44762.470972199)</f>
        <v>44762.47097</v>
      </c>
      <c r="D3277" s="15">
        <f>IFERROR(__xludf.DUMMYFUNCTION("""COMPUTED_VALUE"""),1.004)</f>
        <v>1.004</v>
      </c>
      <c r="E3277" s="16">
        <f>IFERROR(__xludf.DUMMYFUNCTION("""COMPUTED_VALUE"""),67.0)</f>
        <v>67</v>
      </c>
      <c r="F3277" s="19" t="str">
        <f>IFERROR(__xludf.DUMMYFUNCTION("""COMPUTED_VALUE"""),"BLACK")</f>
        <v>BLACK</v>
      </c>
      <c r="G3277" s="20" t="str">
        <f>IFERROR(__xludf.DUMMYFUNCTION("""COMPUTED_VALUE"""),"Uncle Sams Cider (5/13/2022)")</f>
        <v>Uncle Sams Cider (5/13/2022)</v>
      </c>
      <c r="H3277" s="19"/>
    </row>
    <row r="3278">
      <c r="A3278" s="9"/>
      <c r="B3278" s="15"/>
      <c r="C3278" s="9">
        <f>IFERROR(__xludf.DUMMYFUNCTION("""COMPUTED_VALUE"""),44762.4605500115)</f>
        <v>44762.46055</v>
      </c>
      <c r="D3278" s="15">
        <f>IFERROR(__xludf.DUMMYFUNCTION("""COMPUTED_VALUE"""),1.004)</f>
        <v>1.004</v>
      </c>
      <c r="E3278" s="16">
        <f>IFERROR(__xludf.DUMMYFUNCTION("""COMPUTED_VALUE"""),67.0)</f>
        <v>67</v>
      </c>
      <c r="F3278" s="19" t="str">
        <f>IFERROR(__xludf.DUMMYFUNCTION("""COMPUTED_VALUE"""),"BLACK")</f>
        <v>BLACK</v>
      </c>
      <c r="G3278" s="20" t="str">
        <f>IFERROR(__xludf.DUMMYFUNCTION("""COMPUTED_VALUE"""),"Uncle Sams Cider (5/13/2022)")</f>
        <v>Uncle Sams Cider (5/13/2022)</v>
      </c>
      <c r="H3278" s="19"/>
    </row>
    <row r="3279">
      <c r="A3279" s="9"/>
      <c r="B3279" s="15"/>
      <c r="C3279" s="9">
        <f>IFERROR(__xludf.DUMMYFUNCTION("""COMPUTED_VALUE"""),44762.4501166666)</f>
        <v>44762.45012</v>
      </c>
      <c r="D3279" s="15">
        <f>IFERROR(__xludf.DUMMYFUNCTION("""COMPUTED_VALUE"""),1.004)</f>
        <v>1.004</v>
      </c>
      <c r="E3279" s="16">
        <f>IFERROR(__xludf.DUMMYFUNCTION("""COMPUTED_VALUE"""),67.0)</f>
        <v>67</v>
      </c>
      <c r="F3279" s="19" t="str">
        <f>IFERROR(__xludf.DUMMYFUNCTION("""COMPUTED_VALUE"""),"BLACK")</f>
        <v>BLACK</v>
      </c>
      <c r="G3279" s="20" t="str">
        <f>IFERROR(__xludf.DUMMYFUNCTION("""COMPUTED_VALUE"""),"Uncle Sams Cider (5/13/2022)")</f>
        <v>Uncle Sams Cider (5/13/2022)</v>
      </c>
      <c r="H3279" s="19"/>
    </row>
    <row r="3280">
      <c r="A3280" s="9"/>
      <c r="B3280" s="15"/>
      <c r="C3280" s="9">
        <f>IFERROR(__xludf.DUMMYFUNCTION("""COMPUTED_VALUE"""),44762.4396955555)</f>
        <v>44762.4397</v>
      </c>
      <c r="D3280" s="15">
        <f>IFERROR(__xludf.DUMMYFUNCTION("""COMPUTED_VALUE"""),1.004)</f>
        <v>1.004</v>
      </c>
      <c r="E3280" s="16">
        <f>IFERROR(__xludf.DUMMYFUNCTION("""COMPUTED_VALUE"""),67.0)</f>
        <v>67</v>
      </c>
      <c r="F3280" s="19" t="str">
        <f>IFERROR(__xludf.DUMMYFUNCTION("""COMPUTED_VALUE"""),"BLACK")</f>
        <v>BLACK</v>
      </c>
      <c r="G3280" s="20" t="str">
        <f>IFERROR(__xludf.DUMMYFUNCTION("""COMPUTED_VALUE"""),"Uncle Sams Cider (5/13/2022)")</f>
        <v>Uncle Sams Cider (5/13/2022)</v>
      </c>
      <c r="H3280" s="19"/>
    </row>
    <row r="3281">
      <c r="A3281" s="9"/>
      <c r="B3281" s="15"/>
      <c r="C3281" s="9">
        <f>IFERROR(__xludf.DUMMYFUNCTION("""COMPUTED_VALUE"""),44762.429262118)</f>
        <v>44762.42926</v>
      </c>
      <c r="D3281" s="15">
        <f>IFERROR(__xludf.DUMMYFUNCTION("""COMPUTED_VALUE"""),1.004)</f>
        <v>1.004</v>
      </c>
      <c r="E3281" s="16">
        <f>IFERROR(__xludf.DUMMYFUNCTION("""COMPUTED_VALUE"""),67.0)</f>
        <v>67</v>
      </c>
      <c r="F3281" s="19" t="str">
        <f>IFERROR(__xludf.DUMMYFUNCTION("""COMPUTED_VALUE"""),"BLACK")</f>
        <v>BLACK</v>
      </c>
      <c r="G3281" s="20" t="str">
        <f>IFERROR(__xludf.DUMMYFUNCTION("""COMPUTED_VALUE"""),"Uncle Sams Cider (5/13/2022)")</f>
        <v>Uncle Sams Cider (5/13/2022)</v>
      </c>
      <c r="H3281" s="19"/>
    </row>
    <row r="3282">
      <c r="A3282" s="9"/>
      <c r="B3282" s="15"/>
      <c r="C3282" s="9">
        <f>IFERROR(__xludf.DUMMYFUNCTION("""COMPUTED_VALUE"""),44762.4188294791)</f>
        <v>44762.41883</v>
      </c>
      <c r="D3282" s="15">
        <f>IFERROR(__xludf.DUMMYFUNCTION("""COMPUTED_VALUE"""),1.004)</f>
        <v>1.004</v>
      </c>
      <c r="E3282" s="16">
        <f>IFERROR(__xludf.DUMMYFUNCTION("""COMPUTED_VALUE"""),67.0)</f>
        <v>67</v>
      </c>
      <c r="F3282" s="19" t="str">
        <f>IFERROR(__xludf.DUMMYFUNCTION("""COMPUTED_VALUE"""),"BLACK")</f>
        <v>BLACK</v>
      </c>
      <c r="G3282" s="20" t="str">
        <f>IFERROR(__xludf.DUMMYFUNCTION("""COMPUTED_VALUE"""),"Uncle Sams Cider (5/13/2022)")</f>
        <v>Uncle Sams Cider (5/13/2022)</v>
      </c>
      <c r="H3282" s="19"/>
    </row>
    <row r="3283">
      <c r="A3283" s="9"/>
      <c r="B3283" s="15"/>
      <c r="C3283" s="9">
        <f>IFERROR(__xludf.DUMMYFUNCTION("""COMPUTED_VALUE"""),44762.4084085879)</f>
        <v>44762.40841</v>
      </c>
      <c r="D3283" s="15">
        <f>IFERROR(__xludf.DUMMYFUNCTION("""COMPUTED_VALUE"""),1.004)</f>
        <v>1.004</v>
      </c>
      <c r="E3283" s="16">
        <f>IFERROR(__xludf.DUMMYFUNCTION("""COMPUTED_VALUE"""),67.0)</f>
        <v>67</v>
      </c>
      <c r="F3283" s="19" t="str">
        <f>IFERROR(__xludf.DUMMYFUNCTION("""COMPUTED_VALUE"""),"BLACK")</f>
        <v>BLACK</v>
      </c>
      <c r="G3283" s="20" t="str">
        <f>IFERROR(__xludf.DUMMYFUNCTION("""COMPUTED_VALUE"""),"Uncle Sams Cider (5/13/2022)")</f>
        <v>Uncle Sams Cider (5/13/2022)</v>
      </c>
      <c r="H3283" s="19"/>
    </row>
    <row r="3284">
      <c r="A3284" s="9"/>
      <c r="B3284" s="15"/>
      <c r="C3284" s="9">
        <f>IFERROR(__xludf.DUMMYFUNCTION("""COMPUTED_VALUE"""),44762.3979862384)</f>
        <v>44762.39799</v>
      </c>
      <c r="D3284" s="15">
        <f>IFERROR(__xludf.DUMMYFUNCTION("""COMPUTED_VALUE"""),1.004)</f>
        <v>1.004</v>
      </c>
      <c r="E3284" s="16">
        <f>IFERROR(__xludf.DUMMYFUNCTION("""COMPUTED_VALUE"""),67.0)</f>
        <v>67</v>
      </c>
      <c r="F3284" s="19" t="str">
        <f>IFERROR(__xludf.DUMMYFUNCTION("""COMPUTED_VALUE"""),"BLACK")</f>
        <v>BLACK</v>
      </c>
      <c r="G3284" s="20" t="str">
        <f>IFERROR(__xludf.DUMMYFUNCTION("""COMPUTED_VALUE"""),"Uncle Sams Cider (5/13/2022)")</f>
        <v>Uncle Sams Cider (5/13/2022)</v>
      </c>
      <c r="H3284" s="19"/>
    </row>
    <row r="3285">
      <c r="A3285" s="9"/>
      <c r="B3285" s="15"/>
      <c r="C3285" s="9">
        <f>IFERROR(__xludf.DUMMYFUNCTION("""COMPUTED_VALUE"""),44762.3875526273)</f>
        <v>44762.38755</v>
      </c>
      <c r="D3285" s="15">
        <f>IFERROR(__xludf.DUMMYFUNCTION("""COMPUTED_VALUE"""),1.004)</f>
        <v>1.004</v>
      </c>
      <c r="E3285" s="16">
        <f>IFERROR(__xludf.DUMMYFUNCTION("""COMPUTED_VALUE"""),67.0)</f>
        <v>67</v>
      </c>
      <c r="F3285" s="19" t="str">
        <f>IFERROR(__xludf.DUMMYFUNCTION("""COMPUTED_VALUE"""),"BLACK")</f>
        <v>BLACK</v>
      </c>
      <c r="G3285" s="20" t="str">
        <f>IFERROR(__xludf.DUMMYFUNCTION("""COMPUTED_VALUE"""),"Uncle Sams Cider (5/13/2022)")</f>
        <v>Uncle Sams Cider (5/13/2022)</v>
      </c>
      <c r="H3285" s="19"/>
    </row>
    <row r="3286">
      <c r="A3286" s="9"/>
      <c r="B3286" s="15"/>
      <c r="C3286" s="9">
        <f>IFERROR(__xludf.DUMMYFUNCTION("""COMPUTED_VALUE"""),44762.3771311689)</f>
        <v>44762.37713</v>
      </c>
      <c r="D3286" s="15">
        <f>IFERROR(__xludf.DUMMYFUNCTION("""COMPUTED_VALUE"""),1.004)</f>
        <v>1.004</v>
      </c>
      <c r="E3286" s="16">
        <f>IFERROR(__xludf.DUMMYFUNCTION("""COMPUTED_VALUE"""),67.0)</f>
        <v>67</v>
      </c>
      <c r="F3286" s="19" t="str">
        <f>IFERROR(__xludf.DUMMYFUNCTION("""COMPUTED_VALUE"""),"BLACK")</f>
        <v>BLACK</v>
      </c>
      <c r="G3286" s="20" t="str">
        <f>IFERROR(__xludf.DUMMYFUNCTION("""COMPUTED_VALUE"""),"Uncle Sams Cider (5/13/2022)")</f>
        <v>Uncle Sams Cider (5/13/2022)</v>
      </c>
      <c r="H3286" s="19"/>
    </row>
    <row r="3287">
      <c r="A3287" s="9"/>
      <c r="B3287" s="15"/>
      <c r="C3287" s="9">
        <f>IFERROR(__xludf.DUMMYFUNCTION("""COMPUTED_VALUE"""),44762.3666999652)</f>
        <v>44762.3667</v>
      </c>
      <c r="D3287" s="15">
        <f>IFERROR(__xludf.DUMMYFUNCTION("""COMPUTED_VALUE"""),1.004)</f>
        <v>1.004</v>
      </c>
      <c r="E3287" s="16">
        <f>IFERROR(__xludf.DUMMYFUNCTION("""COMPUTED_VALUE"""),67.0)</f>
        <v>67</v>
      </c>
      <c r="F3287" s="19" t="str">
        <f>IFERROR(__xludf.DUMMYFUNCTION("""COMPUTED_VALUE"""),"BLACK")</f>
        <v>BLACK</v>
      </c>
      <c r="G3287" s="20" t="str">
        <f>IFERROR(__xludf.DUMMYFUNCTION("""COMPUTED_VALUE"""),"Uncle Sams Cider (5/13/2022)")</f>
        <v>Uncle Sams Cider (5/13/2022)</v>
      </c>
      <c r="H3287" s="19"/>
    </row>
    <row r="3288">
      <c r="A3288" s="9"/>
      <c r="B3288" s="15"/>
      <c r="C3288" s="9">
        <f>IFERROR(__xludf.DUMMYFUNCTION("""COMPUTED_VALUE"""),44762.3562784953)</f>
        <v>44762.35628</v>
      </c>
      <c r="D3288" s="15">
        <f>IFERROR(__xludf.DUMMYFUNCTION("""COMPUTED_VALUE"""),1.004)</f>
        <v>1.004</v>
      </c>
      <c r="E3288" s="16">
        <f>IFERROR(__xludf.DUMMYFUNCTION("""COMPUTED_VALUE"""),67.0)</f>
        <v>67</v>
      </c>
      <c r="F3288" s="19" t="str">
        <f>IFERROR(__xludf.DUMMYFUNCTION("""COMPUTED_VALUE"""),"BLACK")</f>
        <v>BLACK</v>
      </c>
      <c r="G3288" s="20" t="str">
        <f>IFERROR(__xludf.DUMMYFUNCTION("""COMPUTED_VALUE"""),"Uncle Sams Cider (5/13/2022)")</f>
        <v>Uncle Sams Cider (5/13/2022)</v>
      </c>
      <c r="H3288" s="19"/>
    </row>
    <row r="3289">
      <c r="A3289" s="9"/>
      <c r="B3289" s="15"/>
      <c r="C3289" s="9">
        <f>IFERROR(__xludf.DUMMYFUNCTION("""COMPUTED_VALUE"""),44762.3458563425)</f>
        <v>44762.34586</v>
      </c>
      <c r="D3289" s="15">
        <f>IFERROR(__xludf.DUMMYFUNCTION("""COMPUTED_VALUE"""),1.004)</f>
        <v>1.004</v>
      </c>
      <c r="E3289" s="16">
        <f>IFERROR(__xludf.DUMMYFUNCTION("""COMPUTED_VALUE"""),67.0)</f>
        <v>67</v>
      </c>
      <c r="F3289" s="19" t="str">
        <f>IFERROR(__xludf.DUMMYFUNCTION("""COMPUTED_VALUE"""),"BLACK")</f>
        <v>BLACK</v>
      </c>
      <c r="G3289" s="20" t="str">
        <f>IFERROR(__xludf.DUMMYFUNCTION("""COMPUTED_VALUE"""),"Uncle Sams Cider (5/13/2022)")</f>
        <v>Uncle Sams Cider (5/13/2022)</v>
      </c>
      <c r="H3289" s="19"/>
    </row>
    <row r="3290">
      <c r="A3290" s="9"/>
      <c r="B3290" s="15"/>
      <c r="C3290" s="9">
        <f>IFERROR(__xludf.DUMMYFUNCTION("""COMPUTED_VALUE"""),44762.3354351736)</f>
        <v>44762.33544</v>
      </c>
      <c r="D3290" s="15">
        <f>IFERROR(__xludf.DUMMYFUNCTION("""COMPUTED_VALUE"""),1.004)</f>
        <v>1.004</v>
      </c>
      <c r="E3290" s="16">
        <f>IFERROR(__xludf.DUMMYFUNCTION("""COMPUTED_VALUE"""),67.0)</f>
        <v>67</v>
      </c>
      <c r="F3290" s="19" t="str">
        <f>IFERROR(__xludf.DUMMYFUNCTION("""COMPUTED_VALUE"""),"BLACK")</f>
        <v>BLACK</v>
      </c>
      <c r="G3290" s="20" t="str">
        <f>IFERROR(__xludf.DUMMYFUNCTION("""COMPUTED_VALUE"""),"Uncle Sams Cider (5/13/2022)")</f>
        <v>Uncle Sams Cider (5/13/2022)</v>
      </c>
      <c r="H3290" s="19"/>
    </row>
    <row r="3291">
      <c r="A3291" s="9"/>
      <c r="B3291" s="15"/>
      <c r="C3291" s="9">
        <f>IFERROR(__xludf.DUMMYFUNCTION("""COMPUTED_VALUE"""),44762.3250139467)</f>
        <v>44762.32501</v>
      </c>
      <c r="D3291" s="15">
        <f>IFERROR(__xludf.DUMMYFUNCTION("""COMPUTED_VALUE"""),1.004)</f>
        <v>1.004</v>
      </c>
      <c r="E3291" s="16">
        <f>IFERROR(__xludf.DUMMYFUNCTION("""COMPUTED_VALUE"""),67.0)</f>
        <v>67</v>
      </c>
      <c r="F3291" s="19" t="str">
        <f>IFERROR(__xludf.DUMMYFUNCTION("""COMPUTED_VALUE"""),"BLACK")</f>
        <v>BLACK</v>
      </c>
      <c r="G3291" s="20" t="str">
        <f>IFERROR(__xludf.DUMMYFUNCTION("""COMPUTED_VALUE"""),"Uncle Sams Cider (5/13/2022)")</f>
        <v>Uncle Sams Cider (5/13/2022)</v>
      </c>
      <c r="H3291" s="19"/>
    </row>
    <row r="3292">
      <c r="A3292" s="9"/>
      <c r="B3292" s="15"/>
      <c r="C3292" s="9">
        <f>IFERROR(__xludf.DUMMYFUNCTION("""COMPUTED_VALUE"""),44762.3145937731)</f>
        <v>44762.31459</v>
      </c>
      <c r="D3292" s="15">
        <f>IFERROR(__xludf.DUMMYFUNCTION("""COMPUTED_VALUE"""),1.004)</f>
        <v>1.004</v>
      </c>
      <c r="E3292" s="16">
        <f>IFERROR(__xludf.DUMMYFUNCTION("""COMPUTED_VALUE"""),67.0)</f>
        <v>67</v>
      </c>
      <c r="F3292" s="19" t="str">
        <f>IFERROR(__xludf.DUMMYFUNCTION("""COMPUTED_VALUE"""),"BLACK")</f>
        <v>BLACK</v>
      </c>
      <c r="G3292" s="20" t="str">
        <f>IFERROR(__xludf.DUMMYFUNCTION("""COMPUTED_VALUE"""),"Uncle Sams Cider (5/13/2022)")</f>
        <v>Uncle Sams Cider (5/13/2022)</v>
      </c>
      <c r="H3292" s="19"/>
    </row>
    <row r="3293">
      <c r="A3293" s="9"/>
      <c r="B3293" s="15"/>
      <c r="C3293" s="9">
        <f>IFERROR(__xludf.DUMMYFUNCTION("""COMPUTED_VALUE"""),44762.3041710648)</f>
        <v>44762.30417</v>
      </c>
      <c r="D3293" s="15">
        <f>IFERROR(__xludf.DUMMYFUNCTION("""COMPUTED_VALUE"""),1.004)</f>
        <v>1.004</v>
      </c>
      <c r="E3293" s="16">
        <f>IFERROR(__xludf.DUMMYFUNCTION("""COMPUTED_VALUE"""),67.0)</f>
        <v>67</v>
      </c>
      <c r="F3293" s="19" t="str">
        <f>IFERROR(__xludf.DUMMYFUNCTION("""COMPUTED_VALUE"""),"BLACK")</f>
        <v>BLACK</v>
      </c>
      <c r="G3293" s="20" t="str">
        <f>IFERROR(__xludf.DUMMYFUNCTION("""COMPUTED_VALUE"""),"Uncle Sams Cider (5/13/2022)")</f>
        <v>Uncle Sams Cider (5/13/2022)</v>
      </c>
      <c r="H3293" s="19"/>
    </row>
    <row r="3294">
      <c r="A3294" s="9"/>
      <c r="B3294" s="15"/>
      <c r="C3294" s="9">
        <f>IFERROR(__xludf.DUMMYFUNCTION("""COMPUTED_VALUE"""),44762.2937483796)</f>
        <v>44762.29375</v>
      </c>
      <c r="D3294" s="15">
        <f>IFERROR(__xludf.DUMMYFUNCTION("""COMPUTED_VALUE"""),1.004)</f>
        <v>1.004</v>
      </c>
      <c r="E3294" s="16">
        <f>IFERROR(__xludf.DUMMYFUNCTION("""COMPUTED_VALUE"""),67.0)</f>
        <v>67</v>
      </c>
      <c r="F3294" s="19" t="str">
        <f>IFERROR(__xludf.DUMMYFUNCTION("""COMPUTED_VALUE"""),"BLACK")</f>
        <v>BLACK</v>
      </c>
      <c r="G3294" s="20" t="str">
        <f>IFERROR(__xludf.DUMMYFUNCTION("""COMPUTED_VALUE"""),"Uncle Sams Cider (5/13/2022)")</f>
        <v>Uncle Sams Cider (5/13/2022)</v>
      </c>
      <c r="H3294" s="19"/>
    </row>
    <row r="3295">
      <c r="A3295" s="9"/>
      <c r="B3295" s="15"/>
      <c r="C3295" s="9">
        <f>IFERROR(__xludf.DUMMYFUNCTION("""COMPUTED_VALUE"""),44762.2833290856)</f>
        <v>44762.28333</v>
      </c>
      <c r="D3295" s="15">
        <f>IFERROR(__xludf.DUMMYFUNCTION("""COMPUTED_VALUE"""),1.004)</f>
        <v>1.004</v>
      </c>
      <c r="E3295" s="16">
        <f>IFERROR(__xludf.DUMMYFUNCTION("""COMPUTED_VALUE"""),67.0)</f>
        <v>67</v>
      </c>
      <c r="F3295" s="19" t="str">
        <f>IFERROR(__xludf.DUMMYFUNCTION("""COMPUTED_VALUE"""),"BLACK")</f>
        <v>BLACK</v>
      </c>
      <c r="G3295" s="20" t="str">
        <f>IFERROR(__xludf.DUMMYFUNCTION("""COMPUTED_VALUE"""),"Uncle Sams Cider (5/13/2022)")</f>
        <v>Uncle Sams Cider (5/13/2022)</v>
      </c>
      <c r="H3295" s="19"/>
    </row>
    <row r="3296">
      <c r="A3296" s="9"/>
      <c r="B3296" s="15"/>
      <c r="C3296" s="9">
        <f>IFERROR(__xludf.DUMMYFUNCTION("""COMPUTED_VALUE"""),44762.2728948726)</f>
        <v>44762.27289</v>
      </c>
      <c r="D3296" s="15">
        <f>IFERROR(__xludf.DUMMYFUNCTION("""COMPUTED_VALUE"""),1.004)</f>
        <v>1.004</v>
      </c>
      <c r="E3296" s="16">
        <f>IFERROR(__xludf.DUMMYFUNCTION("""COMPUTED_VALUE"""),67.0)</f>
        <v>67</v>
      </c>
      <c r="F3296" s="19" t="str">
        <f>IFERROR(__xludf.DUMMYFUNCTION("""COMPUTED_VALUE"""),"BLACK")</f>
        <v>BLACK</v>
      </c>
      <c r="G3296" s="20" t="str">
        <f>IFERROR(__xludf.DUMMYFUNCTION("""COMPUTED_VALUE"""),"Uncle Sams Cider (5/13/2022)")</f>
        <v>Uncle Sams Cider (5/13/2022)</v>
      </c>
      <c r="H3296" s="19"/>
    </row>
    <row r="3297">
      <c r="A3297" s="9"/>
      <c r="B3297" s="15"/>
      <c r="C3297" s="9">
        <f>IFERROR(__xludf.DUMMYFUNCTION("""COMPUTED_VALUE"""),44762.2624505208)</f>
        <v>44762.26245</v>
      </c>
      <c r="D3297" s="15">
        <f>IFERROR(__xludf.DUMMYFUNCTION("""COMPUTED_VALUE"""),1.004)</f>
        <v>1.004</v>
      </c>
      <c r="E3297" s="16">
        <f>IFERROR(__xludf.DUMMYFUNCTION("""COMPUTED_VALUE"""),67.0)</f>
        <v>67</v>
      </c>
      <c r="F3297" s="19" t="str">
        <f>IFERROR(__xludf.DUMMYFUNCTION("""COMPUTED_VALUE"""),"BLACK")</f>
        <v>BLACK</v>
      </c>
      <c r="G3297" s="20" t="str">
        <f>IFERROR(__xludf.DUMMYFUNCTION("""COMPUTED_VALUE"""),"Uncle Sams Cider (5/13/2022)")</f>
        <v>Uncle Sams Cider (5/13/2022)</v>
      </c>
      <c r="H3297" s="19"/>
    </row>
    <row r="3298">
      <c r="A3298" s="9"/>
      <c r="B3298" s="15"/>
      <c r="C3298" s="9">
        <f>IFERROR(__xludf.DUMMYFUNCTION("""COMPUTED_VALUE"""),44762.2520290393)</f>
        <v>44762.25203</v>
      </c>
      <c r="D3298" s="15">
        <f>IFERROR(__xludf.DUMMYFUNCTION("""COMPUTED_VALUE"""),1.004)</f>
        <v>1.004</v>
      </c>
      <c r="E3298" s="16">
        <f>IFERROR(__xludf.DUMMYFUNCTION("""COMPUTED_VALUE"""),67.0)</f>
        <v>67</v>
      </c>
      <c r="F3298" s="19" t="str">
        <f>IFERROR(__xludf.DUMMYFUNCTION("""COMPUTED_VALUE"""),"BLACK")</f>
        <v>BLACK</v>
      </c>
      <c r="G3298" s="20" t="str">
        <f>IFERROR(__xludf.DUMMYFUNCTION("""COMPUTED_VALUE"""),"Uncle Sams Cider (5/13/2022)")</f>
        <v>Uncle Sams Cider (5/13/2022)</v>
      </c>
      <c r="H3298" s="19"/>
    </row>
    <row r="3299">
      <c r="A3299" s="9"/>
      <c r="B3299" s="15"/>
      <c r="C3299" s="9">
        <f>IFERROR(__xludf.DUMMYFUNCTION("""COMPUTED_VALUE"""),44762.2416077893)</f>
        <v>44762.24161</v>
      </c>
      <c r="D3299" s="15">
        <f>IFERROR(__xludf.DUMMYFUNCTION("""COMPUTED_VALUE"""),1.004)</f>
        <v>1.004</v>
      </c>
      <c r="E3299" s="16">
        <f>IFERROR(__xludf.DUMMYFUNCTION("""COMPUTED_VALUE"""),67.0)</f>
        <v>67</v>
      </c>
      <c r="F3299" s="19" t="str">
        <f>IFERROR(__xludf.DUMMYFUNCTION("""COMPUTED_VALUE"""),"BLACK")</f>
        <v>BLACK</v>
      </c>
      <c r="G3299" s="20" t="str">
        <f>IFERROR(__xludf.DUMMYFUNCTION("""COMPUTED_VALUE"""),"Uncle Sams Cider (5/13/2022)")</f>
        <v>Uncle Sams Cider (5/13/2022)</v>
      </c>
      <c r="H3299" s="19"/>
    </row>
    <row r="3300">
      <c r="A3300" s="9"/>
      <c r="B3300" s="15"/>
      <c r="C3300" s="9">
        <f>IFERROR(__xludf.DUMMYFUNCTION("""COMPUTED_VALUE"""),44762.231188368)</f>
        <v>44762.23119</v>
      </c>
      <c r="D3300" s="15">
        <f>IFERROR(__xludf.DUMMYFUNCTION("""COMPUTED_VALUE"""),1.004)</f>
        <v>1.004</v>
      </c>
      <c r="E3300" s="16">
        <f>IFERROR(__xludf.DUMMYFUNCTION("""COMPUTED_VALUE"""),67.0)</f>
        <v>67</v>
      </c>
      <c r="F3300" s="19" t="str">
        <f>IFERROR(__xludf.DUMMYFUNCTION("""COMPUTED_VALUE"""),"BLACK")</f>
        <v>BLACK</v>
      </c>
      <c r="G3300" s="20" t="str">
        <f>IFERROR(__xludf.DUMMYFUNCTION("""COMPUTED_VALUE"""),"Uncle Sams Cider (5/13/2022)")</f>
        <v>Uncle Sams Cider (5/13/2022)</v>
      </c>
      <c r="H3300" s="19"/>
    </row>
    <row r="3301">
      <c r="A3301" s="9"/>
      <c r="B3301" s="15"/>
      <c r="C3301" s="9">
        <f>IFERROR(__xludf.DUMMYFUNCTION("""COMPUTED_VALUE"""),44762.2207449074)</f>
        <v>44762.22074</v>
      </c>
      <c r="D3301" s="15">
        <f>IFERROR(__xludf.DUMMYFUNCTION("""COMPUTED_VALUE"""),1.004)</f>
        <v>1.004</v>
      </c>
      <c r="E3301" s="16">
        <f>IFERROR(__xludf.DUMMYFUNCTION("""COMPUTED_VALUE"""),67.0)</f>
        <v>67</v>
      </c>
      <c r="F3301" s="19" t="str">
        <f>IFERROR(__xludf.DUMMYFUNCTION("""COMPUTED_VALUE"""),"BLACK")</f>
        <v>BLACK</v>
      </c>
      <c r="G3301" s="20" t="str">
        <f>IFERROR(__xludf.DUMMYFUNCTION("""COMPUTED_VALUE"""),"Uncle Sams Cider (5/13/2022)")</f>
        <v>Uncle Sams Cider (5/13/2022)</v>
      </c>
      <c r="H3301" s="19"/>
    </row>
    <row r="3302">
      <c r="A3302" s="9"/>
      <c r="B3302" s="15"/>
      <c r="C3302" s="9">
        <f>IFERROR(__xludf.DUMMYFUNCTION("""COMPUTED_VALUE"""),44762.21031)</f>
        <v>44762.21031</v>
      </c>
      <c r="D3302" s="15">
        <f>IFERROR(__xludf.DUMMYFUNCTION("""COMPUTED_VALUE"""),1.004)</f>
        <v>1.004</v>
      </c>
      <c r="E3302" s="16">
        <f>IFERROR(__xludf.DUMMYFUNCTION("""COMPUTED_VALUE"""),67.0)</f>
        <v>67</v>
      </c>
      <c r="F3302" s="19" t="str">
        <f>IFERROR(__xludf.DUMMYFUNCTION("""COMPUTED_VALUE"""),"BLACK")</f>
        <v>BLACK</v>
      </c>
      <c r="G3302" s="20" t="str">
        <f>IFERROR(__xludf.DUMMYFUNCTION("""COMPUTED_VALUE"""),"Uncle Sams Cider (5/13/2022)")</f>
        <v>Uncle Sams Cider (5/13/2022)</v>
      </c>
      <c r="H3302" s="19"/>
    </row>
    <row r="3303">
      <c r="A3303" s="9"/>
      <c r="B3303" s="15"/>
      <c r="C3303" s="9">
        <f>IFERROR(__xludf.DUMMYFUNCTION("""COMPUTED_VALUE"""),44762.1998874652)</f>
        <v>44762.19989</v>
      </c>
      <c r="D3303" s="15">
        <f>IFERROR(__xludf.DUMMYFUNCTION("""COMPUTED_VALUE"""),1.004)</f>
        <v>1.004</v>
      </c>
      <c r="E3303" s="16">
        <f>IFERROR(__xludf.DUMMYFUNCTION("""COMPUTED_VALUE"""),67.0)</f>
        <v>67</v>
      </c>
      <c r="F3303" s="19" t="str">
        <f>IFERROR(__xludf.DUMMYFUNCTION("""COMPUTED_VALUE"""),"BLACK")</f>
        <v>BLACK</v>
      </c>
      <c r="G3303" s="20" t="str">
        <f>IFERROR(__xludf.DUMMYFUNCTION("""COMPUTED_VALUE"""),"Uncle Sams Cider (5/13/2022)")</f>
        <v>Uncle Sams Cider (5/13/2022)</v>
      </c>
      <c r="H3303" s="19"/>
    </row>
    <row r="3304">
      <c r="A3304" s="9"/>
      <c r="B3304" s="15"/>
      <c r="C3304" s="9">
        <f>IFERROR(__xludf.DUMMYFUNCTION("""COMPUTED_VALUE"""),44762.1894658796)</f>
        <v>44762.18947</v>
      </c>
      <c r="D3304" s="15">
        <f>IFERROR(__xludf.DUMMYFUNCTION("""COMPUTED_VALUE"""),1.004)</f>
        <v>1.004</v>
      </c>
      <c r="E3304" s="16">
        <f>IFERROR(__xludf.DUMMYFUNCTION("""COMPUTED_VALUE"""),67.0)</f>
        <v>67</v>
      </c>
      <c r="F3304" s="19" t="str">
        <f>IFERROR(__xludf.DUMMYFUNCTION("""COMPUTED_VALUE"""),"BLACK")</f>
        <v>BLACK</v>
      </c>
      <c r="G3304" s="20" t="str">
        <f>IFERROR(__xludf.DUMMYFUNCTION("""COMPUTED_VALUE"""),"Uncle Sams Cider (5/13/2022)")</f>
        <v>Uncle Sams Cider (5/13/2022)</v>
      </c>
      <c r="H3304" s="19"/>
    </row>
    <row r="3305">
      <c r="A3305" s="9"/>
      <c r="B3305" s="15"/>
      <c r="C3305" s="9">
        <f>IFERROR(__xludf.DUMMYFUNCTION("""COMPUTED_VALUE"""),44762.1790446296)</f>
        <v>44762.17904</v>
      </c>
      <c r="D3305" s="15">
        <f>IFERROR(__xludf.DUMMYFUNCTION("""COMPUTED_VALUE"""),1.004)</f>
        <v>1.004</v>
      </c>
      <c r="E3305" s="16">
        <f>IFERROR(__xludf.DUMMYFUNCTION("""COMPUTED_VALUE"""),67.0)</f>
        <v>67</v>
      </c>
      <c r="F3305" s="19" t="str">
        <f>IFERROR(__xludf.DUMMYFUNCTION("""COMPUTED_VALUE"""),"BLACK")</f>
        <v>BLACK</v>
      </c>
      <c r="G3305" s="20" t="str">
        <f>IFERROR(__xludf.DUMMYFUNCTION("""COMPUTED_VALUE"""),"Uncle Sams Cider (5/13/2022)")</f>
        <v>Uncle Sams Cider (5/13/2022)</v>
      </c>
      <c r="H3305" s="19"/>
    </row>
    <row r="3306">
      <c r="A3306" s="9"/>
      <c r="B3306" s="15"/>
      <c r="C3306" s="9">
        <f>IFERROR(__xludf.DUMMYFUNCTION("""COMPUTED_VALUE"""),44762.1686242476)</f>
        <v>44762.16862</v>
      </c>
      <c r="D3306" s="15">
        <f>IFERROR(__xludf.DUMMYFUNCTION("""COMPUTED_VALUE"""),1.004)</f>
        <v>1.004</v>
      </c>
      <c r="E3306" s="16">
        <f>IFERROR(__xludf.DUMMYFUNCTION("""COMPUTED_VALUE"""),67.0)</f>
        <v>67</v>
      </c>
      <c r="F3306" s="19" t="str">
        <f>IFERROR(__xludf.DUMMYFUNCTION("""COMPUTED_VALUE"""),"BLACK")</f>
        <v>BLACK</v>
      </c>
      <c r="G3306" s="20" t="str">
        <f>IFERROR(__xludf.DUMMYFUNCTION("""COMPUTED_VALUE"""),"Uncle Sams Cider (5/13/2022)")</f>
        <v>Uncle Sams Cider (5/13/2022)</v>
      </c>
      <c r="H3306" s="19"/>
    </row>
    <row r="3307">
      <c r="A3307" s="9"/>
      <c r="B3307" s="15"/>
      <c r="C3307" s="9">
        <f>IFERROR(__xludf.DUMMYFUNCTION("""COMPUTED_VALUE"""),44762.1582024537)</f>
        <v>44762.1582</v>
      </c>
      <c r="D3307" s="15">
        <f>IFERROR(__xludf.DUMMYFUNCTION("""COMPUTED_VALUE"""),1.004)</f>
        <v>1.004</v>
      </c>
      <c r="E3307" s="16">
        <f>IFERROR(__xludf.DUMMYFUNCTION("""COMPUTED_VALUE"""),67.0)</f>
        <v>67</v>
      </c>
      <c r="F3307" s="19" t="str">
        <f>IFERROR(__xludf.DUMMYFUNCTION("""COMPUTED_VALUE"""),"BLACK")</f>
        <v>BLACK</v>
      </c>
      <c r="G3307" s="20" t="str">
        <f>IFERROR(__xludf.DUMMYFUNCTION("""COMPUTED_VALUE"""),"Uncle Sams Cider (5/13/2022)")</f>
        <v>Uncle Sams Cider (5/13/2022)</v>
      </c>
      <c r="H3307" s="19"/>
    </row>
    <row r="3308">
      <c r="A3308" s="9"/>
      <c r="B3308" s="15"/>
      <c r="C3308" s="9">
        <f>IFERROR(__xludf.DUMMYFUNCTION("""COMPUTED_VALUE"""),44762.1477817361)</f>
        <v>44762.14778</v>
      </c>
      <c r="D3308" s="15">
        <f>IFERROR(__xludf.DUMMYFUNCTION("""COMPUTED_VALUE"""),1.004)</f>
        <v>1.004</v>
      </c>
      <c r="E3308" s="16">
        <f>IFERROR(__xludf.DUMMYFUNCTION("""COMPUTED_VALUE"""),67.0)</f>
        <v>67</v>
      </c>
      <c r="F3308" s="19" t="str">
        <f>IFERROR(__xludf.DUMMYFUNCTION("""COMPUTED_VALUE"""),"BLACK")</f>
        <v>BLACK</v>
      </c>
      <c r="G3308" s="20" t="str">
        <f>IFERROR(__xludf.DUMMYFUNCTION("""COMPUTED_VALUE"""),"Uncle Sams Cider (5/13/2022)")</f>
        <v>Uncle Sams Cider (5/13/2022)</v>
      </c>
      <c r="H3308" s="19"/>
    </row>
    <row r="3309">
      <c r="A3309" s="9"/>
      <c r="B3309" s="15"/>
      <c r="C3309" s="9">
        <f>IFERROR(__xludf.DUMMYFUNCTION("""COMPUTED_VALUE"""),44762.1373488194)</f>
        <v>44762.13735</v>
      </c>
      <c r="D3309" s="15">
        <f>IFERROR(__xludf.DUMMYFUNCTION("""COMPUTED_VALUE"""),1.004)</f>
        <v>1.004</v>
      </c>
      <c r="E3309" s="16">
        <f>IFERROR(__xludf.DUMMYFUNCTION("""COMPUTED_VALUE"""),67.0)</f>
        <v>67</v>
      </c>
      <c r="F3309" s="19" t="str">
        <f>IFERROR(__xludf.DUMMYFUNCTION("""COMPUTED_VALUE"""),"BLACK")</f>
        <v>BLACK</v>
      </c>
      <c r="G3309" s="20" t="str">
        <f>IFERROR(__xludf.DUMMYFUNCTION("""COMPUTED_VALUE"""),"Uncle Sams Cider (5/13/2022)")</f>
        <v>Uncle Sams Cider (5/13/2022)</v>
      </c>
      <c r="H3309" s="19"/>
    </row>
    <row r="3310">
      <c r="A3310" s="9"/>
      <c r="B3310" s="15"/>
      <c r="C3310" s="9">
        <f>IFERROR(__xludf.DUMMYFUNCTION("""COMPUTED_VALUE"""),44762.1269277314)</f>
        <v>44762.12693</v>
      </c>
      <c r="D3310" s="15">
        <f>IFERROR(__xludf.DUMMYFUNCTION("""COMPUTED_VALUE"""),1.004)</f>
        <v>1.004</v>
      </c>
      <c r="E3310" s="16">
        <f>IFERROR(__xludf.DUMMYFUNCTION("""COMPUTED_VALUE"""),67.0)</f>
        <v>67</v>
      </c>
      <c r="F3310" s="19" t="str">
        <f>IFERROR(__xludf.DUMMYFUNCTION("""COMPUTED_VALUE"""),"BLACK")</f>
        <v>BLACK</v>
      </c>
      <c r="G3310" s="20" t="str">
        <f>IFERROR(__xludf.DUMMYFUNCTION("""COMPUTED_VALUE"""),"Uncle Sams Cider (5/13/2022)")</f>
        <v>Uncle Sams Cider (5/13/2022)</v>
      </c>
      <c r="H3310" s="19"/>
    </row>
    <row r="3311">
      <c r="A3311" s="9"/>
      <c r="B3311" s="15"/>
      <c r="C3311" s="9">
        <f>IFERROR(__xludf.DUMMYFUNCTION("""COMPUTED_VALUE"""),44762.1165068055)</f>
        <v>44762.11651</v>
      </c>
      <c r="D3311" s="15">
        <f>IFERROR(__xludf.DUMMYFUNCTION("""COMPUTED_VALUE"""),1.004)</f>
        <v>1.004</v>
      </c>
      <c r="E3311" s="16">
        <f>IFERROR(__xludf.DUMMYFUNCTION("""COMPUTED_VALUE"""),67.0)</f>
        <v>67</v>
      </c>
      <c r="F3311" s="19" t="str">
        <f>IFERROR(__xludf.DUMMYFUNCTION("""COMPUTED_VALUE"""),"BLACK")</f>
        <v>BLACK</v>
      </c>
      <c r="G3311" s="20" t="str">
        <f>IFERROR(__xludf.DUMMYFUNCTION("""COMPUTED_VALUE"""),"Uncle Sams Cider (5/13/2022)")</f>
        <v>Uncle Sams Cider (5/13/2022)</v>
      </c>
      <c r="H3311" s="19"/>
    </row>
    <row r="3312">
      <c r="A3312" s="9"/>
      <c r="B3312" s="15"/>
      <c r="C3312" s="9">
        <f>IFERROR(__xludf.DUMMYFUNCTION("""COMPUTED_VALUE"""),44762.1060849884)</f>
        <v>44762.10608</v>
      </c>
      <c r="D3312" s="15">
        <f>IFERROR(__xludf.DUMMYFUNCTION("""COMPUTED_VALUE"""),1.004)</f>
        <v>1.004</v>
      </c>
      <c r="E3312" s="16">
        <f>IFERROR(__xludf.DUMMYFUNCTION("""COMPUTED_VALUE"""),67.0)</f>
        <v>67</v>
      </c>
      <c r="F3312" s="19" t="str">
        <f>IFERROR(__xludf.DUMMYFUNCTION("""COMPUTED_VALUE"""),"BLACK")</f>
        <v>BLACK</v>
      </c>
      <c r="G3312" s="20" t="str">
        <f>IFERROR(__xludf.DUMMYFUNCTION("""COMPUTED_VALUE"""),"Uncle Sams Cider (5/13/2022)")</f>
        <v>Uncle Sams Cider (5/13/2022)</v>
      </c>
      <c r="H3312" s="19"/>
    </row>
    <row r="3313">
      <c r="A3313" s="9"/>
      <c r="B3313" s="15"/>
      <c r="C3313" s="9">
        <f>IFERROR(__xludf.DUMMYFUNCTION("""COMPUTED_VALUE"""),44762.0956631018)</f>
        <v>44762.09566</v>
      </c>
      <c r="D3313" s="15">
        <f>IFERROR(__xludf.DUMMYFUNCTION("""COMPUTED_VALUE"""),1.004)</f>
        <v>1.004</v>
      </c>
      <c r="E3313" s="16">
        <f>IFERROR(__xludf.DUMMYFUNCTION("""COMPUTED_VALUE"""),67.0)</f>
        <v>67</v>
      </c>
      <c r="F3313" s="19" t="str">
        <f>IFERROR(__xludf.DUMMYFUNCTION("""COMPUTED_VALUE"""),"BLACK")</f>
        <v>BLACK</v>
      </c>
      <c r="G3313" s="20" t="str">
        <f>IFERROR(__xludf.DUMMYFUNCTION("""COMPUTED_VALUE"""),"Uncle Sams Cider (5/13/2022)")</f>
        <v>Uncle Sams Cider (5/13/2022)</v>
      </c>
      <c r="H3313" s="19"/>
    </row>
    <row r="3314">
      <c r="A3314" s="9"/>
      <c r="B3314" s="15"/>
      <c r="C3314" s="9">
        <f>IFERROR(__xludf.DUMMYFUNCTION("""COMPUTED_VALUE"""),44762.0852421064)</f>
        <v>44762.08524</v>
      </c>
      <c r="D3314" s="15">
        <f>IFERROR(__xludf.DUMMYFUNCTION("""COMPUTED_VALUE"""),1.004)</f>
        <v>1.004</v>
      </c>
      <c r="E3314" s="16">
        <f>IFERROR(__xludf.DUMMYFUNCTION("""COMPUTED_VALUE"""),67.0)</f>
        <v>67</v>
      </c>
      <c r="F3314" s="19" t="str">
        <f>IFERROR(__xludf.DUMMYFUNCTION("""COMPUTED_VALUE"""),"BLACK")</f>
        <v>BLACK</v>
      </c>
      <c r="G3314" s="20" t="str">
        <f>IFERROR(__xludf.DUMMYFUNCTION("""COMPUTED_VALUE"""),"Uncle Sams Cider (5/13/2022)")</f>
        <v>Uncle Sams Cider (5/13/2022)</v>
      </c>
      <c r="H3314" s="19"/>
    </row>
    <row r="3315">
      <c r="A3315" s="9"/>
      <c r="B3315" s="15"/>
      <c r="C3315" s="9">
        <f>IFERROR(__xludf.DUMMYFUNCTION("""COMPUTED_VALUE"""),44762.0748086458)</f>
        <v>44762.07481</v>
      </c>
      <c r="D3315" s="15">
        <f>IFERROR(__xludf.DUMMYFUNCTION("""COMPUTED_VALUE"""),1.004)</f>
        <v>1.004</v>
      </c>
      <c r="E3315" s="16">
        <f>IFERROR(__xludf.DUMMYFUNCTION("""COMPUTED_VALUE"""),66.0)</f>
        <v>66</v>
      </c>
      <c r="F3315" s="19" t="str">
        <f>IFERROR(__xludf.DUMMYFUNCTION("""COMPUTED_VALUE"""),"BLACK")</f>
        <v>BLACK</v>
      </c>
      <c r="G3315" s="20" t="str">
        <f>IFERROR(__xludf.DUMMYFUNCTION("""COMPUTED_VALUE"""),"Uncle Sams Cider (5/13/2022)")</f>
        <v>Uncle Sams Cider (5/13/2022)</v>
      </c>
      <c r="H3315" s="19"/>
    </row>
    <row r="3316">
      <c r="A3316" s="9"/>
      <c r="B3316" s="15"/>
      <c r="C3316" s="9">
        <f>IFERROR(__xludf.DUMMYFUNCTION("""COMPUTED_VALUE"""),44762.064386875)</f>
        <v>44762.06439</v>
      </c>
      <c r="D3316" s="15">
        <f>IFERROR(__xludf.DUMMYFUNCTION("""COMPUTED_VALUE"""),1.004)</f>
        <v>1.004</v>
      </c>
      <c r="E3316" s="16">
        <f>IFERROR(__xludf.DUMMYFUNCTION("""COMPUTED_VALUE"""),66.0)</f>
        <v>66</v>
      </c>
      <c r="F3316" s="19" t="str">
        <f>IFERROR(__xludf.DUMMYFUNCTION("""COMPUTED_VALUE"""),"BLACK")</f>
        <v>BLACK</v>
      </c>
      <c r="G3316" s="20" t="str">
        <f>IFERROR(__xludf.DUMMYFUNCTION("""COMPUTED_VALUE"""),"Uncle Sams Cider (5/13/2022)")</f>
        <v>Uncle Sams Cider (5/13/2022)</v>
      </c>
      <c r="H3316" s="19"/>
    </row>
    <row r="3317">
      <c r="A3317" s="9"/>
      <c r="B3317" s="15"/>
      <c r="C3317" s="9">
        <f>IFERROR(__xludf.DUMMYFUNCTION("""COMPUTED_VALUE"""),44762.053964375)</f>
        <v>44762.05396</v>
      </c>
      <c r="D3317" s="15">
        <f>IFERROR(__xludf.DUMMYFUNCTION("""COMPUTED_VALUE"""),1.004)</f>
        <v>1.004</v>
      </c>
      <c r="E3317" s="16">
        <f>IFERROR(__xludf.DUMMYFUNCTION("""COMPUTED_VALUE"""),66.0)</f>
        <v>66</v>
      </c>
      <c r="F3317" s="19" t="str">
        <f>IFERROR(__xludf.DUMMYFUNCTION("""COMPUTED_VALUE"""),"BLACK")</f>
        <v>BLACK</v>
      </c>
      <c r="G3317" s="20" t="str">
        <f>IFERROR(__xludf.DUMMYFUNCTION("""COMPUTED_VALUE"""),"Uncle Sams Cider (5/13/2022)")</f>
        <v>Uncle Sams Cider (5/13/2022)</v>
      </c>
      <c r="H3317" s="19"/>
    </row>
    <row r="3318">
      <c r="A3318" s="9"/>
      <c r="B3318" s="15"/>
      <c r="C3318" s="9">
        <f>IFERROR(__xludf.DUMMYFUNCTION("""COMPUTED_VALUE"""),44762.0435436574)</f>
        <v>44762.04354</v>
      </c>
      <c r="D3318" s="15">
        <f>IFERROR(__xludf.DUMMYFUNCTION("""COMPUTED_VALUE"""),1.004)</f>
        <v>1.004</v>
      </c>
      <c r="E3318" s="16">
        <f>IFERROR(__xludf.DUMMYFUNCTION("""COMPUTED_VALUE"""),66.0)</f>
        <v>66</v>
      </c>
      <c r="F3318" s="19" t="str">
        <f>IFERROR(__xludf.DUMMYFUNCTION("""COMPUTED_VALUE"""),"BLACK")</f>
        <v>BLACK</v>
      </c>
      <c r="G3318" s="20" t="str">
        <f>IFERROR(__xludf.DUMMYFUNCTION("""COMPUTED_VALUE"""),"Uncle Sams Cider (5/13/2022)")</f>
        <v>Uncle Sams Cider (5/13/2022)</v>
      </c>
      <c r="H3318" s="19"/>
    </row>
    <row r="3319">
      <c r="A3319" s="9"/>
      <c r="B3319" s="15"/>
      <c r="C3319" s="9">
        <f>IFERROR(__xludf.DUMMYFUNCTION("""COMPUTED_VALUE"""),44762.0331226504)</f>
        <v>44762.03312</v>
      </c>
      <c r="D3319" s="15">
        <f>IFERROR(__xludf.DUMMYFUNCTION("""COMPUTED_VALUE"""),1.004)</f>
        <v>1.004</v>
      </c>
      <c r="E3319" s="16">
        <f>IFERROR(__xludf.DUMMYFUNCTION("""COMPUTED_VALUE"""),66.0)</f>
        <v>66</v>
      </c>
      <c r="F3319" s="19" t="str">
        <f>IFERROR(__xludf.DUMMYFUNCTION("""COMPUTED_VALUE"""),"BLACK")</f>
        <v>BLACK</v>
      </c>
      <c r="G3319" s="20" t="str">
        <f>IFERROR(__xludf.DUMMYFUNCTION("""COMPUTED_VALUE"""),"Uncle Sams Cider (5/13/2022)")</f>
        <v>Uncle Sams Cider (5/13/2022)</v>
      </c>
      <c r="H3319" s="19"/>
    </row>
    <row r="3320">
      <c r="A3320" s="9"/>
      <c r="B3320" s="15"/>
      <c r="C3320" s="9">
        <f>IFERROR(__xludf.DUMMYFUNCTION("""COMPUTED_VALUE"""),44762.0227022453)</f>
        <v>44762.0227</v>
      </c>
      <c r="D3320" s="15">
        <f>IFERROR(__xludf.DUMMYFUNCTION("""COMPUTED_VALUE"""),1.004)</f>
        <v>1.004</v>
      </c>
      <c r="E3320" s="16">
        <f>IFERROR(__xludf.DUMMYFUNCTION("""COMPUTED_VALUE"""),66.0)</f>
        <v>66</v>
      </c>
      <c r="F3320" s="19" t="str">
        <f>IFERROR(__xludf.DUMMYFUNCTION("""COMPUTED_VALUE"""),"BLACK")</f>
        <v>BLACK</v>
      </c>
      <c r="G3320" s="20" t="str">
        <f>IFERROR(__xludf.DUMMYFUNCTION("""COMPUTED_VALUE"""),"Uncle Sams Cider (5/13/2022)")</f>
        <v>Uncle Sams Cider (5/13/2022)</v>
      </c>
      <c r="H3320" s="19"/>
    </row>
    <row r="3321">
      <c r="A3321" s="9"/>
      <c r="B3321" s="15"/>
      <c r="C3321" s="9">
        <f>IFERROR(__xludf.DUMMYFUNCTION("""COMPUTED_VALUE"""),44762.0122810185)</f>
        <v>44762.01228</v>
      </c>
      <c r="D3321" s="15">
        <f>IFERROR(__xludf.DUMMYFUNCTION("""COMPUTED_VALUE"""),1.004)</f>
        <v>1.004</v>
      </c>
      <c r="E3321" s="16">
        <f>IFERROR(__xludf.DUMMYFUNCTION("""COMPUTED_VALUE"""),66.0)</f>
        <v>66</v>
      </c>
      <c r="F3321" s="19" t="str">
        <f>IFERROR(__xludf.DUMMYFUNCTION("""COMPUTED_VALUE"""),"BLACK")</f>
        <v>BLACK</v>
      </c>
      <c r="G3321" s="20" t="str">
        <f>IFERROR(__xludf.DUMMYFUNCTION("""COMPUTED_VALUE"""),"Uncle Sams Cider (5/13/2022)")</f>
        <v>Uncle Sams Cider (5/13/2022)</v>
      </c>
      <c r="H3321" s="19"/>
    </row>
    <row r="3322">
      <c r="A3322" s="9"/>
      <c r="B3322" s="15"/>
      <c r="C3322" s="9">
        <f>IFERROR(__xludf.DUMMYFUNCTION("""COMPUTED_VALUE"""),44762.0018620717)</f>
        <v>44762.00186</v>
      </c>
      <c r="D3322" s="15">
        <f>IFERROR(__xludf.DUMMYFUNCTION("""COMPUTED_VALUE"""),1.004)</f>
        <v>1.004</v>
      </c>
      <c r="E3322" s="16">
        <f>IFERROR(__xludf.DUMMYFUNCTION("""COMPUTED_VALUE"""),66.0)</f>
        <v>66</v>
      </c>
      <c r="F3322" s="19" t="str">
        <f>IFERROR(__xludf.DUMMYFUNCTION("""COMPUTED_VALUE"""),"BLACK")</f>
        <v>BLACK</v>
      </c>
      <c r="G3322" s="20" t="str">
        <f>IFERROR(__xludf.DUMMYFUNCTION("""COMPUTED_VALUE"""),"Uncle Sams Cider (5/13/2022)")</f>
        <v>Uncle Sams Cider (5/13/2022)</v>
      </c>
      <c r="H3322" s="19"/>
    </row>
    <row r="3323">
      <c r="A3323" s="9"/>
      <c r="B3323" s="15"/>
      <c r="C3323" s="9">
        <f>IFERROR(__xludf.DUMMYFUNCTION("""COMPUTED_VALUE"""),44761.9914408101)</f>
        <v>44761.99144</v>
      </c>
      <c r="D3323" s="15">
        <f>IFERROR(__xludf.DUMMYFUNCTION("""COMPUTED_VALUE"""),1.004)</f>
        <v>1.004</v>
      </c>
      <c r="E3323" s="16">
        <f>IFERROR(__xludf.DUMMYFUNCTION("""COMPUTED_VALUE"""),66.0)</f>
        <v>66</v>
      </c>
      <c r="F3323" s="19" t="str">
        <f>IFERROR(__xludf.DUMMYFUNCTION("""COMPUTED_VALUE"""),"BLACK")</f>
        <v>BLACK</v>
      </c>
      <c r="G3323" s="20" t="str">
        <f>IFERROR(__xludf.DUMMYFUNCTION("""COMPUTED_VALUE"""),"Uncle Sams Cider (5/13/2022)")</f>
        <v>Uncle Sams Cider (5/13/2022)</v>
      </c>
      <c r="H3323" s="19"/>
    </row>
    <row r="3324">
      <c r="A3324" s="9"/>
      <c r="B3324" s="15"/>
      <c r="C3324" s="9">
        <f>IFERROR(__xludf.DUMMYFUNCTION("""COMPUTED_VALUE"""),44761.9810183217)</f>
        <v>44761.98102</v>
      </c>
      <c r="D3324" s="15">
        <f>IFERROR(__xludf.DUMMYFUNCTION("""COMPUTED_VALUE"""),1.004)</f>
        <v>1.004</v>
      </c>
      <c r="E3324" s="16">
        <f>IFERROR(__xludf.DUMMYFUNCTION("""COMPUTED_VALUE"""),66.0)</f>
        <v>66</v>
      </c>
      <c r="F3324" s="19" t="str">
        <f>IFERROR(__xludf.DUMMYFUNCTION("""COMPUTED_VALUE"""),"BLACK")</f>
        <v>BLACK</v>
      </c>
      <c r="G3324" s="20" t="str">
        <f>IFERROR(__xludf.DUMMYFUNCTION("""COMPUTED_VALUE"""),"Uncle Sams Cider (5/13/2022)")</f>
        <v>Uncle Sams Cider (5/13/2022)</v>
      </c>
      <c r="H3324" s="19"/>
    </row>
    <row r="3325">
      <c r="A3325" s="9"/>
      <c r="B3325" s="15"/>
      <c r="C3325" s="9">
        <f>IFERROR(__xludf.DUMMYFUNCTION("""COMPUTED_VALUE"""),44761.9705978935)</f>
        <v>44761.9706</v>
      </c>
      <c r="D3325" s="15">
        <f>IFERROR(__xludf.DUMMYFUNCTION("""COMPUTED_VALUE"""),1.004)</f>
        <v>1.004</v>
      </c>
      <c r="E3325" s="16">
        <f>IFERROR(__xludf.DUMMYFUNCTION("""COMPUTED_VALUE"""),66.0)</f>
        <v>66</v>
      </c>
      <c r="F3325" s="19" t="str">
        <f>IFERROR(__xludf.DUMMYFUNCTION("""COMPUTED_VALUE"""),"BLACK")</f>
        <v>BLACK</v>
      </c>
      <c r="G3325" s="20" t="str">
        <f>IFERROR(__xludf.DUMMYFUNCTION("""COMPUTED_VALUE"""),"Uncle Sams Cider (5/13/2022)")</f>
        <v>Uncle Sams Cider (5/13/2022)</v>
      </c>
      <c r="H3325" s="19"/>
    </row>
    <row r="3326">
      <c r="A3326" s="9"/>
      <c r="B3326" s="15"/>
      <c r="C3326" s="9">
        <f>IFERROR(__xludf.DUMMYFUNCTION("""COMPUTED_VALUE"""),44761.9601758796)</f>
        <v>44761.96018</v>
      </c>
      <c r="D3326" s="15">
        <f>IFERROR(__xludf.DUMMYFUNCTION("""COMPUTED_VALUE"""),1.004)</f>
        <v>1.004</v>
      </c>
      <c r="E3326" s="16">
        <f>IFERROR(__xludf.DUMMYFUNCTION("""COMPUTED_VALUE"""),66.0)</f>
        <v>66</v>
      </c>
      <c r="F3326" s="19" t="str">
        <f>IFERROR(__xludf.DUMMYFUNCTION("""COMPUTED_VALUE"""),"BLACK")</f>
        <v>BLACK</v>
      </c>
      <c r="G3326" s="20" t="str">
        <f>IFERROR(__xludf.DUMMYFUNCTION("""COMPUTED_VALUE"""),"Uncle Sams Cider (5/13/2022)")</f>
        <v>Uncle Sams Cider (5/13/2022)</v>
      </c>
      <c r="H3326" s="19"/>
    </row>
    <row r="3327">
      <c r="A3327" s="9"/>
      <c r="B3327" s="15"/>
      <c r="C3327" s="9">
        <f>IFERROR(__xludf.DUMMYFUNCTION("""COMPUTED_VALUE"""),44761.9497553009)</f>
        <v>44761.94976</v>
      </c>
      <c r="D3327" s="15">
        <f>IFERROR(__xludf.DUMMYFUNCTION("""COMPUTED_VALUE"""),1.004)</f>
        <v>1.004</v>
      </c>
      <c r="E3327" s="16">
        <f>IFERROR(__xludf.DUMMYFUNCTION("""COMPUTED_VALUE"""),66.0)</f>
        <v>66</v>
      </c>
      <c r="F3327" s="19" t="str">
        <f>IFERROR(__xludf.DUMMYFUNCTION("""COMPUTED_VALUE"""),"BLACK")</f>
        <v>BLACK</v>
      </c>
      <c r="G3327" s="20" t="str">
        <f>IFERROR(__xludf.DUMMYFUNCTION("""COMPUTED_VALUE"""),"Uncle Sams Cider (5/13/2022)")</f>
        <v>Uncle Sams Cider (5/13/2022)</v>
      </c>
      <c r="H3327" s="19"/>
    </row>
    <row r="3328">
      <c r="A3328" s="9"/>
      <c r="B3328" s="15"/>
      <c r="C3328" s="9">
        <f>IFERROR(__xludf.DUMMYFUNCTION("""COMPUTED_VALUE"""),44761.9393339583)</f>
        <v>44761.93933</v>
      </c>
      <c r="D3328" s="15">
        <f>IFERROR(__xludf.DUMMYFUNCTION("""COMPUTED_VALUE"""),1.004)</f>
        <v>1.004</v>
      </c>
      <c r="E3328" s="16">
        <f>IFERROR(__xludf.DUMMYFUNCTION("""COMPUTED_VALUE"""),66.0)</f>
        <v>66</v>
      </c>
      <c r="F3328" s="19" t="str">
        <f>IFERROR(__xludf.DUMMYFUNCTION("""COMPUTED_VALUE"""),"BLACK")</f>
        <v>BLACK</v>
      </c>
      <c r="G3328" s="20" t="str">
        <f>IFERROR(__xludf.DUMMYFUNCTION("""COMPUTED_VALUE"""),"Uncle Sams Cider (5/13/2022)")</f>
        <v>Uncle Sams Cider (5/13/2022)</v>
      </c>
      <c r="H3328" s="19"/>
    </row>
    <row r="3329">
      <c r="A3329" s="9"/>
      <c r="B3329" s="15"/>
      <c r="C3329" s="9">
        <f>IFERROR(__xludf.DUMMYFUNCTION("""COMPUTED_VALUE"""),44761.9289128935)</f>
        <v>44761.92891</v>
      </c>
      <c r="D3329" s="15">
        <f>IFERROR(__xludf.DUMMYFUNCTION("""COMPUTED_VALUE"""),1.004)</f>
        <v>1.004</v>
      </c>
      <c r="E3329" s="16">
        <f>IFERROR(__xludf.DUMMYFUNCTION("""COMPUTED_VALUE"""),66.0)</f>
        <v>66</v>
      </c>
      <c r="F3329" s="19" t="str">
        <f>IFERROR(__xludf.DUMMYFUNCTION("""COMPUTED_VALUE"""),"BLACK")</f>
        <v>BLACK</v>
      </c>
      <c r="G3329" s="20" t="str">
        <f>IFERROR(__xludf.DUMMYFUNCTION("""COMPUTED_VALUE"""),"Uncle Sams Cider (5/13/2022)")</f>
        <v>Uncle Sams Cider (5/13/2022)</v>
      </c>
      <c r="H3329" s="19"/>
    </row>
    <row r="3330">
      <c r="A3330" s="9"/>
      <c r="B3330" s="15"/>
      <c r="C3330" s="9">
        <f>IFERROR(__xludf.DUMMYFUNCTION("""COMPUTED_VALUE"""),44761.9184911342)</f>
        <v>44761.91849</v>
      </c>
      <c r="D3330" s="15">
        <f>IFERROR(__xludf.DUMMYFUNCTION("""COMPUTED_VALUE"""),1.004)</f>
        <v>1.004</v>
      </c>
      <c r="E3330" s="16">
        <f>IFERROR(__xludf.DUMMYFUNCTION("""COMPUTED_VALUE"""),66.0)</f>
        <v>66</v>
      </c>
      <c r="F3330" s="19" t="str">
        <f>IFERROR(__xludf.DUMMYFUNCTION("""COMPUTED_VALUE"""),"BLACK")</f>
        <v>BLACK</v>
      </c>
      <c r="G3330" s="20" t="str">
        <f>IFERROR(__xludf.DUMMYFUNCTION("""COMPUTED_VALUE"""),"Uncle Sams Cider (5/13/2022)")</f>
        <v>Uncle Sams Cider (5/13/2022)</v>
      </c>
      <c r="H3330" s="19"/>
    </row>
    <row r="3331">
      <c r="A3331" s="9"/>
      <c r="B3331" s="15"/>
      <c r="C3331" s="9">
        <f>IFERROR(__xludf.DUMMYFUNCTION("""COMPUTED_VALUE"""),44761.9080589583)</f>
        <v>44761.90806</v>
      </c>
      <c r="D3331" s="15">
        <f>IFERROR(__xludf.DUMMYFUNCTION("""COMPUTED_VALUE"""),1.004)</f>
        <v>1.004</v>
      </c>
      <c r="E3331" s="16">
        <f>IFERROR(__xludf.DUMMYFUNCTION("""COMPUTED_VALUE"""),66.0)</f>
        <v>66</v>
      </c>
      <c r="F3331" s="19" t="str">
        <f>IFERROR(__xludf.DUMMYFUNCTION("""COMPUTED_VALUE"""),"BLACK")</f>
        <v>BLACK</v>
      </c>
      <c r="G3331" s="20" t="str">
        <f>IFERROR(__xludf.DUMMYFUNCTION("""COMPUTED_VALUE"""),"Uncle Sams Cider (5/13/2022)")</f>
        <v>Uncle Sams Cider (5/13/2022)</v>
      </c>
      <c r="H3331" s="19"/>
    </row>
    <row r="3332">
      <c r="A3332" s="9"/>
      <c r="B3332" s="15"/>
      <c r="C3332" s="9">
        <f>IFERROR(__xludf.DUMMYFUNCTION("""COMPUTED_VALUE"""),44761.8976254629)</f>
        <v>44761.89763</v>
      </c>
      <c r="D3332" s="15">
        <f>IFERROR(__xludf.DUMMYFUNCTION("""COMPUTED_VALUE"""),1.004)</f>
        <v>1.004</v>
      </c>
      <c r="E3332" s="16">
        <f>IFERROR(__xludf.DUMMYFUNCTION("""COMPUTED_VALUE"""),66.0)</f>
        <v>66</v>
      </c>
      <c r="F3332" s="19" t="str">
        <f>IFERROR(__xludf.DUMMYFUNCTION("""COMPUTED_VALUE"""),"BLACK")</f>
        <v>BLACK</v>
      </c>
      <c r="G3332" s="20" t="str">
        <f>IFERROR(__xludf.DUMMYFUNCTION("""COMPUTED_VALUE"""),"Uncle Sams Cider (5/13/2022)")</f>
        <v>Uncle Sams Cider (5/13/2022)</v>
      </c>
      <c r="H3332" s="19"/>
    </row>
    <row r="3333">
      <c r="A3333" s="9"/>
      <c r="B3333" s="15"/>
      <c r="C3333" s="9">
        <f>IFERROR(__xludf.DUMMYFUNCTION("""COMPUTED_VALUE"""),44761.8872041319)</f>
        <v>44761.8872</v>
      </c>
      <c r="D3333" s="15">
        <f>IFERROR(__xludf.DUMMYFUNCTION("""COMPUTED_VALUE"""),1.004)</f>
        <v>1.004</v>
      </c>
      <c r="E3333" s="16">
        <f>IFERROR(__xludf.DUMMYFUNCTION("""COMPUTED_VALUE"""),66.0)</f>
        <v>66</v>
      </c>
      <c r="F3333" s="19" t="str">
        <f>IFERROR(__xludf.DUMMYFUNCTION("""COMPUTED_VALUE"""),"BLACK")</f>
        <v>BLACK</v>
      </c>
      <c r="G3333" s="20" t="str">
        <f>IFERROR(__xludf.DUMMYFUNCTION("""COMPUTED_VALUE"""),"Uncle Sams Cider (5/13/2022)")</f>
        <v>Uncle Sams Cider (5/13/2022)</v>
      </c>
      <c r="H3333" s="19"/>
    </row>
    <row r="3334">
      <c r="A3334" s="9"/>
      <c r="B3334" s="15"/>
      <c r="C3334" s="9">
        <f>IFERROR(__xludf.DUMMYFUNCTION("""COMPUTED_VALUE"""),44761.87677103)</f>
        <v>44761.87677</v>
      </c>
      <c r="D3334" s="15">
        <f>IFERROR(__xludf.DUMMYFUNCTION("""COMPUTED_VALUE"""),1.004)</f>
        <v>1.004</v>
      </c>
      <c r="E3334" s="16">
        <f>IFERROR(__xludf.DUMMYFUNCTION("""COMPUTED_VALUE"""),66.0)</f>
        <v>66</v>
      </c>
      <c r="F3334" s="19" t="str">
        <f>IFERROR(__xludf.DUMMYFUNCTION("""COMPUTED_VALUE"""),"BLACK")</f>
        <v>BLACK</v>
      </c>
      <c r="G3334" s="20" t="str">
        <f>IFERROR(__xludf.DUMMYFUNCTION("""COMPUTED_VALUE"""),"Uncle Sams Cider (5/13/2022)")</f>
        <v>Uncle Sams Cider (5/13/2022)</v>
      </c>
      <c r="H3334" s="19"/>
    </row>
    <row r="3335">
      <c r="A3335" s="9"/>
      <c r="B3335" s="15"/>
      <c r="C3335" s="9">
        <f>IFERROR(__xludf.DUMMYFUNCTION("""COMPUTED_VALUE"""),44761.8663490046)</f>
        <v>44761.86635</v>
      </c>
      <c r="D3335" s="15">
        <f>IFERROR(__xludf.DUMMYFUNCTION("""COMPUTED_VALUE"""),1.004)</f>
        <v>1.004</v>
      </c>
      <c r="E3335" s="16">
        <f>IFERROR(__xludf.DUMMYFUNCTION("""COMPUTED_VALUE"""),66.0)</f>
        <v>66</v>
      </c>
      <c r="F3335" s="19" t="str">
        <f>IFERROR(__xludf.DUMMYFUNCTION("""COMPUTED_VALUE"""),"BLACK")</f>
        <v>BLACK</v>
      </c>
      <c r="G3335" s="20" t="str">
        <f>IFERROR(__xludf.DUMMYFUNCTION("""COMPUTED_VALUE"""),"Uncle Sams Cider (5/13/2022)")</f>
        <v>Uncle Sams Cider (5/13/2022)</v>
      </c>
      <c r="H3335" s="19"/>
    </row>
    <row r="3336">
      <c r="A3336" s="9"/>
      <c r="B3336" s="15"/>
      <c r="C3336" s="9">
        <f>IFERROR(__xludf.DUMMYFUNCTION("""COMPUTED_VALUE"""),44761.8559280324)</f>
        <v>44761.85593</v>
      </c>
      <c r="D3336" s="15">
        <f>IFERROR(__xludf.DUMMYFUNCTION("""COMPUTED_VALUE"""),1.004)</f>
        <v>1.004</v>
      </c>
      <c r="E3336" s="16">
        <f>IFERROR(__xludf.DUMMYFUNCTION("""COMPUTED_VALUE"""),66.0)</f>
        <v>66</v>
      </c>
      <c r="F3336" s="19" t="str">
        <f>IFERROR(__xludf.DUMMYFUNCTION("""COMPUTED_VALUE"""),"BLACK")</f>
        <v>BLACK</v>
      </c>
      <c r="G3336" s="20" t="str">
        <f>IFERROR(__xludf.DUMMYFUNCTION("""COMPUTED_VALUE"""),"Uncle Sams Cider (5/13/2022)")</f>
        <v>Uncle Sams Cider (5/13/2022)</v>
      </c>
      <c r="H3336" s="19"/>
    </row>
    <row r="3337">
      <c r="A3337" s="9"/>
      <c r="B3337" s="15"/>
      <c r="C3337" s="9">
        <f>IFERROR(__xludf.DUMMYFUNCTION("""COMPUTED_VALUE"""),44761.8455058564)</f>
        <v>44761.84551</v>
      </c>
      <c r="D3337" s="15">
        <f>IFERROR(__xludf.DUMMYFUNCTION("""COMPUTED_VALUE"""),1.004)</f>
        <v>1.004</v>
      </c>
      <c r="E3337" s="16">
        <f>IFERROR(__xludf.DUMMYFUNCTION("""COMPUTED_VALUE"""),66.0)</f>
        <v>66</v>
      </c>
      <c r="F3337" s="19" t="str">
        <f>IFERROR(__xludf.DUMMYFUNCTION("""COMPUTED_VALUE"""),"BLACK")</f>
        <v>BLACK</v>
      </c>
      <c r="G3337" s="20" t="str">
        <f>IFERROR(__xludf.DUMMYFUNCTION("""COMPUTED_VALUE"""),"Uncle Sams Cider (5/13/2022)")</f>
        <v>Uncle Sams Cider (5/13/2022)</v>
      </c>
      <c r="H3337" s="19"/>
    </row>
    <row r="3338">
      <c r="A3338" s="9"/>
      <c r="B3338" s="15"/>
      <c r="C3338" s="9">
        <f>IFERROR(__xludf.DUMMYFUNCTION("""COMPUTED_VALUE"""),44761.8350849652)</f>
        <v>44761.83508</v>
      </c>
      <c r="D3338" s="15">
        <f>IFERROR(__xludf.DUMMYFUNCTION("""COMPUTED_VALUE"""),1.004)</f>
        <v>1.004</v>
      </c>
      <c r="E3338" s="16">
        <f>IFERROR(__xludf.DUMMYFUNCTION("""COMPUTED_VALUE"""),66.0)</f>
        <v>66</v>
      </c>
      <c r="F3338" s="19" t="str">
        <f>IFERROR(__xludf.DUMMYFUNCTION("""COMPUTED_VALUE"""),"BLACK")</f>
        <v>BLACK</v>
      </c>
      <c r="G3338" s="20" t="str">
        <f>IFERROR(__xludf.DUMMYFUNCTION("""COMPUTED_VALUE"""),"Uncle Sams Cider (5/13/2022)")</f>
        <v>Uncle Sams Cider (5/13/2022)</v>
      </c>
      <c r="H3338" s="19"/>
    </row>
    <row r="3339">
      <c r="A3339" s="9"/>
      <c r="B3339" s="15"/>
      <c r="C3339" s="9">
        <f>IFERROR(__xludf.DUMMYFUNCTION("""COMPUTED_VALUE"""),44761.8246634838)</f>
        <v>44761.82466</v>
      </c>
      <c r="D3339" s="15">
        <f>IFERROR(__xludf.DUMMYFUNCTION("""COMPUTED_VALUE"""),1.004)</f>
        <v>1.004</v>
      </c>
      <c r="E3339" s="16">
        <f>IFERROR(__xludf.DUMMYFUNCTION("""COMPUTED_VALUE"""),66.0)</f>
        <v>66</v>
      </c>
      <c r="F3339" s="19" t="str">
        <f>IFERROR(__xludf.DUMMYFUNCTION("""COMPUTED_VALUE"""),"BLACK")</f>
        <v>BLACK</v>
      </c>
      <c r="G3339" s="20" t="str">
        <f>IFERROR(__xludf.DUMMYFUNCTION("""COMPUTED_VALUE"""),"Uncle Sams Cider (5/13/2022)")</f>
        <v>Uncle Sams Cider (5/13/2022)</v>
      </c>
      <c r="H3339" s="19"/>
    </row>
    <row r="3340">
      <c r="A3340" s="9"/>
      <c r="B3340" s="15"/>
      <c r="C3340" s="9">
        <f>IFERROR(__xludf.DUMMYFUNCTION("""COMPUTED_VALUE"""),44761.814231331)</f>
        <v>44761.81423</v>
      </c>
      <c r="D3340" s="15">
        <f>IFERROR(__xludf.DUMMYFUNCTION("""COMPUTED_VALUE"""),1.004)</f>
        <v>1.004</v>
      </c>
      <c r="E3340" s="16">
        <f>IFERROR(__xludf.DUMMYFUNCTION("""COMPUTED_VALUE"""),66.0)</f>
        <v>66</v>
      </c>
      <c r="F3340" s="19" t="str">
        <f>IFERROR(__xludf.DUMMYFUNCTION("""COMPUTED_VALUE"""),"BLACK")</f>
        <v>BLACK</v>
      </c>
      <c r="G3340" s="20" t="str">
        <f>IFERROR(__xludf.DUMMYFUNCTION("""COMPUTED_VALUE"""),"Uncle Sams Cider (5/13/2022)")</f>
        <v>Uncle Sams Cider (5/13/2022)</v>
      </c>
      <c r="H3340" s="19"/>
    </row>
    <row r="3341">
      <c r="A3341" s="9"/>
      <c r="B3341" s="15"/>
      <c r="C3341" s="9">
        <f>IFERROR(__xludf.DUMMYFUNCTION("""COMPUTED_VALUE"""),44761.8037980208)</f>
        <v>44761.8038</v>
      </c>
      <c r="D3341" s="15">
        <f>IFERROR(__xludf.DUMMYFUNCTION("""COMPUTED_VALUE"""),1.004)</f>
        <v>1.004</v>
      </c>
      <c r="E3341" s="16">
        <f>IFERROR(__xludf.DUMMYFUNCTION("""COMPUTED_VALUE"""),66.0)</f>
        <v>66</v>
      </c>
      <c r="F3341" s="19" t="str">
        <f>IFERROR(__xludf.DUMMYFUNCTION("""COMPUTED_VALUE"""),"BLACK")</f>
        <v>BLACK</v>
      </c>
      <c r="G3341" s="20" t="str">
        <f>IFERROR(__xludf.DUMMYFUNCTION("""COMPUTED_VALUE"""),"Uncle Sams Cider (5/13/2022)")</f>
        <v>Uncle Sams Cider (5/13/2022)</v>
      </c>
      <c r="H3341" s="19"/>
    </row>
    <row r="3342">
      <c r="A3342" s="9"/>
      <c r="B3342" s="15"/>
      <c r="C3342" s="9">
        <f>IFERROR(__xludf.DUMMYFUNCTION("""COMPUTED_VALUE"""),44761.7933774305)</f>
        <v>44761.79338</v>
      </c>
      <c r="D3342" s="15">
        <f>IFERROR(__xludf.DUMMYFUNCTION("""COMPUTED_VALUE"""),1.004)</f>
        <v>1.004</v>
      </c>
      <c r="E3342" s="16">
        <f>IFERROR(__xludf.DUMMYFUNCTION("""COMPUTED_VALUE"""),66.0)</f>
        <v>66</v>
      </c>
      <c r="F3342" s="19" t="str">
        <f>IFERROR(__xludf.DUMMYFUNCTION("""COMPUTED_VALUE"""),"BLACK")</f>
        <v>BLACK</v>
      </c>
      <c r="G3342" s="20" t="str">
        <f>IFERROR(__xludf.DUMMYFUNCTION("""COMPUTED_VALUE"""),"Uncle Sams Cider (5/13/2022)")</f>
        <v>Uncle Sams Cider (5/13/2022)</v>
      </c>
      <c r="H3342" s="19"/>
    </row>
    <row r="3343">
      <c r="A3343" s="9"/>
      <c r="B3343" s="15"/>
      <c r="C3343" s="9">
        <f>IFERROR(__xludf.DUMMYFUNCTION("""COMPUTED_VALUE"""),44761.7829580671)</f>
        <v>44761.78296</v>
      </c>
      <c r="D3343" s="15">
        <f>IFERROR(__xludf.DUMMYFUNCTION("""COMPUTED_VALUE"""),1.004)</f>
        <v>1.004</v>
      </c>
      <c r="E3343" s="16">
        <f>IFERROR(__xludf.DUMMYFUNCTION("""COMPUTED_VALUE"""),66.0)</f>
        <v>66</v>
      </c>
      <c r="F3343" s="19" t="str">
        <f>IFERROR(__xludf.DUMMYFUNCTION("""COMPUTED_VALUE"""),"BLACK")</f>
        <v>BLACK</v>
      </c>
      <c r="G3343" s="20" t="str">
        <f>IFERROR(__xludf.DUMMYFUNCTION("""COMPUTED_VALUE"""),"Uncle Sams Cider (5/13/2022)")</f>
        <v>Uncle Sams Cider (5/13/2022)</v>
      </c>
      <c r="H3343" s="19"/>
    </row>
    <row r="3344">
      <c r="A3344" s="9"/>
      <c r="B3344" s="15"/>
      <c r="C3344" s="9">
        <f>IFERROR(__xludf.DUMMYFUNCTION("""COMPUTED_VALUE"""),44761.7725229166)</f>
        <v>44761.77252</v>
      </c>
      <c r="D3344" s="15">
        <f>IFERROR(__xludf.DUMMYFUNCTION("""COMPUTED_VALUE"""),1.004)</f>
        <v>1.004</v>
      </c>
      <c r="E3344" s="16">
        <f>IFERROR(__xludf.DUMMYFUNCTION("""COMPUTED_VALUE"""),66.0)</f>
        <v>66</v>
      </c>
      <c r="F3344" s="19" t="str">
        <f>IFERROR(__xludf.DUMMYFUNCTION("""COMPUTED_VALUE"""),"BLACK")</f>
        <v>BLACK</v>
      </c>
      <c r="G3344" s="20" t="str">
        <f>IFERROR(__xludf.DUMMYFUNCTION("""COMPUTED_VALUE"""),"Uncle Sams Cider (5/13/2022)")</f>
        <v>Uncle Sams Cider (5/13/2022)</v>
      </c>
      <c r="H3344" s="19"/>
    </row>
    <row r="3345">
      <c r="A3345" s="9"/>
      <c r="B3345" s="15"/>
      <c r="C3345" s="9">
        <f>IFERROR(__xludf.DUMMYFUNCTION("""COMPUTED_VALUE"""),44761.762099618)</f>
        <v>44761.7621</v>
      </c>
      <c r="D3345" s="15">
        <f>IFERROR(__xludf.DUMMYFUNCTION("""COMPUTED_VALUE"""),1.004)</f>
        <v>1.004</v>
      </c>
      <c r="E3345" s="16">
        <f>IFERROR(__xludf.DUMMYFUNCTION("""COMPUTED_VALUE"""),66.0)</f>
        <v>66</v>
      </c>
      <c r="F3345" s="19" t="str">
        <f>IFERROR(__xludf.DUMMYFUNCTION("""COMPUTED_VALUE"""),"BLACK")</f>
        <v>BLACK</v>
      </c>
      <c r="G3345" s="20" t="str">
        <f>IFERROR(__xludf.DUMMYFUNCTION("""COMPUTED_VALUE"""),"Uncle Sams Cider (5/13/2022)")</f>
        <v>Uncle Sams Cider (5/13/2022)</v>
      </c>
      <c r="H3345" s="19"/>
    </row>
    <row r="3346">
      <c r="A3346" s="9"/>
      <c r="B3346" s="15"/>
      <c r="C3346" s="9">
        <f>IFERROR(__xludf.DUMMYFUNCTION("""COMPUTED_VALUE"""),44761.751678206)</f>
        <v>44761.75168</v>
      </c>
      <c r="D3346" s="15">
        <f>IFERROR(__xludf.DUMMYFUNCTION("""COMPUTED_VALUE"""),1.004)</f>
        <v>1.004</v>
      </c>
      <c r="E3346" s="16">
        <f>IFERROR(__xludf.DUMMYFUNCTION("""COMPUTED_VALUE"""),66.0)</f>
        <v>66</v>
      </c>
      <c r="F3346" s="19" t="str">
        <f>IFERROR(__xludf.DUMMYFUNCTION("""COMPUTED_VALUE"""),"BLACK")</f>
        <v>BLACK</v>
      </c>
      <c r="G3346" s="20" t="str">
        <f>IFERROR(__xludf.DUMMYFUNCTION("""COMPUTED_VALUE"""),"Uncle Sams Cider (5/13/2022)")</f>
        <v>Uncle Sams Cider (5/13/2022)</v>
      </c>
      <c r="H3346" s="19"/>
    </row>
    <row r="3347">
      <c r="A3347" s="9"/>
      <c r="B3347" s="15"/>
      <c r="C3347" s="9">
        <f>IFERROR(__xludf.DUMMYFUNCTION("""COMPUTED_VALUE"""),44761.7412580324)</f>
        <v>44761.74126</v>
      </c>
      <c r="D3347" s="15">
        <f>IFERROR(__xludf.DUMMYFUNCTION("""COMPUTED_VALUE"""),1.004)</f>
        <v>1.004</v>
      </c>
      <c r="E3347" s="16">
        <f>IFERROR(__xludf.DUMMYFUNCTION("""COMPUTED_VALUE"""),66.0)</f>
        <v>66</v>
      </c>
      <c r="F3347" s="19" t="str">
        <f>IFERROR(__xludf.DUMMYFUNCTION("""COMPUTED_VALUE"""),"BLACK")</f>
        <v>BLACK</v>
      </c>
      <c r="G3347" s="20" t="str">
        <f>IFERROR(__xludf.DUMMYFUNCTION("""COMPUTED_VALUE"""),"Uncle Sams Cider (5/13/2022)")</f>
        <v>Uncle Sams Cider (5/13/2022)</v>
      </c>
      <c r="H3347" s="19"/>
    </row>
    <row r="3348">
      <c r="A3348" s="9"/>
      <c r="B3348" s="15"/>
      <c r="C3348" s="9">
        <f>IFERROR(__xludf.DUMMYFUNCTION("""COMPUTED_VALUE"""),44761.730823287)</f>
        <v>44761.73082</v>
      </c>
      <c r="D3348" s="15">
        <f>IFERROR(__xludf.DUMMYFUNCTION("""COMPUTED_VALUE"""),1.004)</f>
        <v>1.004</v>
      </c>
      <c r="E3348" s="16">
        <f>IFERROR(__xludf.DUMMYFUNCTION("""COMPUTED_VALUE"""),66.0)</f>
        <v>66</v>
      </c>
      <c r="F3348" s="19" t="str">
        <f>IFERROR(__xludf.DUMMYFUNCTION("""COMPUTED_VALUE"""),"BLACK")</f>
        <v>BLACK</v>
      </c>
      <c r="G3348" s="20" t="str">
        <f>IFERROR(__xludf.DUMMYFUNCTION("""COMPUTED_VALUE"""),"Uncle Sams Cider (5/13/2022)")</f>
        <v>Uncle Sams Cider (5/13/2022)</v>
      </c>
      <c r="H3348" s="19"/>
    </row>
    <row r="3349">
      <c r="A3349" s="9"/>
      <c r="B3349" s="15"/>
      <c r="C3349" s="9">
        <f>IFERROR(__xludf.DUMMYFUNCTION("""COMPUTED_VALUE"""),44761.7204019675)</f>
        <v>44761.7204</v>
      </c>
      <c r="D3349" s="15">
        <f>IFERROR(__xludf.DUMMYFUNCTION("""COMPUTED_VALUE"""),1.004)</f>
        <v>1.004</v>
      </c>
      <c r="E3349" s="16">
        <f>IFERROR(__xludf.DUMMYFUNCTION("""COMPUTED_VALUE"""),66.0)</f>
        <v>66</v>
      </c>
      <c r="F3349" s="19" t="str">
        <f>IFERROR(__xludf.DUMMYFUNCTION("""COMPUTED_VALUE"""),"BLACK")</f>
        <v>BLACK</v>
      </c>
      <c r="G3349" s="20" t="str">
        <f>IFERROR(__xludf.DUMMYFUNCTION("""COMPUTED_VALUE"""),"Uncle Sams Cider (5/13/2022)")</f>
        <v>Uncle Sams Cider (5/13/2022)</v>
      </c>
      <c r="H3349" s="19"/>
    </row>
    <row r="3350">
      <c r="A3350" s="9"/>
      <c r="B3350" s="15"/>
      <c r="C3350" s="9">
        <f>IFERROR(__xludf.DUMMYFUNCTION("""COMPUTED_VALUE"""),44761.709968368)</f>
        <v>44761.70997</v>
      </c>
      <c r="D3350" s="15">
        <f>IFERROR(__xludf.DUMMYFUNCTION("""COMPUTED_VALUE"""),1.004)</f>
        <v>1.004</v>
      </c>
      <c r="E3350" s="16">
        <f>IFERROR(__xludf.DUMMYFUNCTION("""COMPUTED_VALUE"""),66.0)</f>
        <v>66</v>
      </c>
      <c r="F3350" s="19" t="str">
        <f>IFERROR(__xludf.DUMMYFUNCTION("""COMPUTED_VALUE"""),"BLACK")</f>
        <v>BLACK</v>
      </c>
      <c r="G3350" s="20" t="str">
        <f>IFERROR(__xludf.DUMMYFUNCTION("""COMPUTED_VALUE"""),"Uncle Sams Cider (5/13/2022)")</f>
        <v>Uncle Sams Cider (5/13/2022)</v>
      </c>
      <c r="H3350" s="19"/>
    </row>
    <row r="3351">
      <c r="A3351" s="9"/>
      <c r="B3351" s="15"/>
      <c r="C3351" s="9">
        <f>IFERROR(__xludf.DUMMYFUNCTION("""COMPUTED_VALUE"""),44761.6995465856)</f>
        <v>44761.69955</v>
      </c>
      <c r="D3351" s="15">
        <f>IFERROR(__xludf.DUMMYFUNCTION("""COMPUTED_VALUE"""),1.004)</f>
        <v>1.004</v>
      </c>
      <c r="E3351" s="16">
        <f>IFERROR(__xludf.DUMMYFUNCTION("""COMPUTED_VALUE"""),66.0)</f>
        <v>66</v>
      </c>
      <c r="F3351" s="19" t="str">
        <f>IFERROR(__xludf.DUMMYFUNCTION("""COMPUTED_VALUE"""),"BLACK")</f>
        <v>BLACK</v>
      </c>
      <c r="G3351" s="20" t="str">
        <f>IFERROR(__xludf.DUMMYFUNCTION("""COMPUTED_VALUE"""),"Uncle Sams Cider (5/13/2022)")</f>
        <v>Uncle Sams Cider (5/13/2022)</v>
      </c>
      <c r="H3351" s="19"/>
    </row>
    <row r="3352">
      <c r="A3352" s="9"/>
      <c r="B3352" s="15"/>
      <c r="C3352" s="9">
        <f>IFERROR(__xludf.DUMMYFUNCTION("""COMPUTED_VALUE"""),44761.6891271527)</f>
        <v>44761.68913</v>
      </c>
      <c r="D3352" s="15">
        <f>IFERROR(__xludf.DUMMYFUNCTION("""COMPUTED_VALUE"""),1.004)</f>
        <v>1.004</v>
      </c>
      <c r="E3352" s="16">
        <f>IFERROR(__xludf.DUMMYFUNCTION("""COMPUTED_VALUE"""),66.0)</f>
        <v>66</v>
      </c>
      <c r="F3352" s="19" t="str">
        <f>IFERROR(__xludf.DUMMYFUNCTION("""COMPUTED_VALUE"""),"BLACK")</f>
        <v>BLACK</v>
      </c>
      <c r="G3352" s="20" t="str">
        <f>IFERROR(__xludf.DUMMYFUNCTION("""COMPUTED_VALUE"""),"Uncle Sams Cider (5/13/2022)")</f>
        <v>Uncle Sams Cider (5/13/2022)</v>
      </c>
      <c r="H3352" s="19"/>
    </row>
    <row r="3353">
      <c r="A3353" s="9"/>
      <c r="B3353" s="15"/>
      <c r="C3353" s="9">
        <f>IFERROR(__xludf.DUMMYFUNCTION("""COMPUTED_VALUE"""),44761.6787056597)</f>
        <v>44761.67871</v>
      </c>
      <c r="D3353" s="15">
        <f>IFERROR(__xludf.DUMMYFUNCTION("""COMPUTED_VALUE"""),1.004)</f>
        <v>1.004</v>
      </c>
      <c r="E3353" s="16">
        <f>IFERROR(__xludf.DUMMYFUNCTION("""COMPUTED_VALUE"""),66.0)</f>
        <v>66</v>
      </c>
      <c r="F3353" s="19" t="str">
        <f>IFERROR(__xludf.DUMMYFUNCTION("""COMPUTED_VALUE"""),"BLACK")</f>
        <v>BLACK</v>
      </c>
      <c r="G3353" s="20" t="str">
        <f>IFERROR(__xludf.DUMMYFUNCTION("""COMPUTED_VALUE"""),"Uncle Sams Cider (5/13/2022)")</f>
        <v>Uncle Sams Cider (5/13/2022)</v>
      </c>
      <c r="H3353" s="19"/>
    </row>
    <row r="3354">
      <c r="A3354" s="9"/>
      <c r="B3354" s="15"/>
      <c r="C3354" s="9">
        <f>IFERROR(__xludf.DUMMYFUNCTION("""COMPUTED_VALUE"""),44761.6682837268)</f>
        <v>44761.66828</v>
      </c>
      <c r="D3354" s="15">
        <f>IFERROR(__xludf.DUMMYFUNCTION("""COMPUTED_VALUE"""),1.004)</f>
        <v>1.004</v>
      </c>
      <c r="E3354" s="16">
        <f>IFERROR(__xludf.DUMMYFUNCTION("""COMPUTED_VALUE"""),66.0)</f>
        <v>66</v>
      </c>
      <c r="F3354" s="19" t="str">
        <f>IFERROR(__xludf.DUMMYFUNCTION("""COMPUTED_VALUE"""),"BLACK")</f>
        <v>BLACK</v>
      </c>
      <c r="G3354" s="20" t="str">
        <f>IFERROR(__xludf.DUMMYFUNCTION("""COMPUTED_VALUE"""),"Uncle Sams Cider (5/13/2022)")</f>
        <v>Uncle Sams Cider (5/13/2022)</v>
      </c>
      <c r="H3354" s="19"/>
    </row>
    <row r="3355">
      <c r="A3355" s="9"/>
      <c r="B3355" s="15"/>
      <c r="C3355" s="9">
        <f>IFERROR(__xludf.DUMMYFUNCTION("""COMPUTED_VALUE"""),44761.65786375)</f>
        <v>44761.65786</v>
      </c>
      <c r="D3355" s="15">
        <f>IFERROR(__xludf.DUMMYFUNCTION("""COMPUTED_VALUE"""),1.004)</f>
        <v>1.004</v>
      </c>
      <c r="E3355" s="16">
        <f>IFERROR(__xludf.DUMMYFUNCTION("""COMPUTED_VALUE"""),66.0)</f>
        <v>66</v>
      </c>
      <c r="F3355" s="19" t="str">
        <f>IFERROR(__xludf.DUMMYFUNCTION("""COMPUTED_VALUE"""),"BLACK")</f>
        <v>BLACK</v>
      </c>
      <c r="G3355" s="20" t="str">
        <f>IFERROR(__xludf.DUMMYFUNCTION("""COMPUTED_VALUE"""),"Uncle Sams Cider (5/13/2022)")</f>
        <v>Uncle Sams Cider (5/13/2022)</v>
      </c>
      <c r="H3355" s="19"/>
    </row>
    <row r="3356">
      <c r="A3356" s="9"/>
      <c r="B3356" s="15"/>
      <c r="C3356" s="9">
        <f>IFERROR(__xludf.DUMMYFUNCTION("""COMPUTED_VALUE"""),44761.6474426504)</f>
        <v>44761.64744</v>
      </c>
      <c r="D3356" s="15">
        <f>IFERROR(__xludf.DUMMYFUNCTION("""COMPUTED_VALUE"""),1.004)</f>
        <v>1.004</v>
      </c>
      <c r="E3356" s="16">
        <f>IFERROR(__xludf.DUMMYFUNCTION("""COMPUTED_VALUE"""),66.0)</f>
        <v>66</v>
      </c>
      <c r="F3356" s="19" t="str">
        <f>IFERROR(__xludf.DUMMYFUNCTION("""COMPUTED_VALUE"""),"BLACK")</f>
        <v>BLACK</v>
      </c>
      <c r="G3356" s="20" t="str">
        <f>IFERROR(__xludf.DUMMYFUNCTION("""COMPUTED_VALUE"""),"Uncle Sams Cider (5/13/2022)")</f>
        <v>Uncle Sams Cider (5/13/2022)</v>
      </c>
      <c r="H3356" s="19"/>
    </row>
    <row r="3357">
      <c r="A3357" s="9"/>
      <c r="B3357" s="15"/>
      <c r="C3357" s="9">
        <f>IFERROR(__xludf.DUMMYFUNCTION("""COMPUTED_VALUE"""),44761.6370091435)</f>
        <v>44761.63701</v>
      </c>
      <c r="D3357" s="15">
        <f>IFERROR(__xludf.DUMMYFUNCTION("""COMPUTED_VALUE"""),1.004)</f>
        <v>1.004</v>
      </c>
      <c r="E3357" s="16">
        <f>IFERROR(__xludf.DUMMYFUNCTION("""COMPUTED_VALUE"""),66.0)</f>
        <v>66</v>
      </c>
      <c r="F3357" s="19" t="str">
        <f>IFERROR(__xludf.DUMMYFUNCTION("""COMPUTED_VALUE"""),"BLACK")</f>
        <v>BLACK</v>
      </c>
      <c r="G3357" s="20" t="str">
        <f>IFERROR(__xludf.DUMMYFUNCTION("""COMPUTED_VALUE"""),"Uncle Sams Cider (5/13/2022)")</f>
        <v>Uncle Sams Cider (5/13/2022)</v>
      </c>
      <c r="H3357" s="19"/>
    </row>
    <row r="3358">
      <c r="A3358" s="9"/>
      <c r="B3358" s="15"/>
      <c r="C3358" s="9">
        <f>IFERROR(__xludf.DUMMYFUNCTION("""COMPUTED_VALUE"""),44761.6265884606)</f>
        <v>44761.62659</v>
      </c>
      <c r="D3358" s="15">
        <f>IFERROR(__xludf.DUMMYFUNCTION("""COMPUTED_VALUE"""),1.004)</f>
        <v>1.004</v>
      </c>
      <c r="E3358" s="16">
        <f>IFERROR(__xludf.DUMMYFUNCTION("""COMPUTED_VALUE"""),67.0)</f>
        <v>67</v>
      </c>
      <c r="F3358" s="19" t="str">
        <f>IFERROR(__xludf.DUMMYFUNCTION("""COMPUTED_VALUE"""),"BLACK")</f>
        <v>BLACK</v>
      </c>
      <c r="G3358" s="20" t="str">
        <f>IFERROR(__xludf.DUMMYFUNCTION("""COMPUTED_VALUE"""),"Uncle Sams Cider (5/13/2022)")</f>
        <v>Uncle Sams Cider (5/13/2022)</v>
      </c>
      <c r="H3358" s="19"/>
    </row>
    <row r="3359">
      <c r="A3359" s="9"/>
      <c r="B3359" s="15"/>
      <c r="C3359" s="9">
        <f>IFERROR(__xludf.DUMMYFUNCTION("""COMPUTED_VALUE"""),44761.6161667245)</f>
        <v>44761.61617</v>
      </c>
      <c r="D3359" s="15">
        <f>IFERROR(__xludf.DUMMYFUNCTION("""COMPUTED_VALUE"""),1.004)</f>
        <v>1.004</v>
      </c>
      <c r="E3359" s="16">
        <f>IFERROR(__xludf.DUMMYFUNCTION("""COMPUTED_VALUE"""),67.0)</f>
        <v>67</v>
      </c>
      <c r="F3359" s="19" t="str">
        <f>IFERROR(__xludf.DUMMYFUNCTION("""COMPUTED_VALUE"""),"BLACK")</f>
        <v>BLACK</v>
      </c>
      <c r="G3359" s="20" t="str">
        <f>IFERROR(__xludf.DUMMYFUNCTION("""COMPUTED_VALUE"""),"Uncle Sams Cider (5/13/2022)")</f>
        <v>Uncle Sams Cider (5/13/2022)</v>
      </c>
      <c r="H3359" s="19"/>
    </row>
    <row r="3360">
      <c r="A3360" s="9"/>
      <c r="B3360" s="15"/>
      <c r="C3360" s="9">
        <f>IFERROR(__xludf.DUMMYFUNCTION("""COMPUTED_VALUE"""),44761.605745625)</f>
        <v>44761.60575</v>
      </c>
      <c r="D3360" s="15">
        <f>IFERROR(__xludf.DUMMYFUNCTION("""COMPUTED_VALUE"""),1.004)</f>
        <v>1.004</v>
      </c>
      <c r="E3360" s="16">
        <f>IFERROR(__xludf.DUMMYFUNCTION("""COMPUTED_VALUE"""),68.0)</f>
        <v>68</v>
      </c>
      <c r="F3360" s="19" t="str">
        <f>IFERROR(__xludf.DUMMYFUNCTION("""COMPUTED_VALUE"""),"BLACK")</f>
        <v>BLACK</v>
      </c>
      <c r="G3360" s="20" t="str">
        <f>IFERROR(__xludf.DUMMYFUNCTION("""COMPUTED_VALUE"""),"Uncle Sams Cider (5/13/2022)")</f>
        <v>Uncle Sams Cider (5/13/2022)</v>
      </c>
      <c r="H3360" s="19"/>
    </row>
    <row r="3361">
      <c r="A3361" s="9"/>
      <c r="B3361" s="15"/>
      <c r="C3361" s="9">
        <f>IFERROR(__xludf.DUMMYFUNCTION("""COMPUTED_VALUE"""),44761.595322743)</f>
        <v>44761.59532</v>
      </c>
      <c r="D3361" s="15">
        <f>IFERROR(__xludf.DUMMYFUNCTION("""COMPUTED_VALUE"""),1.004)</f>
        <v>1.004</v>
      </c>
      <c r="E3361" s="16">
        <f>IFERROR(__xludf.DUMMYFUNCTION("""COMPUTED_VALUE"""),69.0)</f>
        <v>69</v>
      </c>
      <c r="F3361" s="19" t="str">
        <f>IFERROR(__xludf.DUMMYFUNCTION("""COMPUTED_VALUE"""),"BLACK")</f>
        <v>BLACK</v>
      </c>
      <c r="G3361" s="20" t="str">
        <f>IFERROR(__xludf.DUMMYFUNCTION("""COMPUTED_VALUE"""),"Uncle Sams Cider (5/13/2022)")</f>
        <v>Uncle Sams Cider (5/13/2022)</v>
      </c>
      <c r="H3361" s="19"/>
    </row>
    <row r="3362">
      <c r="A3362" s="9"/>
      <c r="B3362" s="15"/>
      <c r="C3362" s="9">
        <f>IFERROR(__xludf.DUMMYFUNCTION("""COMPUTED_VALUE"""),44761.5848661921)</f>
        <v>44761.58487</v>
      </c>
      <c r="D3362" s="15">
        <f>IFERROR(__xludf.DUMMYFUNCTION("""COMPUTED_VALUE"""),1.004)</f>
        <v>1.004</v>
      </c>
      <c r="E3362" s="16">
        <f>IFERROR(__xludf.DUMMYFUNCTION("""COMPUTED_VALUE"""),69.0)</f>
        <v>69</v>
      </c>
      <c r="F3362" s="19" t="str">
        <f>IFERROR(__xludf.DUMMYFUNCTION("""COMPUTED_VALUE"""),"BLACK")</f>
        <v>BLACK</v>
      </c>
      <c r="G3362" s="20" t="str">
        <f>IFERROR(__xludf.DUMMYFUNCTION("""COMPUTED_VALUE"""),"Uncle Sams Cider (5/13/2022)")</f>
        <v>Uncle Sams Cider (5/13/2022)</v>
      </c>
      <c r="H3362" s="19"/>
    </row>
    <row r="3363">
      <c r="A3363" s="9"/>
      <c r="B3363" s="15"/>
      <c r="C3363" s="9">
        <f>IFERROR(__xludf.DUMMYFUNCTION("""COMPUTED_VALUE"""),44761.5744330671)</f>
        <v>44761.57443</v>
      </c>
      <c r="D3363" s="15">
        <f>IFERROR(__xludf.DUMMYFUNCTION("""COMPUTED_VALUE"""),1.004)</f>
        <v>1.004</v>
      </c>
      <c r="E3363" s="16">
        <f>IFERROR(__xludf.DUMMYFUNCTION("""COMPUTED_VALUE"""),70.0)</f>
        <v>70</v>
      </c>
      <c r="F3363" s="19" t="str">
        <f>IFERROR(__xludf.DUMMYFUNCTION("""COMPUTED_VALUE"""),"BLACK")</f>
        <v>BLACK</v>
      </c>
      <c r="G3363" s="20" t="str">
        <f>IFERROR(__xludf.DUMMYFUNCTION("""COMPUTED_VALUE"""),"Uncle Sams Cider (5/13/2022)")</f>
        <v>Uncle Sams Cider (5/13/2022)</v>
      </c>
      <c r="H3363" s="19"/>
    </row>
    <row r="3364">
      <c r="A3364" s="9"/>
      <c r="B3364" s="15"/>
      <c r="C3364" s="9">
        <f>IFERROR(__xludf.DUMMYFUNCTION("""COMPUTED_VALUE"""),44761.5640104629)</f>
        <v>44761.56401</v>
      </c>
      <c r="D3364" s="15">
        <f>IFERROR(__xludf.DUMMYFUNCTION("""COMPUTED_VALUE"""),1.004)</f>
        <v>1.004</v>
      </c>
      <c r="E3364" s="16">
        <f>IFERROR(__xludf.DUMMYFUNCTION("""COMPUTED_VALUE"""),70.0)</f>
        <v>70</v>
      </c>
      <c r="F3364" s="19" t="str">
        <f>IFERROR(__xludf.DUMMYFUNCTION("""COMPUTED_VALUE"""),"BLACK")</f>
        <v>BLACK</v>
      </c>
      <c r="G3364" s="20" t="str">
        <f>IFERROR(__xludf.DUMMYFUNCTION("""COMPUTED_VALUE"""),"Uncle Sams Cider (5/13/2022)")</f>
        <v>Uncle Sams Cider (5/13/2022)</v>
      </c>
      <c r="H3364" s="19"/>
    </row>
    <row r="3365">
      <c r="A3365" s="9"/>
      <c r="B3365" s="15"/>
      <c r="C3365" s="9">
        <f>IFERROR(__xludf.DUMMYFUNCTION("""COMPUTED_VALUE"""),44761.5535773495)</f>
        <v>44761.55358</v>
      </c>
      <c r="D3365" s="15">
        <f>IFERROR(__xludf.DUMMYFUNCTION("""COMPUTED_VALUE"""),1.004)</f>
        <v>1.004</v>
      </c>
      <c r="E3365" s="16">
        <f>IFERROR(__xludf.DUMMYFUNCTION("""COMPUTED_VALUE"""),70.0)</f>
        <v>70</v>
      </c>
      <c r="F3365" s="19" t="str">
        <f>IFERROR(__xludf.DUMMYFUNCTION("""COMPUTED_VALUE"""),"BLACK")</f>
        <v>BLACK</v>
      </c>
      <c r="G3365" s="20" t="str">
        <f>IFERROR(__xludf.DUMMYFUNCTION("""COMPUTED_VALUE"""),"Uncle Sams Cider (5/13/2022)")</f>
        <v>Uncle Sams Cider (5/13/2022)</v>
      </c>
      <c r="H3365" s="19"/>
    </row>
    <row r="3366">
      <c r="A3366" s="9"/>
      <c r="B3366" s="15"/>
      <c r="C3366" s="9">
        <f>IFERROR(__xludf.DUMMYFUNCTION("""COMPUTED_VALUE"""),44761.5431559027)</f>
        <v>44761.54316</v>
      </c>
      <c r="D3366" s="15">
        <f>IFERROR(__xludf.DUMMYFUNCTION("""COMPUTED_VALUE"""),1.004)</f>
        <v>1.004</v>
      </c>
      <c r="E3366" s="16">
        <f>IFERROR(__xludf.DUMMYFUNCTION("""COMPUTED_VALUE"""),70.0)</f>
        <v>70</v>
      </c>
      <c r="F3366" s="19" t="str">
        <f>IFERROR(__xludf.DUMMYFUNCTION("""COMPUTED_VALUE"""),"BLACK")</f>
        <v>BLACK</v>
      </c>
      <c r="G3366" s="20" t="str">
        <f>IFERROR(__xludf.DUMMYFUNCTION("""COMPUTED_VALUE"""),"Uncle Sams Cider (5/13/2022)")</f>
        <v>Uncle Sams Cider (5/13/2022)</v>
      </c>
      <c r="H3366" s="19"/>
    </row>
    <row r="3367">
      <c r="A3367" s="9"/>
      <c r="B3367" s="15"/>
      <c r="C3367" s="9">
        <f>IFERROR(__xludf.DUMMYFUNCTION("""COMPUTED_VALUE"""),44761.5327354166)</f>
        <v>44761.53274</v>
      </c>
      <c r="D3367" s="15">
        <f>IFERROR(__xludf.DUMMYFUNCTION("""COMPUTED_VALUE"""),1.004)</f>
        <v>1.004</v>
      </c>
      <c r="E3367" s="16">
        <f>IFERROR(__xludf.DUMMYFUNCTION("""COMPUTED_VALUE"""),70.0)</f>
        <v>70</v>
      </c>
      <c r="F3367" s="19" t="str">
        <f>IFERROR(__xludf.DUMMYFUNCTION("""COMPUTED_VALUE"""),"BLACK")</f>
        <v>BLACK</v>
      </c>
      <c r="G3367" s="20" t="str">
        <f>IFERROR(__xludf.DUMMYFUNCTION("""COMPUTED_VALUE"""),"Uncle Sams Cider (5/13/2022)")</f>
        <v>Uncle Sams Cider (5/13/2022)</v>
      </c>
      <c r="H3367" s="19"/>
    </row>
    <row r="3368">
      <c r="A3368" s="9"/>
      <c r="B3368" s="15"/>
      <c r="C3368" s="9">
        <f>IFERROR(__xludf.DUMMYFUNCTION("""COMPUTED_VALUE"""),44761.5223161226)</f>
        <v>44761.52232</v>
      </c>
      <c r="D3368" s="15">
        <f>IFERROR(__xludf.DUMMYFUNCTION("""COMPUTED_VALUE"""),1.004)</f>
        <v>1.004</v>
      </c>
      <c r="E3368" s="16">
        <f>IFERROR(__xludf.DUMMYFUNCTION("""COMPUTED_VALUE"""),70.0)</f>
        <v>70</v>
      </c>
      <c r="F3368" s="19" t="str">
        <f>IFERROR(__xludf.DUMMYFUNCTION("""COMPUTED_VALUE"""),"BLACK")</f>
        <v>BLACK</v>
      </c>
      <c r="G3368" s="20" t="str">
        <f>IFERROR(__xludf.DUMMYFUNCTION("""COMPUTED_VALUE"""),"Uncle Sams Cider (5/13/2022)")</f>
        <v>Uncle Sams Cider (5/13/2022)</v>
      </c>
      <c r="H3368" s="19"/>
    </row>
    <row r="3369">
      <c r="A3369" s="9"/>
      <c r="B3369" s="15"/>
      <c r="C3369" s="9">
        <f>IFERROR(__xludf.DUMMYFUNCTION("""COMPUTED_VALUE"""),44761.5118945486)</f>
        <v>44761.51189</v>
      </c>
      <c r="D3369" s="15">
        <f>IFERROR(__xludf.DUMMYFUNCTION("""COMPUTED_VALUE"""),1.004)</f>
        <v>1.004</v>
      </c>
      <c r="E3369" s="16">
        <f>IFERROR(__xludf.DUMMYFUNCTION("""COMPUTED_VALUE"""),70.0)</f>
        <v>70</v>
      </c>
      <c r="F3369" s="19" t="str">
        <f>IFERROR(__xludf.DUMMYFUNCTION("""COMPUTED_VALUE"""),"BLACK")</f>
        <v>BLACK</v>
      </c>
      <c r="G3369" s="20" t="str">
        <f>IFERROR(__xludf.DUMMYFUNCTION("""COMPUTED_VALUE"""),"Uncle Sams Cider (5/13/2022)")</f>
        <v>Uncle Sams Cider (5/13/2022)</v>
      </c>
      <c r="H3369" s="19"/>
    </row>
    <row r="3370">
      <c r="A3370" s="9"/>
      <c r="B3370" s="15"/>
      <c r="C3370" s="9">
        <f>IFERROR(__xludf.DUMMYFUNCTION("""COMPUTED_VALUE"""),44761.5014736226)</f>
        <v>44761.50147</v>
      </c>
      <c r="D3370" s="15">
        <f>IFERROR(__xludf.DUMMYFUNCTION("""COMPUTED_VALUE"""),1.004)</f>
        <v>1.004</v>
      </c>
      <c r="E3370" s="16">
        <f>IFERROR(__xludf.DUMMYFUNCTION("""COMPUTED_VALUE"""),70.0)</f>
        <v>70</v>
      </c>
      <c r="F3370" s="19" t="str">
        <f>IFERROR(__xludf.DUMMYFUNCTION("""COMPUTED_VALUE"""),"BLACK")</f>
        <v>BLACK</v>
      </c>
      <c r="G3370" s="20" t="str">
        <f>IFERROR(__xludf.DUMMYFUNCTION("""COMPUTED_VALUE"""),"Uncle Sams Cider (5/13/2022)")</f>
        <v>Uncle Sams Cider (5/13/2022)</v>
      </c>
      <c r="H3370" s="19"/>
    </row>
    <row r="3371">
      <c r="A3371" s="9"/>
      <c r="B3371" s="15"/>
      <c r="C3371" s="9">
        <f>IFERROR(__xludf.DUMMYFUNCTION("""COMPUTED_VALUE"""),44761.4910537731)</f>
        <v>44761.49105</v>
      </c>
      <c r="D3371" s="15">
        <f>IFERROR(__xludf.DUMMYFUNCTION("""COMPUTED_VALUE"""),1.004)</f>
        <v>1.004</v>
      </c>
      <c r="E3371" s="16">
        <f>IFERROR(__xludf.DUMMYFUNCTION("""COMPUTED_VALUE"""),70.0)</f>
        <v>70</v>
      </c>
      <c r="F3371" s="19" t="str">
        <f>IFERROR(__xludf.DUMMYFUNCTION("""COMPUTED_VALUE"""),"BLACK")</f>
        <v>BLACK</v>
      </c>
      <c r="G3371" s="20" t="str">
        <f>IFERROR(__xludf.DUMMYFUNCTION("""COMPUTED_VALUE"""),"Uncle Sams Cider (5/13/2022)")</f>
        <v>Uncle Sams Cider (5/13/2022)</v>
      </c>
      <c r="H3371" s="19"/>
    </row>
    <row r="3372">
      <c r="A3372" s="9"/>
      <c r="B3372" s="15"/>
      <c r="C3372" s="9">
        <f>IFERROR(__xludf.DUMMYFUNCTION("""COMPUTED_VALUE"""),44761.4806328356)</f>
        <v>44761.48063</v>
      </c>
      <c r="D3372" s="15">
        <f>IFERROR(__xludf.DUMMYFUNCTION("""COMPUTED_VALUE"""),1.004)</f>
        <v>1.004</v>
      </c>
      <c r="E3372" s="16">
        <f>IFERROR(__xludf.DUMMYFUNCTION("""COMPUTED_VALUE"""),70.0)</f>
        <v>70</v>
      </c>
      <c r="F3372" s="19" t="str">
        <f>IFERROR(__xludf.DUMMYFUNCTION("""COMPUTED_VALUE"""),"BLACK")</f>
        <v>BLACK</v>
      </c>
      <c r="G3372" s="20" t="str">
        <f>IFERROR(__xludf.DUMMYFUNCTION("""COMPUTED_VALUE"""),"Uncle Sams Cider (5/13/2022)")</f>
        <v>Uncle Sams Cider (5/13/2022)</v>
      </c>
      <c r="H3372" s="19"/>
    </row>
    <row r="3373">
      <c r="A3373" s="9"/>
      <c r="B3373" s="15"/>
      <c r="C3373" s="9">
        <f>IFERROR(__xludf.DUMMYFUNCTION("""COMPUTED_VALUE"""),44761.4702120601)</f>
        <v>44761.47021</v>
      </c>
      <c r="D3373" s="15">
        <f>IFERROR(__xludf.DUMMYFUNCTION("""COMPUTED_VALUE"""),1.004)</f>
        <v>1.004</v>
      </c>
      <c r="E3373" s="16">
        <f>IFERROR(__xludf.DUMMYFUNCTION("""COMPUTED_VALUE"""),70.0)</f>
        <v>70</v>
      </c>
      <c r="F3373" s="19" t="str">
        <f>IFERROR(__xludf.DUMMYFUNCTION("""COMPUTED_VALUE"""),"BLACK")</f>
        <v>BLACK</v>
      </c>
      <c r="G3373" s="20" t="str">
        <f>IFERROR(__xludf.DUMMYFUNCTION("""COMPUTED_VALUE"""),"Uncle Sams Cider (5/13/2022)")</f>
        <v>Uncle Sams Cider (5/13/2022)</v>
      </c>
      <c r="H3373" s="19"/>
    </row>
    <row r="3374">
      <c r="A3374" s="9"/>
      <c r="B3374" s="15"/>
      <c r="C3374" s="9">
        <f>IFERROR(__xludf.DUMMYFUNCTION("""COMPUTED_VALUE"""),44761.4597885763)</f>
        <v>44761.45979</v>
      </c>
      <c r="D3374" s="15">
        <f>IFERROR(__xludf.DUMMYFUNCTION("""COMPUTED_VALUE"""),1.004)</f>
        <v>1.004</v>
      </c>
      <c r="E3374" s="16">
        <f>IFERROR(__xludf.DUMMYFUNCTION("""COMPUTED_VALUE"""),70.0)</f>
        <v>70</v>
      </c>
      <c r="F3374" s="19" t="str">
        <f>IFERROR(__xludf.DUMMYFUNCTION("""COMPUTED_VALUE"""),"BLACK")</f>
        <v>BLACK</v>
      </c>
      <c r="G3374" s="20" t="str">
        <f>IFERROR(__xludf.DUMMYFUNCTION("""COMPUTED_VALUE"""),"Uncle Sams Cider (5/13/2022)")</f>
        <v>Uncle Sams Cider (5/13/2022)</v>
      </c>
      <c r="H3374" s="19"/>
    </row>
    <row r="3375">
      <c r="A3375" s="9"/>
      <c r="B3375" s="15"/>
      <c r="C3375" s="9">
        <f>IFERROR(__xludf.DUMMYFUNCTION("""COMPUTED_VALUE"""),44761.4493678703)</f>
        <v>44761.44937</v>
      </c>
      <c r="D3375" s="15">
        <f>IFERROR(__xludf.DUMMYFUNCTION("""COMPUTED_VALUE"""),1.004)</f>
        <v>1.004</v>
      </c>
      <c r="E3375" s="16">
        <f>IFERROR(__xludf.DUMMYFUNCTION("""COMPUTED_VALUE"""),70.0)</f>
        <v>70</v>
      </c>
      <c r="F3375" s="19" t="str">
        <f>IFERROR(__xludf.DUMMYFUNCTION("""COMPUTED_VALUE"""),"BLACK")</f>
        <v>BLACK</v>
      </c>
      <c r="G3375" s="20" t="str">
        <f>IFERROR(__xludf.DUMMYFUNCTION("""COMPUTED_VALUE"""),"Uncle Sams Cider (5/13/2022)")</f>
        <v>Uncle Sams Cider (5/13/2022)</v>
      </c>
      <c r="H3375" s="19"/>
    </row>
    <row r="3376">
      <c r="A3376" s="9"/>
      <c r="B3376" s="15"/>
      <c r="C3376" s="9">
        <f>IFERROR(__xludf.DUMMYFUNCTION("""COMPUTED_VALUE"""),44761.438947662)</f>
        <v>44761.43895</v>
      </c>
      <c r="D3376" s="15">
        <f>IFERROR(__xludf.DUMMYFUNCTION("""COMPUTED_VALUE"""),1.004)</f>
        <v>1.004</v>
      </c>
      <c r="E3376" s="16">
        <f>IFERROR(__xludf.DUMMYFUNCTION("""COMPUTED_VALUE"""),70.0)</f>
        <v>70</v>
      </c>
      <c r="F3376" s="19" t="str">
        <f>IFERROR(__xludf.DUMMYFUNCTION("""COMPUTED_VALUE"""),"BLACK")</f>
        <v>BLACK</v>
      </c>
      <c r="G3376" s="20" t="str">
        <f>IFERROR(__xludf.DUMMYFUNCTION("""COMPUTED_VALUE"""),"Uncle Sams Cider (5/13/2022)")</f>
        <v>Uncle Sams Cider (5/13/2022)</v>
      </c>
      <c r="H3376" s="19"/>
    </row>
    <row r="3377">
      <c r="A3377" s="9"/>
      <c r="B3377" s="15"/>
      <c r="C3377" s="9">
        <f>IFERROR(__xludf.DUMMYFUNCTION("""COMPUTED_VALUE"""),44761.4285260416)</f>
        <v>44761.42853</v>
      </c>
      <c r="D3377" s="15">
        <f>IFERROR(__xludf.DUMMYFUNCTION("""COMPUTED_VALUE"""),1.004)</f>
        <v>1.004</v>
      </c>
      <c r="E3377" s="16">
        <f>IFERROR(__xludf.DUMMYFUNCTION("""COMPUTED_VALUE"""),70.0)</f>
        <v>70</v>
      </c>
      <c r="F3377" s="19" t="str">
        <f>IFERROR(__xludf.DUMMYFUNCTION("""COMPUTED_VALUE"""),"BLACK")</f>
        <v>BLACK</v>
      </c>
      <c r="G3377" s="20" t="str">
        <f>IFERROR(__xludf.DUMMYFUNCTION("""COMPUTED_VALUE"""),"Uncle Sams Cider (5/13/2022)")</f>
        <v>Uncle Sams Cider (5/13/2022)</v>
      </c>
      <c r="H3377" s="19"/>
    </row>
    <row r="3378">
      <c r="A3378" s="9"/>
      <c r="B3378" s="15"/>
      <c r="C3378" s="9">
        <f>IFERROR(__xludf.DUMMYFUNCTION("""COMPUTED_VALUE"""),44761.4181058796)</f>
        <v>44761.41811</v>
      </c>
      <c r="D3378" s="15">
        <f>IFERROR(__xludf.DUMMYFUNCTION("""COMPUTED_VALUE"""),1.004)</f>
        <v>1.004</v>
      </c>
      <c r="E3378" s="16">
        <f>IFERROR(__xludf.DUMMYFUNCTION("""COMPUTED_VALUE"""),70.0)</f>
        <v>70</v>
      </c>
      <c r="F3378" s="19" t="str">
        <f>IFERROR(__xludf.DUMMYFUNCTION("""COMPUTED_VALUE"""),"BLACK")</f>
        <v>BLACK</v>
      </c>
      <c r="G3378" s="20" t="str">
        <f>IFERROR(__xludf.DUMMYFUNCTION("""COMPUTED_VALUE"""),"Uncle Sams Cider (5/13/2022)")</f>
        <v>Uncle Sams Cider (5/13/2022)</v>
      </c>
      <c r="H3378" s="19"/>
    </row>
    <row r="3379">
      <c r="A3379" s="9"/>
      <c r="B3379" s="15"/>
      <c r="C3379" s="9">
        <f>IFERROR(__xludf.DUMMYFUNCTION("""COMPUTED_VALUE"""),44761.4076852314)</f>
        <v>44761.40769</v>
      </c>
      <c r="D3379" s="15">
        <f>IFERROR(__xludf.DUMMYFUNCTION("""COMPUTED_VALUE"""),1.004)</f>
        <v>1.004</v>
      </c>
      <c r="E3379" s="16">
        <f>IFERROR(__xludf.DUMMYFUNCTION("""COMPUTED_VALUE"""),70.0)</f>
        <v>70</v>
      </c>
      <c r="F3379" s="19" t="str">
        <f>IFERROR(__xludf.DUMMYFUNCTION("""COMPUTED_VALUE"""),"BLACK")</f>
        <v>BLACK</v>
      </c>
      <c r="G3379" s="20" t="str">
        <f>IFERROR(__xludf.DUMMYFUNCTION("""COMPUTED_VALUE"""),"Uncle Sams Cider (5/13/2022)")</f>
        <v>Uncle Sams Cider (5/13/2022)</v>
      </c>
      <c r="H3379" s="19"/>
    </row>
    <row r="3380">
      <c r="A3380" s="9"/>
      <c r="B3380" s="15"/>
      <c r="C3380" s="9">
        <f>IFERROR(__xludf.DUMMYFUNCTION("""COMPUTED_VALUE"""),44761.3972643865)</f>
        <v>44761.39726</v>
      </c>
      <c r="D3380" s="15">
        <f>IFERROR(__xludf.DUMMYFUNCTION("""COMPUTED_VALUE"""),1.004)</f>
        <v>1.004</v>
      </c>
      <c r="E3380" s="16">
        <f>IFERROR(__xludf.DUMMYFUNCTION("""COMPUTED_VALUE"""),70.0)</f>
        <v>70</v>
      </c>
      <c r="F3380" s="19" t="str">
        <f>IFERROR(__xludf.DUMMYFUNCTION("""COMPUTED_VALUE"""),"BLACK")</f>
        <v>BLACK</v>
      </c>
      <c r="G3380" s="20" t="str">
        <f>IFERROR(__xludf.DUMMYFUNCTION("""COMPUTED_VALUE"""),"Uncle Sams Cider (5/13/2022)")</f>
        <v>Uncle Sams Cider (5/13/2022)</v>
      </c>
      <c r="H3380" s="19"/>
    </row>
    <row r="3381">
      <c r="A3381" s="9"/>
      <c r="B3381" s="15"/>
      <c r="C3381" s="9">
        <f>IFERROR(__xludf.DUMMYFUNCTION("""COMPUTED_VALUE"""),44761.3868434143)</f>
        <v>44761.38684</v>
      </c>
      <c r="D3381" s="15">
        <f>IFERROR(__xludf.DUMMYFUNCTION("""COMPUTED_VALUE"""),1.004)</f>
        <v>1.004</v>
      </c>
      <c r="E3381" s="16">
        <f>IFERROR(__xludf.DUMMYFUNCTION("""COMPUTED_VALUE"""),70.0)</f>
        <v>70</v>
      </c>
      <c r="F3381" s="19" t="str">
        <f>IFERROR(__xludf.DUMMYFUNCTION("""COMPUTED_VALUE"""),"BLACK")</f>
        <v>BLACK</v>
      </c>
      <c r="G3381" s="20" t="str">
        <f>IFERROR(__xludf.DUMMYFUNCTION("""COMPUTED_VALUE"""),"Uncle Sams Cider (5/13/2022)")</f>
        <v>Uncle Sams Cider (5/13/2022)</v>
      </c>
      <c r="H3381" s="19"/>
    </row>
    <row r="3382">
      <c r="A3382" s="9"/>
      <c r="B3382" s="15"/>
      <c r="C3382" s="9">
        <f>IFERROR(__xludf.DUMMYFUNCTION("""COMPUTED_VALUE"""),44761.3764220023)</f>
        <v>44761.37642</v>
      </c>
      <c r="D3382" s="15">
        <f>IFERROR(__xludf.DUMMYFUNCTION("""COMPUTED_VALUE"""),1.004)</f>
        <v>1.004</v>
      </c>
      <c r="E3382" s="16">
        <f>IFERROR(__xludf.DUMMYFUNCTION("""COMPUTED_VALUE"""),70.0)</f>
        <v>70</v>
      </c>
      <c r="F3382" s="19" t="str">
        <f>IFERROR(__xludf.DUMMYFUNCTION("""COMPUTED_VALUE"""),"BLACK")</f>
        <v>BLACK</v>
      </c>
      <c r="G3382" s="20" t="str">
        <f>IFERROR(__xludf.DUMMYFUNCTION("""COMPUTED_VALUE"""),"Uncle Sams Cider (5/13/2022)")</f>
        <v>Uncle Sams Cider (5/13/2022)</v>
      </c>
      <c r="H3382" s="19"/>
    </row>
    <row r="3383">
      <c r="A3383" s="9"/>
      <c r="B3383" s="15"/>
      <c r="C3383" s="9">
        <f>IFERROR(__xludf.DUMMYFUNCTION("""COMPUTED_VALUE"""),44761.3659998958)</f>
        <v>44761.366</v>
      </c>
      <c r="D3383" s="15">
        <f>IFERROR(__xludf.DUMMYFUNCTION("""COMPUTED_VALUE"""),1.004)</f>
        <v>1.004</v>
      </c>
      <c r="E3383" s="16">
        <f>IFERROR(__xludf.DUMMYFUNCTION("""COMPUTED_VALUE"""),70.0)</f>
        <v>70</v>
      </c>
      <c r="F3383" s="19" t="str">
        <f>IFERROR(__xludf.DUMMYFUNCTION("""COMPUTED_VALUE"""),"BLACK")</f>
        <v>BLACK</v>
      </c>
      <c r="G3383" s="20" t="str">
        <f>IFERROR(__xludf.DUMMYFUNCTION("""COMPUTED_VALUE"""),"Uncle Sams Cider (5/13/2022)")</f>
        <v>Uncle Sams Cider (5/13/2022)</v>
      </c>
      <c r="H3383" s="19"/>
    </row>
    <row r="3384">
      <c r="A3384" s="9"/>
      <c r="B3384" s="15"/>
      <c r="C3384" s="9">
        <f>IFERROR(__xludf.DUMMYFUNCTION("""COMPUTED_VALUE"""),44761.3555547338)</f>
        <v>44761.35555</v>
      </c>
      <c r="D3384" s="15">
        <f>IFERROR(__xludf.DUMMYFUNCTION("""COMPUTED_VALUE"""),1.004)</f>
        <v>1.004</v>
      </c>
      <c r="E3384" s="16">
        <f>IFERROR(__xludf.DUMMYFUNCTION("""COMPUTED_VALUE"""),70.0)</f>
        <v>70</v>
      </c>
      <c r="F3384" s="19" t="str">
        <f>IFERROR(__xludf.DUMMYFUNCTION("""COMPUTED_VALUE"""),"BLACK")</f>
        <v>BLACK</v>
      </c>
      <c r="G3384" s="20" t="str">
        <f>IFERROR(__xludf.DUMMYFUNCTION("""COMPUTED_VALUE"""),"Uncle Sams Cider (5/13/2022)")</f>
        <v>Uncle Sams Cider (5/13/2022)</v>
      </c>
      <c r="H3384" s="19"/>
    </row>
    <row r="3385">
      <c r="A3385" s="9"/>
      <c r="B3385" s="15"/>
      <c r="C3385" s="9">
        <f>IFERROR(__xludf.DUMMYFUNCTION("""COMPUTED_VALUE"""),44761.345134699)</f>
        <v>44761.34513</v>
      </c>
      <c r="D3385" s="15">
        <f>IFERROR(__xludf.DUMMYFUNCTION("""COMPUTED_VALUE"""),1.004)</f>
        <v>1.004</v>
      </c>
      <c r="E3385" s="16">
        <f>IFERROR(__xludf.DUMMYFUNCTION("""COMPUTED_VALUE"""),70.0)</f>
        <v>70</v>
      </c>
      <c r="F3385" s="19" t="str">
        <f>IFERROR(__xludf.DUMMYFUNCTION("""COMPUTED_VALUE"""),"BLACK")</f>
        <v>BLACK</v>
      </c>
      <c r="G3385" s="20" t="str">
        <f>IFERROR(__xludf.DUMMYFUNCTION("""COMPUTED_VALUE"""),"Uncle Sams Cider (5/13/2022)")</f>
        <v>Uncle Sams Cider (5/13/2022)</v>
      </c>
      <c r="H3385" s="19"/>
    </row>
    <row r="3386">
      <c r="A3386" s="9"/>
      <c r="B3386" s="15"/>
      <c r="C3386" s="9">
        <f>IFERROR(__xludf.DUMMYFUNCTION("""COMPUTED_VALUE"""),44761.3347145023)</f>
        <v>44761.33471</v>
      </c>
      <c r="D3386" s="15">
        <f>IFERROR(__xludf.DUMMYFUNCTION("""COMPUTED_VALUE"""),1.004)</f>
        <v>1.004</v>
      </c>
      <c r="E3386" s="16">
        <f>IFERROR(__xludf.DUMMYFUNCTION("""COMPUTED_VALUE"""),70.0)</f>
        <v>70</v>
      </c>
      <c r="F3386" s="19" t="str">
        <f>IFERROR(__xludf.DUMMYFUNCTION("""COMPUTED_VALUE"""),"BLACK")</f>
        <v>BLACK</v>
      </c>
      <c r="G3386" s="20" t="str">
        <f>IFERROR(__xludf.DUMMYFUNCTION("""COMPUTED_VALUE"""),"Uncle Sams Cider (5/13/2022)")</f>
        <v>Uncle Sams Cider (5/13/2022)</v>
      </c>
      <c r="H3386" s="19"/>
    </row>
    <row r="3387">
      <c r="A3387" s="9"/>
      <c r="B3387" s="15"/>
      <c r="C3387" s="9">
        <f>IFERROR(__xludf.DUMMYFUNCTION("""COMPUTED_VALUE"""),44761.3242825)</f>
        <v>44761.32428</v>
      </c>
      <c r="D3387" s="15">
        <f>IFERROR(__xludf.DUMMYFUNCTION("""COMPUTED_VALUE"""),1.004)</f>
        <v>1.004</v>
      </c>
      <c r="E3387" s="16">
        <f>IFERROR(__xludf.DUMMYFUNCTION("""COMPUTED_VALUE"""),70.0)</f>
        <v>70</v>
      </c>
      <c r="F3387" s="19" t="str">
        <f>IFERROR(__xludf.DUMMYFUNCTION("""COMPUTED_VALUE"""),"BLACK")</f>
        <v>BLACK</v>
      </c>
      <c r="G3387" s="20" t="str">
        <f>IFERROR(__xludf.DUMMYFUNCTION("""COMPUTED_VALUE"""),"Uncle Sams Cider (5/13/2022)")</f>
        <v>Uncle Sams Cider (5/13/2022)</v>
      </c>
      <c r="H3387" s="19"/>
    </row>
    <row r="3388">
      <c r="A3388" s="9"/>
      <c r="B3388" s="15"/>
      <c r="C3388" s="9">
        <f>IFERROR(__xludf.DUMMYFUNCTION("""COMPUTED_VALUE"""),44761.3138609143)</f>
        <v>44761.31386</v>
      </c>
      <c r="D3388" s="15">
        <f>IFERROR(__xludf.DUMMYFUNCTION("""COMPUTED_VALUE"""),1.004)</f>
        <v>1.004</v>
      </c>
      <c r="E3388" s="16">
        <f>IFERROR(__xludf.DUMMYFUNCTION("""COMPUTED_VALUE"""),70.0)</f>
        <v>70</v>
      </c>
      <c r="F3388" s="19" t="str">
        <f>IFERROR(__xludf.DUMMYFUNCTION("""COMPUTED_VALUE"""),"BLACK")</f>
        <v>BLACK</v>
      </c>
      <c r="G3388" s="20" t="str">
        <f>IFERROR(__xludf.DUMMYFUNCTION("""COMPUTED_VALUE"""),"Uncle Sams Cider (5/13/2022)")</f>
        <v>Uncle Sams Cider (5/13/2022)</v>
      </c>
      <c r="H3388" s="19"/>
    </row>
    <row r="3389">
      <c r="A3389" s="9"/>
      <c r="B3389" s="15"/>
      <c r="C3389" s="9">
        <f>IFERROR(__xludf.DUMMYFUNCTION("""COMPUTED_VALUE"""),44761.3034410648)</f>
        <v>44761.30344</v>
      </c>
      <c r="D3389" s="15">
        <f>IFERROR(__xludf.DUMMYFUNCTION("""COMPUTED_VALUE"""),1.004)</f>
        <v>1.004</v>
      </c>
      <c r="E3389" s="16">
        <f>IFERROR(__xludf.DUMMYFUNCTION("""COMPUTED_VALUE"""),70.0)</f>
        <v>70</v>
      </c>
      <c r="F3389" s="19" t="str">
        <f>IFERROR(__xludf.DUMMYFUNCTION("""COMPUTED_VALUE"""),"BLACK")</f>
        <v>BLACK</v>
      </c>
      <c r="G3389" s="20" t="str">
        <f>IFERROR(__xludf.DUMMYFUNCTION("""COMPUTED_VALUE"""),"Uncle Sams Cider (5/13/2022)")</f>
        <v>Uncle Sams Cider (5/13/2022)</v>
      </c>
      <c r="H3389" s="19"/>
    </row>
    <row r="3390">
      <c r="A3390" s="9"/>
      <c r="B3390" s="15"/>
      <c r="C3390" s="9">
        <f>IFERROR(__xludf.DUMMYFUNCTION("""COMPUTED_VALUE"""),44761.2930189351)</f>
        <v>44761.29302</v>
      </c>
      <c r="D3390" s="15">
        <f>IFERROR(__xludf.DUMMYFUNCTION("""COMPUTED_VALUE"""),1.004)</f>
        <v>1.004</v>
      </c>
      <c r="E3390" s="16">
        <f>IFERROR(__xludf.DUMMYFUNCTION("""COMPUTED_VALUE"""),70.0)</f>
        <v>70</v>
      </c>
      <c r="F3390" s="19" t="str">
        <f>IFERROR(__xludf.DUMMYFUNCTION("""COMPUTED_VALUE"""),"BLACK")</f>
        <v>BLACK</v>
      </c>
      <c r="G3390" s="20" t="str">
        <f>IFERROR(__xludf.DUMMYFUNCTION("""COMPUTED_VALUE"""),"Uncle Sams Cider (5/13/2022)")</f>
        <v>Uncle Sams Cider (5/13/2022)</v>
      </c>
      <c r="H3390" s="19"/>
    </row>
    <row r="3391">
      <c r="A3391" s="9"/>
      <c r="B3391" s="15"/>
      <c r="C3391" s="9">
        <f>IFERROR(__xludf.DUMMYFUNCTION("""COMPUTED_VALUE"""),44761.2825861342)</f>
        <v>44761.28259</v>
      </c>
      <c r="D3391" s="15">
        <f>IFERROR(__xludf.DUMMYFUNCTION("""COMPUTED_VALUE"""),1.004)</f>
        <v>1.004</v>
      </c>
      <c r="E3391" s="16">
        <f>IFERROR(__xludf.DUMMYFUNCTION("""COMPUTED_VALUE"""),70.0)</f>
        <v>70</v>
      </c>
      <c r="F3391" s="19" t="str">
        <f>IFERROR(__xludf.DUMMYFUNCTION("""COMPUTED_VALUE"""),"BLACK")</f>
        <v>BLACK</v>
      </c>
      <c r="G3391" s="20" t="str">
        <f>IFERROR(__xludf.DUMMYFUNCTION("""COMPUTED_VALUE"""),"Uncle Sams Cider (5/13/2022)")</f>
        <v>Uncle Sams Cider (5/13/2022)</v>
      </c>
      <c r="H3391" s="19"/>
    </row>
    <row r="3392">
      <c r="A3392" s="9"/>
      <c r="B3392" s="15"/>
      <c r="C3392" s="9">
        <f>IFERROR(__xludf.DUMMYFUNCTION("""COMPUTED_VALUE"""),44761.2721643634)</f>
        <v>44761.27216</v>
      </c>
      <c r="D3392" s="15">
        <f>IFERROR(__xludf.DUMMYFUNCTION("""COMPUTED_VALUE"""),1.004)</f>
        <v>1.004</v>
      </c>
      <c r="E3392" s="16">
        <f>IFERROR(__xludf.DUMMYFUNCTION("""COMPUTED_VALUE"""),70.0)</f>
        <v>70</v>
      </c>
      <c r="F3392" s="19" t="str">
        <f>IFERROR(__xludf.DUMMYFUNCTION("""COMPUTED_VALUE"""),"BLACK")</f>
        <v>BLACK</v>
      </c>
      <c r="G3392" s="20" t="str">
        <f>IFERROR(__xludf.DUMMYFUNCTION("""COMPUTED_VALUE"""),"Uncle Sams Cider (5/13/2022)")</f>
        <v>Uncle Sams Cider (5/13/2022)</v>
      </c>
      <c r="H3392" s="19"/>
    </row>
    <row r="3393">
      <c r="A3393" s="9"/>
      <c r="B3393" s="15"/>
      <c r="C3393" s="9">
        <f>IFERROR(__xludf.DUMMYFUNCTION("""COMPUTED_VALUE"""),44761.2617436921)</f>
        <v>44761.26174</v>
      </c>
      <c r="D3393" s="15">
        <f>IFERROR(__xludf.DUMMYFUNCTION("""COMPUTED_VALUE"""),1.004)</f>
        <v>1.004</v>
      </c>
      <c r="E3393" s="16">
        <f>IFERROR(__xludf.DUMMYFUNCTION("""COMPUTED_VALUE"""),70.0)</f>
        <v>70</v>
      </c>
      <c r="F3393" s="19" t="str">
        <f>IFERROR(__xludf.DUMMYFUNCTION("""COMPUTED_VALUE"""),"BLACK")</f>
        <v>BLACK</v>
      </c>
      <c r="G3393" s="20" t="str">
        <f>IFERROR(__xludf.DUMMYFUNCTION("""COMPUTED_VALUE"""),"Uncle Sams Cider (5/13/2022)")</f>
        <v>Uncle Sams Cider (5/13/2022)</v>
      </c>
      <c r="H3393" s="19"/>
    </row>
    <row r="3394">
      <c r="A3394" s="9"/>
      <c r="B3394" s="15"/>
      <c r="C3394" s="9">
        <f>IFERROR(__xludf.DUMMYFUNCTION("""COMPUTED_VALUE"""),44761.2513199074)</f>
        <v>44761.25132</v>
      </c>
      <c r="D3394" s="15">
        <f>IFERROR(__xludf.DUMMYFUNCTION("""COMPUTED_VALUE"""),1.004)</f>
        <v>1.004</v>
      </c>
      <c r="E3394" s="16">
        <f>IFERROR(__xludf.DUMMYFUNCTION("""COMPUTED_VALUE"""),70.0)</f>
        <v>70</v>
      </c>
      <c r="F3394" s="19" t="str">
        <f>IFERROR(__xludf.DUMMYFUNCTION("""COMPUTED_VALUE"""),"BLACK")</f>
        <v>BLACK</v>
      </c>
      <c r="G3394" s="20" t="str">
        <f>IFERROR(__xludf.DUMMYFUNCTION("""COMPUTED_VALUE"""),"Uncle Sams Cider (5/13/2022)")</f>
        <v>Uncle Sams Cider (5/13/2022)</v>
      </c>
      <c r="H3394" s="19"/>
    </row>
    <row r="3395">
      <c r="A3395" s="9"/>
      <c r="B3395" s="15"/>
      <c r="C3395" s="9">
        <f>IFERROR(__xludf.DUMMYFUNCTION("""COMPUTED_VALUE"""),44761.2408999884)</f>
        <v>44761.2409</v>
      </c>
      <c r="D3395" s="15">
        <f>IFERROR(__xludf.DUMMYFUNCTION("""COMPUTED_VALUE"""),1.004)</f>
        <v>1.004</v>
      </c>
      <c r="E3395" s="16">
        <f>IFERROR(__xludf.DUMMYFUNCTION("""COMPUTED_VALUE"""),70.0)</f>
        <v>70</v>
      </c>
      <c r="F3395" s="19" t="str">
        <f>IFERROR(__xludf.DUMMYFUNCTION("""COMPUTED_VALUE"""),"BLACK")</f>
        <v>BLACK</v>
      </c>
      <c r="G3395" s="20" t="str">
        <f>IFERROR(__xludf.DUMMYFUNCTION("""COMPUTED_VALUE"""),"Uncle Sams Cider (5/13/2022)")</f>
        <v>Uncle Sams Cider (5/13/2022)</v>
      </c>
      <c r="H3395" s="19"/>
    </row>
    <row r="3396">
      <c r="A3396" s="9"/>
      <c r="B3396" s="15"/>
      <c r="C3396" s="9">
        <f>IFERROR(__xludf.DUMMYFUNCTION("""COMPUTED_VALUE"""),44761.2304662731)</f>
        <v>44761.23047</v>
      </c>
      <c r="D3396" s="15">
        <f>IFERROR(__xludf.DUMMYFUNCTION("""COMPUTED_VALUE"""),1.004)</f>
        <v>1.004</v>
      </c>
      <c r="E3396" s="16">
        <f>IFERROR(__xludf.DUMMYFUNCTION("""COMPUTED_VALUE"""),70.0)</f>
        <v>70</v>
      </c>
      <c r="F3396" s="19" t="str">
        <f>IFERROR(__xludf.DUMMYFUNCTION("""COMPUTED_VALUE"""),"BLACK")</f>
        <v>BLACK</v>
      </c>
      <c r="G3396" s="20" t="str">
        <f>IFERROR(__xludf.DUMMYFUNCTION("""COMPUTED_VALUE"""),"Uncle Sams Cider (5/13/2022)")</f>
        <v>Uncle Sams Cider (5/13/2022)</v>
      </c>
      <c r="H3396" s="19"/>
    </row>
    <row r="3397">
      <c r="A3397" s="9"/>
      <c r="B3397" s="15"/>
      <c r="C3397" s="9">
        <f>IFERROR(__xludf.DUMMYFUNCTION("""COMPUTED_VALUE"""),44761.2200339814)</f>
        <v>44761.22003</v>
      </c>
      <c r="D3397" s="15">
        <f>IFERROR(__xludf.DUMMYFUNCTION("""COMPUTED_VALUE"""),1.004)</f>
        <v>1.004</v>
      </c>
      <c r="E3397" s="16">
        <f>IFERROR(__xludf.DUMMYFUNCTION("""COMPUTED_VALUE"""),70.0)</f>
        <v>70</v>
      </c>
      <c r="F3397" s="19" t="str">
        <f>IFERROR(__xludf.DUMMYFUNCTION("""COMPUTED_VALUE"""),"BLACK")</f>
        <v>BLACK</v>
      </c>
      <c r="G3397" s="20" t="str">
        <f>IFERROR(__xludf.DUMMYFUNCTION("""COMPUTED_VALUE"""),"Uncle Sams Cider (5/13/2022)")</f>
        <v>Uncle Sams Cider (5/13/2022)</v>
      </c>
      <c r="H3397" s="19"/>
    </row>
    <row r="3398">
      <c r="A3398" s="9"/>
      <c r="B3398" s="15"/>
      <c r="C3398" s="9">
        <f>IFERROR(__xludf.DUMMYFUNCTION("""COMPUTED_VALUE"""),44761.2096133912)</f>
        <v>44761.20961</v>
      </c>
      <c r="D3398" s="15">
        <f>IFERROR(__xludf.DUMMYFUNCTION("""COMPUTED_VALUE"""),1.004)</f>
        <v>1.004</v>
      </c>
      <c r="E3398" s="16">
        <f>IFERROR(__xludf.DUMMYFUNCTION("""COMPUTED_VALUE"""),70.0)</f>
        <v>70</v>
      </c>
      <c r="F3398" s="19" t="str">
        <f>IFERROR(__xludf.DUMMYFUNCTION("""COMPUTED_VALUE"""),"BLACK")</f>
        <v>BLACK</v>
      </c>
      <c r="G3398" s="20" t="str">
        <f>IFERROR(__xludf.DUMMYFUNCTION("""COMPUTED_VALUE"""),"Uncle Sams Cider (5/13/2022)")</f>
        <v>Uncle Sams Cider (5/13/2022)</v>
      </c>
      <c r="H3398" s="19"/>
    </row>
    <row r="3399">
      <c r="A3399" s="9"/>
      <c r="B3399" s="15"/>
      <c r="C3399" s="9">
        <f>IFERROR(__xludf.DUMMYFUNCTION("""COMPUTED_VALUE"""),44761.1991903703)</f>
        <v>44761.19919</v>
      </c>
      <c r="D3399" s="15">
        <f>IFERROR(__xludf.DUMMYFUNCTION("""COMPUTED_VALUE"""),1.004)</f>
        <v>1.004</v>
      </c>
      <c r="E3399" s="16">
        <f>IFERROR(__xludf.DUMMYFUNCTION("""COMPUTED_VALUE"""),70.0)</f>
        <v>70</v>
      </c>
      <c r="F3399" s="19" t="str">
        <f>IFERROR(__xludf.DUMMYFUNCTION("""COMPUTED_VALUE"""),"BLACK")</f>
        <v>BLACK</v>
      </c>
      <c r="G3399" s="20" t="str">
        <f>IFERROR(__xludf.DUMMYFUNCTION("""COMPUTED_VALUE"""),"Uncle Sams Cider (5/13/2022)")</f>
        <v>Uncle Sams Cider (5/13/2022)</v>
      </c>
      <c r="H3399" s="19"/>
    </row>
    <row r="3400">
      <c r="A3400" s="9"/>
      <c r="B3400" s="15"/>
      <c r="C3400" s="9">
        <f>IFERROR(__xludf.DUMMYFUNCTION("""COMPUTED_VALUE"""),44761.1887568171)</f>
        <v>44761.18876</v>
      </c>
      <c r="D3400" s="15">
        <f>IFERROR(__xludf.DUMMYFUNCTION("""COMPUTED_VALUE"""),1.004)</f>
        <v>1.004</v>
      </c>
      <c r="E3400" s="16">
        <f>IFERROR(__xludf.DUMMYFUNCTION("""COMPUTED_VALUE"""),70.0)</f>
        <v>70</v>
      </c>
      <c r="F3400" s="19" t="str">
        <f>IFERROR(__xludf.DUMMYFUNCTION("""COMPUTED_VALUE"""),"BLACK")</f>
        <v>BLACK</v>
      </c>
      <c r="G3400" s="20" t="str">
        <f>IFERROR(__xludf.DUMMYFUNCTION("""COMPUTED_VALUE"""),"Uncle Sams Cider (5/13/2022)")</f>
        <v>Uncle Sams Cider (5/13/2022)</v>
      </c>
      <c r="H3400" s="19"/>
    </row>
    <row r="3401">
      <c r="A3401" s="9"/>
      <c r="B3401" s="15"/>
      <c r="C3401" s="9">
        <f>IFERROR(__xludf.DUMMYFUNCTION("""COMPUTED_VALUE"""),44761.1783358912)</f>
        <v>44761.17834</v>
      </c>
      <c r="D3401" s="15">
        <f>IFERROR(__xludf.DUMMYFUNCTION("""COMPUTED_VALUE"""),1.004)</f>
        <v>1.004</v>
      </c>
      <c r="E3401" s="16">
        <f>IFERROR(__xludf.DUMMYFUNCTION("""COMPUTED_VALUE"""),70.0)</f>
        <v>70</v>
      </c>
      <c r="F3401" s="19" t="str">
        <f>IFERROR(__xludf.DUMMYFUNCTION("""COMPUTED_VALUE"""),"BLACK")</f>
        <v>BLACK</v>
      </c>
      <c r="G3401" s="20" t="str">
        <f>IFERROR(__xludf.DUMMYFUNCTION("""COMPUTED_VALUE"""),"Uncle Sams Cider (5/13/2022)")</f>
        <v>Uncle Sams Cider (5/13/2022)</v>
      </c>
      <c r="H3401" s="19"/>
    </row>
    <row r="3402">
      <c r="A3402" s="9"/>
      <c r="B3402" s="15"/>
      <c r="C3402" s="9">
        <f>IFERROR(__xludf.DUMMYFUNCTION("""COMPUTED_VALUE"""),44761.1679136689)</f>
        <v>44761.16791</v>
      </c>
      <c r="D3402" s="15">
        <f>IFERROR(__xludf.DUMMYFUNCTION("""COMPUTED_VALUE"""),1.004)</f>
        <v>1.004</v>
      </c>
      <c r="E3402" s="16">
        <f>IFERROR(__xludf.DUMMYFUNCTION("""COMPUTED_VALUE"""),70.0)</f>
        <v>70</v>
      </c>
      <c r="F3402" s="19" t="str">
        <f>IFERROR(__xludf.DUMMYFUNCTION("""COMPUTED_VALUE"""),"BLACK")</f>
        <v>BLACK</v>
      </c>
      <c r="G3402" s="20" t="str">
        <f>IFERROR(__xludf.DUMMYFUNCTION("""COMPUTED_VALUE"""),"Uncle Sams Cider (5/13/2022)")</f>
        <v>Uncle Sams Cider (5/13/2022)</v>
      </c>
      <c r="H3402" s="19"/>
    </row>
    <row r="3403">
      <c r="A3403" s="9"/>
      <c r="B3403" s="15"/>
      <c r="C3403" s="9">
        <f>IFERROR(__xludf.DUMMYFUNCTION("""COMPUTED_VALUE"""),44761.1574678009)</f>
        <v>44761.15747</v>
      </c>
      <c r="D3403" s="15">
        <f>IFERROR(__xludf.DUMMYFUNCTION("""COMPUTED_VALUE"""),1.004)</f>
        <v>1.004</v>
      </c>
      <c r="E3403" s="16">
        <f>IFERROR(__xludf.DUMMYFUNCTION("""COMPUTED_VALUE"""),70.0)</f>
        <v>70</v>
      </c>
      <c r="F3403" s="19" t="str">
        <f>IFERROR(__xludf.DUMMYFUNCTION("""COMPUTED_VALUE"""),"BLACK")</f>
        <v>BLACK</v>
      </c>
      <c r="G3403" s="20" t="str">
        <f>IFERROR(__xludf.DUMMYFUNCTION("""COMPUTED_VALUE"""),"Uncle Sams Cider (5/13/2022)")</f>
        <v>Uncle Sams Cider (5/13/2022)</v>
      </c>
      <c r="H3403" s="19"/>
    </row>
    <row r="3404">
      <c r="A3404" s="9"/>
      <c r="B3404" s="15"/>
      <c r="C3404" s="9">
        <f>IFERROR(__xludf.DUMMYFUNCTION("""COMPUTED_VALUE"""),44761.1470456018)</f>
        <v>44761.14705</v>
      </c>
      <c r="D3404" s="15">
        <f>IFERROR(__xludf.DUMMYFUNCTION("""COMPUTED_VALUE"""),1.004)</f>
        <v>1.004</v>
      </c>
      <c r="E3404" s="16">
        <f>IFERROR(__xludf.DUMMYFUNCTION("""COMPUTED_VALUE"""),70.0)</f>
        <v>70</v>
      </c>
      <c r="F3404" s="19" t="str">
        <f>IFERROR(__xludf.DUMMYFUNCTION("""COMPUTED_VALUE"""),"BLACK")</f>
        <v>BLACK</v>
      </c>
      <c r="G3404" s="20" t="str">
        <f>IFERROR(__xludf.DUMMYFUNCTION("""COMPUTED_VALUE"""),"Uncle Sams Cider (5/13/2022)")</f>
        <v>Uncle Sams Cider (5/13/2022)</v>
      </c>
      <c r="H3404" s="19"/>
    </row>
    <row r="3405">
      <c r="A3405" s="9"/>
      <c r="B3405" s="15"/>
      <c r="C3405" s="9">
        <f>IFERROR(__xludf.DUMMYFUNCTION("""COMPUTED_VALUE"""),44761.136624375)</f>
        <v>44761.13662</v>
      </c>
      <c r="D3405" s="15">
        <f>IFERROR(__xludf.DUMMYFUNCTION("""COMPUTED_VALUE"""),1.004)</f>
        <v>1.004</v>
      </c>
      <c r="E3405" s="16">
        <f>IFERROR(__xludf.DUMMYFUNCTION("""COMPUTED_VALUE"""),70.0)</f>
        <v>70</v>
      </c>
      <c r="F3405" s="19" t="str">
        <f>IFERROR(__xludf.DUMMYFUNCTION("""COMPUTED_VALUE"""),"BLACK")</f>
        <v>BLACK</v>
      </c>
      <c r="G3405" s="20" t="str">
        <f>IFERROR(__xludf.DUMMYFUNCTION("""COMPUTED_VALUE"""),"Uncle Sams Cider (5/13/2022)")</f>
        <v>Uncle Sams Cider (5/13/2022)</v>
      </c>
      <c r="H3405" s="19"/>
    </row>
    <row r="3406">
      <c r="A3406" s="9"/>
      <c r="B3406" s="15"/>
      <c r="C3406" s="9">
        <f>IFERROR(__xludf.DUMMYFUNCTION("""COMPUTED_VALUE"""),44761.1261912731)</f>
        <v>44761.12619</v>
      </c>
      <c r="D3406" s="15">
        <f>IFERROR(__xludf.DUMMYFUNCTION("""COMPUTED_VALUE"""),1.004)</f>
        <v>1.004</v>
      </c>
      <c r="E3406" s="16">
        <f>IFERROR(__xludf.DUMMYFUNCTION("""COMPUTED_VALUE"""),70.0)</f>
        <v>70</v>
      </c>
      <c r="F3406" s="19" t="str">
        <f>IFERROR(__xludf.DUMMYFUNCTION("""COMPUTED_VALUE"""),"BLACK")</f>
        <v>BLACK</v>
      </c>
      <c r="G3406" s="20" t="str">
        <f>IFERROR(__xludf.DUMMYFUNCTION("""COMPUTED_VALUE"""),"Uncle Sams Cider (5/13/2022)")</f>
        <v>Uncle Sams Cider (5/13/2022)</v>
      </c>
      <c r="H3406" s="19"/>
    </row>
    <row r="3407">
      <c r="A3407" s="9"/>
      <c r="B3407" s="15"/>
      <c r="C3407" s="9">
        <f>IFERROR(__xludf.DUMMYFUNCTION("""COMPUTED_VALUE"""),44761.1157711921)</f>
        <v>44761.11577</v>
      </c>
      <c r="D3407" s="15">
        <f>IFERROR(__xludf.DUMMYFUNCTION("""COMPUTED_VALUE"""),1.004)</f>
        <v>1.004</v>
      </c>
      <c r="E3407" s="16">
        <f>IFERROR(__xludf.DUMMYFUNCTION("""COMPUTED_VALUE"""),69.0)</f>
        <v>69</v>
      </c>
      <c r="F3407" s="19" t="str">
        <f>IFERROR(__xludf.DUMMYFUNCTION("""COMPUTED_VALUE"""),"BLACK")</f>
        <v>BLACK</v>
      </c>
      <c r="G3407" s="20" t="str">
        <f>IFERROR(__xludf.DUMMYFUNCTION("""COMPUTED_VALUE"""),"Uncle Sams Cider (5/13/2022)")</f>
        <v>Uncle Sams Cider (5/13/2022)</v>
      </c>
      <c r="H3407" s="19"/>
    </row>
    <row r="3408">
      <c r="A3408" s="9"/>
      <c r="B3408" s="15"/>
      <c r="C3408" s="9">
        <f>IFERROR(__xludf.DUMMYFUNCTION("""COMPUTED_VALUE"""),44761.1053479629)</f>
        <v>44761.10535</v>
      </c>
      <c r="D3408" s="15">
        <f>IFERROR(__xludf.DUMMYFUNCTION("""COMPUTED_VALUE"""),1.004)</f>
        <v>1.004</v>
      </c>
      <c r="E3408" s="16">
        <f>IFERROR(__xludf.DUMMYFUNCTION("""COMPUTED_VALUE"""),70.0)</f>
        <v>70</v>
      </c>
      <c r="F3408" s="19" t="str">
        <f>IFERROR(__xludf.DUMMYFUNCTION("""COMPUTED_VALUE"""),"BLACK")</f>
        <v>BLACK</v>
      </c>
      <c r="G3408" s="20" t="str">
        <f>IFERROR(__xludf.DUMMYFUNCTION("""COMPUTED_VALUE"""),"Uncle Sams Cider (5/13/2022)")</f>
        <v>Uncle Sams Cider (5/13/2022)</v>
      </c>
      <c r="H3408" s="19"/>
    </row>
    <row r="3409">
      <c r="A3409" s="9"/>
      <c r="B3409" s="15"/>
      <c r="C3409" s="9">
        <f>IFERROR(__xludf.DUMMYFUNCTION("""COMPUTED_VALUE"""),44761.0949150463)</f>
        <v>44761.09492</v>
      </c>
      <c r="D3409" s="15">
        <f>IFERROR(__xludf.DUMMYFUNCTION("""COMPUTED_VALUE"""),1.004)</f>
        <v>1.004</v>
      </c>
      <c r="E3409" s="16">
        <f>IFERROR(__xludf.DUMMYFUNCTION("""COMPUTED_VALUE"""),70.0)</f>
        <v>70</v>
      </c>
      <c r="F3409" s="19" t="str">
        <f>IFERROR(__xludf.DUMMYFUNCTION("""COMPUTED_VALUE"""),"BLACK")</f>
        <v>BLACK</v>
      </c>
      <c r="G3409" s="20" t="str">
        <f>IFERROR(__xludf.DUMMYFUNCTION("""COMPUTED_VALUE"""),"Uncle Sams Cider (5/13/2022)")</f>
        <v>Uncle Sams Cider (5/13/2022)</v>
      </c>
      <c r="H3409" s="19"/>
    </row>
    <row r="3410">
      <c r="A3410" s="9"/>
      <c r="B3410" s="15"/>
      <c r="C3410" s="9">
        <f>IFERROR(__xludf.DUMMYFUNCTION("""COMPUTED_VALUE"""),44761.0844950231)</f>
        <v>44761.0845</v>
      </c>
      <c r="D3410" s="15">
        <f>IFERROR(__xludf.DUMMYFUNCTION("""COMPUTED_VALUE"""),1.004)</f>
        <v>1.004</v>
      </c>
      <c r="E3410" s="16">
        <f>IFERROR(__xludf.DUMMYFUNCTION("""COMPUTED_VALUE"""),70.0)</f>
        <v>70</v>
      </c>
      <c r="F3410" s="19" t="str">
        <f>IFERROR(__xludf.DUMMYFUNCTION("""COMPUTED_VALUE"""),"BLACK")</f>
        <v>BLACK</v>
      </c>
      <c r="G3410" s="20" t="str">
        <f>IFERROR(__xludf.DUMMYFUNCTION("""COMPUTED_VALUE"""),"Uncle Sams Cider (5/13/2022)")</f>
        <v>Uncle Sams Cider (5/13/2022)</v>
      </c>
      <c r="H3410" s="19"/>
    </row>
    <row r="3411">
      <c r="A3411" s="9"/>
      <c r="B3411" s="15"/>
      <c r="C3411" s="9">
        <f>IFERROR(__xludf.DUMMYFUNCTION("""COMPUTED_VALUE"""),44761.0740748263)</f>
        <v>44761.07407</v>
      </c>
      <c r="D3411" s="15">
        <f>IFERROR(__xludf.DUMMYFUNCTION("""COMPUTED_VALUE"""),1.004)</f>
        <v>1.004</v>
      </c>
      <c r="E3411" s="16">
        <f>IFERROR(__xludf.DUMMYFUNCTION("""COMPUTED_VALUE"""),70.0)</f>
        <v>70</v>
      </c>
      <c r="F3411" s="19" t="str">
        <f>IFERROR(__xludf.DUMMYFUNCTION("""COMPUTED_VALUE"""),"BLACK")</f>
        <v>BLACK</v>
      </c>
      <c r="G3411" s="20" t="str">
        <f>IFERROR(__xludf.DUMMYFUNCTION("""COMPUTED_VALUE"""),"Uncle Sams Cider (5/13/2022)")</f>
        <v>Uncle Sams Cider (5/13/2022)</v>
      </c>
      <c r="H3411" s="19"/>
    </row>
    <row r="3412">
      <c r="A3412" s="9"/>
      <c r="B3412" s="15"/>
      <c r="C3412" s="9">
        <f>IFERROR(__xludf.DUMMYFUNCTION("""COMPUTED_VALUE"""),44761.0636537731)</f>
        <v>44761.06365</v>
      </c>
      <c r="D3412" s="15">
        <f>IFERROR(__xludf.DUMMYFUNCTION("""COMPUTED_VALUE"""),1.004)</f>
        <v>1.004</v>
      </c>
      <c r="E3412" s="16">
        <f>IFERROR(__xludf.DUMMYFUNCTION("""COMPUTED_VALUE"""),70.0)</f>
        <v>70</v>
      </c>
      <c r="F3412" s="19" t="str">
        <f>IFERROR(__xludf.DUMMYFUNCTION("""COMPUTED_VALUE"""),"BLACK")</f>
        <v>BLACK</v>
      </c>
      <c r="G3412" s="20" t="str">
        <f>IFERROR(__xludf.DUMMYFUNCTION("""COMPUTED_VALUE"""),"Uncle Sams Cider (5/13/2022)")</f>
        <v>Uncle Sams Cider (5/13/2022)</v>
      </c>
      <c r="H3412" s="19"/>
    </row>
    <row r="3413">
      <c r="A3413" s="9"/>
      <c r="B3413" s="15"/>
      <c r="C3413" s="9">
        <f>IFERROR(__xludf.DUMMYFUNCTION("""COMPUTED_VALUE"""),44761.0532322222)</f>
        <v>44761.05323</v>
      </c>
      <c r="D3413" s="15">
        <f>IFERROR(__xludf.DUMMYFUNCTION("""COMPUTED_VALUE"""),1.004)</f>
        <v>1.004</v>
      </c>
      <c r="E3413" s="16">
        <f>IFERROR(__xludf.DUMMYFUNCTION("""COMPUTED_VALUE"""),69.0)</f>
        <v>69</v>
      </c>
      <c r="F3413" s="19" t="str">
        <f>IFERROR(__xludf.DUMMYFUNCTION("""COMPUTED_VALUE"""),"BLACK")</f>
        <v>BLACK</v>
      </c>
      <c r="G3413" s="20" t="str">
        <f>IFERROR(__xludf.DUMMYFUNCTION("""COMPUTED_VALUE"""),"Uncle Sams Cider (5/13/2022)")</f>
        <v>Uncle Sams Cider (5/13/2022)</v>
      </c>
      <c r="H3413" s="19"/>
    </row>
    <row r="3414">
      <c r="A3414" s="9"/>
      <c r="B3414" s="15"/>
      <c r="C3414" s="9">
        <f>IFERROR(__xludf.DUMMYFUNCTION("""COMPUTED_VALUE"""),44761.0428104629)</f>
        <v>44761.04281</v>
      </c>
      <c r="D3414" s="15">
        <f>IFERROR(__xludf.DUMMYFUNCTION("""COMPUTED_VALUE"""),1.004)</f>
        <v>1.004</v>
      </c>
      <c r="E3414" s="16">
        <f>IFERROR(__xludf.DUMMYFUNCTION("""COMPUTED_VALUE"""),69.0)</f>
        <v>69</v>
      </c>
      <c r="F3414" s="19" t="str">
        <f>IFERROR(__xludf.DUMMYFUNCTION("""COMPUTED_VALUE"""),"BLACK")</f>
        <v>BLACK</v>
      </c>
      <c r="G3414" s="20" t="str">
        <f>IFERROR(__xludf.DUMMYFUNCTION("""COMPUTED_VALUE"""),"Uncle Sams Cider (5/13/2022)")</f>
        <v>Uncle Sams Cider (5/13/2022)</v>
      </c>
      <c r="H3414" s="19"/>
    </row>
    <row r="3415">
      <c r="A3415" s="9"/>
      <c r="B3415" s="15"/>
      <c r="C3415" s="9">
        <f>IFERROR(__xludf.DUMMYFUNCTION("""COMPUTED_VALUE"""),44761.0323661226)</f>
        <v>44761.03237</v>
      </c>
      <c r="D3415" s="15">
        <f>IFERROR(__xludf.DUMMYFUNCTION("""COMPUTED_VALUE"""),1.004)</f>
        <v>1.004</v>
      </c>
      <c r="E3415" s="16">
        <f>IFERROR(__xludf.DUMMYFUNCTION("""COMPUTED_VALUE"""),69.0)</f>
        <v>69</v>
      </c>
      <c r="F3415" s="19" t="str">
        <f>IFERROR(__xludf.DUMMYFUNCTION("""COMPUTED_VALUE"""),"BLACK")</f>
        <v>BLACK</v>
      </c>
      <c r="G3415" s="20" t="str">
        <f>IFERROR(__xludf.DUMMYFUNCTION("""COMPUTED_VALUE"""),"Uncle Sams Cider (5/13/2022)")</f>
        <v>Uncle Sams Cider (5/13/2022)</v>
      </c>
      <c r="H3415" s="19"/>
    </row>
    <row r="3416">
      <c r="A3416" s="9"/>
      <c r="B3416" s="15"/>
      <c r="C3416" s="9">
        <f>IFERROR(__xludf.DUMMYFUNCTION("""COMPUTED_VALUE"""),44761.021944699)</f>
        <v>44761.02194</v>
      </c>
      <c r="D3416" s="15">
        <f>IFERROR(__xludf.DUMMYFUNCTION("""COMPUTED_VALUE"""),1.004)</f>
        <v>1.004</v>
      </c>
      <c r="E3416" s="16">
        <f>IFERROR(__xludf.DUMMYFUNCTION("""COMPUTED_VALUE"""),69.0)</f>
        <v>69</v>
      </c>
      <c r="F3416" s="19" t="str">
        <f>IFERROR(__xludf.DUMMYFUNCTION("""COMPUTED_VALUE"""),"BLACK")</f>
        <v>BLACK</v>
      </c>
      <c r="G3416" s="20" t="str">
        <f>IFERROR(__xludf.DUMMYFUNCTION("""COMPUTED_VALUE"""),"Uncle Sams Cider (5/13/2022)")</f>
        <v>Uncle Sams Cider (5/13/2022)</v>
      </c>
      <c r="H3416" s="19"/>
    </row>
    <row r="3417">
      <c r="A3417" s="9"/>
      <c r="B3417" s="15"/>
      <c r="C3417" s="9">
        <f>IFERROR(__xludf.DUMMYFUNCTION("""COMPUTED_VALUE"""),44761.011522905)</f>
        <v>44761.01152</v>
      </c>
      <c r="D3417" s="15">
        <f>IFERROR(__xludf.DUMMYFUNCTION("""COMPUTED_VALUE"""),1.004)</f>
        <v>1.004</v>
      </c>
      <c r="E3417" s="16">
        <f>IFERROR(__xludf.DUMMYFUNCTION("""COMPUTED_VALUE"""),69.0)</f>
        <v>69</v>
      </c>
      <c r="F3417" s="19" t="str">
        <f>IFERROR(__xludf.DUMMYFUNCTION("""COMPUTED_VALUE"""),"BLACK")</f>
        <v>BLACK</v>
      </c>
      <c r="G3417" s="20" t="str">
        <f>IFERROR(__xludf.DUMMYFUNCTION("""COMPUTED_VALUE"""),"Uncle Sams Cider (5/13/2022)")</f>
        <v>Uncle Sams Cider (5/13/2022)</v>
      </c>
      <c r="H3417" s="19"/>
    </row>
    <row r="3418">
      <c r="A3418" s="9"/>
      <c r="B3418" s="15"/>
      <c r="C3418" s="9">
        <f>IFERROR(__xludf.DUMMYFUNCTION("""COMPUTED_VALUE"""),44761.0010888426)</f>
        <v>44761.00109</v>
      </c>
      <c r="D3418" s="15">
        <f>IFERROR(__xludf.DUMMYFUNCTION("""COMPUTED_VALUE"""),1.004)</f>
        <v>1.004</v>
      </c>
      <c r="E3418" s="16">
        <f>IFERROR(__xludf.DUMMYFUNCTION("""COMPUTED_VALUE"""),69.0)</f>
        <v>69</v>
      </c>
      <c r="F3418" s="19" t="str">
        <f>IFERROR(__xludf.DUMMYFUNCTION("""COMPUTED_VALUE"""),"BLACK")</f>
        <v>BLACK</v>
      </c>
      <c r="G3418" s="20" t="str">
        <f>IFERROR(__xludf.DUMMYFUNCTION("""COMPUTED_VALUE"""),"Uncle Sams Cider (5/13/2022)")</f>
        <v>Uncle Sams Cider (5/13/2022)</v>
      </c>
      <c r="H3418" s="19"/>
    </row>
    <row r="3419">
      <c r="A3419" s="9"/>
      <c r="B3419" s="15"/>
      <c r="C3419" s="9">
        <f>IFERROR(__xludf.DUMMYFUNCTION("""COMPUTED_VALUE"""),44760.9906692361)</f>
        <v>44760.99067</v>
      </c>
      <c r="D3419" s="15">
        <f>IFERROR(__xludf.DUMMYFUNCTION("""COMPUTED_VALUE"""),1.004)</f>
        <v>1.004</v>
      </c>
      <c r="E3419" s="16">
        <f>IFERROR(__xludf.DUMMYFUNCTION("""COMPUTED_VALUE"""),69.0)</f>
        <v>69</v>
      </c>
      <c r="F3419" s="19" t="str">
        <f>IFERROR(__xludf.DUMMYFUNCTION("""COMPUTED_VALUE"""),"BLACK")</f>
        <v>BLACK</v>
      </c>
      <c r="G3419" s="20" t="str">
        <f>IFERROR(__xludf.DUMMYFUNCTION("""COMPUTED_VALUE"""),"Uncle Sams Cider (5/13/2022)")</f>
        <v>Uncle Sams Cider (5/13/2022)</v>
      </c>
      <c r="H3419" s="19"/>
    </row>
    <row r="3420">
      <c r="A3420" s="9"/>
      <c r="B3420" s="15"/>
      <c r="C3420" s="9">
        <f>IFERROR(__xludf.DUMMYFUNCTION("""COMPUTED_VALUE"""),44760.9802472569)</f>
        <v>44760.98025</v>
      </c>
      <c r="D3420" s="15">
        <f>IFERROR(__xludf.DUMMYFUNCTION("""COMPUTED_VALUE"""),1.004)</f>
        <v>1.004</v>
      </c>
      <c r="E3420" s="16">
        <f>IFERROR(__xludf.DUMMYFUNCTION("""COMPUTED_VALUE"""),69.0)</f>
        <v>69</v>
      </c>
      <c r="F3420" s="19" t="str">
        <f>IFERROR(__xludf.DUMMYFUNCTION("""COMPUTED_VALUE"""),"BLACK")</f>
        <v>BLACK</v>
      </c>
      <c r="G3420" s="20" t="str">
        <f>IFERROR(__xludf.DUMMYFUNCTION("""COMPUTED_VALUE"""),"Uncle Sams Cider (5/13/2022)")</f>
        <v>Uncle Sams Cider (5/13/2022)</v>
      </c>
      <c r="H3420" s="19"/>
    </row>
    <row r="3421">
      <c r="A3421" s="9"/>
      <c r="B3421" s="15"/>
      <c r="C3421" s="9">
        <f>IFERROR(__xludf.DUMMYFUNCTION("""COMPUTED_VALUE"""),44760.9698252777)</f>
        <v>44760.96983</v>
      </c>
      <c r="D3421" s="15">
        <f>IFERROR(__xludf.DUMMYFUNCTION("""COMPUTED_VALUE"""),1.004)</f>
        <v>1.004</v>
      </c>
      <c r="E3421" s="16">
        <f>IFERROR(__xludf.DUMMYFUNCTION("""COMPUTED_VALUE"""),69.0)</f>
        <v>69</v>
      </c>
      <c r="F3421" s="19" t="str">
        <f>IFERROR(__xludf.DUMMYFUNCTION("""COMPUTED_VALUE"""),"BLACK")</f>
        <v>BLACK</v>
      </c>
      <c r="G3421" s="20" t="str">
        <f>IFERROR(__xludf.DUMMYFUNCTION("""COMPUTED_VALUE"""),"Uncle Sams Cider (5/13/2022)")</f>
        <v>Uncle Sams Cider (5/13/2022)</v>
      </c>
      <c r="H3421" s="19"/>
    </row>
    <row r="3422">
      <c r="A3422" s="9"/>
      <c r="B3422" s="15"/>
      <c r="C3422" s="9">
        <f>IFERROR(__xludf.DUMMYFUNCTION("""COMPUTED_VALUE"""),44760.9594050347)</f>
        <v>44760.95941</v>
      </c>
      <c r="D3422" s="15">
        <f>IFERROR(__xludf.DUMMYFUNCTION("""COMPUTED_VALUE"""),1.004)</f>
        <v>1.004</v>
      </c>
      <c r="E3422" s="16">
        <f>IFERROR(__xludf.DUMMYFUNCTION("""COMPUTED_VALUE"""),69.0)</f>
        <v>69</v>
      </c>
      <c r="F3422" s="19" t="str">
        <f>IFERROR(__xludf.DUMMYFUNCTION("""COMPUTED_VALUE"""),"BLACK")</f>
        <v>BLACK</v>
      </c>
      <c r="G3422" s="20" t="str">
        <f>IFERROR(__xludf.DUMMYFUNCTION("""COMPUTED_VALUE"""),"Uncle Sams Cider (5/13/2022)")</f>
        <v>Uncle Sams Cider (5/13/2022)</v>
      </c>
      <c r="H3422" s="19"/>
    </row>
    <row r="3423">
      <c r="A3423" s="9"/>
      <c r="B3423" s="15"/>
      <c r="C3423" s="9">
        <f>IFERROR(__xludf.DUMMYFUNCTION("""COMPUTED_VALUE"""),44760.9489851273)</f>
        <v>44760.94899</v>
      </c>
      <c r="D3423" s="15">
        <f>IFERROR(__xludf.DUMMYFUNCTION("""COMPUTED_VALUE"""),1.004)</f>
        <v>1.004</v>
      </c>
      <c r="E3423" s="16">
        <f>IFERROR(__xludf.DUMMYFUNCTION("""COMPUTED_VALUE"""),69.0)</f>
        <v>69</v>
      </c>
      <c r="F3423" s="19" t="str">
        <f>IFERROR(__xludf.DUMMYFUNCTION("""COMPUTED_VALUE"""),"BLACK")</f>
        <v>BLACK</v>
      </c>
      <c r="G3423" s="20" t="str">
        <f>IFERROR(__xludf.DUMMYFUNCTION("""COMPUTED_VALUE"""),"Uncle Sams Cider (5/13/2022)")</f>
        <v>Uncle Sams Cider (5/13/2022)</v>
      </c>
      <c r="H3423" s="19"/>
    </row>
    <row r="3424">
      <c r="A3424" s="9"/>
      <c r="B3424" s="15"/>
      <c r="C3424" s="9">
        <f>IFERROR(__xludf.DUMMYFUNCTION("""COMPUTED_VALUE"""),44760.9385635532)</f>
        <v>44760.93856</v>
      </c>
      <c r="D3424" s="15">
        <f>IFERROR(__xludf.DUMMYFUNCTION("""COMPUTED_VALUE"""),1.004)</f>
        <v>1.004</v>
      </c>
      <c r="E3424" s="16">
        <f>IFERROR(__xludf.DUMMYFUNCTION("""COMPUTED_VALUE"""),69.0)</f>
        <v>69</v>
      </c>
      <c r="F3424" s="19" t="str">
        <f>IFERROR(__xludf.DUMMYFUNCTION("""COMPUTED_VALUE"""),"BLACK")</f>
        <v>BLACK</v>
      </c>
      <c r="G3424" s="20" t="str">
        <f>IFERROR(__xludf.DUMMYFUNCTION("""COMPUTED_VALUE"""),"Uncle Sams Cider (5/13/2022)")</f>
        <v>Uncle Sams Cider (5/13/2022)</v>
      </c>
      <c r="H3424" s="19"/>
    </row>
    <row r="3425">
      <c r="A3425" s="9"/>
      <c r="B3425" s="15"/>
      <c r="C3425" s="9">
        <f>IFERROR(__xludf.DUMMYFUNCTION("""COMPUTED_VALUE"""),44760.9281315856)</f>
        <v>44760.92813</v>
      </c>
      <c r="D3425" s="15">
        <f>IFERROR(__xludf.DUMMYFUNCTION("""COMPUTED_VALUE"""),1.004)</f>
        <v>1.004</v>
      </c>
      <c r="E3425" s="16">
        <f>IFERROR(__xludf.DUMMYFUNCTION("""COMPUTED_VALUE"""),69.0)</f>
        <v>69</v>
      </c>
      <c r="F3425" s="19" t="str">
        <f>IFERROR(__xludf.DUMMYFUNCTION("""COMPUTED_VALUE"""),"BLACK")</f>
        <v>BLACK</v>
      </c>
      <c r="G3425" s="20" t="str">
        <f>IFERROR(__xludf.DUMMYFUNCTION("""COMPUTED_VALUE"""),"Uncle Sams Cider (5/13/2022)")</f>
        <v>Uncle Sams Cider (5/13/2022)</v>
      </c>
      <c r="H3425" s="19"/>
    </row>
    <row r="3426">
      <c r="A3426" s="9"/>
      <c r="B3426" s="15"/>
      <c r="C3426" s="9">
        <f>IFERROR(__xludf.DUMMYFUNCTION("""COMPUTED_VALUE"""),44760.9176996643)</f>
        <v>44760.9177</v>
      </c>
      <c r="D3426" s="15">
        <f>IFERROR(__xludf.DUMMYFUNCTION("""COMPUTED_VALUE"""),1.004)</f>
        <v>1.004</v>
      </c>
      <c r="E3426" s="16">
        <f>IFERROR(__xludf.DUMMYFUNCTION("""COMPUTED_VALUE"""),69.0)</f>
        <v>69</v>
      </c>
      <c r="F3426" s="19" t="str">
        <f>IFERROR(__xludf.DUMMYFUNCTION("""COMPUTED_VALUE"""),"BLACK")</f>
        <v>BLACK</v>
      </c>
      <c r="G3426" s="20" t="str">
        <f>IFERROR(__xludf.DUMMYFUNCTION("""COMPUTED_VALUE"""),"Uncle Sams Cider (5/13/2022)")</f>
        <v>Uncle Sams Cider (5/13/2022)</v>
      </c>
      <c r="H3426" s="19"/>
    </row>
    <row r="3427">
      <c r="A3427" s="9"/>
      <c r="B3427" s="15"/>
      <c r="C3427" s="9">
        <f>IFERROR(__xludf.DUMMYFUNCTION("""COMPUTED_VALUE"""),44760.9072802662)</f>
        <v>44760.90728</v>
      </c>
      <c r="D3427" s="15">
        <f>IFERROR(__xludf.DUMMYFUNCTION("""COMPUTED_VALUE"""),1.004)</f>
        <v>1.004</v>
      </c>
      <c r="E3427" s="16">
        <f>IFERROR(__xludf.DUMMYFUNCTION("""COMPUTED_VALUE"""),69.0)</f>
        <v>69</v>
      </c>
      <c r="F3427" s="19" t="str">
        <f>IFERROR(__xludf.DUMMYFUNCTION("""COMPUTED_VALUE"""),"BLACK")</f>
        <v>BLACK</v>
      </c>
      <c r="G3427" s="20" t="str">
        <f>IFERROR(__xludf.DUMMYFUNCTION("""COMPUTED_VALUE"""),"Uncle Sams Cider (5/13/2022)")</f>
        <v>Uncle Sams Cider (5/13/2022)</v>
      </c>
      <c r="H3427" s="19"/>
    </row>
    <row r="3428">
      <c r="A3428" s="9"/>
      <c r="B3428" s="15"/>
      <c r="C3428" s="9">
        <f>IFERROR(__xludf.DUMMYFUNCTION("""COMPUTED_VALUE"""),44760.8968580092)</f>
        <v>44760.89686</v>
      </c>
      <c r="D3428" s="15">
        <f>IFERROR(__xludf.DUMMYFUNCTION("""COMPUTED_VALUE"""),1.004)</f>
        <v>1.004</v>
      </c>
      <c r="E3428" s="16">
        <f>IFERROR(__xludf.DUMMYFUNCTION("""COMPUTED_VALUE"""),69.0)</f>
        <v>69</v>
      </c>
      <c r="F3428" s="19" t="str">
        <f>IFERROR(__xludf.DUMMYFUNCTION("""COMPUTED_VALUE"""),"BLACK")</f>
        <v>BLACK</v>
      </c>
      <c r="G3428" s="20" t="str">
        <f>IFERROR(__xludf.DUMMYFUNCTION("""COMPUTED_VALUE"""),"Uncle Sams Cider (5/13/2022)")</f>
        <v>Uncle Sams Cider (5/13/2022)</v>
      </c>
      <c r="H3428" s="19"/>
    </row>
    <row r="3429">
      <c r="A3429" s="9"/>
      <c r="B3429" s="15"/>
      <c r="C3429" s="9">
        <f>IFERROR(__xludf.DUMMYFUNCTION("""COMPUTED_VALUE"""),44760.8864377777)</f>
        <v>44760.88644</v>
      </c>
      <c r="D3429" s="15">
        <f>IFERROR(__xludf.DUMMYFUNCTION("""COMPUTED_VALUE"""),1.004)</f>
        <v>1.004</v>
      </c>
      <c r="E3429" s="16">
        <f>IFERROR(__xludf.DUMMYFUNCTION("""COMPUTED_VALUE"""),69.0)</f>
        <v>69</v>
      </c>
      <c r="F3429" s="19" t="str">
        <f>IFERROR(__xludf.DUMMYFUNCTION("""COMPUTED_VALUE"""),"BLACK")</f>
        <v>BLACK</v>
      </c>
      <c r="G3429" s="20" t="str">
        <f>IFERROR(__xludf.DUMMYFUNCTION("""COMPUTED_VALUE"""),"Uncle Sams Cider (5/13/2022)")</f>
        <v>Uncle Sams Cider (5/13/2022)</v>
      </c>
      <c r="H3429" s="19"/>
    </row>
    <row r="3430">
      <c r="A3430" s="9"/>
      <c r="B3430" s="15"/>
      <c r="C3430" s="9">
        <f>IFERROR(__xludf.DUMMYFUNCTION("""COMPUTED_VALUE"""),44760.8760165972)</f>
        <v>44760.87602</v>
      </c>
      <c r="D3430" s="15">
        <f>IFERROR(__xludf.DUMMYFUNCTION("""COMPUTED_VALUE"""),1.004)</f>
        <v>1.004</v>
      </c>
      <c r="E3430" s="16">
        <f>IFERROR(__xludf.DUMMYFUNCTION("""COMPUTED_VALUE"""),69.0)</f>
        <v>69</v>
      </c>
      <c r="F3430" s="19" t="str">
        <f>IFERROR(__xludf.DUMMYFUNCTION("""COMPUTED_VALUE"""),"BLACK")</f>
        <v>BLACK</v>
      </c>
      <c r="G3430" s="20" t="str">
        <f>IFERROR(__xludf.DUMMYFUNCTION("""COMPUTED_VALUE"""),"Uncle Sams Cider (5/13/2022)")</f>
        <v>Uncle Sams Cider (5/13/2022)</v>
      </c>
      <c r="H3430" s="19"/>
    </row>
    <row r="3431">
      <c r="A3431" s="9"/>
      <c r="B3431" s="15"/>
      <c r="C3431" s="9">
        <f>IFERROR(__xludf.DUMMYFUNCTION("""COMPUTED_VALUE"""),44760.8655944907)</f>
        <v>44760.86559</v>
      </c>
      <c r="D3431" s="15">
        <f>IFERROR(__xludf.DUMMYFUNCTION("""COMPUTED_VALUE"""),1.004)</f>
        <v>1.004</v>
      </c>
      <c r="E3431" s="16">
        <f>IFERROR(__xludf.DUMMYFUNCTION("""COMPUTED_VALUE"""),69.0)</f>
        <v>69</v>
      </c>
      <c r="F3431" s="19" t="str">
        <f>IFERROR(__xludf.DUMMYFUNCTION("""COMPUTED_VALUE"""),"BLACK")</f>
        <v>BLACK</v>
      </c>
      <c r="G3431" s="20" t="str">
        <f>IFERROR(__xludf.DUMMYFUNCTION("""COMPUTED_VALUE"""),"Uncle Sams Cider (5/13/2022)")</f>
        <v>Uncle Sams Cider (5/13/2022)</v>
      </c>
      <c r="H3431" s="19"/>
    </row>
    <row r="3432">
      <c r="A3432" s="9"/>
      <c r="B3432" s="15"/>
      <c r="C3432" s="9">
        <f>IFERROR(__xludf.DUMMYFUNCTION("""COMPUTED_VALUE"""),44760.8551738888)</f>
        <v>44760.85517</v>
      </c>
      <c r="D3432" s="15">
        <f>IFERROR(__xludf.DUMMYFUNCTION("""COMPUTED_VALUE"""),1.004)</f>
        <v>1.004</v>
      </c>
      <c r="E3432" s="16">
        <f>IFERROR(__xludf.DUMMYFUNCTION("""COMPUTED_VALUE"""),69.0)</f>
        <v>69</v>
      </c>
      <c r="F3432" s="19" t="str">
        <f>IFERROR(__xludf.DUMMYFUNCTION("""COMPUTED_VALUE"""),"BLACK")</f>
        <v>BLACK</v>
      </c>
      <c r="G3432" s="20" t="str">
        <f>IFERROR(__xludf.DUMMYFUNCTION("""COMPUTED_VALUE"""),"Uncle Sams Cider (5/13/2022)")</f>
        <v>Uncle Sams Cider (5/13/2022)</v>
      </c>
      <c r="H3432" s="19"/>
    </row>
    <row r="3433">
      <c r="A3433" s="9"/>
      <c r="B3433" s="15"/>
      <c r="C3433" s="9">
        <f>IFERROR(__xludf.DUMMYFUNCTION("""COMPUTED_VALUE"""),44760.8447530787)</f>
        <v>44760.84475</v>
      </c>
      <c r="D3433" s="15">
        <f>IFERROR(__xludf.DUMMYFUNCTION("""COMPUTED_VALUE"""),1.004)</f>
        <v>1.004</v>
      </c>
      <c r="E3433" s="16">
        <f>IFERROR(__xludf.DUMMYFUNCTION("""COMPUTED_VALUE"""),69.0)</f>
        <v>69</v>
      </c>
      <c r="F3433" s="19" t="str">
        <f>IFERROR(__xludf.DUMMYFUNCTION("""COMPUTED_VALUE"""),"BLACK")</f>
        <v>BLACK</v>
      </c>
      <c r="G3433" s="20" t="str">
        <f>IFERROR(__xludf.DUMMYFUNCTION("""COMPUTED_VALUE"""),"Uncle Sams Cider (5/13/2022)")</f>
        <v>Uncle Sams Cider (5/13/2022)</v>
      </c>
      <c r="H3433" s="19"/>
    </row>
    <row r="3434">
      <c r="A3434" s="9"/>
      <c r="B3434" s="15"/>
      <c r="C3434" s="9">
        <f>IFERROR(__xludf.DUMMYFUNCTION("""COMPUTED_VALUE"""),44760.8343325231)</f>
        <v>44760.83433</v>
      </c>
      <c r="D3434" s="15">
        <f>IFERROR(__xludf.DUMMYFUNCTION("""COMPUTED_VALUE"""),1.004)</f>
        <v>1.004</v>
      </c>
      <c r="E3434" s="16">
        <f>IFERROR(__xludf.DUMMYFUNCTION("""COMPUTED_VALUE"""),69.0)</f>
        <v>69</v>
      </c>
      <c r="F3434" s="19" t="str">
        <f>IFERROR(__xludf.DUMMYFUNCTION("""COMPUTED_VALUE"""),"BLACK")</f>
        <v>BLACK</v>
      </c>
      <c r="G3434" s="20" t="str">
        <f>IFERROR(__xludf.DUMMYFUNCTION("""COMPUTED_VALUE"""),"Uncle Sams Cider (5/13/2022)")</f>
        <v>Uncle Sams Cider (5/13/2022)</v>
      </c>
      <c r="H3434" s="19"/>
    </row>
    <row r="3435">
      <c r="A3435" s="9"/>
      <c r="B3435" s="15"/>
      <c r="C3435" s="9">
        <f>IFERROR(__xludf.DUMMYFUNCTION("""COMPUTED_VALUE"""),44760.8239100925)</f>
        <v>44760.82391</v>
      </c>
      <c r="D3435" s="15">
        <f>IFERROR(__xludf.DUMMYFUNCTION("""COMPUTED_VALUE"""),1.004)</f>
        <v>1.004</v>
      </c>
      <c r="E3435" s="16">
        <f>IFERROR(__xludf.DUMMYFUNCTION("""COMPUTED_VALUE"""),69.0)</f>
        <v>69</v>
      </c>
      <c r="F3435" s="19" t="str">
        <f>IFERROR(__xludf.DUMMYFUNCTION("""COMPUTED_VALUE"""),"BLACK")</f>
        <v>BLACK</v>
      </c>
      <c r="G3435" s="20" t="str">
        <f>IFERROR(__xludf.DUMMYFUNCTION("""COMPUTED_VALUE"""),"Uncle Sams Cider (5/13/2022)")</f>
        <v>Uncle Sams Cider (5/13/2022)</v>
      </c>
      <c r="H3435" s="19"/>
    </row>
    <row r="3436">
      <c r="A3436" s="9"/>
      <c r="B3436" s="15"/>
      <c r="C3436" s="9">
        <f>IFERROR(__xludf.DUMMYFUNCTION("""COMPUTED_VALUE"""),44760.8134888425)</f>
        <v>44760.81349</v>
      </c>
      <c r="D3436" s="15">
        <f>IFERROR(__xludf.DUMMYFUNCTION("""COMPUTED_VALUE"""),1.004)</f>
        <v>1.004</v>
      </c>
      <c r="E3436" s="16">
        <f>IFERROR(__xludf.DUMMYFUNCTION("""COMPUTED_VALUE"""),69.0)</f>
        <v>69</v>
      </c>
      <c r="F3436" s="19" t="str">
        <f>IFERROR(__xludf.DUMMYFUNCTION("""COMPUTED_VALUE"""),"BLACK")</f>
        <v>BLACK</v>
      </c>
      <c r="G3436" s="20" t="str">
        <f>IFERROR(__xludf.DUMMYFUNCTION("""COMPUTED_VALUE"""),"Uncle Sams Cider (5/13/2022)")</f>
        <v>Uncle Sams Cider (5/13/2022)</v>
      </c>
      <c r="H3436" s="19"/>
    </row>
    <row r="3437">
      <c r="A3437" s="9"/>
      <c r="B3437" s="15"/>
      <c r="C3437" s="9">
        <f>IFERROR(__xludf.DUMMYFUNCTION("""COMPUTED_VALUE"""),44760.803058368)</f>
        <v>44760.80306</v>
      </c>
      <c r="D3437" s="15">
        <f>IFERROR(__xludf.DUMMYFUNCTION("""COMPUTED_VALUE"""),1.004)</f>
        <v>1.004</v>
      </c>
      <c r="E3437" s="16">
        <f>IFERROR(__xludf.DUMMYFUNCTION("""COMPUTED_VALUE"""),69.0)</f>
        <v>69</v>
      </c>
      <c r="F3437" s="19" t="str">
        <f>IFERROR(__xludf.DUMMYFUNCTION("""COMPUTED_VALUE"""),"BLACK")</f>
        <v>BLACK</v>
      </c>
      <c r="G3437" s="20" t="str">
        <f>IFERROR(__xludf.DUMMYFUNCTION("""COMPUTED_VALUE"""),"Uncle Sams Cider (5/13/2022)")</f>
        <v>Uncle Sams Cider (5/13/2022)</v>
      </c>
      <c r="H3437" s="19"/>
    </row>
    <row r="3438">
      <c r="A3438" s="9"/>
      <c r="B3438" s="15"/>
      <c r="C3438" s="9">
        <f>IFERROR(__xludf.DUMMYFUNCTION("""COMPUTED_VALUE"""),44760.7926377662)</f>
        <v>44760.79264</v>
      </c>
      <c r="D3438" s="15">
        <f>IFERROR(__xludf.DUMMYFUNCTION("""COMPUTED_VALUE"""),1.004)</f>
        <v>1.004</v>
      </c>
      <c r="E3438" s="16">
        <f>IFERROR(__xludf.DUMMYFUNCTION("""COMPUTED_VALUE"""),69.0)</f>
        <v>69</v>
      </c>
      <c r="F3438" s="19" t="str">
        <f>IFERROR(__xludf.DUMMYFUNCTION("""COMPUTED_VALUE"""),"BLACK")</f>
        <v>BLACK</v>
      </c>
      <c r="G3438" s="20" t="str">
        <f>IFERROR(__xludf.DUMMYFUNCTION("""COMPUTED_VALUE"""),"Uncle Sams Cider (5/13/2022)")</f>
        <v>Uncle Sams Cider (5/13/2022)</v>
      </c>
      <c r="H3438" s="19"/>
    </row>
    <row r="3439">
      <c r="A3439" s="9"/>
      <c r="B3439" s="15"/>
      <c r="C3439" s="9">
        <f>IFERROR(__xludf.DUMMYFUNCTION("""COMPUTED_VALUE"""),44760.7822168055)</f>
        <v>44760.78222</v>
      </c>
      <c r="D3439" s="15">
        <f>IFERROR(__xludf.DUMMYFUNCTION("""COMPUTED_VALUE"""),1.004)</f>
        <v>1.004</v>
      </c>
      <c r="E3439" s="16">
        <f>IFERROR(__xludf.DUMMYFUNCTION("""COMPUTED_VALUE"""),69.0)</f>
        <v>69</v>
      </c>
      <c r="F3439" s="19" t="str">
        <f>IFERROR(__xludf.DUMMYFUNCTION("""COMPUTED_VALUE"""),"BLACK")</f>
        <v>BLACK</v>
      </c>
      <c r="G3439" s="20" t="str">
        <f>IFERROR(__xludf.DUMMYFUNCTION("""COMPUTED_VALUE"""),"Uncle Sams Cider (5/13/2022)")</f>
        <v>Uncle Sams Cider (5/13/2022)</v>
      </c>
      <c r="H3439" s="19"/>
    </row>
    <row r="3440">
      <c r="A3440" s="9"/>
      <c r="B3440" s="15"/>
      <c r="C3440" s="9">
        <f>IFERROR(__xludf.DUMMYFUNCTION("""COMPUTED_VALUE"""),44760.7717966898)</f>
        <v>44760.7718</v>
      </c>
      <c r="D3440" s="15">
        <f>IFERROR(__xludf.DUMMYFUNCTION("""COMPUTED_VALUE"""),1.004)</f>
        <v>1.004</v>
      </c>
      <c r="E3440" s="16">
        <f>IFERROR(__xludf.DUMMYFUNCTION("""COMPUTED_VALUE"""),69.0)</f>
        <v>69</v>
      </c>
      <c r="F3440" s="19" t="str">
        <f>IFERROR(__xludf.DUMMYFUNCTION("""COMPUTED_VALUE"""),"BLACK")</f>
        <v>BLACK</v>
      </c>
      <c r="G3440" s="20" t="str">
        <f>IFERROR(__xludf.DUMMYFUNCTION("""COMPUTED_VALUE"""),"Uncle Sams Cider (5/13/2022)")</f>
        <v>Uncle Sams Cider (5/13/2022)</v>
      </c>
      <c r="H3440" s="19"/>
    </row>
    <row r="3441">
      <c r="A3441" s="9"/>
      <c r="B3441" s="15"/>
      <c r="C3441" s="9">
        <f>IFERROR(__xludf.DUMMYFUNCTION("""COMPUTED_VALUE"""),44760.7613744907)</f>
        <v>44760.76137</v>
      </c>
      <c r="D3441" s="15">
        <f>IFERROR(__xludf.DUMMYFUNCTION("""COMPUTED_VALUE"""),1.004)</f>
        <v>1.004</v>
      </c>
      <c r="E3441" s="16">
        <f>IFERROR(__xludf.DUMMYFUNCTION("""COMPUTED_VALUE"""),69.0)</f>
        <v>69</v>
      </c>
      <c r="F3441" s="19" t="str">
        <f>IFERROR(__xludf.DUMMYFUNCTION("""COMPUTED_VALUE"""),"BLACK")</f>
        <v>BLACK</v>
      </c>
      <c r="G3441" s="20" t="str">
        <f>IFERROR(__xludf.DUMMYFUNCTION("""COMPUTED_VALUE"""),"Uncle Sams Cider (5/13/2022)")</f>
        <v>Uncle Sams Cider (5/13/2022)</v>
      </c>
      <c r="H3441" s="19"/>
    </row>
    <row r="3442">
      <c r="A3442" s="9"/>
      <c r="B3442" s="15"/>
      <c r="C3442" s="9">
        <f>IFERROR(__xludf.DUMMYFUNCTION("""COMPUTED_VALUE"""),44760.7509539583)</f>
        <v>44760.75095</v>
      </c>
      <c r="D3442" s="15">
        <f>IFERROR(__xludf.DUMMYFUNCTION("""COMPUTED_VALUE"""),1.004)</f>
        <v>1.004</v>
      </c>
      <c r="E3442" s="16">
        <f>IFERROR(__xludf.DUMMYFUNCTION("""COMPUTED_VALUE"""),69.0)</f>
        <v>69</v>
      </c>
      <c r="F3442" s="19" t="str">
        <f>IFERROR(__xludf.DUMMYFUNCTION("""COMPUTED_VALUE"""),"BLACK")</f>
        <v>BLACK</v>
      </c>
      <c r="G3442" s="20" t="str">
        <f>IFERROR(__xludf.DUMMYFUNCTION("""COMPUTED_VALUE"""),"Uncle Sams Cider (5/13/2022)")</f>
        <v>Uncle Sams Cider (5/13/2022)</v>
      </c>
      <c r="H3442" s="19"/>
    </row>
    <row r="3443">
      <c r="A3443" s="9"/>
      <c r="B3443" s="15"/>
      <c r="C3443" s="9">
        <f>IFERROR(__xludf.DUMMYFUNCTION("""COMPUTED_VALUE"""),44760.7405324421)</f>
        <v>44760.74053</v>
      </c>
      <c r="D3443" s="15">
        <f>IFERROR(__xludf.DUMMYFUNCTION("""COMPUTED_VALUE"""),1.004)</f>
        <v>1.004</v>
      </c>
      <c r="E3443" s="16">
        <f>IFERROR(__xludf.DUMMYFUNCTION("""COMPUTED_VALUE"""),69.0)</f>
        <v>69</v>
      </c>
      <c r="F3443" s="19" t="str">
        <f>IFERROR(__xludf.DUMMYFUNCTION("""COMPUTED_VALUE"""),"BLACK")</f>
        <v>BLACK</v>
      </c>
      <c r="G3443" s="20" t="str">
        <f>IFERROR(__xludf.DUMMYFUNCTION("""COMPUTED_VALUE"""),"Uncle Sams Cider (5/13/2022)")</f>
        <v>Uncle Sams Cider (5/13/2022)</v>
      </c>
      <c r="H3443" s="19"/>
    </row>
    <row r="3444">
      <c r="A3444" s="9"/>
      <c r="B3444" s="15"/>
      <c r="C3444" s="9">
        <f>IFERROR(__xludf.DUMMYFUNCTION("""COMPUTED_VALUE"""),44760.7301114467)</f>
        <v>44760.73011</v>
      </c>
      <c r="D3444" s="15">
        <f>IFERROR(__xludf.DUMMYFUNCTION("""COMPUTED_VALUE"""),1.004)</f>
        <v>1.004</v>
      </c>
      <c r="E3444" s="16">
        <f>IFERROR(__xludf.DUMMYFUNCTION("""COMPUTED_VALUE"""),69.0)</f>
        <v>69</v>
      </c>
      <c r="F3444" s="19" t="str">
        <f>IFERROR(__xludf.DUMMYFUNCTION("""COMPUTED_VALUE"""),"BLACK")</f>
        <v>BLACK</v>
      </c>
      <c r="G3444" s="20" t="str">
        <f>IFERROR(__xludf.DUMMYFUNCTION("""COMPUTED_VALUE"""),"Uncle Sams Cider (5/13/2022)")</f>
        <v>Uncle Sams Cider (5/13/2022)</v>
      </c>
      <c r="H3444" s="19"/>
    </row>
    <row r="3445">
      <c r="A3445" s="9"/>
      <c r="B3445" s="15"/>
      <c r="C3445" s="9">
        <f>IFERROR(__xludf.DUMMYFUNCTION("""COMPUTED_VALUE"""),44760.7196891088)</f>
        <v>44760.71969</v>
      </c>
      <c r="D3445" s="15">
        <f>IFERROR(__xludf.DUMMYFUNCTION("""COMPUTED_VALUE"""),1.004)</f>
        <v>1.004</v>
      </c>
      <c r="E3445" s="16">
        <f>IFERROR(__xludf.DUMMYFUNCTION("""COMPUTED_VALUE"""),69.0)</f>
        <v>69</v>
      </c>
      <c r="F3445" s="19" t="str">
        <f>IFERROR(__xludf.DUMMYFUNCTION("""COMPUTED_VALUE"""),"BLACK")</f>
        <v>BLACK</v>
      </c>
      <c r="G3445" s="20" t="str">
        <f>IFERROR(__xludf.DUMMYFUNCTION("""COMPUTED_VALUE"""),"Uncle Sams Cider (5/13/2022)")</f>
        <v>Uncle Sams Cider (5/13/2022)</v>
      </c>
      <c r="H3445" s="19"/>
    </row>
    <row r="3446">
      <c r="A3446" s="9"/>
      <c r="B3446" s="15"/>
      <c r="C3446" s="9">
        <f>IFERROR(__xludf.DUMMYFUNCTION("""COMPUTED_VALUE"""),44760.7092667939)</f>
        <v>44760.70927</v>
      </c>
      <c r="D3446" s="15">
        <f>IFERROR(__xludf.DUMMYFUNCTION("""COMPUTED_VALUE"""),1.004)</f>
        <v>1.004</v>
      </c>
      <c r="E3446" s="16">
        <f>IFERROR(__xludf.DUMMYFUNCTION("""COMPUTED_VALUE"""),69.0)</f>
        <v>69</v>
      </c>
      <c r="F3446" s="19" t="str">
        <f>IFERROR(__xludf.DUMMYFUNCTION("""COMPUTED_VALUE"""),"BLACK")</f>
        <v>BLACK</v>
      </c>
      <c r="G3446" s="20" t="str">
        <f>IFERROR(__xludf.DUMMYFUNCTION("""COMPUTED_VALUE"""),"Uncle Sams Cider (5/13/2022)")</f>
        <v>Uncle Sams Cider (5/13/2022)</v>
      </c>
      <c r="H3446" s="19"/>
    </row>
    <row r="3447">
      <c r="A3447" s="9"/>
      <c r="B3447" s="15"/>
      <c r="C3447" s="9">
        <f>IFERROR(__xludf.DUMMYFUNCTION("""COMPUTED_VALUE"""),44760.6988442476)</f>
        <v>44760.69884</v>
      </c>
      <c r="D3447" s="15">
        <f>IFERROR(__xludf.DUMMYFUNCTION("""COMPUTED_VALUE"""),1.004)</f>
        <v>1.004</v>
      </c>
      <c r="E3447" s="16">
        <f>IFERROR(__xludf.DUMMYFUNCTION("""COMPUTED_VALUE"""),69.0)</f>
        <v>69</v>
      </c>
      <c r="F3447" s="19" t="str">
        <f>IFERROR(__xludf.DUMMYFUNCTION("""COMPUTED_VALUE"""),"BLACK")</f>
        <v>BLACK</v>
      </c>
      <c r="G3447" s="20" t="str">
        <f>IFERROR(__xludf.DUMMYFUNCTION("""COMPUTED_VALUE"""),"Uncle Sams Cider (5/13/2022)")</f>
        <v>Uncle Sams Cider (5/13/2022)</v>
      </c>
      <c r="H3447" s="19"/>
    </row>
    <row r="3448">
      <c r="A3448" s="9"/>
      <c r="B3448" s="15"/>
      <c r="C3448" s="9">
        <f>IFERROR(__xludf.DUMMYFUNCTION("""COMPUTED_VALUE"""),44760.6884220254)</f>
        <v>44760.68842</v>
      </c>
      <c r="D3448" s="15">
        <f>IFERROR(__xludf.DUMMYFUNCTION("""COMPUTED_VALUE"""),1.004)</f>
        <v>1.004</v>
      </c>
      <c r="E3448" s="16">
        <f>IFERROR(__xludf.DUMMYFUNCTION("""COMPUTED_VALUE"""),69.0)</f>
        <v>69</v>
      </c>
      <c r="F3448" s="19" t="str">
        <f>IFERROR(__xludf.DUMMYFUNCTION("""COMPUTED_VALUE"""),"BLACK")</f>
        <v>BLACK</v>
      </c>
      <c r="G3448" s="20" t="str">
        <f>IFERROR(__xludf.DUMMYFUNCTION("""COMPUTED_VALUE"""),"Uncle Sams Cider (5/13/2022)")</f>
        <v>Uncle Sams Cider (5/13/2022)</v>
      </c>
      <c r="H3448" s="19"/>
    </row>
    <row r="3449">
      <c r="A3449" s="9"/>
      <c r="B3449" s="15"/>
      <c r="C3449" s="9">
        <f>IFERROR(__xludf.DUMMYFUNCTION("""COMPUTED_VALUE"""),44760.6780014699)</f>
        <v>44760.678</v>
      </c>
      <c r="D3449" s="15">
        <f>IFERROR(__xludf.DUMMYFUNCTION("""COMPUTED_VALUE"""),1.004)</f>
        <v>1.004</v>
      </c>
      <c r="E3449" s="16">
        <f>IFERROR(__xludf.DUMMYFUNCTION("""COMPUTED_VALUE"""),69.0)</f>
        <v>69</v>
      </c>
      <c r="F3449" s="19" t="str">
        <f>IFERROR(__xludf.DUMMYFUNCTION("""COMPUTED_VALUE"""),"BLACK")</f>
        <v>BLACK</v>
      </c>
      <c r="G3449" s="20" t="str">
        <f>IFERROR(__xludf.DUMMYFUNCTION("""COMPUTED_VALUE"""),"Uncle Sams Cider (5/13/2022)")</f>
        <v>Uncle Sams Cider (5/13/2022)</v>
      </c>
      <c r="H3449" s="19"/>
    </row>
    <row r="3450">
      <c r="A3450" s="9"/>
      <c r="B3450" s="15"/>
      <c r="C3450" s="9">
        <f>IFERROR(__xludf.DUMMYFUNCTION("""COMPUTED_VALUE"""),44760.6675802199)</f>
        <v>44760.66758</v>
      </c>
      <c r="D3450" s="15">
        <f>IFERROR(__xludf.DUMMYFUNCTION("""COMPUTED_VALUE"""),1.004)</f>
        <v>1.004</v>
      </c>
      <c r="E3450" s="16">
        <f>IFERROR(__xludf.DUMMYFUNCTION("""COMPUTED_VALUE"""),69.0)</f>
        <v>69</v>
      </c>
      <c r="F3450" s="19" t="str">
        <f>IFERROR(__xludf.DUMMYFUNCTION("""COMPUTED_VALUE"""),"BLACK")</f>
        <v>BLACK</v>
      </c>
      <c r="G3450" s="20" t="str">
        <f>IFERROR(__xludf.DUMMYFUNCTION("""COMPUTED_VALUE"""),"Uncle Sams Cider (5/13/2022)")</f>
        <v>Uncle Sams Cider (5/13/2022)</v>
      </c>
      <c r="H3450" s="19"/>
    </row>
    <row r="3451">
      <c r="A3451" s="9"/>
      <c r="B3451" s="15"/>
      <c r="C3451" s="9">
        <f>IFERROR(__xludf.DUMMYFUNCTION("""COMPUTED_VALUE"""),44760.6571578819)</f>
        <v>44760.65716</v>
      </c>
      <c r="D3451" s="15">
        <f>IFERROR(__xludf.DUMMYFUNCTION("""COMPUTED_VALUE"""),1.004)</f>
        <v>1.004</v>
      </c>
      <c r="E3451" s="16">
        <f>IFERROR(__xludf.DUMMYFUNCTION("""COMPUTED_VALUE"""),69.0)</f>
        <v>69</v>
      </c>
      <c r="F3451" s="19" t="str">
        <f>IFERROR(__xludf.DUMMYFUNCTION("""COMPUTED_VALUE"""),"BLACK")</f>
        <v>BLACK</v>
      </c>
      <c r="G3451" s="20" t="str">
        <f>IFERROR(__xludf.DUMMYFUNCTION("""COMPUTED_VALUE"""),"Uncle Sams Cider (5/13/2022)")</f>
        <v>Uncle Sams Cider (5/13/2022)</v>
      </c>
      <c r="H3451" s="19"/>
    </row>
    <row r="3452">
      <c r="A3452" s="9"/>
      <c r="B3452" s="15"/>
      <c r="C3452" s="9">
        <f>IFERROR(__xludf.DUMMYFUNCTION("""COMPUTED_VALUE"""),44760.6467369444)</f>
        <v>44760.64674</v>
      </c>
      <c r="D3452" s="15">
        <f>IFERROR(__xludf.DUMMYFUNCTION("""COMPUTED_VALUE"""),1.004)</f>
        <v>1.004</v>
      </c>
      <c r="E3452" s="16">
        <f>IFERROR(__xludf.DUMMYFUNCTION("""COMPUTED_VALUE"""),69.0)</f>
        <v>69</v>
      </c>
      <c r="F3452" s="19" t="str">
        <f>IFERROR(__xludf.DUMMYFUNCTION("""COMPUTED_VALUE"""),"BLACK")</f>
        <v>BLACK</v>
      </c>
      <c r="G3452" s="20" t="str">
        <f>IFERROR(__xludf.DUMMYFUNCTION("""COMPUTED_VALUE"""),"Uncle Sams Cider (5/13/2022)")</f>
        <v>Uncle Sams Cider (5/13/2022)</v>
      </c>
      <c r="H3452" s="19"/>
    </row>
    <row r="3453">
      <c r="A3453" s="9"/>
      <c r="B3453" s="15"/>
      <c r="C3453" s="9">
        <f>IFERROR(__xludf.DUMMYFUNCTION("""COMPUTED_VALUE"""),44760.636303449)</f>
        <v>44760.6363</v>
      </c>
      <c r="D3453" s="15">
        <f>IFERROR(__xludf.DUMMYFUNCTION("""COMPUTED_VALUE"""),1.004)</f>
        <v>1.004</v>
      </c>
      <c r="E3453" s="16">
        <f>IFERROR(__xludf.DUMMYFUNCTION("""COMPUTED_VALUE"""),69.0)</f>
        <v>69</v>
      </c>
      <c r="F3453" s="19" t="str">
        <f>IFERROR(__xludf.DUMMYFUNCTION("""COMPUTED_VALUE"""),"BLACK")</f>
        <v>BLACK</v>
      </c>
      <c r="G3453" s="20" t="str">
        <f>IFERROR(__xludf.DUMMYFUNCTION("""COMPUTED_VALUE"""),"Uncle Sams Cider (5/13/2022)")</f>
        <v>Uncle Sams Cider (5/13/2022)</v>
      </c>
      <c r="H3453" s="19"/>
    </row>
    <row r="3454">
      <c r="A3454" s="9"/>
      <c r="B3454" s="15"/>
      <c r="C3454" s="9">
        <f>IFERROR(__xludf.DUMMYFUNCTION("""COMPUTED_VALUE"""),44760.6258695138)</f>
        <v>44760.62587</v>
      </c>
      <c r="D3454" s="15">
        <f>IFERROR(__xludf.DUMMYFUNCTION("""COMPUTED_VALUE"""),1.004)</f>
        <v>1.004</v>
      </c>
      <c r="E3454" s="16">
        <f>IFERROR(__xludf.DUMMYFUNCTION("""COMPUTED_VALUE"""),69.0)</f>
        <v>69</v>
      </c>
      <c r="F3454" s="19" t="str">
        <f>IFERROR(__xludf.DUMMYFUNCTION("""COMPUTED_VALUE"""),"BLACK")</f>
        <v>BLACK</v>
      </c>
      <c r="G3454" s="20" t="str">
        <f>IFERROR(__xludf.DUMMYFUNCTION("""COMPUTED_VALUE"""),"Uncle Sams Cider (5/13/2022)")</f>
        <v>Uncle Sams Cider (5/13/2022)</v>
      </c>
      <c r="H3454" s="19"/>
    </row>
    <row r="3455">
      <c r="A3455" s="9"/>
      <c r="B3455" s="15"/>
      <c r="C3455" s="9">
        <f>IFERROR(__xludf.DUMMYFUNCTION("""COMPUTED_VALUE"""),44760.6154473495)</f>
        <v>44760.61545</v>
      </c>
      <c r="D3455" s="15">
        <f>IFERROR(__xludf.DUMMYFUNCTION("""COMPUTED_VALUE"""),1.004)</f>
        <v>1.004</v>
      </c>
      <c r="E3455" s="16">
        <f>IFERROR(__xludf.DUMMYFUNCTION("""COMPUTED_VALUE"""),69.0)</f>
        <v>69</v>
      </c>
      <c r="F3455" s="19" t="str">
        <f>IFERROR(__xludf.DUMMYFUNCTION("""COMPUTED_VALUE"""),"BLACK")</f>
        <v>BLACK</v>
      </c>
      <c r="G3455" s="20" t="str">
        <f>IFERROR(__xludf.DUMMYFUNCTION("""COMPUTED_VALUE"""),"Uncle Sams Cider (5/13/2022)")</f>
        <v>Uncle Sams Cider (5/13/2022)</v>
      </c>
      <c r="H3455" s="19"/>
    </row>
    <row r="3456">
      <c r="A3456" s="9"/>
      <c r="B3456" s="15"/>
      <c r="C3456" s="9">
        <f>IFERROR(__xludf.DUMMYFUNCTION("""COMPUTED_VALUE"""),44760.6050256597)</f>
        <v>44760.60503</v>
      </c>
      <c r="D3456" s="15">
        <f>IFERROR(__xludf.DUMMYFUNCTION("""COMPUTED_VALUE"""),1.004)</f>
        <v>1.004</v>
      </c>
      <c r="E3456" s="16">
        <f>IFERROR(__xludf.DUMMYFUNCTION("""COMPUTED_VALUE"""),69.0)</f>
        <v>69</v>
      </c>
      <c r="F3456" s="19" t="str">
        <f>IFERROR(__xludf.DUMMYFUNCTION("""COMPUTED_VALUE"""),"BLACK")</f>
        <v>BLACK</v>
      </c>
      <c r="G3456" s="20" t="str">
        <f>IFERROR(__xludf.DUMMYFUNCTION("""COMPUTED_VALUE"""),"Uncle Sams Cider (5/13/2022)")</f>
        <v>Uncle Sams Cider (5/13/2022)</v>
      </c>
      <c r="H3456" s="19"/>
    </row>
    <row r="3457">
      <c r="A3457" s="9"/>
      <c r="B3457" s="15"/>
      <c r="C3457" s="9">
        <f>IFERROR(__xludf.DUMMYFUNCTION("""COMPUTED_VALUE"""),44760.5946030671)</f>
        <v>44760.5946</v>
      </c>
      <c r="D3457" s="15">
        <f>IFERROR(__xludf.DUMMYFUNCTION("""COMPUTED_VALUE"""),1.004)</f>
        <v>1.004</v>
      </c>
      <c r="E3457" s="16">
        <f>IFERROR(__xludf.DUMMYFUNCTION("""COMPUTED_VALUE"""),69.0)</f>
        <v>69</v>
      </c>
      <c r="F3457" s="19" t="str">
        <f>IFERROR(__xludf.DUMMYFUNCTION("""COMPUTED_VALUE"""),"BLACK")</f>
        <v>BLACK</v>
      </c>
      <c r="G3457" s="20" t="str">
        <f>IFERROR(__xludf.DUMMYFUNCTION("""COMPUTED_VALUE"""),"Uncle Sams Cider (5/13/2022)")</f>
        <v>Uncle Sams Cider (5/13/2022)</v>
      </c>
      <c r="H3457" s="19"/>
    </row>
    <row r="3458">
      <c r="A3458" s="9"/>
      <c r="B3458" s="15"/>
      <c r="C3458" s="9">
        <f>IFERROR(__xludf.DUMMYFUNCTION("""COMPUTED_VALUE"""),44760.5841792129)</f>
        <v>44760.58418</v>
      </c>
      <c r="D3458" s="15">
        <f>IFERROR(__xludf.DUMMYFUNCTION("""COMPUTED_VALUE"""),1.004)</f>
        <v>1.004</v>
      </c>
      <c r="E3458" s="16">
        <f>IFERROR(__xludf.DUMMYFUNCTION("""COMPUTED_VALUE"""),69.0)</f>
        <v>69</v>
      </c>
      <c r="F3458" s="19" t="str">
        <f>IFERROR(__xludf.DUMMYFUNCTION("""COMPUTED_VALUE"""),"BLACK")</f>
        <v>BLACK</v>
      </c>
      <c r="G3458" s="20" t="str">
        <f>IFERROR(__xludf.DUMMYFUNCTION("""COMPUTED_VALUE"""),"Uncle Sams Cider (5/13/2022)")</f>
        <v>Uncle Sams Cider (5/13/2022)</v>
      </c>
      <c r="H3458" s="19"/>
    </row>
    <row r="3459">
      <c r="A3459" s="9"/>
      <c r="B3459" s="15"/>
      <c r="C3459" s="9">
        <f>IFERROR(__xludf.DUMMYFUNCTION("""COMPUTED_VALUE"""),44760.5737576967)</f>
        <v>44760.57376</v>
      </c>
      <c r="D3459" s="15">
        <f>IFERROR(__xludf.DUMMYFUNCTION("""COMPUTED_VALUE"""),1.004)</f>
        <v>1.004</v>
      </c>
      <c r="E3459" s="16">
        <f>IFERROR(__xludf.DUMMYFUNCTION("""COMPUTED_VALUE"""),69.0)</f>
        <v>69</v>
      </c>
      <c r="F3459" s="19" t="str">
        <f>IFERROR(__xludf.DUMMYFUNCTION("""COMPUTED_VALUE"""),"BLACK")</f>
        <v>BLACK</v>
      </c>
      <c r="G3459" s="20" t="str">
        <f>IFERROR(__xludf.DUMMYFUNCTION("""COMPUTED_VALUE"""),"Uncle Sams Cider (5/13/2022)")</f>
        <v>Uncle Sams Cider (5/13/2022)</v>
      </c>
      <c r="H3459" s="19"/>
    </row>
    <row r="3460">
      <c r="A3460" s="9"/>
      <c r="B3460" s="15"/>
      <c r="C3460" s="9">
        <f>IFERROR(__xludf.DUMMYFUNCTION("""COMPUTED_VALUE"""),44760.5633372916)</f>
        <v>44760.56334</v>
      </c>
      <c r="D3460" s="15">
        <f>IFERROR(__xludf.DUMMYFUNCTION("""COMPUTED_VALUE"""),1.004)</f>
        <v>1.004</v>
      </c>
      <c r="E3460" s="16">
        <f>IFERROR(__xludf.DUMMYFUNCTION("""COMPUTED_VALUE"""),69.0)</f>
        <v>69</v>
      </c>
      <c r="F3460" s="19" t="str">
        <f>IFERROR(__xludf.DUMMYFUNCTION("""COMPUTED_VALUE"""),"BLACK")</f>
        <v>BLACK</v>
      </c>
      <c r="G3460" s="20" t="str">
        <f>IFERROR(__xludf.DUMMYFUNCTION("""COMPUTED_VALUE"""),"Uncle Sams Cider (5/13/2022)")</f>
        <v>Uncle Sams Cider (5/13/2022)</v>
      </c>
      <c r="H3460" s="19"/>
    </row>
    <row r="3461">
      <c r="A3461" s="9"/>
      <c r="B3461" s="15"/>
      <c r="C3461" s="9">
        <f>IFERROR(__xludf.DUMMYFUNCTION("""COMPUTED_VALUE"""),44760.552916655)</f>
        <v>44760.55292</v>
      </c>
      <c r="D3461" s="15">
        <f>IFERROR(__xludf.DUMMYFUNCTION("""COMPUTED_VALUE"""),1.004)</f>
        <v>1.004</v>
      </c>
      <c r="E3461" s="16">
        <f>IFERROR(__xludf.DUMMYFUNCTION("""COMPUTED_VALUE"""),69.0)</f>
        <v>69</v>
      </c>
      <c r="F3461" s="19" t="str">
        <f>IFERROR(__xludf.DUMMYFUNCTION("""COMPUTED_VALUE"""),"BLACK")</f>
        <v>BLACK</v>
      </c>
      <c r="G3461" s="20" t="str">
        <f>IFERROR(__xludf.DUMMYFUNCTION("""COMPUTED_VALUE"""),"Uncle Sams Cider (5/13/2022)")</f>
        <v>Uncle Sams Cider (5/13/2022)</v>
      </c>
      <c r="H3461" s="19"/>
    </row>
    <row r="3462">
      <c r="A3462" s="9"/>
      <c r="B3462" s="15"/>
      <c r="C3462" s="9">
        <f>IFERROR(__xludf.DUMMYFUNCTION("""COMPUTED_VALUE"""),44760.5424836342)</f>
        <v>44760.54248</v>
      </c>
      <c r="D3462" s="15">
        <f>IFERROR(__xludf.DUMMYFUNCTION("""COMPUTED_VALUE"""),1.004)</f>
        <v>1.004</v>
      </c>
      <c r="E3462" s="16">
        <f>IFERROR(__xludf.DUMMYFUNCTION("""COMPUTED_VALUE"""),69.0)</f>
        <v>69</v>
      </c>
      <c r="F3462" s="19" t="str">
        <f>IFERROR(__xludf.DUMMYFUNCTION("""COMPUTED_VALUE"""),"BLACK")</f>
        <v>BLACK</v>
      </c>
      <c r="G3462" s="20" t="str">
        <f>IFERROR(__xludf.DUMMYFUNCTION("""COMPUTED_VALUE"""),"Uncle Sams Cider (5/13/2022)")</f>
        <v>Uncle Sams Cider (5/13/2022)</v>
      </c>
      <c r="H3462" s="19"/>
    </row>
    <row r="3463">
      <c r="A3463" s="9"/>
      <c r="B3463" s="15"/>
      <c r="C3463" s="9">
        <f>IFERROR(__xludf.DUMMYFUNCTION("""COMPUTED_VALUE"""),44760.5320631481)</f>
        <v>44760.53206</v>
      </c>
      <c r="D3463" s="15">
        <f>IFERROR(__xludf.DUMMYFUNCTION("""COMPUTED_VALUE"""),1.004)</f>
        <v>1.004</v>
      </c>
      <c r="E3463" s="16">
        <f>IFERROR(__xludf.DUMMYFUNCTION("""COMPUTED_VALUE"""),69.0)</f>
        <v>69</v>
      </c>
      <c r="F3463" s="19" t="str">
        <f>IFERROR(__xludf.DUMMYFUNCTION("""COMPUTED_VALUE"""),"BLACK")</f>
        <v>BLACK</v>
      </c>
      <c r="G3463" s="20" t="str">
        <f>IFERROR(__xludf.DUMMYFUNCTION("""COMPUTED_VALUE"""),"Uncle Sams Cider (5/13/2022)")</f>
        <v>Uncle Sams Cider (5/13/2022)</v>
      </c>
      <c r="H3463" s="19"/>
    </row>
    <row r="3464">
      <c r="A3464" s="9"/>
      <c r="B3464" s="15"/>
      <c r="C3464" s="9">
        <f>IFERROR(__xludf.DUMMYFUNCTION("""COMPUTED_VALUE"""),44760.5216427662)</f>
        <v>44760.52164</v>
      </c>
      <c r="D3464" s="15">
        <f>IFERROR(__xludf.DUMMYFUNCTION("""COMPUTED_VALUE"""),1.004)</f>
        <v>1.004</v>
      </c>
      <c r="E3464" s="16">
        <f>IFERROR(__xludf.DUMMYFUNCTION("""COMPUTED_VALUE"""),69.0)</f>
        <v>69</v>
      </c>
      <c r="F3464" s="19" t="str">
        <f>IFERROR(__xludf.DUMMYFUNCTION("""COMPUTED_VALUE"""),"BLACK")</f>
        <v>BLACK</v>
      </c>
      <c r="G3464" s="20" t="str">
        <f>IFERROR(__xludf.DUMMYFUNCTION("""COMPUTED_VALUE"""),"Uncle Sams Cider (5/13/2022)")</f>
        <v>Uncle Sams Cider (5/13/2022)</v>
      </c>
      <c r="H3464" s="19"/>
    </row>
    <row r="3465">
      <c r="A3465" s="9"/>
      <c r="B3465" s="15"/>
      <c r="C3465" s="9">
        <f>IFERROR(__xludf.DUMMYFUNCTION("""COMPUTED_VALUE"""),44760.5112094328)</f>
        <v>44760.51121</v>
      </c>
      <c r="D3465" s="15">
        <f>IFERROR(__xludf.DUMMYFUNCTION("""COMPUTED_VALUE"""),1.004)</f>
        <v>1.004</v>
      </c>
      <c r="E3465" s="16">
        <f>IFERROR(__xludf.DUMMYFUNCTION("""COMPUTED_VALUE"""),69.0)</f>
        <v>69</v>
      </c>
      <c r="F3465" s="19" t="str">
        <f>IFERROR(__xludf.DUMMYFUNCTION("""COMPUTED_VALUE"""),"BLACK")</f>
        <v>BLACK</v>
      </c>
      <c r="G3465" s="20" t="str">
        <f>IFERROR(__xludf.DUMMYFUNCTION("""COMPUTED_VALUE"""),"Uncle Sams Cider (5/13/2022)")</f>
        <v>Uncle Sams Cider (5/13/2022)</v>
      </c>
      <c r="H3465" s="19"/>
    </row>
    <row r="3466">
      <c r="A3466" s="9"/>
      <c r="B3466" s="15"/>
      <c r="C3466" s="9">
        <f>IFERROR(__xludf.DUMMYFUNCTION("""COMPUTED_VALUE"""),44760.5007888773)</f>
        <v>44760.50079</v>
      </c>
      <c r="D3466" s="15">
        <f>IFERROR(__xludf.DUMMYFUNCTION("""COMPUTED_VALUE"""),1.004)</f>
        <v>1.004</v>
      </c>
      <c r="E3466" s="16">
        <f>IFERROR(__xludf.DUMMYFUNCTION("""COMPUTED_VALUE"""),69.0)</f>
        <v>69</v>
      </c>
      <c r="F3466" s="19" t="str">
        <f>IFERROR(__xludf.DUMMYFUNCTION("""COMPUTED_VALUE"""),"BLACK")</f>
        <v>BLACK</v>
      </c>
      <c r="G3466" s="20" t="str">
        <f>IFERROR(__xludf.DUMMYFUNCTION("""COMPUTED_VALUE"""),"Uncle Sams Cider (5/13/2022)")</f>
        <v>Uncle Sams Cider (5/13/2022)</v>
      </c>
      <c r="H3466" s="19"/>
    </row>
    <row r="3467">
      <c r="A3467" s="9"/>
      <c r="B3467" s="15"/>
      <c r="C3467" s="9">
        <f>IFERROR(__xludf.DUMMYFUNCTION("""COMPUTED_VALUE"""),44760.4903535069)</f>
        <v>44760.49035</v>
      </c>
      <c r="D3467" s="15">
        <f>IFERROR(__xludf.DUMMYFUNCTION("""COMPUTED_VALUE"""),1.004)</f>
        <v>1.004</v>
      </c>
      <c r="E3467" s="16">
        <f>IFERROR(__xludf.DUMMYFUNCTION("""COMPUTED_VALUE"""),69.0)</f>
        <v>69</v>
      </c>
      <c r="F3467" s="19" t="str">
        <f>IFERROR(__xludf.DUMMYFUNCTION("""COMPUTED_VALUE"""),"BLACK")</f>
        <v>BLACK</v>
      </c>
      <c r="G3467" s="20" t="str">
        <f>IFERROR(__xludf.DUMMYFUNCTION("""COMPUTED_VALUE"""),"Uncle Sams Cider (5/13/2022)")</f>
        <v>Uncle Sams Cider (5/13/2022)</v>
      </c>
      <c r="H3467" s="19"/>
    </row>
    <row r="3468">
      <c r="A3468" s="9"/>
      <c r="B3468" s="15"/>
      <c r="C3468" s="9">
        <f>IFERROR(__xludf.DUMMYFUNCTION("""COMPUTED_VALUE"""),44760.47993228)</f>
        <v>44760.47993</v>
      </c>
      <c r="D3468" s="15">
        <f>IFERROR(__xludf.DUMMYFUNCTION("""COMPUTED_VALUE"""),1.004)</f>
        <v>1.004</v>
      </c>
      <c r="E3468" s="16">
        <f>IFERROR(__xludf.DUMMYFUNCTION("""COMPUTED_VALUE"""),69.0)</f>
        <v>69</v>
      </c>
      <c r="F3468" s="19" t="str">
        <f>IFERROR(__xludf.DUMMYFUNCTION("""COMPUTED_VALUE"""),"BLACK")</f>
        <v>BLACK</v>
      </c>
      <c r="G3468" s="20" t="str">
        <f>IFERROR(__xludf.DUMMYFUNCTION("""COMPUTED_VALUE"""),"Uncle Sams Cider (5/13/2022)")</f>
        <v>Uncle Sams Cider (5/13/2022)</v>
      </c>
      <c r="H3468" s="19"/>
    </row>
    <row r="3469">
      <c r="A3469" s="9"/>
      <c r="B3469" s="15"/>
      <c r="C3469" s="9">
        <f>IFERROR(__xludf.DUMMYFUNCTION("""COMPUTED_VALUE"""),44760.46951103)</f>
        <v>44760.46951</v>
      </c>
      <c r="D3469" s="15">
        <f>IFERROR(__xludf.DUMMYFUNCTION("""COMPUTED_VALUE"""),1.004)</f>
        <v>1.004</v>
      </c>
      <c r="E3469" s="16">
        <f>IFERROR(__xludf.DUMMYFUNCTION("""COMPUTED_VALUE"""),69.0)</f>
        <v>69</v>
      </c>
      <c r="F3469" s="19" t="str">
        <f>IFERROR(__xludf.DUMMYFUNCTION("""COMPUTED_VALUE"""),"BLACK")</f>
        <v>BLACK</v>
      </c>
      <c r="G3469" s="20" t="str">
        <f>IFERROR(__xludf.DUMMYFUNCTION("""COMPUTED_VALUE"""),"Uncle Sams Cider (5/13/2022)")</f>
        <v>Uncle Sams Cider (5/13/2022)</v>
      </c>
      <c r="H3469" s="19"/>
    </row>
    <row r="3470">
      <c r="A3470" s="9"/>
      <c r="B3470" s="15"/>
      <c r="C3470" s="9">
        <f>IFERROR(__xludf.DUMMYFUNCTION("""COMPUTED_VALUE"""),44760.4590901157)</f>
        <v>44760.45909</v>
      </c>
      <c r="D3470" s="15">
        <f>IFERROR(__xludf.DUMMYFUNCTION("""COMPUTED_VALUE"""),1.004)</f>
        <v>1.004</v>
      </c>
      <c r="E3470" s="16">
        <f>IFERROR(__xludf.DUMMYFUNCTION("""COMPUTED_VALUE"""),69.0)</f>
        <v>69</v>
      </c>
      <c r="F3470" s="19" t="str">
        <f>IFERROR(__xludf.DUMMYFUNCTION("""COMPUTED_VALUE"""),"BLACK")</f>
        <v>BLACK</v>
      </c>
      <c r="G3470" s="20" t="str">
        <f>IFERROR(__xludf.DUMMYFUNCTION("""COMPUTED_VALUE"""),"Uncle Sams Cider (5/13/2022)")</f>
        <v>Uncle Sams Cider (5/13/2022)</v>
      </c>
      <c r="H3470" s="19"/>
    </row>
    <row r="3471">
      <c r="A3471" s="9"/>
      <c r="B3471" s="15"/>
      <c r="C3471" s="9">
        <f>IFERROR(__xludf.DUMMYFUNCTION("""COMPUTED_VALUE"""),44760.448668831)</f>
        <v>44760.44867</v>
      </c>
      <c r="D3471" s="15">
        <f>IFERROR(__xludf.DUMMYFUNCTION("""COMPUTED_VALUE"""),1.004)</f>
        <v>1.004</v>
      </c>
      <c r="E3471" s="16">
        <f>IFERROR(__xludf.DUMMYFUNCTION("""COMPUTED_VALUE"""),69.0)</f>
        <v>69</v>
      </c>
      <c r="F3471" s="19" t="str">
        <f>IFERROR(__xludf.DUMMYFUNCTION("""COMPUTED_VALUE"""),"BLACK")</f>
        <v>BLACK</v>
      </c>
      <c r="G3471" s="20" t="str">
        <f>IFERROR(__xludf.DUMMYFUNCTION("""COMPUTED_VALUE"""),"Uncle Sams Cider (5/13/2022)")</f>
        <v>Uncle Sams Cider (5/13/2022)</v>
      </c>
      <c r="H3471" s="19"/>
    </row>
    <row r="3472">
      <c r="A3472" s="9"/>
      <c r="B3472" s="15"/>
      <c r="C3472" s="9">
        <f>IFERROR(__xludf.DUMMYFUNCTION("""COMPUTED_VALUE"""),44760.4382454976)</f>
        <v>44760.43825</v>
      </c>
      <c r="D3472" s="15">
        <f>IFERROR(__xludf.DUMMYFUNCTION("""COMPUTED_VALUE"""),1.004)</f>
        <v>1.004</v>
      </c>
      <c r="E3472" s="16">
        <f>IFERROR(__xludf.DUMMYFUNCTION("""COMPUTED_VALUE"""),69.0)</f>
        <v>69</v>
      </c>
      <c r="F3472" s="19" t="str">
        <f>IFERROR(__xludf.DUMMYFUNCTION("""COMPUTED_VALUE"""),"BLACK")</f>
        <v>BLACK</v>
      </c>
      <c r="G3472" s="20" t="str">
        <f>IFERROR(__xludf.DUMMYFUNCTION("""COMPUTED_VALUE"""),"Uncle Sams Cider (5/13/2022)")</f>
        <v>Uncle Sams Cider (5/13/2022)</v>
      </c>
      <c r="H3472" s="19"/>
    </row>
    <row r="3473">
      <c r="A3473" s="9"/>
      <c r="B3473" s="15"/>
      <c r="C3473" s="9">
        <f>IFERROR(__xludf.DUMMYFUNCTION("""COMPUTED_VALUE"""),44760.4278247338)</f>
        <v>44760.42782</v>
      </c>
      <c r="D3473" s="15">
        <f>IFERROR(__xludf.DUMMYFUNCTION("""COMPUTED_VALUE"""),1.004)</f>
        <v>1.004</v>
      </c>
      <c r="E3473" s="16">
        <f>IFERROR(__xludf.DUMMYFUNCTION("""COMPUTED_VALUE"""),69.0)</f>
        <v>69</v>
      </c>
      <c r="F3473" s="19" t="str">
        <f>IFERROR(__xludf.DUMMYFUNCTION("""COMPUTED_VALUE"""),"BLACK")</f>
        <v>BLACK</v>
      </c>
      <c r="G3473" s="20" t="str">
        <f>IFERROR(__xludf.DUMMYFUNCTION("""COMPUTED_VALUE"""),"Uncle Sams Cider (5/13/2022)")</f>
        <v>Uncle Sams Cider (5/13/2022)</v>
      </c>
      <c r="H3473" s="19"/>
    </row>
    <row r="3474">
      <c r="A3474" s="9"/>
      <c r="B3474" s="15"/>
      <c r="C3474" s="9">
        <f>IFERROR(__xludf.DUMMYFUNCTION("""COMPUTED_VALUE"""),44760.417405324)</f>
        <v>44760.41741</v>
      </c>
      <c r="D3474" s="15">
        <f>IFERROR(__xludf.DUMMYFUNCTION("""COMPUTED_VALUE"""),1.004)</f>
        <v>1.004</v>
      </c>
      <c r="E3474" s="16">
        <f>IFERROR(__xludf.DUMMYFUNCTION("""COMPUTED_VALUE"""),69.0)</f>
        <v>69</v>
      </c>
      <c r="F3474" s="19" t="str">
        <f>IFERROR(__xludf.DUMMYFUNCTION("""COMPUTED_VALUE"""),"BLACK")</f>
        <v>BLACK</v>
      </c>
      <c r="G3474" s="20" t="str">
        <f>IFERROR(__xludf.DUMMYFUNCTION("""COMPUTED_VALUE"""),"Uncle Sams Cider (5/13/2022)")</f>
        <v>Uncle Sams Cider (5/13/2022)</v>
      </c>
      <c r="H3474" s="19"/>
    </row>
    <row r="3475">
      <c r="A3475" s="9"/>
      <c r="B3475" s="15"/>
      <c r="C3475" s="9">
        <f>IFERROR(__xludf.DUMMYFUNCTION("""COMPUTED_VALUE"""),44760.406982905)</f>
        <v>44760.40698</v>
      </c>
      <c r="D3475" s="15">
        <f>IFERROR(__xludf.DUMMYFUNCTION("""COMPUTED_VALUE"""),1.004)</f>
        <v>1.004</v>
      </c>
      <c r="E3475" s="16">
        <f>IFERROR(__xludf.DUMMYFUNCTION("""COMPUTED_VALUE"""),69.0)</f>
        <v>69</v>
      </c>
      <c r="F3475" s="19" t="str">
        <f>IFERROR(__xludf.DUMMYFUNCTION("""COMPUTED_VALUE"""),"BLACK")</f>
        <v>BLACK</v>
      </c>
      <c r="G3475" s="20" t="str">
        <f>IFERROR(__xludf.DUMMYFUNCTION("""COMPUTED_VALUE"""),"Uncle Sams Cider (5/13/2022)")</f>
        <v>Uncle Sams Cider (5/13/2022)</v>
      </c>
      <c r="H3475" s="19"/>
    </row>
    <row r="3476">
      <c r="A3476" s="9"/>
      <c r="B3476" s="15"/>
      <c r="C3476" s="9">
        <f>IFERROR(__xludf.DUMMYFUNCTION("""COMPUTED_VALUE"""),44760.3965614467)</f>
        <v>44760.39656</v>
      </c>
      <c r="D3476" s="15">
        <f>IFERROR(__xludf.DUMMYFUNCTION("""COMPUTED_VALUE"""),1.004)</f>
        <v>1.004</v>
      </c>
      <c r="E3476" s="16">
        <f>IFERROR(__xludf.DUMMYFUNCTION("""COMPUTED_VALUE"""),69.0)</f>
        <v>69</v>
      </c>
      <c r="F3476" s="19" t="str">
        <f>IFERROR(__xludf.DUMMYFUNCTION("""COMPUTED_VALUE"""),"BLACK")</f>
        <v>BLACK</v>
      </c>
      <c r="G3476" s="20" t="str">
        <f>IFERROR(__xludf.DUMMYFUNCTION("""COMPUTED_VALUE"""),"Uncle Sams Cider (5/13/2022)")</f>
        <v>Uncle Sams Cider (5/13/2022)</v>
      </c>
      <c r="H3476" s="19"/>
    </row>
    <row r="3477">
      <c r="A3477" s="9"/>
      <c r="B3477" s="15"/>
      <c r="C3477" s="9">
        <f>IFERROR(__xludf.DUMMYFUNCTION("""COMPUTED_VALUE"""),44760.3861384143)</f>
        <v>44760.38614</v>
      </c>
      <c r="D3477" s="15">
        <f>IFERROR(__xludf.DUMMYFUNCTION("""COMPUTED_VALUE"""),1.004)</f>
        <v>1.004</v>
      </c>
      <c r="E3477" s="16">
        <f>IFERROR(__xludf.DUMMYFUNCTION("""COMPUTED_VALUE"""),69.0)</f>
        <v>69</v>
      </c>
      <c r="F3477" s="19" t="str">
        <f>IFERROR(__xludf.DUMMYFUNCTION("""COMPUTED_VALUE"""),"BLACK")</f>
        <v>BLACK</v>
      </c>
      <c r="G3477" s="20" t="str">
        <f>IFERROR(__xludf.DUMMYFUNCTION("""COMPUTED_VALUE"""),"Uncle Sams Cider (5/13/2022)")</f>
        <v>Uncle Sams Cider (5/13/2022)</v>
      </c>
      <c r="H3477" s="19"/>
    </row>
    <row r="3478">
      <c r="A3478" s="9"/>
      <c r="B3478" s="15"/>
      <c r="C3478" s="9">
        <f>IFERROR(__xludf.DUMMYFUNCTION("""COMPUTED_VALUE"""),44760.3757194328)</f>
        <v>44760.37572</v>
      </c>
      <c r="D3478" s="15">
        <f>IFERROR(__xludf.DUMMYFUNCTION("""COMPUTED_VALUE"""),1.004)</f>
        <v>1.004</v>
      </c>
      <c r="E3478" s="16">
        <f>IFERROR(__xludf.DUMMYFUNCTION("""COMPUTED_VALUE"""),69.0)</f>
        <v>69</v>
      </c>
      <c r="F3478" s="19" t="str">
        <f>IFERROR(__xludf.DUMMYFUNCTION("""COMPUTED_VALUE"""),"BLACK")</f>
        <v>BLACK</v>
      </c>
      <c r="G3478" s="20" t="str">
        <f>IFERROR(__xludf.DUMMYFUNCTION("""COMPUTED_VALUE"""),"Uncle Sams Cider (5/13/2022)")</f>
        <v>Uncle Sams Cider (5/13/2022)</v>
      </c>
      <c r="H3478" s="19"/>
    </row>
    <row r="3479">
      <c r="A3479" s="9"/>
      <c r="B3479" s="15"/>
      <c r="C3479" s="9">
        <f>IFERROR(__xludf.DUMMYFUNCTION("""COMPUTED_VALUE"""),44760.3652998263)</f>
        <v>44760.3653</v>
      </c>
      <c r="D3479" s="15">
        <f>IFERROR(__xludf.DUMMYFUNCTION("""COMPUTED_VALUE"""),1.004)</f>
        <v>1.004</v>
      </c>
      <c r="E3479" s="16">
        <f>IFERROR(__xludf.DUMMYFUNCTION("""COMPUTED_VALUE"""),69.0)</f>
        <v>69</v>
      </c>
      <c r="F3479" s="19" t="str">
        <f>IFERROR(__xludf.DUMMYFUNCTION("""COMPUTED_VALUE"""),"BLACK")</f>
        <v>BLACK</v>
      </c>
      <c r="G3479" s="20" t="str">
        <f>IFERROR(__xludf.DUMMYFUNCTION("""COMPUTED_VALUE"""),"Uncle Sams Cider (5/13/2022)")</f>
        <v>Uncle Sams Cider (5/13/2022)</v>
      </c>
      <c r="H3479" s="19"/>
    </row>
    <row r="3480">
      <c r="A3480" s="9"/>
      <c r="B3480" s="15"/>
      <c r="C3480" s="9">
        <f>IFERROR(__xludf.DUMMYFUNCTION("""COMPUTED_VALUE"""),44760.3548660879)</f>
        <v>44760.35487</v>
      </c>
      <c r="D3480" s="15">
        <f>IFERROR(__xludf.DUMMYFUNCTION("""COMPUTED_VALUE"""),1.004)</f>
        <v>1.004</v>
      </c>
      <c r="E3480" s="16">
        <f>IFERROR(__xludf.DUMMYFUNCTION("""COMPUTED_VALUE"""),69.0)</f>
        <v>69</v>
      </c>
      <c r="F3480" s="19" t="str">
        <f>IFERROR(__xludf.DUMMYFUNCTION("""COMPUTED_VALUE"""),"BLACK")</f>
        <v>BLACK</v>
      </c>
      <c r="G3480" s="20" t="str">
        <f>IFERROR(__xludf.DUMMYFUNCTION("""COMPUTED_VALUE"""),"Uncle Sams Cider (5/13/2022)")</f>
        <v>Uncle Sams Cider (5/13/2022)</v>
      </c>
      <c r="H3480" s="19"/>
    </row>
    <row r="3481">
      <c r="A3481" s="9"/>
      <c r="B3481" s="15"/>
      <c r="C3481" s="9">
        <f>IFERROR(__xludf.DUMMYFUNCTION("""COMPUTED_VALUE"""),44760.3444445023)</f>
        <v>44760.34444</v>
      </c>
      <c r="D3481" s="15">
        <f>IFERROR(__xludf.DUMMYFUNCTION("""COMPUTED_VALUE"""),1.004)</f>
        <v>1.004</v>
      </c>
      <c r="E3481" s="16">
        <f>IFERROR(__xludf.DUMMYFUNCTION("""COMPUTED_VALUE"""),69.0)</f>
        <v>69</v>
      </c>
      <c r="F3481" s="19" t="str">
        <f>IFERROR(__xludf.DUMMYFUNCTION("""COMPUTED_VALUE"""),"BLACK")</f>
        <v>BLACK</v>
      </c>
      <c r="G3481" s="20" t="str">
        <f>IFERROR(__xludf.DUMMYFUNCTION("""COMPUTED_VALUE"""),"Uncle Sams Cider (5/13/2022)")</f>
        <v>Uncle Sams Cider (5/13/2022)</v>
      </c>
      <c r="H3481" s="19"/>
    </row>
    <row r="3482">
      <c r="A3482" s="9"/>
      <c r="B3482" s="15"/>
      <c r="C3482" s="9">
        <f>IFERROR(__xludf.DUMMYFUNCTION("""COMPUTED_VALUE"""),44760.3340213541)</f>
        <v>44760.33402</v>
      </c>
      <c r="D3482" s="15">
        <f>IFERROR(__xludf.DUMMYFUNCTION("""COMPUTED_VALUE"""),1.004)</f>
        <v>1.004</v>
      </c>
      <c r="E3482" s="16">
        <f>IFERROR(__xludf.DUMMYFUNCTION("""COMPUTED_VALUE"""),69.0)</f>
        <v>69</v>
      </c>
      <c r="F3482" s="19" t="str">
        <f>IFERROR(__xludf.DUMMYFUNCTION("""COMPUTED_VALUE"""),"BLACK")</f>
        <v>BLACK</v>
      </c>
      <c r="G3482" s="20" t="str">
        <f>IFERROR(__xludf.DUMMYFUNCTION("""COMPUTED_VALUE"""),"Uncle Sams Cider (5/13/2022)")</f>
        <v>Uncle Sams Cider (5/13/2022)</v>
      </c>
      <c r="H3482" s="19"/>
    </row>
    <row r="3483">
      <c r="A3483" s="9"/>
      <c r="B3483" s="15"/>
      <c r="C3483" s="9">
        <f>IFERROR(__xludf.DUMMYFUNCTION("""COMPUTED_VALUE"""),44760.3235972222)</f>
        <v>44760.3236</v>
      </c>
      <c r="D3483" s="15">
        <f>IFERROR(__xludf.DUMMYFUNCTION("""COMPUTED_VALUE"""),1.004)</f>
        <v>1.004</v>
      </c>
      <c r="E3483" s="16">
        <f>IFERROR(__xludf.DUMMYFUNCTION("""COMPUTED_VALUE"""),69.0)</f>
        <v>69</v>
      </c>
      <c r="F3483" s="19" t="str">
        <f>IFERROR(__xludf.DUMMYFUNCTION("""COMPUTED_VALUE"""),"BLACK")</f>
        <v>BLACK</v>
      </c>
      <c r="G3483" s="20" t="str">
        <f>IFERROR(__xludf.DUMMYFUNCTION("""COMPUTED_VALUE"""),"Uncle Sams Cider (5/13/2022)")</f>
        <v>Uncle Sams Cider (5/13/2022)</v>
      </c>
      <c r="H3483" s="19"/>
    </row>
    <row r="3484">
      <c r="A3484" s="9"/>
      <c r="B3484" s="15"/>
      <c r="C3484" s="9">
        <f>IFERROR(__xludf.DUMMYFUNCTION("""COMPUTED_VALUE"""),44760.3131647338)</f>
        <v>44760.31316</v>
      </c>
      <c r="D3484" s="15">
        <f>IFERROR(__xludf.DUMMYFUNCTION("""COMPUTED_VALUE"""),1.004)</f>
        <v>1.004</v>
      </c>
      <c r="E3484" s="16">
        <f>IFERROR(__xludf.DUMMYFUNCTION("""COMPUTED_VALUE"""),69.0)</f>
        <v>69</v>
      </c>
      <c r="F3484" s="19" t="str">
        <f>IFERROR(__xludf.DUMMYFUNCTION("""COMPUTED_VALUE"""),"BLACK")</f>
        <v>BLACK</v>
      </c>
      <c r="G3484" s="20" t="str">
        <f>IFERROR(__xludf.DUMMYFUNCTION("""COMPUTED_VALUE"""),"Uncle Sams Cider (5/13/2022)")</f>
        <v>Uncle Sams Cider (5/13/2022)</v>
      </c>
      <c r="H3484" s="19"/>
    </row>
    <row r="3485">
      <c r="A3485" s="9"/>
      <c r="B3485" s="15"/>
      <c r="C3485" s="9">
        <f>IFERROR(__xludf.DUMMYFUNCTION("""COMPUTED_VALUE"""),44760.3027209375)</f>
        <v>44760.30272</v>
      </c>
      <c r="D3485" s="15">
        <f>IFERROR(__xludf.DUMMYFUNCTION("""COMPUTED_VALUE"""),1.004)</f>
        <v>1.004</v>
      </c>
      <c r="E3485" s="16">
        <f>IFERROR(__xludf.DUMMYFUNCTION("""COMPUTED_VALUE"""),69.0)</f>
        <v>69</v>
      </c>
      <c r="F3485" s="19" t="str">
        <f>IFERROR(__xludf.DUMMYFUNCTION("""COMPUTED_VALUE"""),"BLACK")</f>
        <v>BLACK</v>
      </c>
      <c r="G3485" s="20" t="str">
        <f>IFERROR(__xludf.DUMMYFUNCTION("""COMPUTED_VALUE"""),"Uncle Sams Cider (5/13/2022)")</f>
        <v>Uncle Sams Cider (5/13/2022)</v>
      </c>
      <c r="H3485" s="19"/>
    </row>
    <row r="3486">
      <c r="A3486" s="9"/>
      <c r="B3486" s="15"/>
      <c r="C3486" s="9">
        <f>IFERROR(__xludf.DUMMYFUNCTION("""COMPUTED_VALUE"""),44760.292299699)</f>
        <v>44760.2923</v>
      </c>
      <c r="D3486" s="15">
        <f>IFERROR(__xludf.DUMMYFUNCTION("""COMPUTED_VALUE"""),1.004)</f>
        <v>1.004</v>
      </c>
      <c r="E3486" s="16">
        <f>IFERROR(__xludf.DUMMYFUNCTION("""COMPUTED_VALUE"""),69.0)</f>
        <v>69</v>
      </c>
      <c r="F3486" s="19" t="str">
        <f>IFERROR(__xludf.DUMMYFUNCTION("""COMPUTED_VALUE"""),"BLACK")</f>
        <v>BLACK</v>
      </c>
      <c r="G3486" s="20" t="str">
        <f>IFERROR(__xludf.DUMMYFUNCTION("""COMPUTED_VALUE"""),"Uncle Sams Cider (5/13/2022)")</f>
        <v>Uncle Sams Cider (5/13/2022)</v>
      </c>
      <c r="H3486" s="19"/>
    </row>
    <row r="3487">
      <c r="A3487" s="9"/>
      <c r="B3487" s="15"/>
      <c r="C3487" s="9">
        <f>IFERROR(__xludf.DUMMYFUNCTION("""COMPUTED_VALUE"""),44760.2818785648)</f>
        <v>44760.28188</v>
      </c>
      <c r="D3487" s="15">
        <f>IFERROR(__xludf.DUMMYFUNCTION("""COMPUTED_VALUE"""),1.004)</f>
        <v>1.004</v>
      </c>
      <c r="E3487" s="16">
        <f>IFERROR(__xludf.DUMMYFUNCTION("""COMPUTED_VALUE"""),69.0)</f>
        <v>69</v>
      </c>
      <c r="F3487" s="19" t="str">
        <f>IFERROR(__xludf.DUMMYFUNCTION("""COMPUTED_VALUE"""),"BLACK")</f>
        <v>BLACK</v>
      </c>
      <c r="G3487" s="20" t="str">
        <f>IFERROR(__xludf.DUMMYFUNCTION("""COMPUTED_VALUE"""),"Uncle Sams Cider (5/13/2022)")</f>
        <v>Uncle Sams Cider (5/13/2022)</v>
      </c>
      <c r="H3487" s="19"/>
    </row>
    <row r="3488">
      <c r="A3488" s="9"/>
      <c r="B3488" s="15"/>
      <c r="C3488" s="9">
        <f>IFERROR(__xludf.DUMMYFUNCTION("""COMPUTED_VALUE"""),44760.2714577662)</f>
        <v>44760.27146</v>
      </c>
      <c r="D3488" s="15">
        <f>IFERROR(__xludf.DUMMYFUNCTION("""COMPUTED_VALUE"""),1.004)</f>
        <v>1.004</v>
      </c>
      <c r="E3488" s="16">
        <f>IFERROR(__xludf.DUMMYFUNCTION("""COMPUTED_VALUE"""),69.0)</f>
        <v>69</v>
      </c>
      <c r="F3488" s="19" t="str">
        <f>IFERROR(__xludf.DUMMYFUNCTION("""COMPUTED_VALUE"""),"BLACK")</f>
        <v>BLACK</v>
      </c>
      <c r="G3488" s="20" t="str">
        <f>IFERROR(__xludf.DUMMYFUNCTION("""COMPUTED_VALUE"""),"Uncle Sams Cider (5/13/2022)")</f>
        <v>Uncle Sams Cider (5/13/2022)</v>
      </c>
      <c r="H3488" s="19"/>
    </row>
    <row r="3489">
      <c r="A3489" s="9"/>
      <c r="B3489" s="15"/>
      <c r="C3489" s="9">
        <f>IFERROR(__xludf.DUMMYFUNCTION("""COMPUTED_VALUE"""),44760.2610362268)</f>
        <v>44760.26104</v>
      </c>
      <c r="D3489" s="15">
        <f>IFERROR(__xludf.DUMMYFUNCTION("""COMPUTED_VALUE"""),1.004)</f>
        <v>1.004</v>
      </c>
      <c r="E3489" s="16">
        <f>IFERROR(__xludf.DUMMYFUNCTION("""COMPUTED_VALUE"""),69.0)</f>
        <v>69</v>
      </c>
      <c r="F3489" s="19" t="str">
        <f>IFERROR(__xludf.DUMMYFUNCTION("""COMPUTED_VALUE"""),"BLACK")</f>
        <v>BLACK</v>
      </c>
      <c r="G3489" s="20" t="str">
        <f>IFERROR(__xludf.DUMMYFUNCTION("""COMPUTED_VALUE"""),"Uncle Sams Cider (5/13/2022)")</f>
        <v>Uncle Sams Cider (5/13/2022)</v>
      </c>
      <c r="H3489" s="19"/>
    </row>
    <row r="3490">
      <c r="A3490" s="9"/>
      <c r="B3490" s="15"/>
      <c r="C3490" s="9">
        <f>IFERROR(__xludf.DUMMYFUNCTION("""COMPUTED_VALUE"""),44760.2506134027)</f>
        <v>44760.25061</v>
      </c>
      <c r="D3490" s="15">
        <f>IFERROR(__xludf.DUMMYFUNCTION("""COMPUTED_VALUE"""),1.004)</f>
        <v>1.004</v>
      </c>
      <c r="E3490" s="16">
        <f>IFERROR(__xludf.DUMMYFUNCTION("""COMPUTED_VALUE"""),69.0)</f>
        <v>69</v>
      </c>
      <c r="F3490" s="19" t="str">
        <f>IFERROR(__xludf.DUMMYFUNCTION("""COMPUTED_VALUE"""),"BLACK")</f>
        <v>BLACK</v>
      </c>
      <c r="G3490" s="20" t="str">
        <f>IFERROR(__xludf.DUMMYFUNCTION("""COMPUTED_VALUE"""),"Uncle Sams Cider (5/13/2022)")</f>
        <v>Uncle Sams Cider (5/13/2022)</v>
      </c>
      <c r="H3490" s="19"/>
    </row>
    <row r="3491">
      <c r="A3491" s="9"/>
      <c r="B3491" s="15"/>
      <c r="C3491" s="9">
        <f>IFERROR(__xludf.DUMMYFUNCTION("""COMPUTED_VALUE"""),44760.2401916088)</f>
        <v>44760.24019</v>
      </c>
      <c r="D3491" s="15">
        <f>IFERROR(__xludf.DUMMYFUNCTION("""COMPUTED_VALUE"""),1.004)</f>
        <v>1.004</v>
      </c>
      <c r="E3491" s="16">
        <f>IFERROR(__xludf.DUMMYFUNCTION("""COMPUTED_VALUE"""),69.0)</f>
        <v>69</v>
      </c>
      <c r="F3491" s="19" t="str">
        <f>IFERROR(__xludf.DUMMYFUNCTION("""COMPUTED_VALUE"""),"BLACK")</f>
        <v>BLACK</v>
      </c>
      <c r="G3491" s="20" t="str">
        <f>IFERROR(__xludf.DUMMYFUNCTION("""COMPUTED_VALUE"""),"Uncle Sams Cider (5/13/2022)")</f>
        <v>Uncle Sams Cider (5/13/2022)</v>
      </c>
      <c r="H3491" s="19"/>
    </row>
    <row r="3492">
      <c r="A3492" s="9"/>
      <c r="B3492" s="15"/>
      <c r="C3492" s="9">
        <f>IFERROR(__xludf.DUMMYFUNCTION("""COMPUTED_VALUE"""),44760.2297695949)</f>
        <v>44760.22977</v>
      </c>
      <c r="D3492" s="15">
        <f>IFERROR(__xludf.DUMMYFUNCTION("""COMPUTED_VALUE"""),1.004)</f>
        <v>1.004</v>
      </c>
      <c r="E3492" s="16">
        <f>IFERROR(__xludf.DUMMYFUNCTION("""COMPUTED_VALUE"""),69.0)</f>
        <v>69</v>
      </c>
      <c r="F3492" s="19" t="str">
        <f>IFERROR(__xludf.DUMMYFUNCTION("""COMPUTED_VALUE"""),"BLACK")</f>
        <v>BLACK</v>
      </c>
      <c r="G3492" s="20" t="str">
        <f>IFERROR(__xludf.DUMMYFUNCTION("""COMPUTED_VALUE"""),"Uncle Sams Cider (5/13/2022)")</f>
        <v>Uncle Sams Cider (5/13/2022)</v>
      </c>
      <c r="H3492" s="19"/>
    </row>
    <row r="3493">
      <c r="A3493" s="9"/>
      <c r="B3493" s="15"/>
      <c r="C3493" s="9">
        <f>IFERROR(__xludf.DUMMYFUNCTION("""COMPUTED_VALUE"""),44760.2193483101)</f>
        <v>44760.21935</v>
      </c>
      <c r="D3493" s="15">
        <f>IFERROR(__xludf.DUMMYFUNCTION("""COMPUTED_VALUE"""),1.004)</f>
        <v>1.004</v>
      </c>
      <c r="E3493" s="16">
        <f>IFERROR(__xludf.DUMMYFUNCTION("""COMPUTED_VALUE"""),69.0)</f>
        <v>69</v>
      </c>
      <c r="F3493" s="19" t="str">
        <f>IFERROR(__xludf.DUMMYFUNCTION("""COMPUTED_VALUE"""),"BLACK")</f>
        <v>BLACK</v>
      </c>
      <c r="G3493" s="20" t="str">
        <f>IFERROR(__xludf.DUMMYFUNCTION("""COMPUTED_VALUE"""),"Uncle Sams Cider (5/13/2022)")</f>
        <v>Uncle Sams Cider (5/13/2022)</v>
      </c>
      <c r="H3493" s="19"/>
    </row>
    <row r="3494">
      <c r="A3494" s="9"/>
      <c r="B3494" s="15"/>
      <c r="C3494" s="9">
        <f>IFERROR(__xludf.DUMMYFUNCTION("""COMPUTED_VALUE"""),44760.2089281713)</f>
        <v>44760.20893</v>
      </c>
      <c r="D3494" s="15">
        <f>IFERROR(__xludf.DUMMYFUNCTION("""COMPUTED_VALUE"""),1.004)</f>
        <v>1.004</v>
      </c>
      <c r="E3494" s="16">
        <f>IFERROR(__xludf.DUMMYFUNCTION("""COMPUTED_VALUE"""),69.0)</f>
        <v>69</v>
      </c>
      <c r="F3494" s="19" t="str">
        <f>IFERROR(__xludf.DUMMYFUNCTION("""COMPUTED_VALUE"""),"BLACK")</f>
        <v>BLACK</v>
      </c>
      <c r="G3494" s="20" t="str">
        <f>IFERROR(__xludf.DUMMYFUNCTION("""COMPUTED_VALUE"""),"Uncle Sams Cider (5/13/2022)")</f>
        <v>Uncle Sams Cider (5/13/2022)</v>
      </c>
      <c r="H3494" s="19"/>
    </row>
    <row r="3495">
      <c r="A3495" s="9"/>
      <c r="B3495" s="15"/>
      <c r="C3495" s="9">
        <f>IFERROR(__xludf.DUMMYFUNCTION("""COMPUTED_VALUE"""),44760.1985048032)</f>
        <v>44760.1985</v>
      </c>
      <c r="D3495" s="15">
        <f>IFERROR(__xludf.DUMMYFUNCTION("""COMPUTED_VALUE"""),1.004)</f>
        <v>1.004</v>
      </c>
      <c r="E3495" s="16">
        <f>IFERROR(__xludf.DUMMYFUNCTION("""COMPUTED_VALUE"""),69.0)</f>
        <v>69</v>
      </c>
      <c r="F3495" s="19" t="str">
        <f>IFERROR(__xludf.DUMMYFUNCTION("""COMPUTED_VALUE"""),"BLACK")</f>
        <v>BLACK</v>
      </c>
      <c r="G3495" s="20" t="str">
        <f>IFERROR(__xludf.DUMMYFUNCTION("""COMPUTED_VALUE"""),"Uncle Sams Cider (5/13/2022)")</f>
        <v>Uncle Sams Cider (5/13/2022)</v>
      </c>
      <c r="H3495" s="19"/>
    </row>
    <row r="3496">
      <c r="A3496" s="9"/>
      <c r="B3496" s="15"/>
      <c r="C3496" s="9">
        <f>IFERROR(__xludf.DUMMYFUNCTION("""COMPUTED_VALUE"""),44760.1880841203)</f>
        <v>44760.18808</v>
      </c>
      <c r="D3496" s="15">
        <f>IFERROR(__xludf.DUMMYFUNCTION("""COMPUTED_VALUE"""),1.004)</f>
        <v>1.004</v>
      </c>
      <c r="E3496" s="16">
        <f>IFERROR(__xludf.DUMMYFUNCTION("""COMPUTED_VALUE"""),69.0)</f>
        <v>69</v>
      </c>
      <c r="F3496" s="19" t="str">
        <f>IFERROR(__xludf.DUMMYFUNCTION("""COMPUTED_VALUE"""),"BLACK")</f>
        <v>BLACK</v>
      </c>
      <c r="G3496" s="20" t="str">
        <f>IFERROR(__xludf.DUMMYFUNCTION("""COMPUTED_VALUE"""),"Uncle Sams Cider (5/13/2022)")</f>
        <v>Uncle Sams Cider (5/13/2022)</v>
      </c>
      <c r="H3496" s="19"/>
    </row>
    <row r="3497">
      <c r="A3497" s="9"/>
      <c r="B3497" s="15"/>
      <c r="C3497" s="9">
        <f>IFERROR(__xludf.DUMMYFUNCTION("""COMPUTED_VALUE"""),44760.1776644213)</f>
        <v>44760.17766</v>
      </c>
      <c r="D3497" s="15">
        <f>IFERROR(__xludf.DUMMYFUNCTION("""COMPUTED_VALUE"""),1.004)</f>
        <v>1.004</v>
      </c>
      <c r="E3497" s="16">
        <f>IFERROR(__xludf.DUMMYFUNCTION("""COMPUTED_VALUE"""),69.0)</f>
        <v>69</v>
      </c>
      <c r="F3497" s="19" t="str">
        <f>IFERROR(__xludf.DUMMYFUNCTION("""COMPUTED_VALUE"""),"BLACK")</f>
        <v>BLACK</v>
      </c>
      <c r="G3497" s="20" t="str">
        <f>IFERROR(__xludf.DUMMYFUNCTION("""COMPUTED_VALUE"""),"Uncle Sams Cider (5/13/2022)")</f>
        <v>Uncle Sams Cider (5/13/2022)</v>
      </c>
      <c r="H3497" s="19"/>
    </row>
    <row r="3498">
      <c r="A3498" s="9"/>
      <c r="B3498" s="15"/>
      <c r="C3498" s="9">
        <f>IFERROR(__xludf.DUMMYFUNCTION("""COMPUTED_VALUE"""),44760.1672428356)</f>
        <v>44760.16724</v>
      </c>
      <c r="D3498" s="15">
        <f>IFERROR(__xludf.DUMMYFUNCTION("""COMPUTED_VALUE"""),1.004)</f>
        <v>1.004</v>
      </c>
      <c r="E3498" s="16">
        <f>IFERROR(__xludf.DUMMYFUNCTION("""COMPUTED_VALUE"""),69.0)</f>
        <v>69</v>
      </c>
      <c r="F3498" s="19" t="str">
        <f>IFERROR(__xludf.DUMMYFUNCTION("""COMPUTED_VALUE"""),"BLACK")</f>
        <v>BLACK</v>
      </c>
      <c r="G3498" s="20" t="str">
        <f>IFERROR(__xludf.DUMMYFUNCTION("""COMPUTED_VALUE"""),"Uncle Sams Cider (5/13/2022)")</f>
        <v>Uncle Sams Cider (5/13/2022)</v>
      </c>
      <c r="H3498" s="19"/>
    </row>
    <row r="3499">
      <c r="A3499" s="9"/>
      <c r="B3499" s="15"/>
      <c r="C3499" s="9">
        <f>IFERROR(__xludf.DUMMYFUNCTION("""COMPUTED_VALUE"""),44760.1463766203)</f>
        <v>44760.14638</v>
      </c>
      <c r="D3499" s="15">
        <f>IFERROR(__xludf.DUMMYFUNCTION("""COMPUTED_VALUE"""),1.005)</f>
        <v>1.005</v>
      </c>
      <c r="E3499" s="16">
        <f>IFERROR(__xludf.DUMMYFUNCTION("""COMPUTED_VALUE"""),69.0)</f>
        <v>69</v>
      </c>
      <c r="F3499" s="19" t="str">
        <f>IFERROR(__xludf.DUMMYFUNCTION("""COMPUTED_VALUE"""),"BLACK")</f>
        <v>BLACK</v>
      </c>
      <c r="G3499" s="20" t="str">
        <f>IFERROR(__xludf.DUMMYFUNCTION("""COMPUTED_VALUE"""),"Uncle Sams Cider (5/13/2022)")</f>
        <v>Uncle Sams Cider (5/13/2022)</v>
      </c>
      <c r="H3499" s="19"/>
    </row>
    <row r="3500">
      <c r="A3500" s="9"/>
      <c r="B3500" s="15"/>
      <c r="C3500" s="9">
        <f>IFERROR(__xludf.DUMMYFUNCTION("""COMPUTED_VALUE"""),44760.135954375)</f>
        <v>44760.13595</v>
      </c>
      <c r="D3500" s="15">
        <f>IFERROR(__xludf.DUMMYFUNCTION("""COMPUTED_VALUE"""),1.004)</f>
        <v>1.004</v>
      </c>
      <c r="E3500" s="16">
        <f>IFERROR(__xludf.DUMMYFUNCTION("""COMPUTED_VALUE"""),69.0)</f>
        <v>69</v>
      </c>
      <c r="F3500" s="19" t="str">
        <f>IFERROR(__xludf.DUMMYFUNCTION("""COMPUTED_VALUE"""),"BLACK")</f>
        <v>BLACK</v>
      </c>
      <c r="G3500" s="20" t="str">
        <f>IFERROR(__xludf.DUMMYFUNCTION("""COMPUTED_VALUE"""),"Uncle Sams Cider (5/13/2022)")</f>
        <v>Uncle Sams Cider (5/13/2022)</v>
      </c>
      <c r="H3500" s="19"/>
    </row>
    <row r="3501">
      <c r="A3501" s="9"/>
      <c r="B3501" s="15"/>
      <c r="C3501" s="9">
        <f>IFERROR(__xludf.DUMMYFUNCTION("""COMPUTED_VALUE"""),44760.1255322338)</f>
        <v>44760.12553</v>
      </c>
      <c r="D3501" s="15">
        <f>IFERROR(__xludf.DUMMYFUNCTION("""COMPUTED_VALUE"""),1.004)</f>
        <v>1.004</v>
      </c>
      <c r="E3501" s="16">
        <f>IFERROR(__xludf.DUMMYFUNCTION("""COMPUTED_VALUE"""),69.0)</f>
        <v>69</v>
      </c>
      <c r="F3501" s="19" t="str">
        <f>IFERROR(__xludf.DUMMYFUNCTION("""COMPUTED_VALUE"""),"BLACK")</f>
        <v>BLACK</v>
      </c>
      <c r="G3501" s="20" t="str">
        <f>IFERROR(__xludf.DUMMYFUNCTION("""COMPUTED_VALUE"""),"Uncle Sams Cider (5/13/2022)")</f>
        <v>Uncle Sams Cider (5/13/2022)</v>
      </c>
      <c r="H3501" s="19"/>
    </row>
    <row r="3502">
      <c r="A3502" s="9"/>
      <c r="B3502" s="15"/>
      <c r="C3502" s="9">
        <f>IFERROR(__xludf.DUMMYFUNCTION("""COMPUTED_VALUE"""),44760.1151120254)</f>
        <v>44760.11511</v>
      </c>
      <c r="D3502" s="15">
        <f>IFERROR(__xludf.DUMMYFUNCTION("""COMPUTED_VALUE"""),1.004)</f>
        <v>1.004</v>
      </c>
      <c r="E3502" s="16">
        <f>IFERROR(__xludf.DUMMYFUNCTION("""COMPUTED_VALUE"""),69.0)</f>
        <v>69</v>
      </c>
      <c r="F3502" s="19" t="str">
        <f>IFERROR(__xludf.DUMMYFUNCTION("""COMPUTED_VALUE"""),"BLACK")</f>
        <v>BLACK</v>
      </c>
      <c r="G3502" s="20" t="str">
        <f>IFERROR(__xludf.DUMMYFUNCTION("""COMPUTED_VALUE"""),"Uncle Sams Cider (5/13/2022)")</f>
        <v>Uncle Sams Cider (5/13/2022)</v>
      </c>
      <c r="H3502" s="19"/>
    </row>
    <row r="3503">
      <c r="A3503" s="9"/>
      <c r="B3503" s="15"/>
      <c r="C3503" s="9">
        <f>IFERROR(__xludf.DUMMYFUNCTION("""COMPUTED_VALUE"""),44760.1046910185)</f>
        <v>44760.10469</v>
      </c>
      <c r="D3503" s="15">
        <f>IFERROR(__xludf.DUMMYFUNCTION("""COMPUTED_VALUE"""),1.004)</f>
        <v>1.004</v>
      </c>
      <c r="E3503" s="16">
        <f>IFERROR(__xludf.DUMMYFUNCTION("""COMPUTED_VALUE"""),69.0)</f>
        <v>69</v>
      </c>
      <c r="F3503" s="19" t="str">
        <f>IFERROR(__xludf.DUMMYFUNCTION("""COMPUTED_VALUE"""),"BLACK")</f>
        <v>BLACK</v>
      </c>
      <c r="G3503" s="20" t="str">
        <f>IFERROR(__xludf.DUMMYFUNCTION("""COMPUTED_VALUE"""),"Uncle Sams Cider (5/13/2022)")</f>
        <v>Uncle Sams Cider (5/13/2022)</v>
      </c>
      <c r="H3503" s="19"/>
    </row>
    <row r="3504">
      <c r="A3504" s="9"/>
      <c r="B3504" s="15"/>
      <c r="C3504" s="9">
        <f>IFERROR(__xludf.DUMMYFUNCTION("""COMPUTED_VALUE"""),44760.0942688425)</f>
        <v>44760.09427</v>
      </c>
      <c r="D3504" s="15">
        <f>IFERROR(__xludf.DUMMYFUNCTION("""COMPUTED_VALUE"""),1.004)</f>
        <v>1.004</v>
      </c>
      <c r="E3504" s="16">
        <f>IFERROR(__xludf.DUMMYFUNCTION("""COMPUTED_VALUE"""),69.0)</f>
        <v>69</v>
      </c>
      <c r="F3504" s="19" t="str">
        <f>IFERROR(__xludf.DUMMYFUNCTION("""COMPUTED_VALUE"""),"BLACK")</f>
        <v>BLACK</v>
      </c>
      <c r="G3504" s="20" t="str">
        <f>IFERROR(__xludf.DUMMYFUNCTION("""COMPUTED_VALUE"""),"Uncle Sams Cider (5/13/2022)")</f>
        <v>Uncle Sams Cider (5/13/2022)</v>
      </c>
      <c r="H3504" s="19"/>
    </row>
    <row r="3505">
      <c r="A3505" s="9"/>
      <c r="B3505" s="15"/>
      <c r="C3505" s="9">
        <f>IFERROR(__xludf.DUMMYFUNCTION("""COMPUTED_VALUE"""),44760.0838488657)</f>
        <v>44760.08385</v>
      </c>
      <c r="D3505" s="15">
        <f>IFERROR(__xludf.DUMMYFUNCTION("""COMPUTED_VALUE"""),1.004)</f>
        <v>1.004</v>
      </c>
      <c r="E3505" s="16">
        <f>IFERROR(__xludf.DUMMYFUNCTION("""COMPUTED_VALUE"""),69.0)</f>
        <v>69</v>
      </c>
      <c r="F3505" s="19" t="str">
        <f>IFERROR(__xludf.DUMMYFUNCTION("""COMPUTED_VALUE"""),"BLACK")</f>
        <v>BLACK</v>
      </c>
      <c r="G3505" s="20" t="str">
        <f>IFERROR(__xludf.DUMMYFUNCTION("""COMPUTED_VALUE"""),"Uncle Sams Cider (5/13/2022)")</f>
        <v>Uncle Sams Cider (5/13/2022)</v>
      </c>
      <c r="H3505" s="19"/>
    </row>
    <row r="3506">
      <c r="A3506" s="9"/>
      <c r="B3506" s="15"/>
      <c r="C3506" s="9">
        <f>IFERROR(__xludf.DUMMYFUNCTION("""COMPUTED_VALUE"""),44760.073428831)</f>
        <v>44760.07343</v>
      </c>
      <c r="D3506" s="15">
        <f>IFERROR(__xludf.DUMMYFUNCTION("""COMPUTED_VALUE"""),1.004)</f>
        <v>1.004</v>
      </c>
      <c r="E3506" s="16">
        <f>IFERROR(__xludf.DUMMYFUNCTION("""COMPUTED_VALUE"""),69.0)</f>
        <v>69</v>
      </c>
      <c r="F3506" s="19" t="str">
        <f>IFERROR(__xludf.DUMMYFUNCTION("""COMPUTED_VALUE"""),"BLACK")</f>
        <v>BLACK</v>
      </c>
      <c r="G3506" s="20" t="str">
        <f>IFERROR(__xludf.DUMMYFUNCTION("""COMPUTED_VALUE"""),"Uncle Sams Cider (5/13/2022)")</f>
        <v>Uncle Sams Cider (5/13/2022)</v>
      </c>
      <c r="H3506" s="19"/>
    </row>
    <row r="3507">
      <c r="A3507" s="9"/>
      <c r="B3507" s="15"/>
      <c r="C3507" s="9">
        <f>IFERROR(__xludf.DUMMYFUNCTION("""COMPUTED_VALUE"""),44760.0630077662)</f>
        <v>44760.06301</v>
      </c>
      <c r="D3507" s="15">
        <f>IFERROR(__xludf.DUMMYFUNCTION("""COMPUTED_VALUE"""),1.004)</f>
        <v>1.004</v>
      </c>
      <c r="E3507" s="16">
        <f>IFERROR(__xludf.DUMMYFUNCTION("""COMPUTED_VALUE"""),69.0)</f>
        <v>69</v>
      </c>
      <c r="F3507" s="19" t="str">
        <f>IFERROR(__xludf.DUMMYFUNCTION("""COMPUTED_VALUE"""),"BLACK")</f>
        <v>BLACK</v>
      </c>
      <c r="G3507" s="20" t="str">
        <f>IFERROR(__xludf.DUMMYFUNCTION("""COMPUTED_VALUE"""),"Uncle Sams Cider (5/13/2022)")</f>
        <v>Uncle Sams Cider (5/13/2022)</v>
      </c>
      <c r="H3507" s="19"/>
    </row>
    <row r="3508">
      <c r="A3508" s="9"/>
      <c r="B3508" s="15"/>
      <c r="C3508" s="9">
        <f>IFERROR(__xludf.DUMMYFUNCTION("""COMPUTED_VALUE"""),44760.0525864699)</f>
        <v>44760.05259</v>
      </c>
      <c r="D3508" s="15">
        <f>IFERROR(__xludf.DUMMYFUNCTION("""COMPUTED_VALUE"""),1.004)</f>
        <v>1.004</v>
      </c>
      <c r="E3508" s="16">
        <f>IFERROR(__xludf.DUMMYFUNCTION("""COMPUTED_VALUE"""),69.0)</f>
        <v>69</v>
      </c>
      <c r="F3508" s="19" t="str">
        <f>IFERROR(__xludf.DUMMYFUNCTION("""COMPUTED_VALUE"""),"BLACK")</f>
        <v>BLACK</v>
      </c>
      <c r="G3508" s="20" t="str">
        <f>IFERROR(__xludf.DUMMYFUNCTION("""COMPUTED_VALUE"""),"Uncle Sams Cider (5/13/2022)")</f>
        <v>Uncle Sams Cider (5/13/2022)</v>
      </c>
      <c r="H3508" s="19"/>
    </row>
    <row r="3509">
      <c r="A3509" s="9"/>
      <c r="B3509" s="15"/>
      <c r="C3509" s="9">
        <f>IFERROR(__xludf.DUMMYFUNCTION("""COMPUTED_VALUE"""),44760.0421656481)</f>
        <v>44760.04217</v>
      </c>
      <c r="D3509" s="15">
        <f>IFERROR(__xludf.DUMMYFUNCTION("""COMPUTED_VALUE"""),1.004)</f>
        <v>1.004</v>
      </c>
      <c r="E3509" s="16">
        <f>IFERROR(__xludf.DUMMYFUNCTION("""COMPUTED_VALUE"""),69.0)</f>
        <v>69</v>
      </c>
      <c r="F3509" s="19" t="str">
        <f>IFERROR(__xludf.DUMMYFUNCTION("""COMPUTED_VALUE"""),"BLACK")</f>
        <v>BLACK</v>
      </c>
      <c r="G3509" s="20" t="str">
        <f>IFERROR(__xludf.DUMMYFUNCTION("""COMPUTED_VALUE"""),"Uncle Sams Cider (5/13/2022)")</f>
        <v>Uncle Sams Cider (5/13/2022)</v>
      </c>
      <c r="H3509" s="19"/>
    </row>
    <row r="3510">
      <c r="A3510" s="9"/>
      <c r="B3510" s="15"/>
      <c r="C3510" s="9">
        <f>IFERROR(__xludf.DUMMYFUNCTION("""COMPUTED_VALUE"""),44760.0317443518)</f>
        <v>44760.03174</v>
      </c>
      <c r="D3510" s="15">
        <f>IFERROR(__xludf.DUMMYFUNCTION("""COMPUTED_VALUE"""),1.004)</f>
        <v>1.004</v>
      </c>
      <c r="E3510" s="16">
        <f>IFERROR(__xludf.DUMMYFUNCTION("""COMPUTED_VALUE"""),69.0)</f>
        <v>69</v>
      </c>
      <c r="F3510" s="19" t="str">
        <f>IFERROR(__xludf.DUMMYFUNCTION("""COMPUTED_VALUE"""),"BLACK")</f>
        <v>BLACK</v>
      </c>
      <c r="G3510" s="20" t="str">
        <f>IFERROR(__xludf.DUMMYFUNCTION("""COMPUTED_VALUE"""),"Uncle Sams Cider (5/13/2022)")</f>
        <v>Uncle Sams Cider (5/13/2022)</v>
      </c>
      <c r="H3510" s="19"/>
    </row>
    <row r="3511">
      <c r="A3511" s="9"/>
      <c r="B3511" s="15"/>
      <c r="C3511" s="9">
        <f>IFERROR(__xludf.DUMMYFUNCTION("""COMPUTED_VALUE"""),44760.0213228009)</f>
        <v>44760.02132</v>
      </c>
      <c r="D3511" s="15">
        <f>IFERROR(__xludf.DUMMYFUNCTION("""COMPUTED_VALUE"""),1.004)</f>
        <v>1.004</v>
      </c>
      <c r="E3511" s="16">
        <f>IFERROR(__xludf.DUMMYFUNCTION("""COMPUTED_VALUE"""),68.0)</f>
        <v>68</v>
      </c>
      <c r="F3511" s="19" t="str">
        <f>IFERROR(__xludf.DUMMYFUNCTION("""COMPUTED_VALUE"""),"BLACK")</f>
        <v>BLACK</v>
      </c>
      <c r="G3511" s="20" t="str">
        <f>IFERROR(__xludf.DUMMYFUNCTION("""COMPUTED_VALUE"""),"Uncle Sams Cider (5/13/2022)")</f>
        <v>Uncle Sams Cider (5/13/2022)</v>
      </c>
      <c r="H3511" s="19"/>
    </row>
    <row r="3512">
      <c r="A3512" s="9"/>
      <c r="B3512" s="15"/>
      <c r="C3512" s="9">
        <f>IFERROR(__xludf.DUMMYFUNCTION("""COMPUTED_VALUE"""),44760.0109019907)</f>
        <v>44760.0109</v>
      </c>
      <c r="D3512" s="15">
        <f>IFERROR(__xludf.DUMMYFUNCTION("""COMPUTED_VALUE"""),1.004)</f>
        <v>1.004</v>
      </c>
      <c r="E3512" s="16">
        <f>IFERROR(__xludf.DUMMYFUNCTION("""COMPUTED_VALUE"""),69.0)</f>
        <v>69</v>
      </c>
      <c r="F3512" s="19" t="str">
        <f>IFERROR(__xludf.DUMMYFUNCTION("""COMPUTED_VALUE"""),"BLACK")</f>
        <v>BLACK</v>
      </c>
      <c r="G3512" s="20" t="str">
        <f>IFERROR(__xludf.DUMMYFUNCTION("""COMPUTED_VALUE"""),"Uncle Sams Cider (5/13/2022)")</f>
        <v>Uncle Sams Cider (5/13/2022)</v>
      </c>
      <c r="H3512" s="19"/>
    </row>
    <row r="3513">
      <c r="A3513" s="9"/>
      <c r="B3513" s="15"/>
      <c r="C3513" s="9">
        <f>IFERROR(__xludf.DUMMYFUNCTION("""COMPUTED_VALUE"""),44760.0004802546)</f>
        <v>44760.00048</v>
      </c>
      <c r="D3513" s="15">
        <f>IFERROR(__xludf.DUMMYFUNCTION("""COMPUTED_VALUE"""),1.004)</f>
        <v>1.004</v>
      </c>
      <c r="E3513" s="16">
        <f>IFERROR(__xludf.DUMMYFUNCTION("""COMPUTED_VALUE"""),69.0)</f>
        <v>69</v>
      </c>
      <c r="F3513" s="19" t="str">
        <f>IFERROR(__xludf.DUMMYFUNCTION("""COMPUTED_VALUE"""),"BLACK")</f>
        <v>BLACK</v>
      </c>
      <c r="G3513" s="20" t="str">
        <f>IFERROR(__xludf.DUMMYFUNCTION("""COMPUTED_VALUE"""),"Uncle Sams Cider (5/13/2022)")</f>
        <v>Uncle Sams Cider (5/13/2022)</v>
      </c>
      <c r="H3513" s="19"/>
    </row>
    <row r="3514">
      <c r="A3514" s="9"/>
      <c r="B3514" s="15"/>
      <c r="C3514" s="9">
        <f>IFERROR(__xludf.DUMMYFUNCTION("""COMPUTED_VALUE"""),44759.9900597338)</f>
        <v>44759.99006</v>
      </c>
      <c r="D3514" s="15">
        <f>IFERROR(__xludf.DUMMYFUNCTION("""COMPUTED_VALUE"""),1.004)</f>
        <v>1.004</v>
      </c>
      <c r="E3514" s="16">
        <f>IFERROR(__xludf.DUMMYFUNCTION("""COMPUTED_VALUE"""),69.0)</f>
        <v>69</v>
      </c>
      <c r="F3514" s="19" t="str">
        <f>IFERROR(__xludf.DUMMYFUNCTION("""COMPUTED_VALUE"""),"BLACK")</f>
        <v>BLACK</v>
      </c>
      <c r="G3514" s="20" t="str">
        <f>IFERROR(__xludf.DUMMYFUNCTION("""COMPUTED_VALUE"""),"Uncle Sams Cider (5/13/2022)")</f>
        <v>Uncle Sams Cider (5/13/2022)</v>
      </c>
      <c r="H3514" s="19"/>
    </row>
    <row r="3515">
      <c r="A3515" s="9"/>
      <c r="B3515" s="15"/>
      <c r="C3515" s="9">
        <f>IFERROR(__xludf.DUMMYFUNCTION("""COMPUTED_VALUE"""),44759.9796267939)</f>
        <v>44759.97963</v>
      </c>
      <c r="D3515" s="15">
        <f>IFERROR(__xludf.DUMMYFUNCTION("""COMPUTED_VALUE"""),1.004)</f>
        <v>1.004</v>
      </c>
      <c r="E3515" s="16">
        <f>IFERROR(__xludf.DUMMYFUNCTION("""COMPUTED_VALUE"""),69.0)</f>
        <v>69</v>
      </c>
      <c r="F3515" s="19" t="str">
        <f>IFERROR(__xludf.DUMMYFUNCTION("""COMPUTED_VALUE"""),"BLACK")</f>
        <v>BLACK</v>
      </c>
      <c r="G3515" s="20" t="str">
        <f>IFERROR(__xludf.DUMMYFUNCTION("""COMPUTED_VALUE"""),"Uncle Sams Cider (5/13/2022)")</f>
        <v>Uncle Sams Cider (5/13/2022)</v>
      </c>
      <c r="H3515" s="19"/>
    </row>
    <row r="3516">
      <c r="A3516" s="9"/>
      <c r="B3516" s="15"/>
      <c r="C3516" s="9">
        <f>IFERROR(__xludf.DUMMYFUNCTION("""COMPUTED_VALUE"""),44759.9692058796)</f>
        <v>44759.96921</v>
      </c>
      <c r="D3516" s="15">
        <f>IFERROR(__xludf.DUMMYFUNCTION("""COMPUTED_VALUE"""),1.004)</f>
        <v>1.004</v>
      </c>
      <c r="E3516" s="16">
        <f>IFERROR(__xludf.DUMMYFUNCTION("""COMPUTED_VALUE"""),68.0)</f>
        <v>68</v>
      </c>
      <c r="F3516" s="19" t="str">
        <f>IFERROR(__xludf.DUMMYFUNCTION("""COMPUTED_VALUE"""),"BLACK")</f>
        <v>BLACK</v>
      </c>
      <c r="G3516" s="20" t="str">
        <f>IFERROR(__xludf.DUMMYFUNCTION("""COMPUTED_VALUE"""),"Uncle Sams Cider (5/13/2022)")</f>
        <v>Uncle Sams Cider (5/13/2022)</v>
      </c>
      <c r="H3516" s="19"/>
    </row>
    <row r="3517">
      <c r="A3517" s="9"/>
      <c r="B3517" s="15"/>
      <c r="C3517" s="9">
        <f>IFERROR(__xludf.DUMMYFUNCTION("""COMPUTED_VALUE"""),44759.9587730324)</f>
        <v>44759.95877</v>
      </c>
      <c r="D3517" s="15">
        <f>IFERROR(__xludf.DUMMYFUNCTION("""COMPUTED_VALUE"""),1.004)</f>
        <v>1.004</v>
      </c>
      <c r="E3517" s="16">
        <f>IFERROR(__xludf.DUMMYFUNCTION("""COMPUTED_VALUE"""),68.0)</f>
        <v>68</v>
      </c>
      <c r="F3517" s="19" t="str">
        <f>IFERROR(__xludf.DUMMYFUNCTION("""COMPUTED_VALUE"""),"BLACK")</f>
        <v>BLACK</v>
      </c>
      <c r="G3517" s="20" t="str">
        <f>IFERROR(__xludf.DUMMYFUNCTION("""COMPUTED_VALUE"""),"Uncle Sams Cider (5/13/2022)")</f>
        <v>Uncle Sams Cider (5/13/2022)</v>
      </c>
      <c r="H3517" s="19"/>
    </row>
    <row r="3518">
      <c r="A3518" s="9"/>
      <c r="B3518" s="15"/>
      <c r="C3518" s="9">
        <f>IFERROR(__xludf.DUMMYFUNCTION("""COMPUTED_VALUE"""),44759.9483179629)</f>
        <v>44759.94832</v>
      </c>
      <c r="D3518" s="15">
        <f>IFERROR(__xludf.DUMMYFUNCTION("""COMPUTED_VALUE"""),1.004)</f>
        <v>1.004</v>
      </c>
      <c r="E3518" s="16">
        <f>IFERROR(__xludf.DUMMYFUNCTION("""COMPUTED_VALUE"""),68.0)</f>
        <v>68</v>
      </c>
      <c r="F3518" s="19" t="str">
        <f>IFERROR(__xludf.DUMMYFUNCTION("""COMPUTED_VALUE"""),"BLACK")</f>
        <v>BLACK</v>
      </c>
      <c r="G3518" s="20" t="str">
        <f>IFERROR(__xludf.DUMMYFUNCTION("""COMPUTED_VALUE"""),"Uncle Sams Cider (5/13/2022)")</f>
        <v>Uncle Sams Cider (5/13/2022)</v>
      </c>
      <c r="H3518" s="19"/>
    </row>
    <row r="3519">
      <c r="A3519" s="9"/>
      <c r="B3519" s="15"/>
      <c r="C3519" s="9">
        <f>IFERROR(__xludf.DUMMYFUNCTION("""COMPUTED_VALUE"""),44759.9378964467)</f>
        <v>44759.9379</v>
      </c>
      <c r="D3519" s="15">
        <f>IFERROR(__xludf.DUMMYFUNCTION("""COMPUTED_VALUE"""),1.004)</f>
        <v>1.004</v>
      </c>
      <c r="E3519" s="16">
        <f>IFERROR(__xludf.DUMMYFUNCTION("""COMPUTED_VALUE"""),68.0)</f>
        <v>68</v>
      </c>
      <c r="F3519" s="19" t="str">
        <f>IFERROR(__xludf.DUMMYFUNCTION("""COMPUTED_VALUE"""),"BLACK")</f>
        <v>BLACK</v>
      </c>
      <c r="G3519" s="20" t="str">
        <f>IFERROR(__xludf.DUMMYFUNCTION("""COMPUTED_VALUE"""),"Uncle Sams Cider (5/13/2022)")</f>
        <v>Uncle Sams Cider (5/13/2022)</v>
      </c>
      <c r="H3519" s="19"/>
    </row>
    <row r="3520">
      <c r="A3520" s="9"/>
      <c r="B3520" s="15"/>
      <c r="C3520" s="9">
        <f>IFERROR(__xludf.DUMMYFUNCTION("""COMPUTED_VALUE"""),44759.9274760185)</f>
        <v>44759.92748</v>
      </c>
      <c r="D3520" s="15">
        <f>IFERROR(__xludf.DUMMYFUNCTION("""COMPUTED_VALUE"""),1.004)</f>
        <v>1.004</v>
      </c>
      <c r="E3520" s="16">
        <f>IFERROR(__xludf.DUMMYFUNCTION("""COMPUTED_VALUE"""),68.0)</f>
        <v>68</v>
      </c>
      <c r="F3520" s="19" t="str">
        <f>IFERROR(__xludf.DUMMYFUNCTION("""COMPUTED_VALUE"""),"BLACK")</f>
        <v>BLACK</v>
      </c>
      <c r="G3520" s="20" t="str">
        <f>IFERROR(__xludf.DUMMYFUNCTION("""COMPUTED_VALUE"""),"Uncle Sams Cider (5/13/2022)")</f>
        <v>Uncle Sams Cider (5/13/2022)</v>
      </c>
      <c r="H3520" s="19"/>
    </row>
    <row r="3521">
      <c r="A3521" s="9"/>
      <c r="B3521" s="15"/>
      <c r="C3521" s="9">
        <f>IFERROR(__xludf.DUMMYFUNCTION("""COMPUTED_VALUE"""),44759.9170528703)</f>
        <v>44759.91705</v>
      </c>
      <c r="D3521" s="15">
        <f>IFERROR(__xludf.DUMMYFUNCTION("""COMPUTED_VALUE"""),1.004)</f>
        <v>1.004</v>
      </c>
      <c r="E3521" s="16">
        <f>IFERROR(__xludf.DUMMYFUNCTION("""COMPUTED_VALUE"""),68.0)</f>
        <v>68</v>
      </c>
      <c r="F3521" s="19" t="str">
        <f>IFERROR(__xludf.DUMMYFUNCTION("""COMPUTED_VALUE"""),"BLACK")</f>
        <v>BLACK</v>
      </c>
      <c r="G3521" s="20" t="str">
        <f>IFERROR(__xludf.DUMMYFUNCTION("""COMPUTED_VALUE"""),"Uncle Sams Cider (5/13/2022)")</f>
        <v>Uncle Sams Cider (5/13/2022)</v>
      </c>
      <c r="H3521" s="19"/>
    </row>
    <row r="3522">
      <c r="A3522" s="9"/>
      <c r="B3522" s="15"/>
      <c r="C3522" s="9">
        <f>IFERROR(__xludf.DUMMYFUNCTION("""COMPUTED_VALUE"""),44759.9066315046)</f>
        <v>44759.90663</v>
      </c>
      <c r="D3522" s="15">
        <f>IFERROR(__xludf.DUMMYFUNCTION("""COMPUTED_VALUE"""),1.004)</f>
        <v>1.004</v>
      </c>
      <c r="E3522" s="16">
        <f>IFERROR(__xludf.DUMMYFUNCTION("""COMPUTED_VALUE"""),68.0)</f>
        <v>68</v>
      </c>
      <c r="F3522" s="19" t="str">
        <f>IFERROR(__xludf.DUMMYFUNCTION("""COMPUTED_VALUE"""),"BLACK")</f>
        <v>BLACK</v>
      </c>
      <c r="G3522" s="20" t="str">
        <f>IFERROR(__xludf.DUMMYFUNCTION("""COMPUTED_VALUE"""),"Uncle Sams Cider (5/13/2022)")</f>
        <v>Uncle Sams Cider (5/13/2022)</v>
      </c>
      <c r="H3522" s="19"/>
    </row>
    <row r="3523">
      <c r="A3523" s="9"/>
      <c r="B3523" s="15"/>
      <c r="C3523" s="9">
        <f>IFERROR(__xludf.DUMMYFUNCTION("""COMPUTED_VALUE"""),44759.8962095833)</f>
        <v>44759.89621</v>
      </c>
      <c r="D3523" s="15">
        <f>IFERROR(__xludf.DUMMYFUNCTION("""COMPUTED_VALUE"""),1.004)</f>
        <v>1.004</v>
      </c>
      <c r="E3523" s="16">
        <f>IFERROR(__xludf.DUMMYFUNCTION("""COMPUTED_VALUE"""),68.0)</f>
        <v>68</v>
      </c>
      <c r="F3523" s="19" t="str">
        <f>IFERROR(__xludf.DUMMYFUNCTION("""COMPUTED_VALUE"""),"BLACK")</f>
        <v>BLACK</v>
      </c>
      <c r="G3523" s="20" t="str">
        <f>IFERROR(__xludf.DUMMYFUNCTION("""COMPUTED_VALUE"""),"Uncle Sams Cider (5/13/2022)")</f>
        <v>Uncle Sams Cider (5/13/2022)</v>
      </c>
      <c r="H3523" s="19"/>
    </row>
    <row r="3524">
      <c r="A3524" s="9"/>
      <c r="B3524" s="15"/>
      <c r="C3524" s="9">
        <f>IFERROR(__xludf.DUMMYFUNCTION("""COMPUTED_VALUE"""),44759.8857878009)</f>
        <v>44759.88579</v>
      </c>
      <c r="D3524" s="15">
        <f>IFERROR(__xludf.DUMMYFUNCTION("""COMPUTED_VALUE"""),1.004)</f>
        <v>1.004</v>
      </c>
      <c r="E3524" s="16">
        <f>IFERROR(__xludf.DUMMYFUNCTION("""COMPUTED_VALUE"""),68.0)</f>
        <v>68</v>
      </c>
      <c r="F3524" s="19" t="str">
        <f>IFERROR(__xludf.DUMMYFUNCTION("""COMPUTED_VALUE"""),"BLACK")</f>
        <v>BLACK</v>
      </c>
      <c r="G3524" s="20" t="str">
        <f>IFERROR(__xludf.DUMMYFUNCTION("""COMPUTED_VALUE"""),"Uncle Sams Cider (5/13/2022)")</f>
        <v>Uncle Sams Cider (5/13/2022)</v>
      </c>
      <c r="H3524" s="19"/>
    </row>
    <row r="3525">
      <c r="A3525" s="9"/>
      <c r="B3525" s="15"/>
      <c r="C3525" s="9">
        <f>IFERROR(__xludf.DUMMYFUNCTION("""COMPUTED_VALUE"""),44759.8753542592)</f>
        <v>44759.87535</v>
      </c>
      <c r="D3525" s="15">
        <f>IFERROR(__xludf.DUMMYFUNCTION("""COMPUTED_VALUE"""),1.004)</f>
        <v>1.004</v>
      </c>
      <c r="E3525" s="16">
        <f>IFERROR(__xludf.DUMMYFUNCTION("""COMPUTED_VALUE"""),68.0)</f>
        <v>68</v>
      </c>
      <c r="F3525" s="19" t="str">
        <f>IFERROR(__xludf.DUMMYFUNCTION("""COMPUTED_VALUE"""),"BLACK")</f>
        <v>BLACK</v>
      </c>
      <c r="G3525" s="20" t="str">
        <f>IFERROR(__xludf.DUMMYFUNCTION("""COMPUTED_VALUE"""),"Uncle Sams Cider (5/13/2022)")</f>
        <v>Uncle Sams Cider (5/13/2022)</v>
      </c>
      <c r="H3525" s="19"/>
    </row>
    <row r="3526">
      <c r="A3526" s="9"/>
      <c r="B3526" s="15"/>
      <c r="C3526" s="9">
        <f>IFERROR(__xludf.DUMMYFUNCTION("""COMPUTED_VALUE"""),44759.8649348611)</f>
        <v>44759.86493</v>
      </c>
      <c r="D3526" s="15">
        <f>IFERROR(__xludf.DUMMYFUNCTION("""COMPUTED_VALUE"""),1.004)</f>
        <v>1.004</v>
      </c>
      <c r="E3526" s="16">
        <f>IFERROR(__xludf.DUMMYFUNCTION("""COMPUTED_VALUE"""),68.0)</f>
        <v>68</v>
      </c>
      <c r="F3526" s="19" t="str">
        <f>IFERROR(__xludf.DUMMYFUNCTION("""COMPUTED_VALUE"""),"BLACK")</f>
        <v>BLACK</v>
      </c>
      <c r="G3526" s="20" t="str">
        <f>IFERROR(__xludf.DUMMYFUNCTION("""COMPUTED_VALUE"""),"Uncle Sams Cider (5/13/2022)")</f>
        <v>Uncle Sams Cider (5/13/2022)</v>
      </c>
      <c r="H3526" s="19"/>
    </row>
    <row r="3527">
      <c r="A3527" s="9"/>
      <c r="B3527" s="15"/>
      <c r="C3527" s="9">
        <f>IFERROR(__xludf.DUMMYFUNCTION("""COMPUTED_VALUE"""),44759.8545141666)</f>
        <v>44759.85451</v>
      </c>
      <c r="D3527" s="15">
        <f>IFERROR(__xludf.DUMMYFUNCTION("""COMPUTED_VALUE"""),1.004)</f>
        <v>1.004</v>
      </c>
      <c r="E3527" s="16">
        <f>IFERROR(__xludf.DUMMYFUNCTION("""COMPUTED_VALUE"""),68.0)</f>
        <v>68</v>
      </c>
      <c r="F3527" s="19" t="str">
        <f>IFERROR(__xludf.DUMMYFUNCTION("""COMPUTED_VALUE"""),"BLACK")</f>
        <v>BLACK</v>
      </c>
      <c r="G3527" s="20" t="str">
        <f>IFERROR(__xludf.DUMMYFUNCTION("""COMPUTED_VALUE"""),"Uncle Sams Cider (5/13/2022)")</f>
        <v>Uncle Sams Cider (5/13/2022)</v>
      </c>
      <c r="H3527" s="19"/>
    </row>
    <row r="3528">
      <c r="A3528" s="9"/>
      <c r="B3528" s="15"/>
      <c r="C3528" s="9">
        <f>IFERROR(__xludf.DUMMYFUNCTION("""COMPUTED_VALUE"""),44759.8440935879)</f>
        <v>44759.84409</v>
      </c>
      <c r="D3528" s="15">
        <f>IFERROR(__xludf.DUMMYFUNCTION("""COMPUTED_VALUE"""),1.004)</f>
        <v>1.004</v>
      </c>
      <c r="E3528" s="16">
        <f>IFERROR(__xludf.DUMMYFUNCTION("""COMPUTED_VALUE"""),68.0)</f>
        <v>68</v>
      </c>
      <c r="F3528" s="19" t="str">
        <f>IFERROR(__xludf.DUMMYFUNCTION("""COMPUTED_VALUE"""),"BLACK")</f>
        <v>BLACK</v>
      </c>
      <c r="G3528" s="20" t="str">
        <f>IFERROR(__xludf.DUMMYFUNCTION("""COMPUTED_VALUE"""),"Uncle Sams Cider (5/13/2022)")</f>
        <v>Uncle Sams Cider (5/13/2022)</v>
      </c>
      <c r="H3528" s="19"/>
    </row>
    <row r="3529">
      <c r="A3529" s="9"/>
      <c r="B3529" s="15"/>
      <c r="C3529" s="9">
        <f>IFERROR(__xludf.DUMMYFUNCTION("""COMPUTED_VALUE"""),44759.8336715162)</f>
        <v>44759.83367</v>
      </c>
      <c r="D3529" s="15">
        <f>IFERROR(__xludf.DUMMYFUNCTION("""COMPUTED_VALUE"""),1.004)</f>
        <v>1.004</v>
      </c>
      <c r="E3529" s="16">
        <f>IFERROR(__xludf.DUMMYFUNCTION("""COMPUTED_VALUE"""),68.0)</f>
        <v>68</v>
      </c>
      <c r="F3529" s="19" t="str">
        <f>IFERROR(__xludf.DUMMYFUNCTION("""COMPUTED_VALUE"""),"BLACK")</f>
        <v>BLACK</v>
      </c>
      <c r="G3529" s="20" t="str">
        <f>IFERROR(__xludf.DUMMYFUNCTION("""COMPUTED_VALUE"""),"Uncle Sams Cider (5/13/2022)")</f>
        <v>Uncle Sams Cider (5/13/2022)</v>
      </c>
      <c r="H3529" s="19"/>
    </row>
    <row r="3530">
      <c r="A3530" s="9"/>
      <c r="B3530" s="15"/>
      <c r="C3530" s="9">
        <f>IFERROR(__xludf.DUMMYFUNCTION("""COMPUTED_VALUE"""),44759.8232510879)</f>
        <v>44759.82325</v>
      </c>
      <c r="D3530" s="15">
        <f>IFERROR(__xludf.DUMMYFUNCTION("""COMPUTED_VALUE"""),1.004)</f>
        <v>1.004</v>
      </c>
      <c r="E3530" s="16">
        <f>IFERROR(__xludf.DUMMYFUNCTION("""COMPUTED_VALUE"""),68.0)</f>
        <v>68</v>
      </c>
      <c r="F3530" s="19" t="str">
        <f>IFERROR(__xludf.DUMMYFUNCTION("""COMPUTED_VALUE"""),"BLACK")</f>
        <v>BLACK</v>
      </c>
      <c r="G3530" s="20" t="str">
        <f>IFERROR(__xludf.DUMMYFUNCTION("""COMPUTED_VALUE"""),"Uncle Sams Cider (5/13/2022)")</f>
        <v>Uncle Sams Cider (5/13/2022)</v>
      </c>
      <c r="H3530" s="19"/>
    </row>
    <row r="3531">
      <c r="A3531" s="9"/>
      <c r="B3531" s="15"/>
      <c r="C3531" s="9">
        <f>IFERROR(__xludf.DUMMYFUNCTION("""COMPUTED_VALUE"""),44759.8128292824)</f>
        <v>44759.81283</v>
      </c>
      <c r="D3531" s="15">
        <f>IFERROR(__xludf.DUMMYFUNCTION("""COMPUTED_VALUE"""),1.004)</f>
        <v>1.004</v>
      </c>
      <c r="E3531" s="16">
        <f>IFERROR(__xludf.DUMMYFUNCTION("""COMPUTED_VALUE"""),68.0)</f>
        <v>68</v>
      </c>
      <c r="F3531" s="19" t="str">
        <f>IFERROR(__xludf.DUMMYFUNCTION("""COMPUTED_VALUE"""),"BLACK")</f>
        <v>BLACK</v>
      </c>
      <c r="G3531" s="20" t="str">
        <f>IFERROR(__xludf.DUMMYFUNCTION("""COMPUTED_VALUE"""),"Uncle Sams Cider (5/13/2022)")</f>
        <v>Uncle Sams Cider (5/13/2022)</v>
      </c>
      <c r="H3531" s="19"/>
    </row>
    <row r="3532">
      <c r="A3532" s="9"/>
      <c r="B3532" s="15"/>
      <c r="C3532" s="9">
        <f>IFERROR(__xludf.DUMMYFUNCTION("""COMPUTED_VALUE"""),44759.8023838541)</f>
        <v>44759.80238</v>
      </c>
      <c r="D3532" s="15">
        <f>IFERROR(__xludf.DUMMYFUNCTION("""COMPUTED_VALUE"""),1.004)</f>
        <v>1.004</v>
      </c>
      <c r="E3532" s="16">
        <f>IFERROR(__xludf.DUMMYFUNCTION("""COMPUTED_VALUE"""),68.0)</f>
        <v>68</v>
      </c>
      <c r="F3532" s="19" t="str">
        <f>IFERROR(__xludf.DUMMYFUNCTION("""COMPUTED_VALUE"""),"BLACK")</f>
        <v>BLACK</v>
      </c>
      <c r="G3532" s="20" t="str">
        <f>IFERROR(__xludf.DUMMYFUNCTION("""COMPUTED_VALUE"""),"Uncle Sams Cider (5/13/2022)")</f>
        <v>Uncle Sams Cider (5/13/2022)</v>
      </c>
      <c r="H3532" s="19"/>
    </row>
    <row r="3533">
      <c r="A3533" s="9"/>
      <c r="B3533" s="15"/>
      <c r="C3533" s="9">
        <f>IFERROR(__xludf.DUMMYFUNCTION("""COMPUTED_VALUE"""),44759.7919633101)</f>
        <v>44759.79196</v>
      </c>
      <c r="D3533" s="15">
        <f>IFERROR(__xludf.DUMMYFUNCTION("""COMPUTED_VALUE"""),1.004)</f>
        <v>1.004</v>
      </c>
      <c r="E3533" s="16">
        <f>IFERROR(__xludf.DUMMYFUNCTION("""COMPUTED_VALUE"""),68.0)</f>
        <v>68</v>
      </c>
      <c r="F3533" s="19" t="str">
        <f>IFERROR(__xludf.DUMMYFUNCTION("""COMPUTED_VALUE"""),"BLACK")</f>
        <v>BLACK</v>
      </c>
      <c r="G3533" s="20" t="str">
        <f>IFERROR(__xludf.DUMMYFUNCTION("""COMPUTED_VALUE"""),"Uncle Sams Cider (5/13/2022)")</f>
        <v>Uncle Sams Cider (5/13/2022)</v>
      </c>
      <c r="H3533" s="19"/>
    </row>
    <row r="3534">
      <c r="A3534" s="9"/>
      <c r="B3534" s="15"/>
      <c r="C3534" s="9">
        <f>IFERROR(__xludf.DUMMYFUNCTION("""COMPUTED_VALUE"""),44759.7815434606)</f>
        <v>44759.78154</v>
      </c>
      <c r="D3534" s="15">
        <f>IFERROR(__xludf.DUMMYFUNCTION("""COMPUTED_VALUE"""),1.004)</f>
        <v>1.004</v>
      </c>
      <c r="E3534" s="16">
        <f>IFERROR(__xludf.DUMMYFUNCTION("""COMPUTED_VALUE"""),68.0)</f>
        <v>68</v>
      </c>
      <c r="F3534" s="19" t="str">
        <f>IFERROR(__xludf.DUMMYFUNCTION("""COMPUTED_VALUE"""),"BLACK")</f>
        <v>BLACK</v>
      </c>
      <c r="G3534" s="20" t="str">
        <f>IFERROR(__xludf.DUMMYFUNCTION("""COMPUTED_VALUE"""),"Uncle Sams Cider (5/13/2022)")</f>
        <v>Uncle Sams Cider (5/13/2022)</v>
      </c>
      <c r="H3534" s="19"/>
    </row>
    <row r="3535">
      <c r="A3535" s="9"/>
      <c r="B3535" s="15"/>
      <c r="C3535" s="9">
        <f>IFERROR(__xludf.DUMMYFUNCTION("""COMPUTED_VALUE"""),44759.7711219791)</f>
        <v>44759.77112</v>
      </c>
      <c r="D3535" s="15">
        <f>IFERROR(__xludf.DUMMYFUNCTION("""COMPUTED_VALUE"""),1.004)</f>
        <v>1.004</v>
      </c>
      <c r="E3535" s="16">
        <f>IFERROR(__xludf.DUMMYFUNCTION("""COMPUTED_VALUE"""),68.0)</f>
        <v>68</v>
      </c>
      <c r="F3535" s="19" t="str">
        <f>IFERROR(__xludf.DUMMYFUNCTION("""COMPUTED_VALUE"""),"BLACK")</f>
        <v>BLACK</v>
      </c>
      <c r="G3535" s="20" t="str">
        <f>IFERROR(__xludf.DUMMYFUNCTION("""COMPUTED_VALUE"""),"Uncle Sams Cider (5/13/2022)")</f>
        <v>Uncle Sams Cider (5/13/2022)</v>
      </c>
      <c r="H3535" s="19"/>
    </row>
    <row r="3536">
      <c r="A3536" s="9"/>
      <c r="B3536" s="15"/>
      <c r="C3536" s="9">
        <f>IFERROR(__xludf.DUMMYFUNCTION("""COMPUTED_VALUE"""),44759.7607001967)</f>
        <v>44759.7607</v>
      </c>
      <c r="D3536" s="15">
        <f>IFERROR(__xludf.DUMMYFUNCTION("""COMPUTED_VALUE"""),1.004)</f>
        <v>1.004</v>
      </c>
      <c r="E3536" s="16">
        <f>IFERROR(__xludf.DUMMYFUNCTION("""COMPUTED_VALUE"""),68.0)</f>
        <v>68</v>
      </c>
      <c r="F3536" s="19" t="str">
        <f>IFERROR(__xludf.DUMMYFUNCTION("""COMPUTED_VALUE"""),"BLACK")</f>
        <v>BLACK</v>
      </c>
      <c r="G3536" s="20" t="str">
        <f>IFERROR(__xludf.DUMMYFUNCTION("""COMPUTED_VALUE"""),"Uncle Sams Cider (5/13/2022)")</f>
        <v>Uncle Sams Cider (5/13/2022)</v>
      </c>
      <c r="H3536" s="19"/>
    </row>
    <row r="3537">
      <c r="A3537" s="9"/>
      <c r="B3537" s="15"/>
      <c r="C3537" s="9">
        <f>IFERROR(__xludf.DUMMYFUNCTION("""COMPUTED_VALUE"""),44759.7502801157)</f>
        <v>44759.75028</v>
      </c>
      <c r="D3537" s="15">
        <f>IFERROR(__xludf.DUMMYFUNCTION("""COMPUTED_VALUE"""),1.004)</f>
        <v>1.004</v>
      </c>
      <c r="E3537" s="16">
        <f>IFERROR(__xludf.DUMMYFUNCTION("""COMPUTED_VALUE"""),68.0)</f>
        <v>68</v>
      </c>
      <c r="F3537" s="19" t="str">
        <f>IFERROR(__xludf.DUMMYFUNCTION("""COMPUTED_VALUE"""),"BLACK")</f>
        <v>BLACK</v>
      </c>
      <c r="G3537" s="20" t="str">
        <f>IFERROR(__xludf.DUMMYFUNCTION("""COMPUTED_VALUE"""),"Uncle Sams Cider (5/13/2022)")</f>
        <v>Uncle Sams Cider (5/13/2022)</v>
      </c>
      <c r="H3537" s="19"/>
    </row>
    <row r="3538">
      <c r="A3538" s="9"/>
      <c r="B3538" s="15"/>
      <c r="C3538" s="9">
        <f>IFERROR(__xludf.DUMMYFUNCTION("""COMPUTED_VALUE"""),44759.7398599305)</f>
        <v>44759.73986</v>
      </c>
      <c r="D3538" s="15">
        <f>IFERROR(__xludf.DUMMYFUNCTION("""COMPUTED_VALUE"""),1.004)</f>
        <v>1.004</v>
      </c>
      <c r="E3538" s="16">
        <f>IFERROR(__xludf.DUMMYFUNCTION("""COMPUTED_VALUE"""),68.0)</f>
        <v>68</v>
      </c>
      <c r="F3538" s="19" t="str">
        <f>IFERROR(__xludf.DUMMYFUNCTION("""COMPUTED_VALUE"""),"BLACK")</f>
        <v>BLACK</v>
      </c>
      <c r="G3538" s="20" t="str">
        <f>IFERROR(__xludf.DUMMYFUNCTION("""COMPUTED_VALUE"""),"Uncle Sams Cider (5/13/2022)")</f>
        <v>Uncle Sams Cider (5/13/2022)</v>
      </c>
      <c r="H3538" s="19"/>
    </row>
    <row r="3539">
      <c r="A3539" s="9"/>
      <c r="B3539" s="15"/>
      <c r="C3539" s="9">
        <f>IFERROR(__xludf.DUMMYFUNCTION("""COMPUTED_VALUE"""),44759.7294391666)</f>
        <v>44759.72944</v>
      </c>
      <c r="D3539" s="15">
        <f>IFERROR(__xludf.DUMMYFUNCTION("""COMPUTED_VALUE"""),1.004)</f>
        <v>1.004</v>
      </c>
      <c r="E3539" s="16">
        <f>IFERROR(__xludf.DUMMYFUNCTION("""COMPUTED_VALUE"""),68.0)</f>
        <v>68</v>
      </c>
      <c r="F3539" s="19" t="str">
        <f>IFERROR(__xludf.DUMMYFUNCTION("""COMPUTED_VALUE"""),"BLACK")</f>
        <v>BLACK</v>
      </c>
      <c r="G3539" s="20" t="str">
        <f>IFERROR(__xludf.DUMMYFUNCTION("""COMPUTED_VALUE"""),"Uncle Sams Cider (5/13/2022)")</f>
        <v>Uncle Sams Cider (5/13/2022)</v>
      </c>
      <c r="H3539" s="19"/>
    </row>
    <row r="3540">
      <c r="A3540" s="9"/>
      <c r="B3540" s="15"/>
      <c r="C3540" s="9">
        <f>IFERROR(__xludf.DUMMYFUNCTION("""COMPUTED_VALUE"""),44759.7190198495)</f>
        <v>44759.71902</v>
      </c>
      <c r="D3540" s="15">
        <f>IFERROR(__xludf.DUMMYFUNCTION("""COMPUTED_VALUE"""),1.004)</f>
        <v>1.004</v>
      </c>
      <c r="E3540" s="16">
        <f>IFERROR(__xludf.DUMMYFUNCTION("""COMPUTED_VALUE"""),68.0)</f>
        <v>68</v>
      </c>
      <c r="F3540" s="19" t="str">
        <f>IFERROR(__xludf.DUMMYFUNCTION("""COMPUTED_VALUE"""),"BLACK")</f>
        <v>BLACK</v>
      </c>
      <c r="G3540" s="20" t="str">
        <f>IFERROR(__xludf.DUMMYFUNCTION("""COMPUTED_VALUE"""),"Uncle Sams Cider (5/13/2022)")</f>
        <v>Uncle Sams Cider (5/13/2022)</v>
      </c>
      <c r="H3540" s="19"/>
    </row>
    <row r="3541">
      <c r="A3541" s="9"/>
      <c r="B3541" s="15"/>
      <c r="C3541" s="9">
        <f>IFERROR(__xludf.DUMMYFUNCTION("""COMPUTED_VALUE"""),44759.7085994791)</f>
        <v>44759.7086</v>
      </c>
      <c r="D3541" s="15">
        <f>IFERROR(__xludf.DUMMYFUNCTION("""COMPUTED_VALUE"""),1.004)</f>
        <v>1.004</v>
      </c>
      <c r="E3541" s="16">
        <f>IFERROR(__xludf.DUMMYFUNCTION("""COMPUTED_VALUE"""),68.0)</f>
        <v>68</v>
      </c>
      <c r="F3541" s="19" t="str">
        <f>IFERROR(__xludf.DUMMYFUNCTION("""COMPUTED_VALUE"""),"BLACK")</f>
        <v>BLACK</v>
      </c>
      <c r="G3541" s="20" t="str">
        <f>IFERROR(__xludf.DUMMYFUNCTION("""COMPUTED_VALUE"""),"Uncle Sams Cider (5/13/2022)")</f>
        <v>Uncle Sams Cider (5/13/2022)</v>
      </c>
      <c r="H3541" s="19"/>
    </row>
    <row r="3542">
      <c r="A3542" s="9"/>
      <c r="B3542" s="15"/>
      <c r="C3542" s="9">
        <f>IFERROR(__xludf.DUMMYFUNCTION("""COMPUTED_VALUE"""),44759.6981767013)</f>
        <v>44759.69818</v>
      </c>
      <c r="D3542" s="15">
        <f>IFERROR(__xludf.DUMMYFUNCTION("""COMPUTED_VALUE"""),1.004)</f>
        <v>1.004</v>
      </c>
      <c r="E3542" s="16">
        <f>IFERROR(__xludf.DUMMYFUNCTION("""COMPUTED_VALUE"""),68.0)</f>
        <v>68</v>
      </c>
      <c r="F3542" s="19" t="str">
        <f>IFERROR(__xludf.DUMMYFUNCTION("""COMPUTED_VALUE"""),"BLACK")</f>
        <v>BLACK</v>
      </c>
      <c r="G3542" s="20" t="str">
        <f>IFERROR(__xludf.DUMMYFUNCTION("""COMPUTED_VALUE"""),"Uncle Sams Cider (5/13/2022)")</f>
        <v>Uncle Sams Cider (5/13/2022)</v>
      </c>
      <c r="H3542" s="19"/>
    </row>
    <row r="3543">
      <c r="A3543" s="9"/>
      <c r="B3543" s="15"/>
      <c r="C3543" s="9">
        <f>IFERROR(__xludf.DUMMYFUNCTION("""COMPUTED_VALUE"""),44759.6877552314)</f>
        <v>44759.68776</v>
      </c>
      <c r="D3543" s="15">
        <f>IFERROR(__xludf.DUMMYFUNCTION("""COMPUTED_VALUE"""),1.004)</f>
        <v>1.004</v>
      </c>
      <c r="E3543" s="16">
        <f>IFERROR(__xludf.DUMMYFUNCTION("""COMPUTED_VALUE"""),68.0)</f>
        <v>68</v>
      </c>
      <c r="F3543" s="19" t="str">
        <f>IFERROR(__xludf.DUMMYFUNCTION("""COMPUTED_VALUE"""),"BLACK")</f>
        <v>BLACK</v>
      </c>
      <c r="G3543" s="20" t="str">
        <f>IFERROR(__xludf.DUMMYFUNCTION("""COMPUTED_VALUE"""),"Uncle Sams Cider (5/13/2022)")</f>
        <v>Uncle Sams Cider (5/13/2022)</v>
      </c>
      <c r="H3543" s="19"/>
    </row>
    <row r="3544">
      <c r="A3544" s="9"/>
      <c r="B3544" s="15"/>
      <c r="C3544" s="9">
        <f>IFERROR(__xludf.DUMMYFUNCTION("""COMPUTED_VALUE"""),44759.6773329745)</f>
        <v>44759.67733</v>
      </c>
      <c r="D3544" s="15">
        <f>IFERROR(__xludf.DUMMYFUNCTION("""COMPUTED_VALUE"""),1.004)</f>
        <v>1.004</v>
      </c>
      <c r="E3544" s="16">
        <f>IFERROR(__xludf.DUMMYFUNCTION("""COMPUTED_VALUE"""),68.0)</f>
        <v>68</v>
      </c>
      <c r="F3544" s="19" t="str">
        <f>IFERROR(__xludf.DUMMYFUNCTION("""COMPUTED_VALUE"""),"BLACK")</f>
        <v>BLACK</v>
      </c>
      <c r="G3544" s="20" t="str">
        <f>IFERROR(__xludf.DUMMYFUNCTION("""COMPUTED_VALUE"""),"Uncle Sams Cider (5/13/2022)")</f>
        <v>Uncle Sams Cider (5/13/2022)</v>
      </c>
      <c r="H3544" s="19"/>
    </row>
    <row r="3545">
      <c r="A3545" s="9"/>
      <c r="B3545" s="15"/>
      <c r="C3545" s="9">
        <f>IFERROR(__xludf.DUMMYFUNCTION("""COMPUTED_VALUE"""),44759.6669141666)</f>
        <v>44759.66691</v>
      </c>
      <c r="D3545" s="15">
        <f>IFERROR(__xludf.DUMMYFUNCTION("""COMPUTED_VALUE"""),1.004)</f>
        <v>1.004</v>
      </c>
      <c r="E3545" s="16">
        <f>IFERROR(__xludf.DUMMYFUNCTION("""COMPUTED_VALUE"""),68.0)</f>
        <v>68</v>
      </c>
      <c r="F3545" s="19" t="str">
        <f>IFERROR(__xludf.DUMMYFUNCTION("""COMPUTED_VALUE"""),"BLACK")</f>
        <v>BLACK</v>
      </c>
      <c r="G3545" s="20" t="str">
        <f>IFERROR(__xludf.DUMMYFUNCTION("""COMPUTED_VALUE"""),"Uncle Sams Cider (5/13/2022)")</f>
        <v>Uncle Sams Cider (5/13/2022)</v>
      </c>
      <c r="H3545" s="19"/>
    </row>
    <row r="3546">
      <c r="A3546" s="9"/>
      <c r="B3546" s="15"/>
      <c r="C3546" s="9">
        <f>IFERROR(__xludf.DUMMYFUNCTION("""COMPUTED_VALUE"""),44759.656480706)</f>
        <v>44759.65648</v>
      </c>
      <c r="D3546" s="15">
        <f>IFERROR(__xludf.DUMMYFUNCTION("""COMPUTED_VALUE"""),1.004)</f>
        <v>1.004</v>
      </c>
      <c r="E3546" s="16">
        <f>IFERROR(__xludf.DUMMYFUNCTION("""COMPUTED_VALUE"""),68.0)</f>
        <v>68</v>
      </c>
      <c r="F3546" s="19" t="str">
        <f>IFERROR(__xludf.DUMMYFUNCTION("""COMPUTED_VALUE"""),"BLACK")</f>
        <v>BLACK</v>
      </c>
      <c r="G3546" s="20" t="str">
        <f>IFERROR(__xludf.DUMMYFUNCTION("""COMPUTED_VALUE"""),"Uncle Sams Cider (5/13/2022)")</f>
        <v>Uncle Sams Cider (5/13/2022)</v>
      </c>
      <c r="H3546" s="19"/>
    </row>
    <row r="3547">
      <c r="A3547" s="9"/>
      <c r="B3547" s="15"/>
      <c r="C3547" s="9">
        <f>IFERROR(__xludf.DUMMYFUNCTION("""COMPUTED_VALUE"""),44759.6460609143)</f>
        <v>44759.64606</v>
      </c>
      <c r="D3547" s="15">
        <f>IFERROR(__xludf.DUMMYFUNCTION("""COMPUTED_VALUE"""),1.004)</f>
        <v>1.004</v>
      </c>
      <c r="E3547" s="16">
        <f>IFERROR(__xludf.DUMMYFUNCTION("""COMPUTED_VALUE"""),68.0)</f>
        <v>68</v>
      </c>
      <c r="F3547" s="19" t="str">
        <f>IFERROR(__xludf.DUMMYFUNCTION("""COMPUTED_VALUE"""),"BLACK")</f>
        <v>BLACK</v>
      </c>
      <c r="G3547" s="20" t="str">
        <f>IFERROR(__xludf.DUMMYFUNCTION("""COMPUTED_VALUE"""),"Uncle Sams Cider (5/13/2022)")</f>
        <v>Uncle Sams Cider (5/13/2022)</v>
      </c>
      <c r="H3547" s="19"/>
    </row>
    <row r="3548">
      <c r="A3548" s="9"/>
      <c r="B3548" s="15"/>
      <c r="C3548" s="9">
        <f>IFERROR(__xludf.DUMMYFUNCTION("""COMPUTED_VALUE"""),44759.6356381828)</f>
        <v>44759.63564</v>
      </c>
      <c r="D3548" s="15">
        <f>IFERROR(__xludf.DUMMYFUNCTION("""COMPUTED_VALUE"""),1.004)</f>
        <v>1.004</v>
      </c>
      <c r="E3548" s="16">
        <f>IFERROR(__xludf.DUMMYFUNCTION("""COMPUTED_VALUE"""),68.0)</f>
        <v>68</v>
      </c>
      <c r="F3548" s="19" t="str">
        <f>IFERROR(__xludf.DUMMYFUNCTION("""COMPUTED_VALUE"""),"BLACK")</f>
        <v>BLACK</v>
      </c>
      <c r="G3548" s="20" t="str">
        <f>IFERROR(__xludf.DUMMYFUNCTION("""COMPUTED_VALUE"""),"Uncle Sams Cider (5/13/2022)")</f>
        <v>Uncle Sams Cider (5/13/2022)</v>
      </c>
      <c r="H3548" s="19"/>
    </row>
    <row r="3549">
      <c r="A3549" s="9"/>
      <c r="B3549" s="15"/>
      <c r="C3549" s="9">
        <f>IFERROR(__xludf.DUMMYFUNCTION("""COMPUTED_VALUE"""),44759.6252173842)</f>
        <v>44759.62522</v>
      </c>
      <c r="D3549" s="15">
        <f>IFERROR(__xludf.DUMMYFUNCTION("""COMPUTED_VALUE"""),1.004)</f>
        <v>1.004</v>
      </c>
      <c r="E3549" s="16">
        <f>IFERROR(__xludf.DUMMYFUNCTION("""COMPUTED_VALUE"""),68.0)</f>
        <v>68</v>
      </c>
      <c r="F3549" s="19" t="str">
        <f>IFERROR(__xludf.DUMMYFUNCTION("""COMPUTED_VALUE"""),"BLACK")</f>
        <v>BLACK</v>
      </c>
      <c r="G3549" s="20" t="str">
        <f>IFERROR(__xludf.DUMMYFUNCTION("""COMPUTED_VALUE"""),"Uncle Sams Cider (5/13/2022)")</f>
        <v>Uncle Sams Cider (5/13/2022)</v>
      </c>
      <c r="H3549" s="19"/>
    </row>
    <row r="3550">
      <c r="A3550" s="9"/>
      <c r="B3550" s="15"/>
      <c r="C3550" s="9">
        <f>IFERROR(__xludf.DUMMYFUNCTION("""COMPUTED_VALUE"""),44759.6147951736)</f>
        <v>44759.6148</v>
      </c>
      <c r="D3550" s="15">
        <f>IFERROR(__xludf.DUMMYFUNCTION("""COMPUTED_VALUE"""),1.004)</f>
        <v>1.004</v>
      </c>
      <c r="E3550" s="16">
        <f>IFERROR(__xludf.DUMMYFUNCTION("""COMPUTED_VALUE"""),68.0)</f>
        <v>68</v>
      </c>
      <c r="F3550" s="19" t="str">
        <f>IFERROR(__xludf.DUMMYFUNCTION("""COMPUTED_VALUE"""),"BLACK")</f>
        <v>BLACK</v>
      </c>
      <c r="G3550" s="20" t="str">
        <f>IFERROR(__xludf.DUMMYFUNCTION("""COMPUTED_VALUE"""),"Uncle Sams Cider (5/13/2022)")</f>
        <v>Uncle Sams Cider (5/13/2022)</v>
      </c>
      <c r="H3550" s="19"/>
    </row>
    <row r="3551">
      <c r="A3551" s="9"/>
      <c r="B3551" s="15"/>
      <c r="C3551" s="9">
        <f>IFERROR(__xludf.DUMMYFUNCTION("""COMPUTED_VALUE"""),44759.6043634143)</f>
        <v>44759.60436</v>
      </c>
      <c r="D3551" s="15">
        <f>IFERROR(__xludf.DUMMYFUNCTION("""COMPUTED_VALUE"""),1.004)</f>
        <v>1.004</v>
      </c>
      <c r="E3551" s="16">
        <f>IFERROR(__xludf.DUMMYFUNCTION("""COMPUTED_VALUE"""),68.0)</f>
        <v>68</v>
      </c>
      <c r="F3551" s="19" t="str">
        <f>IFERROR(__xludf.DUMMYFUNCTION("""COMPUTED_VALUE"""),"BLACK")</f>
        <v>BLACK</v>
      </c>
      <c r="G3551" s="20" t="str">
        <f>IFERROR(__xludf.DUMMYFUNCTION("""COMPUTED_VALUE"""),"Uncle Sams Cider (5/13/2022)")</f>
        <v>Uncle Sams Cider (5/13/2022)</v>
      </c>
      <c r="H3551" s="19"/>
    </row>
    <row r="3552">
      <c r="A3552" s="9"/>
      <c r="B3552" s="15"/>
      <c r="C3552" s="9">
        <f>IFERROR(__xludf.DUMMYFUNCTION("""COMPUTED_VALUE"""),44759.5939416088)</f>
        <v>44759.59394</v>
      </c>
      <c r="D3552" s="15">
        <f>IFERROR(__xludf.DUMMYFUNCTION("""COMPUTED_VALUE"""),1.004)</f>
        <v>1.004</v>
      </c>
      <c r="E3552" s="16">
        <f>IFERROR(__xludf.DUMMYFUNCTION("""COMPUTED_VALUE"""),68.0)</f>
        <v>68</v>
      </c>
      <c r="F3552" s="19" t="str">
        <f>IFERROR(__xludf.DUMMYFUNCTION("""COMPUTED_VALUE"""),"BLACK")</f>
        <v>BLACK</v>
      </c>
      <c r="G3552" s="20" t="str">
        <f>IFERROR(__xludf.DUMMYFUNCTION("""COMPUTED_VALUE"""),"Uncle Sams Cider (5/13/2022)")</f>
        <v>Uncle Sams Cider (5/13/2022)</v>
      </c>
      <c r="H3552" s="19"/>
    </row>
    <row r="3553">
      <c r="A3553" s="9"/>
      <c r="B3553" s="15"/>
      <c r="C3553" s="9">
        <f>IFERROR(__xludf.DUMMYFUNCTION("""COMPUTED_VALUE"""),44759.5835205555)</f>
        <v>44759.58352</v>
      </c>
      <c r="D3553" s="15">
        <f>IFERROR(__xludf.DUMMYFUNCTION("""COMPUTED_VALUE"""),1.004)</f>
        <v>1.004</v>
      </c>
      <c r="E3553" s="16">
        <f>IFERROR(__xludf.DUMMYFUNCTION("""COMPUTED_VALUE"""),68.0)</f>
        <v>68</v>
      </c>
      <c r="F3553" s="19" t="str">
        <f>IFERROR(__xludf.DUMMYFUNCTION("""COMPUTED_VALUE"""),"BLACK")</f>
        <v>BLACK</v>
      </c>
      <c r="G3553" s="20" t="str">
        <f>IFERROR(__xludf.DUMMYFUNCTION("""COMPUTED_VALUE"""),"Uncle Sams Cider (5/13/2022)")</f>
        <v>Uncle Sams Cider (5/13/2022)</v>
      </c>
      <c r="H3553" s="19"/>
    </row>
    <row r="3554">
      <c r="A3554" s="9"/>
      <c r="B3554" s="15"/>
      <c r="C3554" s="9">
        <f>IFERROR(__xludf.DUMMYFUNCTION("""COMPUTED_VALUE"""),44759.5730519097)</f>
        <v>44759.57305</v>
      </c>
      <c r="D3554" s="15">
        <f>IFERROR(__xludf.DUMMYFUNCTION("""COMPUTED_VALUE"""),1.004)</f>
        <v>1.004</v>
      </c>
      <c r="E3554" s="16">
        <f>IFERROR(__xludf.DUMMYFUNCTION("""COMPUTED_VALUE"""),68.0)</f>
        <v>68</v>
      </c>
      <c r="F3554" s="19" t="str">
        <f>IFERROR(__xludf.DUMMYFUNCTION("""COMPUTED_VALUE"""),"BLACK")</f>
        <v>BLACK</v>
      </c>
      <c r="G3554" s="20" t="str">
        <f>IFERROR(__xludf.DUMMYFUNCTION("""COMPUTED_VALUE"""),"Uncle Sams Cider (5/13/2022)")</f>
        <v>Uncle Sams Cider (5/13/2022)</v>
      </c>
      <c r="H3554" s="19"/>
    </row>
    <row r="3555">
      <c r="A3555" s="9"/>
      <c r="B3555" s="15"/>
      <c r="C3555" s="9">
        <f>IFERROR(__xludf.DUMMYFUNCTION("""COMPUTED_VALUE"""),44759.5626318634)</f>
        <v>44759.56263</v>
      </c>
      <c r="D3555" s="15">
        <f>IFERROR(__xludf.DUMMYFUNCTION("""COMPUTED_VALUE"""),1.004)</f>
        <v>1.004</v>
      </c>
      <c r="E3555" s="16">
        <f>IFERROR(__xludf.DUMMYFUNCTION("""COMPUTED_VALUE"""),68.0)</f>
        <v>68</v>
      </c>
      <c r="F3555" s="19" t="str">
        <f>IFERROR(__xludf.DUMMYFUNCTION("""COMPUTED_VALUE"""),"BLACK")</f>
        <v>BLACK</v>
      </c>
      <c r="G3555" s="20" t="str">
        <f>IFERROR(__xludf.DUMMYFUNCTION("""COMPUTED_VALUE"""),"Uncle Sams Cider (5/13/2022)")</f>
        <v>Uncle Sams Cider (5/13/2022)</v>
      </c>
      <c r="H3555" s="19"/>
    </row>
    <row r="3556">
      <c r="A3556" s="9"/>
      <c r="B3556" s="15"/>
      <c r="C3556" s="9">
        <f>IFERROR(__xludf.DUMMYFUNCTION("""COMPUTED_VALUE"""),44759.5522114004)</f>
        <v>44759.55221</v>
      </c>
      <c r="D3556" s="15">
        <f>IFERROR(__xludf.DUMMYFUNCTION("""COMPUTED_VALUE"""),1.004)</f>
        <v>1.004</v>
      </c>
      <c r="E3556" s="16">
        <f>IFERROR(__xludf.DUMMYFUNCTION("""COMPUTED_VALUE"""),68.0)</f>
        <v>68</v>
      </c>
      <c r="F3556" s="19" t="str">
        <f>IFERROR(__xludf.DUMMYFUNCTION("""COMPUTED_VALUE"""),"BLACK")</f>
        <v>BLACK</v>
      </c>
      <c r="G3556" s="20" t="str">
        <f>IFERROR(__xludf.DUMMYFUNCTION("""COMPUTED_VALUE"""),"Uncle Sams Cider (5/13/2022)")</f>
        <v>Uncle Sams Cider (5/13/2022)</v>
      </c>
      <c r="H3556" s="19"/>
    </row>
    <row r="3557">
      <c r="A3557" s="9"/>
      <c r="B3557" s="15"/>
      <c r="C3557" s="9">
        <f>IFERROR(__xludf.DUMMYFUNCTION("""COMPUTED_VALUE"""),44759.5417794328)</f>
        <v>44759.54178</v>
      </c>
      <c r="D3557" s="15">
        <f>IFERROR(__xludf.DUMMYFUNCTION("""COMPUTED_VALUE"""),1.004)</f>
        <v>1.004</v>
      </c>
      <c r="E3557" s="16">
        <f>IFERROR(__xludf.DUMMYFUNCTION("""COMPUTED_VALUE"""),68.0)</f>
        <v>68</v>
      </c>
      <c r="F3557" s="19" t="str">
        <f>IFERROR(__xludf.DUMMYFUNCTION("""COMPUTED_VALUE"""),"BLACK")</f>
        <v>BLACK</v>
      </c>
      <c r="G3557" s="20" t="str">
        <f>IFERROR(__xludf.DUMMYFUNCTION("""COMPUTED_VALUE"""),"Uncle Sams Cider (5/13/2022)")</f>
        <v>Uncle Sams Cider (5/13/2022)</v>
      </c>
      <c r="H3557" s="19"/>
    </row>
    <row r="3558">
      <c r="A3558" s="9"/>
      <c r="B3558" s="15"/>
      <c r="C3558" s="9">
        <f>IFERROR(__xludf.DUMMYFUNCTION("""COMPUTED_VALUE"""),44759.5313467476)</f>
        <v>44759.53135</v>
      </c>
      <c r="D3558" s="15">
        <f>IFERROR(__xludf.DUMMYFUNCTION("""COMPUTED_VALUE"""),1.004)</f>
        <v>1.004</v>
      </c>
      <c r="E3558" s="16">
        <f>IFERROR(__xludf.DUMMYFUNCTION("""COMPUTED_VALUE"""),68.0)</f>
        <v>68</v>
      </c>
      <c r="F3558" s="19" t="str">
        <f>IFERROR(__xludf.DUMMYFUNCTION("""COMPUTED_VALUE"""),"BLACK")</f>
        <v>BLACK</v>
      </c>
      <c r="G3558" s="20" t="str">
        <f>IFERROR(__xludf.DUMMYFUNCTION("""COMPUTED_VALUE"""),"Uncle Sams Cider (5/13/2022)")</f>
        <v>Uncle Sams Cider (5/13/2022)</v>
      </c>
      <c r="H3558" s="19"/>
    </row>
    <row r="3559">
      <c r="A3559" s="9"/>
      <c r="B3559" s="15"/>
      <c r="C3559" s="9">
        <f>IFERROR(__xludf.DUMMYFUNCTION("""COMPUTED_VALUE"""),44759.5209255324)</f>
        <v>44759.52093</v>
      </c>
      <c r="D3559" s="15">
        <f>IFERROR(__xludf.DUMMYFUNCTION("""COMPUTED_VALUE"""),1.004)</f>
        <v>1.004</v>
      </c>
      <c r="E3559" s="16">
        <f>IFERROR(__xludf.DUMMYFUNCTION("""COMPUTED_VALUE"""),68.0)</f>
        <v>68</v>
      </c>
      <c r="F3559" s="19" t="str">
        <f>IFERROR(__xludf.DUMMYFUNCTION("""COMPUTED_VALUE"""),"BLACK")</f>
        <v>BLACK</v>
      </c>
      <c r="G3559" s="20" t="str">
        <f>IFERROR(__xludf.DUMMYFUNCTION("""COMPUTED_VALUE"""),"Uncle Sams Cider (5/13/2022)")</f>
        <v>Uncle Sams Cider (5/13/2022)</v>
      </c>
      <c r="H3559" s="19"/>
    </row>
    <row r="3560">
      <c r="A3560" s="9"/>
      <c r="B3560" s="15"/>
      <c r="C3560" s="9">
        <f>IFERROR(__xludf.DUMMYFUNCTION("""COMPUTED_VALUE"""),44759.51050625)</f>
        <v>44759.51051</v>
      </c>
      <c r="D3560" s="15">
        <f>IFERROR(__xludf.DUMMYFUNCTION("""COMPUTED_VALUE"""),1.004)</f>
        <v>1.004</v>
      </c>
      <c r="E3560" s="16">
        <f>IFERROR(__xludf.DUMMYFUNCTION("""COMPUTED_VALUE"""),68.0)</f>
        <v>68</v>
      </c>
      <c r="F3560" s="19" t="str">
        <f>IFERROR(__xludf.DUMMYFUNCTION("""COMPUTED_VALUE"""),"BLACK")</f>
        <v>BLACK</v>
      </c>
      <c r="G3560" s="20" t="str">
        <f>IFERROR(__xludf.DUMMYFUNCTION("""COMPUTED_VALUE"""),"Uncle Sams Cider (5/13/2022)")</f>
        <v>Uncle Sams Cider (5/13/2022)</v>
      </c>
      <c r="H3560" s="19"/>
    </row>
    <row r="3561">
      <c r="A3561" s="9"/>
      <c r="B3561" s="15"/>
      <c r="C3561" s="9">
        <f>IFERROR(__xludf.DUMMYFUNCTION("""COMPUTED_VALUE"""),44759.5000867361)</f>
        <v>44759.50009</v>
      </c>
      <c r="D3561" s="15">
        <f>IFERROR(__xludf.DUMMYFUNCTION("""COMPUTED_VALUE"""),1.004)</f>
        <v>1.004</v>
      </c>
      <c r="E3561" s="16">
        <f>IFERROR(__xludf.DUMMYFUNCTION("""COMPUTED_VALUE"""),68.0)</f>
        <v>68</v>
      </c>
      <c r="F3561" s="19" t="str">
        <f>IFERROR(__xludf.DUMMYFUNCTION("""COMPUTED_VALUE"""),"BLACK")</f>
        <v>BLACK</v>
      </c>
      <c r="G3561" s="20" t="str">
        <f>IFERROR(__xludf.DUMMYFUNCTION("""COMPUTED_VALUE"""),"Uncle Sams Cider (5/13/2022)")</f>
        <v>Uncle Sams Cider (5/13/2022)</v>
      </c>
      <c r="H3561" s="19"/>
    </row>
    <row r="3562">
      <c r="A3562" s="9"/>
      <c r="B3562" s="15"/>
      <c r="C3562" s="9">
        <f>IFERROR(__xludf.DUMMYFUNCTION("""COMPUTED_VALUE"""),44759.4896637384)</f>
        <v>44759.48966</v>
      </c>
      <c r="D3562" s="15">
        <f>IFERROR(__xludf.DUMMYFUNCTION("""COMPUTED_VALUE"""),1.004)</f>
        <v>1.004</v>
      </c>
      <c r="E3562" s="16">
        <f>IFERROR(__xludf.DUMMYFUNCTION("""COMPUTED_VALUE"""),68.0)</f>
        <v>68</v>
      </c>
      <c r="F3562" s="19" t="str">
        <f>IFERROR(__xludf.DUMMYFUNCTION("""COMPUTED_VALUE"""),"BLACK")</f>
        <v>BLACK</v>
      </c>
      <c r="G3562" s="20" t="str">
        <f>IFERROR(__xludf.DUMMYFUNCTION("""COMPUTED_VALUE"""),"Uncle Sams Cider (5/13/2022)")</f>
        <v>Uncle Sams Cider (5/13/2022)</v>
      </c>
      <c r="H3562" s="19"/>
    </row>
    <row r="3563">
      <c r="A3563" s="9"/>
      <c r="B3563" s="15"/>
      <c r="C3563" s="9">
        <f>IFERROR(__xludf.DUMMYFUNCTION("""COMPUTED_VALUE"""),44759.4792447916)</f>
        <v>44759.47924</v>
      </c>
      <c r="D3563" s="15">
        <f>IFERROR(__xludf.DUMMYFUNCTION("""COMPUTED_VALUE"""),1.004)</f>
        <v>1.004</v>
      </c>
      <c r="E3563" s="16">
        <f>IFERROR(__xludf.DUMMYFUNCTION("""COMPUTED_VALUE"""),68.0)</f>
        <v>68</v>
      </c>
      <c r="F3563" s="19" t="str">
        <f>IFERROR(__xludf.DUMMYFUNCTION("""COMPUTED_VALUE"""),"BLACK")</f>
        <v>BLACK</v>
      </c>
      <c r="G3563" s="20" t="str">
        <f>IFERROR(__xludf.DUMMYFUNCTION("""COMPUTED_VALUE"""),"Uncle Sams Cider (5/13/2022)")</f>
        <v>Uncle Sams Cider (5/13/2022)</v>
      </c>
      <c r="H3563" s="19"/>
    </row>
    <row r="3564">
      <c r="A3564" s="9"/>
      <c r="B3564" s="15"/>
      <c r="C3564" s="9">
        <f>IFERROR(__xludf.DUMMYFUNCTION("""COMPUTED_VALUE"""),44759.4688257986)</f>
        <v>44759.46883</v>
      </c>
      <c r="D3564" s="15">
        <f>IFERROR(__xludf.DUMMYFUNCTION("""COMPUTED_VALUE"""),1.004)</f>
        <v>1.004</v>
      </c>
      <c r="E3564" s="16">
        <f>IFERROR(__xludf.DUMMYFUNCTION("""COMPUTED_VALUE"""),68.0)</f>
        <v>68</v>
      </c>
      <c r="F3564" s="19" t="str">
        <f>IFERROR(__xludf.DUMMYFUNCTION("""COMPUTED_VALUE"""),"BLACK")</f>
        <v>BLACK</v>
      </c>
      <c r="G3564" s="20" t="str">
        <f>IFERROR(__xludf.DUMMYFUNCTION("""COMPUTED_VALUE"""),"Uncle Sams Cider (5/13/2022)")</f>
        <v>Uncle Sams Cider (5/13/2022)</v>
      </c>
      <c r="H3564" s="19"/>
    </row>
    <row r="3565">
      <c r="A3565" s="9"/>
      <c r="B3565" s="15"/>
      <c r="C3565" s="9">
        <f>IFERROR(__xludf.DUMMYFUNCTION("""COMPUTED_VALUE"""),44759.4584058333)</f>
        <v>44759.45841</v>
      </c>
      <c r="D3565" s="15">
        <f>IFERROR(__xludf.DUMMYFUNCTION("""COMPUTED_VALUE"""),1.004)</f>
        <v>1.004</v>
      </c>
      <c r="E3565" s="16">
        <f>IFERROR(__xludf.DUMMYFUNCTION("""COMPUTED_VALUE"""),68.0)</f>
        <v>68</v>
      </c>
      <c r="F3565" s="19" t="str">
        <f>IFERROR(__xludf.DUMMYFUNCTION("""COMPUTED_VALUE"""),"BLACK")</f>
        <v>BLACK</v>
      </c>
      <c r="G3565" s="20" t="str">
        <f>IFERROR(__xludf.DUMMYFUNCTION("""COMPUTED_VALUE"""),"Uncle Sams Cider (5/13/2022)")</f>
        <v>Uncle Sams Cider (5/13/2022)</v>
      </c>
      <c r="H3565" s="19"/>
    </row>
    <row r="3566">
      <c r="A3566" s="9"/>
      <c r="B3566" s="15"/>
      <c r="C3566" s="9">
        <f>IFERROR(__xludf.DUMMYFUNCTION("""COMPUTED_VALUE"""),44759.4479844444)</f>
        <v>44759.44798</v>
      </c>
      <c r="D3566" s="15">
        <f>IFERROR(__xludf.DUMMYFUNCTION("""COMPUTED_VALUE"""),1.004)</f>
        <v>1.004</v>
      </c>
      <c r="E3566" s="16">
        <f>IFERROR(__xludf.DUMMYFUNCTION("""COMPUTED_VALUE"""),68.0)</f>
        <v>68</v>
      </c>
      <c r="F3566" s="19" t="str">
        <f>IFERROR(__xludf.DUMMYFUNCTION("""COMPUTED_VALUE"""),"BLACK")</f>
        <v>BLACK</v>
      </c>
      <c r="G3566" s="20" t="str">
        <f>IFERROR(__xludf.DUMMYFUNCTION("""COMPUTED_VALUE"""),"Uncle Sams Cider (5/13/2022)")</f>
        <v>Uncle Sams Cider (5/13/2022)</v>
      </c>
      <c r="H3566" s="19"/>
    </row>
    <row r="3567">
      <c r="A3567" s="9"/>
      <c r="B3567" s="15"/>
      <c r="C3567" s="9">
        <f>IFERROR(__xludf.DUMMYFUNCTION("""COMPUTED_VALUE"""),44759.4375168055)</f>
        <v>44759.43752</v>
      </c>
      <c r="D3567" s="15">
        <f>IFERROR(__xludf.DUMMYFUNCTION("""COMPUTED_VALUE"""),1.004)</f>
        <v>1.004</v>
      </c>
      <c r="E3567" s="16">
        <f>IFERROR(__xludf.DUMMYFUNCTION("""COMPUTED_VALUE"""),68.0)</f>
        <v>68</v>
      </c>
      <c r="F3567" s="19" t="str">
        <f>IFERROR(__xludf.DUMMYFUNCTION("""COMPUTED_VALUE"""),"BLACK")</f>
        <v>BLACK</v>
      </c>
      <c r="G3567" s="20" t="str">
        <f>IFERROR(__xludf.DUMMYFUNCTION("""COMPUTED_VALUE"""),"Uncle Sams Cider (5/13/2022)")</f>
        <v>Uncle Sams Cider (5/13/2022)</v>
      </c>
      <c r="H3567" s="19"/>
    </row>
    <row r="3568">
      <c r="A3568" s="9"/>
      <c r="B3568" s="15"/>
      <c r="C3568" s="9">
        <f>IFERROR(__xludf.DUMMYFUNCTION("""COMPUTED_VALUE"""),44759.4270845023)</f>
        <v>44759.42708</v>
      </c>
      <c r="D3568" s="15">
        <f>IFERROR(__xludf.DUMMYFUNCTION("""COMPUTED_VALUE"""),1.004)</f>
        <v>1.004</v>
      </c>
      <c r="E3568" s="16">
        <f>IFERROR(__xludf.DUMMYFUNCTION("""COMPUTED_VALUE"""),68.0)</f>
        <v>68</v>
      </c>
      <c r="F3568" s="19" t="str">
        <f>IFERROR(__xludf.DUMMYFUNCTION("""COMPUTED_VALUE"""),"BLACK")</f>
        <v>BLACK</v>
      </c>
      <c r="G3568" s="20" t="str">
        <f>IFERROR(__xludf.DUMMYFUNCTION("""COMPUTED_VALUE"""),"Uncle Sams Cider (5/13/2022)")</f>
        <v>Uncle Sams Cider (5/13/2022)</v>
      </c>
      <c r="H3568" s="19"/>
    </row>
    <row r="3569">
      <c r="A3569" s="9"/>
      <c r="B3569" s="15"/>
      <c r="C3569" s="9">
        <f>IFERROR(__xludf.DUMMYFUNCTION("""COMPUTED_VALUE"""),44759.4166633217)</f>
        <v>44759.41666</v>
      </c>
      <c r="D3569" s="15">
        <f>IFERROR(__xludf.DUMMYFUNCTION("""COMPUTED_VALUE"""),1.004)</f>
        <v>1.004</v>
      </c>
      <c r="E3569" s="16">
        <f>IFERROR(__xludf.DUMMYFUNCTION("""COMPUTED_VALUE"""),68.0)</f>
        <v>68</v>
      </c>
      <c r="F3569" s="19" t="str">
        <f>IFERROR(__xludf.DUMMYFUNCTION("""COMPUTED_VALUE"""),"BLACK")</f>
        <v>BLACK</v>
      </c>
      <c r="G3569" s="20" t="str">
        <f>IFERROR(__xludf.DUMMYFUNCTION("""COMPUTED_VALUE"""),"Uncle Sams Cider (5/13/2022)")</f>
        <v>Uncle Sams Cider (5/13/2022)</v>
      </c>
      <c r="H3569" s="19"/>
    </row>
    <row r="3570">
      <c r="A3570" s="9"/>
      <c r="B3570" s="15"/>
      <c r="C3570" s="9">
        <f>IFERROR(__xludf.DUMMYFUNCTION("""COMPUTED_VALUE"""),44759.4062424537)</f>
        <v>44759.40624</v>
      </c>
      <c r="D3570" s="15">
        <f>IFERROR(__xludf.DUMMYFUNCTION("""COMPUTED_VALUE"""),1.004)</f>
        <v>1.004</v>
      </c>
      <c r="E3570" s="16">
        <f>IFERROR(__xludf.DUMMYFUNCTION("""COMPUTED_VALUE"""),68.0)</f>
        <v>68</v>
      </c>
      <c r="F3570" s="19" t="str">
        <f>IFERROR(__xludf.DUMMYFUNCTION("""COMPUTED_VALUE"""),"BLACK")</f>
        <v>BLACK</v>
      </c>
      <c r="G3570" s="20" t="str">
        <f>IFERROR(__xludf.DUMMYFUNCTION("""COMPUTED_VALUE"""),"Uncle Sams Cider (5/13/2022)")</f>
        <v>Uncle Sams Cider (5/13/2022)</v>
      </c>
      <c r="H3570" s="19"/>
    </row>
    <row r="3571">
      <c r="A3571" s="9"/>
      <c r="B3571" s="15"/>
      <c r="C3571" s="9">
        <f>IFERROR(__xludf.DUMMYFUNCTION("""COMPUTED_VALUE"""),44759.3958211111)</f>
        <v>44759.39582</v>
      </c>
      <c r="D3571" s="15">
        <f>IFERROR(__xludf.DUMMYFUNCTION("""COMPUTED_VALUE"""),1.004)</f>
        <v>1.004</v>
      </c>
      <c r="E3571" s="16">
        <f>IFERROR(__xludf.DUMMYFUNCTION("""COMPUTED_VALUE"""),68.0)</f>
        <v>68</v>
      </c>
      <c r="F3571" s="19" t="str">
        <f>IFERROR(__xludf.DUMMYFUNCTION("""COMPUTED_VALUE"""),"BLACK")</f>
        <v>BLACK</v>
      </c>
      <c r="G3571" s="20" t="str">
        <f>IFERROR(__xludf.DUMMYFUNCTION("""COMPUTED_VALUE"""),"Uncle Sams Cider (5/13/2022)")</f>
        <v>Uncle Sams Cider (5/13/2022)</v>
      </c>
      <c r="H3571" s="19"/>
    </row>
    <row r="3572">
      <c r="A3572" s="9"/>
      <c r="B3572" s="15"/>
      <c r="C3572" s="9">
        <f>IFERROR(__xludf.DUMMYFUNCTION("""COMPUTED_VALUE"""),44759.385399537)</f>
        <v>44759.3854</v>
      </c>
      <c r="D3572" s="15">
        <f>IFERROR(__xludf.DUMMYFUNCTION("""COMPUTED_VALUE"""),1.004)</f>
        <v>1.004</v>
      </c>
      <c r="E3572" s="16">
        <f>IFERROR(__xludf.DUMMYFUNCTION("""COMPUTED_VALUE"""),68.0)</f>
        <v>68</v>
      </c>
      <c r="F3572" s="19" t="str">
        <f>IFERROR(__xludf.DUMMYFUNCTION("""COMPUTED_VALUE"""),"BLACK")</f>
        <v>BLACK</v>
      </c>
      <c r="G3572" s="20" t="str">
        <f>IFERROR(__xludf.DUMMYFUNCTION("""COMPUTED_VALUE"""),"Uncle Sams Cider (5/13/2022)")</f>
        <v>Uncle Sams Cider (5/13/2022)</v>
      </c>
      <c r="H3572" s="19"/>
    </row>
    <row r="3573">
      <c r="A3573" s="9"/>
      <c r="B3573" s="15"/>
      <c r="C3573" s="9">
        <f>IFERROR(__xludf.DUMMYFUNCTION("""COMPUTED_VALUE"""),44759.3749769328)</f>
        <v>44759.37498</v>
      </c>
      <c r="D3573" s="15">
        <f>IFERROR(__xludf.DUMMYFUNCTION("""COMPUTED_VALUE"""),1.004)</f>
        <v>1.004</v>
      </c>
      <c r="E3573" s="16">
        <f>IFERROR(__xludf.DUMMYFUNCTION("""COMPUTED_VALUE"""),68.0)</f>
        <v>68</v>
      </c>
      <c r="F3573" s="19" t="str">
        <f>IFERROR(__xludf.DUMMYFUNCTION("""COMPUTED_VALUE"""),"BLACK")</f>
        <v>BLACK</v>
      </c>
      <c r="G3573" s="20" t="str">
        <f>IFERROR(__xludf.DUMMYFUNCTION("""COMPUTED_VALUE"""),"Uncle Sams Cider (5/13/2022)")</f>
        <v>Uncle Sams Cider (5/13/2022)</v>
      </c>
      <c r="H3573" s="19"/>
    </row>
    <row r="3574">
      <c r="A3574" s="9"/>
      <c r="B3574" s="15"/>
      <c r="C3574" s="9">
        <f>IFERROR(__xludf.DUMMYFUNCTION("""COMPUTED_VALUE"""),44759.364543368)</f>
        <v>44759.36454</v>
      </c>
      <c r="D3574" s="15">
        <f>IFERROR(__xludf.DUMMYFUNCTION("""COMPUTED_VALUE"""),1.004)</f>
        <v>1.004</v>
      </c>
      <c r="E3574" s="16">
        <f>IFERROR(__xludf.DUMMYFUNCTION("""COMPUTED_VALUE"""),68.0)</f>
        <v>68</v>
      </c>
      <c r="F3574" s="19" t="str">
        <f>IFERROR(__xludf.DUMMYFUNCTION("""COMPUTED_VALUE"""),"BLACK")</f>
        <v>BLACK</v>
      </c>
      <c r="G3574" s="20" t="str">
        <f>IFERROR(__xludf.DUMMYFUNCTION("""COMPUTED_VALUE"""),"Uncle Sams Cider (5/13/2022)")</f>
        <v>Uncle Sams Cider (5/13/2022)</v>
      </c>
      <c r="H3574" s="19"/>
    </row>
    <row r="3575">
      <c r="A3575" s="9"/>
      <c r="B3575" s="15"/>
      <c r="C3575" s="9">
        <f>IFERROR(__xludf.DUMMYFUNCTION("""COMPUTED_VALUE"""),44759.3541228587)</f>
        <v>44759.35412</v>
      </c>
      <c r="D3575" s="15">
        <f>IFERROR(__xludf.DUMMYFUNCTION("""COMPUTED_VALUE"""),1.004)</f>
        <v>1.004</v>
      </c>
      <c r="E3575" s="16">
        <f>IFERROR(__xludf.DUMMYFUNCTION("""COMPUTED_VALUE"""),68.0)</f>
        <v>68</v>
      </c>
      <c r="F3575" s="19" t="str">
        <f>IFERROR(__xludf.DUMMYFUNCTION("""COMPUTED_VALUE"""),"BLACK")</f>
        <v>BLACK</v>
      </c>
      <c r="G3575" s="20" t="str">
        <f>IFERROR(__xludf.DUMMYFUNCTION("""COMPUTED_VALUE"""),"Uncle Sams Cider (5/13/2022)")</f>
        <v>Uncle Sams Cider (5/13/2022)</v>
      </c>
      <c r="H3575" s="19"/>
    </row>
    <row r="3576">
      <c r="A3576" s="9"/>
      <c r="B3576" s="15"/>
      <c r="C3576" s="9">
        <f>IFERROR(__xludf.DUMMYFUNCTION("""COMPUTED_VALUE"""),44759.3437008333)</f>
        <v>44759.3437</v>
      </c>
      <c r="D3576" s="15">
        <f>IFERROR(__xludf.DUMMYFUNCTION("""COMPUTED_VALUE"""),1.004)</f>
        <v>1.004</v>
      </c>
      <c r="E3576" s="16">
        <f>IFERROR(__xludf.DUMMYFUNCTION("""COMPUTED_VALUE"""),68.0)</f>
        <v>68</v>
      </c>
      <c r="F3576" s="19" t="str">
        <f>IFERROR(__xludf.DUMMYFUNCTION("""COMPUTED_VALUE"""),"BLACK")</f>
        <v>BLACK</v>
      </c>
      <c r="G3576" s="20" t="str">
        <f>IFERROR(__xludf.DUMMYFUNCTION("""COMPUTED_VALUE"""),"Uncle Sams Cider (5/13/2022)")</f>
        <v>Uncle Sams Cider (5/13/2022)</v>
      </c>
      <c r="H3576" s="19"/>
    </row>
    <row r="3577">
      <c r="A3577" s="9"/>
      <c r="B3577" s="15"/>
      <c r="C3577" s="9">
        <f>IFERROR(__xludf.DUMMYFUNCTION("""COMPUTED_VALUE"""),44759.3332803472)</f>
        <v>44759.33328</v>
      </c>
      <c r="D3577" s="15">
        <f>IFERROR(__xludf.DUMMYFUNCTION("""COMPUTED_VALUE"""),1.004)</f>
        <v>1.004</v>
      </c>
      <c r="E3577" s="16">
        <f>IFERROR(__xludf.DUMMYFUNCTION("""COMPUTED_VALUE"""),68.0)</f>
        <v>68</v>
      </c>
      <c r="F3577" s="19" t="str">
        <f>IFERROR(__xludf.DUMMYFUNCTION("""COMPUTED_VALUE"""),"BLACK")</f>
        <v>BLACK</v>
      </c>
      <c r="G3577" s="20" t="str">
        <f>IFERROR(__xludf.DUMMYFUNCTION("""COMPUTED_VALUE"""),"Uncle Sams Cider (5/13/2022)")</f>
        <v>Uncle Sams Cider (5/13/2022)</v>
      </c>
      <c r="H3577" s="19"/>
    </row>
    <row r="3578">
      <c r="A3578" s="9"/>
      <c r="B3578" s="15"/>
      <c r="C3578" s="9">
        <f>IFERROR(__xludf.DUMMYFUNCTION("""COMPUTED_VALUE"""),44759.322860243)</f>
        <v>44759.32286</v>
      </c>
      <c r="D3578" s="15">
        <f>IFERROR(__xludf.DUMMYFUNCTION("""COMPUTED_VALUE"""),1.004)</f>
        <v>1.004</v>
      </c>
      <c r="E3578" s="16">
        <f>IFERROR(__xludf.DUMMYFUNCTION("""COMPUTED_VALUE"""),68.0)</f>
        <v>68</v>
      </c>
      <c r="F3578" s="19" t="str">
        <f>IFERROR(__xludf.DUMMYFUNCTION("""COMPUTED_VALUE"""),"BLACK")</f>
        <v>BLACK</v>
      </c>
      <c r="G3578" s="20" t="str">
        <f>IFERROR(__xludf.DUMMYFUNCTION("""COMPUTED_VALUE"""),"Uncle Sams Cider (5/13/2022)")</f>
        <v>Uncle Sams Cider (5/13/2022)</v>
      </c>
      <c r="H3578" s="19"/>
    </row>
    <row r="3579">
      <c r="A3579" s="9"/>
      <c r="B3579" s="15"/>
      <c r="C3579" s="9">
        <f>IFERROR(__xludf.DUMMYFUNCTION("""COMPUTED_VALUE"""),44759.3124360416)</f>
        <v>44759.31244</v>
      </c>
      <c r="D3579" s="15">
        <f>IFERROR(__xludf.DUMMYFUNCTION("""COMPUTED_VALUE"""),1.004)</f>
        <v>1.004</v>
      </c>
      <c r="E3579" s="16">
        <f>IFERROR(__xludf.DUMMYFUNCTION("""COMPUTED_VALUE"""),68.0)</f>
        <v>68</v>
      </c>
      <c r="F3579" s="19" t="str">
        <f>IFERROR(__xludf.DUMMYFUNCTION("""COMPUTED_VALUE"""),"BLACK")</f>
        <v>BLACK</v>
      </c>
      <c r="G3579" s="20" t="str">
        <f>IFERROR(__xludf.DUMMYFUNCTION("""COMPUTED_VALUE"""),"Uncle Sams Cider (5/13/2022)")</f>
        <v>Uncle Sams Cider (5/13/2022)</v>
      </c>
      <c r="H3579" s="19"/>
    </row>
    <row r="3580">
      <c r="A3580" s="9"/>
      <c r="B3580" s="15"/>
      <c r="C3580" s="9">
        <f>IFERROR(__xludf.DUMMYFUNCTION("""COMPUTED_VALUE"""),44759.3020154629)</f>
        <v>44759.30202</v>
      </c>
      <c r="D3580" s="15">
        <f>IFERROR(__xludf.DUMMYFUNCTION("""COMPUTED_VALUE"""),1.004)</f>
        <v>1.004</v>
      </c>
      <c r="E3580" s="16">
        <f>IFERROR(__xludf.DUMMYFUNCTION("""COMPUTED_VALUE"""),68.0)</f>
        <v>68</v>
      </c>
      <c r="F3580" s="19" t="str">
        <f>IFERROR(__xludf.DUMMYFUNCTION("""COMPUTED_VALUE"""),"BLACK")</f>
        <v>BLACK</v>
      </c>
      <c r="G3580" s="20" t="str">
        <f>IFERROR(__xludf.DUMMYFUNCTION("""COMPUTED_VALUE"""),"Uncle Sams Cider (5/13/2022)")</f>
        <v>Uncle Sams Cider (5/13/2022)</v>
      </c>
      <c r="H3580" s="19"/>
    </row>
    <row r="3581">
      <c r="A3581" s="9"/>
      <c r="B3581" s="15"/>
      <c r="C3581" s="9">
        <f>IFERROR(__xludf.DUMMYFUNCTION("""COMPUTED_VALUE"""),44759.2915832407)</f>
        <v>44759.29158</v>
      </c>
      <c r="D3581" s="15">
        <f>IFERROR(__xludf.DUMMYFUNCTION("""COMPUTED_VALUE"""),1.004)</f>
        <v>1.004</v>
      </c>
      <c r="E3581" s="16">
        <f>IFERROR(__xludf.DUMMYFUNCTION("""COMPUTED_VALUE"""),68.0)</f>
        <v>68</v>
      </c>
      <c r="F3581" s="19" t="str">
        <f>IFERROR(__xludf.DUMMYFUNCTION("""COMPUTED_VALUE"""),"BLACK")</f>
        <v>BLACK</v>
      </c>
      <c r="G3581" s="20" t="str">
        <f>IFERROR(__xludf.DUMMYFUNCTION("""COMPUTED_VALUE"""),"Uncle Sams Cider (5/13/2022)")</f>
        <v>Uncle Sams Cider (5/13/2022)</v>
      </c>
      <c r="H3581" s="19"/>
    </row>
    <row r="3582">
      <c r="A3582" s="9"/>
      <c r="B3582" s="15"/>
      <c r="C3582" s="9">
        <f>IFERROR(__xludf.DUMMYFUNCTION("""COMPUTED_VALUE"""),44759.2811634375)</f>
        <v>44759.28116</v>
      </c>
      <c r="D3582" s="15">
        <f>IFERROR(__xludf.DUMMYFUNCTION("""COMPUTED_VALUE"""),1.004)</f>
        <v>1.004</v>
      </c>
      <c r="E3582" s="16">
        <f>IFERROR(__xludf.DUMMYFUNCTION("""COMPUTED_VALUE"""),68.0)</f>
        <v>68</v>
      </c>
      <c r="F3582" s="19" t="str">
        <f>IFERROR(__xludf.DUMMYFUNCTION("""COMPUTED_VALUE"""),"BLACK")</f>
        <v>BLACK</v>
      </c>
      <c r="G3582" s="20" t="str">
        <f>IFERROR(__xludf.DUMMYFUNCTION("""COMPUTED_VALUE"""),"Uncle Sams Cider (5/13/2022)")</f>
        <v>Uncle Sams Cider (5/13/2022)</v>
      </c>
      <c r="H3582" s="19"/>
    </row>
    <row r="3583">
      <c r="A3583" s="9"/>
      <c r="B3583" s="15"/>
      <c r="C3583" s="9">
        <f>IFERROR(__xludf.DUMMYFUNCTION("""COMPUTED_VALUE"""),44759.2707425694)</f>
        <v>44759.27074</v>
      </c>
      <c r="D3583" s="15">
        <f>IFERROR(__xludf.DUMMYFUNCTION("""COMPUTED_VALUE"""),1.004)</f>
        <v>1.004</v>
      </c>
      <c r="E3583" s="16">
        <f>IFERROR(__xludf.DUMMYFUNCTION("""COMPUTED_VALUE"""),68.0)</f>
        <v>68</v>
      </c>
      <c r="F3583" s="19" t="str">
        <f>IFERROR(__xludf.DUMMYFUNCTION("""COMPUTED_VALUE"""),"BLACK")</f>
        <v>BLACK</v>
      </c>
      <c r="G3583" s="20" t="str">
        <f>IFERROR(__xludf.DUMMYFUNCTION("""COMPUTED_VALUE"""),"Uncle Sams Cider (5/13/2022)")</f>
        <v>Uncle Sams Cider (5/13/2022)</v>
      </c>
      <c r="H3583" s="19"/>
    </row>
    <row r="3584">
      <c r="A3584" s="9"/>
      <c r="B3584" s="15"/>
      <c r="C3584" s="9">
        <f>IFERROR(__xludf.DUMMYFUNCTION("""COMPUTED_VALUE"""),44759.2603208333)</f>
        <v>44759.26032</v>
      </c>
      <c r="D3584" s="15">
        <f>IFERROR(__xludf.DUMMYFUNCTION("""COMPUTED_VALUE"""),1.004)</f>
        <v>1.004</v>
      </c>
      <c r="E3584" s="16">
        <f>IFERROR(__xludf.DUMMYFUNCTION("""COMPUTED_VALUE"""),68.0)</f>
        <v>68</v>
      </c>
      <c r="F3584" s="19" t="str">
        <f>IFERROR(__xludf.DUMMYFUNCTION("""COMPUTED_VALUE"""),"BLACK")</f>
        <v>BLACK</v>
      </c>
      <c r="G3584" s="20" t="str">
        <f>IFERROR(__xludf.DUMMYFUNCTION("""COMPUTED_VALUE"""),"Uncle Sams Cider (5/13/2022)")</f>
        <v>Uncle Sams Cider (5/13/2022)</v>
      </c>
      <c r="H3584" s="19"/>
    </row>
    <row r="3585">
      <c r="A3585" s="9"/>
      <c r="B3585" s="15"/>
      <c r="C3585" s="9">
        <f>IFERROR(__xludf.DUMMYFUNCTION("""COMPUTED_VALUE"""),44759.2499012847)</f>
        <v>44759.2499</v>
      </c>
      <c r="D3585" s="15">
        <f>IFERROR(__xludf.DUMMYFUNCTION("""COMPUTED_VALUE"""),1.004)</f>
        <v>1.004</v>
      </c>
      <c r="E3585" s="16">
        <f>IFERROR(__xludf.DUMMYFUNCTION("""COMPUTED_VALUE"""),68.0)</f>
        <v>68</v>
      </c>
      <c r="F3585" s="19" t="str">
        <f>IFERROR(__xludf.DUMMYFUNCTION("""COMPUTED_VALUE"""),"BLACK")</f>
        <v>BLACK</v>
      </c>
      <c r="G3585" s="20" t="str">
        <f>IFERROR(__xludf.DUMMYFUNCTION("""COMPUTED_VALUE"""),"Uncle Sams Cider (5/13/2022)")</f>
        <v>Uncle Sams Cider (5/13/2022)</v>
      </c>
      <c r="H3585" s="19"/>
    </row>
    <row r="3586">
      <c r="A3586" s="9"/>
      <c r="B3586" s="15"/>
      <c r="C3586" s="9">
        <f>IFERROR(__xludf.DUMMYFUNCTION("""COMPUTED_VALUE"""),44759.2394799421)</f>
        <v>44759.23948</v>
      </c>
      <c r="D3586" s="15">
        <f>IFERROR(__xludf.DUMMYFUNCTION("""COMPUTED_VALUE"""),1.004)</f>
        <v>1.004</v>
      </c>
      <c r="E3586" s="16">
        <f>IFERROR(__xludf.DUMMYFUNCTION("""COMPUTED_VALUE"""),68.0)</f>
        <v>68</v>
      </c>
      <c r="F3586" s="19" t="str">
        <f>IFERROR(__xludf.DUMMYFUNCTION("""COMPUTED_VALUE"""),"BLACK")</f>
        <v>BLACK</v>
      </c>
      <c r="G3586" s="20" t="str">
        <f>IFERROR(__xludf.DUMMYFUNCTION("""COMPUTED_VALUE"""),"Uncle Sams Cider (5/13/2022)")</f>
        <v>Uncle Sams Cider (5/13/2022)</v>
      </c>
      <c r="H3586" s="19"/>
    </row>
    <row r="3587">
      <c r="A3587" s="9"/>
      <c r="B3587" s="15"/>
      <c r="C3587" s="9">
        <f>IFERROR(__xludf.DUMMYFUNCTION("""COMPUTED_VALUE"""),44759.2290575231)</f>
        <v>44759.22906</v>
      </c>
      <c r="D3587" s="15">
        <f>IFERROR(__xludf.DUMMYFUNCTION("""COMPUTED_VALUE"""),1.004)</f>
        <v>1.004</v>
      </c>
      <c r="E3587" s="16">
        <f>IFERROR(__xludf.DUMMYFUNCTION("""COMPUTED_VALUE"""),68.0)</f>
        <v>68</v>
      </c>
      <c r="F3587" s="19" t="str">
        <f>IFERROR(__xludf.DUMMYFUNCTION("""COMPUTED_VALUE"""),"BLACK")</f>
        <v>BLACK</v>
      </c>
      <c r="G3587" s="20" t="str">
        <f>IFERROR(__xludf.DUMMYFUNCTION("""COMPUTED_VALUE"""),"Uncle Sams Cider (5/13/2022)")</f>
        <v>Uncle Sams Cider (5/13/2022)</v>
      </c>
      <c r="H3587" s="19"/>
    </row>
    <row r="3588">
      <c r="A3588" s="9"/>
      <c r="B3588" s="15"/>
      <c r="C3588" s="9">
        <f>IFERROR(__xludf.DUMMYFUNCTION("""COMPUTED_VALUE"""),44759.2186242476)</f>
        <v>44759.21862</v>
      </c>
      <c r="D3588" s="15">
        <f>IFERROR(__xludf.DUMMYFUNCTION("""COMPUTED_VALUE"""),1.004)</f>
        <v>1.004</v>
      </c>
      <c r="E3588" s="16">
        <f>IFERROR(__xludf.DUMMYFUNCTION("""COMPUTED_VALUE"""),68.0)</f>
        <v>68</v>
      </c>
      <c r="F3588" s="19" t="str">
        <f>IFERROR(__xludf.DUMMYFUNCTION("""COMPUTED_VALUE"""),"BLACK")</f>
        <v>BLACK</v>
      </c>
      <c r="G3588" s="20" t="str">
        <f>IFERROR(__xludf.DUMMYFUNCTION("""COMPUTED_VALUE"""),"Uncle Sams Cider (5/13/2022)")</f>
        <v>Uncle Sams Cider (5/13/2022)</v>
      </c>
      <c r="H3588" s="19"/>
    </row>
    <row r="3589">
      <c r="A3589" s="9"/>
      <c r="B3589" s="15"/>
      <c r="C3589" s="9">
        <f>IFERROR(__xludf.DUMMYFUNCTION("""COMPUTED_VALUE"""),44759.2082032523)</f>
        <v>44759.2082</v>
      </c>
      <c r="D3589" s="15">
        <f>IFERROR(__xludf.DUMMYFUNCTION("""COMPUTED_VALUE"""),1.004)</f>
        <v>1.004</v>
      </c>
      <c r="E3589" s="16">
        <f>IFERROR(__xludf.DUMMYFUNCTION("""COMPUTED_VALUE"""),68.0)</f>
        <v>68</v>
      </c>
      <c r="F3589" s="19" t="str">
        <f>IFERROR(__xludf.DUMMYFUNCTION("""COMPUTED_VALUE"""),"BLACK")</f>
        <v>BLACK</v>
      </c>
      <c r="G3589" s="20" t="str">
        <f>IFERROR(__xludf.DUMMYFUNCTION("""COMPUTED_VALUE"""),"Uncle Sams Cider (5/13/2022)")</f>
        <v>Uncle Sams Cider (5/13/2022)</v>
      </c>
      <c r="H3589" s="19"/>
    </row>
    <row r="3590">
      <c r="A3590" s="9"/>
      <c r="B3590" s="15"/>
      <c r="C3590" s="9">
        <f>IFERROR(__xludf.DUMMYFUNCTION("""COMPUTED_VALUE"""),44759.1977820138)</f>
        <v>44759.19778</v>
      </c>
      <c r="D3590" s="15">
        <f>IFERROR(__xludf.DUMMYFUNCTION("""COMPUTED_VALUE"""),1.004)</f>
        <v>1.004</v>
      </c>
      <c r="E3590" s="16">
        <f>IFERROR(__xludf.DUMMYFUNCTION("""COMPUTED_VALUE"""),68.0)</f>
        <v>68</v>
      </c>
      <c r="F3590" s="19" t="str">
        <f>IFERROR(__xludf.DUMMYFUNCTION("""COMPUTED_VALUE"""),"BLACK")</f>
        <v>BLACK</v>
      </c>
      <c r="G3590" s="20" t="str">
        <f>IFERROR(__xludf.DUMMYFUNCTION("""COMPUTED_VALUE"""),"Uncle Sams Cider (5/13/2022)")</f>
        <v>Uncle Sams Cider (5/13/2022)</v>
      </c>
      <c r="H3590" s="19"/>
    </row>
    <row r="3591">
      <c r="A3591" s="9"/>
      <c r="B3591" s="15"/>
      <c r="C3591" s="9">
        <f>IFERROR(__xludf.DUMMYFUNCTION("""COMPUTED_VALUE"""),44759.1873594444)</f>
        <v>44759.18736</v>
      </c>
      <c r="D3591" s="15">
        <f>IFERROR(__xludf.DUMMYFUNCTION("""COMPUTED_VALUE"""),1.004)</f>
        <v>1.004</v>
      </c>
      <c r="E3591" s="16">
        <f>IFERROR(__xludf.DUMMYFUNCTION("""COMPUTED_VALUE"""),68.0)</f>
        <v>68</v>
      </c>
      <c r="F3591" s="19" t="str">
        <f>IFERROR(__xludf.DUMMYFUNCTION("""COMPUTED_VALUE"""),"BLACK")</f>
        <v>BLACK</v>
      </c>
      <c r="G3591" s="20" t="str">
        <f>IFERROR(__xludf.DUMMYFUNCTION("""COMPUTED_VALUE"""),"Uncle Sams Cider (5/13/2022)")</f>
        <v>Uncle Sams Cider (5/13/2022)</v>
      </c>
      <c r="H3591" s="19"/>
    </row>
    <row r="3592">
      <c r="A3592" s="9"/>
      <c r="B3592" s="15"/>
      <c r="C3592" s="9">
        <f>IFERROR(__xludf.DUMMYFUNCTION("""COMPUTED_VALUE"""),44759.1769378009)</f>
        <v>44759.17694</v>
      </c>
      <c r="D3592" s="15">
        <f>IFERROR(__xludf.DUMMYFUNCTION("""COMPUTED_VALUE"""),1.004)</f>
        <v>1.004</v>
      </c>
      <c r="E3592" s="16">
        <f>IFERROR(__xludf.DUMMYFUNCTION("""COMPUTED_VALUE"""),68.0)</f>
        <v>68</v>
      </c>
      <c r="F3592" s="19" t="str">
        <f>IFERROR(__xludf.DUMMYFUNCTION("""COMPUTED_VALUE"""),"BLACK")</f>
        <v>BLACK</v>
      </c>
      <c r="G3592" s="20" t="str">
        <f>IFERROR(__xludf.DUMMYFUNCTION("""COMPUTED_VALUE"""),"Uncle Sams Cider (5/13/2022)")</f>
        <v>Uncle Sams Cider (5/13/2022)</v>
      </c>
      <c r="H3592" s="19"/>
    </row>
    <row r="3593">
      <c r="A3593" s="9"/>
      <c r="B3593" s="15"/>
      <c r="C3593" s="9">
        <f>IFERROR(__xludf.DUMMYFUNCTION("""COMPUTED_VALUE"""),44759.1665165625)</f>
        <v>44759.16652</v>
      </c>
      <c r="D3593" s="15">
        <f>IFERROR(__xludf.DUMMYFUNCTION("""COMPUTED_VALUE"""),1.004)</f>
        <v>1.004</v>
      </c>
      <c r="E3593" s="16">
        <f>IFERROR(__xludf.DUMMYFUNCTION("""COMPUTED_VALUE"""),68.0)</f>
        <v>68</v>
      </c>
      <c r="F3593" s="19" t="str">
        <f>IFERROR(__xludf.DUMMYFUNCTION("""COMPUTED_VALUE"""),"BLACK")</f>
        <v>BLACK</v>
      </c>
      <c r="G3593" s="20" t="str">
        <f>IFERROR(__xludf.DUMMYFUNCTION("""COMPUTED_VALUE"""),"Uncle Sams Cider (5/13/2022)")</f>
        <v>Uncle Sams Cider (5/13/2022)</v>
      </c>
      <c r="H3593" s="19"/>
    </row>
    <row r="3594">
      <c r="A3594" s="9"/>
      <c r="B3594" s="15"/>
      <c r="C3594" s="9">
        <f>IFERROR(__xludf.DUMMYFUNCTION("""COMPUTED_VALUE"""),44759.1560949537)</f>
        <v>44759.15609</v>
      </c>
      <c r="D3594" s="15">
        <f>IFERROR(__xludf.DUMMYFUNCTION("""COMPUTED_VALUE"""),1.004)</f>
        <v>1.004</v>
      </c>
      <c r="E3594" s="16">
        <f>IFERROR(__xludf.DUMMYFUNCTION("""COMPUTED_VALUE"""),67.0)</f>
        <v>67</v>
      </c>
      <c r="F3594" s="19" t="str">
        <f>IFERROR(__xludf.DUMMYFUNCTION("""COMPUTED_VALUE"""),"BLACK")</f>
        <v>BLACK</v>
      </c>
      <c r="G3594" s="20" t="str">
        <f>IFERROR(__xludf.DUMMYFUNCTION("""COMPUTED_VALUE"""),"Uncle Sams Cider (5/13/2022)")</f>
        <v>Uncle Sams Cider (5/13/2022)</v>
      </c>
      <c r="H3594" s="19"/>
    </row>
    <row r="3595">
      <c r="A3595" s="9"/>
      <c r="B3595" s="15"/>
      <c r="C3595" s="9">
        <f>IFERROR(__xludf.DUMMYFUNCTION("""COMPUTED_VALUE"""),44759.1456639351)</f>
        <v>44759.14566</v>
      </c>
      <c r="D3595" s="15">
        <f>IFERROR(__xludf.DUMMYFUNCTION("""COMPUTED_VALUE"""),1.004)</f>
        <v>1.004</v>
      </c>
      <c r="E3595" s="16">
        <f>IFERROR(__xludf.DUMMYFUNCTION("""COMPUTED_VALUE"""),67.0)</f>
        <v>67</v>
      </c>
      <c r="F3595" s="19" t="str">
        <f>IFERROR(__xludf.DUMMYFUNCTION("""COMPUTED_VALUE"""),"BLACK")</f>
        <v>BLACK</v>
      </c>
      <c r="G3595" s="20" t="str">
        <f>IFERROR(__xludf.DUMMYFUNCTION("""COMPUTED_VALUE"""),"Uncle Sams Cider (5/13/2022)")</f>
        <v>Uncle Sams Cider (5/13/2022)</v>
      </c>
      <c r="H3595" s="19"/>
    </row>
    <row r="3596">
      <c r="A3596" s="9"/>
      <c r="B3596" s="15"/>
      <c r="C3596" s="9">
        <f>IFERROR(__xludf.DUMMYFUNCTION("""COMPUTED_VALUE"""),44759.1352323611)</f>
        <v>44759.13523</v>
      </c>
      <c r="D3596" s="15">
        <f>IFERROR(__xludf.DUMMYFUNCTION("""COMPUTED_VALUE"""),1.004)</f>
        <v>1.004</v>
      </c>
      <c r="E3596" s="16">
        <f>IFERROR(__xludf.DUMMYFUNCTION("""COMPUTED_VALUE"""),67.0)</f>
        <v>67</v>
      </c>
      <c r="F3596" s="19" t="str">
        <f>IFERROR(__xludf.DUMMYFUNCTION("""COMPUTED_VALUE"""),"BLACK")</f>
        <v>BLACK</v>
      </c>
      <c r="G3596" s="20" t="str">
        <f>IFERROR(__xludf.DUMMYFUNCTION("""COMPUTED_VALUE"""),"Uncle Sams Cider (5/13/2022)")</f>
        <v>Uncle Sams Cider (5/13/2022)</v>
      </c>
      <c r="H3596" s="19"/>
    </row>
    <row r="3597">
      <c r="A3597" s="9"/>
      <c r="B3597" s="15"/>
      <c r="C3597" s="9">
        <f>IFERROR(__xludf.DUMMYFUNCTION("""COMPUTED_VALUE"""),44759.1248124884)</f>
        <v>44759.12481</v>
      </c>
      <c r="D3597" s="15">
        <f>IFERROR(__xludf.DUMMYFUNCTION("""COMPUTED_VALUE"""),1.004)</f>
        <v>1.004</v>
      </c>
      <c r="E3597" s="16">
        <f>IFERROR(__xludf.DUMMYFUNCTION("""COMPUTED_VALUE"""),67.0)</f>
        <v>67</v>
      </c>
      <c r="F3597" s="19" t="str">
        <f>IFERROR(__xludf.DUMMYFUNCTION("""COMPUTED_VALUE"""),"BLACK")</f>
        <v>BLACK</v>
      </c>
      <c r="G3597" s="20" t="str">
        <f>IFERROR(__xludf.DUMMYFUNCTION("""COMPUTED_VALUE"""),"Uncle Sams Cider (5/13/2022)")</f>
        <v>Uncle Sams Cider (5/13/2022)</v>
      </c>
      <c r="H3597" s="19"/>
    </row>
    <row r="3598">
      <c r="A3598" s="9"/>
      <c r="B3598" s="15"/>
      <c r="C3598" s="9">
        <f>IFERROR(__xludf.DUMMYFUNCTION("""COMPUTED_VALUE"""),44759.1143909027)</f>
        <v>44759.11439</v>
      </c>
      <c r="D3598" s="15">
        <f>IFERROR(__xludf.DUMMYFUNCTION("""COMPUTED_VALUE"""),1.004)</f>
        <v>1.004</v>
      </c>
      <c r="E3598" s="16">
        <f>IFERROR(__xludf.DUMMYFUNCTION("""COMPUTED_VALUE"""),67.0)</f>
        <v>67</v>
      </c>
      <c r="F3598" s="19" t="str">
        <f>IFERROR(__xludf.DUMMYFUNCTION("""COMPUTED_VALUE"""),"BLACK")</f>
        <v>BLACK</v>
      </c>
      <c r="G3598" s="20" t="str">
        <f>IFERROR(__xludf.DUMMYFUNCTION("""COMPUTED_VALUE"""),"Uncle Sams Cider (5/13/2022)")</f>
        <v>Uncle Sams Cider (5/13/2022)</v>
      </c>
      <c r="H3598" s="19"/>
    </row>
    <row r="3599">
      <c r="A3599" s="9"/>
      <c r="B3599" s="15"/>
      <c r="C3599" s="9">
        <f>IFERROR(__xludf.DUMMYFUNCTION("""COMPUTED_VALUE"""),44759.1039696527)</f>
        <v>44759.10397</v>
      </c>
      <c r="D3599" s="15">
        <f>IFERROR(__xludf.DUMMYFUNCTION("""COMPUTED_VALUE"""),1.004)</f>
        <v>1.004</v>
      </c>
      <c r="E3599" s="16">
        <f>IFERROR(__xludf.DUMMYFUNCTION("""COMPUTED_VALUE"""),67.0)</f>
        <v>67</v>
      </c>
      <c r="F3599" s="19" t="str">
        <f>IFERROR(__xludf.DUMMYFUNCTION("""COMPUTED_VALUE"""),"BLACK")</f>
        <v>BLACK</v>
      </c>
      <c r="G3599" s="20" t="str">
        <f>IFERROR(__xludf.DUMMYFUNCTION("""COMPUTED_VALUE"""),"Uncle Sams Cider (5/13/2022)")</f>
        <v>Uncle Sams Cider (5/13/2022)</v>
      </c>
      <c r="H3599" s="19"/>
    </row>
    <row r="3600">
      <c r="A3600" s="9"/>
      <c r="B3600" s="15"/>
      <c r="C3600" s="9">
        <f>IFERROR(__xludf.DUMMYFUNCTION("""COMPUTED_VALUE"""),44759.0935480208)</f>
        <v>44759.09355</v>
      </c>
      <c r="D3600" s="15">
        <f>IFERROR(__xludf.DUMMYFUNCTION("""COMPUTED_VALUE"""),1.004)</f>
        <v>1.004</v>
      </c>
      <c r="E3600" s="16">
        <f>IFERROR(__xludf.DUMMYFUNCTION("""COMPUTED_VALUE"""),67.0)</f>
        <v>67</v>
      </c>
      <c r="F3600" s="19" t="str">
        <f>IFERROR(__xludf.DUMMYFUNCTION("""COMPUTED_VALUE"""),"BLACK")</f>
        <v>BLACK</v>
      </c>
      <c r="G3600" s="20" t="str">
        <f>IFERROR(__xludf.DUMMYFUNCTION("""COMPUTED_VALUE"""),"Uncle Sams Cider (5/13/2022)")</f>
        <v>Uncle Sams Cider (5/13/2022)</v>
      </c>
      <c r="H3600" s="19"/>
    </row>
    <row r="3601">
      <c r="A3601" s="9"/>
      <c r="B3601" s="15"/>
      <c r="C3601" s="9">
        <f>IFERROR(__xludf.DUMMYFUNCTION("""COMPUTED_VALUE"""),44759.0831271643)</f>
        <v>44759.08313</v>
      </c>
      <c r="D3601" s="15">
        <f>IFERROR(__xludf.DUMMYFUNCTION("""COMPUTED_VALUE"""),1.004)</f>
        <v>1.004</v>
      </c>
      <c r="E3601" s="16">
        <f>IFERROR(__xludf.DUMMYFUNCTION("""COMPUTED_VALUE"""),67.0)</f>
        <v>67</v>
      </c>
      <c r="F3601" s="19" t="str">
        <f>IFERROR(__xludf.DUMMYFUNCTION("""COMPUTED_VALUE"""),"BLACK")</f>
        <v>BLACK</v>
      </c>
      <c r="G3601" s="20" t="str">
        <f>IFERROR(__xludf.DUMMYFUNCTION("""COMPUTED_VALUE"""),"Uncle Sams Cider (5/13/2022)")</f>
        <v>Uncle Sams Cider (5/13/2022)</v>
      </c>
      <c r="H3601" s="19"/>
    </row>
    <row r="3602">
      <c r="A3602" s="9"/>
      <c r="B3602" s="15"/>
      <c r="C3602" s="9">
        <f>IFERROR(__xludf.DUMMYFUNCTION("""COMPUTED_VALUE"""),44759.0727062615)</f>
        <v>44759.07271</v>
      </c>
      <c r="D3602" s="15">
        <f>IFERROR(__xludf.DUMMYFUNCTION("""COMPUTED_VALUE"""),1.004)</f>
        <v>1.004</v>
      </c>
      <c r="E3602" s="16">
        <f>IFERROR(__xludf.DUMMYFUNCTION("""COMPUTED_VALUE"""),67.0)</f>
        <v>67</v>
      </c>
      <c r="F3602" s="19" t="str">
        <f>IFERROR(__xludf.DUMMYFUNCTION("""COMPUTED_VALUE"""),"BLACK")</f>
        <v>BLACK</v>
      </c>
      <c r="G3602" s="20" t="str">
        <f>IFERROR(__xludf.DUMMYFUNCTION("""COMPUTED_VALUE"""),"Uncle Sams Cider (5/13/2022)")</f>
        <v>Uncle Sams Cider (5/13/2022)</v>
      </c>
      <c r="H3602" s="19"/>
    </row>
    <row r="3603">
      <c r="A3603" s="9"/>
      <c r="B3603" s="15"/>
      <c r="C3603" s="9">
        <f>IFERROR(__xludf.DUMMYFUNCTION("""COMPUTED_VALUE"""),44759.0622841551)</f>
        <v>44759.06228</v>
      </c>
      <c r="D3603" s="15">
        <f>IFERROR(__xludf.DUMMYFUNCTION("""COMPUTED_VALUE"""),1.004)</f>
        <v>1.004</v>
      </c>
      <c r="E3603" s="16">
        <f>IFERROR(__xludf.DUMMYFUNCTION("""COMPUTED_VALUE"""),67.0)</f>
        <v>67</v>
      </c>
      <c r="F3603" s="19" t="str">
        <f>IFERROR(__xludf.DUMMYFUNCTION("""COMPUTED_VALUE"""),"BLACK")</f>
        <v>BLACK</v>
      </c>
      <c r="G3603" s="20" t="str">
        <f>IFERROR(__xludf.DUMMYFUNCTION("""COMPUTED_VALUE"""),"Uncle Sams Cider (5/13/2022)")</f>
        <v>Uncle Sams Cider (5/13/2022)</v>
      </c>
      <c r="H3603" s="19"/>
    </row>
    <row r="3604">
      <c r="A3604" s="9"/>
      <c r="B3604" s="15"/>
      <c r="C3604" s="9">
        <f>IFERROR(__xludf.DUMMYFUNCTION("""COMPUTED_VALUE"""),44759.0518505671)</f>
        <v>44759.05185</v>
      </c>
      <c r="D3604" s="15">
        <f>IFERROR(__xludf.DUMMYFUNCTION("""COMPUTED_VALUE"""),1.004)</f>
        <v>1.004</v>
      </c>
      <c r="E3604" s="16">
        <f>IFERROR(__xludf.DUMMYFUNCTION("""COMPUTED_VALUE"""),67.0)</f>
        <v>67</v>
      </c>
      <c r="F3604" s="19" t="str">
        <f>IFERROR(__xludf.DUMMYFUNCTION("""COMPUTED_VALUE"""),"BLACK")</f>
        <v>BLACK</v>
      </c>
      <c r="G3604" s="20" t="str">
        <f>IFERROR(__xludf.DUMMYFUNCTION("""COMPUTED_VALUE"""),"Uncle Sams Cider (5/13/2022)")</f>
        <v>Uncle Sams Cider (5/13/2022)</v>
      </c>
      <c r="H3604" s="19"/>
    </row>
    <row r="3605">
      <c r="A3605" s="9"/>
      <c r="B3605" s="15"/>
      <c r="C3605" s="9">
        <f>IFERROR(__xludf.DUMMYFUNCTION("""COMPUTED_VALUE"""),44759.0414174884)</f>
        <v>44759.04142</v>
      </c>
      <c r="D3605" s="15">
        <f>IFERROR(__xludf.DUMMYFUNCTION("""COMPUTED_VALUE"""),1.004)</f>
        <v>1.004</v>
      </c>
      <c r="E3605" s="16">
        <f>IFERROR(__xludf.DUMMYFUNCTION("""COMPUTED_VALUE"""),67.0)</f>
        <v>67</v>
      </c>
      <c r="F3605" s="19" t="str">
        <f>IFERROR(__xludf.DUMMYFUNCTION("""COMPUTED_VALUE"""),"BLACK")</f>
        <v>BLACK</v>
      </c>
      <c r="G3605" s="20" t="str">
        <f>IFERROR(__xludf.DUMMYFUNCTION("""COMPUTED_VALUE"""),"Uncle Sams Cider (5/13/2022)")</f>
        <v>Uncle Sams Cider (5/13/2022)</v>
      </c>
      <c r="H3605" s="19"/>
    </row>
    <row r="3606">
      <c r="A3606" s="9"/>
      <c r="B3606" s="15"/>
      <c r="C3606" s="9">
        <f>IFERROR(__xludf.DUMMYFUNCTION("""COMPUTED_VALUE"""),44759.0309969444)</f>
        <v>44759.031</v>
      </c>
      <c r="D3606" s="15">
        <f>IFERROR(__xludf.DUMMYFUNCTION("""COMPUTED_VALUE"""),1.004)</f>
        <v>1.004</v>
      </c>
      <c r="E3606" s="16">
        <f>IFERROR(__xludf.DUMMYFUNCTION("""COMPUTED_VALUE"""),67.0)</f>
        <v>67</v>
      </c>
      <c r="F3606" s="19" t="str">
        <f>IFERROR(__xludf.DUMMYFUNCTION("""COMPUTED_VALUE"""),"BLACK")</f>
        <v>BLACK</v>
      </c>
      <c r="G3606" s="20" t="str">
        <f>IFERROR(__xludf.DUMMYFUNCTION("""COMPUTED_VALUE"""),"Uncle Sams Cider (5/13/2022)")</f>
        <v>Uncle Sams Cider (5/13/2022)</v>
      </c>
      <c r="H3606" s="19"/>
    </row>
    <row r="3607">
      <c r="A3607" s="9"/>
      <c r="B3607" s="15"/>
      <c r="C3607" s="9">
        <f>IFERROR(__xludf.DUMMYFUNCTION("""COMPUTED_VALUE"""),44759.0205640625)</f>
        <v>44759.02056</v>
      </c>
      <c r="D3607" s="15">
        <f>IFERROR(__xludf.DUMMYFUNCTION("""COMPUTED_VALUE"""),1.004)</f>
        <v>1.004</v>
      </c>
      <c r="E3607" s="16">
        <f>IFERROR(__xludf.DUMMYFUNCTION("""COMPUTED_VALUE"""),67.0)</f>
        <v>67</v>
      </c>
      <c r="F3607" s="19" t="str">
        <f>IFERROR(__xludf.DUMMYFUNCTION("""COMPUTED_VALUE"""),"BLACK")</f>
        <v>BLACK</v>
      </c>
      <c r="G3607" s="20" t="str">
        <f>IFERROR(__xludf.DUMMYFUNCTION("""COMPUTED_VALUE"""),"Uncle Sams Cider (5/13/2022)")</f>
        <v>Uncle Sams Cider (5/13/2022)</v>
      </c>
      <c r="H3607" s="19"/>
    </row>
    <row r="3608">
      <c r="A3608" s="9"/>
      <c r="B3608" s="15"/>
      <c r="C3608" s="9">
        <f>IFERROR(__xludf.DUMMYFUNCTION("""COMPUTED_VALUE"""),44759.0101430092)</f>
        <v>44759.01014</v>
      </c>
      <c r="D3608" s="15">
        <f>IFERROR(__xludf.DUMMYFUNCTION("""COMPUTED_VALUE"""),1.004)</f>
        <v>1.004</v>
      </c>
      <c r="E3608" s="16">
        <f>IFERROR(__xludf.DUMMYFUNCTION("""COMPUTED_VALUE"""),67.0)</f>
        <v>67</v>
      </c>
      <c r="F3608" s="19" t="str">
        <f>IFERROR(__xludf.DUMMYFUNCTION("""COMPUTED_VALUE"""),"BLACK")</f>
        <v>BLACK</v>
      </c>
      <c r="G3608" s="20" t="str">
        <f>IFERROR(__xludf.DUMMYFUNCTION("""COMPUTED_VALUE"""),"Uncle Sams Cider (5/13/2022)")</f>
        <v>Uncle Sams Cider (5/13/2022)</v>
      </c>
      <c r="H3608" s="19"/>
    </row>
    <row r="3609">
      <c r="A3609" s="9"/>
      <c r="B3609" s="15"/>
      <c r="C3609" s="9">
        <f>IFERROR(__xludf.DUMMYFUNCTION("""COMPUTED_VALUE"""),44758.9997217708)</f>
        <v>44758.99972</v>
      </c>
      <c r="D3609" s="15">
        <f>IFERROR(__xludf.DUMMYFUNCTION("""COMPUTED_VALUE"""),1.004)</f>
        <v>1.004</v>
      </c>
      <c r="E3609" s="16">
        <f>IFERROR(__xludf.DUMMYFUNCTION("""COMPUTED_VALUE"""),67.0)</f>
        <v>67</v>
      </c>
      <c r="F3609" s="19" t="str">
        <f>IFERROR(__xludf.DUMMYFUNCTION("""COMPUTED_VALUE"""),"BLACK")</f>
        <v>BLACK</v>
      </c>
      <c r="G3609" s="20" t="str">
        <f>IFERROR(__xludf.DUMMYFUNCTION("""COMPUTED_VALUE"""),"Uncle Sams Cider (5/13/2022)")</f>
        <v>Uncle Sams Cider (5/13/2022)</v>
      </c>
      <c r="H3609" s="19"/>
    </row>
    <row r="3610">
      <c r="A3610" s="9"/>
      <c r="B3610" s="15"/>
      <c r="C3610" s="9">
        <f>IFERROR(__xludf.DUMMYFUNCTION("""COMPUTED_VALUE"""),44758.9892987268)</f>
        <v>44758.9893</v>
      </c>
      <c r="D3610" s="15">
        <f>IFERROR(__xludf.DUMMYFUNCTION("""COMPUTED_VALUE"""),1.004)</f>
        <v>1.004</v>
      </c>
      <c r="E3610" s="16">
        <f>IFERROR(__xludf.DUMMYFUNCTION("""COMPUTED_VALUE"""),67.0)</f>
        <v>67</v>
      </c>
      <c r="F3610" s="19" t="str">
        <f>IFERROR(__xludf.DUMMYFUNCTION("""COMPUTED_VALUE"""),"BLACK")</f>
        <v>BLACK</v>
      </c>
      <c r="G3610" s="20" t="str">
        <f>IFERROR(__xludf.DUMMYFUNCTION("""COMPUTED_VALUE"""),"Uncle Sams Cider (5/13/2022)")</f>
        <v>Uncle Sams Cider (5/13/2022)</v>
      </c>
      <c r="H3610" s="19"/>
    </row>
    <row r="3611">
      <c r="A3611" s="9"/>
      <c r="B3611" s="15"/>
      <c r="C3611" s="9">
        <f>IFERROR(__xludf.DUMMYFUNCTION("""COMPUTED_VALUE"""),44758.9788766782)</f>
        <v>44758.97888</v>
      </c>
      <c r="D3611" s="15">
        <f>IFERROR(__xludf.DUMMYFUNCTION("""COMPUTED_VALUE"""),1.004)</f>
        <v>1.004</v>
      </c>
      <c r="E3611" s="16">
        <f>IFERROR(__xludf.DUMMYFUNCTION("""COMPUTED_VALUE"""),67.0)</f>
        <v>67</v>
      </c>
      <c r="F3611" s="19" t="str">
        <f>IFERROR(__xludf.DUMMYFUNCTION("""COMPUTED_VALUE"""),"BLACK")</f>
        <v>BLACK</v>
      </c>
      <c r="G3611" s="20" t="str">
        <f>IFERROR(__xludf.DUMMYFUNCTION("""COMPUTED_VALUE"""),"Uncle Sams Cider (5/13/2022)")</f>
        <v>Uncle Sams Cider (5/13/2022)</v>
      </c>
      <c r="H3611" s="19"/>
    </row>
    <row r="3612">
      <c r="A3612" s="9"/>
      <c r="B3612" s="15"/>
      <c r="C3612" s="9">
        <f>IFERROR(__xludf.DUMMYFUNCTION("""COMPUTED_VALUE"""),44758.9684563078)</f>
        <v>44758.96846</v>
      </c>
      <c r="D3612" s="15">
        <f>IFERROR(__xludf.DUMMYFUNCTION("""COMPUTED_VALUE"""),1.004)</f>
        <v>1.004</v>
      </c>
      <c r="E3612" s="16">
        <f>IFERROR(__xludf.DUMMYFUNCTION("""COMPUTED_VALUE"""),67.0)</f>
        <v>67</v>
      </c>
      <c r="F3612" s="19" t="str">
        <f>IFERROR(__xludf.DUMMYFUNCTION("""COMPUTED_VALUE"""),"BLACK")</f>
        <v>BLACK</v>
      </c>
      <c r="G3612" s="20" t="str">
        <f>IFERROR(__xludf.DUMMYFUNCTION("""COMPUTED_VALUE"""),"Uncle Sams Cider (5/13/2022)")</f>
        <v>Uncle Sams Cider (5/13/2022)</v>
      </c>
      <c r="H3612" s="19"/>
    </row>
    <row r="3613">
      <c r="A3613" s="9"/>
      <c r="B3613" s="15"/>
      <c r="C3613" s="9">
        <f>IFERROR(__xludf.DUMMYFUNCTION("""COMPUTED_VALUE"""),44758.9580335532)</f>
        <v>44758.95803</v>
      </c>
      <c r="D3613" s="15">
        <f>IFERROR(__xludf.DUMMYFUNCTION("""COMPUTED_VALUE"""),1.004)</f>
        <v>1.004</v>
      </c>
      <c r="E3613" s="16">
        <f>IFERROR(__xludf.DUMMYFUNCTION("""COMPUTED_VALUE"""),67.0)</f>
        <v>67</v>
      </c>
      <c r="F3613" s="19" t="str">
        <f>IFERROR(__xludf.DUMMYFUNCTION("""COMPUTED_VALUE"""),"BLACK")</f>
        <v>BLACK</v>
      </c>
      <c r="G3613" s="20" t="str">
        <f>IFERROR(__xludf.DUMMYFUNCTION("""COMPUTED_VALUE"""),"Uncle Sams Cider (5/13/2022)")</f>
        <v>Uncle Sams Cider (5/13/2022)</v>
      </c>
      <c r="H3613" s="19"/>
    </row>
    <row r="3614">
      <c r="A3614" s="9"/>
      <c r="B3614" s="15"/>
      <c r="C3614" s="9">
        <f>IFERROR(__xludf.DUMMYFUNCTION("""COMPUTED_VALUE"""),44758.9476109143)</f>
        <v>44758.94761</v>
      </c>
      <c r="D3614" s="15">
        <f>IFERROR(__xludf.DUMMYFUNCTION("""COMPUTED_VALUE"""),1.004)</f>
        <v>1.004</v>
      </c>
      <c r="E3614" s="16">
        <f>IFERROR(__xludf.DUMMYFUNCTION("""COMPUTED_VALUE"""),67.0)</f>
        <v>67</v>
      </c>
      <c r="F3614" s="19" t="str">
        <f>IFERROR(__xludf.DUMMYFUNCTION("""COMPUTED_VALUE"""),"BLACK")</f>
        <v>BLACK</v>
      </c>
      <c r="G3614" s="20" t="str">
        <f>IFERROR(__xludf.DUMMYFUNCTION("""COMPUTED_VALUE"""),"Uncle Sams Cider (5/13/2022)")</f>
        <v>Uncle Sams Cider (5/13/2022)</v>
      </c>
      <c r="H3614" s="19"/>
    </row>
    <row r="3615">
      <c r="A3615" s="9"/>
      <c r="B3615" s="15"/>
      <c r="C3615" s="9">
        <f>IFERROR(__xludf.DUMMYFUNCTION("""COMPUTED_VALUE"""),44758.9371895486)</f>
        <v>44758.93719</v>
      </c>
      <c r="D3615" s="15">
        <f>IFERROR(__xludf.DUMMYFUNCTION("""COMPUTED_VALUE"""),1.004)</f>
        <v>1.004</v>
      </c>
      <c r="E3615" s="16">
        <f>IFERROR(__xludf.DUMMYFUNCTION("""COMPUTED_VALUE"""),67.0)</f>
        <v>67</v>
      </c>
      <c r="F3615" s="19" t="str">
        <f>IFERROR(__xludf.DUMMYFUNCTION("""COMPUTED_VALUE"""),"BLACK")</f>
        <v>BLACK</v>
      </c>
      <c r="G3615" s="20" t="str">
        <f>IFERROR(__xludf.DUMMYFUNCTION("""COMPUTED_VALUE"""),"Uncle Sams Cider (5/13/2022)")</f>
        <v>Uncle Sams Cider (5/13/2022)</v>
      </c>
      <c r="H3615" s="19"/>
    </row>
    <row r="3616">
      <c r="A3616" s="9"/>
      <c r="B3616" s="15"/>
      <c r="C3616" s="9">
        <f>IFERROR(__xludf.DUMMYFUNCTION("""COMPUTED_VALUE"""),44758.9267573379)</f>
        <v>44758.92676</v>
      </c>
      <c r="D3616" s="15">
        <f>IFERROR(__xludf.DUMMYFUNCTION("""COMPUTED_VALUE"""),1.004)</f>
        <v>1.004</v>
      </c>
      <c r="E3616" s="16">
        <f>IFERROR(__xludf.DUMMYFUNCTION("""COMPUTED_VALUE"""),67.0)</f>
        <v>67</v>
      </c>
      <c r="F3616" s="19" t="str">
        <f>IFERROR(__xludf.DUMMYFUNCTION("""COMPUTED_VALUE"""),"BLACK")</f>
        <v>BLACK</v>
      </c>
      <c r="G3616" s="20" t="str">
        <f>IFERROR(__xludf.DUMMYFUNCTION("""COMPUTED_VALUE"""),"Uncle Sams Cider (5/13/2022)")</f>
        <v>Uncle Sams Cider (5/13/2022)</v>
      </c>
      <c r="H3616" s="19"/>
    </row>
    <row r="3617">
      <c r="A3617" s="9"/>
      <c r="B3617" s="15"/>
      <c r="C3617" s="9">
        <f>IFERROR(__xludf.DUMMYFUNCTION("""COMPUTED_VALUE"""),44758.9163354398)</f>
        <v>44758.91634</v>
      </c>
      <c r="D3617" s="15">
        <f>IFERROR(__xludf.DUMMYFUNCTION("""COMPUTED_VALUE"""),1.004)</f>
        <v>1.004</v>
      </c>
      <c r="E3617" s="16">
        <f>IFERROR(__xludf.DUMMYFUNCTION("""COMPUTED_VALUE"""),67.0)</f>
        <v>67</v>
      </c>
      <c r="F3617" s="19" t="str">
        <f>IFERROR(__xludf.DUMMYFUNCTION("""COMPUTED_VALUE"""),"BLACK")</f>
        <v>BLACK</v>
      </c>
      <c r="G3617" s="20" t="str">
        <f>IFERROR(__xludf.DUMMYFUNCTION("""COMPUTED_VALUE"""),"Uncle Sams Cider (5/13/2022)")</f>
        <v>Uncle Sams Cider (5/13/2022)</v>
      </c>
      <c r="H3617" s="19"/>
    </row>
    <row r="3618">
      <c r="A3618" s="9"/>
      <c r="B3618" s="15"/>
      <c r="C3618" s="9">
        <f>IFERROR(__xludf.DUMMYFUNCTION("""COMPUTED_VALUE"""),44758.9059139236)</f>
        <v>44758.90591</v>
      </c>
      <c r="D3618" s="15">
        <f>IFERROR(__xludf.DUMMYFUNCTION("""COMPUTED_VALUE"""),1.004)</f>
        <v>1.004</v>
      </c>
      <c r="E3618" s="16">
        <f>IFERROR(__xludf.DUMMYFUNCTION("""COMPUTED_VALUE"""),67.0)</f>
        <v>67</v>
      </c>
      <c r="F3618" s="19" t="str">
        <f>IFERROR(__xludf.DUMMYFUNCTION("""COMPUTED_VALUE"""),"BLACK")</f>
        <v>BLACK</v>
      </c>
      <c r="G3618" s="20" t="str">
        <f>IFERROR(__xludf.DUMMYFUNCTION("""COMPUTED_VALUE"""),"Uncle Sams Cider (5/13/2022)")</f>
        <v>Uncle Sams Cider (5/13/2022)</v>
      </c>
      <c r="H3618" s="19"/>
    </row>
    <row r="3619">
      <c r="A3619" s="9"/>
      <c r="B3619" s="15"/>
      <c r="C3619" s="9">
        <f>IFERROR(__xludf.DUMMYFUNCTION("""COMPUTED_VALUE"""),44758.8954944213)</f>
        <v>44758.89549</v>
      </c>
      <c r="D3619" s="15">
        <f>IFERROR(__xludf.DUMMYFUNCTION("""COMPUTED_VALUE"""),1.004)</f>
        <v>1.004</v>
      </c>
      <c r="E3619" s="16">
        <f>IFERROR(__xludf.DUMMYFUNCTION("""COMPUTED_VALUE"""),67.0)</f>
        <v>67</v>
      </c>
      <c r="F3619" s="19" t="str">
        <f>IFERROR(__xludf.DUMMYFUNCTION("""COMPUTED_VALUE"""),"BLACK")</f>
        <v>BLACK</v>
      </c>
      <c r="G3619" s="20" t="str">
        <f>IFERROR(__xludf.DUMMYFUNCTION("""COMPUTED_VALUE"""),"Uncle Sams Cider (5/13/2022)")</f>
        <v>Uncle Sams Cider (5/13/2022)</v>
      </c>
      <c r="H3619" s="19"/>
    </row>
    <row r="3620">
      <c r="A3620" s="9"/>
      <c r="B3620" s="15"/>
      <c r="C3620" s="9">
        <f>IFERROR(__xludf.DUMMYFUNCTION("""COMPUTED_VALUE"""),44758.8850634722)</f>
        <v>44758.88506</v>
      </c>
      <c r="D3620" s="15">
        <f>IFERROR(__xludf.DUMMYFUNCTION("""COMPUTED_VALUE"""),1.004)</f>
        <v>1.004</v>
      </c>
      <c r="E3620" s="16">
        <f>IFERROR(__xludf.DUMMYFUNCTION("""COMPUTED_VALUE"""),67.0)</f>
        <v>67</v>
      </c>
      <c r="F3620" s="19" t="str">
        <f>IFERROR(__xludf.DUMMYFUNCTION("""COMPUTED_VALUE"""),"BLACK")</f>
        <v>BLACK</v>
      </c>
      <c r="G3620" s="20" t="str">
        <f>IFERROR(__xludf.DUMMYFUNCTION("""COMPUTED_VALUE"""),"Uncle Sams Cider (5/13/2022)")</f>
        <v>Uncle Sams Cider (5/13/2022)</v>
      </c>
      <c r="H3620" s="19"/>
    </row>
    <row r="3621">
      <c r="A3621" s="9"/>
      <c r="B3621" s="15"/>
      <c r="C3621" s="9">
        <f>IFERROR(__xludf.DUMMYFUNCTION("""COMPUTED_VALUE"""),44758.8746413773)</f>
        <v>44758.87464</v>
      </c>
      <c r="D3621" s="15">
        <f>IFERROR(__xludf.DUMMYFUNCTION("""COMPUTED_VALUE"""),1.004)</f>
        <v>1.004</v>
      </c>
      <c r="E3621" s="16">
        <f>IFERROR(__xludf.DUMMYFUNCTION("""COMPUTED_VALUE"""),67.0)</f>
        <v>67</v>
      </c>
      <c r="F3621" s="19" t="str">
        <f>IFERROR(__xludf.DUMMYFUNCTION("""COMPUTED_VALUE"""),"BLACK")</f>
        <v>BLACK</v>
      </c>
      <c r="G3621" s="20" t="str">
        <f>IFERROR(__xludf.DUMMYFUNCTION("""COMPUTED_VALUE"""),"Uncle Sams Cider (5/13/2022)")</f>
        <v>Uncle Sams Cider (5/13/2022)</v>
      </c>
      <c r="H3621" s="19"/>
    </row>
    <row r="3622">
      <c r="A3622" s="9"/>
      <c r="B3622" s="15"/>
      <c r="C3622" s="9">
        <f>IFERROR(__xludf.DUMMYFUNCTION("""COMPUTED_VALUE"""),44758.8642209259)</f>
        <v>44758.86422</v>
      </c>
      <c r="D3622" s="15">
        <f>IFERROR(__xludf.DUMMYFUNCTION("""COMPUTED_VALUE"""),1.004)</f>
        <v>1.004</v>
      </c>
      <c r="E3622" s="16">
        <f>IFERROR(__xludf.DUMMYFUNCTION("""COMPUTED_VALUE"""),67.0)</f>
        <v>67</v>
      </c>
      <c r="F3622" s="19" t="str">
        <f>IFERROR(__xludf.DUMMYFUNCTION("""COMPUTED_VALUE"""),"BLACK")</f>
        <v>BLACK</v>
      </c>
      <c r="G3622" s="20" t="str">
        <f>IFERROR(__xludf.DUMMYFUNCTION("""COMPUTED_VALUE"""),"Uncle Sams Cider (5/13/2022)")</f>
        <v>Uncle Sams Cider (5/13/2022)</v>
      </c>
      <c r="H3622" s="19"/>
    </row>
    <row r="3623">
      <c r="A3623" s="9"/>
      <c r="B3623" s="15"/>
      <c r="C3623" s="9">
        <f>IFERROR(__xludf.DUMMYFUNCTION("""COMPUTED_VALUE"""),44758.8537987731)</f>
        <v>44758.8538</v>
      </c>
      <c r="D3623" s="15">
        <f>IFERROR(__xludf.DUMMYFUNCTION("""COMPUTED_VALUE"""),1.004)</f>
        <v>1.004</v>
      </c>
      <c r="E3623" s="16">
        <f>IFERROR(__xludf.DUMMYFUNCTION("""COMPUTED_VALUE"""),67.0)</f>
        <v>67</v>
      </c>
      <c r="F3623" s="19" t="str">
        <f>IFERROR(__xludf.DUMMYFUNCTION("""COMPUTED_VALUE"""),"BLACK")</f>
        <v>BLACK</v>
      </c>
      <c r="G3623" s="20" t="str">
        <f>IFERROR(__xludf.DUMMYFUNCTION("""COMPUTED_VALUE"""),"Uncle Sams Cider (5/13/2022)")</f>
        <v>Uncle Sams Cider (5/13/2022)</v>
      </c>
      <c r="H3623" s="19"/>
    </row>
    <row r="3624">
      <c r="A3624" s="9"/>
      <c r="B3624" s="15"/>
      <c r="C3624" s="9">
        <f>IFERROR(__xludf.DUMMYFUNCTION("""COMPUTED_VALUE"""),44758.8433767245)</f>
        <v>44758.84338</v>
      </c>
      <c r="D3624" s="15">
        <f>IFERROR(__xludf.DUMMYFUNCTION("""COMPUTED_VALUE"""),1.004)</f>
        <v>1.004</v>
      </c>
      <c r="E3624" s="16">
        <f>IFERROR(__xludf.DUMMYFUNCTION("""COMPUTED_VALUE"""),67.0)</f>
        <v>67</v>
      </c>
      <c r="F3624" s="19" t="str">
        <f>IFERROR(__xludf.DUMMYFUNCTION("""COMPUTED_VALUE"""),"BLACK")</f>
        <v>BLACK</v>
      </c>
      <c r="G3624" s="20" t="str">
        <f>IFERROR(__xludf.DUMMYFUNCTION("""COMPUTED_VALUE"""),"Uncle Sams Cider (5/13/2022)")</f>
        <v>Uncle Sams Cider (5/13/2022)</v>
      </c>
      <c r="H3624" s="19"/>
    </row>
    <row r="3625">
      <c r="A3625" s="9"/>
      <c r="B3625" s="15"/>
      <c r="C3625" s="9">
        <f>IFERROR(__xludf.DUMMYFUNCTION("""COMPUTED_VALUE"""),44758.8329544675)</f>
        <v>44758.83295</v>
      </c>
      <c r="D3625" s="15">
        <f>IFERROR(__xludf.DUMMYFUNCTION("""COMPUTED_VALUE"""),1.004)</f>
        <v>1.004</v>
      </c>
      <c r="E3625" s="16">
        <f>IFERROR(__xludf.DUMMYFUNCTION("""COMPUTED_VALUE"""),67.0)</f>
        <v>67</v>
      </c>
      <c r="F3625" s="19" t="str">
        <f>IFERROR(__xludf.DUMMYFUNCTION("""COMPUTED_VALUE"""),"BLACK")</f>
        <v>BLACK</v>
      </c>
      <c r="G3625" s="20" t="str">
        <f>IFERROR(__xludf.DUMMYFUNCTION("""COMPUTED_VALUE"""),"Uncle Sams Cider (5/13/2022)")</f>
        <v>Uncle Sams Cider (5/13/2022)</v>
      </c>
      <c r="H3625" s="19"/>
    </row>
    <row r="3626">
      <c r="A3626" s="9"/>
      <c r="B3626" s="15"/>
      <c r="C3626" s="9">
        <f>IFERROR(__xludf.DUMMYFUNCTION("""COMPUTED_VALUE"""),44758.822533287)</f>
        <v>44758.82253</v>
      </c>
      <c r="D3626" s="15">
        <f>IFERROR(__xludf.DUMMYFUNCTION("""COMPUTED_VALUE"""),1.004)</f>
        <v>1.004</v>
      </c>
      <c r="E3626" s="16">
        <f>IFERROR(__xludf.DUMMYFUNCTION("""COMPUTED_VALUE"""),67.0)</f>
        <v>67</v>
      </c>
      <c r="F3626" s="19" t="str">
        <f>IFERROR(__xludf.DUMMYFUNCTION("""COMPUTED_VALUE"""),"BLACK")</f>
        <v>BLACK</v>
      </c>
      <c r="G3626" s="20" t="str">
        <f>IFERROR(__xludf.DUMMYFUNCTION("""COMPUTED_VALUE"""),"Uncle Sams Cider (5/13/2022)")</f>
        <v>Uncle Sams Cider (5/13/2022)</v>
      </c>
      <c r="H3626" s="19"/>
    </row>
    <row r="3627">
      <c r="A3627" s="9"/>
      <c r="B3627" s="15"/>
      <c r="C3627" s="9">
        <f>IFERROR(__xludf.DUMMYFUNCTION("""COMPUTED_VALUE"""),44758.8121128125)</f>
        <v>44758.81211</v>
      </c>
      <c r="D3627" s="15">
        <f>IFERROR(__xludf.DUMMYFUNCTION("""COMPUTED_VALUE"""),1.004)</f>
        <v>1.004</v>
      </c>
      <c r="E3627" s="16">
        <f>IFERROR(__xludf.DUMMYFUNCTION("""COMPUTED_VALUE"""),67.0)</f>
        <v>67</v>
      </c>
      <c r="F3627" s="19" t="str">
        <f>IFERROR(__xludf.DUMMYFUNCTION("""COMPUTED_VALUE"""),"BLACK")</f>
        <v>BLACK</v>
      </c>
      <c r="G3627" s="20" t="str">
        <f>IFERROR(__xludf.DUMMYFUNCTION("""COMPUTED_VALUE"""),"Uncle Sams Cider (5/13/2022)")</f>
        <v>Uncle Sams Cider (5/13/2022)</v>
      </c>
      <c r="H3627" s="19"/>
    </row>
    <row r="3628">
      <c r="A3628" s="9"/>
      <c r="B3628" s="15"/>
      <c r="C3628" s="9">
        <f>IFERROR(__xludf.DUMMYFUNCTION("""COMPUTED_VALUE"""),44758.8016680439)</f>
        <v>44758.80167</v>
      </c>
      <c r="D3628" s="15">
        <f>IFERROR(__xludf.DUMMYFUNCTION("""COMPUTED_VALUE"""),1.004)</f>
        <v>1.004</v>
      </c>
      <c r="E3628" s="16">
        <f>IFERROR(__xludf.DUMMYFUNCTION("""COMPUTED_VALUE"""),67.0)</f>
        <v>67</v>
      </c>
      <c r="F3628" s="19" t="str">
        <f>IFERROR(__xludf.DUMMYFUNCTION("""COMPUTED_VALUE"""),"BLACK")</f>
        <v>BLACK</v>
      </c>
      <c r="G3628" s="20" t="str">
        <f>IFERROR(__xludf.DUMMYFUNCTION("""COMPUTED_VALUE"""),"Uncle Sams Cider (5/13/2022)")</f>
        <v>Uncle Sams Cider (5/13/2022)</v>
      </c>
      <c r="H3628" s="19"/>
    </row>
    <row r="3629">
      <c r="A3629" s="9"/>
      <c r="B3629" s="15"/>
      <c r="C3629" s="9">
        <f>IFERROR(__xludf.DUMMYFUNCTION("""COMPUTED_VALUE"""),44758.7912476273)</f>
        <v>44758.79125</v>
      </c>
      <c r="D3629" s="15">
        <f>IFERROR(__xludf.DUMMYFUNCTION("""COMPUTED_VALUE"""),1.004)</f>
        <v>1.004</v>
      </c>
      <c r="E3629" s="16">
        <f>IFERROR(__xludf.DUMMYFUNCTION("""COMPUTED_VALUE"""),67.0)</f>
        <v>67</v>
      </c>
      <c r="F3629" s="19" t="str">
        <f>IFERROR(__xludf.DUMMYFUNCTION("""COMPUTED_VALUE"""),"BLACK")</f>
        <v>BLACK</v>
      </c>
      <c r="G3629" s="20" t="str">
        <f>IFERROR(__xludf.DUMMYFUNCTION("""COMPUTED_VALUE"""),"Uncle Sams Cider (5/13/2022)")</f>
        <v>Uncle Sams Cider (5/13/2022)</v>
      </c>
      <c r="H3629" s="19"/>
    </row>
    <row r="3630">
      <c r="A3630" s="9"/>
      <c r="B3630" s="15"/>
      <c r="C3630" s="9">
        <f>IFERROR(__xludf.DUMMYFUNCTION("""COMPUTED_VALUE"""),44758.7808157407)</f>
        <v>44758.78082</v>
      </c>
      <c r="D3630" s="15">
        <f>IFERROR(__xludf.DUMMYFUNCTION("""COMPUTED_VALUE"""),1.004)</f>
        <v>1.004</v>
      </c>
      <c r="E3630" s="16">
        <f>IFERROR(__xludf.DUMMYFUNCTION("""COMPUTED_VALUE"""),67.0)</f>
        <v>67</v>
      </c>
      <c r="F3630" s="19" t="str">
        <f>IFERROR(__xludf.DUMMYFUNCTION("""COMPUTED_VALUE"""),"BLACK")</f>
        <v>BLACK</v>
      </c>
      <c r="G3630" s="20" t="str">
        <f>IFERROR(__xludf.DUMMYFUNCTION("""COMPUTED_VALUE"""),"Uncle Sams Cider (5/13/2022)")</f>
        <v>Uncle Sams Cider (5/13/2022)</v>
      </c>
      <c r="H3630" s="19"/>
    </row>
    <row r="3631">
      <c r="A3631" s="9"/>
      <c r="B3631" s="15"/>
      <c r="C3631" s="9">
        <f>IFERROR(__xludf.DUMMYFUNCTION("""COMPUTED_VALUE"""),44758.7703940162)</f>
        <v>44758.77039</v>
      </c>
      <c r="D3631" s="15">
        <f>IFERROR(__xludf.DUMMYFUNCTION("""COMPUTED_VALUE"""),1.004)</f>
        <v>1.004</v>
      </c>
      <c r="E3631" s="16">
        <f>IFERROR(__xludf.DUMMYFUNCTION("""COMPUTED_VALUE"""),67.0)</f>
        <v>67</v>
      </c>
      <c r="F3631" s="19" t="str">
        <f>IFERROR(__xludf.DUMMYFUNCTION("""COMPUTED_VALUE"""),"BLACK")</f>
        <v>BLACK</v>
      </c>
      <c r="G3631" s="20" t="str">
        <f>IFERROR(__xludf.DUMMYFUNCTION("""COMPUTED_VALUE"""),"Uncle Sams Cider (5/13/2022)")</f>
        <v>Uncle Sams Cider (5/13/2022)</v>
      </c>
      <c r="H3631" s="19"/>
    </row>
    <row r="3632">
      <c r="A3632" s="9"/>
      <c r="B3632" s="15"/>
      <c r="C3632" s="9">
        <f>IFERROR(__xludf.DUMMYFUNCTION("""COMPUTED_VALUE"""),44758.7599744213)</f>
        <v>44758.75997</v>
      </c>
      <c r="D3632" s="15">
        <f>IFERROR(__xludf.DUMMYFUNCTION("""COMPUTED_VALUE"""),1.004)</f>
        <v>1.004</v>
      </c>
      <c r="E3632" s="16">
        <f>IFERROR(__xludf.DUMMYFUNCTION("""COMPUTED_VALUE"""),67.0)</f>
        <v>67</v>
      </c>
      <c r="F3632" s="19" t="str">
        <f>IFERROR(__xludf.DUMMYFUNCTION("""COMPUTED_VALUE"""),"BLACK")</f>
        <v>BLACK</v>
      </c>
      <c r="G3632" s="20" t="str">
        <f>IFERROR(__xludf.DUMMYFUNCTION("""COMPUTED_VALUE"""),"Uncle Sams Cider (5/13/2022)")</f>
        <v>Uncle Sams Cider (5/13/2022)</v>
      </c>
      <c r="H3632" s="19"/>
    </row>
    <row r="3633">
      <c r="A3633" s="9"/>
      <c r="B3633" s="15"/>
      <c r="C3633" s="9">
        <f>IFERROR(__xludf.DUMMYFUNCTION("""COMPUTED_VALUE"""),44758.7495542361)</f>
        <v>44758.74955</v>
      </c>
      <c r="D3633" s="15">
        <f>IFERROR(__xludf.DUMMYFUNCTION("""COMPUTED_VALUE"""),1.004)</f>
        <v>1.004</v>
      </c>
      <c r="E3633" s="16">
        <f>IFERROR(__xludf.DUMMYFUNCTION("""COMPUTED_VALUE"""),67.0)</f>
        <v>67</v>
      </c>
      <c r="F3633" s="19" t="str">
        <f>IFERROR(__xludf.DUMMYFUNCTION("""COMPUTED_VALUE"""),"BLACK")</f>
        <v>BLACK</v>
      </c>
      <c r="G3633" s="20" t="str">
        <f>IFERROR(__xludf.DUMMYFUNCTION("""COMPUTED_VALUE"""),"Uncle Sams Cider (5/13/2022)")</f>
        <v>Uncle Sams Cider (5/13/2022)</v>
      </c>
      <c r="H3633" s="19"/>
    </row>
    <row r="3634">
      <c r="A3634" s="9"/>
      <c r="B3634" s="15"/>
      <c r="C3634" s="9">
        <f>IFERROR(__xludf.DUMMYFUNCTION("""COMPUTED_VALUE"""),44758.7391209143)</f>
        <v>44758.73912</v>
      </c>
      <c r="D3634" s="15">
        <f>IFERROR(__xludf.DUMMYFUNCTION("""COMPUTED_VALUE"""),1.004)</f>
        <v>1.004</v>
      </c>
      <c r="E3634" s="16">
        <f>IFERROR(__xludf.DUMMYFUNCTION("""COMPUTED_VALUE"""),67.0)</f>
        <v>67</v>
      </c>
      <c r="F3634" s="19" t="str">
        <f>IFERROR(__xludf.DUMMYFUNCTION("""COMPUTED_VALUE"""),"BLACK")</f>
        <v>BLACK</v>
      </c>
      <c r="G3634" s="20" t="str">
        <f>IFERROR(__xludf.DUMMYFUNCTION("""COMPUTED_VALUE"""),"Uncle Sams Cider (5/13/2022)")</f>
        <v>Uncle Sams Cider (5/13/2022)</v>
      </c>
      <c r="H3634" s="19"/>
    </row>
    <row r="3635">
      <c r="A3635" s="9"/>
      <c r="B3635" s="15"/>
      <c r="C3635" s="9">
        <f>IFERROR(__xludf.DUMMYFUNCTION("""COMPUTED_VALUE"""),44758.7286997453)</f>
        <v>44758.7287</v>
      </c>
      <c r="D3635" s="15">
        <f>IFERROR(__xludf.DUMMYFUNCTION("""COMPUTED_VALUE"""),1.004)</f>
        <v>1.004</v>
      </c>
      <c r="E3635" s="16">
        <f>IFERROR(__xludf.DUMMYFUNCTION("""COMPUTED_VALUE"""),67.0)</f>
        <v>67</v>
      </c>
      <c r="F3635" s="19" t="str">
        <f>IFERROR(__xludf.DUMMYFUNCTION("""COMPUTED_VALUE"""),"BLACK")</f>
        <v>BLACK</v>
      </c>
      <c r="G3635" s="20" t="str">
        <f>IFERROR(__xludf.DUMMYFUNCTION("""COMPUTED_VALUE"""),"Uncle Sams Cider (5/13/2022)")</f>
        <v>Uncle Sams Cider (5/13/2022)</v>
      </c>
      <c r="H3635" s="19"/>
    </row>
    <row r="3636">
      <c r="A3636" s="9"/>
      <c r="B3636" s="15"/>
      <c r="C3636" s="9">
        <f>IFERROR(__xludf.DUMMYFUNCTION("""COMPUTED_VALUE"""),44758.7182796064)</f>
        <v>44758.71828</v>
      </c>
      <c r="D3636" s="15">
        <f>IFERROR(__xludf.DUMMYFUNCTION("""COMPUTED_VALUE"""),1.004)</f>
        <v>1.004</v>
      </c>
      <c r="E3636" s="16">
        <f>IFERROR(__xludf.DUMMYFUNCTION("""COMPUTED_VALUE"""),67.0)</f>
        <v>67</v>
      </c>
      <c r="F3636" s="19" t="str">
        <f>IFERROR(__xludf.DUMMYFUNCTION("""COMPUTED_VALUE"""),"BLACK")</f>
        <v>BLACK</v>
      </c>
      <c r="G3636" s="20" t="str">
        <f>IFERROR(__xludf.DUMMYFUNCTION("""COMPUTED_VALUE"""),"Uncle Sams Cider (5/13/2022)")</f>
        <v>Uncle Sams Cider (5/13/2022)</v>
      </c>
      <c r="H3636" s="19"/>
    </row>
    <row r="3637">
      <c r="A3637" s="9"/>
      <c r="B3637" s="15"/>
      <c r="C3637" s="9">
        <f>IFERROR(__xludf.DUMMYFUNCTION("""COMPUTED_VALUE"""),44758.7078571643)</f>
        <v>44758.70786</v>
      </c>
      <c r="D3637" s="15">
        <f>IFERROR(__xludf.DUMMYFUNCTION("""COMPUTED_VALUE"""),1.004)</f>
        <v>1.004</v>
      </c>
      <c r="E3637" s="16">
        <f>IFERROR(__xludf.DUMMYFUNCTION("""COMPUTED_VALUE"""),67.0)</f>
        <v>67</v>
      </c>
      <c r="F3637" s="19" t="str">
        <f>IFERROR(__xludf.DUMMYFUNCTION("""COMPUTED_VALUE"""),"BLACK")</f>
        <v>BLACK</v>
      </c>
      <c r="G3637" s="20" t="str">
        <f>IFERROR(__xludf.DUMMYFUNCTION("""COMPUTED_VALUE"""),"Uncle Sams Cider (5/13/2022)")</f>
        <v>Uncle Sams Cider (5/13/2022)</v>
      </c>
      <c r="H3637" s="19"/>
    </row>
    <row r="3638">
      <c r="A3638" s="9"/>
      <c r="B3638" s="15"/>
      <c r="C3638" s="9">
        <f>IFERROR(__xludf.DUMMYFUNCTION("""COMPUTED_VALUE"""),44758.697435706)</f>
        <v>44758.69744</v>
      </c>
      <c r="D3638" s="15">
        <f>IFERROR(__xludf.DUMMYFUNCTION("""COMPUTED_VALUE"""),1.004)</f>
        <v>1.004</v>
      </c>
      <c r="E3638" s="16">
        <f>IFERROR(__xludf.DUMMYFUNCTION("""COMPUTED_VALUE"""),67.0)</f>
        <v>67</v>
      </c>
      <c r="F3638" s="19" t="str">
        <f>IFERROR(__xludf.DUMMYFUNCTION("""COMPUTED_VALUE"""),"BLACK")</f>
        <v>BLACK</v>
      </c>
      <c r="G3638" s="20" t="str">
        <f>IFERROR(__xludf.DUMMYFUNCTION("""COMPUTED_VALUE"""),"Uncle Sams Cider (5/13/2022)")</f>
        <v>Uncle Sams Cider (5/13/2022)</v>
      </c>
      <c r="H3638" s="19"/>
    </row>
    <row r="3639">
      <c r="A3639" s="9"/>
      <c r="B3639" s="15"/>
      <c r="C3639" s="9">
        <f>IFERROR(__xludf.DUMMYFUNCTION("""COMPUTED_VALUE"""),44758.6869919791)</f>
        <v>44758.68699</v>
      </c>
      <c r="D3639" s="15">
        <f>IFERROR(__xludf.DUMMYFUNCTION("""COMPUTED_VALUE"""),1.004)</f>
        <v>1.004</v>
      </c>
      <c r="E3639" s="16">
        <f>IFERROR(__xludf.DUMMYFUNCTION("""COMPUTED_VALUE"""),67.0)</f>
        <v>67</v>
      </c>
      <c r="F3639" s="19" t="str">
        <f>IFERROR(__xludf.DUMMYFUNCTION("""COMPUTED_VALUE"""),"BLACK")</f>
        <v>BLACK</v>
      </c>
      <c r="G3639" s="20" t="str">
        <f>IFERROR(__xludf.DUMMYFUNCTION("""COMPUTED_VALUE"""),"Uncle Sams Cider (5/13/2022)")</f>
        <v>Uncle Sams Cider (5/13/2022)</v>
      </c>
      <c r="H3639" s="19"/>
    </row>
    <row r="3640">
      <c r="A3640" s="9"/>
      <c r="B3640" s="15"/>
      <c r="C3640" s="9">
        <f>IFERROR(__xludf.DUMMYFUNCTION("""COMPUTED_VALUE"""),44758.6765723495)</f>
        <v>44758.67657</v>
      </c>
      <c r="D3640" s="15">
        <f>IFERROR(__xludf.DUMMYFUNCTION("""COMPUTED_VALUE"""),1.004)</f>
        <v>1.004</v>
      </c>
      <c r="E3640" s="16">
        <f>IFERROR(__xludf.DUMMYFUNCTION("""COMPUTED_VALUE"""),67.0)</f>
        <v>67</v>
      </c>
      <c r="F3640" s="19" t="str">
        <f>IFERROR(__xludf.DUMMYFUNCTION("""COMPUTED_VALUE"""),"BLACK")</f>
        <v>BLACK</v>
      </c>
      <c r="G3640" s="20" t="str">
        <f>IFERROR(__xludf.DUMMYFUNCTION("""COMPUTED_VALUE"""),"Uncle Sams Cider (5/13/2022)")</f>
        <v>Uncle Sams Cider (5/13/2022)</v>
      </c>
      <c r="H3640" s="19"/>
    </row>
    <row r="3641">
      <c r="A3641" s="9"/>
      <c r="B3641" s="15"/>
      <c r="C3641" s="9">
        <f>IFERROR(__xludf.DUMMYFUNCTION("""COMPUTED_VALUE"""),44758.6661502662)</f>
        <v>44758.66615</v>
      </c>
      <c r="D3641" s="15">
        <f>IFERROR(__xludf.DUMMYFUNCTION("""COMPUTED_VALUE"""),1.004)</f>
        <v>1.004</v>
      </c>
      <c r="E3641" s="16">
        <f>IFERROR(__xludf.DUMMYFUNCTION("""COMPUTED_VALUE"""),67.0)</f>
        <v>67</v>
      </c>
      <c r="F3641" s="19" t="str">
        <f>IFERROR(__xludf.DUMMYFUNCTION("""COMPUTED_VALUE"""),"BLACK")</f>
        <v>BLACK</v>
      </c>
      <c r="G3641" s="20" t="str">
        <f>IFERROR(__xludf.DUMMYFUNCTION("""COMPUTED_VALUE"""),"Uncle Sams Cider (5/13/2022)")</f>
        <v>Uncle Sams Cider (5/13/2022)</v>
      </c>
      <c r="H3641" s="19"/>
    </row>
    <row r="3642">
      <c r="A3642" s="9"/>
      <c r="B3642" s="15"/>
      <c r="C3642" s="9">
        <f>IFERROR(__xludf.DUMMYFUNCTION("""COMPUTED_VALUE"""),44758.6557066319)</f>
        <v>44758.65571</v>
      </c>
      <c r="D3642" s="15">
        <f>IFERROR(__xludf.DUMMYFUNCTION("""COMPUTED_VALUE"""),1.004)</f>
        <v>1.004</v>
      </c>
      <c r="E3642" s="16">
        <f>IFERROR(__xludf.DUMMYFUNCTION("""COMPUTED_VALUE"""),67.0)</f>
        <v>67</v>
      </c>
      <c r="F3642" s="19" t="str">
        <f>IFERROR(__xludf.DUMMYFUNCTION("""COMPUTED_VALUE"""),"BLACK")</f>
        <v>BLACK</v>
      </c>
      <c r="G3642" s="20" t="str">
        <f>IFERROR(__xludf.DUMMYFUNCTION("""COMPUTED_VALUE"""),"Uncle Sams Cider (5/13/2022)")</f>
        <v>Uncle Sams Cider (5/13/2022)</v>
      </c>
      <c r="H3642" s="19"/>
    </row>
    <row r="3643">
      <c r="A3643" s="9"/>
      <c r="B3643" s="15"/>
      <c r="C3643" s="9">
        <f>IFERROR(__xludf.DUMMYFUNCTION("""COMPUTED_VALUE"""),44758.6452879398)</f>
        <v>44758.64529</v>
      </c>
      <c r="D3643" s="15">
        <f>IFERROR(__xludf.DUMMYFUNCTION("""COMPUTED_VALUE"""),1.004)</f>
        <v>1.004</v>
      </c>
      <c r="E3643" s="16">
        <f>IFERROR(__xludf.DUMMYFUNCTION("""COMPUTED_VALUE"""),67.0)</f>
        <v>67</v>
      </c>
      <c r="F3643" s="19" t="str">
        <f>IFERROR(__xludf.DUMMYFUNCTION("""COMPUTED_VALUE"""),"BLACK")</f>
        <v>BLACK</v>
      </c>
      <c r="G3643" s="20" t="str">
        <f>IFERROR(__xludf.DUMMYFUNCTION("""COMPUTED_VALUE"""),"Uncle Sams Cider (5/13/2022)")</f>
        <v>Uncle Sams Cider (5/13/2022)</v>
      </c>
      <c r="H3643" s="19"/>
    </row>
    <row r="3644">
      <c r="A3644" s="9"/>
      <c r="B3644" s="15"/>
      <c r="C3644" s="9">
        <f>IFERROR(__xludf.DUMMYFUNCTION("""COMPUTED_VALUE"""),44758.6348311805)</f>
        <v>44758.63483</v>
      </c>
      <c r="D3644" s="15">
        <f>IFERROR(__xludf.DUMMYFUNCTION("""COMPUTED_VALUE"""),1.004)</f>
        <v>1.004</v>
      </c>
      <c r="E3644" s="16">
        <f>IFERROR(__xludf.DUMMYFUNCTION("""COMPUTED_VALUE"""),67.0)</f>
        <v>67</v>
      </c>
      <c r="F3644" s="19" t="str">
        <f>IFERROR(__xludf.DUMMYFUNCTION("""COMPUTED_VALUE"""),"BLACK")</f>
        <v>BLACK</v>
      </c>
      <c r="G3644" s="20" t="str">
        <f>IFERROR(__xludf.DUMMYFUNCTION("""COMPUTED_VALUE"""),"Uncle Sams Cider (5/13/2022)")</f>
        <v>Uncle Sams Cider (5/13/2022)</v>
      </c>
      <c r="H3644" s="19"/>
    </row>
    <row r="3645">
      <c r="A3645" s="9"/>
      <c r="B3645" s="15"/>
      <c r="C3645" s="9">
        <f>IFERROR(__xludf.DUMMYFUNCTION("""COMPUTED_VALUE"""),44758.6244072685)</f>
        <v>44758.62441</v>
      </c>
      <c r="D3645" s="15">
        <f>IFERROR(__xludf.DUMMYFUNCTION("""COMPUTED_VALUE"""),1.004)</f>
        <v>1.004</v>
      </c>
      <c r="E3645" s="16">
        <f>IFERROR(__xludf.DUMMYFUNCTION("""COMPUTED_VALUE"""),67.0)</f>
        <v>67</v>
      </c>
      <c r="F3645" s="19" t="str">
        <f>IFERROR(__xludf.DUMMYFUNCTION("""COMPUTED_VALUE"""),"BLACK")</f>
        <v>BLACK</v>
      </c>
      <c r="G3645" s="20" t="str">
        <f>IFERROR(__xludf.DUMMYFUNCTION("""COMPUTED_VALUE"""),"Uncle Sams Cider (5/13/2022)")</f>
        <v>Uncle Sams Cider (5/13/2022)</v>
      </c>
      <c r="H3645" s="19"/>
    </row>
    <row r="3646">
      <c r="A3646" s="9"/>
      <c r="B3646" s="15"/>
      <c r="C3646" s="9">
        <f>IFERROR(__xludf.DUMMYFUNCTION("""COMPUTED_VALUE"""),44758.6139748842)</f>
        <v>44758.61397</v>
      </c>
      <c r="D3646" s="15">
        <f>IFERROR(__xludf.DUMMYFUNCTION("""COMPUTED_VALUE"""),1.004)</f>
        <v>1.004</v>
      </c>
      <c r="E3646" s="16">
        <f>IFERROR(__xludf.DUMMYFUNCTION("""COMPUTED_VALUE"""),67.0)</f>
        <v>67</v>
      </c>
      <c r="F3646" s="19" t="str">
        <f>IFERROR(__xludf.DUMMYFUNCTION("""COMPUTED_VALUE"""),"BLACK")</f>
        <v>BLACK</v>
      </c>
      <c r="G3646" s="20" t="str">
        <f>IFERROR(__xludf.DUMMYFUNCTION("""COMPUTED_VALUE"""),"Uncle Sams Cider (5/13/2022)")</f>
        <v>Uncle Sams Cider (5/13/2022)</v>
      </c>
      <c r="H3646" s="19"/>
    </row>
    <row r="3647">
      <c r="A3647" s="9"/>
      <c r="B3647" s="15"/>
      <c r="C3647" s="9">
        <f>IFERROR(__xludf.DUMMYFUNCTION("""COMPUTED_VALUE"""),44758.6035538657)</f>
        <v>44758.60355</v>
      </c>
      <c r="D3647" s="15">
        <f>IFERROR(__xludf.DUMMYFUNCTION("""COMPUTED_VALUE"""),1.004)</f>
        <v>1.004</v>
      </c>
      <c r="E3647" s="16">
        <f>IFERROR(__xludf.DUMMYFUNCTION("""COMPUTED_VALUE"""),67.0)</f>
        <v>67</v>
      </c>
      <c r="F3647" s="19" t="str">
        <f>IFERROR(__xludf.DUMMYFUNCTION("""COMPUTED_VALUE"""),"BLACK")</f>
        <v>BLACK</v>
      </c>
      <c r="G3647" s="20" t="str">
        <f>IFERROR(__xludf.DUMMYFUNCTION("""COMPUTED_VALUE"""),"Uncle Sams Cider (5/13/2022)")</f>
        <v>Uncle Sams Cider (5/13/2022)</v>
      </c>
      <c r="H3647" s="19"/>
    </row>
    <row r="3648">
      <c r="A3648" s="9"/>
      <c r="B3648" s="15"/>
      <c r="C3648" s="9">
        <f>IFERROR(__xludf.DUMMYFUNCTION("""COMPUTED_VALUE"""),44758.5931333912)</f>
        <v>44758.59313</v>
      </c>
      <c r="D3648" s="15">
        <f>IFERROR(__xludf.DUMMYFUNCTION("""COMPUTED_VALUE"""),1.004)</f>
        <v>1.004</v>
      </c>
      <c r="E3648" s="16">
        <f>IFERROR(__xludf.DUMMYFUNCTION("""COMPUTED_VALUE"""),67.0)</f>
        <v>67</v>
      </c>
      <c r="F3648" s="19" t="str">
        <f>IFERROR(__xludf.DUMMYFUNCTION("""COMPUTED_VALUE"""),"BLACK")</f>
        <v>BLACK</v>
      </c>
      <c r="G3648" s="20" t="str">
        <f>IFERROR(__xludf.DUMMYFUNCTION("""COMPUTED_VALUE"""),"Uncle Sams Cider (5/13/2022)")</f>
        <v>Uncle Sams Cider (5/13/2022)</v>
      </c>
      <c r="H3648" s="19"/>
    </row>
    <row r="3649">
      <c r="A3649" s="9"/>
      <c r="B3649" s="15"/>
      <c r="C3649" s="9">
        <f>IFERROR(__xludf.DUMMYFUNCTION("""COMPUTED_VALUE"""),44758.5827010764)</f>
        <v>44758.5827</v>
      </c>
      <c r="D3649" s="15">
        <f>IFERROR(__xludf.DUMMYFUNCTION("""COMPUTED_VALUE"""),1.004)</f>
        <v>1.004</v>
      </c>
      <c r="E3649" s="16">
        <f>IFERROR(__xludf.DUMMYFUNCTION("""COMPUTED_VALUE"""),67.0)</f>
        <v>67</v>
      </c>
      <c r="F3649" s="19" t="str">
        <f>IFERROR(__xludf.DUMMYFUNCTION("""COMPUTED_VALUE"""),"BLACK")</f>
        <v>BLACK</v>
      </c>
      <c r="G3649" s="20" t="str">
        <f>IFERROR(__xludf.DUMMYFUNCTION("""COMPUTED_VALUE"""),"Uncle Sams Cider (5/13/2022)")</f>
        <v>Uncle Sams Cider (5/13/2022)</v>
      </c>
      <c r="H3649" s="19"/>
    </row>
    <row r="3650">
      <c r="A3650" s="9"/>
      <c r="B3650" s="15"/>
      <c r="C3650" s="9">
        <f>IFERROR(__xludf.DUMMYFUNCTION("""COMPUTED_VALUE"""),44758.572278831)</f>
        <v>44758.57228</v>
      </c>
      <c r="D3650" s="15">
        <f>IFERROR(__xludf.DUMMYFUNCTION("""COMPUTED_VALUE"""),1.004)</f>
        <v>1.004</v>
      </c>
      <c r="E3650" s="16">
        <f>IFERROR(__xludf.DUMMYFUNCTION("""COMPUTED_VALUE"""),67.0)</f>
        <v>67</v>
      </c>
      <c r="F3650" s="19" t="str">
        <f>IFERROR(__xludf.DUMMYFUNCTION("""COMPUTED_VALUE"""),"BLACK")</f>
        <v>BLACK</v>
      </c>
      <c r="G3650" s="20" t="str">
        <f>IFERROR(__xludf.DUMMYFUNCTION("""COMPUTED_VALUE"""),"Uncle Sams Cider (5/13/2022)")</f>
        <v>Uncle Sams Cider (5/13/2022)</v>
      </c>
      <c r="H3650" s="19"/>
    </row>
    <row r="3651">
      <c r="A3651" s="9"/>
      <c r="B3651" s="15"/>
      <c r="C3651" s="9">
        <f>IFERROR(__xludf.DUMMYFUNCTION("""COMPUTED_VALUE"""),44758.5618595486)</f>
        <v>44758.56186</v>
      </c>
      <c r="D3651" s="15">
        <f>IFERROR(__xludf.DUMMYFUNCTION("""COMPUTED_VALUE"""),1.004)</f>
        <v>1.004</v>
      </c>
      <c r="E3651" s="16">
        <f>IFERROR(__xludf.DUMMYFUNCTION("""COMPUTED_VALUE"""),67.0)</f>
        <v>67</v>
      </c>
      <c r="F3651" s="19" t="str">
        <f>IFERROR(__xludf.DUMMYFUNCTION("""COMPUTED_VALUE"""),"BLACK")</f>
        <v>BLACK</v>
      </c>
      <c r="G3651" s="20" t="str">
        <f>IFERROR(__xludf.DUMMYFUNCTION("""COMPUTED_VALUE"""),"Uncle Sams Cider (5/13/2022)")</f>
        <v>Uncle Sams Cider (5/13/2022)</v>
      </c>
      <c r="H3651" s="19"/>
    </row>
    <row r="3652">
      <c r="A3652" s="9"/>
      <c r="B3652" s="15"/>
      <c r="C3652" s="9">
        <f>IFERROR(__xludf.DUMMYFUNCTION("""COMPUTED_VALUE"""),44758.5514387037)</f>
        <v>44758.55144</v>
      </c>
      <c r="D3652" s="15">
        <f>IFERROR(__xludf.DUMMYFUNCTION("""COMPUTED_VALUE"""),1.004)</f>
        <v>1.004</v>
      </c>
      <c r="E3652" s="16">
        <f>IFERROR(__xludf.DUMMYFUNCTION("""COMPUTED_VALUE"""),67.0)</f>
        <v>67</v>
      </c>
      <c r="F3652" s="19" t="str">
        <f>IFERROR(__xludf.DUMMYFUNCTION("""COMPUTED_VALUE"""),"BLACK")</f>
        <v>BLACK</v>
      </c>
      <c r="G3652" s="20" t="str">
        <f>IFERROR(__xludf.DUMMYFUNCTION("""COMPUTED_VALUE"""),"Uncle Sams Cider (5/13/2022)")</f>
        <v>Uncle Sams Cider (5/13/2022)</v>
      </c>
      <c r="H3652" s="19"/>
    </row>
    <row r="3653">
      <c r="A3653" s="9"/>
      <c r="B3653" s="15"/>
      <c r="C3653" s="9">
        <f>IFERROR(__xludf.DUMMYFUNCTION("""COMPUTED_VALUE"""),44758.5409819213)</f>
        <v>44758.54098</v>
      </c>
      <c r="D3653" s="15">
        <f>IFERROR(__xludf.DUMMYFUNCTION("""COMPUTED_VALUE"""),1.004)</f>
        <v>1.004</v>
      </c>
      <c r="E3653" s="16">
        <f>IFERROR(__xludf.DUMMYFUNCTION("""COMPUTED_VALUE"""),67.0)</f>
        <v>67</v>
      </c>
      <c r="F3653" s="19" t="str">
        <f>IFERROR(__xludf.DUMMYFUNCTION("""COMPUTED_VALUE"""),"BLACK")</f>
        <v>BLACK</v>
      </c>
      <c r="G3653" s="20" t="str">
        <f>IFERROR(__xludf.DUMMYFUNCTION("""COMPUTED_VALUE"""),"Uncle Sams Cider (5/13/2022)")</f>
        <v>Uncle Sams Cider (5/13/2022)</v>
      </c>
      <c r="H3653" s="19"/>
    </row>
    <row r="3654">
      <c r="A3654" s="9"/>
      <c r="B3654" s="15"/>
      <c r="C3654" s="9">
        <f>IFERROR(__xludf.DUMMYFUNCTION("""COMPUTED_VALUE"""),44758.530549375)</f>
        <v>44758.53055</v>
      </c>
      <c r="D3654" s="15">
        <f>IFERROR(__xludf.DUMMYFUNCTION("""COMPUTED_VALUE"""),1.004)</f>
        <v>1.004</v>
      </c>
      <c r="E3654" s="16">
        <f>IFERROR(__xludf.DUMMYFUNCTION("""COMPUTED_VALUE"""),67.0)</f>
        <v>67</v>
      </c>
      <c r="F3654" s="19" t="str">
        <f>IFERROR(__xludf.DUMMYFUNCTION("""COMPUTED_VALUE"""),"BLACK")</f>
        <v>BLACK</v>
      </c>
      <c r="G3654" s="20" t="str">
        <f>IFERROR(__xludf.DUMMYFUNCTION("""COMPUTED_VALUE"""),"Uncle Sams Cider (5/13/2022)")</f>
        <v>Uncle Sams Cider (5/13/2022)</v>
      </c>
      <c r="H3654" s="19"/>
    </row>
    <row r="3655">
      <c r="A3655" s="9"/>
      <c r="B3655" s="15"/>
      <c r="C3655" s="9">
        <f>IFERROR(__xludf.DUMMYFUNCTION("""COMPUTED_VALUE"""),44758.5201292129)</f>
        <v>44758.52013</v>
      </c>
      <c r="D3655" s="15">
        <f>IFERROR(__xludf.DUMMYFUNCTION("""COMPUTED_VALUE"""),1.004)</f>
        <v>1.004</v>
      </c>
      <c r="E3655" s="16">
        <f>IFERROR(__xludf.DUMMYFUNCTION("""COMPUTED_VALUE"""),67.0)</f>
        <v>67</v>
      </c>
      <c r="F3655" s="19" t="str">
        <f>IFERROR(__xludf.DUMMYFUNCTION("""COMPUTED_VALUE"""),"BLACK")</f>
        <v>BLACK</v>
      </c>
      <c r="G3655" s="20" t="str">
        <f>IFERROR(__xludf.DUMMYFUNCTION("""COMPUTED_VALUE"""),"Uncle Sams Cider (5/13/2022)")</f>
        <v>Uncle Sams Cider (5/13/2022)</v>
      </c>
      <c r="H3655" s="19"/>
    </row>
    <row r="3656">
      <c r="A3656" s="9"/>
      <c r="B3656" s="15"/>
      <c r="C3656" s="9">
        <f>IFERROR(__xludf.DUMMYFUNCTION("""COMPUTED_VALUE"""),44758.5096970601)</f>
        <v>44758.5097</v>
      </c>
      <c r="D3656" s="15">
        <f>IFERROR(__xludf.DUMMYFUNCTION("""COMPUTED_VALUE"""),1.004)</f>
        <v>1.004</v>
      </c>
      <c r="E3656" s="16">
        <f>IFERROR(__xludf.DUMMYFUNCTION("""COMPUTED_VALUE"""),67.0)</f>
        <v>67</v>
      </c>
      <c r="F3656" s="19" t="str">
        <f>IFERROR(__xludf.DUMMYFUNCTION("""COMPUTED_VALUE"""),"BLACK")</f>
        <v>BLACK</v>
      </c>
      <c r="G3656" s="20" t="str">
        <f>IFERROR(__xludf.DUMMYFUNCTION("""COMPUTED_VALUE"""),"Uncle Sams Cider (5/13/2022)")</f>
        <v>Uncle Sams Cider (5/13/2022)</v>
      </c>
      <c r="H3656" s="19"/>
    </row>
    <row r="3657">
      <c r="A3657" s="9"/>
      <c r="B3657" s="15"/>
      <c r="C3657" s="9">
        <f>IFERROR(__xludf.DUMMYFUNCTION("""COMPUTED_VALUE"""),44758.4992649537)</f>
        <v>44758.49926</v>
      </c>
      <c r="D3657" s="15">
        <f>IFERROR(__xludf.DUMMYFUNCTION("""COMPUTED_VALUE"""),1.004)</f>
        <v>1.004</v>
      </c>
      <c r="E3657" s="16">
        <f>IFERROR(__xludf.DUMMYFUNCTION("""COMPUTED_VALUE"""),67.0)</f>
        <v>67</v>
      </c>
      <c r="F3657" s="19" t="str">
        <f>IFERROR(__xludf.DUMMYFUNCTION("""COMPUTED_VALUE"""),"BLACK")</f>
        <v>BLACK</v>
      </c>
      <c r="G3657" s="20" t="str">
        <f>IFERROR(__xludf.DUMMYFUNCTION("""COMPUTED_VALUE"""),"Uncle Sams Cider (5/13/2022)")</f>
        <v>Uncle Sams Cider (5/13/2022)</v>
      </c>
      <c r="H3657" s="19"/>
    </row>
    <row r="3658">
      <c r="A3658" s="9"/>
      <c r="B3658" s="15"/>
      <c r="C3658" s="9">
        <f>IFERROR(__xludf.DUMMYFUNCTION("""COMPUTED_VALUE"""),44758.4888210416)</f>
        <v>44758.48882</v>
      </c>
      <c r="D3658" s="15">
        <f>IFERROR(__xludf.DUMMYFUNCTION("""COMPUTED_VALUE"""),1.004)</f>
        <v>1.004</v>
      </c>
      <c r="E3658" s="16">
        <f>IFERROR(__xludf.DUMMYFUNCTION("""COMPUTED_VALUE"""),66.0)</f>
        <v>66</v>
      </c>
      <c r="F3658" s="19" t="str">
        <f>IFERROR(__xludf.DUMMYFUNCTION("""COMPUTED_VALUE"""),"BLACK")</f>
        <v>BLACK</v>
      </c>
      <c r="G3658" s="20" t="str">
        <f>IFERROR(__xludf.DUMMYFUNCTION("""COMPUTED_VALUE"""),"Uncle Sams Cider (5/13/2022)")</f>
        <v>Uncle Sams Cider (5/13/2022)</v>
      </c>
      <c r="H3658" s="19"/>
    </row>
    <row r="3659">
      <c r="A3659" s="9"/>
      <c r="B3659" s="15"/>
      <c r="C3659" s="9">
        <f>IFERROR(__xludf.DUMMYFUNCTION("""COMPUTED_VALUE"""),44758.4784004861)</f>
        <v>44758.4784</v>
      </c>
      <c r="D3659" s="15">
        <f>IFERROR(__xludf.DUMMYFUNCTION("""COMPUTED_VALUE"""),1.004)</f>
        <v>1.004</v>
      </c>
      <c r="E3659" s="16">
        <f>IFERROR(__xludf.DUMMYFUNCTION("""COMPUTED_VALUE"""),66.0)</f>
        <v>66</v>
      </c>
      <c r="F3659" s="19" t="str">
        <f>IFERROR(__xludf.DUMMYFUNCTION("""COMPUTED_VALUE"""),"BLACK")</f>
        <v>BLACK</v>
      </c>
      <c r="G3659" s="20" t="str">
        <f>IFERROR(__xludf.DUMMYFUNCTION("""COMPUTED_VALUE"""),"Uncle Sams Cider (5/13/2022)")</f>
        <v>Uncle Sams Cider (5/13/2022)</v>
      </c>
      <c r="H3659" s="19"/>
    </row>
    <row r="3660">
      <c r="A3660" s="9"/>
      <c r="B3660" s="15"/>
      <c r="C3660" s="9">
        <f>IFERROR(__xludf.DUMMYFUNCTION("""COMPUTED_VALUE"""),44758.4679800231)</f>
        <v>44758.46798</v>
      </c>
      <c r="D3660" s="15">
        <f>IFERROR(__xludf.DUMMYFUNCTION("""COMPUTED_VALUE"""),1.004)</f>
        <v>1.004</v>
      </c>
      <c r="E3660" s="16">
        <f>IFERROR(__xludf.DUMMYFUNCTION("""COMPUTED_VALUE"""),66.0)</f>
        <v>66</v>
      </c>
      <c r="F3660" s="19" t="str">
        <f>IFERROR(__xludf.DUMMYFUNCTION("""COMPUTED_VALUE"""),"BLACK")</f>
        <v>BLACK</v>
      </c>
      <c r="G3660" s="20" t="str">
        <f>IFERROR(__xludf.DUMMYFUNCTION("""COMPUTED_VALUE"""),"Uncle Sams Cider (5/13/2022)")</f>
        <v>Uncle Sams Cider (5/13/2022)</v>
      </c>
      <c r="H3660" s="19"/>
    </row>
    <row r="3661">
      <c r="A3661" s="9"/>
      <c r="B3661" s="15"/>
      <c r="C3661" s="9">
        <f>IFERROR(__xludf.DUMMYFUNCTION("""COMPUTED_VALUE"""),44758.4575581712)</f>
        <v>44758.45756</v>
      </c>
      <c r="D3661" s="15">
        <f>IFERROR(__xludf.DUMMYFUNCTION("""COMPUTED_VALUE"""),1.004)</f>
        <v>1.004</v>
      </c>
      <c r="E3661" s="16">
        <f>IFERROR(__xludf.DUMMYFUNCTION("""COMPUTED_VALUE"""),66.0)</f>
        <v>66</v>
      </c>
      <c r="F3661" s="19" t="str">
        <f>IFERROR(__xludf.DUMMYFUNCTION("""COMPUTED_VALUE"""),"BLACK")</f>
        <v>BLACK</v>
      </c>
      <c r="G3661" s="20" t="str">
        <f>IFERROR(__xludf.DUMMYFUNCTION("""COMPUTED_VALUE"""),"Uncle Sams Cider (5/13/2022)")</f>
        <v>Uncle Sams Cider (5/13/2022)</v>
      </c>
      <c r="H3661" s="19"/>
    </row>
    <row r="3662">
      <c r="A3662" s="9"/>
      <c r="B3662" s="15"/>
      <c r="C3662" s="9">
        <f>IFERROR(__xludf.DUMMYFUNCTION("""COMPUTED_VALUE"""),44758.447136875)</f>
        <v>44758.44714</v>
      </c>
      <c r="D3662" s="15">
        <f>IFERROR(__xludf.DUMMYFUNCTION("""COMPUTED_VALUE"""),1.004)</f>
        <v>1.004</v>
      </c>
      <c r="E3662" s="16">
        <f>IFERROR(__xludf.DUMMYFUNCTION("""COMPUTED_VALUE"""),66.0)</f>
        <v>66</v>
      </c>
      <c r="F3662" s="19" t="str">
        <f>IFERROR(__xludf.DUMMYFUNCTION("""COMPUTED_VALUE"""),"BLACK")</f>
        <v>BLACK</v>
      </c>
      <c r="G3662" s="20" t="str">
        <f>IFERROR(__xludf.DUMMYFUNCTION("""COMPUTED_VALUE"""),"Uncle Sams Cider (5/13/2022)")</f>
        <v>Uncle Sams Cider (5/13/2022)</v>
      </c>
      <c r="H3662" s="19"/>
    </row>
    <row r="3663">
      <c r="A3663" s="9"/>
      <c r="B3663" s="15"/>
      <c r="C3663" s="9">
        <f>IFERROR(__xludf.DUMMYFUNCTION("""COMPUTED_VALUE"""),44758.4367161342)</f>
        <v>44758.43672</v>
      </c>
      <c r="D3663" s="15">
        <f>IFERROR(__xludf.DUMMYFUNCTION("""COMPUTED_VALUE"""),1.004)</f>
        <v>1.004</v>
      </c>
      <c r="E3663" s="16">
        <f>IFERROR(__xludf.DUMMYFUNCTION("""COMPUTED_VALUE"""),66.0)</f>
        <v>66</v>
      </c>
      <c r="F3663" s="19" t="str">
        <f>IFERROR(__xludf.DUMMYFUNCTION("""COMPUTED_VALUE"""),"BLACK")</f>
        <v>BLACK</v>
      </c>
      <c r="G3663" s="20" t="str">
        <f>IFERROR(__xludf.DUMMYFUNCTION("""COMPUTED_VALUE"""),"Uncle Sams Cider (5/13/2022)")</f>
        <v>Uncle Sams Cider (5/13/2022)</v>
      </c>
      <c r="H3663" s="19"/>
    </row>
    <row r="3664">
      <c r="A3664" s="9"/>
      <c r="B3664" s="15"/>
      <c r="C3664" s="9">
        <f>IFERROR(__xludf.DUMMYFUNCTION("""COMPUTED_VALUE"""),44758.4262948726)</f>
        <v>44758.42629</v>
      </c>
      <c r="D3664" s="15">
        <f>IFERROR(__xludf.DUMMYFUNCTION("""COMPUTED_VALUE"""),1.004)</f>
        <v>1.004</v>
      </c>
      <c r="E3664" s="16">
        <f>IFERROR(__xludf.DUMMYFUNCTION("""COMPUTED_VALUE"""),66.0)</f>
        <v>66</v>
      </c>
      <c r="F3664" s="19" t="str">
        <f>IFERROR(__xludf.DUMMYFUNCTION("""COMPUTED_VALUE"""),"BLACK")</f>
        <v>BLACK</v>
      </c>
      <c r="G3664" s="20" t="str">
        <f>IFERROR(__xludf.DUMMYFUNCTION("""COMPUTED_VALUE"""),"Uncle Sams Cider (5/13/2022)")</f>
        <v>Uncle Sams Cider (5/13/2022)</v>
      </c>
      <c r="H3664" s="19"/>
    </row>
    <row r="3665">
      <c r="A3665" s="9"/>
      <c r="B3665" s="15"/>
      <c r="C3665" s="9">
        <f>IFERROR(__xludf.DUMMYFUNCTION("""COMPUTED_VALUE"""),44758.4158738773)</f>
        <v>44758.41587</v>
      </c>
      <c r="D3665" s="15">
        <f>IFERROR(__xludf.DUMMYFUNCTION("""COMPUTED_VALUE"""),1.004)</f>
        <v>1.004</v>
      </c>
      <c r="E3665" s="16">
        <f>IFERROR(__xludf.DUMMYFUNCTION("""COMPUTED_VALUE"""),66.0)</f>
        <v>66</v>
      </c>
      <c r="F3665" s="19" t="str">
        <f>IFERROR(__xludf.DUMMYFUNCTION("""COMPUTED_VALUE"""),"BLACK")</f>
        <v>BLACK</v>
      </c>
      <c r="G3665" s="20" t="str">
        <f>IFERROR(__xludf.DUMMYFUNCTION("""COMPUTED_VALUE"""),"Uncle Sams Cider (5/13/2022)")</f>
        <v>Uncle Sams Cider (5/13/2022)</v>
      </c>
      <c r="H3665" s="19"/>
    </row>
    <row r="3666">
      <c r="A3666" s="9"/>
      <c r="B3666" s="15"/>
      <c r="C3666" s="9">
        <f>IFERROR(__xludf.DUMMYFUNCTION("""COMPUTED_VALUE"""),44758.4054514351)</f>
        <v>44758.40545</v>
      </c>
      <c r="D3666" s="15">
        <f>IFERROR(__xludf.DUMMYFUNCTION("""COMPUTED_VALUE"""),1.004)</f>
        <v>1.004</v>
      </c>
      <c r="E3666" s="16">
        <f>IFERROR(__xludf.DUMMYFUNCTION("""COMPUTED_VALUE"""),66.0)</f>
        <v>66</v>
      </c>
      <c r="F3666" s="19" t="str">
        <f>IFERROR(__xludf.DUMMYFUNCTION("""COMPUTED_VALUE"""),"BLACK")</f>
        <v>BLACK</v>
      </c>
      <c r="G3666" s="20" t="str">
        <f>IFERROR(__xludf.DUMMYFUNCTION("""COMPUTED_VALUE"""),"Uncle Sams Cider (5/13/2022)")</f>
        <v>Uncle Sams Cider (5/13/2022)</v>
      </c>
      <c r="H3666" s="19"/>
    </row>
    <row r="3667">
      <c r="A3667" s="9"/>
      <c r="B3667" s="15"/>
      <c r="C3667" s="9">
        <f>IFERROR(__xludf.DUMMYFUNCTION("""COMPUTED_VALUE"""),44758.3950288426)</f>
        <v>44758.39503</v>
      </c>
      <c r="D3667" s="15">
        <f>IFERROR(__xludf.DUMMYFUNCTION("""COMPUTED_VALUE"""),1.004)</f>
        <v>1.004</v>
      </c>
      <c r="E3667" s="16">
        <f>IFERROR(__xludf.DUMMYFUNCTION("""COMPUTED_VALUE"""),66.0)</f>
        <v>66</v>
      </c>
      <c r="F3667" s="19" t="str">
        <f>IFERROR(__xludf.DUMMYFUNCTION("""COMPUTED_VALUE"""),"BLACK")</f>
        <v>BLACK</v>
      </c>
      <c r="G3667" s="20" t="str">
        <f>IFERROR(__xludf.DUMMYFUNCTION("""COMPUTED_VALUE"""),"Uncle Sams Cider (5/13/2022)")</f>
        <v>Uncle Sams Cider (5/13/2022)</v>
      </c>
      <c r="H3667" s="19"/>
    </row>
    <row r="3668">
      <c r="A3668" s="9"/>
      <c r="B3668" s="15"/>
      <c r="C3668" s="9">
        <f>IFERROR(__xludf.DUMMYFUNCTION("""COMPUTED_VALUE"""),44758.3846074652)</f>
        <v>44758.38461</v>
      </c>
      <c r="D3668" s="15">
        <f>IFERROR(__xludf.DUMMYFUNCTION("""COMPUTED_VALUE"""),1.004)</f>
        <v>1.004</v>
      </c>
      <c r="E3668" s="16">
        <f>IFERROR(__xludf.DUMMYFUNCTION("""COMPUTED_VALUE"""),66.0)</f>
        <v>66</v>
      </c>
      <c r="F3668" s="19" t="str">
        <f>IFERROR(__xludf.DUMMYFUNCTION("""COMPUTED_VALUE"""),"BLACK")</f>
        <v>BLACK</v>
      </c>
      <c r="G3668" s="20" t="str">
        <f>IFERROR(__xludf.DUMMYFUNCTION("""COMPUTED_VALUE"""),"Uncle Sams Cider (5/13/2022)")</f>
        <v>Uncle Sams Cider (5/13/2022)</v>
      </c>
      <c r="H3668" s="19"/>
    </row>
    <row r="3669">
      <c r="A3669" s="9"/>
      <c r="B3669" s="15"/>
      <c r="C3669" s="9">
        <f>IFERROR(__xludf.DUMMYFUNCTION("""COMPUTED_VALUE"""),44758.3741876273)</f>
        <v>44758.37419</v>
      </c>
      <c r="D3669" s="15">
        <f>IFERROR(__xludf.DUMMYFUNCTION("""COMPUTED_VALUE"""),1.004)</f>
        <v>1.004</v>
      </c>
      <c r="E3669" s="16">
        <f>IFERROR(__xludf.DUMMYFUNCTION("""COMPUTED_VALUE"""),66.0)</f>
        <v>66</v>
      </c>
      <c r="F3669" s="19" t="str">
        <f>IFERROR(__xludf.DUMMYFUNCTION("""COMPUTED_VALUE"""),"BLACK")</f>
        <v>BLACK</v>
      </c>
      <c r="G3669" s="20" t="str">
        <f>IFERROR(__xludf.DUMMYFUNCTION("""COMPUTED_VALUE"""),"Uncle Sams Cider (5/13/2022)")</f>
        <v>Uncle Sams Cider (5/13/2022)</v>
      </c>
      <c r="H3669" s="19"/>
    </row>
    <row r="3670">
      <c r="A3670" s="9"/>
      <c r="B3670" s="15"/>
      <c r="C3670" s="9">
        <f>IFERROR(__xludf.DUMMYFUNCTION("""COMPUTED_VALUE"""),44758.3637647453)</f>
        <v>44758.36376</v>
      </c>
      <c r="D3670" s="15">
        <f>IFERROR(__xludf.DUMMYFUNCTION("""COMPUTED_VALUE"""),1.004)</f>
        <v>1.004</v>
      </c>
      <c r="E3670" s="16">
        <f>IFERROR(__xludf.DUMMYFUNCTION("""COMPUTED_VALUE"""),66.0)</f>
        <v>66</v>
      </c>
      <c r="F3670" s="19" t="str">
        <f>IFERROR(__xludf.DUMMYFUNCTION("""COMPUTED_VALUE"""),"BLACK")</f>
        <v>BLACK</v>
      </c>
      <c r="G3670" s="20" t="str">
        <f>IFERROR(__xludf.DUMMYFUNCTION("""COMPUTED_VALUE"""),"Uncle Sams Cider (5/13/2022)")</f>
        <v>Uncle Sams Cider (5/13/2022)</v>
      </c>
      <c r="H3670" s="19"/>
    </row>
    <row r="3671">
      <c r="A3671" s="9"/>
      <c r="B3671" s="15"/>
      <c r="C3671" s="9">
        <f>IFERROR(__xludf.DUMMYFUNCTION("""COMPUTED_VALUE"""),44758.3533435416)</f>
        <v>44758.35334</v>
      </c>
      <c r="D3671" s="15">
        <f>IFERROR(__xludf.DUMMYFUNCTION("""COMPUTED_VALUE"""),1.004)</f>
        <v>1.004</v>
      </c>
      <c r="E3671" s="16">
        <f>IFERROR(__xludf.DUMMYFUNCTION("""COMPUTED_VALUE"""),66.0)</f>
        <v>66</v>
      </c>
      <c r="F3671" s="19" t="str">
        <f>IFERROR(__xludf.DUMMYFUNCTION("""COMPUTED_VALUE"""),"BLACK")</f>
        <v>BLACK</v>
      </c>
      <c r="G3671" s="20" t="str">
        <f>IFERROR(__xludf.DUMMYFUNCTION("""COMPUTED_VALUE"""),"Uncle Sams Cider (5/13/2022)")</f>
        <v>Uncle Sams Cider (5/13/2022)</v>
      </c>
      <c r="H3671" s="19"/>
    </row>
    <row r="3672">
      <c r="A3672" s="9"/>
      <c r="B3672" s="15"/>
      <c r="C3672" s="9">
        <f>IFERROR(__xludf.DUMMYFUNCTION("""COMPUTED_VALUE"""),44758.3429235069)</f>
        <v>44758.34292</v>
      </c>
      <c r="D3672" s="15">
        <f>IFERROR(__xludf.DUMMYFUNCTION("""COMPUTED_VALUE"""),1.004)</f>
        <v>1.004</v>
      </c>
      <c r="E3672" s="16">
        <f>IFERROR(__xludf.DUMMYFUNCTION("""COMPUTED_VALUE"""),66.0)</f>
        <v>66</v>
      </c>
      <c r="F3672" s="19" t="str">
        <f>IFERROR(__xludf.DUMMYFUNCTION("""COMPUTED_VALUE"""),"BLACK")</f>
        <v>BLACK</v>
      </c>
      <c r="G3672" s="20" t="str">
        <f>IFERROR(__xludf.DUMMYFUNCTION("""COMPUTED_VALUE"""),"Uncle Sams Cider (5/13/2022)")</f>
        <v>Uncle Sams Cider (5/13/2022)</v>
      </c>
      <c r="H3672" s="19"/>
    </row>
    <row r="3673">
      <c r="A3673" s="9"/>
      <c r="B3673" s="15"/>
      <c r="C3673" s="9">
        <f>IFERROR(__xludf.DUMMYFUNCTION("""COMPUTED_VALUE"""),44758.3325025463)</f>
        <v>44758.3325</v>
      </c>
      <c r="D3673" s="15">
        <f>IFERROR(__xludf.DUMMYFUNCTION("""COMPUTED_VALUE"""),1.004)</f>
        <v>1.004</v>
      </c>
      <c r="E3673" s="16">
        <f>IFERROR(__xludf.DUMMYFUNCTION("""COMPUTED_VALUE"""),66.0)</f>
        <v>66</v>
      </c>
      <c r="F3673" s="19" t="str">
        <f>IFERROR(__xludf.DUMMYFUNCTION("""COMPUTED_VALUE"""),"BLACK")</f>
        <v>BLACK</v>
      </c>
      <c r="G3673" s="20" t="str">
        <f>IFERROR(__xludf.DUMMYFUNCTION("""COMPUTED_VALUE"""),"Uncle Sams Cider (5/13/2022)")</f>
        <v>Uncle Sams Cider (5/13/2022)</v>
      </c>
      <c r="H3673" s="19"/>
    </row>
    <row r="3674">
      <c r="A3674" s="9"/>
      <c r="B3674" s="15"/>
      <c r="C3674" s="9">
        <f>IFERROR(__xludf.DUMMYFUNCTION("""COMPUTED_VALUE"""),44758.3220800694)</f>
        <v>44758.32208</v>
      </c>
      <c r="D3674" s="15">
        <f>IFERROR(__xludf.DUMMYFUNCTION("""COMPUTED_VALUE"""),1.004)</f>
        <v>1.004</v>
      </c>
      <c r="E3674" s="16">
        <f>IFERROR(__xludf.DUMMYFUNCTION("""COMPUTED_VALUE"""),66.0)</f>
        <v>66</v>
      </c>
      <c r="F3674" s="19" t="str">
        <f>IFERROR(__xludf.DUMMYFUNCTION("""COMPUTED_VALUE"""),"BLACK")</f>
        <v>BLACK</v>
      </c>
      <c r="G3674" s="20" t="str">
        <f>IFERROR(__xludf.DUMMYFUNCTION("""COMPUTED_VALUE"""),"Uncle Sams Cider (5/13/2022)")</f>
        <v>Uncle Sams Cider (5/13/2022)</v>
      </c>
      <c r="H3674" s="19"/>
    </row>
    <row r="3675">
      <c r="A3675" s="9"/>
      <c r="B3675" s="15"/>
      <c r="C3675" s="9">
        <f>IFERROR(__xludf.DUMMYFUNCTION("""COMPUTED_VALUE"""),44758.3116580324)</f>
        <v>44758.31166</v>
      </c>
      <c r="D3675" s="15">
        <f>IFERROR(__xludf.DUMMYFUNCTION("""COMPUTED_VALUE"""),1.004)</f>
        <v>1.004</v>
      </c>
      <c r="E3675" s="16">
        <f>IFERROR(__xludf.DUMMYFUNCTION("""COMPUTED_VALUE"""),66.0)</f>
        <v>66</v>
      </c>
      <c r="F3675" s="19" t="str">
        <f>IFERROR(__xludf.DUMMYFUNCTION("""COMPUTED_VALUE"""),"BLACK")</f>
        <v>BLACK</v>
      </c>
      <c r="G3675" s="20" t="str">
        <f>IFERROR(__xludf.DUMMYFUNCTION("""COMPUTED_VALUE"""),"Uncle Sams Cider (5/13/2022)")</f>
        <v>Uncle Sams Cider (5/13/2022)</v>
      </c>
      <c r="H3675" s="19"/>
    </row>
    <row r="3676">
      <c r="A3676" s="9"/>
      <c r="B3676" s="15"/>
      <c r="C3676" s="9">
        <f>IFERROR(__xludf.DUMMYFUNCTION("""COMPUTED_VALUE"""),44758.301224375)</f>
        <v>44758.30122</v>
      </c>
      <c r="D3676" s="15">
        <f>IFERROR(__xludf.DUMMYFUNCTION("""COMPUTED_VALUE"""),1.004)</f>
        <v>1.004</v>
      </c>
      <c r="E3676" s="16">
        <f>IFERROR(__xludf.DUMMYFUNCTION("""COMPUTED_VALUE"""),66.0)</f>
        <v>66</v>
      </c>
      <c r="F3676" s="19" t="str">
        <f>IFERROR(__xludf.DUMMYFUNCTION("""COMPUTED_VALUE"""),"BLACK")</f>
        <v>BLACK</v>
      </c>
      <c r="G3676" s="20" t="str">
        <f>IFERROR(__xludf.DUMMYFUNCTION("""COMPUTED_VALUE"""),"Uncle Sams Cider (5/13/2022)")</f>
        <v>Uncle Sams Cider (5/13/2022)</v>
      </c>
      <c r="H3676" s="19"/>
    </row>
    <row r="3677">
      <c r="A3677" s="9"/>
      <c r="B3677" s="15"/>
      <c r="C3677" s="9">
        <f>IFERROR(__xludf.DUMMYFUNCTION("""COMPUTED_VALUE"""),44758.2908051504)</f>
        <v>44758.29081</v>
      </c>
      <c r="D3677" s="15">
        <f>IFERROR(__xludf.DUMMYFUNCTION("""COMPUTED_VALUE"""),1.004)</f>
        <v>1.004</v>
      </c>
      <c r="E3677" s="16">
        <f>IFERROR(__xludf.DUMMYFUNCTION("""COMPUTED_VALUE"""),66.0)</f>
        <v>66</v>
      </c>
      <c r="F3677" s="19" t="str">
        <f>IFERROR(__xludf.DUMMYFUNCTION("""COMPUTED_VALUE"""),"BLACK")</f>
        <v>BLACK</v>
      </c>
      <c r="G3677" s="20" t="str">
        <f>IFERROR(__xludf.DUMMYFUNCTION("""COMPUTED_VALUE"""),"Uncle Sams Cider (5/13/2022)")</f>
        <v>Uncle Sams Cider (5/13/2022)</v>
      </c>
      <c r="H3677" s="19"/>
    </row>
    <row r="3678">
      <c r="A3678" s="9"/>
      <c r="B3678" s="15"/>
      <c r="C3678" s="9">
        <f>IFERROR(__xludf.DUMMYFUNCTION("""COMPUTED_VALUE"""),44758.2803841203)</f>
        <v>44758.28038</v>
      </c>
      <c r="D3678" s="15">
        <f>IFERROR(__xludf.DUMMYFUNCTION("""COMPUTED_VALUE"""),1.004)</f>
        <v>1.004</v>
      </c>
      <c r="E3678" s="16">
        <f>IFERROR(__xludf.DUMMYFUNCTION("""COMPUTED_VALUE"""),66.0)</f>
        <v>66</v>
      </c>
      <c r="F3678" s="19" t="str">
        <f>IFERROR(__xludf.DUMMYFUNCTION("""COMPUTED_VALUE"""),"BLACK")</f>
        <v>BLACK</v>
      </c>
      <c r="G3678" s="20" t="str">
        <f>IFERROR(__xludf.DUMMYFUNCTION("""COMPUTED_VALUE"""),"Uncle Sams Cider (5/13/2022)")</f>
        <v>Uncle Sams Cider (5/13/2022)</v>
      </c>
      <c r="H3678" s="19"/>
    </row>
    <row r="3679">
      <c r="A3679" s="9"/>
      <c r="B3679" s="15"/>
      <c r="C3679" s="9">
        <f>IFERROR(__xludf.DUMMYFUNCTION("""COMPUTED_VALUE"""),44758.2699511805)</f>
        <v>44758.26995</v>
      </c>
      <c r="D3679" s="15">
        <f>IFERROR(__xludf.DUMMYFUNCTION("""COMPUTED_VALUE"""),1.004)</f>
        <v>1.004</v>
      </c>
      <c r="E3679" s="16">
        <f>IFERROR(__xludf.DUMMYFUNCTION("""COMPUTED_VALUE"""),66.0)</f>
        <v>66</v>
      </c>
      <c r="F3679" s="19" t="str">
        <f>IFERROR(__xludf.DUMMYFUNCTION("""COMPUTED_VALUE"""),"BLACK")</f>
        <v>BLACK</v>
      </c>
      <c r="G3679" s="20" t="str">
        <f>IFERROR(__xludf.DUMMYFUNCTION("""COMPUTED_VALUE"""),"Uncle Sams Cider (5/13/2022)")</f>
        <v>Uncle Sams Cider (5/13/2022)</v>
      </c>
      <c r="H3679" s="19"/>
    </row>
    <row r="3680">
      <c r="A3680" s="9"/>
      <c r="B3680" s="15"/>
      <c r="C3680" s="9">
        <f>IFERROR(__xludf.DUMMYFUNCTION("""COMPUTED_VALUE"""),44758.25952978)</f>
        <v>44758.25953</v>
      </c>
      <c r="D3680" s="15">
        <f>IFERROR(__xludf.DUMMYFUNCTION("""COMPUTED_VALUE"""),1.004)</f>
        <v>1.004</v>
      </c>
      <c r="E3680" s="16">
        <f>IFERROR(__xludf.DUMMYFUNCTION("""COMPUTED_VALUE"""),66.0)</f>
        <v>66</v>
      </c>
      <c r="F3680" s="19" t="str">
        <f>IFERROR(__xludf.DUMMYFUNCTION("""COMPUTED_VALUE"""),"BLACK")</f>
        <v>BLACK</v>
      </c>
      <c r="G3680" s="20" t="str">
        <f>IFERROR(__xludf.DUMMYFUNCTION("""COMPUTED_VALUE"""),"Uncle Sams Cider (5/13/2022)")</f>
        <v>Uncle Sams Cider (5/13/2022)</v>
      </c>
      <c r="H3680" s="19"/>
    </row>
    <row r="3681">
      <c r="A3681" s="9"/>
      <c r="B3681" s="15"/>
      <c r="C3681" s="9">
        <f>IFERROR(__xludf.DUMMYFUNCTION("""COMPUTED_VALUE"""),44758.2491084259)</f>
        <v>44758.24911</v>
      </c>
      <c r="D3681" s="15">
        <f>IFERROR(__xludf.DUMMYFUNCTION("""COMPUTED_VALUE"""),1.004)</f>
        <v>1.004</v>
      </c>
      <c r="E3681" s="16">
        <f>IFERROR(__xludf.DUMMYFUNCTION("""COMPUTED_VALUE"""),66.0)</f>
        <v>66</v>
      </c>
      <c r="F3681" s="19" t="str">
        <f>IFERROR(__xludf.DUMMYFUNCTION("""COMPUTED_VALUE"""),"BLACK")</f>
        <v>BLACK</v>
      </c>
      <c r="G3681" s="20" t="str">
        <f>IFERROR(__xludf.DUMMYFUNCTION("""COMPUTED_VALUE"""),"Uncle Sams Cider (5/13/2022)")</f>
        <v>Uncle Sams Cider (5/13/2022)</v>
      </c>
      <c r="H3681" s="19"/>
    </row>
    <row r="3682">
      <c r="A3682" s="9"/>
      <c r="B3682" s="15"/>
      <c r="C3682" s="9">
        <f>IFERROR(__xludf.DUMMYFUNCTION("""COMPUTED_VALUE"""),44758.2386882986)</f>
        <v>44758.23869</v>
      </c>
      <c r="D3682" s="15">
        <f>IFERROR(__xludf.DUMMYFUNCTION("""COMPUTED_VALUE"""),1.004)</f>
        <v>1.004</v>
      </c>
      <c r="E3682" s="16">
        <f>IFERROR(__xludf.DUMMYFUNCTION("""COMPUTED_VALUE"""),66.0)</f>
        <v>66</v>
      </c>
      <c r="F3682" s="19" t="str">
        <f>IFERROR(__xludf.DUMMYFUNCTION("""COMPUTED_VALUE"""),"BLACK")</f>
        <v>BLACK</v>
      </c>
      <c r="G3682" s="20" t="str">
        <f>IFERROR(__xludf.DUMMYFUNCTION("""COMPUTED_VALUE"""),"Uncle Sams Cider (5/13/2022)")</f>
        <v>Uncle Sams Cider (5/13/2022)</v>
      </c>
      <c r="H3682" s="19"/>
    </row>
    <row r="3683">
      <c r="A3683" s="9"/>
      <c r="B3683" s="15"/>
      <c r="C3683" s="9">
        <f>IFERROR(__xludf.DUMMYFUNCTION("""COMPUTED_VALUE"""),44758.2282548726)</f>
        <v>44758.22825</v>
      </c>
      <c r="D3683" s="15">
        <f>IFERROR(__xludf.DUMMYFUNCTION("""COMPUTED_VALUE"""),1.004)</f>
        <v>1.004</v>
      </c>
      <c r="E3683" s="16">
        <f>IFERROR(__xludf.DUMMYFUNCTION("""COMPUTED_VALUE"""),66.0)</f>
        <v>66</v>
      </c>
      <c r="F3683" s="19" t="str">
        <f>IFERROR(__xludf.DUMMYFUNCTION("""COMPUTED_VALUE"""),"BLACK")</f>
        <v>BLACK</v>
      </c>
      <c r="G3683" s="20" t="str">
        <f>IFERROR(__xludf.DUMMYFUNCTION("""COMPUTED_VALUE"""),"Uncle Sams Cider (5/13/2022)")</f>
        <v>Uncle Sams Cider (5/13/2022)</v>
      </c>
      <c r="H3683" s="19"/>
    </row>
    <row r="3684">
      <c r="A3684" s="9"/>
      <c r="B3684" s="15"/>
      <c r="C3684" s="9">
        <f>IFERROR(__xludf.DUMMYFUNCTION("""COMPUTED_VALUE"""),44758.2178355092)</f>
        <v>44758.21784</v>
      </c>
      <c r="D3684" s="15">
        <f>IFERROR(__xludf.DUMMYFUNCTION("""COMPUTED_VALUE"""),1.004)</f>
        <v>1.004</v>
      </c>
      <c r="E3684" s="16">
        <f>IFERROR(__xludf.DUMMYFUNCTION("""COMPUTED_VALUE"""),67.0)</f>
        <v>67</v>
      </c>
      <c r="F3684" s="19" t="str">
        <f>IFERROR(__xludf.DUMMYFUNCTION("""COMPUTED_VALUE"""),"BLACK")</f>
        <v>BLACK</v>
      </c>
      <c r="G3684" s="20" t="str">
        <f>IFERROR(__xludf.DUMMYFUNCTION("""COMPUTED_VALUE"""),"Uncle Sams Cider (5/13/2022)")</f>
        <v>Uncle Sams Cider (5/13/2022)</v>
      </c>
      <c r="H3684" s="19"/>
    </row>
    <row r="3685">
      <c r="A3685" s="9"/>
      <c r="B3685" s="15"/>
      <c r="C3685" s="9">
        <f>IFERROR(__xludf.DUMMYFUNCTION("""COMPUTED_VALUE"""),44758.2074128819)</f>
        <v>44758.20741</v>
      </c>
      <c r="D3685" s="15">
        <f>IFERROR(__xludf.DUMMYFUNCTION("""COMPUTED_VALUE"""),1.004)</f>
        <v>1.004</v>
      </c>
      <c r="E3685" s="16">
        <f>IFERROR(__xludf.DUMMYFUNCTION("""COMPUTED_VALUE"""),67.0)</f>
        <v>67</v>
      </c>
      <c r="F3685" s="19" t="str">
        <f>IFERROR(__xludf.DUMMYFUNCTION("""COMPUTED_VALUE"""),"BLACK")</f>
        <v>BLACK</v>
      </c>
      <c r="G3685" s="20" t="str">
        <f>IFERROR(__xludf.DUMMYFUNCTION("""COMPUTED_VALUE"""),"Uncle Sams Cider (5/13/2022)")</f>
        <v>Uncle Sams Cider (5/13/2022)</v>
      </c>
      <c r="H3685" s="19"/>
    </row>
    <row r="3686">
      <c r="A3686" s="9"/>
      <c r="B3686" s="15"/>
      <c r="C3686" s="9">
        <f>IFERROR(__xludf.DUMMYFUNCTION("""COMPUTED_VALUE"""),44758.1969787847)</f>
        <v>44758.19698</v>
      </c>
      <c r="D3686" s="15">
        <f>IFERROR(__xludf.DUMMYFUNCTION("""COMPUTED_VALUE"""),1.004)</f>
        <v>1.004</v>
      </c>
      <c r="E3686" s="16">
        <f>IFERROR(__xludf.DUMMYFUNCTION("""COMPUTED_VALUE"""),68.0)</f>
        <v>68</v>
      </c>
      <c r="F3686" s="19" t="str">
        <f>IFERROR(__xludf.DUMMYFUNCTION("""COMPUTED_VALUE"""),"BLACK")</f>
        <v>BLACK</v>
      </c>
      <c r="G3686" s="20" t="str">
        <f>IFERROR(__xludf.DUMMYFUNCTION("""COMPUTED_VALUE"""),"Uncle Sams Cider (5/13/2022)")</f>
        <v>Uncle Sams Cider (5/13/2022)</v>
      </c>
      <c r="H3686" s="19"/>
    </row>
    <row r="3687">
      <c r="A3687" s="9"/>
      <c r="B3687" s="15"/>
      <c r="C3687" s="9">
        <f>IFERROR(__xludf.DUMMYFUNCTION("""COMPUTED_VALUE"""),44758.186555706)</f>
        <v>44758.18656</v>
      </c>
      <c r="D3687" s="15">
        <f>IFERROR(__xludf.DUMMYFUNCTION("""COMPUTED_VALUE"""),1.004)</f>
        <v>1.004</v>
      </c>
      <c r="E3687" s="16">
        <f>IFERROR(__xludf.DUMMYFUNCTION("""COMPUTED_VALUE"""),69.0)</f>
        <v>69</v>
      </c>
      <c r="F3687" s="19" t="str">
        <f>IFERROR(__xludf.DUMMYFUNCTION("""COMPUTED_VALUE"""),"BLACK")</f>
        <v>BLACK</v>
      </c>
      <c r="G3687" s="20" t="str">
        <f>IFERROR(__xludf.DUMMYFUNCTION("""COMPUTED_VALUE"""),"Uncle Sams Cider (5/13/2022)")</f>
        <v>Uncle Sams Cider (5/13/2022)</v>
      </c>
      <c r="H3687" s="19"/>
    </row>
    <row r="3688">
      <c r="A3688" s="9"/>
      <c r="B3688" s="15"/>
      <c r="C3688" s="9">
        <f>IFERROR(__xludf.DUMMYFUNCTION("""COMPUTED_VALUE"""),44758.17613375)</f>
        <v>44758.17613</v>
      </c>
      <c r="D3688" s="15">
        <f>IFERROR(__xludf.DUMMYFUNCTION("""COMPUTED_VALUE"""),1.004)</f>
        <v>1.004</v>
      </c>
      <c r="E3688" s="16">
        <f>IFERROR(__xludf.DUMMYFUNCTION("""COMPUTED_VALUE"""),69.0)</f>
        <v>69</v>
      </c>
      <c r="F3688" s="19" t="str">
        <f>IFERROR(__xludf.DUMMYFUNCTION("""COMPUTED_VALUE"""),"BLACK")</f>
        <v>BLACK</v>
      </c>
      <c r="G3688" s="20" t="str">
        <f>IFERROR(__xludf.DUMMYFUNCTION("""COMPUTED_VALUE"""),"Uncle Sams Cider (5/13/2022)")</f>
        <v>Uncle Sams Cider (5/13/2022)</v>
      </c>
      <c r="H3688" s="19"/>
    </row>
    <row r="3689">
      <c r="A3689" s="9"/>
      <c r="B3689" s="15"/>
      <c r="C3689" s="9">
        <f>IFERROR(__xludf.DUMMYFUNCTION("""COMPUTED_VALUE"""),44758.1656892476)</f>
        <v>44758.16569</v>
      </c>
      <c r="D3689" s="15">
        <f>IFERROR(__xludf.DUMMYFUNCTION("""COMPUTED_VALUE"""),1.004)</f>
        <v>1.004</v>
      </c>
      <c r="E3689" s="16">
        <f>IFERROR(__xludf.DUMMYFUNCTION("""COMPUTED_VALUE"""),70.0)</f>
        <v>70</v>
      </c>
      <c r="F3689" s="19" t="str">
        <f>IFERROR(__xludf.DUMMYFUNCTION("""COMPUTED_VALUE"""),"BLACK")</f>
        <v>BLACK</v>
      </c>
      <c r="G3689" s="20" t="str">
        <f>IFERROR(__xludf.DUMMYFUNCTION("""COMPUTED_VALUE"""),"Uncle Sams Cider (5/13/2022)")</f>
        <v>Uncle Sams Cider (5/13/2022)</v>
      </c>
      <c r="H3689" s="19"/>
    </row>
    <row r="3690">
      <c r="A3690" s="9"/>
      <c r="B3690" s="15"/>
      <c r="C3690" s="9">
        <f>IFERROR(__xludf.DUMMYFUNCTION("""COMPUTED_VALUE"""),44758.1552562268)</f>
        <v>44758.15526</v>
      </c>
      <c r="D3690" s="15">
        <f>IFERROR(__xludf.DUMMYFUNCTION("""COMPUTED_VALUE"""),1.004)</f>
        <v>1.004</v>
      </c>
      <c r="E3690" s="16">
        <f>IFERROR(__xludf.DUMMYFUNCTION("""COMPUTED_VALUE"""),70.0)</f>
        <v>70</v>
      </c>
      <c r="F3690" s="19" t="str">
        <f>IFERROR(__xludf.DUMMYFUNCTION("""COMPUTED_VALUE"""),"BLACK")</f>
        <v>BLACK</v>
      </c>
      <c r="G3690" s="20" t="str">
        <f>IFERROR(__xludf.DUMMYFUNCTION("""COMPUTED_VALUE"""),"Uncle Sams Cider (5/13/2022)")</f>
        <v>Uncle Sams Cider (5/13/2022)</v>
      </c>
      <c r="H3690" s="19"/>
    </row>
    <row r="3691">
      <c r="A3691" s="9"/>
      <c r="B3691" s="15"/>
      <c r="C3691" s="9">
        <f>IFERROR(__xludf.DUMMYFUNCTION("""COMPUTED_VALUE"""),44758.1448222106)</f>
        <v>44758.14482</v>
      </c>
      <c r="D3691" s="15">
        <f>IFERROR(__xludf.DUMMYFUNCTION("""COMPUTED_VALUE"""),1.004)</f>
        <v>1.004</v>
      </c>
      <c r="E3691" s="16">
        <f>IFERROR(__xludf.DUMMYFUNCTION("""COMPUTED_VALUE"""),70.0)</f>
        <v>70</v>
      </c>
      <c r="F3691" s="19" t="str">
        <f>IFERROR(__xludf.DUMMYFUNCTION("""COMPUTED_VALUE"""),"BLACK")</f>
        <v>BLACK</v>
      </c>
      <c r="G3691" s="20" t="str">
        <f>IFERROR(__xludf.DUMMYFUNCTION("""COMPUTED_VALUE"""),"Uncle Sams Cider (5/13/2022)")</f>
        <v>Uncle Sams Cider (5/13/2022)</v>
      </c>
      <c r="H3691" s="19"/>
    </row>
    <row r="3692">
      <c r="A3692" s="9"/>
      <c r="B3692" s="15"/>
      <c r="C3692" s="9">
        <f>IFERROR(__xludf.DUMMYFUNCTION("""COMPUTED_VALUE"""),44758.1344003472)</f>
        <v>44758.1344</v>
      </c>
      <c r="D3692" s="15">
        <f>IFERROR(__xludf.DUMMYFUNCTION("""COMPUTED_VALUE"""),1.004)</f>
        <v>1.004</v>
      </c>
      <c r="E3692" s="16">
        <f>IFERROR(__xludf.DUMMYFUNCTION("""COMPUTED_VALUE"""),70.0)</f>
        <v>70</v>
      </c>
      <c r="F3692" s="19" t="str">
        <f>IFERROR(__xludf.DUMMYFUNCTION("""COMPUTED_VALUE"""),"BLACK")</f>
        <v>BLACK</v>
      </c>
      <c r="G3692" s="20" t="str">
        <f>IFERROR(__xludf.DUMMYFUNCTION("""COMPUTED_VALUE"""),"Uncle Sams Cider (5/13/2022)")</f>
        <v>Uncle Sams Cider (5/13/2022)</v>
      </c>
      <c r="H3692" s="19"/>
    </row>
    <row r="3693">
      <c r="A3693" s="9"/>
      <c r="B3693" s="15"/>
      <c r="C3693" s="9">
        <f>IFERROR(__xludf.DUMMYFUNCTION("""COMPUTED_VALUE"""),44758.1239557638)</f>
        <v>44758.12396</v>
      </c>
      <c r="D3693" s="15">
        <f>IFERROR(__xludf.DUMMYFUNCTION("""COMPUTED_VALUE"""),1.004)</f>
        <v>1.004</v>
      </c>
      <c r="E3693" s="16">
        <f>IFERROR(__xludf.DUMMYFUNCTION("""COMPUTED_VALUE"""),70.0)</f>
        <v>70</v>
      </c>
      <c r="F3693" s="19" t="str">
        <f>IFERROR(__xludf.DUMMYFUNCTION("""COMPUTED_VALUE"""),"BLACK")</f>
        <v>BLACK</v>
      </c>
      <c r="G3693" s="20" t="str">
        <f>IFERROR(__xludf.DUMMYFUNCTION("""COMPUTED_VALUE"""),"Uncle Sams Cider (5/13/2022)")</f>
        <v>Uncle Sams Cider (5/13/2022)</v>
      </c>
      <c r="H3693" s="19"/>
    </row>
    <row r="3694">
      <c r="A3694" s="9"/>
      <c r="B3694" s="15"/>
      <c r="C3694" s="9">
        <f>IFERROR(__xludf.DUMMYFUNCTION("""COMPUTED_VALUE"""),44758.1135335995)</f>
        <v>44758.11353</v>
      </c>
      <c r="D3694" s="15">
        <f>IFERROR(__xludf.DUMMYFUNCTION("""COMPUTED_VALUE"""),1.004)</f>
        <v>1.004</v>
      </c>
      <c r="E3694" s="16">
        <f>IFERROR(__xludf.DUMMYFUNCTION("""COMPUTED_VALUE"""),70.0)</f>
        <v>70</v>
      </c>
      <c r="F3694" s="19" t="str">
        <f>IFERROR(__xludf.DUMMYFUNCTION("""COMPUTED_VALUE"""),"BLACK")</f>
        <v>BLACK</v>
      </c>
      <c r="G3694" s="20" t="str">
        <f>IFERROR(__xludf.DUMMYFUNCTION("""COMPUTED_VALUE"""),"Uncle Sams Cider (5/13/2022)")</f>
        <v>Uncle Sams Cider (5/13/2022)</v>
      </c>
      <c r="H3694" s="19"/>
    </row>
    <row r="3695">
      <c r="A3695" s="9"/>
      <c r="B3695" s="15"/>
      <c r="C3695" s="9">
        <f>IFERROR(__xludf.DUMMYFUNCTION("""COMPUTED_VALUE"""),44758.1031120486)</f>
        <v>44758.10311</v>
      </c>
      <c r="D3695" s="15">
        <f>IFERROR(__xludf.DUMMYFUNCTION("""COMPUTED_VALUE"""),1.004)</f>
        <v>1.004</v>
      </c>
      <c r="E3695" s="16">
        <f>IFERROR(__xludf.DUMMYFUNCTION("""COMPUTED_VALUE"""),70.0)</f>
        <v>70</v>
      </c>
      <c r="F3695" s="19" t="str">
        <f>IFERROR(__xludf.DUMMYFUNCTION("""COMPUTED_VALUE"""),"BLACK")</f>
        <v>BLACK</v>
      </c>
      <c r="G3695" s="20" t="str">
        <f>IFERROR(__xludf.DUMMYFUNCTION("""COMPUTED_VALUE"""),"Uncle Sams Cider (5/13/2022)")</f>
        <v>Uncle Sams Cider (5/13/2022)</v>
      </c>
      <c r="H3695" s="19"/>
    </row>
    <row r="3696">
      <c r="A3696" s="9"/>
      <c r="B3696" s="15"/>
      <c r="C3696" s="9">
        <f>IFERROR(__xludf.DUMMYFUNCTION("""COMPUTED_VALUE"""),44758.0926886805)</f>
        <v>44758.09269</v>
      </c>
      <c r="D3696" s="15">
        <f>IFERROR(__xludf.DUMMYFUNCTION("""COMPUTED_VALUE"""),1.004)</f>
        <v>1.004</v>
      </c>
      <c r="E3696" s="16">
        <f>IFERROR(__xludf.DUMMYFUNCTION("""COMPUTED_VALUE"""),70.0)</f>
        <v>70</v>
      </c>
      <c r="F3696" s="19" t="str">
        <f>IFERROR(__xludf.DUMMYFUNCTION("""COMPUTED_VALUE"""),"BLACK")</f>
        <v>BLACK</v>
      </c>
      <c r="G3696" s="20" t="str">
        <f>IFERROR(__xludf.DUMMYFUNCTION("""COMPUTED_VALUE"""),"Uncle Sams Cider (5/13/2022)")</f>
        <v>Uncle Sams Cider (5/13/2022)</v>
      </c>
      <c r="H3696" s="19"/>
    </row>
    <row r="3697">
      <c r="A3697" s="9"/>
      <c r="B3697" s="15"/>
      <c r="C3697" s="9">
        <f>IFERROR(__xludf.DUMMYFUNCTION("""COMPUTED_VALUE"""),44758.0822675115)</f>
        <v>44758.08227</v>
      </c>
      <c r="D3697" s="15">
        <f>IFERROR(__xludf.DUMMYFUNCTION("""COMPUTED_VALUE"""),1.004)</f>
        <v>1.004</v>
      </c>
      <c r="E3697" s="16">
        <f>IFERROR(__xludf.DUMMYFUNCTION("""COMPUTED_VALUE"""),70.0)</f>
        <v>70</v>
      </c>
      <c r="F3697" s="19" t="str">
        <f>IFERROR(__xludf.DUMMYFUNCTION("""COMPUTED_VALUE"""),"BLACK")</f>
        <v>BLACK</v>
      </c>
      <c r="G3697" s="20" t="str">
        <f>IFERROR(__xludf.DUMMYFUNCTION("""COMPUTED_VALUE"""),"Uncle Sams Cider (5/13/2022)")</f>
        <v>Uncle Sams Cider (5/13/2022)</v>
      </c>
      <c r="H3697" s="19"/>
    </row>
    <row r="3698">
      <c r="A3698" s="9"/>
      <c r="B3698" s="15"/>
      <c r="C3698" s="9">
        <f>IFERROR(__xludf.DUMMYFUNCTION("""COMPUTED_VALUE"""),44758.0718468055)</f>
        <v>44758.07185</v>
      </c>
      <c r="D3698" s="15">
        <f>IFERROR(__xludf.DUMMYFUNCTION("""COMPUTED_VALUE"""),1.004)</f>
        <v>1.004</v>
      </c>
      <c r="E3698" s="16">
        <f>IFERROR(__xludf.DUMMYFUNCTION("""COMPUTED_VALUE"""),70.0)</f>
        <v>70</v>
      </c>
      <c r="F3698" s="19" t="str">
        <f>IFERROR(__xludf.DUMMYFUNCTION("""COMPUTED_VALUE"""),"BLACK")</f>
        <v>BLACK</v>
      </c>
      <c r="G3698" s="20" t="str">
        <f>IFERROR(__xludf.DUMMYFUNCTION("""COMPUTED_VALUE"""),"Uncle Sams Cider (5/13/2022)")</f>
        <v>Uncle Sams Cider (5/13/2022)</v>
      </c>
      <c r="H3698" s="19"/>
    </row>
    <row r="3699">
      <c r="A3699" s="9"/>
      <c r="B3699" s="15"/>
      <c r="C3699" s="9">
        <f>IFERROR(__xludf.DUMMYFUNCTION("""COMPUTED_VALUE"""),44758.0614137384)</f>
        <v>44758.06141</v>
      </c>
      <c r="D3699" s="15">
        <f>IFERROR(__xludf.DUMMYFUNCTION("""COMPUTED_VALUE"""),1.004)</f>
        <v>1.004</v>
      </c>
      <c r="E3699" s="16">
        <f>IFERROR(__xludf.DUMMYFUNCTION("""COMPUTED_VALUE"""),70.0)</f>
        <v>70</v>
      </c>
      <c r="F3699" s="19" t="str">
        <f>IFERROR(__xludf.DUMMYFUNCTION("""COMPUTED_VALUE"""),"BLACK")</f>
        <v>BLACK</v>
      </c>
      <c r="G3699" s="20" t="str">
        <f>IFERROR(__xludf.DUMMYFUNCTION("""COMPUTED_VALUE"""),"Uncle Sams Cider (5/13/2022)")</f>
        <v>Uncle Sams Cider (5/13/2022)</v>
      </c>
      <c r="H3699" s="19"/>
    </row>
    <row r="3700">
      <c r="A3700" s="9"/>
      <c r="B3700" s="15"/>
      <c r="C3700" s="9">
        <f>IFERROR(__xludf.DUMMYFUNCTION("""COMPUTED_VALUE"""),44758.0509945023)</f>
        <v>44758.05099</v>
      </c>
      <c r="D3700" s="15">
        <f>IFERROR(__xludf.DUMMYFUNCTION("""COMPUTED_VALUE"""),1.004)</f>
        <v>1.004</v>
      </c>
      <c r="E3700" s="16">
        <f>IFERROR(__xludf.DUMMYFUNCTION("""COMPUTED_VALUE"""),70.0)</f>
        <v>70</v>
      </c>
      <c r="F3700" s="19" t="str">
        <f>IFERROR(__xludf.DUMMYFUNCTION("""COMPUTED_VALUE"""),"BLACK")</f>
        <v>BLACK</v>
      </c>
      <c r="G3700" s="20" t="str">
        <f>IFERROR(__xludf.DUMMYFUNCTION("""COMPUTED_VALUE"""),"Uncle Sams Cider (5/13/2022)")</f>
        <v>Uncle Sams Cider (5/13/2022)</v>
      </c>
      <c r="H3700" s="19"/>
    </row>
    <row r="3701">
      <c r="A3701" s="9"/>
      <c r="B3701" s="15"/>
      <c r="C3701" s="9">
        <f>IFERROR(__xludf.DUMMYFUNCTION("""COMPUTED_VALUE"""),44758.0405742129)</f>
        <v>44758.04057</v>
      </c>
      <c r="D3701" s="15">
        <f>IFERROR(__xludf.DUMMYFUNCTION("""COMPUTED_VALUE"""),1.004)</f>
        <v>1.004</v>
      </c>
      <c r="E3701" s="16">
        <f>IFERROR(__xludf.DUMMYFUNCTION("""COMPUTED_VALUE"""),70.0)</f>
        <v>70</v>
      </c>
      <c r="F3701" s="19" t="str">
        <f>IFERROR(__xludf.DUMMYFUNCTION("""COMPUTED_VALUE"""),"BLACK")</f>
        <v>BLACK</v>
      </c>
      <c r="G3701" s="20" t="str">
        <f>IFERROR(__xludf.DUMMYFUNCTION("""COMPUTED_VALUE"""),"Uncle Sams Cider (5/13/2022)")</f>
        <v>Uncle Sams Cider (5/13/2022)</v>
      </c>
      <c r="H3701" s="19"/>
    </row>
    <row r="3702">
      <c r="A3702" s="9"/>
      <c r="B3702" s="15"/>
      <c r="C3702" s="9">
        <f>IFERROR(__xludf.DUMMYFUNCTION("""COMPUTED_VALUE"""),44758.0301532523)</f>
        <v>44758.03015</v>
      </c>
      <c r="D3702" s="15">
        <f>IFERROR(__xludf.DUMMYFUNCTION("""COMPUTED_VALUE"""),1.004)</f>
        <v>1.004</v>
      </c>
      <c r="E3702" s="16">
        <f>IFERROR(__xludf.DUMMYFUNCTION("""COMPUTED_VALUE"""),70.0)</f>
        <v>70</v>
      </c>
      <c r="F3702" s="19" t="str">
        <f>IFERROR(__xludf.DUMMYFUNCTION("""COMPUTED_VALUE"""),"BLACK")</f>
        <v>BLACK</v>
      </c>
      <c r="G3702" s="20" t="str">
        <f>IFERROR(__xludf.DUMMYFUNCTION("""COMPUTED_VALUE"""),"Uncle Sams Cider (5/13/2022)")</f>
        <v>Uncle Sams Cider (5/13/2022)</v>
      </c>
      <c r="H3702" s="19"/>
    </row>
    <row r="3703">
      <c r="A3703" s="9"/>
      <c r="B3703" s="15"/>
      <c r="C3703" s="9">
        <f>IFERROR(__xludf.DUMMYFUNCTION("""COMPUTED_VALUE"""),44758.0197071296)</f>
        <v>44758.01971</v>
      </c>
      <c r="D3703" s="15">
        <f>IFERROR(__xludf.DUMMYFUNCTION("""COMPUTED_VALUE"""),1.004)</f>
        <v>1.004</v>
      </c>
      <c r="E3703" s="16">
        <f>IFERROR(__xludf.DUMMYFUNCTION("""COMPUTED_VALUE"""),70.0)</f>
        <v>70</v>
      </c>
      <c r="F3703" s="19" t="str">
        <f>IFERROR(__xludf.DUMMYFUNCTION("""COMPUTED_VALUE"""),"BLACK")</f>
        <v>BLACK</v>
      </c>
      <c r="G3703" s="20" t="str">
        <f>IFERROR(__xludf.DUMMYFUNCTION("""COMPUTED_VALUE"""),"Uncle Sams Cider (5/13/2022)")</f>
        <v>Uncle Sams Cider (5/13/2022)</v>
      </c>
      <c r="H3703" s="19"/>
    </row>
    <row r="3704">
      <c r="A3704" s="9"/>
      <c r="B3704" s="15"/>
      <c r="C3704" s="9">
        <f>IFERROR(__xludf.DUMMYFUNCTION("""COMPUTED_VALUE"""),44758.0092863194)</f>
        <v>44758.00929</v>
      </c>
      <c r="D3704" s="15">
        <f>IFERROR(__xludf.DUMMYFUNCTION("""COMPUTED_VALUE"""),1.004)</f>
        <v>1.004</v>
      </c>
      <c r="E3704" s="16">
        <f>IFERROR(__xludf.DUMMYFUNCTION("""COMPUTED_VALUE"""),70.0)</f>
        <v>70</v>
      </c>
      <c r="F3704" s="19" t="str">
        <f>IFERROR(__xludf.DUMMYFUNCTION("""COMPUTED_VALUE"""),"BLACK")</f>
        <v>BLACK</v>
      </c>
      <c r="G3704" s="20" t="str">
        <f>IFERROR(__xludf.DUMMYFUNCTION("""COMPUTED_VALUE"""),"Uncle Sams Cider (5/13/2022)")</f>
        <v>Uncle Sams Cider (5/13/2022)</v>
      </c>
      <c r="H3704" s="19"/>
    </row>
    <row r="3705">
      <c r="A3705" s="9"/>
      <c r="B3705" s="15"/>
      <c r="C3705" s="9">
        <f>IFERROR(__xludf.DUMMYFUNCTION("""COMPUTED_VALUE"""),44757.9988653588)</f>
        <v>44757.99887</v>
      </c>
      <c r="D3705" s="15">
        <f>IFERROR(__xludf.DUMMYFUNCTION("""COMPUTED_VALUE"""),1.004)</f>
        <v>1.004</v>
      </c>
      <c r="E3705" s="16">
        <f>IFERROR(__xludf.DUMMYFUNCTION("""COMPUTED_VALUE"""),70.0)</f>
        <v>70</v>
      </c>
      <c r="F3705" s="19" t="str">
        <f>IFERROR(__xludf.DUMMYFUNCTION("""COMPUTED_VALUE"""),"BLACK")</f>
        <v>BLACK</v>
      </c>
      <c r="G3705" s="20" t="str">
        <f>IFERROR(__xludf.DUMMYFUNCTION("""COMPUTED_VALUE"""),"Uncle Sams Cider (5/13/2022)")</f>
        <v>Uncle Sams Cider (5/13/2022)</v>
      </c>
      <c r="H3705" s="19"/>
    </row>
    <row r="3706">
      <c r="A3706" s="9"/>
      <c r="B3706" s="15"/>
      <c r="C3706" s="9">
        <f>IFERROR(__xludf.DUMMYFUNCTION("""COMPUTED_VALUE"""),44757.9883973379)</f>
        <v>44757.9884</v>
      </c>
      <c r="D3706" s="15">
        <f>IFERROR(__xludf.DUMMYFUNCTION("""COMPUTED_VALUE"""),1.004)</f>
        <v>1.004</v>
      </c>
      <c r="E3706" s="16">
        <f>IFERROR(__xludf.DUMMYFUNCTION("""COMPUTED_VALUE"""),70.0)</f>
        <v>70</v>
      </c>
      <c r="F3706" s="19" t="str">
        <f>IFERROR(__xludf.DUMMYFUNCTION("""COMPUTED_VALUE"""),"BLACK")</f>
        <v>BLACK</v>
      </c>
      <c r="G3706" s="20" t="str">
        <f>IFERROR(__xludf.DUMMYFUNCTION("""COMPUTED_VALUE"""),"Uncle Sams Cider (5/13/2022)")</f>
        <v>Uncle Sams Cider (5/13/2022)</v>
      </c>
      <c r="H3706" s="19"/>
    </row>
    <row r="3707">
      <c r="A3707" s="9"/>
      <c r="B3707" s="15"/>
      <c r="C3707" s="9">
        <f>IFERROR(__xludf.DUMMYFUNCTION("""COMPUTED_VALUE"""),44757.9779537963)</f>
        <v>44757.97795</v>
      </c>
      <c r="D3707" s="15">
        <f>IFERROR(__xludf.DUMMYFUNCTION("""COMPUTED_VALUE"""),1.004)</f>
        <v>1.004</v>
      </c>
      <c r="E3707" s="16">
        <f>IFERROR(__xludf.DUMMYFUNCTION("""COMPUTED_VALUE"""),70.0)</f>
        <v>70</v>
      </c>
      <c r="F3707" s="19" t="str">
        <f>IFERROR(__xludf.DUMMYFUNCTION("""COMPUTED_VALUE"""),"BLACK")</f>
        <v>BLACK</v>
      </c>
      <c r="G3707" s="20" t="str">
        <f>IFERROR(__xludf.DUMMYFUNCTION("""COMPUTED_VALUE"""),"Uncle Sams Cider (5/13/2022)")</f>
        <v>Uncle Sams Cider (5/13/2022)</v>
      </c>
      <c r="H3707" s="19"/>
    </row>
    <row r="3708">
      <c r="A3708" s="9"/>
      <c r="B3708" s="15"/>
      <c r="C3708" s="9">
        <f>IFERROR(__xludf.DUMMYFUNCTION("""COMPUTED_VALUE"""),44757.9675219907)</f>
        <v>44757.96752</v>
      </c>
      <c r="D3708" s="15">
        <f>IFERROR(__xludf.DUMMYFUNCTION("""COMPUTED_VALUE"""),1.004)</f>
        <v>1.004</v>
      </c>
      <c r="E3708" s="16">
        <f>IFERROR(__xludf.DUMMYFUNCTION("""COMPUTED_VALUE"""),70.0)</f>
        <v>70</v>
      </c>
      <c r="F3708" s="19" t="str">
        <f>IFERROR(__xludf.DUMMYFUNCTION("""COMPUTED_VALUE"""),"BLACK")</f>
        <v>BLACK</v>
      </c>
      <c r="G3708" s="20" t="str">
        <f>IFERROR(__xludf.DUMMYFUNCTION("""COMPUTED_VALUE"""),"Uncle Sams Cider (5/13/2022)")</f>
        <v>Uncle Sams Cider (5/13/2022)</v>
      </c>
      <c r="H3708" s="19"/>
    </row>
    <row r="3709">
      <c r="A3709" s="9"/>
      <c r="B3709" s="15"/>
      <c r="C3709" s="9">
        <f>IFERROR(__xludf.DUMMYFUNCTION("""COMPUTED_VALUE"""),44757.9570897453)</f>
        <v>44757.95709</v>
      </c>
      <c r="D3709" s="15">
        <f>IFERROR(__xludf.DUMMYFUNCTION("""COMPUTED_VALUE"""),1.004)</f>
        <v>1.004</v>
      </c>
      <c r="E3709" s="16">
        <f>IFERROR(__xludf.DUMMYFUNCTION("""COMPUTED_VALUE"""),70.0)</f>
        <v>70</v>
      </c>
      <c r="F3709" s="19" t="str">
        <f>IFERROR(__xludf.DUMMYFUNCTION("""COMPUTED_VALUE"""),"BLACK")</f>
        <v>BLACK</v>
      </c>
      <c r="G3709" s="20" t="str">
        <f>IFERROR(__xludf.DUMMYFUNCTION("""COMPUTED_VALUE"""),"Uncle Sams Cider (5/13/2022)")</f>
        <v>Uncle Sams Cider (5/13/2022)</v>
      </c>
      <c r="H3709" s="19"/>
    </row>
    <row r="3710">
      <c r="A3710" s="9"/>
      <c r="B3710" s="15"/>
      <c r="C3710" s="9">
        <f>IFERROR(__xludf.DUMMYFUNCTION("""COMPUTED_VALUE"""),44757.9466695023)</f>
        <v>44757.94667</v>
      </c>
      <c r="D3710" s="15">
        <f>IFERROR(__xludf.DUMMYFUNCTION("""COMPUTED_VALUE"""),1.004)</f>
        <v>1.004</v>
      </c>
      <c r="E3710" s="16">
        <f>IFERROR(__xludf.DUMMYFUNCTION("""COMPUTED_VALUE"""),70.0)</f>
        <v>70</v>
      </c>
      <c r="F3710" s="19" t="str">
        <f>IFERROR(__xludf.DUMMYFUNCTION("""COMPUTED_VALUE"""),"BLACK")</f>
        <v>BLACK</v>
      </c>
      <c r="G3710" s="20" t="str">
        <f>IFERROR(__xludf.DUMMYFUNCTION("""COMPUTED_VALUE"""),"Uncle Sams Cider (5/13/2022)")</f>
        <v>Uncle Sams Cider (5/13/2022)</v>
      </c>
      <c r="H3710" s="19"/>
    </row>
    <row r="3711">
      <c r="A3711" s="9"/>
      <c r="B3711" s="15"/>
      <c r="C3711" s="9">
        <f>IFERROR(__xludf.DUMMYFUNCTION("""COMPUTED_VALUE"""),44757.9362493171)</f>
        <v>44757.93625</v>
      </c>
      <c r="D3711" s="15">
        <f>IFERROR(__xludf.DUMMYFUNCTION("""COMPUTED_VALUE"""),1.004)</f>
        <v>1.004</v>
      </c>
      <c r="E3711" s="16">
        <f>IFERROR(__xludf.DUMMYFUNCTION("""COMPUTED_VALUE"""),70.0)</f>
        <v>70</v>
      </c>
      <c r="F3711" s="19" t="str">
        <f>IFERROR(__xludf.DUMMYFUNCTION("""COMPUTED_VALUE"""),"BLACK")</f>
        <v>BLACK</v>
      </c>
      <c r="G3711" s="20" t="str">
        <f>IFERROR(__xludf.DUMMYFUNCTION("""COMPUTED_VALUE"""),"Uncle Sams Cider (5/13/2022)")</f>
        <v>Uncle Sams Cider (5/13/2022)</v>
      </c>
      <c r="H3711" s="19"/>
    </row>
    <row r="3712">
      <c r="A3712" s="9"/>
      <c r="B3712" s="15"/>
      <c r="C3712" s="9">
        <f>IFERROR(__xludf.DUMMYFUNCTION("""COMPUTED_VALUE"""),44757.9258273263)</f>
        <v>44757.92583</v>
      </c>
      <c r="D3712" s="15">
        <f>IFERROR(__xludf.DUMMYFUNCTION("""COMPUTED_VALUE"""),1.004)</f>
        <v>1.004</v>
      </c>
      <c r="E3712" s="16">
        <f>IFERROR(__xludf.DUMMYFUNCTION("""COMPUTED_VALUE"""),70.0)</f>
        <v>70</v>
      </c>
      <c r="F3712" s="19" t="str">
        <f>IFERROR(__xludf.DUMMYFUNCTION("""COMPUTED_VALUE"""),"BLACK")</f>
        <v>BLACK</v>
      </c>
      <c r="G3712" s="20" t="str">
        <f>IFERROR(__xludf.DUMMYFUNCTION("""COMPUTED_VALUE"""),"Uncle Sams Cider (5/13/2022)")</f>
        <v>Uncle Sams Cider (5/13/2022)</v>
      </c>
      <c r="H3712" s="19"/>
    </row>
    <row r="3713">
      <c r="A3713" s="9"/>
      <c r="B3713" s="15"/>
      <c r="C3713" s="9">
        <f>IFERROR(__xludf.DUMMYFUNCTION("""COMPUTED_VALUE"""),44757.9153942939)</f>
        <v>44757.91539</v>
      </c>
      <c r="D3713" s="15">
        <f>IFERROR(__xludf.DUMMYFUNCTION("""COMPUTED_VALUE"""),1.004)</f>
        <v>1.004</v>
      </c>
      <c r="E3713" s="16">
        <f>IFERROR(__xludf.DUMMYFUNCTION("""COMPUTED_VALUE"""),70.0)</f>
        <v>70</v>
      </c>
      <c r="F3713" s="19" t="str">
        <f>IFERROR(__xludf.DUMMYFUNCTION("""COMPUTED_VALUE"""),"BLACK")</f>
        <v>BLACK</v>
      </c>
      <c r="G3713" s="20" t="str">
        <f>IFERROR(__xludf.DUMMYFUNCTION("""COMPUTED_VALUE"""),"Uncle Sams Cider (5/13/2022)")</f>
        <v>Uncle Sams Cider (5/13/2022)</v>
      </c>
      <c r="H3713" s="19"/>
    </row>
    <row r="3714">
      <c r="A3714" s="9"/>
      <c r="B3714" s="15"/>
      <c r="C3714" s="9">
        <f>IFERROR(__xludf.DUMMYFUNCTION("""COMPUTED_VALUE"""),44757.9049738078)</f>
        <v>44757.90497</v>
      </c>
      <c r="D3714" s="15">
        <f>IFERROR(__xludf.DUMMYFUNCTION("""COMPUTED_VALUE"""),1.004)</f>
        <v>1.004</v>
      </c>
      <c r="E3714" s="16">
        <f>IFERROR(__xludf.DUMMYFUNCTION("""COMPUTED_VALUE"""),70.0)</f>
        <v>70</v>
      </c>
      <c r="F3714" s="19" t="str">
        <f>IFERROR(__xludf.DUMMYFUNCTION("""COMPUTED_VALUE"""),"BLACK")</f>
        <v>BLACK</v>
      </c>
      <c r="G3714" s="20" t="str">
        <f>IFERROR(__xludf.DUMMYFUNCTION("""COMPUTED_VALUE"""),"Uncle Sams Cider (5/13/2022)")</f>
        <v>Uncle Sams Cider (5/13/2022)</v>
      </c>
      <c r="H3714" s="19"/>
    </row>
    <row r="3715">
      <c r="A3715" s="9"/>
      <c r="B3715" s="15"/>
      <c r="C3715" s="9">
        <f>IFERROR(__xludf.DUMMYFUNCTION("""COMPUTED_VALUE"""),44757.8945520023)</f>
        <v>44757.89455</v>
      </c>
      <c r="D3715" s="15">
        <f>IFERROR(__xludf.DUMMYFUNCTION("""COMPUTED_VALUE"""),1.004)</f>
        <v>1.004</v>
      </c>
      <c r="E3715" s="16">
        <f>IFERROR(__xludf.DUMMYFUNCTION("""COMPUTED_VALUE"""),70.0)</f>
        <v>70</v>
      </c>
      <c r="F3715" s="19" t="str">
        <f>IFERROR(__xludf.DUMMYFUNCTION("""COMPUTED_VALUE"""),"BLACK")</f>
        <v>BLACK</v>
      </c>
      <c r="G3715" s="20" t="str">
        <f>IFERROR(__xludf.DUMMYFUNCTION("""COMPUTED_VALUE"""),"Uncle Sams Cider (5/13/2022)")</f>
        <v>Uncle Sams Cider (5/13/2022)</v>
      </c>
      <c r="H3715" s="19"/>
    </row>
    <row r="3716">
      <c r="A3716" s="9"/>
      <c r="B3716" s="15"/>
      <c r="C3716" s="9">
        <f>IFERROR(__xludf.DUMMYFUNCTION("""COMPUTED_VALUE"""),44757.8841189467)</f>
        <v>44757.88412</v>
      </c>
      <c r="D3716" s="15">
        <f>IFERROR(__xludf.DUMMYFUNCTION("""COMPUTED_VALUE"""),1.004)</f>
        <v>1.004</v>
      </c>
      <c r="E3716" s="16">
        <f>IFERROR(__xludf.DUMMYFUNCTION("""COMPUTED_VALUE"""),70.0)</f>
        <v>70</v>
      </c>
      <c r="F3716" s="19" t="str">
        <f>IFERROR(__xludf.DUMMYFUNCTION("""COMPUTED_VALUE"""),"BLACK")</f>
        <v>BLACK</v>
      </c>
      <c r="G3716" s="20" t="str">
        <f>IFERROR(__xludf.DUMMYFUNCTION("""COMPUTED_VALUE"""),"Uncle Sams Cider (5/13/2022)")</f>
        <v>Uncle Sams Cider (5/13/2022)</v>
      </c>
      <c r="H3716" s="19"/>
    </row>
    <row r="3717">
      <c r="A3717" s="9"/>
      <c r="B3717" s="15"/>
      <c r="C3717" s="9">
        <f>IFERROR(__xludf.DUMMYFUNCTION("""COMPUTED_VALUE"""),44757.8736997222)</f>
        <v>44757.8737</v>
      </c>
      <c r="D3717" s="15">
        <f>IFERROR(__xludf.DUMMYFUNCTION("""COMPUTED_VALUE"""),1.004)</f>
        <v>1.004</v>
      </c>
      <c r="E3717" s="16">
        <f>IFERROR(__xludf.DUMMYFUNCTION("""COMPUTED_VALUE"""),70.0)</f>
        <v>70</v>
      </c>
      <c r="F3717" s="19" t="str">
        <f>IFERROR(__xludf.DUMMYFUNCTION("""COMPUTED_VALUE"""),"BLACK")</f>
        <v>BLACK</v>
      </c>
      <c r="G3717" s="20" t="str">
        <f>IFERROR(__xludf.DUMMYFUNCTION("""COMPUTED_VALUE"""),"Uncle Sams Cider (5/13/2022)")</f>
        <v>Uncle Sams Cider (5/13/2022)</v>
      </c>
      <c r="H3717" s="19"/>
    </row>
    <row r="3718">
      <c r="A3718" s="9"/>
      <c r="B3718" s="15"/>
      <c r="C3718" s="9">
        <f>IFERROR(__xludf.DUMMYFUNCTION("""COMPUTED_VALUE"""),44757.8632779976)</f>
        <v>44757.86328</v>
      </c>
      <c r="D3718" s="15">
        <f>IFERROR(__xludf.DUMMYFUNCTION("""COMPUTED_VALUE"""),1.004)</f>
        <v>1.004</v>
      </c>
      <c r="E3718" s="16">
        <f>IFERROR(__xludf.DUMMYFUNCTION("""COMPUTED_VALUE"""),70.0)</f>
        <v>70</v>
      </c>
      <c r="F3718" s="19" t="str">
        <f>IFERROR(__xludf.DUMMYFUNCTION("""COMPUTED_VALUE"""),"BLACK")</f>
        <v>BLACK</v>
      </c>
      <c r="G3718" s="20" t="str">
        <f>IFERROR(__xludf.DUMMYFUNCTION("""COMPUTED_VALUE"""),"Uncle Sams Cider (5/13/2022)")</f>
        <v>Uncle Sams Cider (5/13/2022)</v>
      </c>
      <c r="H3718" s="19"/>
    </row>
    <row r="3719">
      <c r="A3719" s="9"/>
      <c r="B3719" s="15"/>
      <c r="C3719" s="9">
        <f>IFERROR(__xludf.DUMMYFUNCTION("""COMPUTED_VALUE"""),44757.852856331)</f>
        <v>44757.85286</v>
      </c>
      <c r="D3719" s="15">
        <f>IFERROR(__xludf.DUMMYFUNCTION("""COMPUTED_VALUE"""),1.004)</f>
        <v>1.004</v>
      </c>
      <c r="E3719" s="16">
        <f>IFERROR(__xludf.DUMMYFUNCTION("""COMPUTED_VALUE"""),70.0)</f>
        <v>70</v>
      </c>
      <c r="F3719" s="19" t="str">
        <f>IFERROR(__xludf.DUMMYFUNCTION("""COMPUTED_VALUE"""),"BLACK")</f>
        <v>BLACK</v>
      </c>
      <c r="G3719" s="20" t="str">
        <f>IFERROR(__xludf.DUMMYFUNCTION("""COMPUTED_VALUE"""),"Uncle Sams Cider (5/13/2022)")</f>
        <v>Uncle Sams Cider (5/13/2022)</v>
      </c>
      <c r="H3719" s="19"/>
    </row>
    <row r="3720">
      <c r="A3720" s="9"/>
      <c r="B3720" s="15"/>
      <c r="C3720" s="9">
        <f>IFERROR(__xludf.DUMMYFUNCTION("""COMPUTED_VALUE"""),44757.8424350578)</f>
        <v>44757.84244</v>
      </c>
      <c r="D3720" s="15">
        <f>IFERROR(__xludf.DUMMYFUNCTION("""COMPUTED_VALUE"""),1.004)</f>
        <v>1.004</v>
      </c>
      <c r="E3720" s="16">
        <f>IFERROR(__xludf.DUMMYFUNCTION("""COMPUTED_VALUE"""),70.0)</f>
        <v>70</v>
      </c>
      <c r="F3720" s="19" t="str">
        <f>IFERROR(__xludf.DUMMYFUNCTION("""COMPUTED_VALUE"""),"BLACK")</f>
        <v>BLACK</v>
      </c>
      <c r="G3720" s="20" t="str">
        <f>IFERROR(__xludf.DUMMYFUNCTION("""COMPUTED_VALUE"""),"Uncle Sams Cider (5/13/2022)")</f>
        <v>Uncle Sams Cider (5/13/2022)</v>
      </c>
      <c r="H3720" s="19"/>
    </row>
    <row r="3721">
      <c r="A3721" s="9"/>
      <c r="B3721" s="15"/>
      <c r="C3721" s="9">
        <f>IFERROR(__xludf.DUMMYFUNCTION("""COMPUTED_VALUE"""),44757.8319794097)</f>
        <v>44757.83198</v>
      </c>
      <c r="D3721" s="15">
        <f>IFERROR(__xludf.DUMMYFUNCTION("""COMPUTED_VALUE"""),1.004)</f>
        <v>1.004</v>
      </c>
      <c r="E3721" s="16">
        <f>IFERROR(__xludf.DUMMYFUNCTION("""COMPUTED_VALUE"""),70.0)</f>
        <v>70</v>
      </c>
      <c r="F3721" s="19" t="str">
        <f>IFERROR(__xludf.DUMMYFUNCTION("""COMPUTED_VALUE"""),"BLACK")</f>
        <v>BLACK</v>
      </c>
      <c r="G3721" s="20" t="str">
        <f>IFERROR(__xludf.DUMMYFUNCTION("""COMPUTED_VALUE"""),"Uncle Sams Cider (5/13/2022)")</f>
        <v>Uncle Sams Cider (5/13/2022)</v>
      </c>
      <c r="H3721" s="19"/>
    </row>
    <row r="3722">
      <c r="A3722" s="9"/>
      <c r="B3722" s="15"/>
      <c r="C3722" s="9">
        <f>IFERROR(__xludf.DUMMYFUNCTION("""COMPUTED_VALUE"""),44757.8215575925)</f>
        <v>44757.82156</v>
      </c>
      <c r="D3722" s="15">
        <f>IFERROR(__xludf.DUMMYFUNCTION("""COMPUTED_VALUE"""),1.004)</f>
        <v>1.004</v>
      </c>
      <c r="E3722" s="16">
        <f>IFERROR(__xludf.DUMMYFUNCTION("""COMPUTED_VALUE"""),70.0)</f>
        <v>70</v>
      </c>
      <c r="F3722" s="19" t="str">
        <f>IFERROR(__xludf.DUMMYFUNCTION("""COMPUTED_VALUE"""),"BLACK")</f>
        <v>BLACK</v>
      </c>
      <c r="G3722" s="20" t="str">
        <f>IFERROR(__xludf.DUMMYFUNCTION("""COMPUTED_VALUE"""),"Uncle Sams Cider (5/13/2022)")</f>
        <v>Uncle Sams Cider (5/13/2022)</v>
      </c>
      <c r="H3722" s="19"/>
    </row>
    <row r="3723">
      <c r="A3723" s="9"/>
      <c r="B3723" s="15"/>
      <c r="C3723" s="9">
        <f>IFERROR(__xludf.DUMMYFUNCTION("""COMPUTED_VALUE"""),44757.8111348379)</f>
        <v>44757.81113</v>
      </c>
      <c r="D3723" s="15">
        <f>IFERROR(__xludf.DUMMYFUNCTION("""COMPUTED_VALUE"""),1.004)</f>
        <v>1.004</v>
      </c>
      <c r="E3723" s="16">
        <f>IFERROR(__xludf.DUMMYFUNCTION("""COMPUTED_VALUE"""),70.0)</f>
        <v>70</v>
      </c>
      <c r="F3723" s="19" t="str">
        <f>IFERROR(__xludf.DUMMYFUNCTION("""COMPUTED_VALUE"""),"BLACK")</f>
        <v>BLACK</v>
      </c>
      <c r="G3723" s="20" t="str">
        <f>IFERROR(__xludf.DUMMYFUNCTION("""COMPUTED_VALUE"""),"Uncle Sams Cider (5/13/2022)")</f>
        <v>Uncle Sams Cider (5/13/2022)</v>
      </c>
      <c r="H3723" s="19"/>
    </row>
    <row r="3724">
      <c r="A3724" s="9"/>
      <c r="B3724" s="15"/>
      <c r="C3724" s="9">
        <f>IFERROR(__xludf.DUMMYFUNCTION("""COMPUTED_VALUE"""),44757.8007012268)</f>
        <v>44757.8007</v>
      </c>
      <c r="D3724" s="15">
        <f>IFERROR(__xludf.DUMMYFUNCTION("""COMPUTED_VALUE"""),1.004)</f>
        <v>1.004</v>
      </c>
      <c r="E3724" s="16">
        <f>IFERROR(__xludf.DUMMYFUNCTION("""COMPUTED_VALUE"""),70.0)</f>
        <v>70</v>
      </c>
      <c r="F3724" s="19" t="str">
        <f>IFERROR(__xludf.DUMMYFUNCTION("""COMPUTED_VALUE"""),"BLACK")</f>
        <v>BLACK</v>
      </c>
      <c r="G3724" s="20" t="str">
        <f>IFERROR(__xludf.DUMMYFUNCTION("""COMPUTED_VALUE"""),"Uncle Sams Cider (5/13/2022)")</f>
        <v>Uncle Sams Cider (5/13/2022)</v>
      </c>
      <c r="H3724" s="19"/>
    </row>
    <row r="3725">
      <c r="A3725" s="9"/>
      <c r="B3725" s="15"/>
      <c r="C3725" s="9">
        <f>IFERROR(__xludf.DUMMYFUNCTION("""COMPUTED_VALUE"""),44757.7902691898)</f>
        <v>44757.79027</v>
      </c>
      <c r="D3725" s="15">
        <f>IFERROR(__xludf.DUMMYFUNCTION("""COMPUTED_VALUE"""),1.004)</f>
        <v>1.004</v>
      </c>
      <c r="E3725" s="16">
        <f>IFERROR(__xludf.DUMMYFUNCTION("""COMPUTED_VALUE"""),70.0)</f>
        <v>70</v>
      </c>
      <c r="F3725" s="19" t="str">
        <f>IFERROR(__xludf.DUMMYFUNCTION("""COMPUTED_VALUE"""),"BLACK")</f>
        <v>BLACK</v>
      </c>
      <c r="G3725" s="20" t="str">
        <f>IFERROR(__xludf.DUMMYFUNCTION("""COMPUTED_VALUE"""),"Uncle Sams Cider (5/13/2022)")</f>
        <v>Uncle Sams Cider (5/13/2022)</v>
      </c>
      <c r="H3725" s="19"/>
    </row>
    <row r="3726">
      <c r="A3726" s="9"/>
      <c r="B3726" s="15"/>
      <c r="C3726" s="9">
        <f>IFERROR(__xludf.DUMMYFUNCTION("""COMPUTED_VALUE"""),44757.7798482754)</f>
        <v>44757.77985</v>
      </c>
      <c r="D3726" s="15">
        <f>IFERROR(__xludf.DUMMYFUNCTION("""COMPUTED_VALUE"""),1.004)</f>
        <v>1.004</v>
      </c>
      <c r="E3726" s="16">
        <f>IFERROR(__xludf.DUMMYFUNCTION("""COMPUTED_VALUE"""),70.0)</f>
        <v>70</v>
      </c>
      <c r="F3726" s="19" t="str">
        <f>IFERROR(__xludf.DUMMYFUNCTION("""COMPUTED_VALUE"""),"BLACK")</f>
        <v>BLACK</v>
      </c>
      <c r="G3726" s="20" t="str">
        <f>IFERROR(__xludf.DUMMYFUNCTION("""COMPUTED_VALUE"""),"Uncle Sams Cider (5/13/2022)")</f>
        <v>Uncle Sams Cider (5/13/2022)</v>
      </c>
      <c r="H3726" s="19"/>
    </row>
    <row r="3727">
      <c r="A3727" s="9"/>
      <c r="B3727" s="15"/>
      <c r="C3727" s="9">
        <f>IFERROR(__xludf.DUMMYFUNCTION("""COMPUTED_VALUE"""),44757.769426574)</f>
        <v>44757.76943</v>
      </c>
      <c r="D3727" s="15">
        <f>IFERROR(__xludf.DUMMYFUNCTION("""COMPUTED_VALUE"""),1.004)</f>
        <v>1.004</v>
      </c>
      <c r="E3727" s="16">
        <f>IFERROR(__xludf.DUMMYFUNCTION("""COMPUTED_VALUE"""),70.0)</f>
        <v>70</v>
      </c>
      <c r="F3727" s="19" t="str">
        <f>IFERROR(__xludf.DUMMYFUNCTION("""COMPUTED_VALUE"""),"BLACK")</f>
        <v>BLACK</v>
      </c>
      <c r="G3727" s="20" t="str">
        <f>IFERROR(__xludf.DUMMYFUNCTION("""COMPUTED_VALUE"""),"Uncle Sams Cider (5/13/2022)")</f>
        <v>Uncle Sams Cider (5/13/2022)</v>
      </c>
      <c r="H3727" s="19"/>
    </row>
    <row r="3728">
      <c r="A3728" s="9"/>
      <c r="B3728" s="15"/>
      <c r="C3728" s="9">
        <f>IFERROR(__xludf.DUMMYFUNCTION("""COMPUTED_VALUE"""),44757.7590050231)</f>
        <v>44757.75901</v>
      </c>
      <c r="D3728" s="15">
        <f>IFERROR(__xludf.DUMMYFUNCTION("""COMPUTED_VALUE"""),1.004)</f>
        <v>1.004</v>
      </c>
      <c r="E3728" s="16">
        <f>IFERROR(__xludf.DUMMYFUNCTION("""COMPUTED_VALUE"""),70.0)</f>
        <v>70</v>
      </c>
      <c r="F3728" s="19" t="str">
        <f>IFERROR(__xludf.DUMMYFUNCTION("""COMPUTED_VALUE"""),"BLACK")</f>
        <v>BLACK</v>
      </c>
      <c r="G3728" s="20" t="str">
        <f>IFERROR(__xludf.DUMMYFUNCTION("""COMPUTED_VALUE"""),"Uncle Sams Cider (5/13/2022)")</f>
        <v>Uncle Sams Cider (5/13/2022)</v>
      </c>
      <c r="H3728" s="19"/>
    </row>
    <row r="3729">
      <c r="A3729" s="9"/>
      <c r="B3729" s="15"/>
      <c r="C3729" s="9">
        <f>IFERROR(__xludf.DUMMYFUNCTION("""COMPUTED_VALUE"""),44757.7485734722)</f>
        <v>44757.74857</v>
      </c>
      <c r="D3729" s="15">
        <f>IFERROR(__xludf.DUMMYFUNCTION("""COMPUTED_VALUE"""),1.004)</f>
        <v>1.004</v>
      </c>
      <c r="E3729" s="16">
        <f>IFERROR(__xludf.DUMMYFUNCTION("""COMPUTED_VALUE"""),70.0)</f>
        <v>70</v>
      </c>
      <c r="F3729" s="19" t="str">
        <f>IFERROR(__xludf.DUMMYFUNCTION("""COMPUTED_VALUE"""),"BLACK")</f>
        <v>BLACK</v>
      </c>
      <c r="G3729" s="20" t="str">
        <f>IFERROR(__xludf.DUMMYFUNCTION("""COMPUTED_VALUE"""),"Uncle Sams Cider (5/13/2022)")</f>
        <v>Uncle Sams Cider (5/13/2022)</v>
      </c>
      <c r="H3729" s="19"/>
    </row>
    <row r="3730">
      <c r="A3730" s="9"/>
      <c r="B3730" s="15"/>
      <c r="C3730" s="9">
        <f>IFERROR(__xludf.DUMMYFUNCTION("""COMPUTED_VALUE"""),44757.7381514814)</f>
        <v>44757.73815</v>
      </c>
      <c r="D3730" s="15">
        <f>IFERROR(__xludf.DUMMYFUNCTION("""COMPUTED_VALUE"""),1.004)</f>
        <v>1.004</v>
      </c>
      <c r="E3730" s="16">
        <f>IFERROR(__xludf.DUMMYFUNCTION("""COMPUTED_VALUE"""),70.0)</f>
        <v>70</v>
      </c>
      <c r="F3730" s="19" t="str">
        <f>IFERROR(__xludf.DUMMYFUNCTION("""COMPUTED_VALUE"""),"BLACK")</f>
        <v>BLACK</v>
      </c>
      <c r="G3730" s="20" t="str">
        <f>IFERROR(__xludf.DUMMYFUNCTION("""COMPUTED_VALUE"""),"Uncle Sams Cider (5/13/2022)")</f>
        <v>Uncle Sams Cider (5/13/2022)</v>
      </c>
      <c r="H3730" s="19"/>
    </row>
    <row r="3731">
      <c r="A3731" s="9"/>
      <c r="B3731" s="15"/>
      <c r="C3731" s="9">
        <f>IFERROR(__xludf.DUMMYFUNCTION("""COMPUTED_VALUE"""),44757.7277295949)</f>
        <v>44757.72773</v>
      </c>
      <c r="D3731" s="15">
        <f>IFERROR(__xludf.DUMMYFUNCTION("""COMPUTED_VALUE"""),1.004)</f>
        <v>1.004</v>
      </c>
      <c r="E3731" s="16">
        <f>IFERROR(__xludf.DUMMYFUNCTION("""COMPUTED_VALUE"""),70.0)</f>
        <v>70</v>
      </c>
      <c r="F3731" s="19" t="str">
        <f>IFERROR(__xludf.DUMMYFUNCTION("""COMPUTED_VALUE"""),"BLACK")</f>
        <v>BLACK</v>
      </c>
      <c r="G3731" s="20" t="str">
        <f>IFERROR(__xludf.DUMMYFUNCTION("""COMPUTED_VALUE"""),"Uncle Sams Cider (5/13/2022)")</f>
        <v>Uncle Sams Cider (5/13/2022)</v>
      </c>
      <c r="H3731" s="19"/>
    </row>
    <row r="3732">
      <c r="A3732" s="9"/>
      <c r="B3732" s="15"/>
      <c r="C3732" s="9">
        <f>IFERROR(__xludf.DUMMYFUNCTION("""COMPUTED_VALUE"""),44757.717296493)</f>
        <v>44757.7173</v>
      </c>
      <c r="D3732" s="15">
        <f>IFERROR(__xludf.DUMMYFUNCTION("""COMPUTED_VALUE"""),1.004)</f>
        <v>1.004</v>
      </c>
      <c r="E3732" s="16">
        <f>IFERROR(__xludf.DUMMYFUNCTION("""COMPUTED_VALUE"""),70.0)</f>
        <v>70</v>
      </c>
      <c r="F3732" s="19" t="str">
        <f>IFERROR(__xludf.DUMMYFUNCTION("""COMPUTED_VALUE"""),"BLACK")</f>
        <v>BLACK</v>
      </c>
      <c r="G3732" s="20" t="str">
        <f>IFERROR(__xludf.DUMMYFUNCTION("""COMPUTED_VALUE"""),"Uncle Sams Cider (5/13/2022)")</f>
        <v>Uncle Sams Cider (5/13/2022)</v>
      </c>
      <c r="H3732" s="19"/>
    </row>
    <row r="3733">
      <c r="A3733" s="9"/>
      <c r="B3733" s="15"/>
      <c r="C3733" s="9">
        <f>IFERROR(__xludf.DUMMYFUNCTION("""COMPUTED_VALUE"""),44757.7068739351)</f>
        <v>44757.70687</v>
      </c>
      <c r="D3733" s="15">
        <f>IFERROR(__xludf.DUMMYFUNCTION("""COMPUTED_VALUE"""),1.004)</f>
        <v>1.004</v>
      </c>
      <c r="E3733" s="16">
        <f>IFERROR(__xludf.DUMMYFUNCTION("""COMPUTED_VALUE"""),70.0)</f>
        <v>70</v>
      </c>
      <c r="F3733" s="19" t="str">
        <f>IFERROR(__xludf.DUMMYFUNCTION("""COMPUTED_VALUE"""),"BLACK")</f>
        <v>BLACK</v>
      </c>
      <c r="G3733" s="20" t="str">
        <f>IFERROR(__xludf.DUMMYFUNCTION("""COMPUTED_VALUE"""),"Uncle Sams Cider (5/13/2022)")</f>
        <v>Uncle Sams Cider (5/13/2022)</v>
      </c>
      <c r="H3733" s="19"/>
    </row>
    <row r="3734">
      <c r="A3734" s="9"/>
      <c r="B3734" s="15"/>
      <c r="C3734" s="9">
        <f>IFERROR(__xludf.DUMMYFUNCTION("""COMPUTED_VALUE"""),44757.6964531134)</f>
        <v>44757.69645</v>
      </c>
      <c r="D3734" s="15">
        <f>IFERROR(__xludf.DUMMYFUNCTION("""COMPUTED_VALUE"""),1.004)</f>
        <v>1.004</v>
      </c>
      <c r="E3734" s="16">
        <f>IFERROR(__xludf.DUMMYFUNCTION("""COMPUTED_VALUE"""),70.0)</f>
        <v>70</v>
      </c>
      <c r="F3734" s="19" t="str">
        <f>IFERROR(__xludf.DUMMYFUNCTION("""COMPUTED_VALUE"""),"BLACK")</f>
        <v>BLACK</v>
      </c>
      <c r="G3734" s="20" t="str">
        <f>IFERROR(__xludf.DUMMYFUNCTION("""COMPUTED_VALUE"""),"Uncle Sams Cider (5/13/2022)")</f>
        <v>Uncle Sams Cider (5/13/2022)</v>
      </c>
      <c r="H3734" s="19"/>
    </row>
    <row r="3735">
      <c r="A3735" s="9"/>
      <c r="B3735" s="15"/>
      <c r="C3735" s="9">
        <f>IFERROR(__xludf.DUMMYFUNCTION("""COMPUTED_VALUE"""),44757.6860211458)</f>
        <v>44757.68602</v>
      </c>
      <c r="D3735" s="15">
        <f>IFERROR(__xludf.DUMMYFUNCTION("""COMPUTED_VALUE"""),1.004)</f>
        <v>1.004</v>
      </c>
      <c r="E3735" s="16">
        <f>IFERROR(__xludf.DUMMYFUNCTION("""COMPUTED_VALUE"""),70.0)</f>
        <v>70</v>
      </c>
      <c r="F3735" s="19" t="str">
        <f>IFERROR(__xludf.DUMMYFUNCTION("""COMPUTED_VALUE"""),"BLACK")</f>
        <v>BLACK</v>
      </c>
      <c r="G3735" s="20" t="str">
        <f>IFERROR(__xludf.DUMMYFUNCTION("""COMPUTED_VALUE"""),"Uncle Sams Cider (5/13/2022)")</f>
        <v>Uncle Sams Cider (5/13/2022)</v>
      </c>
      <c r="H3735" s="19"/>
    </row>
    <row r="3736">
      <c r="A3736" s="9"/>
      <c r="B3736" s="15"/>
      <c r="C3736" s="9">
        <f>IFERROR(__xludf.DUMMYFUNCTION("""COMPUTED_VALUE"""),44757.6755994791)</f>
        <v>44757.6756</v>
      </c>
      <c r="D3736" s="15">
        <f>IFERROR(__xludf.DUMMYFUNCTION("""COMPUTED_VALUE"""),1.004)</f>
        <v>1.004</v>
      </c>
      <c r="E3736" s="16">
        <f>IFERROR(__xludf.DUMMYFUNCTION("""COMPUTED_VALUE"""),70.0)</f>
        <v>70</v>
      </c>
      <c r="F3736" s="19" t="str">
        <f>IFERROR(__xludf.DUMMYFUNCTION("""COMPUTED_VALUE"""),"BLACK")</f>
        <v>BLACK</v>
      </c>
      <c r="G3736" s="20" t="str">
        <f>IFERROR(__xludf.DUMMYFUNCTION("""COMPUTED_VALUE"""),"Uncle Sams Cider (5/13/2022)")</f>
        <v>Uncle Sams Cider (5/13/2022)</v>
      </c>
      <c r="H3736" s="19"/>
    </row>
    <row r="3737">
      <c r="A3737" s="9"/>
      <c r="B3737" s="15"/>
      <c r="C3737" s="9">
        <f>IFERROR(__xludf.DUMMYFUNCTION("""COMPUTED_VALUE"""),44757.6651773263)</f>
        <v>44757.66518</v>
      </c>
      <c r="D3737" s="15">
        <f>IFERROR(__xludf.DUMMYFUNCTION("""COMPUTED_VALUE"""),1.004)</f>
        <v>1.004</v>
      </c>
      <c r="E3737" s="16">
        <f>IFERROR(__xludf.DUMMYFUNCTION("""COMPUTED_VALUE"""),70.0)</f>
        <v>70</v>
      </c>
      <c r="F3737" s="19" t="str">
        <f>IFERROR(__xludf.DUMMYFUNCTION("""COMPUTED_VALUE"""),"BLACK")</f>
        <v>BLACK</v>
      </c>
      <c r="G3737" s="20" t="str">
        <f>IFERROR(__xludf.DUMMYFUNCTION("""COMPUTED_VALUE"""),"Uncle Sams Cider (5/13/2022)")</f>
        <v>Uncle Sams Cider (5/13/2022)</v>
      </c>
      <c r="H3737" s="19"/>
    </row>
    <row r="3738">
      <c r="A3738" s="9"/>
      <c r="B3738" s="15"/>
      <c r="C3738" s="9">
        <f>IFERROR(__xludf.DUMMYFUNCTION("""COMPUTED_VALUE"""),44757.6547546064)</f>
        <v>44757.65475</v>
      </c>
      <c r="D3738" s="15">
        <f>IFERROR(__xludf.DUMMYFUNCTION("""COMPUTED_VALUE"""),1.004)</f>
        <v>1.004</v>
      </c>
      <c r="E3738" s="16">
        <f>IFERROR(__xludf.DUMMYFUNCTION("""COMPUTED_VALUE"""),70.0)</f>
        <v>70</v>
      </c>
      <c r="F3738" s="19" t="str">
        <f>IFERROR(__xludf.DUMMYFUNCTION("""COMPUTED_VALUE"""),"BLACK")</f>
        <v>BLACK</v>
      </c>
      <c r="G3738" s="20" t="str">
        <f>IFERROR(__xludf.DUMMYFUNCTION("""COMPUTED_VALUE"""),"Uncle Sams Cider (5/13/2022)")</f>
        <v>Uncle Sams Cider (5/13/2022)</v>
      </c>
      <c r="H3738" s="19"/>
    </row>
    <row r="3739">
      <c r="A3739" s="9"/>
      <c r="B3739" s="15"/>
      <c r="C3739" s="9">
        <f>IFERROR(__xludf.DUMMYFUNCTION("""COMPUTED_VALUE"""),44757.644322824)</f>
        <v>44757.64432</v>
      </c>
      <c r="D3739" s="15">
        <f>IFERROR(__xludf.DUMMYFUNCTION("""COMPUTED_VALUE"""),1.004)</f>
        <v>1.004</v>
      </c>
      <c r="E3739" s="16">
        <f>IFERROR(__xludf.DUMMYFUNCTION("""COMPUTED_VALUE"""),70.0)</f>
        <v>70</v>
      </c>
      <c r="F3739" s="19" t="str">
        <f>IFERROR(__xludf.DUMMYFUNCTION("""COMPUTED_VALUE"""),"BLACK")</f>
        <v>BLACK</v>
      </c>
      <c r="G3739" s="20" t="str">
        <f>IFERROR(__xludf.DUMMYFUNCTION("""COMPUTED_VALUE"""),"Uncle Sams Cider (5/13/2022)")</f>
        <v>Uncle Sams Cider (5/13/2022)</v>
      </c>
      <c r="H3739" s="19"/>
    </row>
    <row r="3740">
      <c r="A3740" s="9"/>
      <c r="B3740" s="15"/>
      <c r="C3740" s="9">
        <f>IFERROR(__xludf.DUMMYFUNCTION("""COMPUTED_VALUE"""),44757.6338883912)</f>
        <v>44757.63389</v>
      </c>
      <c r="D3740" s="15">
        <f>IFERROR(__xludf.DUMMYFUNCTION("""COMPUTED_VALUE"""),1.004)</f>
        <v>1.004</v>
      </c>
      <c r="E3740" s="16">
        <f>IFERROR(__xludf.DUMMYFUNCTION("""COMPUTED_VALUE"""),70.0)</f>
        <v>70</v>
      </c>
      <c r="F3740" s="19" t="str">
        <f>IFERROR(__xludf.DUMMYFUNCTION("""COMPUTED_VALUE"""),"BLACK")</f>
        <v>BLACK</v>
      </c>
      <c r="G3740" s="20" t="str">
        <f>IFERROR(__xludf.DUMMYFUNCTION("""COMPUTED_VALUE"""),"Uncle Sams Cider (5/13/2022)")</f>
        <v>Uncle Sams Cider (5/13/2022)</v>
      </c>
      <c r="H3740" s="19"/>
    </row>
    <row r="3741">
      <c r="A3741" s="9"/>
      <c r="B3741" s="15"/>
      <c r="C3741" s="9">
        <f>IFERROR(__xludf.DUMMYFUNCTION("""COMPUTED_VALUE"""),44757.6234684838)</f>
        <v>44757.62347</v>
      </c>
      <c r="D3741" s="15">
        <f>IFERROR(__xludf.DUMMYFUNCTION("""COMPUTED_VALUE"""),1.004)</f>
        <v>1.004</v>
      </c>
      <c r="E3741" s="16">
        <f>IFERROR(__xludf.DUMMYFUNCTION("""COMPUTED_VALUE"""),70.0)</f>
        <v>70</v>
      </c>
      <c r="F3741" s="19" t="str">
        <f>IFERROR(__xludf.DUMMYFUNCTION("""COMPUTED_VALUE"""),"BLACK")</f>
        <v>BLACK</v>
      </c>
      <c r="G3741" s="20" t="str">
        <f>IFERROR(__xludf.DUMMYFUNCTION("""COMPUTED_VALUE"""),"Uncle Sams Cider (5/13/2022)")</f>
        <v>Uncle Sams Cider (5/13/2022)</v>
      </c>
      <c r="H3741" s="19"/>
    </row>
    <row r="3742">
      <c r="A3742" s="9"/>
      <c r="B3742" s="15"/>
      <c r="C3742" s="9">
        <f>IFERROR(__xludf.DUMMYFUNCTION("""COMPUTED_VALUE"""),44757.6130468865)</f>
        <v>44757.61305</v>
      </c>
      <c r="D3742" s="15">
        <f>IFERROR(__xludf.DUMMYFUNCTION("""COMPUTED_VALUE"""),1.004)</f>
        <v>1.004</v>
      </c>
      <c r="E3742" s="16">
        <f>IFERROR(__xludf.DUMMYFUNCTION("""COMPUTED_VALUE"""),70.0)</f>
        <v>70</v>
      </c>
      <c r="F3742" s="19" t="str">
        <f>IFERROR(__xludf.DUMMYFUNCTION("""COMPUTED_VALUE"""),"BLACK")</f>
        <v>BLACK</v>
      </c>
      <c r="G3742" s="20" t="str">
        <f>IFERROR(__xludf.DUMMYFUNCTION("""COMPUTED_VALUE"""),"Uncle Sams Cider (5/13/2022)")</f>
        <v>Uncle Sams Cider (5/13/2022)</v>
      </c>
      <c r="H3742" s="19"/>
    </row>
    <row r="3743">
      <c r="A3743" s="9"/>
      <c r="B3743" s="15"/>
      <c r="C3743" s="9">
        <f>IFERROR(__xludf.DUMMYFUNCTION("""COMPUTED_VALUE"""),44757.6026245486)</f>
        <v>44757.60262</v>
      </c>
      <c r="D3743" s="15">
        <f>IFERROR(__xludf.DUMMYFUNCTION("""COMPUTED_VALUE"""),1.004)</f>
        <v>1.004</v>
      </c>
      <c r="E3743" s="16">
        <f>IFERROR(__xludf.DUMMYFUNCTION("""COMPUTED_VALUE"""),70.0)</f>
        <v>70</v>
      </c>
      <c r="F3743" s="19" t="str">
        <f>IFERROR(__xludf.DUMMYFUNCTION("""COMPUTED_VALUE"""),"BLACK")</f>
        <v>BLACK</v>
      </c>
      <c r="G3743" s="20" t="str">
        <f>IFERROR(__xludf.DUMMYFUNCTION("""COMPUTED_VALUE"""),"Uncle Sams Cider (5/13/2022)")</f>
        <v>Uncle Sams Cider (5/13/2022)</v>
      </c>
      <c r="H3743" s="19"/>
    </row>
    <row r="3744">
      <c r="A3744" s="9"/>
      <c r="B3744" s="15"/>
      <c r="C3744" s="9">
        <f>IFERROR(__xludf.DUMMYFUNCTION("""COMPUTED_VALUE"""),44757.5921920138)</f>
        <v>44757.59219</v>
      </c>
      <c r="D3744" s="15">
        <f>IFERROR(__xludf.DUMMYFUNCTION("""COMPUTED_VALUE"""),1.004)</f>
        <v>1.004</v>
      </c>
      <c r="E3744" s="16">
        <f>IFERROR(__xludf.DUMMYFUNCTION("""COMPUTED_VALUE"""),70.0)</f>
        <v>70</v>
      </c>
      <c r="F3744" s="19" t="str">
        <f>IFERROR(__xludf.DUMMYFUNCTION("""COMPUTED_VALUE"""),"BLACK")</f>
        <v>BLACK</v>
      </c>
      <c r="G3744" s="20" t="str">
        <f>IFERROR(__xludf.DUMMYFUNCTION("""COMPUTED_VALUE"""),"Uncle Sams Cider (5/13/2022)")</f>
        <v>Uncle Sams Cider (5/13/2022)</v>
      </c>
      <c r="H3744" s="19"/>
    </row>
    <row r="3745">
      <c r="A3745" s="9"/>
      <c r="B3745" s="15"/>
      <c r="C3745" s="9">
        <f>IFERROR(__xludf.DUMMYFUNCTION("""COMPUTED_VALUE"""),44757.581747662)</f>
        <v>44757.58175</v>
      </c>
      <c r="D3745" s="15">
        <f>IFERROR(__xludf.DUMMYFUNCTION("""COMPUTED_VALUE"""),1.004)</f>
        <v>1.004</v>
      </c>
      <c r="E3745" s="16">
        <f>IFERROR(__xludf.DUMMYFUNCTION("""COMPUTED_VALUE"""),70.0)</f>
        <v>70</v>
      </c>
      <c r="F3745" s="19" t="str">
        <f>IFERROR(__xludf.DUMMYFUNCTION("""COMPUTED_VALUE"""),"BLACK")</f>
        <v>BLACK</v>
      </c>
      <c r="G3745" s="20" t="str">
        <f>IFERROR(__xludf.DUMMYFUNCTION("""COMPUTED_VALUE"""),"Uncle Sams Cider (5/13/2022)")</f>
        <v>Uncle Sams Cider (5/13/2022)</v>
      </c>
      <c r="H3745" s="19"/>
    </row>
    <row r="3746">
      <c r="A3746" s="9"/>
      <c r="B3746" s="15"/>
      <c r="C3746" s="9">
        <f>IFERROR(__xludf.DUMMYFUNCTION("""COMPUTED_VALUE"""),44757.5713269444)</f>
        <v>44757.57133</v>
      </c>
      <c r="D3746" s="15">
        <f>IFERROR(__xludf.DUMMYFUNCTION("""COMPUTED_VALUE"""),1.004)</f>
        <v>1.004</v>
      </c>
      <c r="E3746" s="16">
        <f>IFERROR(__xludf.DUMMYFUNCTION("""COMPUTED_VALUE"""),70.0)</f>
        <v>70</v>
      </c>
      <c r="F3746" s="19" t="str">
        <f>IFERROR(__xludf.DUMMYFUNCTION("""COMPUTED_VALUE"""),"BLACK")</f>
        <v>BLACK</v>
      </c>
      <c r="G3746" s="20" t="str">
        <f>IFERROR(__xludf.DUMMYFUNCTION("""COMPUTED_VALUE"""),"Uncle Sams Cider (5/13/2022)")</f>
        <v>Uncle Sams Cider (5/13/2022)</v>
      </c>
      <c r="H3746" s="19"/>
    </row>
    <row r="3747">
      <c r="A3747" s="9"/>
      <c r="B3747" s="15"/>
      <c r="C3747" s="9">
        <f>IFERROR(__xludf.DUMMYFUNCTION("""COMPUTED_VALUE"""),44757.5609059953)</f>
        <v>44757.56091</v>
      </c>
      <c r="D3747" s="15">
        <f>IFERROR(__xludf.DUMMYFUNCTION("""COMPUTED_VALUE"""),1.004)</f>
        <v>1.004</v>
      </c>
      <c r="E3747" s="16">
        <f>IFERROR(__xludf.DUMMYFUNCTION("""COMPUTED_VALUE"""),70.0)</f>
        <v>70</v>
      </c>
      <c r="F3747" s="19" t="str">
        <f>IFERROR(__xludf.DUMMYFUNCTION("""COMPUTED_VALUE"""),"BLACK")</f>
        <v>BLACK</v>
      </c>
      <c r="G3747" s="20" t="str">
        <f>IFERROR(__xludf.DUMMYFUNCTION("""COMPUTED_VALUE"""),"Uncle Sams Cider (5/13/2022)")</f>
        <v>Uncle Sams Cider (5/13/2022)</v>
      </c>
      <c r="H3747" s="19"/>
    </row>
    <row r="3748">
      <c r="A3748" s="9"/>
      <c r="B3748" s="15"/>
      <c r="C3748" s="9">
        <f>IFERROR(__xludf.DUMMYFUNCTION("""COMPUTED_VALUE"""),44757.5504733333)</f>
        <v>44757.55047</v>
      </c>
      <c r="D3748" s="15">
        <f>IFERROR(__xludf.DUMMYFUNCTION("""COMPUTED_VALUE"""),1.004)</f>
        <v>1.004</v>
      </c>
      <c r="E3748" s="16">
        <f>IFERROR(__xludf.DUMMYFUNCTION("""COMPUTED_VALUE"""),70.0)</f>
        <v>70</v>
      </c>
      <c r="F3748" s="19" t="str">
        <f>IFERROR(__xludf.DUMMYFUNCTION("""COMPUTED_VALUE"""),"BLACK")</f>
        <v>BLACK</v>
      </c>
      <c r="G3748" s="20" t="str">
        <f>IFERROR(__xludf.DUMMYFUNCTION("""COMPUTED_VALUE"""),"Uncle Sams Cider (5/13/2022)")</f>
        <v>Uncle Sams Cider (5/13/2022)</v>
      </c>
      <c r="H3748" s="19"/>
    </row>
    <row r="3749">
      <c r="A3749" s="9"/>
      <c r="B3749" s="15"/>
      <c r="C3749" s="9">
        <f>IFERROR(__xludf.DUMMYFUNCTION("""COMPUTED_VALUE"""),44757.5400515046)</f>
        <v>44757.54005</v>
      </c>
      <c r="D3749" s="15">
        <f>IFERROR(__xludf.DUMMYFUNCTION("""COMPUTED_VALUE"""),1.004)</f>
        <v>1.004</v>
      </c>
      <c r="E3749" s="16">
        <f>IFERROR(__xludf.DUMMYFUNCTION("""COMPUTED_VALUE"""),70.0)</f>
        <v>70</v>
      </c>
      <c r="F3749" s="19" t="str">
        <f>IFERROR(__xludf.DUMMYFUNCTION("""COMPUTED_VALUE"""),"BLACK")</f>
        <v>BLACK</v>
      </c>
      <c r="G3749" s="20" t="str">
        <f>IFERROR(__xludf.DUMMYFUNCTION("""COMPUTED_VALUE"""),"Uncle Sams Cider (5/13/2022)")</f>
        <v>Uncle Sams Cider (5/13/2022)</v>
      </c>
      <c r="H3749" s="19"/>
    </row>
    <row r="3750">
      <c r="A3750" s="9"/>
      <c r="B3750" s="15"/>
      <c r="C3750" s="9">
        <f>IFERROR(__xludf.DUMMYFUNCTION("""COMPUTED_VALUE"""),44757.529619618)</f>
        <v>44757.52962</v>
      </c>
      <c r="D3750" s="15">
        <f>IFERROR(__xludf.DUMMYFUNCTION("""COMPUTED_VALUE"""),1.004)</f>
        <v>1.004</v>
      </c>
      <c r="E3750" s="16">
        <f>IFERROR(__xludf.DUMMYFUNCTION("""COMPUTED_VALUE"""),70.0)</f>
        <v>70</v>
      </c>
      <c r="F3750" s="19" t="str">
        <f>IFERROR(__xludf.DUMMYFUNCTION("""COMPUTED_VALUE"""),"BLACK")</f>
        <v>BLACK</v>
      </c>
      <c r="G3750" s="20" t="str">
        <f>IFERROR(__xludf.DUMMYFUNCTION("""COMPUTED_VALUE"""),"Uncle Sams Cider (5/13/2022)")</f>
        <v>Uncle Sams Cider (5/13/2022)</v>
      </c>
      <c r="H3750" s="19"/>
    </row>
    <row r="3751">
      <c r="A3751" s="9"/>
      <c r="B3751" s="15"/>
      <c r="C3751" s="9">
        <f>IFERROR(__xludf.DUMMYFUNCTION("""COMPUTED_VALUE"""),44757.5191979513)</f>
        <v>44757.5192</v>
      </c>
      <c r="D3751" s="15">
        <f>IFERROR(__xludf.DUMMYFUNCTION("""COMPUTED_VALUE"""),1.004)</f>
        <v>1.004</v>
      </c>
      <c r="E3751" s="16">
        <f>IFERROR(__xludf.DUMMYFUNCTION("""COMPUTED_VALUE"""),70.0)</f>
        <v>70</v>
      </c>
      <c r="F3751" s="19" t="str">
        <f>IFERROR(__xludf.DUMMYFUNCTION("""COMPUTED_VALUE"""),"BLACK")</f>
        <v>BLACK</v>
      </c>
      <c r="G3751" s="20" t="str">
        <f>IFERROR(__xludf.DUMMYFUNCTION("""COMPUTED_VALUE"""),"Uncle Sams Cider (5/13/2022)")</f>
        <v>Uncle Sams Cider (5/13/2022)</v>
      </c>
      <c r="H3751" s="19"/>
    </row>
    <row r="3752">
      <c r="A3752" s="9"/>
      <c r="B3752" s="15"/>
      <c r="C3752" s="9">
        <f>IFERROR(__xludf.DUMMYFUNCTION("""COMPUTED_VALUE"""),44757.5087758333)</f>
        <v>44757.50878</v>
      </c>
      <c r="D3752" s="15">
        <f>IFERROR(__xludf.DUMMYFUNCTION("""COMPUTED_VALUE"""),1.004)</f>
        <v>1.004</v>
      </c>
      <c r="E3752" s="16">
        <f>IFERROR(__xludf.DUMMYFUNCTION("""COMPUTED_VALUE"""),70.0)</f>
        <v>70</v>
      </c>
      <c r="F3752" s="19" t="str">
        <f>IFERROR(__xludf.DUMMYFUNCTION("""COMPUTED_VALUE"""),"BLACK")</f>
        <v>BLACK</v>
      </c>
      <c r="G3752" s="20" t="str">
        <f>IFERROR(__xludf.DUMMYFUNCTION("""COMPUTED_VALUE"""),"Uncle Sams Cider (5/13/2022)")</f>
        <v>Uncle Sams Cider (5/13/2022)</v>
      </c>
      <c r="H3752" s="19"/>
    </row>
    <row r="3753">
      <c r="A3753" s="9"/>
      <c r="B3753" s="15"/>
      <c r="C3753" s="9">
        <f>IFERROR(__xludf.DUMMYFUNCTION("""COMPUTED_VALUE"""),44757.4983437847)</f>
        <v>44757.49834</v>
      </c>
      <c r="D3753" s="15">
        <f>IFERROR(__xludf.DUMMYFUNCTION("""COMPUTED_VALUE"""),1.004)</f>
        <v>1.004</v>
      </c>
      <c r="E3753" s="16">
        <f>IFERROR(__xludf.DUMMYFUNCTION("""COMPUTED_VALUE"""),70.0)</f>
        <v>70</v>
      </c>
      <c r="F3753" s="19" t="str">
        <f>IFERROR(__xludf.DUMMYFUNCTION("""COMPUTED_VALUE"""),"BLACK")</f>
        <v>BLACK</v>
      </c>
      <c r="G3753" s="20" t="str">
        <f>IFERROR(__xludf.DUMMYFUNCTION("""COMPUTED_VALUE"""),"Uncle Sams Cider (5/13/2022)")</f>
        <v>Uncle Sams Cider (5/13/2022)</v>
      </c>
      <c r="H3753" s="19"/>
    </row>
    <row r="3754">
      <c r="A3754" s="9"/>
      <c r="B3754" s="15"/>
      <c r="C3754" s="9">
        <f>IFERROR(__xludf.DUMMYFUNCTION("""COMPUTED_VALUE"""),44757.4879231134)</f>
        <v>44757.48792</v>
      </c>
      <c r="D3754" s="15">
        <f>IFERROR(__xludf.DUMMYFUNCTION("""COMPUTED_VALUE"""),1.004)</f>
        <v>1.004</v>
      </c>
      <c r="E3754" s="16">
        <f>IFERROR(__xludf.DUMMYFUNCTION("""COMPUTED_VALUE"""),70.0)</f>
        <v>70</v>
      </c>
      <c r="F3754" s="19" t="str">
        <f>IFERROR(__xludf.DUMMYFUNCTION("""COMPUTED_VALUE"""),"BLACK")</f>
        <v>BLACK</v>
      </c>
      <c r="G3754" s="20" t="str">
        <f>IFERROR(__xludf.DUMMYFUNCTION("""COMPUTED_VALUE"""),"Uncle Sams Cider (5/13/2022)")</f>
        <v>Uncle Sams Cider (5/13/2022)</v>
      </c>
      <c r="H3754" s="19"/>
    </row>
    <row r="3755">
      <c r="A3755" s="9"/>
      <c r="B3755" s="15"/>
      <c r="C3755" s="9">
        <f>IFERROR(__xludf.DUMMYFUNCTION("""COMPUTED_VALUE"""),44757.4775009722)</f>
        <v>44757.4775</v>
      </c>
      <c r="D3755" s="15">
        <f>IFERROR(__xludf.DUMMYFUNCTION("""COMPUTED_VALUE"""),1.004)</f>
        <v>1.004</v>
      </c>
      <c r="E3755" s="16">
        <f>IFERROR(__xludf.DUMMYFUNCTION("""COMPUTED_VALUE"""),70.0)</f>
        <v>70</v>
      </c>
      <c r="F3755" s="19" t="str">
        <f>IFERROR(__xludf.DUMMYFUNCTION("""COMPUTED_VALUE"""),"BLACK")</f>
        <v>BLACK</v>
      </c>
      <c r="G3755" s="20" t="str">
        <f>IFERROR(__xludf.DUMMYFUNCTION("""COMPUTED_VALUE"""),"Uncle Sams Cider (5/13/2022)")</f>
        <v>Uncle Sams Cider (5/13/2022)</v>
      </c>
      <c r="H3755" s="19"/>
    </row>
    <row r="3756">
      <c r="A3756" s="9"/>
      <c r="B3756" s="15"/>
      <c r="C3756" s="9">
        <f>IFERROR(__xludf.DUMMYFUNCTION("""COMPUTED_VALUE"""),44757.4670796064)</f>
        <v>44757.46708</v>
      </c>
      <c r="D3756" s="15">
        <f>IFERROR(__xludf.DUMMYFUNCTION("""COMPUTED_VALUE"""),1.004)</f>
        <v>1.004</v>
      </c>
      <c r="E3756" s="16">
        <f>IFERROR(__xludf.DUMMYFUNCTION("""COMPUTED_VALUE"""),70.0)</f>
        <v>70</v>
      </c>
      <c r="F3756" s="19" t="str">
        <f>IFERROR(__xludf.DUMMYFUNCTION("""COMPUTED_VALUE"""),"BLACK")</f>
        <v>BLACK</v>
      </c>
      <c r="G3756" s="20" t="str">
        <f>IFERROR(__xludf.DUMMYFUNCTION("""COMPUTED_VALUE"""),"Uncle Sams Cider (5/13/2022)")</f>
        <v>Uncle Sams Cider (5/13/2022)</v>
      </c>
      <c r="H3756" s="19"/>
    </row>
    <row r="3757">
      <c r="A3757" s="9"/>
      <c r="B3757" s="15"/>
      <c r="C3757" s="9">
        <f>IFERROR(__xludf.DUMMYFUNCTION("""COMPUTED_VALUE"""),44757.4566593055)</f>
        <v>44757.45666</v>
      </c>
      <c r="D3757" s="15">
        <f>IFERROR(__xludf.DUMMYFUNCTION("""COMPUTED_VALUE"""),1.004)</f>
        <v>1.004</v>
      </c>
      <c r="E3757" s="16">
        <f>IFERROR(__xludf.DUMMYFUNCTION("""COMPUTED_VALUE"""),70.0)</f>
        <v>70</v>
      </c>
      <c r="F3757" s="19" t="str">
        <f>IFERROR(__xludf.DUMMYFUNCTION("""COMPUTED_VALUE"""),"BLACK")</f>
        <v>BLACK</v>
      </c>
      <c r="G3757" s="20" t="str">
        <f>IFERROR(__xludf.DUMMYFUNCTION("""COMPUTED_VALUE"""),"Uncle Sams Cider (5/13/2022)")</f>
        <v>Uncle Sams Cider (5/13/2022)</v>
      </c>
      <c r="H3757" s="19"/>
    </row>
    <row r="3758">
      <c r="A3758" s="9"/>
      <c r="B3758" s="15"/>
      <c r="C3758" s="9">
        <f>IFERROR(__xludf.DUMMYFUNCTION("""COMPUTED_VALUE"""),44757.4462288889)</f>
        <v>44757.44623</v>
      </c>
      <c r="D3758" s="15">
        <f>IFERROR(__xludf.DUMMYFUNCTION("""COMPUTED_VALUE"""),1.004)</f>
        <v>1.004</v>
      </c>
      <c r="E3758" s="16">
        <f>IFERROR(__xludf.DUMMYFUNCTION("""COMPUTED_VALUE"""),70.0)</f>
        <v>70</v>
      </c>
      <c r="F3758" s="19" t="str">
        <f>IFERROR(__xludf.DUMMYFUNCTION("""COMPUTED_VALUE"""),"BLACK")</f>
        <v>BLACK</v>
      </c>
      <c r="G3758" s="20" t="str">
        <f>IFERROR(__xludf.DUMMYFUNCTION("""COMPUTED_VALUE"""),"Uncle Sams Cider (5/13/2022)")</f>
        <v>Uncle Sams Cider (5/13/2022)</v>
      </c>
      <c r="H3758" s="19"/>
    </row>
    <row r="3759">
      <c r="A3759" s="9"/>
      <c r="B3759" s="15"/>
      <c r="C3759" s="9">
        <f>IFERROR(__xludf.DUMMYFUNCTION("""COMPUTED_VALUE"""),44757.4357624537)</f>
        <v>44757.43576</v>
      </c>
      <c r="D3759" s="15">
        <f>IFERROR(__xludf.DUMMYFUNCTION("""COMPUTED_VALUE"""),1.004)</f>
        <v>1.004</v>
      </c>
      <c r="E3759" s="16">
        <f>IFERROR(__xludf.DUMMYFUNCTION("""COMPUTED_VALUE"""),70.0)</f>
        <v>70</v>
      </c>
      <c r="F3759" s="19" t="str">
        <f>IFERROR(__xludf.DUMMYFUNCTION("""COMPUTED_VALUE"""),"BLACK")</f>
        <v>BLACK</v>
      </c>
      <c r="G3759" s="20" t="str">
        <f>IFERROR(__xludf.DUMMYFUNCTION("""COMPUTED_VALUE"""),"Uncle Sams Cider (5/13/2022)")</f>
        <v>Uncle Sams Cider (5/13/2022)</v>
      </c>
      <c r="H3759" s="19"/>
    </row>
    <row r="3760">
      <c r="A3760" s="9"/>
      <c r="B3760" s="15"/>
      <c r="C3760" s="9">
        <f>IFERROR(__xludf.DUMMYFUNCTION("""COMPUTED_VALUE"""),44757.4253058217)</f>
        <v>44757.42531</v>
      </c>
      <c r="D3760" s="15">
        <f>IFERROR(__xludf.DUMMYFUNCTION("""COMPUTED_VALUE"""),1.004)</f>
        <v>1.004</v>
      </c>
      <c r="E3760" s="16">
        <f>IFERROR(__xludf.DUMMYFUNCTION("""COMPUTED_VALUE"""),70.0)</f>
        <v>70</v>
      </c>
      <c r="F3760" s="19" t="str">
        <f>IFERROR(__xludf.DUMMYFUNCTION("""COMPUTED_VALUE"""),"BLACK")</f>
        <v>BLACK</v>
      </c>
      <c r="G3760" s="20" t="str">
        <f>IFERROR(__xludf.DUMMYFUNCTION("""COMPUTED_VALUE"""),"Uncle Sams Cider (5/13/2022)")</f>
        <v>Uncle Sams Cider (5/13/2022)</v>
      </c>
      <c r="H3760" s="19"/>
    </row>
    <row r="3761">
      <c r="A3761" s="9"/>
      <c r="B3761" s="15"/>
      <c r="C3761" s="9">
        <f>IFERROR(__xludf.DUMMYFUNCTION("""COMPUTED_VALUE"""),44757.4148853356)</f>
        <v>44757.41489</v>
      </c>
      <c r="D3761" s="15">
        <f>IFERROR(__xludf.DUMMYFUNCTION("""COMPUTED_VALUE"""),1.004)</f>
        <v>1.004</v>
      </c>
      <c r="E3761" s="16">
        <f>IFERROR(__xludf.DUMMYFUNCTION("""COMPUTED_VALUE"""),70.0)</f>
        <v>70</v>
      </c>
      <c r="F3761" s="19" t="str">
        <f>IFERROR(__xludf.DUMMYFUNCTION("""COMPUTED_VALUE"""),"BLACK")</f>
        <v>BLACK</v>
      </c>
      <c r="G3761" s="20" t="str">
        <f>IFERROR(__xludf.DUMMYFUNCTION("""COMPUTED_VALUE"""),"Uncle Sams Cider (5/13/2022)")</f>
        <v>Uncle Sams Cider (5/13/2022)</v>
      </c>
      <c r="H3761" s="19"/>
    </row>
    <row r="3762">
      <c r="A3762" s="9"/>
      <c r="B3762" s="15"/>
      <c r="C3762" s="9">
        <f>IFERROR(__xludf.DUMMYFUNCTION("""COMPUTED_VALUE"""),44757.4044630671)</f>
        <v>44757.40446</v>
      </c>
      <c r="D3762" s="15">
        <f>IFERROR(__xludf.DUMMYFUNCTION("""COMPUTED_VALUE"""),1.004)</f>
        <v>1.004</v>
      </c>
      <c r="E3762" s="16">
        <f>IFERROR(__xludf.DUMMYFUNCTION("""COMPUTED_VALUE"""),70.0)</f>
        <v>70</v>
      </c>
      <c r="F3762" s="19" t="str">
        <f>IFERROR(__xludf.DUMMYFUNCTION("""COMPUTED_VALUE"""),"BLACK")</f>
        <v>BLACK</v>
      </c>
      <c r="G3762" s="20" t="str">
        <f>IFERROR(__xludf.DUMMYFUNCTION("""COMPUTED_VALUE"""),"Uncle Sams Cider (5/13/2022)")</f>
        <v>Uncle Sams Cider (5/13/2022)</v>
      </c>
      <c r="H3762" s="19"/>
    </row>
    <row r="3763">
      <c r="A3763" s="9"/>
      <c r="B3763" s="15"/>
      <c r="C3763" s="9">
        <f>IFERROR(__xludf.DUMMYFUNCTION("""COMPUTED_VALUE"""),44757.3940399768)</f>
        <v>44757.39404</v>
      </c>
      <c r="D3763" s="15">
        <f>IFERROR(__xludf.DUMMYFUNCTION("""COMPUTED_VALUE"""),1.004)</f>
        <v>1.004</v>
      </c>
      <c r="E3763" s="16">
        <f>IFERROR(__xludf.DUMMYFUNCTION("""COMPUTED_VALUE"""),69.0)</f>
        <v>69</v>
      </c>
      <c r="F3763" s="19" t="str">
        <f>IFERROR(__xludf.DUMMYFUNCTION("""COMPUTED_VALUE"""),"BLACK")</f>
        <v>BLACK</v>
      </c>
      <c r="G3763" s="20" t="str">
        <f>IFERROR(__xludf.DUMMYFUNCTION("""COMPUTED_VALUE"""),"Uncle Sams Cider (5/13/2022)")</f>
        <v>Uncle Sams Cider (5/13/2022)</v>
      </c>
      <c r="H3763" s="19"/>
    </row>
    <row r="3764">
      <c r="A3764" s="9"/>
      <c r="B3764" s="15"/>
      <c r="C3764" s="9">
        <f>IFERROR(__xludf.DUMMYFUNCTION("""COMPUTED_VALUE"""),44757.3836057754)</f>
        <v>44757.38361</v>
      </c>
      <c r="D3764" s="15">
        <f>IFERROR(__xludf.DUMMYFUNCTION("""COMPUTED_VALUE"""),1.004)</f>
        <v>1.004</v>
      </c>
      <c r="E3764" s="16">
        <f>IFERROR(__xludf.DUMMYFUNCTION("""COMPUTED_VALUE"""),69.0)</f>
        <v>69</v>
      </c>
      <c r="F3764" s="19" t="str">
        <f>IFERROR(__xludf.DUMMYFUNCTION("""COMPUTED_VALUE"""),"BLACK")</f>
        <v>BLACK</v>
      </c>
      <c r="G3764" s="20" t="str">
        <f>IFERROR(__xludf.DUMMYFUNCTION("""COMPUTED_VALUE"""),"Uncle Sams Cider (5/13/2022)")</f>
        <v>Uncle Sams Cider (5/13/2022)</v>
      </c>
      <c r="H3764" s="19"/>
    </row>
    <row r="3765">
      <c r="A3765" s="9"/>
      <c r="B3765" s="15"/>
      <c r="C3765" s="9">
        <f>IFERROR(__xludf.DUMMYFUNCTION("""COMPUTED_VALUE"""),44757.3731735185)</f>
        <v>44757.37317</v>
      </c>
      <c r="D3765" s="15">
        <f>IFERROR(__xludf.DUMMYFUNCTION("""COMPUTED_VALUE"""),1.004)</f>
        <v>1.004</v>
      </c>
      <c r="E3765" s="16">
        <f>IFERROR(__xludf.DUMMYFUNCTION("""COMPUTED_VALUE"""),69.0)</f>
        <v>69</v>
      </c>
      <c r="F3765" s="19" t="str">
        <f>IFERROR(__xludf.DUMMYFUNCTION("""COMPUTED_VALUE"""),"BLACK")</f>
        <v>BLACK</v>
      </c>
      <c r="G3765" s="20" t="str">
        <f>IFERROR(__xludf.DUMMYFUNCTION("""COMPUTED_VALUE"""),"Uncle Sams Cider (5/13/2022)")</f>
        <v>Uncle Sams Cider (5/13/2022)</v>
      </c>
      <c r="H3765" s="19"/>
    </row>
    <row r="3766">
      <c r="A3766" s="9"/>
      <c r="B3766" s="15"/>
      <c r="C3766" s="9">
        <f>IFERROR(__xludf.DUMMYFUNCTION("""COMPUTED_VALUE"""),44757.3627534953)</f>
        <v>44757.36275</v>
      </c>
      <c r="D3766" s="15">
        <f>IFERROR(__xludf.DUMMYFUNCTION("""COMPUTED_VALUE"""),1.004)</f>
        <v>1.004</v>
      </c>
      <c r="E3766" s="16">
        <f>IFERROR(__xludf.DUMMYFUNCTION("""COMPUTED_VALUE"""),69.0)</f>
        <v>69</v>
      </c>
      <c r="F3766" s="19" t="str">
        <f>IFERROR(__xludf.DUMMYFUNCTION("""COMPUTED_VALUE"""),"BLACK")</f>
        <v>BLACK</v>
      </c>
      <c r="G3766" s="20" t="str">
        <f>IFERROR(__xludf.DUMMYFUNCTION("""COMPUTED_VALUE"""),"Uncle Sams Cider (5/13/2022)")</f>
        <v>Uncle Sams Cider (5/13/2022)</v>
      </c>
      <c r="H3766" s="19"/>
    </row>
    <row r="3767">
      <c r="A3767" s="9"/>
      <c r="B3767" s="15"/>
      <c r="C3767" s="9">
        <f>IFERROR(__xludf.DUMMYFUNCTION("""COMPUTED_VALUE"""),44757.3523318055)</f>
        <v>44757.35233</v>
      </c>
      <c r="D3767" s="15">
        <f>IFERROR(__xludf.DUMMYFUNCTION("""COMPUTED_VALUE"""),1.004)</f>
        <v>1.004</v>
      </c>
      <c r="E3767" s="16">
        <f>IFERROR(__xludf.DUMMYFUNCTION("""COMPUTED_VALUE"""),69.0)</f>
        <v>69</v>
      </c>
      <c r="F3767" s="19" t="str">
        <f>IFERROR(__xludf.DUMMYFUNCTION("""COMPUTED_VALUE"""),"BLACK")</f>
        <v>BLACK</v>
      </c>
      <c r="G3767" s="20" t="str">
        <f>IFERROR(__xludf.DUMMYFUNCTION("""COMPUTED_VALUE"""),"Uncle Sams Cider (5/13/2022)")</f>
        <v>Uncle Sams Cider (5/13/2022)</v>
      </c>
      <c r="H3767" s="19"/>
    </row>
    <row r="3768">
      <c r="A3768" s="9"/>
      <c r="B3768" s="15"/>
      <c r="C3768" s="9">
        <f>IFERROR(__xludf.DUMMYFUNCTION("""COMPUTED_VALUE"""),44757.3419090625)</f>
        <v>44757.34191</v>
      </c>
      <c r="D3768" s="15">
        <f>IFERROR(__xludf.DUMMYFUNCTION("""COMPUTED_VALUE"""),1.004)</f>
        <v>1.004</v>
      </c>
      <c r="E3768" s="16">
        <f>IFERROR(__xludf.DUMMYFUNCTION("""COMPUTED_VALUE"""),69.0)</f>
        <v>69</v>
      </c>
      <c r="F3768" s="19" t="str">
        <f>IFERROR(__xludf.DUMMYFUNCTION("""COMPUTED_VALUE"""),"BLACK")</f>
        <v>BLACK</v>
      </c>
      <c r="G3768" s="20" t="str">
        <f>IFERROR(__xludf.DUMMYFUNCTION("""COMPUTED_VALUE"""),"Uncle Sams Cider (5/13/2022)")</f>
        <v>Uncle Sams Cider (5/13/2022)</v>
      </c>
      <c r="H3768" s="19"/>
    </row>
    <row r="3769">
      <c r="A3769" s="9"/>
      <c r="B3769" s="15"/>
      <c r="C3769" s="9">
        <f>IFERROR(__xludf.DUMMYFUNCTION("""COMPUTED_VALUE"""),44757.3314877199)</f>
        <v>44757.33149</v>
      </c>
      <c r="D3769" s="15">
        <f>IFERROR(__xludf.DUMMYFUNCTION("""COMPUTED_VALUE"""),1.004)</f>
        <v>1.004</v>
      </c>
      <c r="E3769" s="16">
        <f>IFERROR(__xludf.DUMMYFUNCTION("""COMPUTED_VALUE"""),69.0)</f>
        <v>69</v>
      </c>
      <c r="F3769" s="19" t="str">
        <f>IFERROR(__xludf.DUMMYFUNCTION("""COMPUTED_VALUE"""),"BLACK")</f>
        <v>BLACK</v>
      </c>
      <c r="G3769" s="20" t="str">
        <f>IFERROR(__xludf.DUMMYFUNCTION("""COMPUTED_VALUE"""),"Uncle Sams Cider (5/13/2022)")</f>
        <v>Uncle Sams Cider (5/13/2022)</v>
      </c>
      <c r="H3769" s="19"/>
    </row>
    <row r="3770">
      <c r="A3770" s="9"/>
      <c r="B3770" s="15"/>
      <c r="C3770" s="9">
        <f>IFERROR(__xludf.DUMMYFUNCTION("""COMPUTED_VALUE"""),44757.3210672106)</f>
        <v>44757.32107</v>
      </c>
      <c r="D3770" s="15">
        <f>IFERROR(__xludf.DUMMYFUNCTION("""COMPUTED_VALUE"""),1.004)</f>
        <v>1.004</v>
      </c>
      <c r="E3770" s="16">
        <f>IFERROR(__xludf.DUMMYFUNCTION("""COMPUTED_VALUE"""),69.0)</f>
        <v>69</v>
      </c>
      <c r="F3770" s="19" t="str">
        <f>IFERROR(__xludf.DUMMYFUNCTION("""COMPUTED_VALUE"""),"BLACK")</f>
        <v>BLACK</v>
      </c>
      <c r="G3770" s="20" t="str">
        <f>IFERROR(__xludf.DUMMYFUNCTION("""COMPUTED_VALUE"""),"Uncle Sams Cider (5/13/2022)")</f>
        <v>Uncle Sams Cider (5/13/2022)</v>
      </c>
      <c r="H3770" s="19"/>
    </row>
    <row r="3771">
      <c r="A3771" s="9"/>
      <c r="B3771" s="15"/>
      <c r="C3771" s="9">
        <f>IFERROR(__xludf.DUMMYFUNCTION("""COMPUTED_VALUE"""),44757.310635)</f>
        <v>44757.31064</v>
      </c>
      <c r="D3771" s="15">
        <f>IFERROR(__xludf.DUMMYFUNCTION("""COMPUTED_VALUE"""),1.004)</f>
        <v>1.004</v>
      </c>
      <c r="E3771" s="16">
        <f>IFERROR(__xludf.DUMMYFUNCTION("""COMPUTED_VALUE"""),69.0)</f>
        <v>69</v>
      </c>
      <c r="F3771" s="19" t="str">
        <f>IFERROR(__xludf.DUMMYFUNCTION("""COMPUTED_VALUE"""),"BLACK")</f>
        <v>BLACK</v>
      </c>
      <c r="G3771" s="20" t="str">
        <f>IFERROR(__xludf.DUMMYFUNCTION("""COMPUTED_VALUE"""),"Uncle Sams Cider (5/13/2022)")</f>
        <v>Uncle Sams Cider (5/13/2022)</v>
      </c>
      <c r="H3771" s="19"/>
    </row>
    <row r="3772">
      <c r="A3772" s="9"/>
      <c r="B3772" s="15"/>
      <c r="C3772" s="9">
        <f>IFERROR(__xludf.DUMMYFUNCTION("""COMPUTED_VALUE"""),44757.3002022222)</f>
        <v>44757.3002</v>
      </c>
      <c r="D3772" s="15">
        <f>IFERROR(__xludf.DUMMYFUNCTION("""COMPUTED_VALUE"""),1.004)</f>
        <v>1.004</v>
      </c>
      <c r="E3772" s="16">
        <f>IFERROR(__xludf.DUMMYFUNCTION("""COMPUTED_VALUE"""),69.0)</f>
        <v>69</v>
      </c>
      <c r="F3772" s="19" t="str">
        <f>IFERROR(__xludf.DUMMYFUNCTION("""COMPUTED_VALUE"""),"BLACK")</f>
        <v>BLACK</v>
      </c>
      <c r="G3772" s="20" t="str">
        <f>IFERROR(__xludf.DUMMYFUNCTION("""COMPUTED_VALUE"""),"Uncle Sams Cider (5/13/2022)")</f>
        <v>Uncle Sams Cider (5/13/2022)</v>
      </c>
      <c r="H3772" s="19"/>
    </row>
    <row r="3773">
      <c r="A3773" s="9"/>
      <c r="B3773" s="15"/>
      <c r="C3773" s="9">
        <f>IFERROR(__xludf.DUMMYFUNCTION("""COMPUTED_VALUE"""),44757.289780625)</f>
        <v>44757.28978</v>
      </c>
      <c r="D3773" s="15">
        <f>IFERROR(__xludf.DUMMYFUNCTION("""COMPUTED_VALUE"""),1.004)</f>
        <v>1.004</v>
      </c>
      <c r="E3773" s="16">
        <f>IFERROR(__xludf.DUMMYFUNCTION("""COMPUTED_VALUE"""),69.0)</f>
        <v>69</v>
      </c>
      <c r="F3773" s="19" t="str">
        <f>IFERROR(__xludf.DUMMYFUNCTION("""COMPUTED_VALUE"""),"BLACK")</f>
        <v>BLACK</v>
      </c>
      <c r="G3773" s="20" t="str">
        <f>IFERROR(__xludf.DUMMYFUNCTION("""COMPUTED_VALUE"""),"Uncle Sams Cider (5/13/2022)")</f>
        <v>Uncle Sams Cider (5/13/2022)</v>
      </c>
      <c r="H3773" s="19"/>
    </row>
    <row r="3774">
      <c r="A3774" s="9"/>
      <c r="B3774" s="15"/>
      <c r="C3774" s="9">
        <f>IFERROR(__xludf.DUMMYFUNCTION("""COMPUTED_VALUE"""),44757.2793588888)</f>
        <v>44757.27936</v>
      </c>
      <c r="D3774" s="15">
        <f>IFERROR(__xludf.DUMMYFUNCTION("""COMPUTED_VALUE"""),1.004)</f>
        <v>1.004</v>
      </c>
      <c r="E3774" s="16">
        <f>IFERROR(__xludf.DUMMYFUNCTION("""COMPUTED_VALUE"""),69.0)</f>
        <v>69</v>
      </c>
      <c r="F3774" s="19" t="str">
        <f>IFERROR(__xludf.DUMMYFUNCTION("""COMPUTED_VALUE"""),"BLACK")</f>
        <v>BLACK</v>
      </c>
      <c r="G3774" s="20" t="str">
        <f>IFERROR(__xludf.DUMMYFUNCTION("""COMPUTED_VALUE"""),"Uncle Sams Cider (5/13/2022)")</f>
        <v>Uncle Sams Cider (5/13/2022)</v>
      </c>
      <c r="H3774" s="19"/>
    </row>
    <row r="3775">
      <c r="A3775" s="9"/>
      <c r="B3775" s="15"/>
      <c r="C3775" s="9">
        <f>IFERROR(__xludf.DUMMYFUNCTION("""COMPUTED_VALUE"""),44757.2689379861)</f>
        <v>44757.26894</v>
      </c>
      <c r="D3775" s="15">
        <f>IFERROR(__xludf.DUMMYFUNCTION("""COMPUTED_VALUE"""),1.004)</f>
        <v>1.004</v>
      </c>
      <c r="E3775" s="16">
        <f>IFERROR(__xludf.DUMMYFUNCTION("""COMPUTED_VALUE"""),69.0)</f>
        <v>69</v>
      </c>
      <c r="F3775" s="19" t="str">
        <f>IFERROR(__xludf.DUMMYFUNCTION("""COMPUTED_VALUE"""),"BLACK")</f>
        <v>BLACK</v>
      </c>
      <c r="G3775" s="20" t="str">
        <f>IFERROR(__xludf.DUMMYFUNCTION("""COMPUTED_VALUE"""),"Uncle Sams Cider (5/13/2022)")</f>
        <v>Uncle Sams Cider (5/13/2022)</v>
      </c>
      <c r="H3775" s="19"/>
    </row>
    <row r="3776">
      <c r="A3776" s="9"/>
      <c r="B3776" s="15"/>
      <c r="C3776" s="9">
        <f>IFERROR(__xludf.DUMMYFUNCTION("""COMPUTED_VALUE"""),44757.2585185879)</f>
        <v>44757.25852</v>
      </c>
      <c r="D3776" s="15">
        <f>IFERROR(__xludf.DUMMYFUNCTION("""COMPUTED_VALUE"""),1.004)</f>
        <v>1.004</v>
      </c>
      <c r="E3776" s="16">
        <f>IFERROR(__xludf.DUMMYFUNCTION("""COMPUTED_VALUE"""),69.0)</f>
        <v>69</v>
      </c>
      <c r="F3776" s="19" t="str">
        <f>IFERROR(__xludf.DUMMYFUNCTION("""COMPUTED_VALUE"""),"BLACK")</f>
        <v>BLACK</v>
      </c>
      <c r="G3776" s="20" t="str">
        <f>IFERROR(__xludf.DUMMYFUNCTION("""COMPUTED_VALUE"""),"Uncle Sams Cider (5/13/2022)")</f>
        <v>Uncle Sams Cider (5/13/2022)</v>
      </c>
      <c r="H3776" s="19"/>
    </row>
    <row r="3777">
      <c r="A3777" s="9"/>
      <c r="B3777" s="15"/>
      <c r="C3777" s="9">
        <f>IFERROR(__xludf.DUMMYFUNCTION("""COMPUTED_VALUE"""),44757.2480963657)</f>
        <v>44757.2481</v>
      </c>
      <c r="D3777" s="15">
        <f>IFERROR(__xludf.DUMMYFUNCTION("""COMPUTED_VALUE"""),1.004)</f>
        <v>1.004</v>
      </c>
      <c r="E3777" s="16">
        <f>IFERROR(__xludf.DUMMYFUNCTION("""COMPUTED_VALUE"""),69.0)</f>
        <v>69</v>
      </c>
      <c r="F3777" s="19" t="str">
        <f>IFERROR(__xludf.DUMMYFUNCTION("""COMPUTED_VALUE"""),"BLACK")</f>
        <v>BLACK</v>
      </c>
      <c r="G3777" s="20" t="str">
        <f>IFERROR(__xludf.DUMMYFUNCTION("""COMPUTED_VALUE"""),"Uncle Sams Cider (5/13/2022)")</f>
        <v>Uncle Sams Cider (5/13/2022)</v>
      </c>
      <c r="H3777" s="19"/>
    </row>
    <row r="3778">
      <c r="A3778" s="9"/>
      <c r="B3778" s="15"/>
      <c r="C3778" s="9">
        <f>IFERROR(__xludf.DUMMYFUNCTION("""COMPUTED_VALUE"""),44757.2376767592)</f>
        <v>44757.23768</v>
      </c>
      <c r="D3778" s="15">
        <f>IFERROR(__xludf.DUMMYFUNCTION("""COMPUTED_VALUE"""),1.004)</f>
        <v>1.004</v>
      </c>
      <c r="E3778" s="16">
        <f>IFERROR(__xludf.DUMMYFUNCTION("""COMPUTED_VALUE"""),69.0)</f>
        <v>69</v>
      </c>
      <c r="F3778" s="19" t="str">
        <f>IFERROR(__xludf.DUMMYFUNCTION("""COMPUTED_VALUE"""),"BLACK")</f>
        <v>BLACK</v>
      </c>
      <c r="G3778" s="20" t="str">
        <f>IFERROR(__xludf.DUMMYFUNCTION("""COMPUTED_VALUE"""),"Uncle Sams Cider (5/13/2022)")</f>
        <v>Uncle Sams Cider (5/13/2022)</v>
      </c>
      <c r="H3778" s="19"/>
    </row>
    <row r="3779">
      <c r="A3779" s="9"/>
      <c r="B3779" s="15"/>
      <c r="C3779" s="9">
        <f>IFERROR(__xludf.DUMMYFUNCTION("""COMPUTED_VALUE"""),44757.2272561574)</f>
        <v>44757.22726</v>
      </c>
      <c r="D3779" s="15">
        <f>IFERROR(__xludf.DUMMYFUNCTION("""COMPUTED_VALUE"""),1.004)</f>
        <v>1.004</v>
      </c>
      <c r="E3779" s="16">
        <f>IFERROR(__xludf.DUMMYFUNCTION("""COMPUTED_VALUE"""),69.0)</f>
        <v>69</v>
      </c>
      <c r="F3779" s="19" t="str">
        <f>IFERROR(__xludf.DUMMYFUNCTION("""COMPUTED_VALUE"""),"BLACK")</f>
        <v>BLACK</v>
      </c>
      <c r="G3779" s="20" t="str">
        <f>IFERROR(__xludf.DUMMYFUNCTION("""COMPUTED_VALUE"""),"Uncle Sams Cider (5/13/2022)")</f>
        <v>Uncle Sams Cider (5/13/2022)</v>
      </c>
      <c r="H3779" s="19"/>
    </row>
    <row r="3780">
      <c r="A3780" s="9"/>
      <c r="B3780" s="15"/>
      <c r="C3780" s="9">
        <f>IFERROR(__xludf.DUMMYFUNCTION("""COMPUTED_VALUE"""),44757.216835162)</f>
        <v>44757.21684</v>
      </c>
      <c r="D3780" s="15">
        <f>IFERROR(__xludf.DUMMYFUNCTION("""COMPUTED_VALUE"""),1.004)</f>
        <v>1.004</v>
      </c>
      <c r="E3780" s="16">
        <f>IFERROR(__xludf.DUMMYFUNCTION("""COMPUTED_VALUE"""),69.0)</f>
        <v>69</v>
      </c>
      <c r="F3780" s="19" t="str">
        <f>IFERROR(__xludf.DUMMYFUNCTION("""COMPUTED_VALUE"""),"BLACK")</f>
        <v>BLACK</v>
      </c>
      <c r="G3780" s="20" t="str">
        <f>IFERROR(__xludf.DUMMYFUNCTION("""COMPUTED_VALUE"""),"Uncle Sams Cider (5/13/2022)")</f>
        <v>Uncle Sams Cider (5/13/2022)</v>
      </c>
      <c r="H3780" s="19"/>
    </row>
    <row r="3781">
      <c r="A3781" s="9"/>
      <c r="B3781" s="15"/>
      <c r="C3781" s="9">
        <f>IFERROR(__xludf.DUMMYFUNCTION("""COMPUTED_VALUE"""),44757.2064143634)</f>
        <v>44757.20641</v>
      </c>
      <c r="D3781" s="15">
        <f>IFERROR(__xludf.DUMMYFUNCTION("""COMPUTED_VALUE"""),1.004)</f>
        <v>1.004</v>
      </c>
      <c r="E3781" s="16">
        <f>IFERROR(__xludf.DUMMYFUNCTION("""COMPUTED_VALUE"""),69.0)</f>
        <v>69</v>
      </c>
      <c r="F3781" s="19" t="str">
        <f>IFERROR(__xludf.DUMMYFUNCTION("""COMPUTED_VALUE"""),"BLACK")</f>
        <v>BLACK</v>
      </c>
      <c r="G3781" s="20" t="str">
        <f>IFERROR(__xludf.DUMMYFUNCTION("""COMPUTED_VALUE"""),"Uncle Sams Cider (5/13/2022)")</f>
        <v>Uncle Sams Cider (5/13/2022)</v>
      </c>
      <c r="H3781" s="19"/>
    </row>
    <row r="3782">
      <c r="A3782" s="9"/>
      <c r="B3782" s="15"/>
      <c r="C3782" s="9">
        <f>IFERROR(__xludf.DUMMYFUNCTION("""COMPUTED_VALUE"""),44757.1959826851)</f>
        <v>44757.19598</v>
      </c>
      <c r="D3782" s="15">
        <f>IFERROR(__xludf.DUMMYFUNCTION("""COMPUTED_VALUE"""),1.004)</f>
        <v>1.004</v>
      </c>
      <c r="E3782" s="16">
        <f>IFERROR(__xludf.DUMMYFUNCTION("""COMPUTED_VALUE"""),69.0)</f>
        <v>69</v>
      </c>
      <c r="F3782" s="19" t="str">
        <f>IFERROR(__xludf.DUMMYFUNCTION("""COMPUTED_VALUE"""),"BLACK")</f>
        <v>BLACK</v>
      </c>
      <c r="G3782" s="20" t="str">
        <f>IFERROR(__xludf.DUMMYFUNCTION("""COMPUTED_VALUE"""),"Uncle Sams Cider (5/13/2022)")</f>
        <v>Uncle Sams Cider (5/13/2022)</v>
      </c>
      <c r="H3782" s="19"/>
    </row>
    <row r="3783">
      <c r="A3783" s="9"/>
      <c r="B3783" s="15"/>
      <c r="C3783" s="9">
        <f>IFERROR(__xludf.DUMMYFUNCTION("""COMPUTED_VALUE"""),44757.1855617245)</f>
        <v>44757.18556</v>
      </c>
      <c r="D3783" s="15">
        <f>IFERROR(__xludf.DUMMYFUNCTION("""COMPUTED_VALUE"""),1.004)</f>
        <v>1.004</v>
      </c>
      <c r="E3783" s="16">
        <f>IFERROR(__xludf.DUMMYFUNCTION("""COMPUTED_VALUE"""),69.0)</f>
        <v>69</v>
      </c>
      <c r="F3783" s="19" t="str">
        <f>IFERROR(__xludf.DUMMYFUNCTION("""COMPUTED_VALUE"""),"BLACK")</f>
        <v>BLACK</v>
      </c>
      <c r="G3783" s="20" t="str">
        <f>IFERROR(__xludf.DUMMYFUNCTION("""COMPUTED_VALUE"""),"Uncle Sams Cider (5/13/2022)")</f>
        <v>Uncle Sams Cider (5/13/2022)</v>
      </c>
      <c r="H3783" s="19"/>
    </row>
    <row r="3784">
      <c r="A3784" s="9"/>
      <c r="B3784" s="15"/>
      <c r="C3784" s="9">
        <f>IFERROR(__xludf.DUMMYFUNCTION("""COMPUTED_VALUE"""),44757.175140405)</f>
        <v>44757.17514</v>
      </c>
      <c r="D3784" s="15">
        <f>IFERROR(__xludf.DUMMYFUNCTION("""COMPUTED_VALUE"""),1.004)</f>
        <v>1.004</v>
      </c>
      <c r="E3784" s="16">
        <f>IFERROR(__xludf.DUMMYFUNCTION("""COMPUTED_VALUE"""),69.0)</f>
        <v>69</v>
      </c>
      <c r="F3784" s="19" t="str">
        <f>IFERROR(__xludf.DUMMYFUNCTION("""COMPUTED_VALUE"""),"BLACK")</f>
        <v>BLACK</v>
      </c>
      <c r="G3784" s="20" t="str">
        <f>IFERROR(__xludf.DUMMYFUNCTION("""COMPUTED_VALUE"""),"Uncle Sams Cider (5/13/2022)")</f>
        <v>Uncle Sams Cider (5/13/2022)</v>
      </c>
      <c r="H3784" s="19"/>
    </row>
    <row r="3785">
      <c r="A3785" s="9"/>
      <c r="B3785" s="15"/>
      <c r="C3785" s="9">
        <f>IFERROR(__xludf.DUMMYFUNCTION("""COMPUTED_VALUE"""),44757.1647181944)</f>
        <v>44757.16472</v>
      </c>
      <c r="D3785" s="15">
        <f>IFERROR(__xludf.DUMMYFUNCTION("""COMPUTED_VALUE"""),1.004)</f>
        <v>1.004</v>
      </c>
      <c r="E3785" s="16">
        <f>IFERROR(__xludf.DUMMYFUNCTION("""COMPUTED_VALUE"""),69.0)</f>
        <v>69</v>
      </c>
      <c r="F3785" s="19" t="str">
        <f>IFERROR(__xludf.DUMMYFUNCTION("""COMPUTED_VALUE"""),"BLACK")</f>
        <v>BLACK</v>
      </c>
      <c r="G3785" s="20" t="str">
        <f>IFERROR(__xludf.DUMMYFUNCTION("""COMPUTED_VALUE"""),"Uncle Sams Cider (5/13/2022)")</f>
        <v>Uncle Sams Cider (5/13/2022)</v>
      </c>
      <c r="H3785" s="19"/>
    </row>
    <row r="3786">
      <c r="A3786" s="9"/>
      <c r="B3786" s="15"/>
      <c r="C3786" s="9">
        <f>IFERROR(__xludf.DUMMYFUNCTION("""COMPUTED_VALUE"""),44757.1542997106)</f>
        <v>44757.1543</v>
      </c>
      <c r="D3786" s="15">
        <f>IFERROR(__xludf.DUMMYFUNCTION("""COMPUTED_VALUE"""),1.004)</f>
        <v>1.004</v>
      </c>
      <c r="E3786" s="16">
        <f>IFERROR(__xludf.DUMMYFUNCTION("""COMPUTED_VALUE"""),69.0)</f>
        <v>69</v>
      </c>
      <c r="F3786" s="19" t="str">
        <f>IFERROR(__xludf.DUMMYFUNCTION("""COMPUTED_VALUE"""),"BLACK")</f>
        <v>BLACK</v>
      </c>
      <c r="G3786" s="20" t="str">
        <f>IFERROR(__xludf.DUMMYFUNCTION("""COMPUTED_VALUE"""),"Uncle Sams Cider (5/13/2022)")</f>
        <v>Uncle Sams Cider (5/13/2022)</v>
      </c>
      <c r="H3786" s="19"/>
    </row>
    <row r="3787">
      <c r="A3787" s="9"/>
      <c r="B3787" s="15"/>
      <c r="C3787" s="9">
        <f>IFERROR(__xludf.DUMMYFUNCTION("""COMPUTED_VALUE"""),44757.1438773958)</f>
        <v>44757.14388</v>
      </c>
      <c r="D3787" s="15">
        <f>IFERROR(__xludf.DUMMYFUNCTION("""COMPUTED_VALUE"""),1.004)</f>
        <v>1.004</v>
      </c>
      <c r="E3787" s="16">
        <f>IFERROR(__xludf.DUMMYFUNCTION("""COMPUTED_VALUE"""),69.0)</f>
        <v>69</v>
      </c>
      <c r="F3787" s="19" t="str">
        <f>IFERROR(__xludf.DUMMYFUNCTION("""COMPUTED_VALUE"""),"BLACK")</f>
        <v>BLACK</v>
      </c>
      <c r="G3787" s="20" t="str">
        <f>IFERROR(__xludf.DUMMYFUNCTION("""COMPUTED_VALUE"""),"Uncle Sams Cider (5/13/2022)")</f>
        <v>Uncle Sams Cider (5/13/2022)</v>
      </c>
      <c r="H3787" s="19"/>
    </row>
    <row r="3788">
      <c r="A3788" s="9"/>
      <c r="B3788" s="15"/>
      <c r="C3788" s="9">
        <f>IFERROR(__xludf.DUMMYFUNCTION("""COMPUTED_VALUE"""),44757.1334215509)</f>
        <v>44757.13342</v>
      </c>
      <c r="D3788" s="15">
        <f>IFERROR(__xludf.DUMMYFUNCTION("""COMPUTED_VALUE"""),1.004)</f>
        <v>1.004</v>
      </c>
      <c r="E3788" s="16">
        <f>IFERROR(__xludf.DUMMYFUNCTION("""COMPUTED_VALUE"""),69.0)</f>
        <v>69</v>
      </c>
      <c r="F3788" s="19" t="str">
        <f>IFERROR(__xludf.DUMMYFUNCTION("""COMPUTED_VALUE"""),"BLACK")</f>
        <v>BLACK</v>
      </c>
      <c r="G3788" s="20" t="str">
        <f>IFERROR(__xludf.DUMMYFUNCTION("""COMPUTED_VALUE"""),"Uncle Sams Cider (5/13/2022)")</f>
        <v>Uncle Sams Cider (5/13/2022)</v>
      </c>
      <c r="H3788" s="19"/>
    </row>
    <row r="3789">
      <c r="A3789" s="9"/>
      <c r="B3789" s="15"/>
      <c r="C3789" s="9">
        <f>IFERROR(__xludf.DUMMYFUNCTION("""COMPUTED_VALUE"""),44757.1229885069)</f>
        <v>44757.12299</v>
      </c>
      <c r="D3789" s="15">
        <f>IFERROR(__xludf.DUMMYFUNCTION("""COMPUTED_VALUE"""),1.004)</f>
        <v>1.004</v>
      </c>
      <c r="E3789" s="16">
        <f>IFERROR(__xludf.DUMMYFUNCTION("""COMPUTED_VALUE"""),69.0)</f>
        <v>69</v>
      </c>
      <c r="F3789" s="19" t="str">
        <f>IFERROR(__xludf.DUMMYFUNCTION("""COMPUTED_VALUE"""),"BLACK")</f>
        <v>BLACK</v>
      </c>
      <c r="G3789" s="20" t="str">
        <f>IFERROR(__xludf.DUMMYFUNCTION("""COMPUTED_VALUE"""),"Uncle Sams Cider (5/13/2022)")</f>
        <v>Uncle Sams Cider (5/13/2022)</v>
      </c>
      <c r="H3789" s="19"/>
    </row>
    <row r="3790">
      <c r="A3790" s="9"/>
      <c r="B3790" s="15"/>
      <c r="C3790" s="9">
        <f>IFERROR(__xludf.DUMMYFUNCTION("""COMPUTED_VALUE"""),44757.1125664351)</f>
        <v>44757.11257</v>
      </c>
      <c r="D3790" s="15">
        <f>IFERROR(__xludf.DUMMYFUNCTION("""COMPUTED_VALUE"""),1.004)</f>
        <v>1.004</v>
      </c>
      <c r="E3790" s="16">
        <f>IFERROR(__xludf.DUMMYFUNCTION("""COMPUTED_VALUE"""),69.0)</f>
        <v>69</v>
      </c>
      <c r="F3790" s="19" t="str">
        <f>IFERROR(__xludf.DUMMYFUNCTION("""COMPUTED_VALUE"""),"BLACK")</f>
        <v>BLACK</v>
      </c>
      <c r="G3790" s="20" t="str">
        <f>IFERROR(__xludf.DUMMYFUNCTION("""COMPUTED_VALUE"""),"Uncle Sams Cider (5/13/2022)")</f>
        <v>Uncle Sams Cider (5/13/2022)</v>
      </c>
      <c r="H3790" s="19"/>
    </row>
    <row r="3791">
      <c r="A3791" s="9"/>
      <c r="B3791" s="15"/>
      <c r="C3791" s="9">
        <f>IFERROR(__xludf.DUMMYFUNCTION("""COMPUTED_VALUE"""),44757.1021453356)</f>
        <v>44757.10215</v>
      </c>
      <c r="D3791" s="15">
        <f>IFERROR(__xludf.DUMMYFUNCTION("""COMPUTED_VALUE"""),1.004)</f>
        <v>1.004</v>
      </c>
      <c r="E3791" s="16">
        <f>IFERROR(__xludf.DUMMYFUNCTION("""COMPUTED_VALUE"""),69.0)</f>
        <v>69</v>
      </c>
      <c r="F3791" s="19" t="str">
        <f>IFERROR(__xludf.DUMMYFUNCTION("""COMPUTED_VALUE"""),"BLACK")</f>
        <v>BLACK</v>
      </c>
      <c r="G3791" s="20" t="str">
        <f>IFERROR(__xludf.DUMMYFUNCTION("""COMPUTED_VALUE"""),"Uncle Sams Cider (5/13/2022)")</f>
        <v>Uncle Sams Cider (5/13/2022)</v>
      </c>
      <c r="H3791" s="19"/>
    </row>
    <row r="3792">
      <c r="A3792" s="9"/>
      <c r="B3792" s="15"/>
      <c r="C3792" s="9">
        <f>IFERROR(__xludf.DUMMYFUNCTION("""COMPUTED_VALUE"""),44757.091726493)</f>
        <v>44757.09173</v>
      </c>
      <c r="D3792" s="15">
        <f>IFERROR(__xludf.DUMMYFUNCTION("""COMPUTED_VALUE"""),1.004)</f>
        <v>1.004</v>
      </c>
      <c r="E3792" s="16">
        <f>IFERROR(__xludf.DUMMYFUNCTION("""COMPUTED_VALUE"""),69.0)</f>
        <v>69</v>
      </c>
      <c r="F3792" s="19" t="str">
        <f>IFERROR(__xludf.DUMMYFUNCTION("""COMPUTED_VALUE"""),"BLACK")</f>
        <v>BLACK</v>
      </c>
      <c r="G3792" s="20" t="str">
        <f>IFERROR(__xludf.DUMMYFUNCTION("""COMPUTED_VALUE"""),"Uncle Sams Cider (5/13/2022)")</f>
        <v>Uncle Sams Cider (5/13/2022)</v>
      </c>
      <c r="H3792" s="19"/>
    </row>
    <row r="3793">
      <c r="A3793" s="9"/>
      <c r="B3793" s="15"/>
      <c r="C3793" s="9">
        <f>IFERROR(__xludf.DUMMYFUNCTION("""COMPUTED_VALUE"""),44757.0812926041)</f>
        <v>44757.08129</v>
      </c>
      <c r="D3793" s="15">
        <f>IFERROR(__xludf.DUMMYFUNCTION("""COMPUTED_VALUE"""),1.004)</f>
        <v>1.004</v>
      </c>
      <c r="E3793" s="16">
        <f>IFERROR(__xludf.DUMMYFUNCTION("""COMPUTED_VALUE"""),69.0)</f>
        <v>69</v>
      </c>
      <c r="F3793" s="19" t="str">
        <f>IFERROR(__xludf.DUMMYFUNCTION("""COMPUTED_VALUE"""),"BLACK")</f>
        <v>BLACK</v>
      </c>
      <c r="G3793" s="20" t="str">
        <f>IFERROR(__xludf.DUMMYFUNCTION("""COMPUTED_VALUE"""),"Uncle Sams Cider (5/13/2022)")</f>
        <v>Uncle Sams Cider (5/13/2022)</v>
      </c>
      <c r="H3793" s="19"/>
    </row>
    <row r="3794">
      <c r="A3794" s="9"/>
      <c r="B3794" s="15"/>
      <c r="C3794" s="9">
        <f>IFERROR(__xludf.DUMMYFUNCTION("""COMPUTED_VALUE"""),44757.0708702777)</f>
        <v>44757.07087</v>
      </c>
      <c r="D3794" s="15">
        <f>IFERROR(__xludf.DUMMYFUNCTION("""COMPUTED_VALUE"""),1.004)</f>
        <v>1.004</v>
      </c>
      <c r="E3794" s="16">
        <f>IFERROR(__xludf.DUMMYFUNCTION("""COMPUTED_VALUE"""),69.0)</f>
        <v>69</v>
      </c>
      <c r="F3794" s="19" t="str">
        <f>IFERROR(__xludf.DUMMYFUNCTION("""COMPUTED_VALUE"""),"BLACK")</f>
        <v>BLACK</v>
      </c>
      <c r="G3794" s="20" t="str">
        <f>IFERROR(__xludf.DUMMYFUNCTION("""COMPUTED_VALUE"""),"Uncle Sams Cider (5/13/2022)")</f>
        <v>Uncle Sams Cider (5/13/2022)</v>
      </c>
      <c r="H3794" s="19"/>
    </row>
    <row r="3795">
      <c r="A3795" s="9"/>
      <c r="B3795" s="15"/>
      <c r="C3795" s="9">
        <f>IFERROR(__xludf.DUMMYFUNCTION("""COMPUTED_VALUE"""),44757.0604256597)</f>
        <v>44757.06043</v>
      </c>
      <c r="D3795" s="15">
        <f>IFERROR(__xludf.DUMMYFUNCTION("""COMPUTED_VALUE"""),1.004)</f>
        <v>1.004</v>
      </c>
      <c r="E3795" s="16">
        <f>IFERROR(__xludf.DUMMYFUNCTION("""COMPUTED_VALUE"""),69.0)</f>
        <v>69</v>
      </c>
      <c r="F3795" s="19" t="str">
        <f>IFERROR(__xludf.DUMMYFUNCTION("""COMPUTED_VALUE"""),"BLACK")</f>
        <v>BLACK</v>
      </c>
      <c r="G3795" s="20" t="str">
        <f>IFERROR(__xludf.DUMMYFUNCTION("""COMPUTED_VALUE"""),"Uncle Sams Cider (5/13/2022)")</f>
        <v>Uncle Sams Cider (5/13/2022)</v>
      </c>
      <c r="H3795" s="19"/>
    </row>
    <row r="3796">
      <c r="A3796" s="9"/>
      <c r="B3796" s="15"/>
      <c r="C3796" s="9">
        <f>IFERROR(__xludf.DUMMYFUNCTION("""COMPUTED_VALUE"""),44757.0500060763)</f>
        <v>44757.05001</v>
      </c>
      <c r="D3796" s="15">
        <f>IFERROR(__xludf.DUMMYFUNCTION("""COMPUTED_VALUE"""),1.004)</f>
        <v>1.004</v>
      </c>
      <c r="E3796" s="16">
        <f>IFERROR(__xludf.DUMMYFUNCTION("""COMPUTED_VALUE"""),69.0)</f>
        <v>69</v>
      </c>
      <c r="F3796" s="19" t="str">
        <f>IFERROR(__xludf.DUMMYFUNCTION("""COMPUTED_VALUE"""),"BLACK")</f>
        <v>BLACK</v>
      </c>
      <c r="G3796" s="20" t="str">
        <f>IFERROR(__xludf.DUMMYFUNCTION("""COMPUTED_VALUE"""),"Uncle Sams Cider (5/13/2022)")</f>
        <v>Uncle Sams Cider (5/13/2022)</v>
      </c>
      <c r="H3796" s="19"/>
    </row>
    <row r="3797">
      <c r="A3797" s="9"/>
      <c r="B3797" s="15"/>
      <c r="C3797" s="9">
        <f>IFERROR(__xludf.DUMMYFUNCTION("""COMPUTED_VALUE"""),44757.039573125)</f>
        <v>44757.03957</v>
      </c>
      <c r="D3797" s="15">
        <f>IFERROR(__xludf.DUMMYFUNCTION("""COMPUTED_VALUE"""),1.004)</f>
        <v>1.004</v>
      </c>
      <c r="E3797" s="16">
        <f>IFERROR(__xludf.DUMMYFUNCTION("""COMPUTED_VALUE"""),69.0)</f>
        <v>69</v>
      </c>
      <c r="F3797" s="19" t="str">
        <f>IFERROR(__xludf.DUMMYFUNCTION("""COMPUTED_VALUE"""),"BLACK")</f>
        <v>BLACK</v>
      </c>
      <c r="G3797" s="20" t="str">
        <f>IFERROR(__xludf.DUMMYFUNCTION("""COMPUTED_VALUE"""),"Uncle Sams Cider (5/13/2022)")</f>
        <v>Uncle Sams Cider (5/13/2022)</v>
      </c>
      <c r="H3797" s="19"/>
    </row>
    <row r="3798">
      <c r="A3798" s="9"/>
      <c r="B3798" s="15"/>
      <c r="C3798" s="9">
        <f>IFERROR(__xludf.DUMMYFUNCTION("""COMPUTED_VALUE"""),44757.0291494676)</f>
        <v>44757.02915</v>
      </c>
      <c r="D3798" s="15">
        <f>IFERROR(__xludf.DUMMYFUNCTION("""COMPUTED_VALUE"""),1.004)</f>
        <v>1.004</v>
      </c>
      <c r="E3798" s="16">
        <f>IFERROR(__xludf.DUMMYFUNCTION("""COMPUTED_VALUE"""),68.0)</f>
        <v>68</v>
      </c>
      <c r="F3798" s="19" t="str">
        <f>IFERROR(__xludf.DUMMYFUNCTION("""COMPUTED_VALUE"""),"BLACK")</f>
        <v>BLACK</v>
      </c>
      <c r="G3798" s="20" t="str">
        <f>IFERROR(__xludf.DUMMYFUNCTION("""COMPUTED_VALUE"""),"Uncle Sams Cider (5/13/2022)")</f>
        <v>Uncle Sams Cider (5/13/2022)</v>
      </c>
      <c r="H3798" s="19"/>
    </row>
    <row r="3799">
      <c r="A3799" s="9"/>
      <c r="B3799" s="15"/>
      <c r="C3799" s="9">
        <f>IFERROR(__xludf.DUMMYFUNCTION("""COMPUTED_VALUE"""),44757.0187264814)</f>
        <v>44757.01873</v>
      </c>
      <c r="D3799" s="15">
        <f>IFERROR(__xludf.DUMMYFUNCTION("""COMPUTED_VALUE"""),1.004)</f>
        <v>1.004</v>
      </c>
      <c r="E3799" s="16">
        <f>IFERROR(__xludf.DUMMYFUNCTION("""COMPUTED_VALUE"""),68.0)</f>
        <v>68</v>
      </c>
      <c r="F3799" s="19" t="str">
        <f>IFERROR(__xludf.DUMMYFUNCTION("""COMPUTED_VALUE"""),"BLACK")</f>
        <v>BLACK</v>
      </c>
      <c r="G3799" s="20" t="str">
        <f>IFERROR(__xludf.DUMMYFUNCTION("""COMPUTED_VALUE"""),"Uncle Sams Cider (5/13/2022)")</f>
        <v>Uncle Sams Cider (5/13/2022)</v>
      </c>
      <c r="H3799" s="19"/>
    </row>
    <row r="3800">
      <c r="A3800" s="9"/>
      <c r="B3800" s="15"/>
      <c r="C3800" s="9">
        <f>IFERROR(__xludf.DUMMYFUNCTION("""COMPUTED_VALUE"""),44757.0083053125)</f>
        <v>44757.00831</v>
      </c>
      <c r="D3800" s="15">
        <f>IFERROR(__xludf.DUMMYFUNCTION("""COMPUTED_VALUE"""),1.004)</f>
        <v>1.004</v>
      </c>
      <c r="E3800" s="16">
        <f>IFERROR(__xludf.DUMMYFUNCTION("""COMPUTED_VALUE"""),68.0)</f>
        <v>68</v>
      </c>
      <c r="F3800" s="19" t="str">
        <f>IFERROR(__xludf.DUMMYFUNCTION("""COMPUTED_VALUE"""),"BLACK")</f>
        <v>BLACK</v>
      </c>
      <c r="G3800" s="20" t="str">
        <f>IFERROR(__xludf.DUMMYFUNCTION("""COMPUTED_VALUE"""),"Uncle Sams Cider (5/13/2022)")</f>
        <v>Uncle Sams Cider (5/13/2022)</v>
      </c>
      <c r="H3800" s="19"/>
    </row>
    <row r="3801">
      <c r="A3801" s="9"/>
      <c r="B3801" s="15"/>
      <c r="C3801" s="9">
        <f>IFERROR(__xludf.DUMMYFUNCTION("""COMPUTED_VALUE"""),44756.997885324)</f>
        <v>44756.99789</v>
      </c>
      <c r="D3801" s="15">
        <f>IFERROR(__xludf.DUMMYFUNCTION("""COMPUTED_VALUE"""),1.004)</f>
        <v>1.004</v>
      </c>
      <c r="E3801" s="16">
        <f>IFERROR(__xludf.DUMMYFUNCTION("""COMPUTED_VALUE"""),68.0)</f>
        <v>68</v>
      </c>
      <c r="F3801" s="19" t="str">
        <f>IFERROR(__xludf.DUMMYFUNCTION("""COMPUTED_VALUE"""),"BLACK")</f>
        <v>BLACK</v>
      </c>
      <c r="G3801" s="20" t="str">
        <f>IFERROR(__xludf.DUMMYFUNCTION("""COMPUTED_VALUE"""),"Uncle Sams Cider (5/13/2022)")</f>
        <v>Uncle Sams Cider (5/13/2022)</v>
      </c>
      <c r="H3801" s="19"/>
    </row>
    <row r="3802">
      <c r="A3802" s="9"/>
      <c r="B3802" s="15"/>
      <c r="C3802" s="9">
        <f>IFERROR(__xludf.DUMMYFUNCTION("""COMPUTED_VALUE"""),44756.9874525925)</f>
        <v>44756.98745</v>
      </c>
      <c r="D3802" s="15">
        <f>IFERROR(__xludf.DUMMYFUNCTION("""COMPUTED_VALUE"""),1.004)</f>
        <v>1.004</v>
      </c>
      <c r="E3802" s="16">
        <f>IFERROR(__xludf.DUMMYFUNCTION("""COMPUTED_VALUE"""),68.0)</f>
        <v>68</v>
      </c>
      <c r="F3802" s="19" t="str">
        <f>IFERROR(__xludf.DUMMYFUNCTION("""COMPUTED_VALUE"""),"BLACK")</f>
        <v>BLACK</v>
      </c>
      <c r="G3802" s="20" t="str">
        <f>IFERROR(__xludf.DUMMYFUNCTION("""COMPUTED_VALUE"""),"Uncle Sams Cider (5/13/2022)")</f>
        <v>Uncle Sams Cider (5/13/2022)</v>
      </c>
      <c r="H3802" s="19"/>
    </row>
    <row r="3803">
      <c r="A3803" s="9"/>
      <c r="B3803" s="15"/>
      <c r="C3803" s="9">
        <f>IFERROR(__xludf.DUMMYFUNCTION("""COMPUTED_VALUE"""),44756.9770317014)</f>
        <v>44756.97703</v>
      </c>
      <c r="D3803" s="15">
        <f>IFERROR(__xludf.DUMMYFUNCTION("""COMPUTED_VALUE"""),1.004)</f>
        <v>1.004</v>
      </c>
      <c r="E3803" s="16">
        <f>IFERROR(__xludf.DUMMYFUNCTION("""COMPUTED_VALUE"""),68.0)</f>
        <v>68</v>
      </c>
      <c r="F3803" s="19" t="str">
        <f>IFERROR(__xludf.DUMMYFUNCTION("""COMPUTED_VALUE"""),"BLACK")</f>
        <v>BLACK</v>
      </c>
      <c r="G3803" s="20" t="str">
        <f>IFERROR(__xludf.DUMMYFUNCTION("""COMPUTED_VALUE"""),"Uncle Sams Cider (5/13/2022)")</f>
        <v>Uncle Sams Cider (5/13/2022)</v>
      </c>
      <c r="H3803" s="19"/>
    </row>
    <row r="3804">
      <c r="A3804" s="9"/>
      <c r="B3804" s="15"/>
      <c r="C3804" s="9">
        <f>IFERROR(__xludf.DUMMYFUNCTION("""COMPUTED_VALUE"""),44756.9666111342)</f>
        <v>44756.96661</v>
      </c>
      <c r="D3804" s="15">
        <f>IFERROR(__xludf.DUMMYFUNCTION("""COMPUTED_VALUE"""),1.004)</f>
        <v>1.004</v>
      </c>
      <c r="E3804" s="16">
        <f>IFERROR(__xludf.DUMMYFUNCTION("""COMPUTED_VALUE"""),68.0)</f>
        <v>68</v>
      </c>
      <c r="F3804" s="19" t="str">
        <f>IFERROR(__xludf.DUMMYFUNCTION("""COMPUTED_VALUE"""),"BLACK")</f>
        <v>BLACK</v>
      </c>
      <c r="G3804" s="20" t="str">
        <f>IFERROR(__xludf.DUMMYFUNCTION("""COMPUTED_VALUE"""),"Uncle Sams Cider (5/13/2022)")</f>
        <v>Uncle Sams Cider (5/13/2022)</v>
      </c>
      <c r="H3804" s="19"/>
    </row>
    <row r="3805">
      <c r="A3805" s="9"/>
      <c r="B3805" s="15"/>
      <c r="C3805" s="9">
        <f>IFERROR(__xludf.DUMMYFUNCTION("""COMPUTED_VALUE"""),44756.9561898495)</f>
        <v>44756.95619</v>
      </c>
      <c r="D3805" s="15">
        <f>IFERROR(__xludf.DUMMYFUNCTION("""COMPUTED_VALUE"""),1.004)</f>
        <v>1.004</v>
      </c>
      <c r="E3805" s="16">
        <f>IFERROR(__xludf.DUMMYFUNCTION("""COMPUTED_VALUE"""),68.0)</f>
        <v>68</v>
      </c>
      <c r="F3805" s="19" t="str">
        <f>IFERROR(__xludf.DUMMYFUNCTION("""COMPUTED_VALUE"""),"BLACK")</f>
        <v>BLACK</v>
      </c>
      <c r="G3805" s="20" t="str">
        <f>IFERROR(__xludf.DUMMYFUNCTION("""COMPUTED_VALUE"""),"Uncle Sams Cider (5/13/2022)")</f>
        <v>Uncle Sams Cider (5/13/2022)</v>
      </c>
      <c r="H3805" s="19"/>
    </row>
    <row r="3806">
      <c r="A3806" s="9"/>
      <c r="B3806" s="15"/>
      <c r="C3806" s="9">
        <f>IFERROR(__xludf.DUMMYFUNCTION("""COMPUTED_VALUE"""),44756.9457563773)</f>
        <v>44756.94576</v>
      </c>
      <c r="D3806" s="15">
        <f>IFERROR(__xludf.DUMMYFUNCTION("""COMPUTED_VALUE"""),1.004)</f>
        <v>1.004</v>
      </c>
      <c r="E3806" s="16">
        <f>IFERROR(__xludf.DUMMYFUNCTION("""COMPUTED_VALUE"""),68.0)</f>
        <v>68</v>
      </c>
      <c r="F3806" s="19" t="str">
        <f>IFERROR(__xludf.DUMMYFUNCTION("""COMPUTED_VALUE"""),"BLACK")</f>
        <v>BLACK</v>
      </c>
      <c r="G3806" s="20" t="str">
        <f>IFERROR(__xludf.DUMMYFUNCTION("""COMPUTED_VALUE"""),"Uncle Sams Cider (5/13/2022)")</f>
        <v>Uncle Sams Cider (5/13/2022)</v>
      </c>
      <c r="H3806" s="19"/>
    </row>
    <row r="3807">
      <c r="A3807" s="9"/>
      <c r="B3807" s="15"/>
      <c r="C3807" s="9">
        <f>IFERROR(__xludf.DUMMYFUNCTION("""COMPUTED_VALUE"""),44756.9353352083)</f>
        <v>44756.93534</v>
      </c>
      <c r="D3807" s="15">
        <f>IFERROR(__xludf.DUMMYFUNCTION("""COMPUTED_VALUE"""),1.004)</f>
        <v>1.004</v>
      </c>
      <c r="E3807" s="16">
        <f>IFERROR(__xludf.DUMMYFUNCTION("""COMPUTED_VALUE"""),68.0)</f>
        <v>68</v>
      </c>
      <c r="F3807" s="19" t="str">
        <f>IFERROR(__xludf.DUMMYFUNCTION("""COMPUTED_VALUE"""),"BLACK")</f>
        <v>BLACK</v>
      </c>
      <c r="G3807" s="20" t="str">
        <f>IFERROR(__xludf.DUMMYFUNCTION("""COMPUTED_VALUE"""),"Uncle Sams Cider (5/13/2022)")</f>
        <v>Uncle Sams Cider (5/13/2022)</v>
      </c>
      <c r="H3807" s="19"/>
    </row>
    <row r="3808">
      <c r="A3808" s="9"/>
      <c r="B3808" s="15"/>
      <c r="C3808" s="9">
        <f>IFERROR(__xludf.DUMMYFUNCTION("""COMPUTED_VALUE"""),44756.92491375)</f>
        <v>44756.92491</v>
      </c>
      <c r="D3808" s="15">
        <f>IFERROR(__xludf.DUMMYFUNCTION("""COMPUTED_VALUE"""),1.004)</f>
        <v>1.004</v>
      </c>
      <c r="E3808" s="16">
        <f>IFERROR(__xludf.DUMMYFUNCTION("""COMPUTED_VALUE"""),68.0)</f>
        <v>68</v>
      </c>
      <c r="F3808" s="19" t="str">
        <f>IFERROR(__xludf.DUMMYFUNCTION("""COMPUTED_VALUE"""),"BLACK")</f>
        <v>BLACK</v>
      </c>
      <c r="G3808" s="20" t="str">
        <f>IFERROR(__xludf.DUMMYFUNCTION("""COMPUTED_VALUE"""),"Uncle Sams Cider (5/13/2022)")</f>
        <v>Uncle Sams Cider (5/13/2022)</v>
      </c>
      <c r="H3808" s="19"/>
    </row>
    <row r="3809">
      <c r="A3809" s="9"/>
      <c r="B3809" s="15"/>
      <c r="C3809" s="9">
        <f>IFERROR(__xludf.DUMMYFUNCTION("""COMPUTED_VALUE"""),44756.914480162)</f>
        <v>44756.91448</v>
      </c>
      <c r="D3809" s="15">
        <f>IFERROR(__xludf.DUMMYFUNCTION("""COMPUTED_VALUE"""),1.004)</f>
        <v>1.004</v>
      </c>
      <c r="E3809" s="16">
        <f>IFERROR(__xludf.DUMMYFUNCTION("""COMPUTED_VALUE"""),68.0)</f>
        <v>68</v>
      </c>
      <c r="F3809" s="19" t="str">
        <f>IFERROR(__xludf.DUMMYFUNCTION("""COMPUTED_VALUE"""),"BLACK")</f>
        <v>BLACK</v>
      </c>
      <c r="G3809" s="20" t="str">
        <f>IFERROR(__xludf.DUMMYFUNCTION("""COMPUTED_VALUE"""),"Uncle Sams Cider (5/13/2022)")</f>
        <v>Uncle Sams Cider (5/13/2022)</v>
      </c>
      <c r="H3809" s="19"/>
    </row>
    <row r="3810">
      <c r="A3810" s="9"/>
      <c r="B3810" s="15"/>
      <c r="C3810" s="9">
        <f>IFERROR(__xludf.DUMMYFUNCTION("""COMPUTED_VALUE"""),44756.9040591203)</f>
        <v>44756.90406</v>
      </c>
      <c r="D3810" s="15">
        <f>IFERROR(__xludf.DUMMYFUNCTION("""COMPUTED_VALUE"""),1.004)</f>
        <v>1.004</v>
      </c>
      <c r="E3810" s="16">
        <f>IFERROR(__xludf.DUMMYFUNCTION("""COMPUTED_VALUE"""),68.0)</f>
        <v>68</v>
      </c>
      <c r="F3810" s="19" t="str">
        <f>IFERROR(__xludf.DUMMYFUNCTION("""COMPUTED_VALUE"""),"BLACK")</f>
        <v>BLACK</v>
      </c>
      <c r="G3810" s="20" t="str">
        <f>IFERROR(__xludf.DUMMYFUNCTION("""COMPUTED_VALUE"""),"Uncle Sams Cider (5/13/2022)")</f>
        <v>Uncle Sams Cider (5/13/2022)</v>
      </c>
      <c r="H3810" s="19"/>
    </row>
    <row r="3811">
      <c r="A3811" s="9"/>
      <c r="B3811" s="15"/>
      <c r="C3811" s="9">
        <f>IFERROR(__xludf.DUMMYFUNCTION("""COMPUTED_VALUE"""),44756.8936392476)</f>
        <v>44756.89364</v>
      </c>
      <c r="D3811" s="15">
        <f>IFERROR(__xludf.DUMMYFUNCTION("""COMPUTED_VALUE"""),1.004)</f>
        <v>1.004</v>
      </c>
      <c r="E3811" s="16">
        <f>IFERROR(__xludf.DUMMYFUNCTION("""COMPUTED_VALUE"""),68.0)</f>
        <v>68</v>
      </c>
      <c r="F3811" s="19" t="str">
        <f>IFERROR(__xludf.DUMMYFUNCTION("""COMPUTED_VALUE"""),"BLACK")</f>
        <v>BLACK</v>
      </c>
      <c r="G3811" s="20" t="str">
        <f>IFERROR(__xludf.DUMMYFUNCTION("""COMPUTED_VALUE"""),"Uncle Sams Cider (5/13/2022)")</f>
        <v>Uncle Sams Cider (5/13/2022)</v>
      </c>
      <c r="H3811" s="19"/>
    </row>
    <row r="3812">
      <c r="A3812" s="9"/>
      <c r="B3812" s="15"/>
      <c r="C3812" s="9">
        <f>IFERROR(__xludf.DUMMYFUNCTION("""COMPUTED_VALUE"""),44756.8832187037)</f>
        <v>44756.88322</v>
      </c>
      <c r="D3812" s="15">
        <f>IFERROR(__xludf.DUMMYFUNCTION("""COMPUTED_VALUE"""),1.004)</f>
        <v>1.004</v>
      </c>
      <c r="E3812" s="16">
        <f>IFERROR(__xludf.DUMMYFUNCTION("""COMPUTED_VALUE"""),68.0)</f>
        <v>68</v>
      </c>
      <c r="F3812" s="19" t="str">
        <f>IFERROR(__xludf.DUMMYFUNCTION("""COMPUTED_VALUE"""),"BLACK")</f>
        <v>BLACK</v>
      </c>
      <c r="G3812" s="20" t="str">
        <f>IFERROR(__xludf.DUMMYFUNCTION("""COMPUTED_VALUE"""),"Uncle Sams Cider (5/13/2022)")</f>
        <v>Uncle Sams Cider (5/13/2022)</v>
      </c>
      <c r="H3812" s="19"/>
    </row>
    <row r="3813">
      <c r="A3813" s="9"/>
      <c r="B3813" s="15"/>
      <c r="C3813" s="9">
        <f>IFERROR(__xludf.DUMMYFUNCTION("""COMPUTED_VALUE"""),44756.8727995139)</f>
        <v>44756.8728</v>
      </c>
      <c r="D3813" s="15">
        <f>IFERROR(__xludf.DUMMYFUNCTION("""COMPUTED_VALUE"""),1.004)</f>
        <v>1.004</v>
      </c>
      <c r="E3813" s="16">
        <f>IFERROR(__xludf.DUMMYFUNCTION("""COMPUTED_VALUE"""),68.0)</f>
        <v>68</v>
      </c>
      <c r="F3813" s="19" t="str">
        <f>IFERROR(__xludf.DUMMYFUNCTION("""COMPUTED_VALUE"""),"BLACK")</f>
        <v>BLACK</v>
      </c>
      <c r="G3813" s="20" t="str">
        <f>IFERROR(__xludf.DUMMYFUNCTION("""COMPUTED_VALUE"""),"Uncle Sams Cider (5/13/2022)")</f>
        <v>Uncle Sams Cider (5/13/2022)</v>
      </c>
      <c r="H3813" s="19"/>
    </row>
    <row r="3814">
      <c r="A3814" s="9"/>
      <c r="B3814" s="15"/>
      <c r="C3814" s="9">
        <f>IFERROR(__xludf.DUMMYFUNCTION("""COMPUTED_VALUE"""),44756.8623759027)</f>
        <v>44756.86238</v>
      </c>
      <c r="D3814" s="15">
        <f>IFERROR(__xludf.DUMMYFUNCTION("""COMPUTED_VALUE"""),1.004)</f>
        <v>1.004</v>
      </c>
      <c r="E3814" s="16">
        <f>IFERROR(__xludf.DUMMYFUNCTION("""COMPUTED_VALUE"""),68.0)</f>
        <v>68</v>
      </c>
      <c r="F3814" s="19" t="str">
        <f>IFERROR(__xludf.DUMMYFUNCTION("""COMPUTED_VALUE"""),"BLACK")</f>
        <v>BLACK</v>
      </c>
      <c r="G3814" s="20" t="str">
        <f>IFERROR(__xludf.DUMMYFUNCTION("""COMPUTED_VALUE"""),"Uncle Sams Cider (5/13/2022)")</f>
        <v>Uncle Sams Cider (5/13/2022)</v>
      </c>
      <c r="H3814" s="19"/>
    </row>
    <row r="3815">
      <c r="A3815" s="9"/>
      <c r="B3815" s="15"/>
      <c r="C3815" s="9">
        <f>IFERROR(__xludf.DUMMYFUNCTION("""COMPUTED_VALUE"""),44756.8519548263)</f>
        <v>44756.85195</v>
      </c>
      <c r="D3815" s="15">
        <f>IFERROR(__xludf.DUMMYFUNCTION("""COMPUTED_VALUE"""),1.004)</f>
        <v>1.004</v>
      </c>
      <c r="E3815" s="16">
        <f>IFERROR(__xludf.DUMMYFUNCTION("""COMPUTED_VALUE"""),68.0)</f>
        <v>68</v>
      </c>
      <c r="F3815" s="19" t="str">
        <f>IFERROR(__xludf.DUMMYFUNCTION("""COMPUTED_VALUE"""),"BLACK")</f>
        <v>BLACK</v>
      </c>
      <c r="G3815" s="20" t="str">
        <f>IFERROR(__xludf.DUMMYFUNCTION("""COMPUTED_VALUE"""),"Uncle Sams Cider (5/13/2022)")</f>
        <v>Uncle Sams Cider (5/13/2022)</v>
      </c>
      <c r="H3815" s="19"/>
    </row>
    <row r="3816">
      <c r="A3816" s="9"/>
      <c r="B3816" s="15"/>
      <c r="C3816" s="9">
        <f>IFERROR(__xludf.DUMMYFUNCTION("""COMPUTED_VALUE"""),44756.8415319791)</f>
        <v>44756.84153</v>
      </c>
      <c r="D3816" s="15">
        <f>IFERROR(__xludf.DUMMYFUNCTION("""COMPUTED_VALUE"""),1.004)</f>
        <v>1.004</v>
      </c>
      <c r="E3816" s="16">
        <f>IFERROR(__xludf.DUMMYFUNCTION("""COMPUTED_VALUE"""),68.0)</f>
        <v>68</v>
      </c>
      <c r="F3816" s="19" t="str">
        <f>IFERROR(__xludf.DUMMYFUNCTION("""COMPUTED_VALUE"""),"BLACK")</f>
        <v>BLACK</v>
      </c>
      <c r="G3816" s="20" t="str">
        <f>IFERROR(__xludf.DUMMYFUNCTION("""COMPUTED_VALUE"""),"Uncle Sams Cider (5/13/2022)")</f>
        <v>Uncle Sams Cider (5/13/2022)</v>
      </c>
      <c r="H3816" s="19"/>
    </row>
    <row r="3817">
      <c r="A3817" s="9"/>
      <c r="B3817" s="15"/>
      <c r="C3817" s="9">
        <f>IFERROR(__xludf.DUMMYFUNCTION("""COMPUTED_VALUE"""),44756.8311132407)</f>
        <v>44756.83111</v>
      </c>
      <c r="D3817" s="15">
        <f>IFERROR(__xludf.DUMMYFUNCTION("""COMPUTED_VALUE"""),1.004)</f>
        <v>1.004</v>
      </c>
      <c r="E3817" s="16">
        <f>IFERROR(__xludf.DUMMYFUNCTION("""COMPUTED_VALUE"""),68.0)</f>
        <v>68</v>
      </c>
      <c r="F3817" s="19" t="str">
        <f>IFERROR(__xludf.DUMMYFUNCTION("""COMPUTED_VALUE"""),"BLACK")</f>
        <v>BLACK</v>
      </c>
      <c r="G3817" s="20" t="str">
        <f>IFERROR(__xludf.DUMMYFUNCTION("""COMPUTED_VALUE"""),"Uncle Sams Cider (5/13/2022)")</f>
        <v>Uncle Sams Cider (5/13/2022)</v>
      </c>
      <c r="H3817" s="19"/>
    </row>
    <row r="3818">
      <c r="A3818" s="9"/>
      <c r="B3818" s="15"/>
      <c r="C3818" s="9">
        <f>IFERROR(__xludf.DUMMYFUNCTION("""COMPUTED_VALUE"""),44756.8206916435)</f>
        <v>44756.82069</v>
      </c>
      <c r="D3818" s="15">
        <f>IFERROR(__xludf.DUMMYFUNCTION("""COMPUTED_VALUE"""),1.004)</f>
        <v>1.004</v>
      </c>
      <c r="E3818" s="16">
        <f>IFERROR(__xludf.DUMMYFUNCTION("""COMPUTED_VALUE"""),68.0)</f>
        <v>68</v>
      </c>
      <c r="F3818" s="19" t="str">
        <f>IFERROR(__xludf.DUMMYFUNCTION("""COMPUTED_VALUE"""),"BLACK")</f>
        <v>BLACK</v>
      </c>
      <c r="G3818" s="20" t="str">
        <f>IFERROR(__xludf.DUMMYFUNCTION("""COMPUTED_VALUE"""),"Uncle Sams Cider (5/13/2022)")</f>
        <v>Uncle Sams Cider (5/13/2022)</v>
      </c>
      <c r="H3818" s="19"/>
    </row>
    <row r="3819">
      <c r="A3819" s="9"/>
      <c r="B3819" s="15"/>
      <c r="C3819" s="9">
        <f>IFERROR(__xludf.DUMMYFUNCTION("""COMPUTED_VALUE"""),44756.8102593055)</f>
        <v>44756.81026</v>
      </c>
      <c r="D3819" s="15">
        <f>IFERROR(__xludf.DUMMYFUNCTION("""COMPUTED_VALUE"""),1.004)</f>
        <v>1.004</v>
      </c>
      <c r="E3819" s="16">
        <f>IFERROR(__xludf.DUMMYFUNCTION("""COMPUTED_VALUE"""),68.0)</f>
        <v>68</v>
      </c>
      <c r="F3819" s="19" t="str">
        <f>IFERROR(__xludf.DUMMYFUNCTION("""COMPUTED_VALUE"""),"BLACK")</f>
        <v>BLACK</v>
      </c>
      <c r="G3819" s="20" t="str">
        <f>IFERROR(__xludf.DUMMYFUNCTION("""COMPUTED_VALUE"""),"Uncle Sams Cider (5/13/2022)")</f>
        <v>Uncle Sams Cider (5/13/2022)</v>
      </c>
      <c r="H3819" s="19"/>
    </row>
    <row r="3820">
      <c r="A3820" s="9"/>
      <c r="B3820" s="15"/>
      <c r="C3820" s="9">
        <f>IFERROR(__xludf.DUMMYFUNCTION("""COMPUTED_VALUE"""),44756.7998385763)</f>
        <v>44756.79984</v>
      </c>
      <c r="D3820" s="15">
        <f>IFERROR(__xludf.DUMMYFUNCTION("""COMPUTED_VALUE"""),1.004)</f>
        <v>1.004</v>
      </c>
      <c r="E3820" s="16">
        <f>IFERROR(__xludf.DUMMYFUNCTION("""COMPUTED_VALUE"""),67.0)</f>
        <v>67</v>
      </c>
      <c r="F3820" s="19" t="str">
        <f>IFERROR(__xludf.DUMMYFUNCTION("""COMPUTED_VALUE"""),"BLACK")</f>
        <v>BLACK</v>
      </c>
      <c r="G3820" s="20" t="str">
        <f>IFERROR(__xludf.DUMMYFUNCTION("""COMPUTED_VALUE"""),"Uncle Sams Cider (5/13/2022)")</f>
        <v>Uncle Sams Cider (5/13/2022)</v>
      </c>
      <c r="H3820" s="19"/>
    </row>
    <row r="3821">
      <c r="A3821" s="9"/>
      <c r="B3821" s="15"/>
      <c r="C3821" s="9">
        <f>IFERROR(__xludf.DUMMYFUNCTION("""COMPUTED_VALUE"""),44756.7894169675)</f>
        <v>44756.78942</v>
      </c>
      <c r="D3821" s="15">
        <f>IFERROR(__xludf.DUMMYFUNCTION("""COMPUTED_VALUE"""),1.004)</f>
        <v>1.004</v>
      </c>
      <c r="E3821" s="16">
        <f>IFERROR(__xludf.DUMMYFUNCTION("""COMPUTED_VALUE"""),68.0)</f>
        <v>68</v>
      </c>
      <c r="F3821" s="19" t="str">
        <f>IFERROR(__xludf.DUMMYFUNCTION("""COMPUTED_VALUE"""),"BLACK")</f>
        <v>BLACK</v>
      </c>
      <c r="G3821" s="20" t="str">
        <f>IFERROR(__xludf.DUMMYFUNCTION("""COMPUTED_VALUE"""),"Uncle Sams Cider (5/13/2022)")</f>
        <v>Uncle Sams Cider (5/13/2022)</v>
      </c>
      <c r="H3821" s="19"/>
    </row>
    <row r="3822">
      <c r="A3822" s="9"/>
      <c r="B3822" s="15"/>
      <c r="C3822" s="9">
        <f>IFERROR(__xludf.DUMMYFUNCTION("""COMPUTED_VALUE"""),44756.7789971875)</f>
        <v>44756.779</v>
      </c>
      <c r="D3822" s="15">
        <f>IFERROR(__xludf.DUMMYFUNCTION("""COMPUTED_VALUE"""),1.004)</f>
        <v>1.004</v>
      </c>
      <c r="E3822" s="16">
        <f>IFERROR(__xludf.DUMMYFUNCTION("""COMPUTED_VALUE"""),67.0)</f>
        <v>67</v>
      </c>
      <c r="F3822" s="19" t="str">
        <f>IFERROR(__xludf.DUMMYFUNCTION("""COMPUTED_VALUE"""),"BLACK")</f>
        <v>BLACK</v>
      </c>
      <c r="G3822" s="20" t="str">
        <f>IFERROR(__xludf.DUMMYFUNCTION("""COMPUTED_VALUE"""),"Uncle Sams Cider (5/13/2022)")</f>
        <v>Uncle Sams Cider (5/13/2022)</v>
      </c>
      <c r="H3822" s="19"/>
    </row>
    <row r="3823">
      <c r="A3823" s="9"/>
      <c r="B3823" s="15"/>
      <c r="C3823" s="9">
        <f>IFERROR(__xludf.DUMMYFUNCTION("""COMPUTED_VALUE"""),44756.7685761226)</f>
        <v>44756.76858</v>
      </c>
      <c r="D3823" s="15">
        <f>IFERROR(__xludf.DUMMYFUNCTION("""COMPUTED_VALUE"""),1.004)</f>
        <v>1.004</v>
      </c>
      <c r="E3823" s="16">
        <f>IFERROR(__xludf.DUMMYFUNCTION("""COMPUTED_VALUE"""),67.0)</f>
        <v>67</v>
      </c>
      <c r="F3823" s="19" t="str">
        <f>IFERROR(__xludf.DUMMYFUNCTION("""COMPUTED_VALUE"""),"BLACK")</f>
        <v>BLACK</v>
      </c>
      <c r="G3823" s="20" t="str">
        <f>IFERROR(__xludf.DUMMYFUNCTION("""COMPUTED_VALUE"""),"Uncle Sams Cider (5/13/2022)")</f>
        <v>Uncle Sams Cider (5/13/2022)</v>
      </c>
      <c r="H3823" s="19"/>
    </row>
    <row r="3824">
      <c r="A3824" s="9"/>
      <c r="B3824" s="15"/>
      <c r="C3824" s="9">
        <f>IFERROR(__xludf.DUMMYFUNCTION("""COMPUTED_VALUE"""),44756.758144456)</f>
        <v>44756.75814</v>
      </c>
      <c r="D3824" s="15">
        <f>IFERROR(__xludf.DUMMYFUNCTION("""COMPUTED_VALUE"""),1.004)</f>
        <v>1.004</v>
      </c>
      <c r="E3824" s="16">
        <f>IFERROR(__xludf.DUMMYFUNCTION("""COMPUTED_VALUE"""),67.0)</f>
        <v>67</v>
      </c>
      <c r="F3824" s="19" t="str">
        <f>IFERROR(__xludf.DUMMYFUNCTION("""COMPUTED_VALUE"""),"BLACK")</f>
        <v>BLACK</v>
      </c>
      <c r="G3824" s="20" t="str">
        <f>IFERROR(__xludf.DUMMYFUNCTION("""COMPUTED_VALUE"""),"Uncle Sams Cider (5/13/2022)")</f>
        <v>Uncle Sams Cider (5/13/2022)</v>
      </c>
      <c r="H3824" s="19"/>
    </row>
    <row r="3825">
      <c r="A3825" s="9"/>
      <c r="B3825" s="15"/>
      <c r="C3825" s="9">
        <f>IFERROR(__xludf.DUMMYFUNCTION("""COMPUTED_VALUE"""),44756.74772375)</f>
        <v>44756.74772</v>
      </c>
      <c r="D3825" s="15">
        <f>IFERROR(__xludf.DUMMYFUNCTION("""COMPUTED_VALUE"""),1.004)</f>
        <v>1.004</v>
      </c>
      <c r="E3825" s="16">
        <f>IFERROR(__xludf.DUMMYFUNCTION("""COMPUTED_VALUE"""),67.0)</f>
        <v>67</v>
      </c>
      <c r="F3825" s="19" t="str">
        <f>IFERROR(__xludf.DUMMYFUNCTION("""COMPUTED_VALUE"""),"BLACK")</f>
        <v>BLACK</v>
      </c>
      <c r="G3825" s="20" t="str">
        <f>IFERROR(__xludf.DUMMYFUNCTION("""COMPUTED_VALUE"""),"Uncle Sams Cider (5/13/2022)")</f>
        <v>Uncle Sams Cider (5/13/2022)</v>
      </c>
      <c r="H3825" s="19"/>
    </row>
    <row r="3826">
      <c r="A3826" s="9"/>
      <c r="B3826" s="15"/>
      <c r="C3826" s="9">
        <f>IFERROR(__xludf.DUMMYFUNCTION("""COMPUTED_VALUE"""),44756.7373033796)</f>
        <v>44756.7373</v>
      </c>
      <c r="D3826" s="15">
        <f>IFERROR(__xludf.DUMMYFUNCTION("""COMPUTED_VALUE"""),1.004)</f>
        <v>1.004</v>
      </c>
      <c r="E3826" s="16">
        <f>IFERROR(__xludf.DUMMYFUNCTION("""COMPUTED_VALUE"""),67.0)</f>
        <v>67</v>
      </c>
      <c r="F3826" s="19" t="str">
        <f>IFERROR(__xludf.DUMMYFUNCTION("""COMPUTED_VALUE"""),"BLACK")</f>
        <v>BLACK</v>
      </c>
      <c r="G3826" s="20" t="str">
        <f>IFERROR(__xludf.DUMMYFUNCTION("""COMPUTED_VALUE"""),"Uncle Sams Cider (5/13/2022)")</f>
        <v>Uncle Sams Cider (5/13/2022)</v>
      </c>
      <c r="H3826" s="19"/>
    </row>
    <row r="3827">
      <c r="A3827" s="9"/>
      <c r="B3827" s="15"/>
      <c r="C3827" s="9">
        <f>IFERROR(__xludf.DUMMYFUNCTION("""COMPUTED_VALUE"""),44756.7268595717)</f>
        <v>44756.72686</v>
      </c>
      <c r="D3827" s="15">
        <f>IFERROR(__xludf.DUMMYFUNCTION("""COMPUTED_VALUE"""),1.004)</f>
        <v>1.004</v>
      </c>
      <c r="E3827" s="16">
        <f>IFERROR(__xludf.DUMMYFUNCTION("""COMPUTED_VALUE"""),67.0)</f>
        <v>67</v>
      </c>
      <c r="F3827" s="19" t="str">
        <f>IFERROR(__xludf.DUMMYFUNCTION("""COMPUTED_VALUE"""),"BLACK")</f>
        <v>BLACK</v>
      </c>
      <c r="G3827" s="20" t="str">
        <f>IFERROR(__xludf.DUMMYFUNCTION("""COMPUTED_VALUE"""),"Uncle Sams Cider (5/13/2022)")</f>
        <v>Uncle Sams Cider (5/13/2022)</v>
      </c>
      <c r="H3827" s="19"/>
    </row>
    <row r="3828">
      <c r="A3828" s="9"/>
      <c r="B3828" s="15"/>
      <c r="C3828" s="9">
        <f>IFERROR(__xludf.DUMMYFUNCTION("""COMPUTED_VALUE"""),44756.7164390277)</f>
        <v>44756.71644</v>
      </c>
      <c r="D3828" s="15">
        <f>IFERROR(__xludf.DUMMYFUNCTION("""COMPUTED_VALUE"""),1.004)</f>
        <v>1.004</v>
      </c>
      <c r="E3828" s="16">
        <f>IFERROR(__xludf.DUMMYFUNCTION("""COMPUTED_VALUE"""),67.0)</f>
        <v>67</v>
      </c>
      <c r="F3828" s="19" t="str">
        <f>IFERROR(__xludf.DUMMYFUNCTION("""COMPUTED_VALUE"""),"BLACK")</f>
        <v>BLACK</v>
      </c>
      <c r="G3828" s="20" t="str">
        <f>IFERROR(__xludf.DUMMYFUNCTION("""COMPUTED_VALUE"""),"Uncle Sams Cider (5/13/2022)")</f>
        <v>Uncle Sams Cider (5/13/2022)</v>
      </c>
      <c r="H3828" s="19"/>
    </row>
    <row r="3829">
      <c r="A3829" s="9"/>
      <c r="B3829" s="15"/>
      <c r="C3829" s="9">
        <f>IFERROR(__xludf.DUMMYFUNCTION("""COMPUTED_VALUE"""),44756.7060167129)</f>
        <v>44756.70602</v>
      </c>
      <c r="D3829" s="15">
        <f>IFERROR(__xludf.DUMMYFUNCTION("""COMPUTED_VALUE"""),1.004)</f>
        <v>1.004</v>
      </c>
      <c r="E3829" s="16">
        <f>IFERROR(__xludf.DUMMYFUNCTION("""COMPUTED_VALUE"""),67.0)</f>
        <v>67</v>
      </c>
      <c r="F3829" s="19" t="str">
        <f>IFERROR(__xludf.DUMMYFUNCTION("""COMPUTED_VALUE"""),"BLACK")</f>
        <v>BLACK</v>
      </c>
      <c r="G3829" s="20" t="str">
        <f>IFERROR(__xludf.DUMMYFUNCTION("""COMPUTED_VALUE"""),"Uncle Sams Cider (5/13/2022)")</f>
        <v>Uncle Sams Cider (5/13/2022)</v>
      </c>
      <c r="H3829" s="19"/>
    </row>
    <row r="3830">
      <c r="A3830" s="9"/>
      <c r="B3830" s="15"/>
      <c r="C3830" s="9">
        <f>IFERROR(__xludf.DUMMYFUNCTION("""COMPUTED_VALUE"""),44756.6955958217)</f>
        <v>44756.6956</v>
      </c>
      <c r="D3830" s="15">
        <f>IFERROR(__xludf.DUMMYFUNCTION("""COMPUTED_VALUE"""),1.004)</f>
        <v>1.004</v>
      </c>
      <c r="E3830" s="16">
        <f>IFERROR(__xludf.DUMMYFUNCTION("""COMPUTED_VALUE"""),67.0)</f>
        <v>67</v>
      </c>
      <c r="F3830" s="19" t="str">
        <f>IFERROR(__xludf.DUMMYFUNCTION("""COMPUTED_VALUE"""),"BLACK")</f>
        <v>BLACK</v>
      </c>
      <c r="G3830" s="20" t="str">
        <f>IFERROR(__xludf.DUMMYFUNCTION("""COMPUTED_VALUE"""),"Uncle Sams Cider (5/13/2022)")</f>
        <v>Uncle Sams Cider (5/13/2022)</v>
      </c>
      <c r="H3830" s="19"/>
    </row>
    <row r="3831">
      <c r="A3831" s="9"/>
      <c r="B3831" s="15"/>
      <c r="C3831" s="9">
        <f>IFERROR(__xludf.DUMMYFUNCTION("""COMPUTED_VALUE"""),44756.6851742013)</f>
        <v>44756.68517</v>
      </c>
      <c r="D3831" s="15">
        <f>IFERROR(__xludf.DUMMYFUNCTION("""COMPUTED_VALUE"""),1.004)</f>
        <v>1.004</v>
      </c>
      <c r="E3831" s="16">
        <f>IFERROR(__xludf.DUMMYFUNCTION("""COMPUTED_VALUE"""),67.0)</f>
        <v>67</v>
      </c>
      <c r="F3831" s="19" t="str">
        <f>IFERROR(__xludf.DUMMYFUNCTION("""COMPUTED_VALUE"""),"BLACK")</f>
        <v>BLACK</v>
      </c>
      <c r="G3831" s="20" t="str">
        <f>IFERROR(__xludf.DUMMYFUNCTION("""COMPUTED_VALUE"""),"Uncle Sams Cider (5/13/2022)")</f>
        <v>Uncle Sams Cider (5/13/2022)</v>
      </c>
      <c r="H3831" s="19"/>
    </row>
    <row r="3832">
      <c r="A3832" s="9"/>
      <c r="B3832" s="15"/>
      <c r="C3832" s="9">
        <f>IFERROR(__xludf.DUMMYFUNCTION("""COMPUTED_VALUE"""),44756.6747532754)</f>
        <v>44756.67475</v>
      </c>
      <c r="D3832" s="15">
        <f>IFERROR(__xludf.DUMMYFUNCTION("""COMPUTED_VALUE"""),1.004)</f>
        <v>1.004</v>
      </c>
      <c r="E3832" s="16">
        <f>IFERROR(__xludf.DUMMYFUNCTION("""COMPUTED_VALUE"""),67.0)</f>
        <v>67</v>
      </c>
      <c r="F3832" s="19" t="str">
        <f>IFERROR(__xludf.DUMMYFUNCTION("""COMPUTED_VALUE"""),"BLACK")</f>
        <v>BLACK</v>
      </c>
      <c r="G3832" s="20" t="str">
        <f>IFERROR(__xludf.DUMMYFUNCTION("""COMPUTED_VALUE"""),"Uncle Sams Cider (5/13/2022)")</f>
        <v>Uncle Sams Cider (5/13/2022)</v>
      </c>
      <c r="H3832" s="19"/>
    </row>
    <row r="3833">
      <c r="A3833" s="9"/>
      <c r="B3833" s="15"/>
      <c r="C3833" s="9">
        <f>IFERROR(__xludf.DUMMYFUNCTION("""COMPUTED_VALUE"""),44756.6643324421)</f>
        <v>44756.66433</v>
      </c>
      <c r="D3833" s="15">
        <f>IFERROR(__xludf.DUMMYFUNCTION("""COMPUTED_VALUE"""),1.004)</f>
        <v>1.004</v>
      </c>
      <c r="E3833" s="16">
        <f>IFERROR(__xludf.DUMMYFUNCTION("""COMPUTED_VALUE"""),67.0)</f>
        <v>67</v>
      </c>
      <c r="F3833" s="19" t="str">
        <f>IFERROR(__xludf.DUMMYFUNCTION("""COMPUTED_VALUE"""),"BLACK")</f>
        <v>BLACK</v>
      </c>
      <c r="G3833" s="20" t="str">
        <f>IFERROR(__xludf.DUMMYFUNCTION("""COMPUTED_VALUE"""),"Uncle Sams Cider (5/13/2022)")</f>
        <v>Uncle Sams Cider (5/13/2022)</v>
      </c>
      <c r="H3833" s="19"/>
    </row>
    <row r="3834">
      <c r="A3834" s="9"/>
      <c r="B3834" s="15"/>
      <c r="C3834" s="9">
        <f>IFERROR(__xludf.DUMMYFUNCTION("""COMPUTED_VALUE"""),44756.6539112731)</f>
        <v>44756.65391</v>
      </c>
      <c r="D3834" s="15">
        <f>IFERROR(__xludf.DUMMYFUNCTION("""COMPUTED_VALUE"""),1.004)</f>
        <v>1.004</v>
      </c>
      <c r="E3834" s="16">
        <f>IFERROR(__xludf.DUMMYFUNCTION("""COMPUTED_VALUE"""),67.0)</f>
        <v>67</v>
      </c>
      <c r="F3834" s="19" t="str">
        <f>IFERROR(__xludf.DUMMYFUNCTION("""COMPUTED_VALUE"""),"BLACK")</f>
        <v>BLACK</v>
      </c>
      <c r="G3834" s="20" t="str">
        <f>IFERROR(__xludf.DUMMYFUNCTION("""COMPUTED_VALUE"""),"Uncle Sams Cider (5/13/2022)")</f>
        <v>Uncle Sams Cider (5/13/2022)</v>
      </c>
      <c r="H3834" s="19"/>
    </row>
    <row r="3835">
      <c r="A3835" s="9"/>
      <c r="B3835" s="15"/>
      <c r="C3835" s="9">
        <f>IFERROR(__xludf.DUMMYFUNCTION("""COMPUTED_VALUE"""),44756.6434897801)</f>
        <v>44756.64349</v>
      </c>
      <c r="D3835" s="15">
        <f>IFERROR(__xludf.DUMMYFUNCTION("""COMPUTED_VALUE"""),1.004)</f>
        <v>1.004</v>
      </c>
      <c r="E3835" s="16">
        <f>IFERROR(__xludf.DUMMYFUNCTION("""COMPUTED_VALUE"""),67.0)</f>
        <v>67</v>
      </c>
      <c r="F3835" s="19" t="str">
        <f>IFERROR(__xludf.DUMMYFUNCTION("""COMPUTED_VALUE"""),"BLACK")</f>
        <v>BLACK</v>
      </c>
      <c r="G3835" s="20" t="str">
        <f>IFERROR(__xludf.DUMMYFUNCTION("""COMPUTED_VALUE"""),"Uncle Sams Cider (5/13/2022)")</f>
        <v>Uncle Sams Cider (5/13/2022)</v>
      </c>
      <c r="H3835" s="19"/>
    </row>
    <row r="3836">
      <c r="A3836" s="9"/>
      <c r="B3836" s="15"/>
      <c r="C3836" s="9">
        <f>IFERROR(__xludf.DUMMYFUNCTION("""COMPUTED_VALUE"""),44756.6330575)</f>
        <v>44756.63306</v>
      </c>
      <c r="D3836" s="15">
        <f>IFERROR(__xludf.DUMMYFUNCTION("""COMPUTED_VALUE"""),1.004)</f>
        <v>1.004</v>
      </c>
      <c r="E3836" s="16">
        <f>IFERROR(__xludf.DUMMYFUNCTION("""COMPUTED_VALUE"""),67.0)</f>
        <v>67</v>
      </c>
      <c r="F3836" s="19" t="str">
        <f>IFERROR(__xludf.DUMMYFUNCTION("""COMPUTED_VALUE"""),"BLACK")</f>
        <v>BLACK</v>
      </c>
      <c r="G3836" s="20" t="str">
        <f>IFERROR(__xludf.DUMMYFUNCTION("""COMPUTED_VALUE"""),"Uncle Sams Cider (5/13/2022)")</f>
        <v>Uncle Sams Cider (5/13/2022)</v>
      </c>
      <c r="H3836" s="19"/>
    </row>
    <row r="3837">
      <c r="A3837" s="9"/>
      <c r="B3837" s="15"/>
      <c r="C3837" s="9">
        <f>IFERROR(__xludf.DUMMYFUNCTION("""COMPUTED_VALUE"""),44756.6226378935)</f>
        <v>44756.62264</v>
      </c>
      <c r="D3837" s="15">
        <f>IFERROR(__xludf.DUMMYFUNCTION("""COMPUTED_VALUE"""),1.004)</f>
        <v>1.004</v>
      </c>
      <c r="E3837" s="16">
        <f>IFERROR(__xludf.DUMMYFUNCTION("""COMPUTED_VALUE"""),67.0)</f>
        <v>67</v>
      </c>
      <c r="F3837" s="19" t="str">
        <f>IFERROR(__xludf.DUMMYFUNCTION("""COMPUTED_VALUE"""),"BLACK")</f>
        <v>BLACK</v>
      </c>
      <c r="G3837" s="20" t="str">
        <f>IFERROR(__xludf.DUMMYFUNCTION("""COMPUTED_VALUE"""),"Uncle Sams Cider (5/13/2022)")</f>
        <v>Uncle Sams Cider (5/13/2022)</v>
      </c>
      <c r="H3837" s="19"/>
    </row>
    <row r="3838">
      <c r="A3838" s="9"/>
      <c r="B3838" s="15"/>
      <c r="C3838" s="9">
        <f>IFERROR(__xludf.DUMMYFUNCTION("""COMPUTED_VALUE"""),44756.6122168518)</f>
        <v>44756.61222</v>
      </c>
      <c r="D3838" s="15">
        <f>IFERROR(__xludf.DUMMYFUNCTION("""COMPUTED_VALUE"""),1.004)</f>
        <v>1.004</v>
      </c>
      <c r="E3838" s="16">
        <f>IFERROR(__xludf.DUMMYFUNCTION("""COMPUTED_VALUE"""),67.0)</f>
        <v>67</v>
      </c>
      <c r="F3838" s="19" t="str">
        <f>IFERROR(__xludf.DUMMYFUNCTION("""COMPUTED_VALUE"""),"BLACK")</f>
        <v>BLACK</v>
      </c>
      <c r="G3838" s="20" t="str">
        <f>IFERROR(__xludf.DUMMYFUNCTION("""COMPUTED_VALUE"""),"Uncle Sams Cider (5/13/2022)")</f>
        <v>Uncle Sams Cider (5/13/2022)</v>
      </c>
      <c r="H3838" s="19"/>
    </row>
    <row r="3839">
      <c r="A3839" s="9"/>
      <c r="B3839" s="15"/>
      <c r="C3839" s="9">
        <f>IFERROR(__xludf.DUMMYFUNCTION("""COMPUTED_VALUE"""),44756.6017962731)</f>
        <v>44756.6018</v>
      </c>
      <c r="D3839" s="15">
        <f>IFERROR(__xludf.DUMMYFUNCTION("""COMPUTED_VALUE"""),1.004)</f>
        <v>1.004</v>
      </c>
      <c r="E3839" s="16">
        <f>IFERROR(__xludf.DUMMYFUNCTION("""COMPUTED_VALUE"""),67.0)</f>
        <v>67</v>
      </c>
      <c r="F3839" s="19" t="str">
        <f>IFERROR(__xludf.DUMMYFUNCTION("""COMPUTED_VALUE"""),"BLACK")</f>
        <v>BLACK</v>
      </c>
      <c r="G3839" s="20" t="str">
        <f>IFERROR(__xludf.DUMMYFUNCTION("""COMPUTED_VALUE"""),"Uncle Sams Cider (5/13/2022)")</f>
        <v>Uncle Sams Cider (5/13/2022)</v>
      </c>
      <c r="H3839" s="19"/>
    </row>
    <row r="3840">
      <c r="A3840" s="9"/>
      <c r="B3840" s="15"/>
      <c r="C3840" s="9">
        <f>IFERROR(__xludf.DUMMYFUNCTION("""COMPUTED_VALUE"""),44756.5913744328)</f>
        <v>44756.59137</v>
      </c>
      <c r="D3840" s="15">
        <f>IFERROR(__xludf.DUMMYFUNCTION("""COMPUTED_VALUE"""),1.004)</f>
        <v>1.004</v>
      </c>
      <c r="E3840" s="16">
        <f>IFERROR(__xludf.DUMMYFUNCTION("""COMPUTED_VALUE"""),67.0)</f>
        <v>67</v>
      </c>
      <c r="F3840" s="19" t="str">
        <f>IFERROR(__xludf.DUMMYFUNCTION("""COMPUTED_VALUE"""),"BLACK")</f>
        <v>BLACK</v>
      </c>
      <c r="G3840" s="20" t="str">
        <f>IFERROR(__xludf.DUMMYFUNCTION("""COMPUTED_VALUE"""),"Uncle Sams Cider (5/13/2022)")</f>
        <v>Uncle Sams Cider (5/13/2022)</v>
      </c>
      <c r="H3840" s="19"/>
    </row>
    <row r="3841">
      <c r="A3841" s="9"/>
      <c r="B3841" s="15"/>
      <c r="C3841" s="9">
        <f>IFERROR(__xludf.DUMMYFUNCTION("""COMPUTED_VALUE"""),44756.5809537152)</f>
        <v>44756.58095</v>
      </c>
      <c r="D3841" s="15">
        <f>IFERROR(__xludf.DUMMYFUNCTION("""COMPUTED_VALUE"""),1.004)</f>
        <v>1.004</v>
      </c>
      <c r="E3841" s="16">
        <f>IFERROR(__xludf.DUMMYFUNCTION("""COMPUTED_VALUE"""),67.0)</f>
        <v>67</v>
      </c>
      <c r="F3841" s="19" t="str">
        <f>IFERROR(__xludf.DUMMYFUNCTION("""COMPUTED_VALUE"""),"BLACK")</f>
        <v>BLACK</v>
      </c>
      <c r="G3841" s="20" t="str">
        <f>IFERROR(__xludf.DUMMYFUNCTION("""COMPUTED_VALUE"""),"Uncle Sams Cider (5/13/2022)")</f>
        <v>Uncle Sams Cider (5/13/2022)</v>
      </c>
      <c r="H3841" s="19"/>
    </row>
    <row r="3842">
      <c r="A3842" s="9"/>
      <c r="B3842" s="15"/>
      <c r="C3842" s="9">
        <f>IFERROR(__xludf.DUMMYFUNCTION("""COMPUTED_VALUE"""),44756.5705299305)</f>
        <v>44756.57053</v>
      </c>
      <c r="D3842" s="15">
        <f>IFERROR(__xludf.DUMMYFUNCTION("""COMPUTED_VALUE"""),1.004)</f>
        <v>1.004</v>
      </c>
      <c r="E3842" s="16">
        <f>IFERROR(__xludf.DUMMYFUNCTION("""COMPUTED_VALUE"""),67.0)</f>
        <v>67</v>
      </c>
      <c r="F3842" s="19" t="str">
        <f>IFERROR(__xludf.DUMMYFUNCTION("""COMPUTED_VALUE"""),"BLACK")</f>
        <v>BLACK</v>
      </c>
      <c r="G3842" s="20" t="str">
        <f>IFERROR(__xludf.DUMMYFUNCTION("""COMPUTED_VALUE"""),"Uncle Sams Cider (5/13/2022)")</f>
        <v>Uncle Sams Cider (5/13/2022)</v>
      </c>
      <c r="H3842" s="19"/>
    </row>
    <row r="3843">
      <c r="A3843" s="9"/>
      <c r="B3843" s="15"/>
      <c r="C3843" s="9">
        <f>IFERROR(__xludf.DUMMYFUNCTION("""COMPUTED_VALUE"""),44756.5601086805)</f>
        <v>44756.56011</v>
      </c>
      <c r="D3843" s="15">
        <f>IFERROR(__xludf.DUMMYFUNCTION("""COMPUTED_VALUE"""),1.004)</f>
        <v>1.004</v>
      </c>
      <c r="E3843" s="16">
        <f>IFERROR(__xludf.DUMMYFUNCTION("""COMPUTED_VALUE"""),67.0)</f>
        <v>67</v>
      </c>
      <c r="F3843" s="19" t="str">
        <f>IFERROR(__xludf.DUMMYFUNCTION("""COMPUTED_VALUE"""),"BLACK")</f>
        <v>BLACK</v>
      </c>
      <c r="G3843" s="20" t="str">
        <f>IFERROR(__xludf.DUMMYFUNCTION("""COMPUTED_VALUE"""),"Uncle Sams Cider (5/13/2022)")</f>
        <v>Uncle Sams Cider (5/13/2022)</v>
      </c>
      <c r="H3843" s="19"/>
    </row>
    <row r="3844">
      <c r="A3844" s="9"/>
      <c r="B3844" s="15"/>
      <c r="C3844" s="9">
        <f>IFERROR(__xludf.DUMMYFUNCTION("""COMPUTED_VALUE"""),44756.5496870486)</f>
        <v>44756.54969</v>
      </c>
      <c r="D3844" s="15">
        <f>IFERROR(__xludf.DUMMYFUNCTION("""COMPUTED_VALUE"""),1.004)</f>
        <v>1.004</v>
      </c>
      <c r="E3844" s="16">
        <f>IFERROR(__xludf.DUMMYFUNCTION("""COMPUTED_VALUE"""),67.0)</f>
        <v>67</v>
      </c>
      <c r="F3844" s="19" t="str">
        <f>IFERROR(__xludf.DUMMYFUNCTION("""COMPUTED_VALUE"""),"BLACK")</f>
        <v>BLACK</v>
      </c>
      <c r="G3844" s="20" t="str">
        <f>IFERROR(__xludf.DUMMYFUNCTION("""COMPUTED_VALUE"""),"Uncle Sams Cider (5/13/2022)")</f>
        <v>Uncle Sams Cider (5/13/2022)</v>
      </c>
      <c r="H3844" s="19"/>
    </row>
    <row r="3845">
      <c r="A3845" s="9"/>
      <c r="B3845" s="15"/>
      <c r="C3845" s="9">
        <f>IFERROR(__xludf.DUMMYFUNCTION("""COMPUTED_VALUE"""),44756.5392537152)</f>
        <v>44756.53925</v>
      </c>
      <c r="D3845" s="15">
        <f>IFERROR(__xludf.DUMMYFUNCTION("""COMPUTED_VALUE"""),1.004)</f>
        <v>1.004</v>
      </c>
      <c r="E3845" s="16">
        <f>IFERROR(__xludf.DUMMYFUNCTION("""COMPUTED_VALUE"""),67.0)</f>
        <v>67</v>
      </c>
      <c r="F3845" s="19" t="str">
        <f>IFERROR(__xludf.DUMMYFUNCTION("""COMPUTED_VALUE"""),"BLACK")</f>
        <v>BLACK</v>
      </c>
      <c r="G3845" s="20" t="str">
        <f>IFERROR(__xludf.DUMMYFUNCTION("""COMPUTED_VALUE"""),"Uncle Sams Cider (5/13/2022)")</f>
        <v>Uncle Sams Cider (5/13/2022)</v>
      </c>
      <c r="H3845" s="19"/>
    </row>
    <row r="3846">
      <c r="A3846" s="9"/>
      <c r="B3846" s="15"/>
      <c r="C3846" s="9">
        <f>IFERROR(__xludf.DUMMYFUNCTION("""COMPUTED_VALUE"""),44756.5288310185)</f>
        <v>44756.52883</v>
      </c>
      <c r="D3846" s="15">
        <f>IFERROR(__xludf.DUMMYFUNCTION("""COMPUTED_VALUE"""),1.004)</f>
        <v>1.004</v>
      </c>
      <c r="E3846" s="16">
        <f>IFERROR(__xludf.DUMMYFUNCTION("""COMPUTED_VALUE"""),67.0)</f>
        <v>67</v>
      </c>
      <c r="F3846" s="19" t="str">
        <f>IFERROR(__xludf.DUMMYFUNCTION("""COMPUTED_VALUE"""),"BLACK")</f>
        <v>BLACK</v>
      </c>
      <c r="G3846" s="20" t="str">
        <f>IFERROR(__xludf.DUMMYFUNCTION("""COMPUTED_VALUE"""),"Uncle Sams Cider (5/13/2022)")</f>
        <v>Uncle Sams Cider (5/13/2022)</v>
      </c>
      <c r="H3846" s="19"/>
    </row>
    <row r="3847">
      <c r="A3847" s="9"/>
      <c r="B3847" s="15"/>
      <c r="C3847" s="9">
        <f>IFERROR(__xludf.DUMMYFUNCTION("""COMPUTED_VALUE"""),44756.5184101157)</f>
        <v>44756.51841</v>
      </c>
      <c r="D3847" s="15">
        <f>IFERROR(__xludf.DUMMYFUNCTION("""COMPUTED_VALUE"""),1.004)</f>
        <v>1.004</v>
      </c>
      <c r="E3847" s="16">
        <f>IFERROR(__xludf.DUMMYFUNCTION("""COMPUTED_VALUE"""),67.0)</f>
        <v>67</v>
      </c>
      <c r="F3847" s="19" t="str">
        <f>IFERROR(__xludf.DUMMYFUNCTION("""COMPUTED_VALUE"""),"BLACK")</f>
        <v>BLACK</v>
      </c>
      <c r="G3847" s="20" t="str">
        <f>IFERROR(__xludf.DUMMYFUNCTION("""COMPUTED_VALUE"""),"Uncle Sams Cider (5/13/2022)")</f>
        <v>Uncle Sams Cider (5/13/2022)</v>
      </c>
      <c r="H3847" s="19"/>
    </row>
    <row r="3848">
      <c r="A3848" s="9"/>
      <c r="B3848" s="15"/>
      <c r="C3848" s="9">
        <f>IFERROR(__xludf.DUMMYFUNCTION("""COMPUTED_VALUE"""),44756.5079883449)</f>
        <v>44756.50799</v>
      </c>
      <c r="D3848" s="15">
        <f>IFERROR(__xludf.DUMMYFUNCTION("""COMPUTED_VALUE"""),1.004)</f>
        <v>1.004</v>
      </c>
      <c r="E3848" s="16">
        <f>IFERROR(__xludf.DUMMYFUNCTION("""COMPUTED_VALUE"""),67.0)</f>
        <v>67</v>
      </c>
      <c r="F3848" s="19" t="str">
        <f>IFERROR(__xludf.DUMMYFUNCTION("""COMPUTED_VALUE"""),"BLACK")</f>
        <v>BLACK</v>
      </c>
      <c r="G3848" s="20" t="str">
        <f>IFERROR(__xludf.DUMMYFUNCTION("""COMPUTED_VALUE"""),"Uncle Sams Cider (5/13/2022)")</f>
        <v>Uncle Sams Cider (5/13/2022)</v>
      </c>
      <c r="H3848" s="19"/>
    </row>
    <row r="3849">
      <c r="A3849" s="9"/>
      <c r="B3849" s="15"/>
      <c r="C3849" s="9">
        <f>IFERROR(__xludf.DUMMYFUNCTION("""COMPUTED_VALUE"""),44756.497567037)</f>
        <v>44756.49757</v>
      </c>
      <c r="D3849" s="15">
        <f>IFERROR(__xludf.DUMMYFUNCTION("""COMPUTED_VALUE"""),1.004)</f>
        <v>1.004</v>
      </c>
      <c r="E3849" s="16">
        <f>IFERROR(__xludf.DUMMYFUNCTION("""COMPUTED_VALUE"""),67.0)</f>
        <v>67</v>
      </c>
      <c r="F3849" s="19" t="str">
        <f>IFERROR(__xludf.DUMMYFUNCTION("""COMPUTED_VALUE"""),"BLACK")</f>
        <v>BLACK</v>
      </c>
      <c r="G3849" s="20" t="str">
        <f>IFERROR(__xludf.DUMMYFUNCTION("""COMPUTED_VALUE"""),"Uncle Sams Cider (5/13/2022)")</f>
        <v>Uncle Sams Cider (5/13/2022)</v>
      </c>
      <c r="H3849" s="19"/>
    </row>
    <row r="3850">
      <c r="A3850" s="9"/>
      <c r="B3850" s="15"/>
      <c r="C3850" s="9">
        <f>IFERROR(__xludf.DUMMYFUNCTION("""COMPUTED_VALUE"""),44756.4871458333)</f>
        <v>44756.48715</v>
      </c>
      <c r="D3850" s="15">
        <f>IFERROR(__xludf.DUMMYFUNCTION("""COMPUTED_VALUE"""),1.004)</f>
        <v>1.004</v>
      </c>
      <c r="E3850" s="16">
        <f>IFERROR(__xludf.DUMMYFUNCTION("""COMPUTED_VALUE"""),67.0)</f>
        <v>67</v>
      </c>
      <c r="F3850" s="19" t="str">
        <f>IFERROR(__xludf.DUMMYFUNCTION("""COMPUTED_VALUE"""),"BLACK")</f>
        <v>BLACK</v>
      </c>
      <c r="G3850" s="20" t="str">
        <f>IFERROR(__xludf.DUMMYFUNCTION("""COMPUTED_VALUE"""),"Uncle Sams Cider (5/13/2022)")</f>
        <v>Uncle Sams Cider (5/13/2022)</v>
      </c>
      <c r="H3850" s="19"/>
    </row>
    <row r="3851">
      <c r="A3851" s="9"/>
      <c r="B3851" s="15"/>
      <c r="C3851" s="9">
        <f>IFERROR(__xludf.DUMMYFUNCTION("""COMPUTED_VALUE"""),44756.476725625)</f>
        <v>44756.47673</v>
      </c>
      <c r="D3851" s="15">
        <f>IFERROR(__xludf.DUMMYFUNCTION("""COMPUTED_VALUE"""),1.004)</f>
        <v>1.004</v>
      </c>
      <c r="E3851" s="16">
        <f>IFERROR(__xludf.DUMMYFUNCTION("""COMPUTED_VALUE"""),67.0)</f>
        <v>67</v>
      </c>
      <c r="F3851" s="19" t="str">
        <f>IFERROR(__xludf.DUMMYFUNCTION("""COMPUTED_VALUE"""),"BLACK")</f>
        <v>BLACK</v>
      </c>
      <c r="G3851" s="20" t="str">
        <f>IFERROR(__xludf.DUMMYFUNCTION("""COMPUTED_VALUE"""),"Uncle Sams Cider (5/13/2022)")</f>
        <v>Uncle Sams Cider (5/13/2022)</v>
      </c>
      <c r="H3851" s="19"/>
    </row>
    <row r="3852">
      <c r="A3852" s="9"/>
      <c r="B3852" s="15"/>
      <c r="C3852" s="9">
        <f>IFERROR(__xludf.DUMMYFUNCTION("""COMPUTED_VALUE"""),44756.4663059606)</f>
        <v>44756.46631</v>
      </c>
      <c r="D3852" s="15">
        <f>IFERROR(__xludf.DUMMYFUNCTION("""COMPUTED_VALUE"""),1.004)</f>
        <v>1.004</v>
      </c>
      <c r="E3852" s="16">
        <f>IFERROR(__xludf.DUMMYFUNCTION("""COMPUTED_VALUE"""),67.0)</f>
        <v>67</v>
      </c>
      <c r="F3852" s="19" t="str">
        <f>IFERROR(__xludf.DUMMYFUNCTION("""COMPUTED_VALUE"""),"BLACK")</f>
        <v>BLACK</v>
      </c>
      <c r="G3852" s="20" t="str">
        <f>IFERROR(__xludf.DUMMYFUNCTION("""COMPUTED_VALUE"""),"Uncle Sams Cider (5/13/2022)")</f>
        <v>Uncle Sams Cider (5/13/2022)</v>
      </c>
      <c r="H3852" s="19"/>
    </row>
    <row r="3853">
      <c r="A3853" s="9"/>
      <c r="B3853" s="15"/>
      <c r="C3853" s="9">
        <f>IFERROR(__xludf.DUMMYFUNCTION("""COMPUTED_VALUE"""),44756.4558851504)</f>
        <v>44756.45589</v>
      </c>
      <c r="D3853" s="15">
        <f>IFERROR(__xludf.DUMMYFUNCTION("""COMPUTED_VALUE"""),1.004)</f>
        <v>1.004</v>
      </c>
      <c r="E3853" s="16">
        <f>IFERROR(__xludf.DUMMYFUNCTION("""COMPUTED_VALUE"""),67.0)</f>
        <v>67</v>
      </c>
      <c r="F3853" s="19" t="str">
        <f>IFERROR(__xludf.DUMMYFUNCTION("""COMPUTED_VALUE"""),"BLACK")</f>
        <v>BLACK</v>
      </c>
      <c r="G3853" s="20" t="str">
        <f>IFERROR(__xludf.DUMMYFUNCTION("""COMPUTED_VALUE"""),"Uncle Sams Cider (5/13/2022)")</f>
        <v>Uncle Sams Cider (5/13/2022)</v>
      </c>
      <c r="H3853" s="19"/>
    </row>
    <row r="3854">
      <c r="A3854" s="9"/>
      <c r="B3854" s="15"/>
      <c r="C3854" s="9">
        <f>IFERROR(__xludf.DUMMYFUNCTION("""COMPUTED_VALUE"""),44756.4454648032)</f>
        <v>44756.44546</v>
      </c>
      <c r="D3854" s="15">
        <f>IFERROR(__xludf.DUMMYFUNCTION("""COMPUTED_VALUE"""),1.004)</f>
        <v>1.004</v>
      </c>
      <c r="E3854" s="16">
        <f>IFERROR(__xludf.DUMMYFUNCTION("""COMPUTED_VALUE"""),67.0)</f>
        <v>67</v>
      </c>
      <c r="F3854" s="19" t="str">
        <f>IFERROR(__xludf.DUMMYFUNCTION("""COMPUTED_VALUE"""),"BLACK")</f>
        <v>BLACK</v>
      </c>
      <c r="G3854" s="20" t="str">
        <f>IFERROR(__xludf.DUMMYFUNCTION("""COMPUTED_VALUE"""),"Uncle Sams Cider (5/13/2022)")</f>
        <v>Uncle Sams Cider (5/13/2022)</v>
      </c>
      <c r="H3854" s="19"/>
    </row>
    <row r="3855">
      <c r="A3855" s="9"/>
      <c r="B3855" s="15"/>
      <c r="C3855" s="9">
        <f>IFERROR(__xludf.DUMMYFUNCTION("""COMPUTED_VALUE"""),44756.4350435648)</f>
        <v>44756.43504</v>
      </c>
      <c r="D3855" s="15">
        <f>IFERROR(__xludf.DUMMYFUNCTION("""COMPUTED_VALUE"""),1.004)</f>
        <v>1.004</v>
      </c>
      <c r="E3855" s="16">
        <f>IFERROR(__xludf.DUMMYFUNCTION("""COMPUTED_VALUE"""),67.0)</f>
        <v>67</v>
      </c>
      <c r="F3855" s="19" t="str">
        <f>IFERROR(__xludf.DUMMYFUNCTION("""COMPUTED_VALUE"""),"BLACK")</f>
        <v>BLACK</v>
      </c>
      <c r="G3855" s="20" t="str">
        <f>IFERROR(__xludf.DUMMYFUNCTION("""COMPUTED_VALUE"""),"Uncle Sams Cider (5/13/2022)")</f>
        <v>Uncle Sams Cider (5/13/2022)</v>
      </c>
      <c r="H3855" s="19"/>
    </row>
    <row r="3856">
      <c r="A3856" s="9"/>
      <c r="B3856" s="15"/>
      <c r="C3856" s="9">
        <f>IFERROR(__xludf.DUMMYFUNCTION("""COMPUTED_VALUE"""),44756.4246108217)</f>
        <v>44756.42461</v>
      </c>
      <c r="D3856" s="15">
        <f>IFERROR(__xludf.DUMMYFUNCTION("""COMPUTED_VALUE"""),1.004)</f>
        <v>1.004</v>
      </c>
      <c r="E3856" s="16">
        <f>IFERROR(__xludf.DUMMYFUNCTION("""COMPUTED_VALUE"""),67.0)</f>
        <v>67</v>
      </c>
      <c r="F3856" s="19" t="str">
        <f>IFERROR(__xludf.DUMMYFUNCTION("""COMPUTED_VALUE"""),"BLACK")</f>
        <v>BLACK</v>
      </c>
      <c r="G3856" s="20" t="str">
        <f>IFERROR(__xludf.DUMMYFUNCTION("""COMPUTED_VALUE"""),"Uncle Sams Cider (5/13/2022)")</f>
        <v>Uncle Sams Cider (5/13/2022)</v>
      </c>
      <c r="H3856" s="19"/>
    </row>
    <row r="3857">
      <c r="A3857" s="9"/>
      <c r="B3857" s="15"/>
      <c r="C3857" s="9">
        <f>IFERROR(__xludf.DUMMYFUNCTION("""COMPUTED_VALUE"""),44756.4141903587)</f>
        <v>44756.41419</v>
      </c>
      <c r="D3857" s="15">
        <f>IFERROR(__xludf.DUMMYFUNCTION("""COMPUTED_VALUE"""),1.004)</f>
        <v>1.004</v>
      </c>
      <c r="E3857" s="16">
        <f>IFERROR(__xludf.DUMMYFUNCTION("""COMPUTED_VALUE"""),67.0)</f>
        <v>67</v>
      </c>
      <c r="F3857" s="19" t="str">
        <f>IFERROR(__xludf.DUMMYFUNCTION("""COMPUTED_VALUE"""),"BLACK")</f>
        <v>BLACK</v>
      </c>
      <c r="G3857" s="20" t="str">
        <f>IFERROR(__xludf.DUMMYFUNCTION("""COMPUTED_VALUE"""),"Uncle Sams Cider (5/13/2022)")</f>
        <v>Uncle Sams Cider (5/13/2022)</v>
      </c>
      <c r="H3857" s="19"/>
    </row>
    <row r="3858">
      <c r="A3858" s="9"/>
      <c r="B3858" s="15"/>
      <c r="C3858" s="9">
        <f>IFERROR(__xludf.DUMMYFUNCTION("""COMPUTED_VALUE"""),44756.4037555902)</f>
        <v>44756.40376</v>
      </c>
      <c r="D3858" s="15">
        <f>IFERROR(__xludf.DUMMYFUNCTION("""COMPUTED_VALUE"""),1.004)</f>
        <v>1.004</v>
      </c>
      <c r="E3858" s="16">
        <f>IFERROR(__xludf.DUMMYFUNCTION("""COMPUTED_VALUE"""),67.0)</f>
        <v>67</v>
      </c>
      <c r="F3858" s="19" t="str">
        <f>IFERROR(__xludf.DUMMYFUNCTION("""COMPUTED_VALUE"""),"BLACK")</f>
        <v>BLACK</v>
      </c>
      <c r="G3858" s="20" t="str">
        <f>IFERROR(__xludf.DUMMYFUNCTION("""COMPUTED_VALUE"""),"Uncle Sams Cider (5/13/2022)")</f>
        <v>Uncle Sams Cider (5/13/2022)</v>
      </c>
      <c r="H3858" s="19"/>
    </row>
    <row r="3859">
      <c r="A3859" s="9"/>
      <c r="B3859" s="15"/>
      <c r="C3859" s="9">
        <f>IFERROR(__xludf.DUMMYFUNCTION("""COMPUTED_VALUE"""),44756.3933339583)</f>
        <v>44756.39333</v>
      </c>
      <c r="D3859" s="15">
        <f>IFERROR(__xludf.DUMMYFUNCTION("""COMPUTED_VALUE"""),1.004)</f>
        <v>1.004</v>
      </c>
      <c r="E3859" s="16">
        <f>IFERROR(__xludf.DUMMYFUNCTION("""COMPUTED_VALUE"""),67.0)</f>
        <v>67</v>
      </c>
      <c r="F3859" s="19" t="str">
        <f>IFERROR(__xludf.DUMMYFUNCTION("""COMPUTED_VALUE"""),"BLACK")</f>
        <v>BLACK</v>
      </c>
      <c r="G3859" s="20" t="str">
        <f>IFERROR(__xludf.DUMMYFUNCTION("""COMPUTED_VALUE"""),"Uncle Sams Cider (5/13/2022)")</f>
        <v>Uncle Sams Cider (5/13/2022)</v>
      </c>
      <c r="H3859" s="19"/>
    </row>
    <row r="3860">
      <c r="A3860" s="9"/>
      <c r="B3860" s="15"/>
      <c r="C3860" s="9">
        <f>IFERROR(__xludf.DUMMYFUNCTION("""COMPUTED_VALUE"""),44756.3829004745)</f>
        <v>44756.3829</v>
      </c>
      <c r="D3860" s="15">
        <f>IFERROR(__xludf.DUMMYFUNCTION("""COMPUTED_VALUE"""),1.004)</f>
        <v>1.004</v>
      </c>
      <c r="E3860" s="16">
        <f>IFERROR(__xludf.DUMMYFUNCTION("""COMPUTED_VALUE"""),67.0)</f>
        <v>67</v>
      </c>
      <c r="F3860" s="19" t="str">
        <f>IFERROR(__xludf.DUMMYFUNCTION("""COMPUTED_VALUE"""),"BLACK")</f>
        <v>BLACK</v>
      </c>
      <c r="G3860" s="20" t="str">
        <f>IFERROR(__xludf.DUMMYFUNCTION("""COMPUTED_VALUE"""),"Uncle Sams Cider (5/13/2022)")</f>
        <v>Uncle Sams Cider (5/13/2022)</v>
      </c>
      <c r="H3860" s="19"/>
    </row>
    <row r="3861">
      <c r="A3861" s="9"/>
      <c r="B3861" s="15"/>
      <c r="C3861" s="9">
        <f>IFERROR(__xludf.DUMMYFUNCTION("""COMPUTED_VALUE"""),44756.3724816435)</f>
        <v>44756.37248</v>
      </c>
      <c r="D3861" s="15">
        <f>IFERROR(__xludf.DUMMYFUNCTION("""COMPUTED_VALUE"""),1.004)</f>
        <v>1.004</v>
      </c>
      <c r="E3861" s="16">
        <f>IFERROR(__xludf.DUMMYFUNCTION("""COMPUTED_VALUE"""),67.0)</f>
        <v>67</v>
      </c>
      <c r="F3861" s="19" t="str">
        <f>IFERROR(__xludf.DUMMYFUNCTION("""COMPUTED_VALUE"""),"BLACK")</f>
        <v>BLACK</v>
      </c>
      <c r="G3861" s="20" t="str">
        <f>IFERROR(__xludf.DUMMYFUNCTION("""COMPUTED_VALUE"""),"Uncle Sams Cider (5/13/2022)")</f>
        <v>Uncle Sams Cider (5/13/2022)</v>
      </c>
      <c r="H3861" s="19"/>
    </row>
    <row r="3862">
      <c r="A3862" s="9"/>
      <c r="B3862" s="15"/>
      <c r="C3862" s="9">
        <f>IFERROR(__xludf.DUMMYFUNCTION("""COMPUTED_VALUE"""),44756.362059456)</f>
        <v>44756.36206</v>
      </c>
      <c r="D3862" s="15">
        <f>IFERROR(__xludf.DUMMYFUNCTION("""COMPUTED_VALUE"""),1.004)</f>
        <v>1.004</v>
      </c>
      <c r="E3862" s="16">
        <f>IFERROR(__xludf.DUMMYFUNCTION("""COMPUTED_VALUE"""),67.0)</f>
        <v>67</v>
      </c>
      <c r="F3862" s="19" t="str">
        <f>IFERROR(__xludf.DUMMYFUNCTION("""COMPUTED_VALUE"""),"BLACK")</f>
        <v>BLACK</v>
      </c>
      <c r="G3862" s="20" t="str">
        <f>IFERROR(__xludf.DUMMYFUNCTION("""COMPUTED_VALUE"""),"Uncle Sams Cider (5/13/2022)")</f>
        <v>Uncle Sams Cider (5/13/2022)</v>
      </c>
      <c r="H3862" s="19"/>
    </row>
    <row r="3863">
      <c r="A3863" s="9"/>
      <c r="B3863" s="15"/>
      <c r="C3863" s="9">
        <f>IFERROR(__xludf.DUMMYFUNCTION("""COMPUTED_VALUE"""),44756.3516385648)</f>
        <v>44756.35164</v>
      </c>
      <c r="D3863" s="15">
        <f>IFERROR(__xludf.DUMMYFUNCTION("""COMPUTED_VALUE"""),1.004)</f>
        <v>1.004</v>
      </c>
      <c r="E3863" s="16">
        <f>IFERROR(__xludf.DUMMYFUNCTION("""COMPUTED_VALUE"""),66.0)</f>
        <v>66</v>
      </c>
      <c r="F3863" s="19" t="str">
        <f>IFERROR(__xludf.DUMMYFUNCTION("""COMPUTED_VALUE"""),"BLACK")</f>
        <v>BLACK</v>
      </c>
      <c r="G3863" s="20" t="str">
        <f>IFERROR(__xludf.DUMMYFUNCTION("""COMPUTED_VALUE"""),"Uncle Sams Cider (5/13/2022)")</f>
        <v>Uncle Sams Cider (5/13/2022)</v>
      </c>
      <c r="H3863" s="19"/>
    </row>
    <row r="3864">
      <c r="A3864" s="9"/>
      <c r="B3864" s="15"/>
      <c r="C3864" s="9">
        <f>IFERROR(__xludf.DUMMYFUNCTION("""COMPUTED_VALUE"""),44756.3412049074)</f>
        <v>44756.3412</v>
      </c>
      <c r="D3864" s="15">
        <f>IFERROR(__xludf.DUMMYFUNCTION("""COMPUTED_VALUE"""),1.004)</f>
        <v>1.004</v>
      </c>
      <c r="E3864" s="16">
        <f>IFERROR(__xludf.DUMMYFUNCTION("""COMPUTED_VALUE"""),66.0)</f>
        <v>66</v>
      </c>
      <c r="F3864" s="19" t="str">
        <f>IFERROR(__xludf.DUMMYFUNCTION("""COMPUTED_VALUE"""),"BLACK")</f>
        <v>BLACK</v>
      </c>
      <c r="G3864" s="20" t="str">
        <f>IFERROR(__xludf.DUMMYFUNCTION("""COMPUTED_VALUE"""),"Uncle Sams Cider (5/13/2022)")</f>
        <v>Uncle Sams Cider (5/13/2022)</v>
      </c>
      <c r="H3864" s="19"/>
    </row>
    <row r="3865">
      <c r="A3865" s="9"/>
      <c r="B3865" s="15"/>
      <c r="C3865" s="9">
        <f>IFERROR(__xludf.DUMMYFUNCTION("""COMPUTED_VALUE"""),44756.3307613541)</f>
        <v>44756.33076</v>
      </c>
      <c r="D3865" s="15">
        <f>IFERROR(__xludf.DUMMYFUNCTION("""COMPUTED_VALUE"""),1.004)</f>
        <v>1.004</v>
      </c>
      <c r="E3865" s="16">
        <f>IFERROR(__xludf.DUMMYFUNCTION("""COMPUTED_VALUE"""),66.0)</f>
        <v>66</v>
      </c>
      <c r="F3865" s="19" t="str">
        <f>IFERROR(__xludf.DUMMYFUNCTION("""COMPUTED_VALUE"""),"BLACK")</f>
        <v>BLACK</v>
      </c>
      <c r="G3865" s="20" t="str">
        <f>IFERROR(__xludf.DUMMYFUNCTION("""COMPUTED_VALUE"""),"Uncle Sams Cider (5/13/2022)")</f>
        <v>Uncle Sams Cider (5/13/2022)</v>
      </c>
      <c r="H3865" s="19"/>
    </row>
    <row r="3866">
      <c r="A3866" s="9"/>
      <c r="B3866" s="15"/>
      <c r="C3866" s="9">
        <f>IFERROR(__xludf.DUMMYFUNCTION("""COMPUTED_VALUE"""),44756.3203402662)</f>
        <v>44756.32034</v>
      </c>
      <c r="D3866" s="15">
        <f>IFERROR(__xludf.DUMMYFUNCTION("""COMPUTED_VALUE"""),1.004)</f>
        <v>1.004</v>
      </c>
      <c r="E3866" s="16">
        <f>IFERROR(__xludf.DUMMYFUNCTION("""COMPUTED_VALUE"""),66.0)</f>
        <v>66</v>
      </c>
      <c r="F3866" s="19" t="str">
        <f>IFERROR(__xludf.DUMMYFUNCTION("""COMPUTED_VALUE"""),"BLACK")</f>
        <v>BLACK</v>
      </c>
      <c r="G3866" s="20" t="str">
        <f>IFERROR(__xludf.DUMMYFUNCTION("""COMPUTED_VALUE"""),"Uncle Sams Cider (5/13/2022)")</f>
        <v>Uncle Sams Cider (5/13/2022)</v>
      </c>
      <c r="H3866" s="19"/>
    </row>
    <row r="3867">
      <c r="A3867" s="9"/>
      <c r="B3867" s="15"/>
      <c r="C3867" s="9">
        <f>IFERROR(__xludf.DUMMYFUNCTION("""COMPUTED_VALUE"""),44756.3099172338)</f>
        <v>44756.30992</v>
      </c>
      <c r="D3867" s="15">
        <f>IFERROR(__xludf.DUMMYFUNCTION("""COMPUTED_VALUE"""),1.004)</f>
        <v>1.004</v>
      </c>
      <c r="E3867" s="16">
        <f>IFERROR(__xludf.DUMMYFUNCTION("""COMPUTED_VALUE"""),66.0)</f>
        <v>66</v>
      </c>
      <c r="F3867" s="19" t="str">
        <f>IFERROR(__xludf.DUMMYFUNCTION("""COMPUTED_VALUE"""),"BLACK")</f>
        <v>BLACK</v>
      </c>
      <c r="G3867" s="20" t="str">
        <f>IFERROR(__xludf.DUMMYFUNCTION("""COMPUTED_VALUE"""),"Uncle Sams Cider (5/13/2022)")</f>
        <v>Uncle Sams Cider (5/13/2022)</v>
      </c>
      <c r="H3867" s="19"/>
    </row>
    <row r="3868">
      <c r="A3868" s="9"/>
      <c r="B3868" s="15"/>
      <c r="C3868" s="9">
        <f>IFERROR(__xludf.DUMMYFUNCTION("""COMPUTED_VALUE"""),44756.2994956713)</f>
        <v>44756.2995</v>
      </c>
      <c r="D3868" s="15">
        <f>IFERROR(__xludf.DUMMYFUNCTION("""COMPUTED_VALUE"""),1.004)</f>
        <v>1.004</v>
      </c>
      <c r="E3868" s="16">
        <f>IFERROR(__xludf.DUMMYFUNCTION("""COMPUTED_VALUE"""),66.0)</f>
        <v>66</v>
      </c>
      <c r="F3868" s="19" t="str">
        <f>IFERROR(__xludf.DUMMYFUNCTION("""COMPUTED_VALUE"""),"BLACK")</f>
        <v>BLACK</v>
      </c>
      <c r="G3868" s="20" t="str">
        <f>IFERROR(__xludf.DUMMYFUNCTION("""COMPUTED_VALUE"""),"Uncle Sams Cider (5/13/2022)")</f>
        <v>Uncle Sams Cider (5/13/2022)</v>
      </c>
      <c r="H3868" s="19"/>
    </row>
    <row r="3869">
      <c r="A3869" s="9"/>
      <c r="B3869" s="15"/>
      <c r="C3869" s="9">
        <f>IFERROR(__xludf.DUMMYFUNCTION("""COMPUTED_VALUE"""),44756.2890738657)</f>
        <v>44756.28907</v>
      </c>
      <c r="D3869" s="15">
        <f>IFERROR(__xludf.DUMMYFUNCTION("""COMPUTED_VALUE"""),1.005)</f>
        <v>1.005</v>
      </c>
      <c r="E3869" s="16">
        <f>IFERROR(__xludf.DUMMYFUNCTION("""COMPUTED_VALUE"""),66.0)</f>
        <v>66</v>
      </c>
      <c r="F3869" s="19" t="str">
        <f>IFERROR(__xludf.DUMMYFUNCTION("""COMPUTED_VALUE"""),"BLACK")</f>
        <v>BLACK</v>
      </c>
      <c r="G3869" s="20" t="str">
        <f>IFERROR(__xludf.DUMMYFUNCTION("""COMPUTED_VALUE"""),"Uncle Sams Cider (5/13/2022)")</f>
        <v>Uncle Sams Cider (5/13/2022)</v>
      </c>
      <c r="H3869" s="19"/>
    </row>
    <row r="3870">
      <c r="A3870" s="9"/>
      <c r="B3870" s="15"/>
      <c r="C3870" s="9">
        <f>IFERROR(__xludf.DUMMYFUNCTION("""COMPUTED_VALUE"""),44756.2786532986)</f>
        <v>44756.27865</v>
      </c>
      <c r="D3870" s="15">
        <f>IFERROR(__xludf.DUMMYFUNCTION("""COMPUTED_VALUE"""),1.004)</f>
        <v>1.004</v>
      </c>
      <c r="E3870" s="16">
        <f>IFERROR(__xludf.DUMMYFUNCTION("""COMPUTED_VALUE"""),66.0)</f>
        <v>66</v>
      </c>
      <c r="F3870" s="19" t="str">
        <f>IFERROR(__xludf.DUMMYFUNCTION("""COMPUTED_VALUE"""),"BLACK")</f>
        <v>BLACK</v>
      </c>
      <c r="G3870" s="20" t="str">
        <f>IFERROR(__xludf.DUMMYFUNCTION("""COMPUTED_VALUE"""),"Uncle Sams Cider (5/13/2022)")</f>
        <v>Uncle Sams Cider (5/13/2022)</v>
      </c>
      <c r="H3870" s="19"/>
    </row>
    <row r="3871">
      <c r="A3871" s="9"/>
      <c r="B3871" s="15"/>
      <c r="C3871" s="9">
        <f>IFERROR(__xludf.DUMMYFUNCTION("""COMPUTED_VALUE"""),44756.2682083912)</f>
        <v>44756.26821</v>
      </c>
      <c r="D3871" s="15">
        <f>IFERROR(__xludf.DUMMYFUNCTION("""COMPUTED_VALUE"""),1.004)</f>
        <v>1.004</v>
      </c>
      <c r="E3871" s="16">
        <f>IFERROR(__xludf.DUMMYFUNCTION("""COMPUTED_VALUE"""),66.0)</f>
        <v>66</v>
      </c>
      <c r="F3871" s="19" t="str">
        <f>IFERROR(__xludf.DUMMYFUNCTION("""COMPUTED_VALUE"""),"BLACK")</f>
        <v>BLACK</v>
      </c>
      <c r="G3871" s="20" t="str">
        <f>IFERROR(__xludf.DUMMYFUNCTION("""COMPUTED_VALUE"""),"Uncle Sams Cider (5/13/2022)")</f>
        <v>Uncle Sams Cider (5/13/2022)</v>
      </c>
      <c r="H3871" s="19"/>
    </row>
    <row r="3872">
      <c r="A3872" s="9"/>
      <c r="B3872" s="15"/>
      <c r="C3872" s="9">
        <f>IFERROR(__xludf.DUMMYFUNCTION("""COMPUTED_VALUE"""),44756.2577859027)</f>
        <v>44756.25779</v>
      </c>
      <c r="D3872" s="15">
        <f>IFERROR(__xludf.DUMMYFUNCTION("""COMPUTED_VALUE"""),1.004)</f>
        <v>1.004</v>
      </c>
      <c r="E3872" s="16">
        <f>IFERROR(__xludf.DUMMYFUNCTION("""COMPUTED_VALUE"""),66.0)</f>
        <v>66</v>
      </c>
      <c r="F3872" s="19" t="str">
        <f>IFERROR(__xludf.DUMMYFUNCTION("""COMPUTED_VALUE"""),"BLACK")</f>
        <v>BLACK</v>
      </c>
      <c r="G3872" s="20" t="str">
        <f>IFERROR(__xludf.DUMMYFUNCTION("""COMPUTED_VALUE"""),"Uncle Sams Cider (5/13/2022)")</f>
        <v>Uncle Sams Cider (5/13/2022)</v>
      </c>
      <c r="H3872" s="19"/>
    </row>
    <row r="3873">
      <c r="A3873" s="9"/>
      <c r="B3873" s="15"/>
      <c r="C3873" s="9">
        <f>IFERROR(__xludf.DUMMYFUNCTION("""COMPUTED_VALUE"""),44756.2473633796)</f>
        <v>44756.24736</v>
      </c>
      <c r="D3873" s="15">
        <f>IFERROR(__xludf.DUMMYFUNCTION("""COMPUTED_VALUE"""),1.004)</f>
        <v>1.004</v>
      </c>
      <c r="E3873" s="16">
        <f>IFERROR(__xludf.DUMMYFUNCTION("""COMPUTED_VALUE"""),66.0)</f>
        <v>66</v>
      </c>
      <c r="F3873" s="19" t="str">
        <f>IFERROR(__xludf.DUMMYFUNCTION("""COMPUTED_VALUE"""),"BLACK")</f>
        <v>BLACK</v>
      </c>
      <c r="G3873" s="20" t="str">
        <f>IFERROR(__xludf.DUMMYFUNCTION("""COMPUTED_VALUE"""),"Uncle Sams Cider (5/13/2022)")</f>
        <v>Uncle Sams Cider (5/13/2022)</v>
      </c>
      <c r="H3873" s="19"/>
    </row>
    <row r="3874">
      <c r="A3874" s="9"/>
      <c r="B3874" s="15"/>
      <c r="C3874" s="9">
        <f>IFERROR(__xludf.DUMMYFUNCTION("""COMPUTED_VALUE"""),44756.2369434953)</f>
        <v>44756.23694</v>
      </c>
      <c r="D3874" s="15">
        <f>IFERROR(__xludf.DUMMYFUNCTION("""COMPUTED_VALUE"""),1.004)</f>
        <v>1.004</v>
      </c>
      <c r="E3874" s="16">
        <f>IFERROR(__xludf.DUMMYFUNCTION("""COMPUTED_VALUE"""),66.0)</f>
        <v>66</v>
      </c>
      <c r="F3874" s="19" t="str">
        <f>IFERROR(__xludf.DUMMYFUNCTION("""COMPUTED_VALUE"""),"BLACK")</f>
        <v>BLACK</v>
      </c>
      <c r="G3874" s="20" t="str">
        <f>IFERROR(__xludf.DUMMYFUNCTION("""COMPUTED_VALUE"""),"Uncle Sams Cider (5/13/2022)")</f>
        <v>Uncle Sams Cider (5/13/2022)</v>
      </c>
      <c r="H3874" s="19"/>
    </row>
    <row r="3875">
      <c r="A3875" s="9"/>
      <c r="B3875" s="15"/>
      <c r="C3875" s="9">
        <f>IFERROR(__xludf.DUMMYFUNCTION("""COMPUTED_VALUE"""),44756.2265217592)</f>
        <v>44756.22652</v>
      </c>
      <c r="D3875" s="15">
        <f>IFERROR(__xludf.DUMMYFUNCTION("""COMPUTED_VALUE"""),1.004)</f>
        <v>1.004</v>
      </c>
      <c r="E3875" s="16">
        <f>IFERROR(__xludf.DUMMYFUNCTION("""COMPUTED_VALUE"""),66.0)</f>
        <v>66</v>
      </c>
      <c r="F3875" s="19" t="str">
        <f>IFERROR(__xludf.DUMMYFUNCTION("""COMPUTED_VALUE"""),"BLACK")</f>
        <v>BLACK</v>
      </c>
      <c r="G3875" s="20" t="str">
        <f>IFERROR(__xludf.DUMMYFUNCTION("""COMPUTED_VALUE"""),"Uncle Sams Cider (5/13/2022)")</f>
        <v>Uncle Sams Cider (5/13/2022)</v>
      </c>
      <c r="H3875" s="19"/>
    </row>
    <row r="3876">
      <c r="A3876" s="9"/>
      <c r="B3876" s="15"/>
      <c r="C3876" s="9">
        <f>IFERROR(__xludf.DUMMYFUNCTION("""COMPUTED_VALUE"""),44756.2160890162)</f>
        <v>44756.21609</v>
      </c>
      <c r="D3876" s="15">
        <f>IFERROR(__xludf.DUMMYFUNCTION("""COMPUTED_VALUE"""),1.004)</f>
        <v>1.004</v>
      </c>
      <c r="E3876" s="16">
        <f>IFERROR(__xludf.DUMMYFUNCTION("""COMPUTED_VALUE"""),66.0)</f>
        <v>66</v>
      </c>
      <c r="F3876" s="19" t="str">
        <f>IFERROR(__xludf.DUMMYFUNCTION("""COMPUTED_VALUE"""),"BLACK")</f>
        <v>BLACK</v>
      </c>
      <c r="G3876" s="20" t="str">
        <f>IFERROR(__xludf.DUMMYFUNCTION("""COMPUTED_VALUE"""),"Uncle Sams Cider (5/13/2022)")</f>
        <v>Uncle Sams Cider (5/13/2022)</v>
      </c>
      <c r="H3876" s="19"/>
    </row>
    <row r="3877">
      <c r="A3877" s="9"/>
      <c r="B3877" s="15"/>
      <c r="C3877" s="9">
        <f>IFERROR(__xludf.DUMMYFUNCTION("""COMPUTED_VALUE"""),44756.2056698032)</f>
        <v>44756.20567</v>
      </c>
      <c r="D3877" s="15">
        <f>IFERROR(__xludf.DUMMYFUNCTION("""COMPUTED_VALUE"""),1.004)</f>
        <v>1.004</v>
      </c>
      <c r="E3877" s="16">
        <f>IFERROR(__xludf.DUMMYFUNCTION("""COMPUTED_VALUE"""),66.0)</f>
        <v>66</v>
      </c>
      <c r="F3877" s="19" t="str">
        <f>IFERROR(__xludf.DUMMYFUNCTION("""COMPUTED_VALUE"""),"BLACK")</f>
        <v>BLACK</v>
      </c>
      <c r="G3877" s="20" t="str">
        <f>IFERROR(__xludf.DUMMYFUNCTION("""COMPUTED_VALUE"""),"Uncle Sams Cider (5/13/2022)")</f>
        <v>Uncle Sams Cider (5/13/2022)</v>
      </c>
      <c r="H3877" s="19"/>
    </row>
    <row r="3878">
      <c r="A3878" s="9"/>
      <c r="B3878" s="15"/>
      <c r="C3878" s="9">
        <f>IFERROR(__xludf.DUMMYFUNCTION("""COMPUTED_VALUE"""),44756.1952488541)</f>
        <v>44756.19525</v>
      </c>
      <c r="D3878" s="15">
        <f>IFERROR(__xludf.DUMMYFUNCTION("""COMPUTED_VALUE"""),1.004)</f>
        <v>1.004</v>
      </c>
      <c r="E3878" s="16">
        <f>IFERROR(__xludf.DUMMYFUNCTION("""COMPUTED_VALUE"""),66.0)</f>
        <v>66</v>
      </c>
      <c r="F3878" s="19" t="str">
        <f>IFERROR(__xludf.DUMMYFUNCTION("""COMPUTED_VALUE"""),"BLACK")</f>
        <v>BLACK</v>
      </c>
      <c r="G3878" s="20" t="str">
        <f>IFERROR(__xludf.DUMMYFUNCTION("""COMPUTED_VALUE"""),"Uncle Sams Cider (5/13/2022)")</f>
        <v>Uncle Sams Cider (5/13/2022)</v>
      </c>
      <c r="H3878" s="19"/>
    </row>
    <row r="3879">
      <c r="A3879" s="9"/>
      <c r="B3879" s="15"/>
      <c r="C3879" s="9">
        <f>IFERROR(__xludf.DUMMYFUNCTION("""COMPUTED_VALUE"""),44756.1848284838)</f>
        <v>44756.18483</v>
      </c>
      <c r="D3879" s="15">
        <f>IFERROR(__xludf.DUMMYFUNCTION("""COMPUTED_VALUE"""),1.004)</f>
        <v>1.004</v>
      </c>
      <c r="E3879" s="16">
        <f>IFERROR(__xludf.DUMMYFUNCTION("""COMPUTED_VALUE"""),66.0)</f>
        <v>66</v>
      </c>
      <c r="F3879" s="19" t="str">
        <f>IFERROR(__xludf.DUMMYFUNCTION("""COMPUTED_VALUE"""),"BLACK")</f>
        <v>BLACK</v>
      </c>
      <c r="G3879" s="20" t="str">
        <f>IFERROR(__xludf.DUMMYFUNCTION("""COMPUTED_VALUE"""),"Uncle Sams Cider (5/13/2022)")</f>
        <v>Uncle Sams Cider (5/13/2022)</v>
      </c>
      <c r="H3879" s="19"/>
    </row>
    <row r="3880">
      <c r="A3880" s="9"/>
      <c r="B3880" s="15"/>
      <c r="C3880" s="9">
        <f>IFERROR(__xludf.DUMMYFUNCTION("""COMPUTED_VALUE"""),44756.174408912)</f>
        <v>44756.17441</v>
      </c>
      <c r="D3880" s="15">
        <f>IFERROR(__xludf.DUMMYFUNCTION("""COMPUTED_VALUE"""),1.004)</f>
        <v>1.004</v>
      </c>
      <c r="E3880" s="16">
        <f>IFERROR(__xludf.DUMMYFUNCTION("""COMPUTED_VALUE"""),66.0)</f>
        <v>66</v>
      </c>
      <c r="F3880" s="19" t="str">
        <f>IFERROR(__xludf.DUMMYFUNCTION("""COMPUTED_VALUE"""),"BLACK")</f>
        <v>BLACK</v>
      </c>
      <c r="G3880" s="20" t="str">
        <f>IFERROR(__xludf.DUMMYFUNCTION("""COMPUTED_VALUE"""),"Uncle Sams Cider (5/13/2022)")</f>
        <v>Uncle Sams Cider (5/13/2022)</v>
      </c>
      <c r="H3880" s="19"/>
    </row>
    <row r="3881">
      <c r="A3881" s="9"/>
      <c r="B3881" s="15"/>
      <c r="C3881" s="9">
        <f>IFERROR(__xludf.DUMMYFUNCTION("""COMPUTED_VALUE"""),44756.1639872453)</f>
        <v>44756.16399</v>
      </c>
      <c r="D3881" s="15">
        <f>IFERROR(__xludf.DUMMYFUNCTION("""COMPUTED_VALUE"""),1.004)</f>
        <v>1.004</v>
      </c>
      <c r="E3881" s="16">
        <f>IFERROR(__xludf.DUMMYFUNCTION("""COMPUTED_VALUE"""),66.0)</f>
        <v>66</v>
      </c>
      <c r="F3881" s="19" t="str">
        <f>IFERROR(__xludf.DUMMYFUNCTION("""COMPUTED_VALUE"""),"BLACK")</f>
        <v>BLACK</v>
      </c>
      <c r="G3881" s="20" t="str">
        <f>IFERROR(__xludf.DUMMYFUNCTION("""COMPUTED_VALUE"""),"Uncle Sams Cider (5/13/2022)")</f>
        <v>Uncle Sams Cider (5/13/2022)</v>
      </c>
      <c r="H3881" s="19"/>
    </row>
    <row r="3882">
      <c r="A3882" s="9"/>
      <c r="B3882" s="15"/>
      <c r="C3882" s="9">
        <f>IFERROR(__xludf.DUMMYFUNCTION("""COMPUTED_VALUE"""),44756.1535545717)</f>
        <v>44756.15355</v>
      </c>
      <c r="D3882" s="15">
        <f>IFERROR(__xludf.DUMMYFUNCTION("""COMPUTED_VALUE"""),1.004)</f>
        <v>1.004</v>
      </c>
      <c r="E3882" s="16">
        <f>IFERROR(__xludf.DUMMYFUNCTION("""COMPUTED_VALUE"""),66.0)</f>
        <v>66</v>
      </c>
      <c r="F3882" s="19" t="str">
        <f>IFERROR(__xludf.DUMMYFUNCTION("""COMPUTED_VALUE"""),"BLACK")</f>
        <v>BLACK</v>
      </c>
      <c r="G3882" s="20" t="str">
        <f>IFERROR(__xludf.DUMMYFUNCTION("""COMPUTED_VALUE"""),"Uncle Sams Cider (5/13/2022)")</f>
        <v>Uncle Sams Cider (5/13/2022)</v>
      </c>
      <c r="H3882" s="19"/>
    </row>
    <row r="3883">
      <c r="A3883" s="9"/>
      <c r="B3883" s="15"/>
      <c r="C3883" s="9">
        <f>IFERROR(__xludf.DUMMYFUNCTION("""COMPUTED_VALUE"""),44756.143132824)</f>
        <v>44756.14313</v>
      </c>
      <c r="D3883" s="15">
        <f>IFERROR(__xludf.DUMMYFUNCTION("""COMPUTED_VALUE"""),1.004)</f>
        <v>1.004</v>
      </c>
      <c r="E3883" s="16">
        <f>IFERROR(__xludf.DUMMYFUNCTION("""COMPUTED_VALUE"""),66.0)</f>
        <v>66</v>
      </c>
      <c r="F3883" s="19" t="str">
        <f>IFERROR(__xludf.DUMMYFUNCTION("""COMPUTED_VALUE"""),"BLACK")</f>
        <v>BLACK</v>
      </c>
      <c r="G3883" s="20" t="str">
        <f>IFERROR(__xludf.DUMMYFUNCTION("""COMPUTED_VALUE"""),"Uncle Sams Cider (5/13/2022)")</f>
        <v>Uncle Sams Cider (5/13/2022)</v>
      </c>
      <c r="H3883" s="19"/>
    </row>
    <row r="3884">
      <c r="A3884" s="9"/>
      <c r="B3884" s="15"/>
      <c r="C3884" s="9">
        <f>IFERROR(__xludf.DUMMYFUNCTION("""COMPUTED_VALUE"""),44756.1327117824)</f>
        <v>44756.13271</v>
      </c>
      <c r="D3884" s="15">
        <f>IFERROR(__xludf.DUMMYFUNCTION("""COMPUTED_VALUE"""),1.004)</f>
        <v>1.004</v>
      </c>
      <c r="E3884" s="16">
        <f>IFERROR(__xludf.DUMMYFUNCTION("""COMPUTED_VALUE"""),66.0)</f>
        <v>66</v>
      </c>
      <c r="F3884" s="19" t="str">
        <f>IFERROR(__xludf.DUMMYFUNCTION("""COMPUTED_VALUE"""),"BLACK")</f>
        <v>BLACK</v>
      </c>
      <c r="G3884" s="20" t="str">
        <f>IFERROR(__xludf.DUMMYFUNCTION("""COMPUTED_VALUE"""),"Uncle Sams Cider (5/13/2022)")</f>
        <v>Uncle Sams Cider (5/13/2022)</v>
      </c>
      <c r="H3884" s="19"/>
    </row>
    <row r="3885">
      <c r="A3885" s="9"/>
      <c r="B3885" s="15"/>
      <c r="C3885" s="9">
        <f>IFERROR(__xludf.DUMMYFUNCTION("""COMPUTED_VALUE"""),44756.1222917592)</f>
        <v>44756.12229</v>
      </c>
      <c r="D3885" s="15">
        <f>IFERROR(__xludf.DUMMYFUNCTION("""COMPUTED_VALUE"""),1.004)</f>
        <v>1.004</v>
      </c>
      <c r="E3885" s="16">
        <f>IFERROR(__xludf.DUMMYFUNCTION("""COMPUTED_VALUE"""),66.0)</f>
        <v>66</v>
      </c>
      <c r="F3885" s="19" t="str">
        <f>IFERROR(__xludf.DUMMYFUNCTION("""COMPUTED_VALUE"""),"BLACK")</f>
        <v>BLACK</v>
      </c>
      <c r="G3885" s="20" t="str">
        <f>IFERROR(__xludf.DUMMYFUNCTION("""COMPUTED_VALUE"""),"Uncle Sams Cider (5/13/2022)")</f>
        <v>Uncle Sams Cider (5/13/2022)</v>
      </c>
      <c r="H3885" s="19"/>
    </row>
    <row r="3886">
      <c r="A3886" s="9"/>
      <c r="B3886" s="15"/>
      <c r="C3886" s="9">
        <f>IFERROR(__xludf.DUMMYFUNCTION("""COMPUTED_VALUE"""),44756.1118700925)</f>
        <v>44756.11187</v>
      </c>
      <c r="D3886" s="15">
        <f>IFERROR(__xludf.DUMMYFUNCTION("""COMPUTED_VALUE"""),1.004)</f>
        <v>1.004</v>
      </c>
      <c r="E3886" s="16">
        <f>IFERROR(__xludf.DUMMYFUNCTION("""COMPUTED_VALUE"""),66.0)</f>
        <v>66</v>
      </c>
      <c r="F3886" s="19" t="str">
        <f>IFERROR(__xludf.DUMMYFUNCTION("""COMPUTED_VALUE"""),"BLACK")</f>
        <v>BLACK</v>
      </c>
      <c r="G3886" s="20" t="str">
        <f>IFERROR(__xludf.DUMMYFUNCTION("""COMPUTED_VALUE"""),"Uncle Sams Cider (5/13/2022)")</f>
        <v>Uncle Sams Cider (5/13/2022)</v>
      </c>
      <c r="H3886" s="19"/>
    </row>
    <row r="3887">
      <c r="A3887" s="9"/>
      <c r="B3887" s="15"/>
      <c r="C3887" s="9">
        <f>IFERROR(__xludf.DUMMYFUNCTION("""COMPUTED_VALUE"""),44756.1014498148)</f>
        <v>44756.10145</v>
      </c>
      <c r="D3887" s="15">
        <f>IFERROR(__xludf.DUMMYFUNCTION("""COMPUTED_VALUE"""),1.005)</f>
        <v>1.005</v>
      </c>
      <c r="E3887" s="16">
        <f>IFERROR(__xludf.DUMMYFUNCTION("""COMPUTED_VALUE"""),66.0)</f>
        <v>66</v>
      </c>
      <c r="F3887" s="19" t="str">
        <f>IFERROR(__xludf.DUMMYFUNCTION("""COMPUTED_VALUE"""),"BLACK")</f>
        <v>BLACK</v>
      </c>
      <c r="G3887" s="20" t="str">
        <f>IFERROR(__xludf.DUMMYFUNCTION("""COMPUTED_VALUE"""),"Uncle Sams Cider (5/13/2022)")</f>
        <v>Uncle Sams Cider (5/13/2022)</v>
      </c>
      <c r="H3887" s="19"/>
    </row>
    <row r="3888">
      <c r="A3888" s="9"/>
      <c r="B3888" s="15"/>
      <c r="C3888" s="9">
        <f>IFERROR(__xludf.DUMMYFUNCTION("""COMPUTED_VALUE"""),44756.09102978)</f>
        <v>44756.09103</v>
      </c>
      <c r="D3888" s="15">
        <f>IFERROR(__xludf.DUMMYFUNCTION("""COMPUTED_VALUE"""),1.004)</f>
        <v>1.004</v>
      </c>
      <c r="E3888" s="16">
        <f>IFERROR(__xludf.DUMMYFUNCTION("""COMPUTED_VALUE"""),66.0)</f>
        <v>66</v>
      </c>
      <c r="F3888" s="19" t="str">
        <f>IFERROR(__xludf.DUMMYFUNCTION("""COMPUTED_VALUE"""),"BLACK")</f>
        <v>BLACK</v>
      </c>
      <c r="G3888" s="20" t="str">
        <f>IFERROR(__xludf.DUMMYFUNCTION("""COMPUTED_VALUE"""),"Uncle Sams Cider (5/13/2022)")</f>
        <v>Uncle Sams Cider (5/13/2022)</v>
      </c>
      <c r="H3888" s="19"/>
    </row>
    <row r="3889">
      <c r="A3889" s="9"/>
      <c r="B3889" s="15"/>
      <c r="C3889" s="9">
        <f>IFERROR(__xludf.DUMMYFUNCTION("""COMPUTED_VALUE"""),44756.0806092361)</f>
        <v>44756.08061</v>
      </c>
      <c r="D3889" s="15">
        <f>IFERROR(__xludf.DUMMYFUNCTION("""COMPUTED_VALUE"""),1.004)</f>
        <v>1.004</v>
      </c>
      <c r="E3889" s="16">
        <f>IFERROR(__xludf.DUMMYFUNCTION("""COMPUTED_VALUE"""),66.0)</f>
        <v>66</v>
      </c>
      <c r="F3889" s="19" t="str">
        <f>IFERROR(__xludf.DUMMYFUNCTION("""COMPUTED_VALUE"""),"BLACK")</f>
        <v>BLACK</v>
      </c>
      <c r="G3889" s="20" t="str">
        <f>IFERROR(__xludf.DUMMYFUNCTION("""COMPUTED_VALUE"""),"Uncle Sams Cider (5/13/2022)")</f>
        <v>Uncle Sams Cider (5/13/2022)</v>
      </c>
      <c r="H3889" s="19"/>
    </row>
    <row r="3890">
      <c r="A3890" s="9"/>
      <c r="B3890" s="15"/>
      <c r="C3890" s="9">
        <f>IFERROR(__xludf.DUMMYFUNCTION("""COMPUTED_VALUE"""),44756.0701772916)</f>
        <v>44756.07018</v>
      </c>
      <c r="D3890" s="15">
        <f>IFERROR(__xludf.DUMMYFUNCTION("""COMPUTED_VALUE"""),1.004)</f>
        <v>1.004</v>
      </c>
      <c r="E3890" s="16">
        <f>IFERROR(__xludf.DUMMYFUNCTION("""COMPUTED_VALUE"""),66.0)</f>
        <v>66</v>
      </c>
      <c r="F3890" s="19" t="str">
        <f>IFERROR(__xludf.DUMMYFUNCTION("""COMPUTED_VALUE"""),"BLACK")</f>
        <v>BLACK</v>
      </c>
      <c r="G3890" s="20" t="str">
        <f>IFERROR(__xludf.DUMMYFUNCTION("""COMPUTED_VALUE"""),"Uncle Sams Cider (5/13/2022)")</f>
        <v>Uncle Sams Cider (5/13/2022)</v>
      </c>
      <c r="H3890" s="19"/>
    </row>
    <row r="3891">
      <c r="A3891" s="9"/>
      <c r="B3891" s="15"/>
      <c r="C3891" s="9">
        <f>IFERROR(__xludf.DUMMYFUNCTION("""COMPUTED_VALUE"""),44756.0597450463)</f>
        <v>44756.05975</v>
      </c>
      <c r="D3891" s="15">
        <f>IFERROR(__xludf.DUMMYFUNCTION("""COMPUTED_VALUE"""),1.004)</f>
        <v>1.004</v>
      </c>
      <c r="E3891" s="16">
        <f>IFERROR(__xludf.DUMMYFUNCTION("""COMPUTED_VALUE"""),66.0)</f>
        <v>66</v>
      </c>
      <c r="F3891" s="19" t="str">
        <f>IFERROR(__xludf.DUMMYFUNCTION("""COMPUTED_VALUE"""),"BLACK")</f>
        <v>BLACK</v>
      </c>
      <c r="G3891" s="20" t="str">
        <f>IFERROR(__xludf.DUMMYFUNCTION("""COMPUTED_VALUE"""),"Uncle Sams Cider (5/13/2022)")</f>
        <v>Uncle Sams Cider (5/13/2022)</v>
      </c>
      <c r="H3891" s="19"/>
    </row>
    <row r="3892">
      <c r="A3892" s="9"/>
      <c r="B3892" s="15"/>
      <c r="C3892" s="9">
        <f>IFERROR(__xludf.DUMMYFUNCTION("""COMPUTED_VALUE"""),44756.0493128472)</f>
        <v>44756.04931</v>
      </c>
      <c r="D3892" s="15">
        <f>IFERROR(__xludf.DUMMYFUNCTION("""COMPUTED_VALUE"""),1.004)</f>
        <v>1.004</v>
      </c>
      <c r="E3892" s="16">
        <f>IFERROR(__xludf.DUMMYFUNCTION("""COMPUTED_VALUE"""),66.0)</f>
        <v>66</v>
      </c>
      <c r="F3892" s="19" t="str">
        <f>IFERROR(__xludf.DUMMYFUNCTION("""COMPUTED_VALUE"""),"BLACK")</f>
        <v>BLACK</v>
      </c>
      <c r="G3892" s="20" t="str">
        <f>IFERROR(__xludf.DUMMYFUNCTION("""COMPUTED_VALUE"""),"Uncle Sams Cider (5/13/2022)")</f>
        <v>Uncle Sams Cider (5/13/2022)</v>
      </c>
      <c r="H3892" s="19"/>
    </row>
    <row r="3893">
      <c r="A3893" s="9"/>
      <c r="B3893" s="15"/>
      <c r="C3893" s="9">
        <f>IFERROR(__xludf.DUMMYFUNCTION("""COMPUTED_VALUE"""),44756.0388806365)</f>
        <v>44756.03888</v>
      </c>
      <c r="D3893" s="15">
        <f>IFERROR(__xludf.DUMMYFUNCTION("""COMPUTED_VALUE"""),1.005)</f>
        <v>1.005</v>
      </c>
      <c r="E3893" s="16">
        <f>IFERROR(__xludf.DUMMYFUNCTION("""COMPUTED_VALUE"""),66.0)</f>
        <v>66</v>
      </c>
      <c r="F3893" s="19" t="str">
        <f>IFERROR(__xludf.DUMMYFUNCTION("""COMPUTED_VALUE"""),"BLACK")</f>
        <v>BLACK</v>
      </c>
      <c r="G3893" s="20" t="str">
        <f>IFERROR(__xludf.DUMMYFUNCTION("""COMPUTED_VALUE"""),"Uncle Sams Cider (5/13/2022)")</f>
        <v>Uncle Sams Cider (5/13/2022)</v>
      </c>
      <c r="H3893" s="19"/>
    </row>
    <row r="3894">
      <c r="A3894" s="9"/>
      <c r="B3894" s="15"/>
      <c r="C3894" s="9">
        <f>IFERROR(__xludf.DUMMYFUNCTION("""COMPUTED_VALUE"""),44756.0284590509)</f>
        <v>44756.02846</v>
      </c>
      <c r="D3894" s="15">
        <f>IFERROR(__xludf.DUMMYFUNCTION("""COMPUTED_VALUE"""),1.004)</f>
        <v>1.004</v>
      </c>
      <c r="E3894" s="16">
        <f>IFERROR(__xludf.DUMMYFUNCTION("""COMPUTED_VALUE"""),66.0)</f>
        <v>66</v>
      </c>
      <c r="F3894" s="19" t="str">
        <f>IFERROR(__xludf.DUMMYFUNCTION("""COMPUTED_VALUE"""),"BLACK")</f>
        <v>BLACK</v>
      </c>
      <c r="G3894" s="20" t="str">
        <f>IFERROR(__xludf.DUMMYFUNCTION("""COMPUTED_VALUE"""),"Uncle Sams Cider (5/13/2022)")</f>
        <v>Uncle Sams Cider (5/13/2022)</v>
      </c>
      <c r="H3894" s="19"/>
    </row>
    <row r="3895">
      <c r="A3895" s="9"/>
      <c r="B3895" s="15"/>
      <c r="C3895" s="9">
        <f>IFERROR(__xludf.DUMMYFUNCTION("""COMPUTED_VALUE"""),44756.0180398726)</f>
        <v>44756.01804</v>
      </c>
      <c r="D3895" s="15">
        <f>IFERROR(__xludf.DUMMYFUNCTION("""COMPUTED_VALUE"""),1.004)</f>
        <v>1.004</v>
      </c>
      <c r="E3895" s="16">
        <f>IFERROR(__xludf.DUMMYFUNCTION("""COMPUTED_VALUE"""),66.0)</f>
        <v>66</v>
      </c>
      <c r="F3895" s="19" t="str">
        <f>IFERROR(__xludf.DUMMYFUNCTION("""COMPUTED_VALUE"""),"BLACK")</f>
        <v>BLACK</v>
      </c>
      <c r="G3895" s="20" t="str">
        <f>IFERROR(__xludf.DUMMYFUNCTION("""COMPUTED_VALUE"""),"Uncle Sams Cider (5/13/2022)")</f>
        <v>Uncle Sams Cider (5/13/2022)</v>
      </c>
      <c r="H3895" s="19"/>
    </row>
    <row r="3896">
      <c r="A3896" s="9"/>
      <c r="B3896" s="15"/>
      <c r="C3896" s="9">
        <f>IFERROR(__xludf.DUMMYFUNCTION("""COMPUTED_VALUE"""),44756.0075939467)</f>
        <v>44756.00759</v>
      </c>
      <c r="D3896" s="15">
        <f>IFERROR(__xludf.DUMMYFUNCTION("""COMPUTED_VALUE"""),1.004)</f>
        <v>1.004</v>
      </c>
      <c r="E3896" s="16">
        <f>IFERROR(__xludf.DUMMYFUNCTION("""COMPUTED_VALUE"""),65.0)</f>
        <v>65</v>
      </c>
      <c r="F3896" s="19" t="str">
        <f>IFERROR(__xludf.DUMMYFUNCTION("""COMPUTED_VALUE"""),"BLACK")</f>
        <v>BLACK</v>
      </c>
      <c r="G3896" s="20" t="str">
        <f>IFERROR(__xludf.DUMMYFUNCTION("""COMPUTED_VALUE"""),"Uncle Sams Cider (5/13/2022)")</f>
        <v>Uncle Sams Cider (5/13/2022)</v>
      </c>
      <c r="H3896" s="19"/>
    </row>
    <row r="3897">
      <c r="A3897" s="9"/>
      <c r="B3897" s="15"/>
      <c r="C3897" s="9">
        <f>IFERROR(__xludf.DUMMYFUNCTION("""COMPUTED_VALUE"""),44755.9971717824)</f>
        <v>44755.99717</v>
      </c>
      <c r="D3897" s="15">
        <f>IFERROR(__xludf.DUMMYFUNCTION("""COMPUTED_VALUE"""),1.004)</f>
        <v>1.004</v>
      </c>
      <c r="E3897" s="16">
        <f>IFERROR(__xludf.DUMMYFUNCTION("""COMPUTED_VALUE"""),65.0)</f>
        <v>65</v>
      </c>
      <c r="F3897" s="19" t="str">
        <f>IFERROR(__xludf.DUMMYFUNCTION("""COMPUTED_VALUE"""),"BLACK")</f>
        <v>BLACK</v>
      </c>
      <c r="G3897" s="20" t="str">
        <f>IFERROR(__xludf.DUMMYFUNCTION("""COMPUTED_VALUE"""),"Uncle Sams Cider (5/13/2022)")</f>
        <v>Uncle Sams Cider (5/13/2022)</v>
      </c>
      <c r="H3897" s="19"/>
    </row>
    <row r="3898">
      <c r="A3898" s="9"/>
      <c r="B3898" s="15"/>
      <c r="C3898" s="9">
        <f>IFERROR(__xludf.DUMMYFUNCTION("""COMPUTED_VALUE"""),44755.9867505092)</f>
        <v>44755.98675</v>
      </c>
      <c r="D3898" s="15">
        <f>IFERROR(__xludf.DUMMYFUNCTION("""COMPUTED_VALUE"""),1.004)</f>
        <v>1.004</v>
      </c>
      <c r="E3898" s="16">
        <f>IFERROR(__xludf.DUMMYFUNCTION("""COMPUTED_VALUE"""),65.0)</f>
        <v>65</v>
      </c>
      <c r="F3898" s="19" t="str">
        <f>IFERROR(__xludf.DUMMYFUNCTION("""COMPUTED_VALUE"""),"BLACK")</f>
        <v>BLACK</v>
      </c>
      <c r="G3898" s="20" t="str">
        <f>IFERROR(__xludf.DUMMYFUNCTION("""COMPUTED_VALUE"""),"Uncle Sams Cider (5/13/2022)")</f>
        <v>Uncle Sams Cider (5/13/2022)</v>
      </c>
      <c r="H3898" s="19"/>
    </row>
    <row r="3899">
      <c r="A3899" s="9"/>
      <c r="B3899" s="15"/>
      <c r="C3899" s="9">
        <f>IFERROR(__xludf.DUMMYFUNCTION("""COMPUTED_VALUE"""),44755.9763298726)</f>
        <v>44755.97633</v>
      </c>
      <c r="D3899" s="15">
        <f>IFERROR(__xludf.DUMMYFUNCTION("""COMPUTED_VALUE"""),1.004)</f>
        <v>1.004</v>
      </c>
      <c r="E3899" s="16">
        <f>IFERROR(__xludf.DUMMYFUNCTION("""COMPUTED_VALUE"""),65.0)</f>
        <v>65</v>
      </c>
      <c r="F3899" s="19" t="str">
        <f>IFERROR(__xludf.DUMMYFUNCTION("""COMPUTED_VALUE"""),"BLACK")</f>
        <v>BLACK</v>
      </c>
      <c r="G3899" s="20" t="str">
        <f>IFERROR(__xludf.DUMMYFUNCTION("""COMPUTED_VALUE"""),"Uncle Sams Cider (5/13/2022)")</f>
        <v>Uncle Sams Cider (5/13/2022)</v>
      </c>
      <c r="H3899" s="19"/>
    </row>
    <row r="3900">
      <c r="A3900" s="9"/>
      <c r="B3900" s="15"/>
      <c r="C3900" s="9">
        <f>IFERROR(__xludf.DUMMYFUNCTION("""COMPUTED_VALUE"""),44755.965908125)</f>
        <v>44755.96591</v>
      </c>
      <c r="D3900" s="15">
        <f>IFERROR(__xludf.DUMMYFUNCTION("""COMPUTED_VALUE"""),1.004)</f>
        <v>1.004</v>
      </c>
      <c r="E3900" s="16">
        <f>IFERROR(__xludf.DUMMYFUNCTION("""COMPUTED_VALUE"""),66.0)</f>
        <v>66</v>
      </c>
      <c r="F3900" s="19" t="str">
        <f>IFERROR(__xludf.DUMMYFUNCTION("""COMPUTED_VALUE"""),"BLACK")</f>
        <v>BLACK</v>
      </c>
      <c r="G3900" s="20" t="str">
        <f>IFERROR(__xludf.DUMMYFUNCTION("""COMPUTED_VALUE"""),"Uncle Sams Cider (5/13/2022)")</f>
        <v>Uncle Sams Cider (5/13/2022)</v>
      </c>
      <c r="H3900" s="19"/>
    </row>
    <row r="3901">
      <c r="A3901" s="9"/>
      <c r="B3901" s="15"/>
      <c r="C3901" s="9">
        <f>IFERROR(__xludf.DUMMYFUNCTION("""COMPUTED_VALUE"""),44755.9554865625)</f>
        <v>44755.95549</v>
      </c>
      <c r="D3901" s="15">
        <f>IFERROR(__xludf.DUMMYFUNCTION("""COMPUTED_VALUE"""),1.004)</f>
        <v>1.004</v>
      </c>
      <c r="E3901" s="16">
        <f>IFERROR(__xludf.DUMMYFUNCTION("""COMPUTED_VALUE"""),66.0)</f>
        <v>66</v>
      </c>
      <c r="F3901" s="19" t="str">
        <f>IFERROR(__xludf.DUMMYFUNCTION("""COMPUTED_VALUE"""),"BLACK")</f>
        <v>BLACK</v>
      </c>
      <c r="G3901" s="20" t="str">
        <f>IFERROR(__xludf.DUMMYFUNCTION("""COMPUTED_VALUE"""),"Uncle Sams Cider (5/13/2022)")</f>
        <v>Uncle Sams Cider (5/13/2022)</v>
      </c>
      <c r="H3901" s="19"/>
    </row>
    <row r="3902">
      <c r="A3902" s="9"/>
      <c r="B3902" s="15"/>
      <c r="C3902" s="9">
        <f>IFERROR(__xludf.DUMMYFUNCTION("""COMPUTED_VALUE"""),44755.9450658217)</f>
        <v>44755.94507</v>
      </c>
      <c r="D3902" s="15">
        <f>IFERROR(__xludf.DUMMYFUNCTION("""COMPUTED_VALUE"""),1.004)</f>
        <v>1.004</v>
      </c>
      <c r="E3902" s="16">
        <f>IFERROR(__xludf.DUMMYFUNCTION("""COMPUTED_VALUE"""),66.0)</f>
        <v>66</v>
      </c>
      <c r="F3902" s="19" t="str">
        <f>IFERROR(__xludf.DUMMYFUNCTION("""COMPUTED_VALUE"""),"BLACK")</f>
        <v>BLACK</v>
      </c>
      <c r="G3902" s="20" t="str">
        <f>IFERROR(__xludf.DUMMYFUNCTION("""COMPUTED_VALUE"""),"Uncle Sams Cider (5/13/2022)")</f>
        <v>Uncle Sams Cider (5/13/2022)</v>
      </c>
      <c r="H3902" s="19"/>
    </row>
    <row r="3903">
      <c r="A3903" s="9"/>
      <c r="B3903" s="15"/>
      <c r="C3903" s="9">
        <f>IFERROR(__xludf.DUMMYFUNCTION("""COMPUTED_VALUE"""),44755.9346454398)</f>
        <v>44755.93465</v>
      </c>
      <c r="D3903" s="15">
        <f>IFERROR(__xludf.DUMMYFUNCTION("""COMPUTED_VALUE"""),1.004)</f>
        <v>1.004</v>
      </c>
      <c r="E3903" s="16">
        <f>IFERROR(__xludf.DUMMYFUNCTION("""COMPUTED_VALUE"""),66.0)</f>
        <v>66</v>
      </c>
      <c r="F3903" s="19" t="str">
        <f>IFERROR(__xludf.DUMMYFUNCTION("""COMPUTED_VALUE"""),"BLACK")</f>
        <v>BLACK</v>
      </c>
      <c r="G3903" s="20" t="str">
        <f>IFERROR(__xludf.DUMMYFUNCTION("""COMPUTED_VALUE"""),"Uncle Sams Cider (5/13/2022)")</f>
        <v>Uncle Sams Cider (5/13/2022)</v>
      </c>
      <c r="H3903" s="19"/>
    </row>
    <row r="3904">
      <c r="A3904" s="9"/>
      <c r="B3904" s="15"/>
      <c r="C3904" s="9">
        <f>IFERROR(__xludf.DUMMYFUNCTION("""COMPUTED_VALUE"""),44755.9242254282)</f>
        <v>44755.92423</v>
      </c>
      <c r="D3904" s="15">
        <f>IFERROR(__xludf.DUMMYFUNCTION("""COMPUTED_VALUE"""),1.004)</f>
        <v>1.004</v>
      </c>
      <c r="E3904" s="16">
        <f>IFERROR(__xludf.DUMMYFUNCTION("""COMPUTED_VALUE"""),66.0)</f>
        <v>66</v>
      </c>
      <c r="F3904" s="19" t="str">
        <f>IFERROR(__xludf.DUMMYFUNCTION("""COMPUTED_VALUE"""),"BLACK")</f>
        <v>BLACK</v>
      </c>
      <c r="G3904" s="20" t="str">
        <f>IFERROR(__xludf.DUMMYFUNCTION("""COMPUTED_VALUE"""),"Uncle Sams Cider (5/13/2022)")</f>
        <v>Uncle Sams Cider (5/13/2022)</v>
      </c>
      <c r="H3904" s="19"/>
    </row>
    <row r="3905">
      <c r="A3905" s="9"/>
      <c r="B3905" s="15"/>
      <c r="C3905" s="9">
        <f>IFERROR(__xludf.DUMMYFUNCTION("""COMPUTED_VALUE"""),44755.9137925694)</f>
        <v>44755.91379</v>
      </c>
      <c r="D3905" s="15">
        <f>IFERROR(__xludf.DUMMYFUNCTION("""COMPUTED_VALUE"""),1.004)</f>
        <v>1.004</v>
      </c>
      <c r="E3905" s="16">
        <f>IFERROR(__xludf.DUMMYFUNCTION("""COMPUTED_VALUE"""),67.0)</f>
        <v>67</v>
      </c>
      <c r="F3905" s="19" t="str">
        <f>IFERROR(__xludf.DUMMYFUNCTION("""COMPUTED_VALUE"""),"BLACK")</f>
        <v>BLACK</v>
      </c>
      <c r="G3905" s="20" t="str">
        <f>IFERROR(__xludf.DUMMYFUNCTION("""COMPUTED_VALUE"""),"Uncle Sams Cider (5/13/2022)")</f>
        <v>Uncle Sams Cider (5/13/2022)</v>
      </c>
      <c r="H3905" s="19"/>
    </row>
    <row r="3906">
      <c r="A3906" s="9"/>
      <c r="B3906" s="15"/>
      <c r="C3906" s="9">
        <f>IFERROR(__xludf.DUMMYFUNCTION("""COMPUTED_VALUE"""),44755.9033713425)</f>
        <v>44755.90337</v>
      </c>
      <c r="D3906" s="15">
        <f>IFERROR(__xludf.DUMMYFUNCTION("""COMPUTED_VALUE"""),1.004)</f>
        <v>1.004</v>
      </c>
      <c r="E3906" s="16">
        <f>IFERROR(__xludf.DUMMYFUNCTION("""COMPUTED_VALUE"""),68.0)</f>
        <v>68</v>
      </c>
      <c r="F3906" s="19" t="str">
        <f>IFERROR(__xludf.DUMMYFUNCTION("""COMPUTED_VALUE"""),"BLACK")</f>
        <v>BLACK</v>
      </c>
      <c r="G3906" s="20" t="str">
        <f>IFERROR(__xludf.DUMMYFUNCTION("""COMPUTED_VALUE"""),"Uncle Sams Cider (5/13/2022)")</f>
        <v>Uncle Sams Cider (5/13/2022)</v>
      </c>
      <c r="H3906" s="19"/>
    </row>
    <row r="3907">
      <c r="A3907" s="9"/>
      <c r="B3907" s="15"/>
      <c r="C3907" s="9">
        <f>IFERROR(__xludf.DUMMYFUNCTION("""COMPUTED_VALUE"""),44755.8929507986)</f>
        <v>44755.89295</v>
      </c>
      <c r="D3907" s="15">
        <f>IFERROR(__xludf.DUMMYFUNCTION("""COMPUTED_VALUE"""),1.004)</f>
        <v>1.004</v>
      </c>
      <c r="E3907" s="16">
        <f>IFERROR(__xludf.DUMMYFUNCTION("""COMPUTED_VALUE"""),69.0)</f>
        <v>69</v>
      </c>
      <c r="F3907" s="19" t="str">
        <f>IFERROR(__xludf.DUMMYFUNCTION("""COMPUTED_VALUE"""),"BLACK")</f>
        <v>BLACK</v>
      </c>
      <c r="G3907" s="20" t="str">
        <f>IFERROR(__xludf.DUMMYFUNCTION("""COMPUTED_VALUE"""),"Uncle Sams Cider (5/13/2022)")</f>
        <v>Uncle Sams Cider (5/13/2022)</v>
      </c>
      <c r="H3907" s="19"/>
    </row>
    <row r="3908">
      <c r="A3908" s="9"/>
      <c r="B3908" s="15"/>
      <c r="C3908" s="9">
        <f>IFERROR(__xludf.DUMMYFUNCTION("""COMPUTED_VALUE"""),44755.8825293865)</f>
        <v>44755.88253</v>
      </c>
      <c r="D3908" s="15">
        <f>IFERROR(__xludf.DUMMYFUNCTION("""COMPUTED_VALUE"""),1.004)</f>
        <v>1.004</v>
      </c>
      <c r="E3908" s="16">
        <f>IFERROR(__xludf.DUMMYFUNCTION("""COMPUTED_VALUE"""),70.0)</f>
        <v>70</v>
      </c>
      <c r="F3908" s="19" t="str">
        <f>IFERROR(__xludf.DUMMYFUNCTION("""COMPUTED_VALUE"""),"BLACK")</f>
        <v>BLACK</v>
      </c>
      <c r="G3908" s="20" t="str">
        <f>IFERROR(__xludf.DUMMYFUNCTION("""COMPUTED_VALUE"""),"Uncle Sams Cider (5/13/2022)")</f>
        <v>Uncle Sams Cider (5/13/2022)</v>
      </c>
      <c r="H3908" s="19"/>
    </row>
    <row r="3909">
      <c r="A3909" s="9"/>
      <c r="B3909" s="15"/>
      <c r="C3909" s="9">
        <f>IFERROR(__xludf.DUMMYFUNCTION("""COMPUTED_VALUE"""),44755.8720960416)</f>
        <v>44755.8721</v>
      </c>
      <c r="D3909" s="15">
        <f>IFERROR(__xludf.DUMMYFUNCTION("""COMPUTED_VALUE"""),1.004)</f>
        <v>1.004</v>
      </c>
      <c r="E3909" s="16">
        <f>IFERROR(__xludf.DUMMYFUNCTION("""COMPUTED_VALUE"""),70.0)</f>
        <v>70</v>
      </c>
      <c r="F3909" s="19" t="str">
        <f>IFERROR(__xludf.DUMMYFUNCTION("""COMPUTED_VALUE"""),"BLACK")</f>
        <v>BLACK</v>
      </c>
      <c r="G3909" s="20" t="str">
        <f>IFERROR(__xludf.DUMMYFUNCTION("""COMPUTED_VALUE"""),"Uncle Sams Cider (5/13/2022)")</f>
        <v>Uncle Sams Cider (5/13/2022)</v>
      </c>
      <c r="H3909" s="19"/>
    </row>
    <row r="3910">
      <c r="A3910" s="9"/>
      <c r="B3910" s="15"/>
      <c r="C3910" s="9">
        <f>IFERROR(__xludf.DUMMYFUNCTION("""COMPUTED_VALUE"""),44755.8616625115)</f>
        <v>44755.86166</v>
      </c>
      <c r="D3910" s="15">
        <f>IFERROR(__xludf.DUMMYFUNCTION("""COMPUTED_VALUE"""),1.004)</f>
        <v>1.004</v>
      </c>
      <c r="E3910" s="16">
        <f>IFERROR(__xludf.DUMMYFUNCTION("""COMPUTED_VALUE"""),70.0)</f>
        <v>70</v>
      </c>
      <c r="F3910" s="19" t="str">
        <f>IFERROR(__xludf.DUMMYFUNCTION("""COMPUTED_VALUE"""),"BLACK")</f>
        <v>BLACK</v>
      </c>
      <c r="G3910" s="20" t="str">
        <f>IFERROR(__xludf.DUMMYFUNCTION("""COMPUTED_VALUE"""),"Uncle Sams Cider (5/13/2022)")</f>
        <v>Uncle Sams Cider (5/13/2022)</v>
      </c>
      <c r="H3910" s="19"/>
    </row>
    <row r="3911">
      <c r="A3911" s="9"/>
      <c r="B3911" s="15"/>
      <c r="C3911" s="9">
        <f>IFERROR(__xludf.DUMMYFUNCTION("""COMPUTED_VALUE"""),44755.8512400231)</f>
        <v>44755.85124</v>
      </c>
      <c r="D3911" s="15">
        <f>IFERROR(__xludf.DUMMYFUNCTION("""COMPUTED_VALUE"""),1.004)</f>
        <v>1.004</v>
      </c>
      <c r="E3911" s="16">
        <f>IFERROR(__xludf.DUMMYFUNCTION("""COMPUTED_VALUE"""),70.0)</f>
        <v>70</v>
      </c>
      <c r="F3911" s="19" t="str">
        <f>IFERROR(__xludf.DUMMYFUNCTION("""COMPUTED_VALUE"""),"BLACK")</f>
        <v>BLACK</v>
      </c>
      <c r="G3911" s="20" t="str">
        <f>IFERROR(__xludf.DUMMYFUNCTION("""COMPUTED_VALUE"""),"Uncle Sams Cider (5/13/2022)")</f>
        <v>Uncle Sams Cider (5/13/2022)</v>
      </c>
      <c r="H3911" s="19"/>
    </row>
    <row r="3912">
      <c r="A3912" s="9"/>
      <c r="B3912" s="15"/>
      <c r="C3912" s="9">
        <f>IFERROR(__xludf.DUMMYFUNCTION("""COMPUTED_VALUE"""),44755.8408180092)</f>
        <v>44755.84082</v>
      </c>
      <c r="D3912" s="15">
        <f>IFERROR(__xludf.DUMMYFUNCTION("""COMPUTED_VALUE"""),1.004)</f>
        <v>1.004</v>
      </c>
      <c r="E3912" s="16">
        <f>IFERROR(__xludf.DUMMYFUNCTION("""COMPUTED_VALUE"""),70.0)</f>
        <v>70</v>
      </c>
      <c r="F3912" s="19" t="str">
        <f>IFERROR(__xludf.DUMMYFUNCTION("""COMPUTED_VALUE"""),"BLACK")</f>
        <v>BLACK</v>
      </c>
      <c r="G3912" s="20" t="str">
        <f>IFERROR(__xludf.DUMMYFUNCTION("""COMPUTED_VALUE"""),"Uncle Sams Cider (5/13/2022)")</f>
        <v>Uncle Sams Cider (5/13/2022)</v>
      </c>
      <c r="H3912" s="19"/>
    </row>
    <row r="3913">
      <c r="A3913" s="9"/>
      <c r="B3913" s="15"/>
      <c r="C3913" s="9">
        <f>IFERROR(__xludf.DUMMYFUNCTION("""COMPUTED_VALUE"""),44755.8303970023)</f>
        <v>44755.8304</v>
      </c>
      <c r="D3913" s="15">
        <f>IFERROR(__xludf.DUMMYFUNCTION("""COMPUTED_VALUE"""),1.004)</f>
        <v>1.004</v>
      </c>
      <c r="E3913" s="16">
        <f>IFERROR(__xludf.DUMMYFUNCTION("""COMPUTED_VALUE"""),70.0)</f>
        <v>70</v>
      </c>
      <c r="F3913" s="19" t="str">
        <f>IFERROR(__xludf.DUMMYFUNCTION("""COMPUTED_VALUE"""),"BLACK")</f>
        <v>BLACK</v>
      </c>
      <c r="G3913" s="20" t="str">
        <f>IFERROR(__xludf.DUMMYFUNCTION("""COMPUTED_VALUE"""),"Uncle Sams Cider (5/13/2022)")</f>
        <v>Uncle Sams Cider (5/13/2022)</v>
      </c>
      <c r="H3913" s="19"/>
    </row>
    <row r="3914">
      <c r="A3914" s="9"/>
      <c r="B3914" s="15"/>
      <c r="C3914" s="9">
        <f>IFERROR(__xludf.DUMMYFUNCTION("""COMPUTED_VALUE"""),44755.8199750463)</f>
        <v>44755.81998</v>
      </c>
      <c r="D3914" s="15">
        <f>IFERROR(__xludf.DUMMYFUNCTION("""COMPUTED_VALUE"""),1.004)</f>
        <v>1.004</v>
      </c>
      <c r="E3914" s="16">
        <f>IFERROR(__xludf.DUMMYFUNCTION("""COMPUTED_VALUE"""),70.0)</f>
        <v>70</v>
      </c>
      <c r="F3914" s="19" t="str">
        <f>IFERROR(__xludf.DUMMYFUNCTION("""COMPUTED_VALUE"""),"BLACK")</f>
        <v>BLACK</v>
      </c>
      <c r="G3914" s="20" t="str">
        <f>IFERROR(__xludf.DUMMYFUNCTION("""COMPUTED_VALUE"""),"Uncle Sams Cider (5/13/2022)")</f>
        <v>Uncle Sams Cider (5/13/2022)</v>
      </c>
      <c r="H3914" s="19"/>
    </row>
    <row r="3915">
      <c r="A3915" s="9"/>
      <c r="B3915" s="15"/>
      <c r="C3915" s="9">
        <f>IFERROR(__xludf.DUMMYFUNCTION("""COMPUTED_VALUE"""),44755.8095545601)</f>
        <v>44755.80955</v>
      </c>
      <c r="D3915" s="15">
        <f>IFERROR(__xludf.DUMMYFUNCTION("""COMPUTED_VALUE"""),1.004)</f>
        <v>1.004</v>
      </c>
      <c r="E3915" s="16">
        <f>IFERROR(__xludf.DUMMYFUNCTION("""COMPUTED_VALUE"""),70.0)</f>
        <v>70</v>
      </c>
      <c r="F3915" s="19" t="str">
        <f>IFERROR(__xludf.DUMMYFUNCTION("""COMPUTED_VALUE"""),"BLACK")</f>
        <v>BLACK</v>
      </c>
      <c r="G3915" s="20" t="str">
        <f>IFERROR(__xludf.DUMMYFUNCTION("""COMPUTED_VALUE"""),"Uncle Sams Cider (5/13/2022)")</f>
        <v>Uncle Sams Cider (5/13/2022)</v>
      </c>
      <c r="H3915" s="19"/>
    </row>
    <row r="3916">
      <c r="A3916" s="9"/>
      <c r="B3916" s="15"/>
      <c r="C3916" s="9">
        <f>IFERROR(__xludf.DUMMYFUNCTION("""COMPUTED_VALUE"""),44755.7991332291)</f>
        <v>44755.79913</v>
      </c>
      <c r="D3916" s="15">
        <f>IFERROR(__xludf.DUMMYFUNCTION("""COMPUTED_VALUE"""),1.004)</f>
        <v>1.004</v>
      </c>
      <c r="E3916" s="16">
        <f>IFERROR(__xludf.DUMMYFUNCTION("""COMPUTED_VALUE"""),70.0)</f>
        <v>70</v>
      </c>
      <c r="F3916" s="19" t="str">
        <f>IFERROR(__xludf.DUMMYFUNCTION("""COMPUTED_VALUE"""),"BLACK")</f>
        <v>BLACK</v>
      </c>
      <c r="G3916" s="20" t="str">
        <f>IFERROR(__xludf.DUMMYFUNCTION("""COMPUTED_VALUE"""),"Uncle Sams Cider (5/13/2022)")</f>
        <v>Uncle Sams Cider (5/13/2022)</v>
      </c>
      <c r="H3916" s="19"/>
    </row>
    <row r="3917">
      <c r="A3917" s="9"/>
      <c r="B3917" s="15"/>
      <c r="C3917" s="9">
        <f>IFERROR(__xludf.DUMMYFUNCTION("""COMPUTED_VALUE"""),44755.7886868981)</f>
        <v>44755.78869</v>
      </c>
      <c r="D3917" s="15">
        <f>IFERROR(__xludf.DUMMYFUNCTION("""COMPUTED_VALUE"""),1.004)</f>
        <v>1.004</v>
      </c>
      <c r="E3917" s="16">
        <f>IFERROR(__xludf.DUMMYFUNCTION("""COMPUTED_VALUE"""),70.0)</f>
        <v>70</v>
      </c>
      <c r="F3917" s="19" t="str">
        <f>IFERROR(__xludf.DUMMYFUNCTION("""COMPUTED_VALUE"""),"BLACK")</f>
        <v>BLACK</v>
      </c>
      <c r="G3917" s="20" t="str">
        <f>IFERROR(__xludf.DUMMYFUNCTION("""COMPUTED_VALUE"""),"Uncle Sams Cider (5/13/2022)")</f>
        <v>Uncle Sams Cider (5/13/2022)</v>
      </c>
      <c r="H3917" s="19"/>
    </row>
    <row r="3918">
      <c r="A3918" s="9"/>
      <c r="B3918" s="15"/>
      <c r="C3918" s="9">
        <f>IFERROR(__xludf.DUMMYFUNCTION("""COMPUTED_VALUE"""),44755.7782655092)</f>
        <v>44755.77827</v>
      </c>
      <c r="D3918" s="15">
        <f>IFERROR(__xludf.DUMMYFUNCTION("""COMPUTED_VALUE"""),1.004)</f>
        <v>1.004</v>
      </c>
      <c r="E3918" s="16">
        <f>IFERROR(__xludf.DUMMYFUNCTION("""COMPUTED_VALUE"""),70.0)</f>
        <v>70</v>
      </c>
      <c r="F3918" s="19" t="str">
        <f>IFERROR(__xludf.DUMMYFUNCTION("""COMPUTED_VALUE"""),"BLACK")</f>
        <v>BLACK</v>
      </c>
      <c r="G3918" s="20" t="str">
        <f>IFERROR(__xludf.DUMMYFUNCTION("""COMPUTED_VALUE"""),"Uncle Sams Cider (5/13/2022)")</f>
        <v>Uncle Sams Cider (5/13/2022)</v>
      </c>
      <c r="H3918" s="19"/>
    </row>
    <row r="3919">
      <c r="A3919" s="9"/>
      <c r="B3919" s="15"/>
      <c r="C3919" s="9">
        <f>IFERROR(__xludf.DUMMYFUNCTION("""COMPUTED_VALUE"""),44755.7678331713)</f>
        <v>44755.76783</v>
      </c>
      <c r="D3919" s="15">
        <f>IFERROR(__xludf.DUMMYFUNCTION("""COMPUTED_VALUE"""),1.004)</f>
        <v>1.004</v>
      </c>
      <c r="E3919" s="16">
        <f>IFERROR(__xludf.DUMMYFUNCTION("""COMPUTED_VALUE"""),70.0)</f>
        <v>70</v>
      </c>
      <c r="F3919" s="19" t="str">
        <f>IFERROR(__xludf.DUMMYFUNCTION("""COMPUTED_VALUE"""),"BLACK")</f>
        <v>BLACK</v>
      </c>
      <c r="G3919" s="20" t="str">
        <f>IFERROR(__xludf.DUMMYFUNCTION("""COMPUTED_VALUE"""),"Uncle Sams Cider (5/13/2022)")</f>
        <v>Uncle Sams Cider (5/13/2022)</v>
      </c>
      <c r="H3919" s="19"/>
    </row>
    <row r="3920">
      <c r="A3920" s="9"/>
      <c r="B3920" s="15"/>
      <c r="C3920" s="9">
        <f>IFERROR(__xludf.DUMMYFUNCTION("""COMPUTED_VALUE"""),44755.7574127662)</f>
        <v>44755.75741</v>
      </c>
      <c r="D3920" s="15">
        <f>IFERROR(__xludf.DUMMYFUNCTION("""COMPUTED_VALUE"""),1.004)</f>
        <v>1.004</v>
      </c>
      <c r="E3920" s="16">
        <f>IFERROR(__xludf.DUMMYFUNCTION("""COMPUTED_VALUE"""),70.0)</f>
        <v>70</v>
      </c>
      <c r="F3920" s="19" t="str">
        <f>IFERROR(__xludf.DUMMYFUNCTION("""COMPUTED_VALUE"""),"BLACK")</f>
        <v>BLACK</v>
      </c>
      <c r="G3920" s="20" t="str">
        <f>IFERROR(__xludf.DUMMYFUNCTION("""COMPUTED_VALUE"""),"Uncle Sams Cider (5/13/2022)")</f>
        <v>Uncle Sams Cider (5/13/2022)</v>
      </c>
      <c r="H3920" s="19"/>
    </row>
    <row r="3921">
      <c r="A3921" s="9"/>
      <c r="B3921" s="15"/>
      <c r="C3921" s="9">
        <f>IFERROR(__xludf.DUMMYFUNCTION("""COMPUTED_VALUE"""),44755.7469924768)</f>
        <v>44755.74699</v>
      </c>
      <c r="D3921" s="15">
        <f>IFERROR(__xludf.DUMMYFUNCTION("""COMPUTED_VALUE"""),1.004)</f>
        <v>1.004</v>
      </c>
      <c r="E3921" s="16">
        <f>IFERROR(__xludf.DUMMYFUNCTION("""COMPUTED_VALUE"""),70.0)</f>
        <v>70</v>
      </c>
      <c r="F3921" s="19" t="str">
        <f>IFERROR(__xludf.DUMMYFUNCTION("""COMPUTED_VALUE"""),"BLACK")</f>
        <v>BLACK</v>
      </c>
      <c r="G3921" s="20" t="str">
        <f>IFERROR(__xludf.DUMMYFUNCTION("""COMPUTED_VALUE"""),"Uncle Sams Cider (5/13/2022)")</f>
        <v>Uncle Sams Cider (5/13/2022)</v>
      </c>
      <c r="H3921" s="19"/>
    </row>
    <row r="3922">
      <c r="A3922" s="9"/>
      <c r="B3922" s="15"/>
      <c r="C3922" s="9">
        <f>IFERROR(__xludf.DUMMYFUNCTION("""COMPUTED_VALUE"""),44755.7365714699)</f>
        <v>44755.73657</v>
      </c>
      <c r="D3922" s="15">
        <f>IFERROR(__xludf.DUMMYFUNCTION("""COMPUTED_VALUE"""),1.004)</f>
        <v>1.004</v>
      </c>
      <c r="E3922" s="16">
        <f>IFERROR(__xludf.DUMMYFUNCTION("""COMPUTED_VALUE"""),70.0)</f>
        <v>70</v>
      </c>
      <c r="F3922" s="19" t="str">
        <f>IFERROR(__xludf.DUMMYFUNCTION("""COMPUTED_VALUE"""),"BLACK")</f>
        <v>BLACK</v>
      </c>
      <c r="G3922" s="20" t="str">
        <f>IFERROR(__xludf.DUMMYFUNCTION("""COMPUTED_VALUE"""),"Uncle Sams Cider (5/13/2022)")</f>
        <v>Uncle Sams Cider (5/13/2022)</v>
      </c>
      <c r="H3922" s="19"/>
    </row>
    <row r="3923">
      <c r="A3923" s="9"/>
      <c r="B3923" s="15"/>
      <c r="C3923" s="9">
        <f>IFERROR(__xludf.DUMMYFUNCTION("""COMPUTED_VALUE"""),44755.7261397685)</f>
        <v>44755.72614</v>
      </c>
      <c r="D3923" s="15">
        <f>IFERROR(__xludf.DUMMYFUNCTION("""COMPUTED_VALUE"""),1.004)</f>
        <v>1.004</v>
      </c>
      <c r="E3923" s="16">
        <f>IFERROR(__xludf.DUMMYFUNCTION("""COMPUTED_VALUE"""),70.0)</f>
        <v>70</v>
      </c>
      <c r="F3923" s="19" t="str">
        <f>IFERROR(__xludf.DUMMYFUNCTION("""COMPUTED_VALUE"""),"BLACK")</f>
        <v>BLACK</v>
      </c>
      <c r="G3923" s="20" t="str">
        <f>IFERROR(__xludf.DUMMYFUNCTION("""COMPUTED_VALUE"""),"Uncle Sams Cider (5/13/2022)")</f>
        <v>Uncle Sams Cider (5/13/2022)</v>
      </c>
      <c r="H3923" s="19"/>
    </row>
    <row r="3924">
      <c r="A3924" s="9"/>
      <c r="B3924" s="15"/>
      <c r="C3924" s="9">
        <f>IFERROR(__xludf.DUMMYFUNCTION("""COMPUTED_VALUE"""),44755.7157180555)</f>
        <v>44755.71572</v>
      </c>
      <c r="D3924" s="15">
        <f>IFERROR(__xludf.DUMMYFUNCTION("""COMPUTED_VALUE"""),1.004)</f>
        <v>1.004</v>
      </c>
      <c r="E3924" s="16">
        <f>IFERROR(__xludf.DUMMYFUNCTION("""COMPUTED_VALUE"""),70.0)</f>
        <v>70</v>
      </c>
      <c r="F3924" s="19" t="str">
        <f>IFERROR(__xludf.DUMMYFUNCTION("""COMPUTED_VALUE"""),"BLACK")</f>
        <v>BLACK</v>
      </c>
      <c r="G3924" s="20" t="str">
        <f>IFERROR(__xludf.DUMMYFUNCTION("""COMPUTED_VALUE"""),"Uncle Sams Cider (5/13/2022)")</f>
        <v>Uncle Sams Cider (5/13/2022)</v>
      </c>
      <c r="H3924" s="19"/>
    </row>
    <row r="3925">
      <c r="A3925" s="9"/>
      <c r="B3925" s="15"/>
      <c r="C3925" s="9">
        <f>IFERROR(__xludf.DUMMYFUNCTION("""COMPUTED_VALUE"""),44755.7052839236)</f>
        <v>44755.70528</v>
      </c>
      <c r="D3925" s="15">
        <f>IFERROR(__xludf.DUMMYFUNCTION("""COMPUTED_VALUE"""),1.004)</f>
        <v>1.004</v>
      </c>
      <c r="E3925" s="16">
        <f>IFERROR(__xludf.DUMMYFUNCTION("""COMPUTED_VALUE"""),70.0)</f>
        <v>70</v>
      </c>
      <c r="F3925" s="19" t="str">
        <f>IFERROR(__xludf.DUMMYFUNCTION("""COMPUTED_VALUE"""),"BLACK")</f>
        <v>BLACK</v>
      </c>
      <c r="G3925" s="20" t="str">
        <f>IFERROR(__xludf.DUMMYFUNCTION("""COMPUTED_VALUE"""),"Uncle Sams Cider (5/13/2022)")</f>
        <v>Uncle Sams Cider (5/13/2022)</v>
      </c>
      <c r="H3925" s="19"/>
    </row>
    <row r="3926">
      <c r="A3926" s="9"/>
      <c r="B3926" s="15"/>
      <c r="C3926" s="9">
        <f>IFERROR(__xludf.DUMMYFUNCTION("""COMPUTED_VALUE"""),44755.6948644213)</f>
        <v>44755.69486</v>
      </c>
      <c r="D3926" s="15">
        <f>IFERROR(__xludf.DUMMYFUNCTION("""COMPUTED_VALUE"""),1.004)</f>
        <v>1.004</v>
      </c>
      <c r="E3926" s="16">
        <f>IFERROR(__xludf.DUMMYFUNCTION("""COMPUTED_VALUE"""),70.0)</f>
        <v>70</v>
      </c>
      <c r="F3926" s="19" t="str">
        <f>IFERROR(__xludf.DUMMYFUNCTION("""COMPUTED_VALUE"""),"BLACK")</f>
        <v>BLACK</v>
      </c>
      <c r="G3926" s="20" t="str">
        <f>IFERROR(__xludf.DUMMYFUNCTION("""COMPUTED_VALUE"""),"Uncle Sams Cider (5/13/2022)")</f>
        <v>Uncle Sams Cider (5/13/2022)</v>
      </c>
      <c r="H3926" s="19"/>
    </row>
    <row r="3927">
      <c r="A3927" s="9"/>
      <c r="B3927" s="15"/>
      <c r="C3927" s="9">
        <f>IFERROR(__xludf.DUMMYFUNCTION("""COMPUTED_VALUE"""),44755.6844431597)</f>
        <v>44755.68444</v>
      </c>
      <c r="D3927" s="15">
        <f>IFERROR(__xludf.DUMMYFUNCTION("""COMPUTED_VALUE"""),1.004)</f>
        <v>1.004</v>
      </c>
      <c r="E3927" s="16">
        <f>IFERROR(__xludf.DUMMYFUNCTION("""COMPUTED_VALUE"""),70.0)</f>
        <v>70</v>
      </c>
      <c r="F3927" s="19" t="str">
        <f>IFERROR(__xludf.DUMMYFUNCTION("""COMPUTED_VALUE"""),"BLACK")</f>
        <v>BLACK</v>
      </c>
      <c r="G3927" s="20" t="str">
        <f>IFERROR(__xludf.DUMMYFUNCTION("""COMPUTED_VALUE"""),"Uncle Sams Cider (5/13/2022)")</f>
        <v>Uncle Sams Cider (5/13/2022)</v>
      </c>
      <c r="H3927" s="19"/>
    </row>
    <row r="3928">
      <c r="A3928" s="9"/>
      <c r="B3928" s="15"/>
      <c r="C3928" s="9">
        <f>IFERROR(__xludf.DUMMYFUNCTION("""COMPUTED_VALUE"""),44755.6740222453)</f>
        <v>44755.67402</v>
      </c>
      <c r="D3928" s="15">
        <f>IFERROR(__xludf.DUMMYFUNCTION("""COMPUTED_VALUE"""),1.004)</f>
        <v>1.004</v>
      </c>
      <c r="E3928" s="16">
        <f>IFERROR(__xludf.DUMMYFUNCTION("""COMPUTED_VALUE"""),70.0)</f>
        <v>70</v>
      </c>
      <c r="F3928" s="19" t="str">
        <f>IFERROR(__xludf.DUMMYFUNCTION("""COMPUTED_VALUE"""),"BLACK")</f>
        <v>BLACK</v>
      </c>
      <c r="G3928" s="20" t="str">
        <f>IFERROR(__xludf.DUMMYFUNCTION("""COMPUTED_VALUE"""),"Uncle Sams Cider (5/13/2022)")</f>
        <v>Uncle Sams Cider (5/13/2022)</v>
      </c>
      <c r="H3928" s="19"/>
    </row>
    <row r="3929">
      <c r="A3929" s="9"/>
      <c r="B3929" s="15"/>
      <c r="C3929" s="9">
        <f>IFERROR(__xludf.DUMMYFUNCTION("""COMPUTED_VALUE"""),44755.663601574)</f>
        <v>44755.6636</v>
      </c>
      <c r="D3929" s="15">
        <f>IFERROR(__xludf.DUMMYFUNCTION("""COMPUTED_VALUE"""),1.004)</f>
        <v>1.004</v>
      </c>
      <c r="E3929" s="16">
        <f>IFERROR(__xludf.DUMMYFUNCTION("""COMPUTED_VALUE"""),70.0)</f>
        <v>70</v>
      </c>
      <c r="F3929" s="19" t="str">
        <f>IFERROR(__xludf.DUMMYFUNCTION("""COMPUTED_VALUE"""),"BLACK")</f>
        <v>BLACK</v>
      </c>
      <c r="G3929" s="20" t="str">
        <f>IFERROR(__xludf.DUMMYFUNCTION("""COMPUTED_VALUE"""),"Uncle Sams Cider (5/13/2022)")</f>
        <v>Uncle Sams Cider (5/13/2022)</v>
      </c>
      <c r="H3929" s="19"/>
    </row>
    <row r="3930">
      <c r="A3930" s="9"/>
      <c r="B3930" s="15"/>
      <c r="C3930" s="9">
        <f>IFERROR(__xludf.DUMMYFUNCTION("""COMPUTED_VALUE"""),44755.6531809722)</f>
        <v>44755.65318</v>
      </c>
      <c r="D3930" s="15">
        <f>IFERROR(__xludf.DUMMYFUNCTION("""COMPUTED_VALUE"""),1.004)</f>
        <v>1.004</v>
      </c>
      <c r="E3930" s="16">
        <f>IFERROR(__xludf.DUMMYFUNCTION("""COMPUTED_VALUE"""),70.0)</f>
        <v>70</v>
      </c>
      <c r="F3930" s="19" t="str">
        <f>IFERROR(__xludf.DUMMYFUNCTION("""COMPUTED_VALUE"""),"BLACK")</f>
        <v>BLACK</v>
      </c>
      <c r="G3930" s="20" t="str">
        <f>IFERROR(__xludf.DUMMYFUNCTION("""COMPUTED_VALUE"""),"Uncle Sams Cider (5/13/2022)")</f>
        <v>Uncle Sams Cider (5/13/2022)</v>
      </c>
      <c r="H3930" s="19"/>
    </row>
    <row r="3931">
      <c r="A3931" s="9"/>
      <c r="B3931" s="15"/>
      <c r="C3931" s="9">
        <f>IFERROR(__xludf.DUMMYFUNCTION("""COMPUTED_VALUE"""),44755.6427601967)</f>
        <v>44755.64276</v>
      </c>
      <c r="D3931" s="15">
        <f>IFERROR(__xludf.DUMMYFUNCTION("""COMPUTED_VALUE"""),1.004)</f>
        <v>1.004</v>
      </c>
      <c r="E3931" s="16">
        <f>IFERROR(__xludf.DUMMYFUNCTION("""COMPUTED_VALUE"""),70.0)</f>
        <v>70</v>
      </c>
      <c r="F3931" s="19" t="str">
        <f>IFERROR(__xludf.DUMMYFUNCTION("""COMPUTED_VALUE"""),"BLACK")</f>
        <v>BLACK</v>
      </c>
      <c r="G3931" s="20" t="str">
        <f>IFERROR(__xludf.DUMMYFUNCTION("""COMPUTED_VALUE"""),"Uncle Sams Cider (5/13/2022)")</f>
        <v>Uncle Sams Cider (5/13/2022)</v>
      </c>
      <c r="H3931" s="19"/>
    </row>
    <row r="3932">
      <c r="A3932" s="9"/>
      <c r="B3932" s="15"/>
      <c r="C3932" s="9">
        <f>IFERROR(__xludf.DUMMYFUNCTION("""COMPUTED_VALUE"""),44755.6323389814)</f>
        <v>44755.63234</v>
      </c>
      <c r="D3932" s="15">
        <f>IFERROR(__xludf.DUMMYFUNCTION("""COMPUTED_VALUE"""),1.004)</f>
        <v>1.004</v>
      </c>
      <c r="E3932" s="16">
        <f>IFERROR(__xludf.DUMMYFUNCTION("""COMPUTED_VALUE"""),70.0)</f>
        <v>70</v>
      </c>
      <c r="F3932" s="19" t="str">
        <f>IFERROR(__xludf.DUMMYFUNCTION("""COMPUTED_VALUE"""),"BLACK")</f>
        <v>BLACK</v>
      </c>
      <c r="G3932" s="20" t="str">
        <f>IFERROR(__xludf.DUMMYFUNCTION("""COMPUTED_VALUE"""),"Uncle Sams Cider (5/13/2022)")</f>
        <v>Uncle Sams Cider (5/13/2022)</v>
      </c>
      <c r="H3932" s="19"/>
    </row>
    <row r="3933">
      <c r="A3933" s="9"/>
      <c r="B3933" s="15"/>
      <c r="C3933" s="9">
        <f>IFERROR(__xludf.DUMMYFUNCTION("""COMPUTED_VALUE"""),44755.6219057407)</f>
        <v>44755.62191</v>
      </c>
      <c r="D3933" s="15">
        <f>IFERROR(__xludf.DUMMYFUNCTION("""COMPUTED_VALUE"""),1.004)</f>
        <v>1.004</v>
      </c>
      <c r="E3933" s="16">
        <f>IFERROR(__xludf.DUMMYFUNCTION("""COMPUTED_VALUE"""),70.0)</f>
        <v>70</v>
      </c>
      <c r="F3933" s="19" t="str">
        <f>IFERROR(__xludf.DUMMYFUNCTION("""COMPUTED_VALUE"""),"BLACK")</f>
        <v>BLACK</v>
      </c>
      <c r="G3933" s="20" t="str">
        <f>IFERROR(__xludf.DUMMYFUNCTION("""COMPUTED_VALUE"""),"Uncle Sams Cider (5/13/2022)")</f>
        <v>Uncle Sams Cider (5/13/2022)</v>
      </c>
      <c r="H3933" s="19"/>
    </row>
    <row r="3934">
      <c r="A3934" s="9"/>
      <c r="B3934" s="15"/>
      <c r="C3934" s="9">
        <f>IFERROR(__xludf.DUMMYFUNCTION("""COMPUTED_VALUE"""),44755.6114836111)</f>
        <v>44755.61148</v>
      </c>
      <c r="D3934" s="15">
        <f>IFERROR(__xludf.DUMMYFUNCTION("""COMPUTED_VALUE"""),1.004)</f>
        <v>1.004</v>
      </c>
      <c r="E3934" s="16">
        <f>IFERROR(__xludf.DUMMYFUNCTION("""COMPUTED_VALUE"""),70.0)</f>
        <v>70</v>
      </c>
      <c r="F3934" s="19" t="str">
        <f>IFERROR(__xludf.DUMMYFUNCTION("""COMPUTED_VALUE"""),"BLACK")</f>
        <v>BLACK</v>
      </c>
      <c r="G3934" s="20" t="str">
        <f>IFERROR(__xludf.DUMMYFUNCTION("""COMPUTED_VALUE"""),"Uncle Sams Cider (5/13/2022)")</f>
        <v>Uncle Sams Cider (5/13/2022)</v>
      </c>
      <c r="H3934" s="19"/>
    </row>
    <row r="3935">
      <c r="A3935" s="9"/>
      <c r="B3935" s="15"/>
      <c r="C3935" s="9">
        <f>IFERROR(__xludf.DUMMYFUNCTION("""COMPUTED_VALUE"""),44755.6010617476)</f>
        <v>44755.60106</v>
      </c>
      <c r="D3935" s="15">
        <f>IFERROR(__xludf.DUMMYFUNCTION("""COMPUTED_VALUE"""),1.004)</f>
        <v>1.004</v>
      </c>
      <c r="E3935" s="16">
        <f>IFERROR(__xludf.DUMMYFUNCTION("""COMPUTED_VALUE"""),70.0)</f>
        <v>70</v>
      </c>
      <c r="F3935" s="19" t="str">
        <f>IFERROR(__xludf.DUMMYFUNCTION("""COMPUTED_VALUE"""),"BLACK")</f>
        <v>BLACK</v>
      </c>
      <c r="G3935" s="20" t="str">
        <f>IFERROR(__xludf.DUMMYFUNCTION("""COMPUTED_VALUE"""),"Uncle Sams Cider (5/13/2022)")</f>
        <v>Uncle Sams Cider (5/13/2022)</v>
      </c>
      <c r="H3935" s="19"/>
    </row>
    <row r="3936">
      <c r="A3936" s="9"/>
      <c r="B3936" s="15"/>
      <c r="C3936" s="9">
        <f>IFERROR(__xludf.DUMMYFUNCTION("""COMPUTED_VALUE"""),44755.5906278125)</f>
        <v>44755.59063</v>
      </c>
      <c r="D3936" s="15">
        <f>IFERROR(__xludf.DUMMYFUNCTION("""COMPUTED_VALUE"""),1.004)</f>
        <v>1.004</v>
      </c>
      <c r="E3936" s="16">
        <f>IFERROR(__xludf.DUMMYFUNCTION("""COMPUTED_VALUE"""),70.0)</f>
        <v>70</v>
      </c>
      <c r="F3936" s="19" t="str">
        <f>IFERROR(__xludf.DUMMYFUNCTION("""COMPUTED_VALUE"""),"BLACK")</f>
        <v>BLACK</v>
      </c>
      <c r="G3936" s="20" t="str">
        <f>IFERROR(__xludf.DUMMYFUNCTION("""COMPUTED_VALUE"""),"Uncle Sams Cider (5/13/2022)")</f>
        <v>Uncle Sams Cider (5/13/2022)</v>
      </c>
      <c r="H3936" s="19"/>
    </row>
    <row r="3937">
      <c r="A3937" s="9"/>
      <c r="B3937" s="15"/>
      <c r="C3937" s="9">
        <f>IFERROR(__xludf.DUMMYFUNCTION("""COMPUTED_VALUE"""),44755.5802064004)</f>
        <v>44755.58021</v>
      </c>
      <c r="D3937" s="15">
        <f>IFERROR(__xludf.DUMMYFUNCTION("""COMPUTED_VALUE"""),1.004)</f>
        <v>1.004</v>
      </c>
      <c r="E3937" s="16">
        <f>IFERROR(__xludf.DUMMYFUNCTION("""COMPUTED_VALUE"""),70.0)</f>
        <v>70</v>
      </c>
      <c r="F3937" s="19" t="str">
        <f>IFERROR(__xludf.DUMMYFUNCTION("""COMPUTED_VALUE"""),"BLACK")</f>
        <v>BLACK</v>
      </c>
      <c r="G3937" s="20" t="str">
        <f>IFERROR(__xludf.DUMMYFUNCTION("""COMPUTED_VALUE"""),"Uncle Sams Cider (5/13/2022)")</f>
        <v>Uncle Sams Cider (5/13/2022)</v>
      </c>
      <c r="H3937" s="19"/>
    </row>
    <row r="3938">
      <c r="A3938" s="9"/>
      <c r="B3938" s="15"/>
      <c r="C3938" s="9">
        <f>IFERROR(__xludf.DUMMYFUNCTION("""COMPUTED_VALUE"""),44755.5697858333)</f>
        <v>44755.56979</v>
      </c>
      <c r="D3938" s="15">
        <f>IFERROR(__xludf.DUMMYFUNCTION("""COMPUTED_VALUE"""),1.004)</f>
        <v>1.004</v>
      </c>
      <c r="E3938" s="16">
        <f>IFERROR(__xludf.DUMMYFUNCTION("""COMPUTED_VALUE"""),70.0)</f>
        <v>70</v>
      </c>
      <c r="F3938" s="19" t="str">
        <f>IFERROR(__xludf.DUMMYFUNCTION("""COMPUTED_VALUE"""),"BLACK")</f>
        <v>BLACK</v>
      </c>
      <c r="G3938" s="20" t="str">
        <f>IFERROR(__xludf.DUMMYFUNCTION("""COMPUTED_VALUE"""),"Uncle Sams Cider (5/13/2022)")</f>
        <v>Uncle Sams Cider (5/13/2022)</v>
      </c>
      <c r="H3938" s="19"/>
    </row>
    <row r="3939">
      <c r="A3939" s="9"/>
      <c r="B3939" s="15"/>
      <c r="C3939" s="9">
        <f>IFERROR(__xludf.DUMMYFUNCTION("""COMPUTED_VALUE"""),44755.5593651851)</f>
        <v>44755.55937</v>
      </c>
      <c r="D3939" s="15">
        <f>IFERROR(__xludf.DUMMYFUNCTION("""COMPUTED_VALUE"""),1.004)</f>
        <v>1.004</v>
      </c>
      <c r="E3939" s="16">
        <f>IFERROR(__xludf.DUMMYFUNCTION("""COMPUTED_VALUE"""),70.0)</f>
        <v>70</v>
      </c>
      <c r="F3939" s="19" t="str">
        <f>IFERROR(__xludf.DUMMYFUNCTION("""COMPUTED_VALUE"""),"BLACK")</f>
        <v>BLACK</v>
      </c>
      <c r="G3939" s="20" t="str">
        <f>IFERROR(__xludf.DUMMYFUNCTION("""COMPUTED_VALUE"""),"Uncle Sams Cider (5/13/2022)")</f>
        <v>Uncle Sams Cider (5/13/2022)</v>
      </c>
      <c r="H3939" s="19"/>
    </row>
    <row r="3940">
      <c r="A3940" s="9"/>
      <c r="B3940" s="15"/>
      <c r="C3940" s="9">
        <f>IFERROR(__xludf.DUMMYFUNCTION("""COMPUTED_VALUE"""),44755.5489423263)</f>
        <v>44755.54894</v>
      </c>
      <c r="D3940" s="15">
        <f>IFERROR(__xludf.DUMMYFUNCTION("""COMPUTED_VALUE"""),1.004)</f>
        <v>1.004</v>
      </c>
      <c r="E3940" s="16">
        <f>IFERROR(__xludf.DUMMYFUNCTION("""COMPUTED_VALUE"""),70.0)</f>
        <v>70</v>
      </c>
      <c r="F3940" s="19" t="str">
        <f>IFERROR(__xludf.DUMMYFUNCTION("""COMPUTED_VALUE"""),"BLACK")</f>
        <v>BLACK</v>
      </c>
      <c r="G3940" s="20" t="str">
        <f>IFERROR(__xludf.DUMMYFUNCTION("""COMPUTED_VALUE"""),"Uncle Sams Cider (5/13/2022)")</f>
        <v>Uncle Sams Cider (5/13/2022)</v>
      </c>
      <c r="H3940" s="19"/>
    </row>
    <row r="3941">
      <c r="A3941" s="9"/>
      <c r="B3941" s="15"/>
      <c r="C3941" s="9">
        <f>IFERROR(__xludf.DUMMYFUNCTION("""COMPUTED_VALUE"""),44755.5385234837)</f>
        <v>44755.53852</v>
      </c>
      <c r="D3941" s="15">
        <f>IFERROR(__xludf.DUMMYFUNCTION("""COMPUTED_VALUE"""),1.004)</f>
        <v>1.004</v>
      </c>
      <c r="E3941" s="16">
        <f>IFERROR(__xludf.DUMMYFUNCTION("""COMPUTED_VALUE"""),70.0)</f>
        <v>70</v>
      </c>
      <c r="F3941" s="19" t="str">
        <f>IFERROR(__xludf.DUMMYFUNCTION("""COMPUTED_VALUE"""),"BLACK")</f>
        <v>BLACK</v>
      </c>
      <c r="G3941" s="20" t="str">
        <f>IFERROR(__xludf.DUMMYFUNCTION("""COMPUTED_VALUE"""),"Uncle Sams Cider (5/13/2022)")</f>
        <v>Uncle Sams Cider (5/13/2022)</v>
      </c>
      <c r="H3941" s="19"/>
    </row>
    <row r="3942">
      <c r="A3942" s="9"/>
      <c r="B3942" s="15"/>
      <c r="C3942" s="9">
        <f>IFERROR(__xludf.DUMMYFUNCTION("""COMPUTED_VALUE"""),44755.528100949)</f>
        <v>44755.5281</v>
      </c>
      <c r="D3942" s="15">
        <f>IFERROR(__xludf.DUMMYFUNCTION("""COMPUTED_VALUE"""),1.004)</f>
        <v>1.004</v>
      </c>
      <c r="E3942" s="16">
        <f>IFERROR(__xludf.DUMMYFUNCTION("""COMPUTED_VALUE"""),70.0)</f>
        <v>70</v>
      </c>
      <c r="F3942" s="19" t="str">
        <f>IFERROR(__xludf.DUMMYFUNCTION("""COMPUTED_VALUE"""),"BLACK")</f>
        <v>BLACK</v>
      </c>
      <c r="G3942" s="20" t="str">
        <f>IFERROR(__xludf.DUMMYFUNCTION("""COMPUTED_VALUE"""),"Uncle Sams Cider (5/13/2022)")</f>
        <v>Uncle Sams Cider (5/13/2022)</v>
      </c>
      <c r="H3942" s="19"/>
    </row>
    <row r="3943">
      <c r="A3943" s="9"/>
      <c r="B3943" s="15"/>
      <c r="C3943" s="9">
        <f>IFERROR(__xludf.DUMMYFUNCTION("""COMPUTED_VALUE"""),44755.5176804166)</f>
        <v>44755.51768</v>
      </c>
      <c r="D3943" s="15">
        <f>IFERROR(__xludf.DUMMYFUNCTION("""COMPUTED_VALUE"""),1.004)</f>
        <v>1.004</v>
      </c>
      <c r="E3943" s="16">
        <f>IFERROR(__xludf.DUMMYFUNCTION("""COMPUTED_VALUE"""),70.0)</f>
        <v>70</v>
      </c>
      <c r="F3943" s="19" t="str">
        <f>IFERROR(__xludf.DUMMYFUNCTION("""COMPUTED_VALUE"""),"BLACK")</f>
        <v>BLACK</v>
      </c>
      <c r="G3943" s="20" t="str">
        <f>IFERROR(__xludf.DUMMYFUNCTION("""COMPUTED_VALUE"""),"Uncle Sams Cider (5/13/2022)")</f>
        <v>Uncle Sams Cider (5/13/2022)</v>
      </c>
      <c r="H3943" s="19"/>
    </row>
    <row r="3944">
      <c r="A3944" s="9"/>
      <c r="B3944" s="15"/>
      <c r="C3944" s="9">
        <f>IFERROR(__xludf.DUMMYFUNCTION("""COMPUTED_VALUE"""),44755.5072593171)</f>
        <v>44755.50726</v>
      </c>
      <c r="D3944" s="15">
        <f>IFERROR(__xludf.DUMMYFUNCTION("""COMPUTED_VALUE"""),1.004)</f>
        <v>1.004</v>
      </c>
      <c r="E3944" s="16">
        <f>IFERROR(__xludf.DUMMYFUNCTION("""COMPUTED_VALUE"""),70.0)</f>
        <v>70</v>
      </c>
      <c r="F3944" s="19" t="str">
        <f>IFERROR(__xludf.DUMMYFUNCTION("""COMPUTED_VALUE"""),"BLACK")</f>
        <v>BLACK</v>
      </c>
      <c r="G3944" s="20" t="str">
        <f>IFERROR(__xludf.DUMMYFUNCTION("""COMPUTED_VALUE"""),"Uncle Sams Cider (5/13/2022)")</f>
        <v>Uncle Sams Cider (5/13/2022)</v>
      </c>
      <c r="H3944" s="19"/>
    </row>
    <row r="3945">
      <c r="A3945" s="9"/>
      <c r="B3945" s="15"/>
      <c r="C3945" s="9">
        <f>IFERROR(__xludf.DUMMYFUNCTION("""COMPUTED_VALUE"""),44755.4968388194)</f>
        <v>44755.49684</v>
      </c>
      <c r="D3945" s="15">
        <f>IFERROR(__xludf.DUMMYFUNCTION("""COMPUTED_VALUE"""),1.004)</f>
        <v>1.004</v>
      </c>
      <c r="E3945" s="16">
        <f>IFERROR(__xludf.DUMMYFUNCTION("""COMPUTED_VALUE"""),70.0)</f>
        <v>70</v>
      </c>
      <c r="F3945" s="19" t="str">
        <f>IFERROR(__xludf.DUMMYFUNCTION("""COMPUTED_VALUE"""),"BLACK")</f>
        <v>BLACK</v>
      </c>
      <c r="G3945" s="20" t="str">
        <f>IFERROR(__xludf.DUMMYFUNCTION("""COMPUTED_VALUE"""),"Uncle Sams Cider (5/13/2022)")</f>
        <v>Uncle Sams Cider (5/13/2022)</v>
      </c>
      <c r="H3945" s="19"/>
    </row>
    <row r="3946">
      <c r="A3946" s="9"/>
      <c r="B3946" s="15"/>
      <c r="C3946" s="9">
        <f>IFERROR(__xludf.DUMMYFUNCTION("""COMPUTED_VALUE"""),44755.4864164583)</f>
        <v>44755.48642</v>
      </c>
      <c r="D3946" s="15">
        <f>IFERROR(__xludf.DUMMYFUNCTION("""COMPUTED_VALUE"""),1.004)</f>
        <v>1.004</v>
      </c>
      <c r="E3946" s="16">
        <f>IFERROR(__xludf.DUMMYFUNCTION("""COMPUTED_VALUE"""),70.0)</f>
        <v>70</v>
      </c>
      <c r="F3946" s="19" t="str">
        <f>IFERROR(__xludf.DUMMYFUNCTION("""COMPUTED_VALUE"""),"BLACK")</f>
        <v>BLACK</v>
      </c>
      <c r="G3946" s="20" t="str">
        <f>IFERROR(__xludf.DUMMYFUNCTION("""COMPUTED_VALUE"""),"Uncle Sams Cider (5/13/2022)")</f>
        <v>Uncle Sams Cider (5/13/2022)</v>
      </c>
      <c r="H3946" s="19"/>
    </row>
    <row r="3947">
      <c r="A3947" s="9"/>
      <c r="B3947" s="15"/>
      <c r="C3947" s="9">
        <f>IFERROR(__xludf.DUMMYFUNCTION("""COMPUTED_VALUE"""),44755.475994537)</f>
        <v>44755.47599</v>
      </c>
      <c r="D3947" s="15">
        <f>IFERROR(__xludf.DUMMYFUNCTION("""COMPUTED_VALUE"""),1.004)</f>
        <v>1.004</v>
      </c>
      <c r="E3947" s="16">
        <f>IFERROR(__xludf.DUMMYFUNCTION("""COMPUTED_VALUE"""),70.0)</f>
        <v>70</v>
      </c>
      <c r="F3947" s="19" t="str">
        <f>IFERROR(__xludf.DUMMYFUNCTION("""COMPUTED_VALUE"""),"BLACK")</f>
        <v>BLACK</v>
      </c>
      <c r="G3947" s="20" t="str">
        <f>IFERROR(__xludf.DUMMYFUNCTION("""COMPUTED_VALUE"""),"Uncle Sams Cider (5/13/2022)")</f>
        <v>Uncle Sams Cider (5/13/2022)</v>
      </c>
      <c r="H3947" s="19"/>
    </row>
    <row r="3948">
      <c r="A3948" s="9"/>
      <c r="B3948" s="15"/>
      <c r="C3948" s="9">
        <f>IFERROR(__xludf.DUMMYFUNCTION("""COMPUTED_VALUE"""),44755.4655608217)</f>
        <v>44755.46556</v>
      </c>
      <c r="D3948" s="15">
        <f>IFERROR(__xludf.DUMMYFUNCTION("""COMPUTED_VALUE"""),1.004)</f>
        <v>1.004</v>
      </c>
      <c r="E3948" s="16">
        <f>IFERROR(__xludf.DUMMYFUNCTION("""COMPUTED_VALUE"""),70.0)</f>
        <v>70</v>
      </c>
      <c r="F3948" s="19" t="str">
        <f>IFERROR(__xludf.DUMMYFUNCTION("""COMPUTED_VALUE"""),"BLACK")</f>
        <v>BLACK</v>
      </c>
      <c r="G3948" s="20" t="str">
        <f>IFERROR(__xludf.DUMMYFUNCTION("""COMPUTED_VALUE"""),"Uncle Sams Cider (5/13/2022)")</f>
        <v>Uncle Sams Cider (5/13/2022)</v>
      </c>
      <c r="H3948" s="19"/>
    </row>
    <row r="3949">
      <c r="A3949" s="9"/>
      <c r="B3949" s="15"/>
      <c r="C3949" s="9">
        <f>IFERROR(__xludf.DUMMYFUNCTION("""COMPUTED_VALUE"""),44755.4551408449)</f>
        <v>44755.45514</v>
      </c>
      <c r="D3949" s="15">
        <f>IFERROR(__xludf.DUMMYFUNCTION("""COMPUTED_VALUE"""),1.004)</f>
        <v>1.004</v>
      </c>
      <c r="E3949" s="16">
        <f>IFERROR(__xludf.DUMMYFUNCTION("""COMPUTED_VALUE"""),70.0)</f>
        <v>70</v>
      </c>
      <c r="F3949" s="19" t="str">
        <f>IFERROR(__xludf.DUMMYFUNCTION("""COMPUTED_VALUE"""),"BLACK")</f>
        <v>BLACK</v>
      </c>
      <c r="G3949" s="20" t="str">
        <f>IFERROR(__xludf.DUMMYFUNCTION("""COMPUTED_VALUE"""),"Uncle Sams Cider (5/13/2022)")</f>
        <v>Uncle Sams Cider (5/13/2022)</v>
      </c>
      <c r="H3949" s="19"/>
    </row>
    <row r="3950">
      <c r="A3950" s="9"/>
      <c r="B3950" s="15"/>
      <c r="C3950" s="9">
        <f>IFERROR(__xludf.DUMMYFUNCTION("""COMPUTED_VALUE"""),44755.4447190625)</f>
        <v>44755.44472</v>
      </c>
      <c r="D3950" s="15">
        <f>IFERROR(__xludf.DUMMYFUNCTION("""COMPUTED_VALUE"""),1.004)</f>
        <v>1.004</v>
      </c>
      <c r="E3950" s="16">
        <f>IFERROR(__xludf.DUMMYFUNCTION("""COMPUTED_VALUE"""),70.0)</f>
        <v>70</v>
      </c>
      <c r="F3950" s="19" t="str">
        <f>IFERROR(__xludf.DUMMYFUNCTION("""COMPUTED_VALUE"""),"BLACK")</f>
        <v>BLACK</v>
      </c>
      <c r="G3950" s="20" t="str">
        <f>IFERROR(__xludf.DUMMYFUNCTION("""COMPUTED_VALUE"""),"Uncle Sams Cider (5/13/2022)")</f>
        <v>Uncle Sams Cider (5/13/2022)</v>
      </c>
      <c r="H3950" s="19"/>
    </row>
    <row r="3951">
      <c r="A3951" s="9"/>
      <c r="B3951" s="15"/>
      <c r="C3951" s="9">
        <f>IFERROR(__xludf.DUMMYFUNCTION("""COMPUTED_VALUE"""),44755.4342990625)</f>
        <v>44755.4343</v>
      </c>
      <c r="D3951" s="15">
        <f>IFERROR(__xludf.DUMMYFUNCTION("""COMPUTED_VALUE"""),1.004)</f>
        <v>1.004</v>
      </c>
      <c r="E3951" s="16">
        <f>IFERROR(__xludf.DUMMYFUNCTION("""COMPUTED_VALUE"""),70.0)</f>
        <v>70</v>
      </c>
      <c r="F3951" s="19" t="str">
        <f>IFERROR(__xludf.DUMMYFUNCTION("""COMPUTED_VALUE"""),"BLACK")</f>
        <v>BLACK</v>
      </c>
      <c r="G3951" s="20" t="str">
        <f>IFERROR(__xludf.DUMMYFUNCTION("""COMPUTED_VALUE"""),"Uncle Sams Cider (5/13/2022)")</f>
        <v>Uncle Sams Cider (5/13/2022)</v>
      </c>
      <c r="H3951" s="19"/>
    </row>
    <row r="3952">
      <c r="A3952" s="9"/>
      <c r="B3952" s="15"/>
      <c r="C3952" s="9">
        <f>IFERROR(__xludf.DUMMYFUNCTION("""COMPUTED_VALUE"""),44755.4238780902)</f>
        <v>44755.42388</v>
      </c>
      <c r="D3952" s="15">
        <f>IFERROR(__xludf.DUMMYFUNCTION("""COMPUTED_VALUE"""),1.004)</f>
        <v>1.004</v>
      </c>
      <c r="E3952" s="16">
        <f>IFERROR(__xludf.DUMMYFUNCTION("""COMPUTED_VALUE"""),70.0)</f>
        <v>70</v>
      </c>
      <c r="F3952" s="19" t="str">
        <f>IFERROR(__xludf.DUMMYFUNCTION("""COMPUTED_VALUE"""),"BLACK")</f>
        <v>BLACK</v>
      </c>
      <c r="G3952" s="20" t="str">
        <f>IFERROR(__xludf.DUMMYFUNCTION("""COMPUTED_VALUE"""),"Uncle Sams Cider (5/13/2022)")</f>
        <v>Uncle Sams Cider (5/13/2022)</v>
      </c>
      <c r="H3952" s="19"/>
    </row>
    <row r="3953">
      <c r="A3953" s="9"/>
      <c r="B3953" s="15"/>
      <c r="C3953" s="9">
        <f>IFERROR(__xludf.DUMMYFUNCTION("""COMPUTED_VALUE"""),44755.4134551388)</f>
        <v>44755.41346</v>
      </c>
      <c r="D3953" s="15">
        <f>IFERROR(__xludf.DUMMYFUNCTION("""COMPUTED_VALUE"""),1.004)</f>
        <v>1.004</v>
      </c>
      <c r="E3953" s="16">
        <f>IFERROR(__xludf.DUMMYFUNCTION("""COMPUTED_VALUE"""),70.0)</f>
        <v>70</v>
      </c>
      <c r="F3953" s="19" t="str">
        <f>IFERROR(__xludf.DUMMYFUNCTION("""COMPUTED_VALUE"""),"BLACK")</f>
        <v>BLACK</v>
      </c>
      <c r="G3953" s="20" t="str">
        <f>IFERROR(__xludf.DUMMYFUNCTION("""COMPUTED_VALUE"""),"Uncle Sams Cider (5/13/2022)")</f>
        <v>Uncle Sams Cider (5/13/2022)</v>
      </c>
      <c r="H3953" s="19"/>
    </row>
    <row r="3954">
      <c r="A3954" s="9"/>
      <c r="B3954" s="15"/>
      <c r="C3954" s="9">
        <f>IFERROR(__xludf.DUMMYFUNCTION("""COMPUTED_VALUE"""),44755.4030328588)</f>
        <v>44755.40303</v>
      </c>
      <c r="D3954" s="15">
        <f>IFERROR(__xludf.DUMMYFUNCTION("""COMPUTED_VALUE"""),1.004)</f>
        <v>1.004</v>
      </c>
      <c r="E3954" s="16">
        <f>IFERROR(__xludf.DUMMYFUNCTION("""COMPUTED_VALUE"""),70.0)</f>
        <v>70</v>
      </c>
      <c r="F3954" s="19" t="str">
        <f>IFERROR(__xludf.DUMMYFUNCTION("""COMPUTED_VALUE"""),"BLACK")</f>
        <v>BLACK</v>
      </c>
      <c r="G3954" s="20" t="str">
        <f>IFERROR(__xludf.DUMMYFUNCTION("""COMPUTED_VALUE"""),"Uncle Sams Cider (5/13/2022)")</f>
        <v>Uncle Sams Cider (5/13/2022)</v>
      </c>
      <c r="H3954" s="19"/>
    </row>
    <row r="3955">
      <c r="A3955" s="9"/>
      <c r="B3955" s="15"/>
      <c r="C3955" s="9">
        <f>IFERROR(__xludf.DUMMYFUNCTION("""COMPUTED_VALUE"""),44755.3926117476)</f>
        <v>44755.39261</v>
      </c>
      <c r="D3955" s="15">
        <f>IFERROR(__xludf.DUMMYFUNCTION("""COMPUTED_VALUE"""),1.004)</f>
        <v>1.004</v>
      </c>
      <c r="E3955" s="16">
        <f>IFERROR(__xludf.DUMMYFUNCTION("""COMPUTED_VALUE"""),70.0)</f>
        <v>70</v>
      </c>
      <c r="F3955" s="19" t="str">
        <f>IFERROR(__xludf.DUMMYFUNCTION("""COMPUTED_VALUE"""),"BLACK")</f>
        <v>BLACK</v>
      </c>
      <c r="G3955" s="20" t="str">
        <f>IFERROR(__xludf.DUMMYFUNCTION("""COMPUTED_VALUE"""),"Uncle Sams Cider (5/13/2022)")</f>
        <v>Uncle Sams Cider (5/13/2022)</v>
      </c>
      <c r="H3955" s="19"/>
    </row>
    <row r="3956">
      <c r="A3956" s="9"/>
      <c r="B3956" s="15"/>
      <c r="C3956" s="9">
        <f>IFERROR(__xludf.DUMMYFUNCTION("""COMPUTED_VALUE"""),44755.3821911226)</f>
        <v>44755.38219</v>
      </c>
      <c r="D3956" s="15">
        <f>IFERROR(__xludf.DUMMYFUNCTION("""COMPUTED_VALUE"""),1.004)</f>
        <v>1.004</v>
      </c>
      <c r="E3956" s="16">
        <f>IFERROR(__xludf.DUMMYFUNCTION("""COMPUTED_VALUE"""),70.0)</f>
        <v>70</v>
      </c>
      <c r="F3956" s="19" t="str">
        <f>IFERROR(__xludf.DUMMYFUNCTION("""COMPUTED_VALUE"""),"BLACK")</f>
        <v>BLACK</v>
      </c>
      <c r="G3956" s="20" t="str">
        <f>IFERROR(__xludf.DUMMYFUNCTION("""COMPUTED_VALUE"""),"Uncle Sams Cider (5/13/2022)")</f>
        <v>Uncle Sams Cider (5/13/2022)</v>
      </c>
      <c r="H3956" s="19"/>
    </row>
    <row r="3957">
      <c r="A3957" s="9"/>
      <c r="B3957" s="15"/>
      <c r="C3957" s="9">
        <f>IFERROR(__xludf.DUMMYFUNCTION("""COMPUTED_VALUE"""),44755.3717682523)</f>
        <v>44755.37177</v>
      </c>
      <c r="D3957" s="15">
        <f>IFERROR(__xludf.DUMMYFUNCTION("""COMPUTED_VALUE"""),1.004)</f>
        <v>1.004</v>
      </c>
      <c r="E3957" s="16">
        <f>IFERROR(__xludf.DUMMYFUNCTION("""COMPUTED_VALUE"""),70.0)</f>
        <v>70</v>
      </c>
      <c r="F3957" s="19" t="str">
        <f>IFERROR(__xludf.DUMMYFUNCTION("""COMPUTED_VALUE"""),"BLACK")</f>
        <v>BLACK</v>
      </c>
      <c r="G3957" s="20" t="str">
        <f>IFERROR(__xludf.DUMMYFUNCTION("""COMPUTED_VALUE"""),"Uncle Sams Cider (5/13/2022)")</f>
        <v>Uncle Sams Cider (5/13/2022)</v>
      </c>
      <c r="H3957" s="19"/>
    </row>
    <row r="3958">
      <c r="A3958" s="9"/>
      <c r="B3958" s="15"/>
      <c r="C3958" s="9">
        <f>IFERROR(__xludf.DUMMYFUNCTION("""COMPUTED_VALUE"""),44755.3613467361)</f>
        <v>44755.36135</v>
      </c>
      <c r="D3958" s="15">
        <f>IFERROR(__xludf.DUMMYFUNCTION("""COMPUTED_VALUE"""),1.004)</f>
        <v>1.004</v>
      </c>
      <c r="E3958" s="16">
        <f>IFERROR(__xludf.DUMMYFUNCTION("""COMPUTED_VALUE"""),70.0)</f>
        <v>70</v>
      </c>
      <c r="F3958" s="19" t="str">
        <f>IFERROR(__xludf.DUMMYFUNCTION("""COMPUTED_VALUE"""),"BLACK")</f>
        <v>BLACK</v>
      </c>
      <c r="G3958" s="20" t="str">
        <f>IFERROR(__xludf.DUMMYFUNCTION("""COMPUTED_VALUE"""),"Uncle Sams Cider (5/13/2022)")</f>
        <v>Uncle Sams Cider (5/13/2022)</v>
      </c>
      <c r="H3958" s="19"/>
    </row>
    <row r="3959">
      <c r="A3959" s="9"/>
      <c r="B3959" s="15"/>
      <c r="C3959" s="9">
        <f>IFERROR(__xludf.DUMMYFUNCTION("""COMPUTED_VALUE"""),44755.3509266319)</f>
        <v>44755.35093</v>
      </c>
      <c r="D3959" s="15">
        <f>IFERROR(__xludf.DUMMYFUNCTION("""COMPUTED_VALUE"""),1.004)</f>
        <v>1.004</v>
      </c>
      <c r="E3959" s="16">
        <f>IFERROR(__xludf.DUMMYFUNCTION("""COMPUTED_VALUE"""),70.0)</f>
        <v>70</v>
      </c>
      <c r="F3959" s="19" t="str">
        <f>IFERROR(__xludf.DUMMYFUNCTION("""COMPUTED_VALUE"""),"BLACK")</f>
        <v>BLACK</v>
      </c>
      <c r="G3959" s="20" t="str">
        <f>IFERROR(__xludf.DUMMYFUNCTION("""COMPUTED_VALUE"""),"Uncle Sams Cider (5/13/2022)")</f>
        <v>Uncle Sams Cider (5/13/2022)</v>
      </c>
      <c r="H3959" s="19"/>
    </row>
    <row r="3960">
      <c r="A3960" s="9"/>
      <c r="B3960" s="15"/>
      <c r="C3960" s="9">
        <f>IFERROR(__xludf.DUMMYFUNCTION("""COMPUTED_VALUE"""),44755.3405050578)</f>
        <v>44755.34051</v>
      </c>
      <c r="D3960" s="15">
        <f>IFERROR(__xludf.DUMMYFUNCTION("""COMPUTED_VALUE"""),1.004)</f>
        <v>1.004</v>
      </c>
      <c r="E3960" s="16">
        <f>IFERROR(__xludf.DUMMYFUNCTION("""COMPUTED_VALUE"""),70.0)</f>
        <v>70</v>
      </c>
      <c r="F3960" s="19" t="str">
        <f>IFERROR(__xludf.DUMMYFUNCTION("""COMPUTED_VALUE"""),"BLACK")</f>
        <v>BLACK</v>
      </c>
      <c r="G3960" s="20" t="str">
        <f>IFERROR(__xludf.DUMMYFUNCTION("""COMPUTED_VALUE"""),"Uncle Sams Cider (5/13/2022)")</f>
        <v>Uncle Sams Cider (5/13/2022)</v>
      </c>
      <c r="H3960" s="19"/>
    </row>
    <row r="3961">
      <c r="A3961" s="9"/>
      <c r="B3961" s="15"/>
      <c r="C3961" s="9">
        <f>IFERROR(__xludf.DUMMYFUNCTION("""COMPUTED_VALUE"""),44755.3300831365)</f>
        <v>44755.33008</v>
      </c>
      <c r="D3961" s="15">
        <f>IFERROR(__xludf.DUMMYFUNCTION("""COMPUTED_VALUE"""),1.004)</f>
        <v>1.004</v>
      </c>
      <c r="E3961" s="16">
        <f>IFERROR(__xludf.DUMMYFUNCTION("""COMPUTED_VALUE"""),69.0)</f>
        <v>69</v>
      </c>
      <c r="F3961" s="19" t="str">
        <f>IFERROR(__xludf.DUMMYFUNCTION("""COMPUTED_VALUE"""),"BLACK")</f>
        <v>BLACK</v>
      </c>
      <c r="G3961" s="20" t="str">
        <f>IFERROR(__xludf.DUMMYFUNCTION("""COMPUTED_VALUE"""),"Uncle Sams Cider (5/13/2022)")</f>
        <v>Uncle Sams Cider (5/13/2022)</v>
      </c>
      <c r="H3961" s="19"/>
    </row>
    <row r="3962">
      <c r="A3962" s="9"/>
      <c r="B3962" s="15"/>
      <c r="C3962" s="9">
        <f>IFERROR(__xludf.DUMMYFUNCTION("""COMPUTED_VALUE"""),44755.3196386805)</f>
        <v>44755.31964</v>
      </c>
      <c r="D3962" s="15">
        <f>IFERROR(__xludf.DUMMYFUNCTION("""COMPUTED_VALUE"""),1.004)</f>
        <v>1.004</v>
      </c>
      <c r="E3962" s="16">
        <f>IFERROR(__xludf.DUMMYFUNCTION("""COMPUTED_VALUE"""),69.0)</f>
        <v>69</v>
      </c>
      <c r="F3962" s="19" t="str">
        <f>IFERROR(__xludf.DUMMYFUNCTION("""COMPUTED_VALUE"""),"BLACK")</f>
        <v>BLACK</v>
      </c>
      <c r="G3962" s="20" t="str">
        <f>IFERROR(__xludf.DUMMYFUNCTION("""COMPUTED_VALUE"""),"Uncle Sams Cider (5/13/2022)")</f>
        <v>Uncle Sams Cider (5/13/2022)</v>
      </c>
      <c r="H3962" s="19"/>
    </row>
    <row r="3963">
      <c r="A3963" s="9"/>
      <c r="B3963" s="15"/>
      <c r="C3963" s="9">
        <f>IFERROR(__xludf.DUMMYFUNCTION("""COMPUTED_VALUE"""),44755.3092177777)</f>
        <v>44755.30922</v>
      </c>
      <c r="D3963" s="15">
        <f>IFERROR(__xludf.DUMMYFUNCTION("""COMPUTED_VALUE"""),1.004)</f>
        <v>1.004</v>
      </c>
      <c r="E3963" s="16">
        <f>IFERROR(__xludf.DUMMYFUNCTION("""COMPUTED_VALUE"""),70.0)</f>
        <v>70</v>
      </c>
      <c r="F3963" s="19" t="str">
        <f>IFERROR(__xludf.DUMMYFUNCTION("""COMPUTED_VALUE"""),"BLACK")</f>
        <v>BLACK</v>
      </c>
      <c r="G3963" s="20" t="str">
        <f>IFERROR(__xludf.DUMMYFUNCTION("""COMPUTED_VALUE"""),"Uncle Sams Cider (5/13/2022)")</f>
        <v>Uncle Sams Cider (5/13/2022)</v>
      </c>
      <c r="H3963" s="19"/>
    </row>
    <row r="3964">
      <c r="A3964" s="9"/>
      <c r="B3964" s="15"/>
      <c r="C3964" s="9">
        <f>IFERROR(__xludf.DUMMYFUNCTION("""COMPUTED_VALUE"""),44755.298796331)</f>
        <v>44755.2988</v>
      </c>
      <c r="D3964" s="15">
        <f>IFERROR(__xludf.DUMMYFUNCTION("""COMPUTED_VALUE"""),1.004)</f>
        <v>1.004</v>
      </c>
      <c r="E3964" s="16">
        <f>IFERROR(__xludf.DUMMYFUNCTION("""COMPUTED_VALUE"""),70.0)</f>
        <v>70</v>
      </c>
      <c r="F3964" s="19" t="str">
        <f>IFERROR(__xludf.DUMMYFUNCTION("""COMPUTED_VALUE"""),"BLACK")</f>
        <v>BLACK</v>
      </c>
      <c r="G3964" s="20" t="str">
        <f>IFERROR(__xludf.DUMMYFUNCTION("""COMPUTED_VALUE"""),"Uncle Sams Cider (5/13/2022)")</f>
        <v>Uncle Sams Cider (5/13/2022)</v>
      </c>
      <c r="H3964" s="19"/>
    </row>
    <row r="3965">
      <c r="A3965" s="9"/>
      <c r="B3965" s="15"/>
      <c r="C3965" s="9">
        <f>IFERROR(__xludf.DUMMYFUNCTION("""COMPUTED_VALUE"""),44755.2883734143)</f>
        <v>44755.28837</v>
      </c>
      <c r="D3965" s="15">
        <f>IFERROR(__xludf.DUMMYFUNCTION("""COMPUTED_VALUE"""),1.004)</f>
        <v>1.004</v>
      </c>
      <c r="E3965" s="16">
        <f>IFERROR(__xludf.DUMMYFUNCTION("""COMPUTED_VALUE"""),70.0)</f>
        <v>70</v>
      </c>
      <c r="F3965" s="19" t="str">
        <f>IFERROR(__xludf.DUMMYFUNCTION("""COMPUTED_VALUE"""),"BLACK")</f>
        <v>BLACK</v>
      </c>
      <c r="G3965" s="20" t="str">
        <f>IFERROR(__xludf.DUMMYFUNCTION("""COMPUTED_VALUE"""),"Uncle Sams Cider (5/13/2022)")</f>
        <v>Uncle Sams Cider (5/13/2022)</v>
      </c>
      <c r="H3965" s="19"/>
    </row>
    <row r="3966">
      <c r="A3966" s="9"/>
      <c r="B3966" s="15"/>
      <c r="C3966" s="9">
        <f>IFERROR(__xludf.DUMMYFUNCTION("""COMPUTED_VALUE"""),44755.2779529513)</f>
        <v>44755.27795</v>
      </c>
      <c r="D3966" s="15">
        <f>IFERROR(__xludf.DUMMYFUNCTION("""COMPUTED_VALUE"""),1.004)</f>
        <v>1.004</v>
      </c>
      <c r="E3966" s="16">
        <f>IFERROR(__xludf.DUMMYFUNCTION("""COMPUTED_VALUE"""),70.0)</f>
        <v>70</v>
      </c>
      <c r="F3966" s="19" t="str">
        <f>IFERROR(__xludf.DUMMYFUNCTION("""COMPUTED_VALUE"""),"BLACK")</f>
        <v>BLACK</v>
      </c>
      <c r="G3966" s="20" t="str">
        <f>IFERROR(__xludf.DUMMYFUNCTION("""COMPUTED_VALUE"""),"Uncle Sams Cider (5/13/2022)")</f>
        <v>Uncle Sams Cider (5/13/2022)</v>
      </c>
      <c r="H3966" s="19"/>
    </row>
    <row r="3967">
      <c r="A3967" s="9"/>
      <c r="B3967" s="15"/>
      <c r="C3967" s="9">
        <f>IFERROR(__xludf.DUMMYFUNCTION("""COMPUTED_VALUE"""),44755.2675288657)</f>
        <v>44755.26753</v>
      </c>
      <c r="D3967" s="15">
        <f>IFERROR(__xludf.DUMMYFUNCTION("""COMPUTED_VALUE"""),1.004)</f>
        <v>1.004</v>
      </c>
      <c r="E3967" s="16">
        <f>IFERROR(__xludf.DUMMYFUNCTION("""COMPUTED_VALUE"""),69.0)</f>
        <v>69</v>
      </c>
      <c r="F3967" s="19" t="str">
        <f>IFERROR(__xludf.DUMMYFUNCTION("""COMPUTED_VALUE"""),"BLACK")</f>
        <v>BLACK</v>
      </c>
      <c r="G3967" s="20" t="str">
        <f>IFERROR(__xludf.DUMMYFUNCTION("""COMPUTED_VALUE"""),"Uncle Sams Cider (5/13/2022)")</f>
        <v>Uncle Sams Cider (5/13/2022)</v>
      </c>
      <c r="H3967" s="19"/>
    </row>
    <row r="3968">
      <c r="A3968" s="9"/>
      <c r="B3968" s="15"/>
      <c r="C3968" s="9">
        <f>IFERROR(__xludf.DUMMYFUNCTION("""COMPUTED_VALUE"""),44755.2571066898)</f>
        <v>44755.25711</v>
      </c>
      <c r="D3968" s="15">
        <f>IFERROR(__xludf.DUMMYFUNCTION("""COMPUTED_VALUE"""),1.004)</f>
        <v>1.004</v>
      </c>
      <c r="E3968" s="16">
        <f>IFERROR(__xludf.DUMMYFUNCTION("""COMPUTED_VALUE"""),69.0)</f>
        <v>69</v>
      </c>
      <c r="F3968" s="19" t="str">
        <f>IFERROR(__xludf.DUMMYFUNCTION("""COMPUTED_VALUE"""),"BLACK")</f>
        <v>BLACK</v>
      </c>
      <c r="G3968" s="20" t="str">
        <f>IFERROR(__xludf.DUMMYFUNCTION("""COMPUTED_VALUE"""),"Uncle Sams Cider (5/13/2022)")</f>
        <v>Uncle Sams Cider (5/13/2022)</v>
      </c>
      <c r="H3968" s="19"/>
    </row>
    <row r="3969">
      <c r="A3969" s="9"/>
      <c r="B3969" s="15"/>
      <c r="C3969" s="9">
        <f>IFERROR(__xludf.DUMMYFUNCTION("""COMPUTED_VALUE"""),44755.2466733217)</f>
        <v>44755.24667</v>
      </c>
      <c r="D3969" s="15">
        <f>IFERROR(__xludf.DUMMYFUNCTION("""COMPUTED_VALUE"""),1.004)</f>
        <v>1.004</v>
      </c>
      <c r="E3969" s="16">
        <f>IFERROR(__xludf.DUMMYFUNCTION("""COMPUTED_VALUE"""),69.0)</f>
        <v>69</v>
      </c>
      <c r="F3969" s="19" t="str">
        <f>IFERROR(__xludf.DUMMYFUNCTION("""COMPUTED_VALUE"""),"BLACK")</f>
        <v>BLACK</v>
      </c>
      <c r="G3969" s="20" t="str">
        <f>IFERROR(__xludf.DUMMYFUNCTION("""COMPUTED_VALUE"""),"Uncle Sams Cider (5/13/2022)")</f>
        <v>Uncle Sams Cider (5/13/2022)</v>
      </c>
      <c r="H3969" s="19"/>
    </row>
    <row r="3970">
      <c r="A3970" s="9"/>
      <c r="B3970" s="15"/>
      <c r="C3970" s="9">
        <f>IFERROR(__xludf.DUMMYFUNCTION("""COMPUTED_VALUE"""),44755.2362520023)</f>
        <v>44755.23625</v>
      </c>
      <c r="D3970" s="15">
        <f>IFERROR(__xludf.DUMMYFUNCTION("""COMPUTED_VALUE"""),1.004)</f>
        <v>1.004</v>
      </c>
      <c r="E3970" s="16">
        <f>IFERROR(__xludf.DUMMYFUNCTION("""COMPUTED_VALUE"""),69.0)</f>
        <v>69</v>
      </c>
      <c r="F3970" s="19" t="str">
        <f>IFERROR(__xludf.DUMMYFUNCTION("""COMPUTED_VALUE"""),"BLACK")</f>
        <v>BLACK</v>
      </c>
      <c r="G3970" s="20" t="str">
        <f>IFERROR(__xludf.DUMMYFUNCTION("""COMPUTED_VALUE"""),"Uncle Sams Cider (5/13/2022)")</f>
        <v>Uncle Sams Cider (5/13/2022)</v>
      </c>
      <c r="H3970" s="19"/>
    </row>
    <row r="3971">
      <c r="A3971" s="9"/>
      <c r="B3971" s="15"/>
      <c r="C3971" s="9">
        <f>IFERROR(__xludf.DUMMYFUNCTION("""COMPUTED_VALUE"""),44755.2258313888)</f>
        <v>44755.22583</v>
      </c>
      <c r="D3971" s="15">
        <f>IFERROR(__xludf.DUMMYFUNCTION("""COMPUTED_VALUE"""),1.004)</f>
        <v>1.004</v>
      </c>
      <c r="E3971" s="16">
        <f>IFERROR(__xludf.DUMMYFUNCTION("""COMPUTED_VALUE"""),69.0)</f>
        <v>69</v>
      </c>
      <c r="F3971" s="19" t="str">
        <f>IFERROR(__xludf.DUMMYFUNCTION("""COMPUTED_VALUE"""),"BLACK")</f>
        <v>BLACK</v>
      </c>
      <c r="G3971" s="20" t="str">
        <f>IFERROR(__xludf.DUMMYFUNCTION("""COMPUTED_VALUE"""),"Uncle Sams Cider (5/13/2022)")</f>
        <v>Uncle Sams Cider (5/13/2022)</v>
      </c>
      <c r="H3971" s="19"/>
    </row>
    <row r="3972">
      <c r="A3972" s="9"/>
      <c r="B3972" s="15"/>
      <c r="C3972" s="9">
        <f>IFERROR(__xludf.DUMMYFUNCTION("""COMPUTED_VALUE"""),44755.2154099074)</f>
        <v>44755.21541</v>
      </c>
      <c r="D3972" s="15">
        <f>IFERROR(__xludf.DUMMYFUNCTION("""COMPUTED_VALUE"""),1.004)</f>
        <v>1.004</v>
      </c>
      <c r="E3972" s="16">
        <f>IFERROR(__xludf.DUMMYFUNCTION("""COMPUTED_VALUE"""),69.0)</f>
        <v>69</v>
      </c>
      <c r="F3972" s="19" t="str">
        <f>IFERROR(__xludf.DUMMYFUNCTION("""COMPUTED_VALUE"""),"BLACK")</f>
        <v>BLACK</v>
      </c>
      <c r="G3972" s="20" t="str">
        <f>IFERROR(__xludf.DUMMYFUNCTION("""COMPUTED_VALUE"""),"Uncle Sams Cider (5/13/2022)")</f>
        <v>Uncle Sams Cider (5/13/2022)</v>
      </c>
      <c r="H3972" s="19"/>
    </row>
    <row r="3973">
      <c r="A3973" s="9"/>
      <c r="B3973" s="15"/>
      <c r="C3973" s="9">
        <f>IFERROR(__xludf.DUMMYFUNCTION("""COMPUTED_VALUE"""),44755.2049895601)</f>
        <v>44755.20499</v>
      </c>
      <c r="D3973" s="15">
        <f>IFERROR(__xludf.DUMMYFUNCTION("""COMPUTED_VALUE"""),1.004)</f>
        <v>1.004</v>
      </c>
      <c r="E3973" s="16">
        <f>IFERROR(__xludf.DUMMYFUNCTION("""COMPUTED_VALUE"""),69.0)</f>
        <v>69</v>
      </c>
      <c r="F3973" s="19" t="str">
        <f>IFERROR(__xludf.DUMMYFUNCTION("""COMPUTED_VALUE"""),"BLACK")</f>
        <v>BLACK</v>
      </c>
      <c r="G3973" s="20" t="str">
        <f>IFERROR(__xludf.DUMMYFUNCTION("""COMPUTED_VALUE"""),"Uncle Sams Cider (5/13/2022)")</f>
        <v>Uncle Sams Cider (5/13/2022)</v>
      </c>
      <c r="H3973" s="19"/>
    </row>
    <row r="3974">
      <c r="A3974" s="9"/>
      <c r="B3974" s="15"/>
      <c r="C3974" s="9">
        <f>IFERROR(__xludf.DUMMYFUNCTION("""COMPUTED_VALUE"""),44755.194566875)</f>
        <v>44755.19457</v>
      </c>
      <c r="D3974" s="15">
        <f>IFERROR(__xludf.DUMMYFUNCTION("""COMPUTED_VALUE"""),1.004)</f>
        <v>1.004</v>
      </c>
      <c r="E3974" s="16">
        <f>IFERROR(__xludf.DUMMYFUNCTION("""COMPUTED_VALUE"""),69.0)</f>
        <v>69</v>
      </c>
      <c r="F3974" s="19" t="str">
        <f>IFERROR(__xludf.DUMMYFUNCTION("""COMPUTED_VALUE"""),"BLACK")</f>
        <v>BLACK</v>
      </c>
      <c r="G3974" s="20" t="str">
        <f>IFERROR(__xludf.DUMMYFUNCTION("""COMPUTED_VALUE"""),"Uncle Sams Cider (5/13/2022)")</f>
        <v>Uncle Sams Cider (5/13/2022)</v>
      </c>
      <c r="H3974" s="19"/>
    </row>
    <row r="3975">
      <c r="A3975" s="9"/>
      <c r="B3975" s="15"/>
      <c r="C3975" s="9">
        <f>IFERROR(__xludf.DUMMYFUNCTION("""COMPUTED_VALUE"""),44755.1841475694)</f>
        <v>44755.18415</v>
      </c>
      <c r="D3975" s="15">
        <f>IFERROR(__xludf.DUMMYFUNCTION("""COMPUTED_VALUE"""),1.004)</f>
        <v>1.004</v>
      </c>
      <c r="E3975" s="16">
        <f>IFERROR(__xludf.DUMMYFUNCTION("""COMPUTED_VALUE"""),69.0)</f>
        <v>69</v>
      </c>
      <c r="F3975" s="19" t="str">
        <f>IFERROR(__xludf.DUMMYFUNCTION("""COMPUTED_VALUE"""),"BLACK")</f>
        <v>BLACK</v>
      </c>
      <c r="G3975" s="20" t="str">
        <f>IFERROR(__xludf.DUMMYFUNCTION("""COMPUTED_VALUE"""),"Uncle Sams Cider (5/13/2022)")</f>
        <v>Uncle Sams Cider (5/13/2022)</v>
      </c>
      <c r="H3975" s="19"/>
    </row>
    <row r="3976">
      <c r="A3976" s="9"/>
      <c r="B3976" s="15"/>
      <c r="C3976" s="9">
        <f>IFERROR(__xludf.DUMMYFUNCTION("""COMPUTED_VALUE"""),44755.1737141782)</f>
        <v>44755.17371</v>
      </c>
      <c r="D3976" s="15">
        <f>IFERROR(__xludf.DUMMYFUNCTION("""COMPUTED_VALUE"""),1.004)</f>
        <v>1.004</v>
      </c>
      <c r="E3976" s="16">
        <f>IFERROR(__xludf.DUMMYFUNCTION("""COMPUTED_VALUE"""),69.0)</f>
        <v>69</v>
      </c>
      <c r="F3976" s="19" t="str">
        <f>IFERROR(__xludf.DUMMYFUNCTION("""COMPUTED_VALUE"""),"BLACK")</f>
        <v>BLACK</v>
      </c>
      <c r="G3976" s="20" t="str">
        <f>IFERROR(__xludf.DUMMYFUNCTION("""COMPUTED_VALUE"""),"Uncle Sams Cider (5/13/2022)")</f>
        <v>Uncle Sams Cider (5/13/2022)</v>
      </c>
      <c r="H3976" s="19"/>
    </row>
    <row r="3977">
      <c r="A3977" s="9"/>
      <c r="B3977" s="15"/>
      <c r="C3977" s="9">
        <f>IFERROR(__xludf.DUMMYFUNCTION("""COMPUTED_VALUE"""),44755.1632927893)</f>
        <v>44755.16329</v>
      </c>
      <c r="D3977" s="15">
        <f>IFERROR(__xludf.DUMMYFUNCTION("""COMPUTED_VALUE"""),1.004)</f>
        <v>1.004</v>
      </c>
      <c r="E3977" s="16">
        <f>IFERROR(__xludf.DUMMYFUNCTION("""COMPUTED_VALUE"""),69.0)</f>
        <v>69</v>
      </c>
      <c r="F3977" s="19" t="str">
        <f>IFERROR(__xludf.DUMMYFUNCTION("""COMPUTED_VALUE"""),"BLACK")</f>
        <v>BLACK</v>
      </c>
      <c r="G3977" s="20" t="str">
        <f>IFERROR(__xludf.DUMMYFUNCTION("""COMPUTED_VALUE"""),"Uncle Sams Cider (5/13/2022)")</f>
        <v>Uncle Sams Cider (5/13/2022)</v>
      </c>
      <c r="H3977" s="19"/>
    </row>
    <row r="3978">
      <c r="A3978" s="9"/>
      <c r="B3978" s="15"/>
      <c r="C3978" s="9">
        <f>IFERROR(__xludf.DUMMYFUNCTION("""COMPUTED_VALUE"""),44755.1528590162)</f>
        <v>44755.15286</v>
      </c>
      <c r="D3978" s="15">
        <f>IFERROR(__xludf.DUMMYFUNCTION("""COMPUTED_VALUE"""),1.004)</f>
        <v>1.004</v>
      </c>
      <c r="E3978" s="16">
        <f>IFERROR(__xludf.DUMMYFUNCTION("""COMPUTED_VALUE"""),69.0)</f>
        <v>69</v>
      </c>
      <c r="F3978" s="19" t="str">
        <f>IFERROR(__xludf.DUMMYFUNCTION("""COMPUTED_VALUE"""),"BLACK")</f>
        <v>BLACK</v>
      </c>
      <c r="G3978" s="20" t="str">
        <f>IFERROR(__xludf.DUMMYFUNCTION("""COMPUTED_VALUE"""),"Uncle Sams Cider (5/13/2022)")</f>
        <v>Uncle Sams Cider (5/13/2022)</v>
      </c>
      <c r="H3978" s="19"/>
    </row>
    <row r="3979">
      <c r="A3979" s="9"/>
      <c r="B3979" s="15"/>
      <c r="C3979" s="9">
        <f>IFERROR(__xludf.DUMMYFUNCTION("""COMPUTED_VALUE"""),44755.1424267245)</f>
        <v>44755.14243</v>
      </c>
      <c r="D3979" s="15">
        <f>IFERROR(__xludf.DUMMYFUNCTION("""COMPUTED_VALUE"""),1.004)</f>
        <v>1.004</v>
      </c>
      <c r="E3979" s="16">
        <f>IFERROR(__xludf.DUMMYFUNCTION("""COMPUTED_VALUE"""),69.0)</f>
        <v>69</v>
      </c>
      <c r="F3979" s="19" t="str">
        <f>IFERROR(__xludf.DUMMYFUNCTION("""COMPUTED_VALUE"""),"BLACK")</f>
        <v>BLACK</v>
      </c>
      <c r="G3979" s="20" t="str">
        <f>IFERROR(__xludf.DUMMYFUNCTION("""COMPUTED_VALUE"""),"Uncle Sams Cider (5/13/2022)")</f>
        <v>Uncle Sams Cider (5/13/2022)</v>
      </c>
      <c r="H3979" s="19"/>
    </row>
    <row r="3980">
      <c r="A3980" s="9"/>
      <c r="B3980" s="15"/>
      <c r="C3980" s="9">
        <f>IFERROR(__xludf.DUMMYFUNCTION("""COMPUTED_VALUE"""),44755.1319937963)</f>
        <v>44755.13199</v>
      </c>
      <c r="D3980" s="15">
        <f>IFERROR(__xludf.DUMMYFUNCTION("""COMPUTED_VALUE"""),1.004)</f>
        <v>1.004</v>
      </c>
      <c r="E3980" s="16">
        <f>IFERROR(__xludf.DUMMYFUNCTION("""COMPUTED_VALUE"""),69.0)</f>
        <v>69</v>
      </c>
      <c r="F3980" s="19" t="str">
        <f>IFERROR(__xludf.DUMMYFUNCTION("""COMPUTED_VALUE"""),"BLACK")</f>
        <v>BLACK</v>
      </c>
      <c r="G3980" s="20" t="str">
        <f>IFERROR(__xludf.DUMMYFUNCTION("""COMPUTED_VALUE"""),"Uncle Sams Cider (5/13/2022)")</f>
        <v>Uncle Sams Cider (5/13/2022)</v>
      </c>
      <c r="H3980" s="19"/>
    </row>
    <row r="3981">
      <c r="A3981" s="9"/>
      <c r="B3981" s="15"/>
      <c r="C3981" s="9">
        <f>IFERROR(__xludf.DUMMYFUNCTION("""COMPUTED_VALUE"""),44755.121572581)</f>
        <v>44755.12157</v>
      </c>
      <c r="D3981" s="15">
        <f>IFERROR(__xludf.DUMMYFUNCTION("""COMPUTED_VALUE"""),1.004)</f>
        <v>1.004</v>
      </c>
      <c r="E3981" s="16">
        <f>IFERROR(__xludf.DUMMYFUNCTION("""COMPUTED_VALUE"""),69.0)</f>
        <v>69</v>
      </c>
      <c r="F3981" s="19" t="str">
        <f>IFERROR(__xludf.DUMMYFUNCTION("""COMPUTED_VALUE"""),"BLACK")</f>
        <v>BLACK</v>
      </c>
      <c r="G3981" s="20" t="str">
        <f>IFERROR(__xludf.DUMMYFUNCTION("""COMPUTED_VALUE"""),"Uncle Sams Cider (5/13/2022)")</f>
        <v>Uncle Sams Cider (5/13/2022)</v>
      </c>
      <c r="H3981" s="19"/>
    </row>
    <row r="3982">
      <c r="A3982" s="9"/>
      <c r="B3982" s="15"/>
      <c r="C3982" s="9">
        <f>IFERROR(__xludf.DUMMYFUNCTION("""COMPUTED_VALUE"""),44755.1111510416)</f>
        <v>44755.11115</v>
      </c>
      <c r="D3982" s="15">
        <f>IFERROR(__xludf.DUMMYFUNCTION("""COMPUTED_VALUE"""),1.004)</f>
        <v>1.004</v>
      </c>
      <c r="E3982" s="16">
        <f>IFERROR(__xludf.DUMMYFUNCTION("""COMPUTED_VALUE"""),69.0)</f>
        <v>69</v>
      </c>
      <c r="F3982" s="19" t="str">
        <f>IFERROR(__xludf.DUMMYFUNCTION("""COMPUTED_VALUE"""),"BLACK")</f>
        <v>BLACK</v>
      </c>
      <c r="G3982" s="20" t="str">
        <f>IFERROR(__xludf.DUMMYFUNCTION("""COMPUTED_VALUE"""),"Uncle Sams Cider (5/13/2022)")</f>
        <v>Uncle Sams Cider (5/13/2022)</v>
      </c>
      <c r="H3982" s="19"/>
    </row>
    <row r="3983">
      <c r="A3983" s="9"/>
      <c r="B3983" s="15"/>
      <c r="C3983" s="9">
        <f>IFERROR(__xludf.DUMMYFUNCTION("""COMPUTED_VALUE"""),44755.1007187615)</f>
        <v>44755.10072</v>
      </c>
      <c r="D3983" s="15">
        <f>IFERROR(__xludf.DUMMYFUNCTION("""COMPUTED_VALUE"""),1.004)</f>
        <v>1.004</v>
      </c>
      <c r="E3983" s="16">
        <f>IFERROR(__xludf.DUMMYFUNCTION("""COMPUTED_VALUE"""),69.0)</f>
        <v>69</v>
      </c>
      <c r="F3983" s="19" t="str">
        <f>IFERROR(__xludf.DUMMYFUNCTION("""COMPUTED_VALUE"""),"BLACK")</f>
        <v>BLACK</v>
      </c>
      <c r="G3983" s="20" t="str">
        <f>IFERROR(__xludf.DUMMYFUNCTION("""COMPUTED_VALUE"""),"Uncle Sams Cider (5/13/2022)")</f>
        <v>Uncle Sams Cider (5/13/2022)</v>
      </c>
      <c r="H3983" s="19"/>
    </row>
    <row r="3984">
      <c r="A3984" s="9"/>
      <c r="B3984" s="15"/>
      <c r="C3984" s="9">
        <f>IFERROR(__xludf.DUMMYFUNCTION("""COMPUTED_VALUE"""),44755.0902974652)</f>
        <v>44755.0903</v>
      </c>
      <c r="D3984" s="15">
        <f>IFERROR(__xludf.DUMMYFUNCTION("""COMPUTED_VALUE"""),1.004)</f>
        <v>1.004</v>
      </c>
      <c r="E3984" s="16">
        <f>IFERROR(__xludf.DUMMYFUNCTION("""COMPUTED_VALUE"""),69.0)</f>
        <v>69</v>
      </c>
      <c r="F3984" s="19" t="str">
        <f>IFERROR(__xludf.DUMMYFUNCTION("""COMPUTED_VALUE"""),"BLACK")</f>
        <v>BLACK</v>
      </c>
      <c r="G3984" s="20" t="str">
        <f>IFERROR(__xludf.DUMMYFUNCTION("""COMPUTED_VALUE"""),"Uncle Sams Cider (5/13/2022)")</f>
        <v>Uncle Sams Cider (5/13/2022)</v>
      </c>
      <c r="H3984" s="19"/>
    </row>
    <row r="3985">
      <c r="A3985" s="9"/>
      <c r="B3985" s="15"/>
      <c r="C3985" s="9">
        <f>IFERROR(__xludf.DUMMYFUNCTION("""COMPUTED_VALUE"""),44755.0798776041)</f>
        <v>44755.07988</v>
      </c>
      <c r="D3985" s="15">
        <f>IFERROR(__xludf.DUMMYFUNCTION("""COMPUTED_VALUE"""),1.004)</f>
        <v>1.004</v>
      </c>
      <c r="E3985" s="16">
        <f>IFERROR(__xludf.DUMMYFUNCTION("""COMPUTED_VALUE"""),69.0)</f>
        <v>69</v>
      </c>
      <c r="F3985" s="19" t="str">
        <f>IFERROR(__xludf.DUMMYFUNCTION("""COMPUTED_VALUE"""),"BLACK")</f>
        <v>BLACK</v>
      </c>
      <c r="G3985" s="20" t="str">
        <f>IFERROR(__xludf.DUMMYFUNCTION("""COMPUTED_VALUE"""),"Uncle Sams Cider (5/13/2022)")</f>
        <v>Uncle Sams Cider (5/13/2022)</v>
      </c>
      <c r="H3985" s="19"/>
    </row>
    <row r="3986">
      <c r="A3986" s="9"/>
      <c r="B3986" s="15"/>
      <c r="C3986" s="9">
        <f>IFERROR(__xludf.DUMMYFUNCTION("""COMPUTED_VALUE"""),44755.0694557986)</f>
        <v>44755.06946</v>
      </c>
      <c r="D3986" s="15">
        <f>IFERROR(__xludf.DUMMYFUNCTION("""COMPUTED_VALUE"""),1.004)</f>
        <v>1.004</v>
      </c>
      <c r="E3986" s="16">
        <f>IFERROR(__xludf.DUMMYFUNCTION("""COMPUTED_VALUE"""),69.0)</f>
        <v>69</v>
      </c>
      <c r="F3986" s="19" t="str">
        <f>IFERROR(__xludf.DUMMYFUNCTION("""COMPUTED_VALUE"""),"BLACK")</f>
        <v>BLACK</v>
      </c>
      <c r="G3986" s="20" t="str">
        <f>IFERROR(__xludf.DUMMYFUNCTION("""COMPUTED_VALUE"""),"Uncle Sams Cider (5/13/2022)")</f>
        <v>Uncle Sams Cider (5/13/2022)</v>
      </c>
      <c r="H3986" s="19"/>
    </row>
    <row r="3987">
      <c r="A3987" s="9"/>
      <c r="B3987" s="15"/>
      <c r="C3987" s="9">
        <f>IFERROR(__xludf.DUMMYFUNCTION("""COMPUTED_VALUE"""),44755.0590354861)</f>
        <v>44755.05904</v>
      </c>
      <c r="D3987" s="15">
        <f>IFERROR(__xludf.DUMMYFUNCTION("""COMPUTED_VALUE"""),1.004)</f>
        <v>1.004</v>
      </c>
      <c r="E3987" s="16">
        <f>IFERROR(__xludf.DUMMYFUNCTION("""COMPUTED_VALUE"""),69.0)</f>
        <v>69</v>
      </c>
      <c r="F3987" s="19" t="str">
        <f>IFERROR(__xludf.DUMMYFUNCTION("""COMPUTED_VALUE"""),"BLACK")</f>
        <v>BLACK</v>
      </c>
      <c r="G3987" s="20" t="str">
        <f>IFERROR(__xludf.DUMMYFUNCTION("""COMPUTED_VALUE"""),"Uncle Sams Cider (5/13/2022)")</f>
        <v>Uncle Sams Cider (5/13/2022)</v>
      </c>
      <c r="H3987" s="19"/>
    </row>
    <row r="3988">
      <c r="A3988" s="9"/>
      <c r="B3988" s="15"/>
      <c r="C3988" s="9">
        <f>IFERROR(__xludf.DUMMYFUNCTION("""COMPUTED_VALUE"""),44755.0486149074)</f>
        <v>44755.04861</v>
      </c>
      <c r="D3988" s="15">
        <f>IFERROR(__xludf.DUMMYFUNCTION("""COMPUTED_VALUE"""),1.004)</f>
        <v>1.004</v>
      </c>
      <c r="E3988" s="16">
        <f>IFERROR(__xludf.DUMMYFUNCTION("""COMPUTED_VALUE"""),69.0)</f>
        <v>69</v>
      </c>
      <c r="F3988" s="19" t="str">
        <f>IFERROR(__xludf.DUMMYFUNCTION("""COMPUTED_VALUE"""),"BLACK")</f>
        <v>BLACK</v>
      </c>
      <c r="G3988" s="20" t="str">
        <f>IFERROR(__xludf.DUMMYFUNCTION("""COMPUTED_VALUE"""),"Uncle Sams Cider (5/13/2022)")</f>
        <v>Uncle Sams Cider (5/13/2022)</v>
      </c>
      <c r="H3988" s="19"/>
    </row>
    <row r="3989">
      <c r="A3989" s="9"/>
      <c r="B3989" s="15"/>
      <c r="C3989" s="9">
        <f>IFERROR(__xludf.DUMMYFUNCTION("""COMPUTED_VALUE"""),44755.0381813773)</f>
        <v>44755.03818</v>
      </c>
      <c r="D3989" s="15">
        <f>IFERROR(__xludf.DUMMYFUNCTION("""COMPUTED_VALUE"""),1.004)</f>
        <v>1.004</v>
      </c>
      <c r="E3989" s="16">
        <f>IFERROR(__xludf.DUMMYFUNCTION("""COMPUTED_VALUE"""),69.0)</f>
        <v>69</v>
      </c>
      <c r="F3989" s="19" t="str">
        <f>IFERROR(__xludf.DUMMYFUNCTION("""COMPUTED_VALUE"""),"BLACK")</f>
        <v>BLACK</v>
      </c>
      <c r="G3989" s="20" t="str">
        <f>IFERROR(__xludf.DUMMYFUNCTION("""COMPUTED_VALUE"""),"Uncle Sams Cider (5/13/2022)")</f>
        <v>Uncle Sams Cider (5/13/2022)</v>
      </c>
      <c r="H3989" s="19"/>
    </row>
    <row r="3990">
      <c r="A3990" s="9"/>
      <c r="B3990" s="15"/>
      <c r="C3990" s="9">
        <f>IFERROR(__xludf.DUMMYFUNCTION("""COMPUTED_VALUE"""),44755.0277582291)</f>
        <v>44755.02776</v>
      </c>
      <c r="D3990" s="15">
        <f>IFERROR(__xludf.DUMMYFUNCTION("""COMPUTED_VALUE"""),1.004)</f>
        <v>1.004</v>
      </c>
      <c r="E3990" s="16">
        <f>IFERROR(__xludf.DUMMYFUNCTION("""COMPUTED_VALUE"""),69.0)</f>
        <v>69</v>
      </c>
      <c r="F3990" s="19" t="str">
        <f>IFERROR(__xludf.DUMMYFUNCTION("""COMPUTED_VALUE"""),"BLACK")</f>
        <v>BLACK</v>
      </c>
      <c r="G3990" s="20" t="str">
        <f>IFERROR(__xludf.DUMMYFUNCTION("""COMPUTED_VALUE"""),"Uncle Sams Cider (5/13/2022)")</f>
        <v>Uncle Sams Cider (5/13/2022)</v>
      </c>
      <c r="H3990" s="19"/>
    </row>
    <row r="3991">
      <c r="A3991" s="9"/>
      <c r="B3991" s="15"/>
      <c r="C3991" s="9">
        <f>IFERROR(__xludf.DUMMYFUNCTION("""COMPUTED_VALUE"""),44755.0173378935)</f>
        <v>44755.01734</v>
      </c>
      <c r="D3991" s="15">
        <f>IFERROR(__xludf.DUMMYFUNCTION("""COMPUTED_VALUE"""),1.004)</f>
        <v>1.004</v>
      </c>
      <c r="E3991" s="16">
        <f>IFERROR(__xludf.DUMMYFUNCTION("""COMPUTED_VALUE"""),69.0)</f>
        <v>69</v>
      </c>
      <c r="F3991" s="19" t="str">
        <f>IFERROR(__xludf.DUMMYFUNCTION("""COMPUTED_VALUE"""),"BLACK")</f>
        <v>BLACK</v>
      </c>
      <c r="G3991" s="20" t="str">
        <f>IFERROR(__xludf.DUMMYFUNCTION("""COMPUTED_VALUE"""),"Uncle Sams Cider (5/13/2022)")</f>
        <v>Uncle Sams Cider (5/13/2022)</v>
      </c>
      <c r="H3991" s="19"/>
    </row>
    <row r="3992">
      <c r="A3992" s="9"/>
      <c r="B3992" s="15"/>
      <c r="C3992" s="9">
        <f>IFERROR(__xludf.DUMMYFUNCTION("""COMPUTED_VALUE"""),44755.0069163194)</f>
        <v>44755.00692</v>
      </c>
      <c r="D3992" s="15">
        <f>IFERROR(__xludf.DUMMYFUNCTION("""COMPUTED_VALUE"""),1.004)</f>
        <v>1.004</v>
      </c>
      <c r="E3992" s="16">
        <f>IFERROR(__xludf.DUMMYFUNCTION("""COMPUTED_VALUE"""),69.0)</f>
        <v>69</v>
      </c>
      <c r="F3992" s="19" t="str">
        <f>IFERROR(__xludf.DUMMYFUNCTION("""COMPUTED_VALUE"""),"BLACK")</f>
        <v>BLACK</v>
      </c>
      <c r="G3992" s="20" t="str">
        <f>IFERROR(__xludf.DUMMYFUNCTION("""COMPUTED_VALUE"""),"Uncle Sams Cider (5/13/2022)")</f>
        <v>Uncle Sams Cider (5/13/2022)</v>
      </c>
      <c r="H3992" s="19"/>
    </row>
    <row r="3993">
      <c r="A3993" s="9"/>
      <c r="B3993" s="15"/>
      <c r="C3993" s="9">
        <f>IFERROR(__xludf.DUMMYFUNCTION("""COMPUTED_VALUE"""),44754.9964942476)</f>
        <v>44754.99649</v>
      </c>
      <c r="D3993" s="15">
        <f>IFERROR(__xludf.DUMMYFUNCTION("""COMPUTED_VALUE"""),1.004)</f>
        <v>1.004</v>
      </c>
      <c r="E3993" s="16">
        <f>IFERROR(__xludf.DUMMYFUNCTION("""COMPUTED_VALUE"""),69.0)</f>
        <v>69</v>
      </c>
      <c r="F3993" s="19" t="str">
        <f>IFERROR(__xludf.DUMMYFUNCTION("""COMPUTED_VALUE"""),"BLACK")</f>
        <v>BLACK</v>
      </c>
      <c r="G3993" s="20" t="str">
        <f>IFERROR(__xludf.DUMMYFUNCTION("""COMPUTED_VALUE"""),"Uncle Sams Cider (5/13/2022)")</f>
        <v>Uncle Sams Cider (5/13/2022)</v>
      </c>
      <c r="H3993" s="19"/>
    </row>
    <row r="3994">
      <c r="A3994" s="9"/>
      <c r="B3994" s="15"/>
      <c r="C3994" s="9">
        <f>IFERROR(__xludf.DUMMYFUNCTION("""COMPUTED_VALUE"""),44754.9860719212)</f>
        <v>44754.98607</v>
      </c>
      <c r="D3994" s="15">
        <f>IFERROR(__xludf.DUMMYFUNCTION("""COMPUTED_VALUE"""),1.004)</f>
        <v>1.004</v>
      </c>
      <c r="E3994" s="16">
        <f>IFERROR(__xludf.DUMMYFUNCTION("""COMPUTED_VALUE"""),69.0)</f>
        <v>69</v>
      </c>
      <c r="F3994" s="19" t="str">
        <f>IFERROR(__xludf.DUMMYFUNCTION("""COMPUTED_VALUE"""),"BLACK")</f>
        <v>BLACK</v>
      </c>
      <c r="G3994" s="20" t="str">
        <f>IFERROR(__xludf.DUMMYFUNCTION("""COMPUTED_VALUE"""),"Uncle Sams Cider (5/13/2022)")</f>
        <v>Uncle Sams Cider (5/13/2022)</v>
      </c>
      <c r="H3994" s="19"/>
    </row>
    <row r="3995">
      <c r="A3995" s="9"/>
      <c r="B3995" s="15"/>
      <c r="C3995" s="9">
        <f>IFERROR(__xludf.DUMMYFUNCTION("""COMPUTED_VALUE"""),44754.9756508449)</f>
        <v>44754.97565</v>
      </c>
      <c r="D3995" s="15">
        <f>IFERROR(__xludf.DUMMYFUNCTION("""COMPUTED_VALUE"""),1.004)</f>
        <v>1.004</v>
      </c>
      <c r="E3995" s="16">
        <f>IFERROR(__xludf.DUMMYFUNCTION("""COMPUTED_VALUE"""),69.0)</f>
        <v>69</v>
      </c>
      <c r="F3995" s="19" t="str">
        <f>IFERROR(__xludf.DUMMYFUNCTION("""COMPUTED_VALUE"""),"BLACK")</f>
        <v>BLACK</v>
      </c>
      <c r="G3995" s="20" t="str">
        <f>IFERROR(__xludf.DUMMYFUNCTION("""COMPUTED_VALUE"""),"Uncle Sams Cider (5/13/2022)")</f>
        <v>Uncle Sams Cider (5/13/2022)</v>
      </c>
      <c r="H3995" s="19"/>
    </row>
    <row r="3996">
      <c r="A3996" s="9"/>
      <c r="B3996" s="15"/>
      <c r="C3996" s="9">
        <f>IFERROR(__xludf.DUMMYFUNCTION("""COMPUTED_VALUE"""),44754.9652295254)</f>
        <v>44754.96523</v>
      </c>
      <c r="D3996" s="15">
        <f>IFERROR(__xludf.DUMMYFUNCTION("""COMPUTED_VALUE"""),1.004)</f>
        <v>1.004</v>
      </c>
      <c r="E3996" s="16">
        <f>IFERROR(__xludf.DUMMYFUNCTION("""COMPUTED_VALUE"""),69.0)</f>
        <v>69</v>
      </c>
      <c r="F3996" s="19" t="str">
        <f>IFERROR(__xludf.DUMMYFUNCTION("""COMPUTED_VALUE"""),"BLACK")</f>
        <v>BLACK</v>
      </c>
      <c r="G3996" s="20" t="str">
        <f>IFERROR(__xludf.DUMMYFUNCTION("""COMPUTED_VALUE"""),"Uncle Sams Cider (5/13/2022)")</f>
        <v>Uncle Sams Cider (5/13/2022)</v>
      </c>
      <c r="H3996" s="19"/>
    </row>
    <row r="3997">
      <c r="A3997" s="9"/>
      <c r="B3997" s="15"/>
      <c r="C3997" s="9">
        <f>IFERROR(__xludf.DUMMYFUNCTION("""COMPUTED_VALUE"""),44754.9548108912)</f>
        <v>44754.95481</v>
      </c>
      <c r="D3997" s="15">
        <f>IFERROR(__xludf.DUMMYFUNCTION("""COMPUTED_VALUE"""),1.004)</f>
        <v>1.004</v>
      </c>
      <c r="E3997" s="16">
        <f>IFERROR(__xludf.DUMMYFUNCTION("""COMPUTED_VALUE"""),69.0)</f>
        <v>69</v>
      </c>
      <c r="F3997" s="19" t="str">
        <f>IFERROR(__xludf.DUMMYFUNCTION("""COMPUTED_VALUE"""),"BLACK")</f>
        <v>BLACK</v>
      </c>
      <c r="G3997" s="20" t="str">
        <f>IFERROR(__xludf.DUMMYFUNCTION("""COMPUTED_VALUE"""),"Uncle Sams Cider (5/13/2022)")</f>
        <v>Uncle Sams Cider (5/13/2022)</v>
      </c>
      <c r="H3997" s="19"/>
    </row>
    <row r="3998">
      <c r="A3998" s="9"/>
      <c r="B3998" s="15"/>
      <c r="C3998" s="9">
        <f>IFERROR(__xludf.DUMMYFUNCTION("""COMPUTED_VALUE"""),44754.9443890162)</f>
        <v>44754.94439</v>
      </c>
      <c r="D3998" s="15">
        <f>IFERROR(__xludf.DUMMYFUNCTION("""COMPUTED_VALUE"""),1.004)</f>
        <v>1.004</v>
      </c>
      <c r="E3998" s="16">
        <f>IFERROR(__xludf.DUMMYFUNCTION("""COMPUTED_VALUE"""),69.0)</f>
        <v>69</v>
      </c>
      <c r="F3998" s="19" t="str">
        <f>IFERROR(__xludf.DUMMYFUNCTION("""COMPUTED_VALUE"""),"BLACK")</f>
        <v>BLACK</v>
      </c>
      <c r="G3998" s="20" t="str">
        <f>IFERROR(__xludf.DUMMYFUNCTION("""COMPUTED_VALUE"""),"Uncle Sams Cider (5/13/2022)")</f>
        <v>Uncle Sams Cider (5/13/2022)</v>
      </c>
      <c r="H3998" s="19"/>
    </row>
    <row r="3999">
      <c r="A3999" s="9"/>
      <c r="B3999" s="15"/>
      <c r="C3999" s="9">
        <f>IFERROR(__xludf.DUMMYFUNCTION("""COMPUTED_VALUE"""),44754.9339696412)</f>
        <v>44754.93397</v>
      </c>
      <c r="D3999" s="15">
        <f>IFERROR(__xludf.DUMMYFUNCTION("""COMPUTED_VALUE"""),1.004)</f>
        <v>1.004</v>
      </c>
      <c r="E3999" s="16">
        <f>IFERROR(__xludf.DUMMYFUNCTION("""COMPUTED_VALUE"""),69.0)</f>
        <v>69</v>
      </c>
      <c r="F3999" s="19" t="str">
        <f>IFERROR(__xludf.DUMMYFUNCTION("""COMPUTED_VALUE"""),"BLACK")</f>
        <v>BLACK</v>
      </c>
      <c r="G3999" s="20" t="str">
        <f>IFERROR(__xludf.DUMMYFUNCTION("""COMPUTED_VALUE"""),"Uncle Sams Cider (5/13/2022)")</f>
        <v>Uncle Sams Cider (5/13/2022)</v>
      </c>
      <c r="H3999" s="19"/>
    </row>
    <row r="4000">
      <c r="A4000" s="9"/>
      <c r="B4000" s="15"/>
      <c r="C4000" s="9">
        <f>IFERROR(__xludf.DUMMYFUNCTION("""COMPUTED_VALUE"""),44754.9235463888)</f>
        <v>44754.92355</v>
      </c>
      <c r="D4000" s="15">
        <f>IFERROR(__xludf.DUMMYFUNCTION("""COMPUTED_VALUE"""),1.004)</f>
        <v>1.004</v>
      </c>
      <c r="E4000" s="16">
        <f>IFERROR(__xludf.DUMMYFUNCTION("""COMPUTED_VALUE"""),69.0)</f>
        <v>69</v>
      </c>
      <c r="F4000" s="19" t="str">
        <f>IFERROR(__xludf.DUMMYFUNCTION("""COMPUTED_VALUE"""),"BLACK")</f>
        <v>BLACK</v>
      </c>
      <c r="G4000" s="20" t="str">
        <f>IFERROR(__xludf.DUMMYFUNCTION("""COMPUTED_VALUE"""),"Uncle Sams Cider (5/13/2022)")</f>
        <v>Uncle Sams Cider (5/13/2022)</v>
      </c>
      <c r="H4000" s="19"/>
    </row>
    <row r="4001">
      <c r="A4001" s="9"/>
      <c r="B4001" s="15"/>
      <c r="C4001" s="9">
        <f>IFERROR(__xludf.DUMMYFUNCTION("""COMPUTED_VALUE"""),44754.9131236226)</f>
        <v>44754.91312</v>
      </c>
      <c r="D4001" s="15">
        <f>IFERROR(__xludf.DUMMYFUNCTION("""COMPUTED_VALUE"""),1.004)</f>
        <v>1.004</v>
      </c>
      <c r="E4001" s="16">
        <f>IFERROR(__xludf.DUMMYFUNCTION("""COMPUTED_VALUE"""),69.0)</f>
        <v>69</v>
      </c>
      <c r="F4001" s="19" t="str">
        <f>IFERROR(__xludf.DUMMYFUNCTION("""COMPUTED_VALUE"""),"BLACK")</f>
        <v>BLACK</v>
      </c>
      <c r="G4001" s="20" t="str">
        <f>IFERROR(__xludf.DUMMYFUNCTION("""COMPUTED_VALUE"""),"Uncle Sams Cider (5/13/2022)")</f>
        <v>Uncle Sams Cider (5/13/2022)</v>
      </c>
      <c r="H4001" s="19"/>
    </row>
    <row r="4002">
      <c r="A4002" s="9"/>
      <c r="B4002" s="15"/>
      <c r="C4002" s="9">
        <f>IFERROR(__xludf.DUMMYFUNCTION("""COMPUTED_VALUE"""),44754.9026897222)</f>
        <v>44754.90269</v>
      </c>
      <c r="D4002" s="15">
        <f>IFERROR(__xludf.DUMMYFUNCTION("""COMPUTED_VALUE"""),1.004)</f>
        <v>1.004</v>
      </c>
      <c r="E4002" s="16">
        <f>IFERROR(__xludf.DUMMYFUNCTION("""COMPUTED_VALUE"""),69.0)</f>
        <v>69</v>
      </c>
      <c r="F4002" s="19" t="str">
        <f>IFERROR(__xludf.DUMMYFUNCTION("""COMPUTED_VALUE"""),"BLACK")</f>
        <v>BLACK</v>
      </c>
      <c r="G4002" s="20" t="str">
        <f>IFERROR(__xludf.DUMMYFUNCTION("""COMPUTED_VALUE"""),"Uncle Sams Cider (5/13/2022)")</f>
        <v>Uncle Sams Cider (5/13/2022)</v>
      </c>
      <c r="H4002" s="19"/>
    </row>
    <row r="4003">
      <c r="A4003" s="9"/>
      <c r="B4003" s="15"/>
      <c r="C4003" s="9">
        <f>IFERROR(__xludf.DUMMYFUNCTION("""COMPUTED_VALUE"""),44754.8922698842)</f>
        <v>44754.89227</v>
      </c>
      <c r="D4003" s="15">
        <f>IFERROR(__xludf.DUMMYFUNCTION("""COMPUTED_VALUE"""),1.004)</f>
        <v>1.004</v>
      </c>
      <c r="E4003" s="16">
        <f>IFERROR(__xludf.DUMMYFUNCTION("""COMPUTED_VALUE"""),69.0)</f>
        <v>69</v>
      </c>
      <c r="F4003" s="19" t="str">
        <f>IFERROR(__xludf.DUMMYFUNCTION("""COMPUTED_VALUE"""),"BLACK")</f>
        <v>BLACK</v>
      </c>
      <c r="G4003" s="20" t="str">
        <f>IFERROR(__xludf.DUMMYFUNCTION("""COMPUTED_VALUE"""),"Uncle Sams Cider (5/13/2022)")</f>
        <v>Uncle Sams Cider (5/13/2022)</v>
      </c>
      <c r="H4003" s="19"/>
    </row>
    <row r="4004">
      <c r="A4004" s="9"/>
      <c r="B4004" s="15"/>
      <c r="C4004" s="9">
        <f>IFERROR(__xludf.DUMMYFUNCTION("""COMPUTED_VALUE"""),44754.8818482523)</f>
        <v>44754.88185</v>
      </c>
      <c r="D4004" s="15">
        <f>IFERROR(__xludf.DUMMYFUNCTION("""COMPUTED_VALUE"""),1.004)</f>
        <v>1.004</v>
      </c>
      <c r="E4004" s="16">
        <f>IFERROR(__xludf.DUMMYFUNCTION("""COMPUTED_VALUE"""),69.0)</f>
        <v>69</v>
      </c>
      <c r="F4004" s="19" t="str">
        <f>IFERROR(__xludf.DUMMYFUNCTION("""COMPUTED_VALUE"""),"BLACK")</f>
        <v>BLACK</v>
      </c>
      <c r="G4004" s="20" t="str">
        <f>IFERROR(__xludf.DUMMYFUNCTION("""COMPUTED_VALUE"""),"Uncle Sams Cider (5/13/2022)")</f>
        <v>Uncle Sams Cider (5/13/2022)</v>
      </c>
      <c r="H4004" s="19"/>
    </row>
    <row r="4005">
      <c r="A4005" s="9"/>
      <c r="B4005" s="15"/>
      <c r="C4005" s="9">
        <f>IFERROR(__xludf.DUMMYFUNCTION("""COMPUTED_VALUE"""),44754.8714268055)</f>
        <v>44754.87143</v>
      </c>
      <c r="D4005" s="15">
        <f>IFERROR(__xludf.DUMMYFUNCTION("""COMPUTED_VALUE"""),1.004)</f>
        <v>1.004</v>
      </c>
      <c r="E4005" s="16">
        <f>IFERROR(__xludf.DUMMYFUNCTION("""COMPUTED_VALUE"""),69.0)</f>
        <v>69</v>
      </c>
      <c r="F4005" s="19" t="str">
        <f>IFERROR(__xludf.DUMMYFUNCTION("""COMPUTED_VALUE"""),"BLACK")</f>
        <v>BLACK</v>
      </c>
      <c r="G4005" s="20" t="str">
        <f>IFERROR(__xludf.DUMMYFUNCTION("""COMPUTED_VALUE"""),"Uncle Sams Cider (5/13/2022)")</f>
        <v>Uncle Sams Cider (5/13/2022)</v>
      </c>
      <c r="H4005" s="19"/>
    </row>
    <row r="4006">
      <c r="A4006" s="9"/>
      <c r="B4006" s="15"/>
      <c r="C4006" s="9">
        <f>IFERROR(__xludf.DUMMYFUNCTION("""COMPUTED_VALUE"""),44754.8609932754)</f>
        <v>44754.86099</v>
      </c>
      <c r="D4006" s="15">
        <f>IFERROR(__xludf.DUMMYFUNCTION("""COMPUTED_VALUE"""),1.004)</f>
        <v>1.004</v>
      </c>
      <c r="E4006" s="16">
        <f>IFERROR(__xludf.DUMMYFUNCTION("""COMPUTED_VALUE"""),69.0)</f>
        <v>69</v>
      </c>
      <c r="F4006" s="19" t="str">
        <f>IFERROR(__xludf.DUMMYFUNCTION("""COMPUTED_VALUE"""),"BLACK")</f>
        <v>BLACK</v>
      </c>
      <c r="G4006" s="20" t="str">
        <f>IFERROR(__xludf.DUMMYFUNCTION("""COMPUTED_VALUE"""),"Uncle Sams Cider (5/13/2022)")</f>
        <v>Uncle Sams Cider (5/13/2022)</v>
      </c>
      <c r="H4006" s="19"/>
    </row>
    <row r="4007">
      <c r="A4007" s="9"/>
      <c r="B4007" s="15"/>
      <c r="C4007" s="9">
        <f>IFERROR(__xludf.DUMMYFUNCTION("""COMPUTED_VALUE"""),44754.8505729398)</f>
        <v>44754.85057</v>
      </c>
      <c r="D4007" s="15">
        <f>IFERROR(__xludf.DUMMYFUNCTION("""COMPUTED_VALUE"""),1.004)</f>
        <v>1.004</v>
      </c>
      <c r="E4007" s="16">
        <f>IFERROR(__xludf.DUMMYFUNCTION("""COMPUTED_VALUE"""),69.0)</f>
        <v>69</v>
      </c>
      <c r="F4007" s="19" t="str">
        <f>IFERROR(__xludf.DUMMYFUNCTION("""COMPUTED_VALUE"""),"BLACK")</f>
        <v>BLACK</v>
      </c>
      <c r="G4007" s="20" t="str">
        <f>IFERROR(__xludf.DUMMYFUNCTION("""COMPUTED_VALUE"""),"Uncle Sams Cider (5/13/2022)")</f>
        <v>Uncle Sams Cider (5/13/2022)</v>
      </c>
      <c r="H4007" s="19"/>
    </row>
    <row r="4008">
      <c r="A4008" s="9"/>
      <c r="B4008" s="15"/>
      <c r="C4008" s="9">
        <f>IFERROR(__xludf.DUMMYFUNCTION("""COMPUTED_VALUE"""),44754.8401518865)</f>
        <v>44754.84015</v>
      </c>
      <c r="D4008" s="15">
        <f>IFERROR(__xludf.DUMMYFUNCTION("""COMPUTED_VALUE"""),1.004)</f>
        <v>1.004</v>
      </c>
      <c r="E4008" s="16">
        <f>IFERROR(__xludf.DUMMYFUNCTION("""COMPUTED_VALUE"""),69.0)</f>
        <v>69</v>
      </c>
      <c r="F4008" s="19" t="str">
        <f>IFERROR(__xludf.DUMMYFUNCTION("""COMPUTED_VALUE"""),"BLACK")</f>
        <v>BLACK</v>
      </c>
      <c r="G4008" s="20" t="str">
        <f>IFERROR(__xludf.DUMMYFUNCTION("""COMPUTED_VALUE"""),"Uncle Sams Cider (5/13/2022)")</f>
        <v>Uncle Sams Cider (5/13/2022)</v>
      </c>
      <c r="H4008" s="19"/>
    </row>
    <row r="4009">
      <c r="A4009" s="9"/>
      <c r="B4009" s="15"/>
      <c r="C4009" s="9">
        <f>IFERROR(__xludf.DUMMYFUNCTION("""COMPUTED_VALUE"""),44754.8297295717)</f>
        <v>44754.82973</v>
      </c>
      <c r="D4009" s="15">
        <f>IFERROR(__xludf.DUMMYFUNCTION("""COMPUTED_VALUE"""),1.004)</f>
        <v>1.004</v>
      </c>
      <c r="E4009" s="16">
        <f>IFERROR(__xludf.DUMMYFUNCTION("""COMPUTED_VALUE"""),69.0)</f>
        <v>69</v>
      </c>
      <c r="F4009" s="19" t="str">
        <f>IFERROR(__xludf.DUMMYFUNCTION("""COMPUTED_VALUE"""),"BLACK")</f>
        <v>BLACK</v>
      </c>
      <c r="G4009" s="20" t="str">
        <f>IFERROR(__xludf.DUMMYFUNCTION("""COMPUTED_VALUE"""),"Uncle Sams Cider (5/13/2022)")</f>
        <v>Uncle Sams Cider (5/13/2022)</v>
      </c>
      <c r="H4009" s="19"/>
    </row>
    <row r="4010">
      <c r="A4010" s="9"/>
      <c r="B4010" s="15"/>
      <c r="C4010" s="9">
        <f>IFERROR(__xludf.DUMMYFUNCTION("""COMPUTED_VALUE"""),44754.8193083912)</f>
        <v>44754.81931</v>
      </c>
      <c r="D4010" s="15">
        <f>IFERROR(__xludf.DUMMYFUNCTION("""COMPUTED_VALUE"""),1.004)</f>
        <v>1.004</v>
      </c>
      <c r="E4010" s="16">
        <f>IFERROR(__xludf.DUMMYFUNCTION("""COMPUTED_VALUE"""),69.0)</f>
        <v>69</v>
      </c>
      <c r="F4010" s="19" t="str">
        <f>IFERROR(__xludf.DUMMYFUNCTION("""COMPUTED_VALUE"""),"BLACK")</f>
        <v>BLACK</v>
      </c>
      <c r="G4010" s="20" t="str">
        <f>IFERROR(__xludf.DUMMYFUNCTION("""COMPUTED_VALUE"""),"Uncle Sams Cider (5/13/2022)")</f>
        <v>Uncle Sams Cider (5/13/2022)</v>
      </c>
      <c r="H4010" s="19"/>
    </row>
    <row r="4011">
      <c r="A4011" s="9"/>
      <c r="B4011" s="15"/>
      <c r="C4011" s="9">
        <f>IFERROR(__xludf.DUMMYFUNCTION("""COMPUTED_VALUE"""),44754.8088854976)</f>
        <v>44754.80889</v>
      </c>
      <c r="D4011" s="15">
        <f>IFERROR(__xludf.DUMMYFUNCTION("""COMPUTED_VALUE"""),1.004)</f>
        <v>1.004</v>
      </c>
      <c r="E4011" s="16">
        <f>IFERROR(__xludf.DUMMYFUNCTION("""COMPUTED_VALUE"""),69.0)</f>
        <v>69</v>
      </c>
      <c r="F4011" s="19" t="str">
        <f>IFERROR(__xludf.DUMMYFUNCTION("""COMPUTED_VALUE"""),"BLACK")</f>
        <v>BLACK</v>
      </c>
      <c r="G4011" s="20" t="str">
        <f>IFERROR(__xludf.DUMMYFUNCTION("""COMPUTED_VALUE"""),"Uncle Sams Cider (5/13/2022)")</f>
        <v>Uncle Sams Cider (5/13/2022)</v>
      </c>
      <c r="H4011" s="19"/>
    </row>
    <row r="4012">
      <c r="A4012" s="9"/>
      <c r="B4012" s="15"/>
      <c r="C4012" s="9">
        <f>IFERROR(__xludf.DUMMYFUNCTION("""COMPUTED_VALUE"""),44754.7984631597)</f>
        <v>44754.79846</v>
      </c>
      <c r="D4012" s="15">
        <f>IFERROR(__xludf.DUMMYFUNCTION("""COMPUTED_VALUE"""),1.004)</f>
        <v>1.004</v>
      </c>
      <c r="E4012" s="16">
        <f>IFERROR(__xludf.DUMMYFUNCTION("""COMPUTED_VALUE"""),69.0)</f>
        <v>69</v>
      </c>
      <c r="F4012" s="19" t="str">
        <f>IFERROR(__xludf.DUMMYFUNCTION("""COMPUTED_VALUE"""),"BLACK")</f>
        <v>BLACK</v>
      </c>
      <c r="G4012" s="20" t="str">
        <f>IFERROR(__xludf.DUMMYFUNCTION("""COMPUTED_VALUE"""),"Uncle Sams Cider (5/13/2022)")</f>
        <v>Uncle Sams Cider (5/13/2022)</v>
      </c>
      <c r="H4012" s="19"/>
    </row>
    <row r="4013">
      <c r="A4013" s="9"/>
      <c r="B4013" s="15"/>
      <c r="C4013" s="9">
        <f>IFERROR(__xludf.DUMMYFUNCTION("""COMPUTED_VALUE"""),44754.7880427662)</f>
        <v>44754.78804</v>
      </c>
      <c r="D4013" s="15">
        <f>IFERROR(__xludf.DUMMYFUNCTION("""COMPUTED_VALUE"""),1.004)</f>
        <v>1.004</v>
      </c>
      <c r="E4013" s="16">
        <f>IFERROR(__xludf.DUMMYFUNCTION("""COMPUTED_VALUE"""),69.0)</f>
        <v>69</v>
      </c>
      <c r="F4013" s="19" t="str">
        <f>IFERROR(__xludf.DUMMYFUNCTION("""COMPUTED_VALUE"""),"BLACK")</f>
        <v>BLACK</v>
      </c>
      <c r="G4013" s="20" t="str">
        <f>IFERROR(__xludf.DUMMYFUNCTION("""COMPUTED_VALUE"""),"Uncle Sams Cider (5/13/2022)")</f>
        <v>Uncle Sams Cider (5/13/2022)</v>
      </c>
      <c r="H4013" s="19"/>
    </row>
    <row r="4014">
      <c r="A4014" s="9"/>
      <c r="B4014" s="15"/>
      <c r="C4014" s="9">
        <f>IFERROR(__xludf.DUMMYFUNCTION("""COMPUTED_VALUE"""),44754.7776208796)</f>
        <v>44754.77762</v>
      </c>
      <c r="D4014" s="15">
        <f>IFERROR(__xludf.DUMMYFUNCTION("""COMPUTED_VALUE"""),1.004)</f>
        <v>1.004</v>
      </c>
      <c r="E4014" s="16">
        <f>IFERROR(__xludf.DUMMYFUNCTION("""COMPUTED_VALUE"""),69.0)</f>
        <v>69</v>
      </c>
      <c r="F4014" s="19" t="str">
        <f>IFERROR(__xludf.DUMMYFUNCTION("""COMPUTED_VALUE"""),"BLACK")</f>
        <v>BLACK</v>
      </c>
      <c r="G4014" s="20" t="str">
        <f>IFERROR(__xludf.DUMMYFUNCTION("""COMPUTED_VALUE"""),"Uncle Sams Cider (5/13/2022)")</f>
        <v>Uncle Sams Cider (5/13/2022)</v>
      </c>
      <c r="H4014" s="19"/>
    </row>
    <row r="4015">
      <c r="A4015" s="9"/>
      <c r="B4015" s="15"/>
      <c r="C4015" s="9">
        <f>IFERROR(__xludf.DUMMYFUNCTION("""COMPUTED_VALUE"""),44754.7672003703)</f>
        <v>44754.7672</v>
      </c>
      <c r="D4015" s="15">
        <f>IFERROR(__xludf.DUMMYFUNCTION("""COMPUTED_VALUE"""),1.004)</f>
        <v>1.004</v>
      </c>
      <c r="E4015" s="16">
        <f>IFERROR(__xludf.DUMMYFUNCTION("""COMPUTED_VALUE"""),69.0)</f>
        <v>69</v>
      </c>
      <c r="F4015" s="19" t="str">
        <f>IFERROR(__xludf.DUMMYFUNCTION("""COMPUTED_VALUE"""),"BLACK")</f>
        <v>BLACK</v>
      </c>
      <c r="G4015" s="20" t="str">
        <f>IFERROR(__xludf.DUMMYFUNCTION("""COMPUTED_VALUE"""),"Uncle Sams Cider (5/13/2022)")</f>
        <v>Uncle Sams Cider (5/13/2022)</v>
      </c>
      <c r="H4015" s="19"/>
    </row>
    <row r="4016">
      <c r="A4016" s="9"/>
      <c r="B4016" s="15"/>
      <c r="C4016" s="9">
        <f>IFERROR(__xludf.DUMMYFUNCTION("""COMPUTED_VALUE"""),44754.756779456)</f>
        <v>44754.75678</v>
      </c>
      <c r="D4016" s="15">
        <f>IFERROR(__xludf.DUMMYFUNCTION("""COMPUTED_VALUE"""),1.004)</f>
        <v>1.004</v>
      </c>
      <c r="E4016" s="16">
        <f>IFERROR(__xludf.DUMMYFUNCTION("""COMPUTED_VALUE"""),69.0)</f>
        <v>69</v>
      </c>
      <c r="F4016" s="19" t="str">
        <f>IFERROR(__xludf.DUMMYFUNCTION("""COMPUTED_VALUE"""),"BLACK")</f>
        <v>BLACK</v>
      </c>
      <c r="G4016" s="20" t="str">
        <f>IFERROR(__xludf.DUMMYFUNCTION("""COMPUTED_VALUE"""),"Uncle Sams Cider (5/13/2022)")</f>
        <v>Uncle Sams Cider (5/13/2022)</v>
      </c>
      <c r="H4016" s="19"/>
    </row>
    <row r="4017">
      <c r="A4017" s="9"/>
      <c r="B4017" s="15"/>
      <c r="C4017" s="9">
        <f>IFERROR(__xludf.DUMMYFUNCTION("""COMPUTED_VALUE"""),44754.7463445486)</f>
        <v>44754.74634</v>
      </c>
      <c r="D4017" s="15">
        <f>IFERROR(__xludf.DUMMYFUNCTION("""COMPUTED_VALUE"""),1.004)</f>
        <v>1.004</v>
      </c>
      <c r="E4017" s="16">
        <f>IFERROR(__xludf.DUMMYFUNCTION("""COMPUTED_VALUE"""),69.0)</f>
        <v>69</v>
      </c>
      <c r="F4017" s="19" t="str">
        <f>IFERROR(__xludf.DUMMYFUNCTION("""COMPUTED_VALUE"""),"BLACK")</f>
        <v>BLACK</v>
      </c>
      <c r="G4017" s="20" t="str">
        <f>IFERROR(__xludf.DUMMYFUNCTION("""COMPUTED_VALUE"""),"Uncle Sams Cider (5/13/2022)")</f>
        <v>Uncle Sams Cider (5/13/2022)</v>
      </c>
      <c r="H4017" s="19"/>
    </row>
    <row r="4018">
      <c r="A4018" s="9"/>
      <c r="B4018" s="15"/>
      <c r="C4018" s="9">
        <f>IFERROR(__xludf.DUMMYFUNCTION("""COMPUTED_VALUE"""),44754.7359224652)</f>
        <v>44754.73592</v>
      </c>
      <c r="D4018" s="15">
        <f>IFERROR(__xludf.DUMMYFUNCTION("""COMPUTED_VALUE"""),1.004)</f>
        <v>1.004</v>
      </c>
      <c r="E4018" s="16">
        <f>IFERROR(__xludf.DUMMYFUNCTION("""COMPUTED_VALUE"""),69.0)</f>
        <v>69</v>
      </c>
      <c r="F4018" s="19" t="str">
        <f>IFERROR(__xludf.DUMMYFUNCTION("""COMPUTED_VALUE"""),"BLACK")</f>
        <v>BLACK</v>
      </c>
      <c r="G4018" s="20" t="str">
        <f>IFERROR(__xludf.DUMMYFUNCTION("""COMPUTED_VALUE"""),"Uncle Sams Cider (5/13/2022)")</f>
        <v>Uncle Sams Cider (5/13/2022)</v>
      </c>
      <c r="H4018" s="19"/>
    </row>
    <row r="4019">
      <c r="A4019" s="9"/>
      <c r="B4019" s="15"/>
      <c r="C4019" s="9">
        <f>IFERROR(__xludf.DUMMYFUNCTION("""COMPUTED_VALUE"""),44754.7255005671)</f>
        <v>44754.7255</v>
      </c>
      <c r="D4019" s="15">
        <f>IFERROR(__xludf.DUMMYFUNCTION("""COMPUTED_VALUE"""),1.004)</f>
        <v>1.004</v>
      </c>
      <c r="E4019" s="16">
        <f>IFERROR(__xludf.DUMMYFUNCTION("""COMPUTED_VALUE"""),69.0)</f>
        <v>69</v>
      </c>
      <c r="F4019" s="19" t="str">
        <f>IFERROR(__xludf.DUMMYFUNCTION("""COMPUTED_VALUE"""),"BLACK")</f>
        <v>BLACK</v>
      </c>
      <c r="G4019" s="20" t="str">
        <f>IFERROR(__xludf.DUMMYFUNCTION("""COMPUTED_VALUE"""),"Uncle Sams Cider (5/13/2022)")</f>
        <v>Uncle Sams Cider (5/13/2022)</v>
      </c>
      <c r="H4019" s="19"/>
    </row>
    <row r="4020">
      <c r="A4020" s="9"/>
      <c r="B4020" s="15"/>
      <c r="C4020" s="9">
        <f>IFERROR(__xludf.DUMMYFUNCTION("""COMPUTED_VALUE"""),44754.71507875)</f>
        <v>44754.71508</v>
      </c>
      <c r="D4020" s="15">
        <f>IFERROR(__xludf.DUMMYFUNCTION("""COMPUTED_VALUE"""),1.004)</f>
        <v>1.004</v>
      </c>
      <c r="E4020" s="16">
        <f>IFERROR(__xludf.DUMMYFUNCTION("""COMPUTED_VALUE"""),69.0)</f>
        <v>69</v>
      </c>
      <c r="F4020" s="19" t="str">
        <f>IFERROR(__xludf.DUMMYFUNCTION("""COMPUTED_VALUE"""),"BLACK")</f>
        <v>BLACK</v>
      </c>
      <c r="G4020" s="20" t="str">
        <f>IFERROR(__xludf.DUMMYFUNCTION("""COMPUTED_VALUE"""),"Uncle Sams Cider (5/13/2022)")</f>
        <v>Uncle Sams Cider (5/13/2022)</v>
      </c>
      <c r="H4020" s="19"/>
    </row>
    <row r="4021">
      <c r="A4021" s="9"/>
      <c r="B4021" s="15"/>
      <c r="C4021" s="9">
        <f>IFERROR(__xludf.DUMMYFUNCTION("""COMPUTED_VALUE"""),44754.7046453125)</f>
        <v>44754.70465</v>
      </c>
      <c r="D4021" s="15">
        <f>IFERROR(__xludf.DUMMYFUNCTION("""COMPUTED_VALUE"""),1.004)</f>
        <v>1.004</v>
      </c>
      <c r="E4021" s="16">
        <f>IFERROR(__xludf.DUMMYFUNCTION("""COMPUTED_VALUE"""),69.0)</f>
        <v>69</v>
      </c>
      <c r="F4021" s="19" t="str">
        <f>IFERROR(__xludf.DUMMYFUNCTION("""COMPUTED_VALUE"""),"BLACK")</f>
        <v>BLACK</v>
      </c>
      <c r="G4021" s="20" t="str">
        <f>IFERROR(__xludf.DUMMYFUNCTION("""COMPUTED_VALUE"""),"Uncle Sams Cider (5/13/2022)")</f>
        <v>Uncle Sams Cider (5/13/2022)</v>
      </c>
      <c r="H4021" s="19"/>
    </row>
    <row r="4022">
      <c r="A4022" s="9"/>
      <c r="B4022" s="15"/>
      <c r="C4022" s="9">
        <f>IFERROR(__xludf.DUMMYFUNCTION("""COMPUTED_VALUE"""),44754.6942243518)</f>
        <v>44754.69422</v>
      </c>
      <c r="D4022" s="15">
        <f>IFERROR(__xludf.DUMMYFUNCTION("""COMPUTED_VALUE"""),1.004)</f>
        <v>1.004</v>
      </c>
      <c r="E4022" s="16">
        <f>IFERROR(__xludf.DUMMYFUNCTION("""COMPUTED_VALUE"""),69.0)</f>
        <v>69</v>
      </c>
      <c r="F4022" s="19" t="str">
        <f>IFERROR(__xludf.DUMMYFUNCTION("""COMPUTED_VALUE"""),"BLACK")</f>
        <v>BLACK</v>
      </c>
      <c r="G4022" s="20" t="str">
        <f>IFERROR(__xludf.DUMMYFUNCTION("""COMPUTED_VALUE"""),"Uncle Sams Cider (5/13/2022)")</f>
        <v>Uncle Sams Cider (5/13/2022)</v>
      </c>
      <c r="H4022" s="19"/>
    </row>
    <row r="4023">
      <c r="A4023" s="9"/>
      <c r="B4023" s="15"/>
      <c r="C4023" s="9">
        <f>IFERROR(__xludf.DUMMYFUNCTION("""COMPUTED_VALUE"""),44754.6837926504)</f>
        <v>44754.68379</v>
      </c>
      <c r="D4023" s="15">
        <f>IFERROR(__xludf.DUMMYFUNCTION("""COMPUTED_VALUE"""),1.004)</f>
        <v>1.004</v>
      </c>
      <c r="E4023" s="16">
        <f>IFERROR(__xludf.DUMMYFUNCTION("""COMPUTED_VALUE"""),69.0)</f>
        <v>69</v>
      </c>
      <c r="F4023" s="19" t="str">
        <f>IFERROR(__xludf.DUMMYFUNCTION("""COMPUTED_VALUE"""),"BLACK")</f>
        <v>BLACK</v>
      </c>
      <c r="G4023" s="20" t="str">
        <f>IFERROR(__xludf.DUMMYFUNCTION("""COMPUTED_VALUE"""),"Uncle Sams Cider (5/13/2022)")</f>
        <v>Uncle Sams Cider (5/13/2022)</v>
      </c>
      <c r="H4023" s="19"/>
    </row>
    <row r="4024">
      <c r="A4024" s="9"/>
      <c r="B4024" s="15"/>
      <c r="C4024" s="9">
        <f>IFERROR(__xludf.DUMMYFUNCTION("""COMPUTED_VALUE"""),44754.6733703009)</f>
        <v>44754.67337</v>
      </c>
      <c r="D4024" s="15">
        <f>IFERROR(__xludf.DUMMYFUNCTION("""COMPUTED_VALUE"""),1.004)</f>
        <v>1.004</v>
      </c>
      <c r="E4024" s="16">
        <f>IFERROR(__xludf.DUMMYFUNCTION("""COMPUTED_VALUE"""),69.0)</f>
        <v>69</v>
      </c>
      <c r="F4024" s="19" t="str">
        <f>IFERROR(__xludf.DUMMYFUNCTION("""COMPUTED_VALUE"""),"BLACK")</f>
        <v>BLACK</v>
      </c>
      <c r="G4024" s="20" t="str">
        <f>IFERROR(__xludf.DUMMYFUNCTION("""COMPUTED_VALUE"""),"Uncle Sams Cider (5/13/2022)")</f>
        <v>Uncle Sams Cider (5/13/2022)</v>
      </c>
      <c r="H4024" s="19"/>
    </row>
    <row r="4025">
      <c r="A4025" s="9"/>
      <c r="B4025" s="15"/>
      <c r="C4025" s="9">
        <f>IFERROR(__xludf.DUMMYFUNCTION("""COMPUTED_VALUE"""),44754.6629384953)</f>
        <v>44754.66294</v>
      </c>
      <c r="D4025" s="15">
        <f>IFERROR(__xludf.DUMMYFUNCTION("""COMPUTED_VALUE"""),1.004)</f>
        <v>1.004</v>
      </c>
      <c r="E4025" s="16">
        <f>IFERROR(__xludf.DUMMYFUNCTION("""COMPUTED_VALUE"""),69.0)</f>
        <v>69</v>
      </c>
      <c r="F4025" s="19" t="str">
        <f>IFERROR(__xludf.DUMMYFUNCTION("""COMPUTED_VALUE"""),"BLACK")</f>
        <v>BLACK</v>
      </c>
      <c r="G4025" s="20" t="str">
        <f>IFERROR(__xludf.DUMMYFUNCTION("""COMPUTED_VALUE"""),"Uncle Sams Cider (5/13/2022)")</f>
        <v>Uncle Sams Cider (5/13/2022)</v>
      </c>
      <c r="H4025" s="19"/>
    </row>
    <row r="4026">
      <c r="A4026" s="9"/>
      <c r="B4026" s="15"/>
      <c r="C4026" s="9">
        <f>IFERROR(__xludf.DUMMYFUNCTION("""COMPUTED_VALUE"""),44754.6525177199)</f>
        <v>44754.65252</v>
      </c>
      <c r="D4026" s="15">
        <f>IFERROR(__xludf.DUMMYFUNCTION("""COMPUTED_VALUE"""),1.004)</f>
        <v>1.004</v>
      </c>
      <c r="E4026" s="16">
        <f>IFERROR(__xludf.DUMMYFUNCTION("""COMPUTED_VALUE"""),69.0)</f>
        <v>69</v>
      </c>
      <c r="F4026" s="19" t="str">
        <f>IFERROR(__xludf.DUMMYFUNCTION("""COMPUTED_VALUE"""),"BLACK")</f>
        <v>BLACK</v>
      </c>
      <c r="G4026" s="20" t="str">
        <f>IFERROR(__xludf.DUMMYFUNCTION("""COMPUTED_VALUE"""),"Uncle Sams Cider (5/13/2022)")</f>
        <v>Uncle Sams Cider (5/13/2022)</v>
      </c>
      <c r="H4026" s="19"/>
    </row>
    <row r="4027">
      <c r="A4027" s="9"/>
      <c r="B4027" s="15"/>
      <c r="C4027" s="9">
        <f>IFERROR(__xludf.DUMMYFUNCTION("""COMPUTED_VALUE"""),44754.6420727314)</f>
        <v>44754.64207</v>
      </c>
      <c r="D4027" s="15">
        <f>IFERROR(__xludf.DUMMYFUNCTION("""COMPUTED_VALUE"""),1.004)</f>
        <v>1.004</v>
      </c>
      <c r="E4027" s="16">
        <f>IFERROR(__xludf.DUMMYFUNCTION("""COMPUTED_VALUE"""),69.0)</f>
        <v>69</v>
      </c>
      <c r="F4027" s="19" t="str">
        <f>IFERROR(__xludf.DUMMYFUNCTION("""COMPUTED_VALUE"""),"BLACK")</f>
        <v>BLACK</v>
      </c>
      <c r="G4027" s="20" t="str">
        <f>IFERROR(__xludf.DUMMYFUNCTION("""COMPUTED_VALUE"""),"Uncle Sams Cider (5/13/2022)")</f>
        <v>Uncle Sams Cider (5/13/2022)</v>
      </c>
      <c r="H4027" s="19"/>
    </row>
    <row r="4028">
      <c r="A4028" s="9"/>
      <c r="B4028" s="15"/>
      <c r="C4028" s="9">
        <f>IFERROR(__xludf.DUMMYFUNCTION("""COMPUTED_VALUE"""),44754.631651574)</f>
        <v>44754.63165</v>
      </c>
      <c r="D4028" s="15">
        <f>IFERROR(__xludf.DUMMYFUNCTION("""COMPUTED_VALUE"""),1.004)</f>
        <v>1.004</v>
      </c>
      <c r="E4028" s="16">
        <f>IFERROR(__xludf.DUMMYFUNCTION("""COMPUTED_VALUE"""),69.0)</f>
        <v>69</v>
      </c>
      <c r="F4028" s="19" t="str">
        <f>IFERROR(__xludf.DUMMYFUNCTION("""COMPUTED_VALUE"""),"BLACK")</f>
        <v>BLACK</v>
      </c>
      <c r="G4028" s="20" t="str">
        <f>IFERROR(__xludf.DUMMYFUNCTION("""COMPUTED_VALUE"""),"Uncle Sams Cider (5/13/2022)")</f>
        <v>Uncle Sams Cider (5/13/2022)</v>
      </c>
      <c r="H4028" s="19"/>
    </row>
    <row r="4029">
      <c r="A4029" s="9"/>
      <c r="B4029" s="15"/>
      <c r="C4029" s="9">
        <f>IFERROR(__xludf.DUMMYFUNCTION("""COMPUTED_VALUE"""),44754.6212186805)</f>
        <v>44754.62122</v>
      </c>
      <c r="D4029" s="15">
        <f>IFERROR(__xludf.DUMMYFUNCTION("""COMPUTED_VALUE"""),1.004)</f>
        <v>1.004</v>
      </c>
      <c r="E4029" s="16">
        <f>IFERROR(__xludf.DUMMYFUNCTION("""COMPUTED_VALUE"""),69.0)</f>
        <v>69</v>
      </c>
      <c r="F4029" s="19" t="str">
        <f>IFERROR(__xludf.DUMMYFUNCTION("""COMPUTED_VALUE"""),"BLACK")</f>
        <v>BLACK</v>
      </c>
      <c r="G4029" s="20" t="str">
        <f>IFERROR(__xludf.DUMMYFUNCTION("""COMPUTED_VALUE"""),"Uncle Sams Cider (5/13/2022)")</f>
        <v>Uncle Sams Cider (5/13/2022)</v>
      </c>
      <c r="H4029" s="19"/>
    </row>
    <row r="4030">
      <c r="A4030" s="9"/>
      <c r="B4030" s="15"/>
      <c r="C4030" s="9">
        <f>IFERROR(__xludf.DUMMYFUNCTION("""COMPUTED_VALUE"""),44754.6107965393)</f>
        <v>44754.6108</v>
      </c>
      <c r="D4030" s="15">
        <f>IFERROR(__xludf.DUMMYFUNCTION("""COMPUTED_VALUE"""),1.004)</f>
        <v>1.004</v>
      </c>
      <c r="E4030" s="16">
        <f>IFERROR(__xludf.DUMMYFUNCTION("""COMPUTED_VALUE"""),68.0)</f>
        <v>68</v>
      </c>
      <c r="F4030" s="19" t="str">
        <f>IFERROR(__xludf.DUMMYFUNCTION("""COMPUTED_VALUE"""),"BLACK")</f>
        <v>BLACK</v>
      </c>
      <c r="G4030" s="20" t="str">
        <f>IFERROR(__xludf.DUMMYFUNCTION("""COMPUTED_VALUE"""),"Uncle Sams Cider (5/13/2022)")</f>
        <v>Uncle Sams Cider (5/13/2022)</v>
      </c>
      <c r="H4030" s="19"/>
    </row>
    <row r="4031">
      <c r="A4031" s="9"/>
      <c r="B4031" s="15"/>
      <c r="C4031" s="9">
        <f>IFERROR(__xludf.DUMMYFUNCTION("""COMPUTED_VALUE"""),44754.6003768287)</f>
        <v>44754.60038</v>
      </c>
      <c r="D4031" s="15">
        <f>IFERROR(__xludf.DUMMYFUNCTION("""COMPUTED_VALUE"""),1.004)</f>
        <v>1.004</v>
      </c>
      <c r="E4031" s="16">
        <f>IFERROR(__xludf.DUMMYFUNCTION("""COMPUTED_VALUE"""),69.0)</f>
        <v>69</v>
      </c>
      <c r="F4031" s="19" t="str">
        <f>IFERROR(__xludf.DUMMYFUNCTION("""COMPUTED_VALUE"""),"BLACK")</f>
        <v>BLACK</v>
      </c>
      <c r="G4031" s="20" t="str">
        <f>IFERROR(__xludf.DUMMYFUNCTION("""COMPUTED_VALUE"""),"Uncle Sams Cider (5/13/2022)")</f>
        <v>Uncle Sams Cider (5/13/2022)</v>
      </c>
      <c r="H4031" s="19"/>
    </row>
    <row r="4032">
      <c r="A4032" s="9"/>
      <c r="B4032" s="15"/>
      <c r="C4032" s="9">
        <f>IFERROR(__xludf.DUMMYFUNCTION("""COMPUTED_VALUE"""),44754.5899573611)</f>
        <v>44754.58996</v>
      </c>
      <c r="D4032" s="15">
        <f>IFERROR(__xludf.DUMMYFUNCTION("""COMPUTED_VALUE"""),1.004)</f>
        <v>1.004</v>
      </c>
      <c r="E4032" s="16">
        <f>IFERROR(__xludf.DUMMYFUNCTION("""COMPUTED_VALUE"""),68.0)</f>
        <v>68</v>
      </c>
      <c r="F4032" s="19" t="str">
        <f>IFERROR(__xludf.DUMMYFUNCTION("""COMPUTED_VALUE"""),"BLACK")</f>
        <v>BLACK</v>
      </c>
      <c r="G4032" s="20" t="str">
        <f>IFERROR(__xludf.DUMMYFUNCTION("""COMPUTED_VALUE"""),"Uncle Sams Cider (5/13/2022)")</f>
        <v>Uncle Sams Cider (5/13/2022)</v>
      </c>
      <c r="H4032" s="19"/>
    </row>
    <row r="4033">
      <c r="A4033" s="9"/>
      <c r="B4033" s="15"/>
      <c r="C4033" s="9">
        <f>IFERROR(__xludf.DUMMYFUNCTION("""COMPUTED_VALUE"""),44754.5795360879)</f>
        <v>44754.57954</v>
      </c>
      <c r="D4033" s="15">
        <f>IFERROR(__xludf.DUMMYFUNCTION("""COMPUTED_VALUE"""),1.004)</f>
        <v>1.004</v>
      </c>
      <c r="E4033" s="16">
        <f>IFERROR(__xludf.DUMMYFUNCTION("""COMPUTED_VALUE"""),68.0)</f>
        <v>68</v>
      </c>
      <c r="F4033" s="19" t="str">
        <f>IFERROR(__xludf.DUMMYFUNCTION("""COMPUTED_VALUE"""),"BLACK")</f>
        <v>BLACK</v>
      </c>
      <c r="G4033" s="20" t="str">
        <f>IFERROR(__xludf.DUMMYFUNCTION("""COMPUTED_VALUE"""),"Uncle Sams Cider (5/13/2022)")</f>
        <v>Uncle Sams Cider (5/13/2022)</v>
      </c>
      <c r="H4033" s="19"/>
    </row>
    <row r="4034">
      <c r="A4034" s="9"/>
      <c r="B4034" s="15"/>
      <c r="C4034" s="9">
        <f>IFERROR(__xludf.DUMMYFUNCTION("""COMPUTED_VALUE"""),44754.5691135648)</f>
        <v>44754.56911</v>
      </c>
      <c r="D4034" s="15">
        <f>IFERROR(__xludf.DUMMYFUNCTION("""COMPUTED_VALUE"""),1.004)</f>
        <v>1.004</v>
      </c>
      <c r="E4034" s="16">
        <f>IFERROR(__xludf.DUMMYFUNCTION("""COMPUTED_VALUE"""),68.0)</f>
        <v>68</v>
      </c>
      <c r="F4034" s="19" t="str">
        <f>IFERROR(__xludf.DUMMYFUNCTION("""COMPUTED_VALUE"""),"BLACK")</f>
        <v>BLACK</v>
      </c>
      <c r="G4034" s="20" t="str">
        <f>IFERROR(__xludf.DUMMYFUNCTION("""COMPUTED_VALUE"""),"Uncle Sams Cider (5/13/2022)")</f>
        <v>Uncle Sams Cider (5/13/2022)</v>
      </c>
      <c r="H4034" s="19"/>
    </row>
    <row r="4035">
      <c r="A4035" s="9"/>
      <c r="B4035" s="15"/>
      <c r="C4035" s="9">
        <f>IFERROR(__xludf.DUMMYFUNCTION("""COMPUTED_VALUE"""),44754.5586895717)</f>
        <v>44754.55869</v>
      </c>
      <c r="D4035" s="15">
        <f>IFERROR(__xludf.DUMMYFUNCTION("""COMPUTED_VALUE"""),1.004)</f>
        <v>1.004</v>
      </c>
      <c r="E4035" s="16">
        <f>IFERROR(__xludf.DUMMYFUNCTION("""COMPUTED_VALUE"""),68.0)</f>
        <v>68</v>
      </c>
      <c r="F4035" s="19" t="str">
        <f>IFERROR(__xludf.DUMMYFUNCTION("""COMPUTED_VALUE"""),"BLACK")</f>
        <v>BLACK</v>
      </c>
      <c r="G4035" s="20" t="str">
        <f>IFERROR(__xludf.DUMMYFUNCTION("""COMPUTED_VALUE"""),"Uncle Sams Cider (5/13/2022)")</f>
        <v>Uncle Sams Cider (5/13/2022)</v>
      </c>
      <c r="H4035" s="19"/>
    </row>
    <row r="4036">
      <c r="A4036" s="9"/>
      <c r="B4036" s="15"/>
      <c r="C4036" s="9">
        <f>IFERROR(__xludf.DUMMYFUNCTION("""COMPUTED_VALUE"""),44754.5482683912)</f>
        <v>44754.54827</v>
      </c>
      <c r="D4036" s="15">
        <f>IFERROR(__xludf.DUMMYFUNCTION("""COMPUTED_VALUE"""),1.004)</f>
        <v>1.004</v>
      </c>
      <c r="E4036" s="16">
        <f>IFERROR(__xludf.DUMMYFUNCTION("""COMPUTED_VALUE"""),68.0)</f>
        <v>68</v>
      </c>
      <c r="F4036" s="19" t="str">
        <f>IFERROR(__xludf.DUMMYFUNCTION("""COMPUTED_VALUE"""),"BLACK")</f>
        <v>BLACK</v>
      </c>
      <c r="G4036" s="20" t="str">
        <f>IFERROR(__xludf.DUMMYFUNCTION("""COMPUTED_VALUE"""),"Uncle Sams Cider (5/13/2022)")</f>
        <v>Uncle Sams Cider (5/13/2022)</v>
      </c>
      <c r="H4036" s="19"/>
    </row>
    <row r="4037">
      <c r="A4037" s="9"/>
      <c r="B4037" s="15"/>
      <c r="C4037" s="9">
        <f>IFERROR(__xludf.DUMMYFUNCTION("""COMPUTED_VALUE"""),44754.53784875)</f>
        <v>44754.53785</v>
      </c>
      <c r="D4037" s="15">
        <f>IFERROR(__xludf.DUMMYFUNCTION("""COMPUTED_VALUE"""),1.004)</f>
        <v>1.004</v>
      </c>
      <c r="E4037" s="16">
        <f>IFERROR(__xludf.DUMMYFUNCTION("""COMPUTED_VALUE"""),68.0)</f>
        <v>68</v>
      </c>
      <c r="F4037" s="19" t="str">
        <f>IFERROR(__xludf.DUMMYFUNCTION("""COMPUTED_VALUE"""),"BLACK")</f>
        <v>BLACK</v>
      </c>
      <c r="G4037" s="20" t="str">
        <f>IFERROR(__xludf.DUMMYFUNCTION("""COMPUTED_VALUE"""),"Uncle Sams Cider (5/13/2022)")</f>
        <v>Uncle Sams Cider (5/13/2022)</v>
      </c>
      <c r="H4037" s="19"/>
    </row>
    <row r="4038">
      <c r="A4038" s="9"/>
      <c r="B4038" s="15"/>
      <c r="C4038" s="9">
        <f>IFERROR(__xludf.DUMMYFUNCTION("""COMPUTED_VALUE"""),44754.5274295833)</f>
        <v>44754.52743</v>
      </c>
      <c r="D4038" s="15">
        <f>IFERROR(__xludf.DUMMYFUNCTION("""COMPUTED_VALUE"""),1.004)</f>
        <v>1.004</v>
      </c>
      <c r="E4038" s="16">
        <f>IFERROR(__xludf.DUMMYFUNCTION("""COMPUTED_VALUE"""),68.0)</f>
        <v>68</v>
      </c>
      <c r="F4038" s="19" t="str">
        <f>IFERROR(__xludf.DUMMYFUNCTION("""COMPUTED_VALUE"""),"BLACK")</f>
        <v>BLACK</v>
      </c>
      <c r="G4038" s="20" t="str">
        <f>IFERROR(__xludf.DUMMYFUNCTION("""COMPUTED_VALUE"""),"Uncle Sams Cider (5/13/2022)")</f>
        <v>Uncle Sams Cider (5/13/2022)</v>
      </c>
      <c r="H4038" s="19"/>
    </row>
    <row r="4039">
      <c r="A4039" s="9"/>
      <c r="B4039" s="15"/>
      <c r="C4039" s="9">
        <f>IFERROR(__xludf.DUMMYFUNCTION("""COMPUTED_VALUE"""),44754.5170087384)</f>
        <v>44754.51701</v>
      </c>
      <c r="D4039" s="15">
        <f>IFERROR(__xludf.DUMMYFUNCTION("""COMPUTED_VALUE"""),1.004)</f>
        <v>1.004</v>
      </c>
      <c r="E4039" s="16">
        <f>IFERROR(__xludf.DUMMYFUNCTION("""COMPUTED_VALUE"""),68.0)</f>
        <v>68</v>
      </c>
      <c r="F4039" s="19" t="str">
        <f>IFERROR(__xludf.DUMMYFUNCTION("""COMPUTED_VALUE"""),"BLACK")</f>
        <v>BLACK</v>
      </c>
      <c r="G4039" s="20" t="str">
        <f>IFERROR(__xludf.DUMMYFUNCTION("""COMPUTED_VALUE"""),"Uncle Sams Cider (5/13/2022)")</f>
        <v>Uncle Sams Cider (5/13/2022)</v>
      </c>
      <c r="H4039" s="19"/>
    </row>
    <row r="4040">
      <c r="A4040" s="9"/>
      <c r="B4040" s="15"/>
      <c r="C4040" s="9">
        <f>IFERROR(__xludf.DUMMYFUNCTION("""COMPUTED_VALUE"""),44754.5065874421)</f>
        <v>44754.50659</v>
      </c>
      <c r="D4040" s="15">
        <f>IFERROR(__xludf.DUMMYFUNCTION("""COMPUTED_VALUE"""),1.004)</f>
        <v>1.004</v>
      </c>
      <c r="E4040" s="16">
        <f>IFERROR(__xludf.DUMMYFUNCTION("""COMPUTED_VALUE"""),68.0)</f>
        <v>68</v>
      </c>
      <c r="F4040" s="19" t="str">
        <f>IFERROR(__xludf.DUMMYFUNCTION("""COMPUTED_VALUE"""),"BLACK")</f>
        <v>BLACK</v>
      </c>
      <c r="G4040" s="20" t="str">
        <f>IFERROR(__xludf.DUMMYFUNCTION("""COMPUTED_VALUE"""),"Uncle Sams Cider (5/13/2022)")</f>
        <v>Uncle Sams Cider (5/13/2022)</v>
      </c>
      <c r="H4040" s="19"/>
    </row>
    <row r="4041">
      <c r="A4041" s="9"/>
      <c r="B4041" s="15"/>
      <c r="C4041" s="9">
        <f>IFERROR(__xludf.DUMMYFUNCTION("""COMPUTED_VALUE"""),44754.4961658217)</f>
        <v>44754.49617</v>
      </c>
      <c r="D4041" s="15">
        <f>IFERROR(__xludf.DUMMYFUNCTION("""COMPUTED_VALUE"""),1.004)</f>
        <v>1.004</v>
      </c>
      <c r="E4041" s="16">
        <f>IFERROR(__xludf.DUMMYFUNCTION("""COMPUTED_VALUE"""),68.0)</f>
        <v>68</v>
      </c>
      <c r="F4041" s="19" t="str">
        <f>IFERROR(__xludf.DUMMYFUNCTION("""COMPUTED_VALUE"""),"BLACK")</f>
        <v>BLACK</v>
      </c>
      <c r="G4041" s="20" t="str">
        <f>IFERROR(__xludf.DUMMYFUNCTION("""COMPUTED_VALUE"""),"Uncle Sams Cider (5/13/2022)")</f>
        <v>Uncle Sams Cider (5/13/2022)</v>
      </c>
      <c r="H4041" s="19"/>
    </row>
    <row r="4042">
      <c r="A4042" s="9"/>
      <c r="B4042" s="15"/>
      <c r="C4042" s="9">
        <f>IFERROR(__xludf.DUMMYFUNCTION("""COMPUTED_VALUE"""),44754.4857440162)</f>
        <v>44754.48574</v>
      </c>
      <c r="D4042" s="15">
        <f>IFERROR(__xludf.DUMMYFUNCTION("""COMPUTED_VALUE"""),1.004)</f>
        <v>1.004</v>
      </c>
      <c r="E4042" s="16">
        <f>IFERROR(__xludf.DUMMYFUNCTION("""COMPUTED_VALUE"""),68.0)</f>
        <v>68</v>
      </c>
      <c r="F4042" s="19" t="str">
        <f>IFERROR(__xludf.DUMMYFUNCTION("""COMPUTED_VALUE"""),"BLACK")</f>
        <v>BLACK</v>
      </c>
      <c r="G4042" s="20" t="str">
        <f>IFERROR(__xludf.DUMMYFUNCTION("""COMPUTED_VALUE"""),"Uncle Sams Cider (5/13/2022)")</f>
        <v>Uncle Sams Cider (5/13/2022)</v>
      </c>
      <c r="H4042" s="19"/>
    </row>
    <row r="4043">
      <c r="A4043" s="9"/>
      <c r="B4043" s="15"/>
      <c r="C4043" s="9">
        <f>IFERROR(__xludf.DUMMYFUNCTION("""COMPUTED_VALUE"""),44754.4753238426)</f>
        <v>44754.47532</v>
      </c>
      <c r="D4043" s="15">
        <f>IFERROR(__xludf.DUMMYFUNCTION("""COMPUTED_VALUE"""),1.004)</f>
        <v>1.004</v>
      </c>
      <c r="E4043" s="16">
        <f>IFERROR(__xludf.DUMMYFUNCTION("""COMPUTED_VALUE"""),68.0)</f>
        <v>68</v>
      </c>
      <c r="F4043" s="19" t="str">
        <f>IFERROR(__xludf.DUMMYFUNCTION("""COMPUTED_VALUE"""),"BLACK")</f>
        <v>BLACK</v>
      </c>
      <c r="G4043" s="20" t="str">
        <f>IFERROR(__xludf.DUMMYFUNCTION("""COMPUTED_VALUE"""),"Uncle Sams Cider (5/13/2022)")</f>
        <v>Uncle Sams Cider (5/13/2022)</v>
      </c>
      <c r="H4043" s="19"/>
    </row>
    <row r="4044">
      <c r="A4044" s="9"/>
      <c r="B4044" s="15"/>
      <c r="C4044" s="9">
        <f>IFERROR(__xludf.DUMMYFUNCTION("""COMPUTED_VALUE"""),44754.464903912)</f>
        <v>44754.4649</v>
      </c>
      <c r="D4044" s="15">
        <f>IFERROR(__xludf.DUMMYFUNCTION("""COMPUTED_VALUE"""),1.004)</f>
        <v>1.004</v>
      </c>
      <c r="E4044" s="16">
        <f>IFERROR(__xludf.DUMMYFUNCTION("""COMPUTED_VALUE"""),68.0)</f>
        <v>68</v>
      </c>
      <c r="F4044" s="19" t="str">
        <f>IFERROR(__xludf.DUMMYFUNCTION("""COMPUTED_VALUE"""),"BLACK")</f>
        <v>BLACK</v>
      </c>
      <c r="G4044" s="20" t="str">
        <f>IFERROR(__xludf.DUMMYFUNCTION("""COMPUTED_VALUE"""),"Uncle Sams Cider (5/13/2022)")</f>
        <v>Uncle Sams Cider (5/13/2022)</v>
      </c>
      <c r="H4044" s="19"/>
    </row>
    <row r="4045">
      <c r="A4045" s="9"/>
      <c r="B4045" s="15"/>
      <c r="C4045" s="9">
        <f>IFERROR(__xludf.DUMMYFUNCTION("""COMPUTED_VALUE"""),44754.4544820486)</f>
        <v>44754.45448</v>
      </c>
      <c r="D4045" s="15">
        <f>IFERROR(__xludf.DUMMYFUNCTION("""COMPUTED_VALUE"""),1.004)</f>
        <v>1.004</v>
      </c>
      <c r="E4045" s="16">
        <f>IFERROR(__xludf.DUMMYFUNCTION("""COMPUTED_VALUE"""),68.0)</f>
        <v>68</v>
      </c>
      <c r="F4045" s="19" t="str">
        <f>IFERROR(__xludf.DUMMYFUNCTION("""COMPUTED_VALUE"""),"BLACK")</f>
        <v>BLACK</v>
      </c>
      <c r="G4045" s="20" t="str">
        <f>IFERROR(__xludf.DUMMYFUNCTION("""COMPUTED_VALUE"""),"Uncle Sams Cider (5/13/2022)")</f>
        <v>Uncle Sams Cider (5/13/2022)</v>
      </c>
      <c r="H4045" s="19"/>
    </row>
    <row r="4046">
      <c r="A4046" s="9"/>
      <c r="B4046" s="15"/>
      <c r="C4046" s="9">
        <f>IFERROR(__xludf.DUMMYFUNCTION("""COMPUTED_VALUE"""),44754.4440488426)</f>
        <v>44754.44405</v>
      </c>
      <c r="D4046" s="15">
        <f>IFERROR(__xludf.DUMMYFUNCTION("""COMPUTED_VALUE"""),1.004)</f>
        <v>1.004</v>
      </c>
      <c r="E4046" s="16">
        <f>IFERROR(__xludf.DUMMYFUNCTION("""COMPUTED_VALUE"""),68.0)</f>
        <v>68</v>
      </c>
      <c r="F4046" s="19" t="str">
        <f>IFERROR(__xludf.DUMMYFUNCTION("""COMPUTED_VALUE"""),"BLACK")</f>
        <v>BLACK</v>
      </c>
      <c r="G4046" s="20" t="str">
        <f>IFERROR(__xludf.DUMMYFUNCTION("""COMPUTED_VALUE"""),"Uncle Sams Cider (5/13/2022)")</f>
        <v>Uncle Sams Cider (5/13/2022)</v>
      </c>
      <c r="H4046" s="19"/>
    </row>
    <row r="4047">
      <c r="A4047" s="9"/>
      <c r="B4047" s="15"/>
      <c r="C4047" s="9">
        <f>IFERROR(__xludf.DUMMYFUNCTION("""COMPUTED_VALUE"""),44754.4336167245)</f>
        <v>44754.43362</v>
      </c>
      <c r="D4047" s="15">
        <f>IFERROR(__xludf.DUMMYFUNCTION("""COMPUTED_VALUE"""),1.004)</f>
        <v>1.004</v>
      </c>
      <c r="E4047" s="16">
        <f>IFERROR(__xludf.DUMMYFUNCTION("""COMPUTED_VALUE"""),68.0)</f>
        <v>68</v>
      </c>
      <c r="F4047" s="19" t="str">
        <f>IFERROR(__xludf.DUMMYFUNCTION("""COMPUTED_VALUE"""),"BLACK")</f>
        <v>BLACK</v>
      </c>
      <c r="G4047" s="20" t="str">
        <f>IFERROR(__xludf.DUMMYFUNCTION("""COMPUTED_VALUE"""),"Uncle Sams Cider (5/13/2022)")</f>
        <v>Uncle Sams Cider (5/13/2022)</v>
      </c>
      <c r="H4047" s="19"/>
    </row>
    <row r="4048">
      <c r="A4048" s="9"/>
      <c r="B4048" s="15"/>
      <c r="C4048" s="9">
        <f>IFERROR(__xludf.DUMMYFUNCTION("""COMPUTED_VALUE"""),44754.4231689351)</f>
        <v>44754.42317</v>
      </c>
      <c r="D4048" s="15">
        <f>IFERROR(__xludf.DUMMYFUNCTION("""COMPUTED_VALUE"""),1.004)</f>
        <v>1.004</v>
      </c>
      <c r="E4048" s="16">
        <f>IFERROR(__xludf.DUMMYFUNCTION("""COMPUTED_VALUE"""),68.0)</f>
        <v>68</v>
      </c>
      <c r="F4048" s="19" t="str">
        <f>IFERROR(__xludf.DUMMYFUNCTION("""COMPUTED_VALUE"""),"BLACK")</f>
        <v>BLACK</v>
      </c>
      <c r="G4048" s="20" t="str">
        <f>IFERROR(__xludf.DUMMYFUNCTION("""COMPUTED_VALUE"""),"Uncle Sams Cider (5/13/2022)")</f>
        <v>Uncle Sams Cider (5/13/2022)</v>
      </c>
      <c r="H4048" s="19"/>
    </row>
    <row r="4049">
      <c r="A4049" s="9"/>
      <c r="B4049" s="15"/>
      <c r="C4049" s="9">
        <f>IFERROR(__xludf.DUMMYFUNCTION("""COMPUTED_VALUE"""),44754.4127476388)</f>
        <v>44754.41275</v>
      </c>
      <c r="D4049" s="15">
        <f>IFERROR(__xludf.DUMMYFUNCTION("""COMPUTED_VALUE"""),1.004)</f>
        <v>1.004</v>
      </c>
      <c r="E4049" s="16">
        <f>IFERROR(__xludf.DUMMYFUNCTION("""COMPUTED_VALUE"""),68.0)</f>
        <v>68</v>
      </c>
      <c r="F4049" s="19" t="str">
        <f>IFERROR(__xludf.DUMMYFUNCTION("""COMPUTED_VALUE"""),"BLACK")</f>
        <v>BLACK</v>
      </c>
      <c r="G4049" s="20" t="str">
        <f>IFERROR(__xludf.DUMMYFUNCTION("""COMPUTED_VALUE"""),"Uncle Sams Cider (5/13/2022)")</f>
        <v>Uncle Sams Cider (5/13/2022)</v>
      </c>
      <c r="H4049" s="19"/>
    </row>
    <row r="4050">
      <c r="A4050" s="9"/>
      <c r="B4050" s="15"/>
      <c r="C4050" s="9">
        <f>IFERROR(__xludf.DUMMYFUNCTION("""COMPUTED_VALUE"""),44754.4023123958)</f>
        <v>44754.40231</v>
      </c>
      <c r="D4050" s="15">
        <f>IFERROR(__xludf.DUMMYFUNCTION("""COMPUTED_VALUE"""),1.004)</f>
        <v>1.004</v>
      </c>
      <c r="E4050" s="16">
        <f>IFERROR(__xludf.DUMMYFUNCTION("""COMPUTED_VALUE"""),68.0)</f>
        <v>68</v>
      </c>
      <c r="F4050" s="19" t="str">
        <f>IFERROR(__xludf.DUMMYFUNCTION("""COMPUTED_VALUE"""),"BLACK")</f>
        <v>BLACK</v>
      </c>
      <c r="G4050" s="20" t="str">
        <f>IFERROR(__xludf.DUMMYFUNCTION("""COMPUTED_VALUE"""),"Uncle Sams Cider (5/13/2022)")</f>
        <v>Uncle Sams Cider (5/13/2022)</v>
      </c>
      <c r="H4050" s="19"/>
    </row>
    <row r="4051">
      <c r="A4051" s="9"/>
      <c r="B4051" s="15"/>
      <c r="C4051" s="9">
        <f>IFERROR(__xludf.DUMMYFUNCTION("""COMPUTED_VALUE"""),44754.3918798148)</f>
        <v>44754.39188</v>
      </c>
      <c r="D4051" s="15">
        <f>IFERROR(__xludf.DUMMYFUNCTION("""COMPUTED_VALUE"""),1.004)</f>
        <v>1.004</v>
      </c>
      <c r="E4051" s="16">
        <f>IFERROR(__xludf.DUMMYFUNCTION("""COMPUTED_VALUE"""),68.0)</f>
        <v>68</v>
      </c>
      <c r="F4051" s="19" t="str">
        <f>IFERROR(__xludf.DUMMYFUNCTION("""COMPUTED_VALUE"""),"BLACK")</f>
        <v>BLACK</v>
      </c>
      <c r="G4051" s="20" t="str">
        <f>IFERROR(__xludf.DUMMYFUNCTION("""COMPUTED_VALUE"""),"Uncle Sams Cider (5/13/2022)")</f>
        <v>Uncle Sams Cider (5/13/2022)</v>
      </c>
      <c r="H4051" s="19"/>
    </row>
    <row r="4052">
      <c r="A4052" s="9"/>
      <c r="B4052" s="15"/>
      <c r="C4052" s="9">
        <f>IFERROR(__xludf.DUMMYFUNCTION("""COMPUTED_VALUE"""),44754.3814577662)</f>
        <v>44754.38146</v>
      </c>
      <c r="D4052" s="15">
        <f>IFERROR(__xludf.DUMMYFUNCTION("""COMPUTED_VALUE"""),1.004)</f>
        <v>1.004</v>
      </c>
      <c r="E4052" s="16">
        <f>IFERROR(__xludf.DUMMYFUNCTION("""COMPUTED_VALUE"""),68.0)</f>
        <v>68</v>
      </c>
      <c r="F4052" s="19" t="str">
        <f>IFERROR(__xludf.DUMMYFUNCTION("""COMPUTED_VALUE"""),"BLACK")</f>
        <v>BLACK</v>
      </c>
      <c r="G4052" s="20" t="str">
        <f>IFERROR(__xludf.DUMMYFUNCTION("""COMPUTED_VALUE"""),"Uncle Sams Cider (5/13/2022)")</f>
        <v>Uncle Sams Cider (5/13/2022)</v>
      </c>
      <c r="H4052" s="19"/>
    </row>
    <row r="4053">
      <c r="A4053" s="9"/>
      <c r="B4053" s="15"/>
      <c r="C4053" s="9">
        <f>IFERROR(__xludf.DUMMYFUNCTION("""COMPUTED_VALUE"""),44754.3710377662)</f>
        <v>44754.37104</v>
      </c>
      <c r="D4053" s="15">
        <f>IFERROR(__xludf.DUMMYFUNCTION("""COMPUTED_VALUE"""),1.004)</f>
        <v>1.004</v>
      </c>
      <c r="E4053" s="16">
        <f>IFERROR(__xludf.DUMMYFUNCTION("""COMPUTED_VALUE"""),68.0)</f>
        <v>68</v>
      </c>
      <c r="F4053" s="19" t="str">
        <f>IFERROR(__xludf.DUMMYFUNCTION("""COMPUTED_VALUE"""),"BLACK")</f>
        <v>BLACK</v>
      </c>
      <c r="G4053" s="20" t="str">
        <f>IFERROR(__xludf.DUMMYFUNCTION("""COMPUTED_VALUE"""),"Uncle Sams Cider (5/13/2022)")</f>
        <v>Uncle Sams Cider (5/13/2022)</v>
      </c>
      <c r="H4053" s="19"/>
    </row>
    <row r="4054">
      <c r="A4054" s="9"/>
      <c r="B4054" s="15"/>
      <c r="C4054" s="9">
        <f>IFERROR(__xludf.DUMMYFUNCTION("""COMPUTED_VALUE"""),44754.3606159838)</f>
        <v>44754.36062</v>
      </c>
      <c r="D4054" s="15">
        <f>IFERROR(__xludf.DUMMYFUNCTION("""COMPUTED_VALUE"""),1.004)</f>
        <v>1.004</v>
      </c>
      <c r="E4054" s="16">
        <f>IFERROR(__xludf.DUMMYFUNCTION("""COMPUTED_VALUE"""),68.0)</f>
        <v>68</v>
      </c>
      <c r="F4054" s="19" t="str">
        <f>IFERROR(__xludf.DUMMYFUNCTION("""COMPUTED_VALUE"""),"BLACK")</f>
        <v>BLACK</v>
      </c>
      <c r="G4054" s="20" t="str">
        <f>IFERROR(__xludf.DUMMYFUNCTION("""COMPUTED_VALUE"""),"Uncle Sams Cider (5/13/2022)")</f>
        <v>Uncle Sams Cider (5/13/2022)</v>
      </c>
      <c r="H4054" s="19"/>
    </row>
    <row r="4055">
      <c r="A4055" s="9"/>
      <c r="B4055" s="15"/>
      <c r="C4055" s="9">
        <f>IFERROR(__xludf.DUMMYFUNCTION("""COMPUTED_VALUE"""),44754.3501941898)</f>
        <v>44754.35019</v>
      </c>
      <c r="D4055" s="15">
        <f>IFERROR(__xludf.DUMMYFUNCTION("""COMPUTED_VALUE"""),1.004)</f>
        <v>1.004</v>
      </c>
      <c r="E4055" s="16">
        <f>IFERROR(__xludf.DUMMYFUNCTION("""COMPUTED_VALUE"""),68.0)</f>
        <v>68</v>
      </c>
      <c r="F4055" s="19" t="str">
        <f>IFERROR(__xludf.DUMMYFUNCTION("""COMPUTED_VALUE"""),"BLACK")</f>
        <v>BLACK</v>
      </c>
      <c r="G4055" s="20" t="str">
        <f>IFERROR(__xludf.DUMMYFUNCTION("""COMPUTED_VALUE"""),"Uncle Sams Cider (5/13/2022)")</f>
        <v>Uncle Sams Cider (5/13/2022)</v>
      </c>
      <c r="H4055" s="19"/>
    </row>
    <row r="4056">
      <c r="A4056" s="9"/>
      <c r="B4056" s="15"/>
      <c r="C4056" s="9">
        <f>IFERROR(__xludf.DUMMYFUNCTION("""COMPUTED_VALUE"""),44754.3397734838)</f>
        <v>44754.33977</v>
      </c>
      <c r="D4056" s="15">
        <f>IFERROR(__xludf.DUMMYFUNCTION("""COMPUTED_VALUE"""),1.004)</f>
        <v>1.004</v>
      </c>
      <c r="E4056" s="16">
        <f>IFERROR(__xludf.DUMMYFUNCTION("""COMPUTED_VALUE"""),68.0)</f>
        <v>68</v>
      </c>
      <c r="F4056" s="19" t="str">
        <f>IFERROR(__xludf.DUMMYFUNCTION("""COMPUTED_VALUE"""),"BLACK")</f>
        <v>BLACK</v>
      </c>
      <c r="G4056" s="20" t="str">
        <f>IFERROR(__xludf.DUMMYFUNCTION("""COMPUTED_VALUE"""),"Uncle Sams Cider (5/13/2022)")</f>
        <v>Uncle Sams Cider (5/13/2022)</v>
      </c>
      <c r="H4056" s="19"/>
    </row>
    <row r="4057">
      <c r="A4057" s="9"/>
      <c r="B4057" s="15"/>
      <c r="C4057" s="9">
        <f>IFERROR(__xludf.DUMMYFUNCTION("""COMPUTED_VALUE"""),44754.3293532986)</f>
        <v>44754.32935</v>
      </c>
      <c r="D4057" s="15">
        <f>IFERROR(__xludf.DUMMYFUNCTION("""COMPUTED_VALUE"""),1.004)</f>
        <v>1.004</v>
      </c>
      <c r="E4057" s="16">
        <f>IFERROR(__xludf.DUMMYFUNCTION("""COMPUTED_VALUE"""),68.0)</f>
        <v>68</v>
      </c>
      <c r="F4057" s="19" t="str">
        <f>IFERROR(__xludf.DUMMYFUNCTION("""COMPUTED_VALUE"""),"BLACK")</f>
        <v>BLACK</v>
      </c>
      <c r="G4057" s="20" t="str">
        <f>IFERROR(__xludf.DUMMYFUNCTION("""COMPUTED_VALUE"""),"Uncle Sams Cider (5/13/2022)")</f>
        <v>Uncle Sams Cider (5/13/2022)</v>
      </c>
      <c r="H4057" s="19"/>
    </row>
    <row r="4058">
      <c r="A4058" s="9"/>
      <c r="B4058" s="15"/>
      <c r="C4058" s="9">
        <f>IFERROR(__xludf.DUMMYFUNCTION("""COMPUTED_VALUE"""),44754.3189338657)</f>
        <v>44754.31893</v>
      </c>
      <c r="D4058" s="15">
        <f>IFERROR(__xludf.DUMMYFUNCTION("""COMPUTED_VALUE"""),1.004)</f>
        <v>1.004</v>
      </c>
      <c r="E4058" s="16">
        <f>IFERROR(__xludf.DUMMYFUNCTION("""COMPUTED_VALUE"""),68.0)</f>
        <v>68</v>
      </c>
      <c r="F4058" s="19" t="str">
        <f>IFERROR(__xludf.DUMMYFUNCTION("""COMPUTED_VALUE"""),"BLACK")</f>
        <v>BLACK</v>
      </c>
      <c r="G4058" s="20" t="str">
        <f>IFERROR(__xludf.DUMMYFUNCTION("""COMPUTED_VALUE"""),"Uncle Sams Cider (5/13/2022)")</f>
        <v>Uncle Sams Cider (5/13/2022)</v>
      </c>
      <c r="H4058" s="19"/>
    </row>
    <row r="4059">
      <c r="A4059" s="9"/>
      <c r="B4059" s="15"/>
      <c r="C4059" s="9">
        <f>IFERROR(__xludf.DUMMYFUNCTION("""COMPUTED_VALUE"""),44754.3085124652)</f>
        <v>44754.30851</v>
      </c>
      <c r="D4059" s="15">
        <f>IFERROR(__xludf.DUMMYFUNCTION("""COMPUTED_VALUE"""),1.004)</f>
        <v>1.004</v>
      </c>
      <c r="E4059" s="16">
        <f>IFERROR(__xludf.DUMMYFUNCTION("""COMPUTED_VALUE"""),68.0)</f>
        <v>68</v>
      </c>
      <c r="F4059" s="19" t="str">
        <f>IFERROR(__xludf.DUMMYFUNCTION("""COMPUTED_VALUE"""),"BLACK")</f>
        <v>BLACK</v>
      </c>
      <c r="G4059" s="20" t="str">
        <f>IFERROR(__xludf.DUMMYFUNCTION("""COMPUTED_VALUE"""),"Uncle Sams Cider (5/13/2022)")</f>
        <v>Uncle Sams Cider (5/13/2022)</v>
      </c>
      <c r="H4059" s="19"/>
    </row>
    <row r="4060">
      <c r="A4060" s="9"/>
      <c r="B4060" s="15"/>
      <c r="C4060" s="9">
        <f>IFERROR(__xludf.DUMMYFUNCTION("""COMPUTED_VALUE"""),44754.2980929282)</f>
        <v>44754.29809</v>
      </c>
      <c r="D4060" s="15">
        <f>IFERROR(__xludf.DUMMYFUNCTION("""COMPUTED_VALUE"""),1.004)</f>
        <v>1.004</v>
      </c>
      <c r="E4060" s="16">
        <f>IFERROR(__xludf.DUMMYFUNCTION("""COMPUTED_VALUE"""),68.0)</f>
        <v>68</v>
      </c>
      <c r="F4060" s="19" t="str">
        <f>IFERROR(__xludf.DUMMYFUNCTION("""COMPUTED_VALUE"""),"BLACK")</f>
        <v>BLACK</v>
      </c>
      <c r="G4060" s="20" t="str">
        <f>IFERROR(__xludf.DUMMYFUNCTION("""COMPUTED_VALUE"""),"Uncle Sams Cider (5/13/2022)")</f>
        <v>Uncle Sams Cider (5/13/2022)</v>
      </c>
      <c r="H4060" s="19"/>
    </row>
    <row r="4061">
      <c r="A4061" s="9"/>
      <c r="B4061" s="15"/>
      <c r="C4061" s="9">
        <f>IFERROR(__xludf.DUMMYFUNCTION("""COMPUTED_VALUE"""),44754.2876706944)</f>
        <v>44754.28767</v>
      </c>
      <c r="D4061" s="15">
        <f>IFERROR(__xludf.DUMMYFUNCTION("""COMPUTED_VALUE"""),1.004)</f>
        <v>1.004</v>
      </c>
      <c r="E4061" s="16">
        <f>IFERROR(__xludf.DUMMYFUNCTION("""COMPUTED_VALUE"""),68.0)</f>
        <v>68</v>
      </c>
      <c r="F4061" s="19" t="str">
        <f>IFERROR(__xludf.DUMMYFUNCTION("""COMPUTED_VALUE"""),"BLACK")</f>
        <v>BLACK</v>
      </c>
      <c r="G4061" s="20" t="str">
        <f>IFERROR(__xludf.DUMMYFUNCTION("""COMPUTED_VALUE"""),"Uncle Sams Cider (5/13/2022)")</f>
        <v>Uncle Sams Cider (5/13/2022)</v>
      </c>
      <c r="H4061" s="19"/>
    </row>
    <row r="4062">
      <c r="A4062" s="9"/>
      <c r="B4062" s="15"/>
      <c r="C4062" s="9">
        <f>IFERROR(__xludf.DUMMYFUNCTION("""COMPUTED_VALUE"""),44754.2772368287)</f>
        <v>44754.27724</v>
      </c>
      <c r="D4062" s="15">
        <f>IFERROR(__xludf.DUMMYFUNCTION("""COMPUTED_VALUE"""),1.004)</f>
        <v>1.004</v>
      </c>
      <c r="E4062" s="16">
        <f>IFERROR(__xludf.DUMMYFUNCTION("""COMPUTED_VALUE"""),68.0)</f>
        <v>68</v>
      </c>
      <c r="F4062" s="19" t="str">
        <f>IFERROR(__xludf.DUMMYFUNCTION("""COMPUTED_VALUE"""),"BLACK")</f>
        <v>BLACK</v>
      </c>
      <c r="G4062" s="20" t="str">
        <f>IFERROR(__xludf.DUMMYFUNCTION("""COMPUTED_VALUE"""),"Uncle Sams Cider (5/13/2022)")</f>
        <v>Uncle Sams Cider (5/13/2022)</v>
      </c>
      <c r="H4062" s="19"/>
    </row>
    <row r="4063">
      <c r="A4063" s="9"/>
      <c r="B4063" s="15"/>
      <c r="C4063" s="9">
        <f>IFERROR(__xludf.DUMMYFUNCTION("""COMPUTED_VALUE"""),44754.2668145601)</f>
        <v>44754.26681</v>
      </c>
      <c r="D4063" s="15">
        <f>IFERROR(__xludf.DUMMYFUNCTION("""COMPUTED_VALUE"""),1.004)</f>
        <v>1.004</v>
      </c>
      <c r="E4063" s="16">
        <f>IFERROR(__xludf.DUMMYFUNCTION("""COMPUTED_VALUE"""),68.0)</f>
        <v>68</v>
      </c>
      <c r="F4063" s="19" t="str">
        <f>IFERROR(__xludf.DUMMYFUNCTION("""COMPUTED_VALUE"""),"BLACK")</f>
        <v>BLACK</v>
      </c>
      <c r="G4063" s="20" t="str">
        <f>IFERROR(__xludf.DUMMYFUNCTION("""COMPUTED_VALUE"""),"Uncle Sams Cider (5/13/2022)")</f>
        <v>Uncle Sams Cider (5/13/2022)</v>
      </c>
      <c r="H4063" s="19"/>
    </row>
    <row r="4064">
      <c r="A4064" s="9"/>
      <c r="B4064" s="15"/>
      <c r="C4064" s="9">
        <f>IFERROR(__xludf.DUMMYFUNCTION("""COMPUTED_VALUE"""),44754.2563939814)</f>
        <v>44754.25639</v>
      </c>
      <c r="D4064" s="15">
        <f>IFERROR(__xludf.DUMMYFUNCTION("""COMPUTED_VALUE"""),1.004)</f>
        <v>1.004</v>
      </c>
      <c r="E4064" s="16">
        <f>IFERROR(__xludf.DUMMYFUNCTION("""COMPUTED_VALUE"""),68.0)</f>
        <v>68</v>
      </c>
      <c r="F4064" s="19" t="str">
        <f>IFERROR(__xludf.DUMMYFUNCTION("""COMPUTED_VALUE"""),"BLACK")</f>
        <v>BLACK</v>
      </c>
      <c r="G4064" s="20" t="str">
        <f>IFERROR(__xludf.DUMMYFUNCTION("""COMPUTED_VALUE"""),"Uncle Sams Cider (5/13/2022)")</f>
        <v>Uncle Sams Cider (5/13/2022)</v>
      </c>
      <c r="H4064" s="19"/>
    </row>
    <row r="4065">
      <c r="A4065" s="9"/>
      <c r="B4065" s="15"/>
      <c r="C4065" s="9">
        <f>IFERROR(__xludf.DUMMYFUNCTION("""COMPUTED_VALUE"""),44754.2459747801)</f>
        <v>44754.24597</v>
      </c>
      <c r="D4065" s="15">
        <f>IFERROR(__xludf.DUMMYFUNCTION("""COMPUTED_VALUE"""),1.004)</f>
        <v>1.004</v>
      </c>
      <c r="E4065" s="16">
        <f>IFERROR(__xludf.DUMMYFUNCTION("""COMPUTED_VALUE"""),68.0)</f>
        <v>68</v>
      </c>
      <c r="F4065" s="19" t="str">
        <f>IFERROR(__xludf.DUMMYFUNCTION("""COMPUTED_VALUE"""),"BLACK")</f>
        <v>BLACK</v>
      </c>
      <c r="G4065" s="20" t="str">
        <f>IFERROR(__xludf.DUMMYFUNCTION("""COMPUTED_VALUE"""),"Uncle Sams Cider (5/13/2022)")</f>
        <v>Uncle Sams Cider (5/13/2022)</v>
      </c>
      <c r="H4065" s="19"/>
    </row>
    <row r="4066">
      <c r="A4066" s="9"/>
      <c r="B4066" s="15"/>
      <c r="C4066" s="9">
        <f>IFERROR(__xludf.DUMMYFUNCTION("""COMPUTED_VALUE"""),44754.235554155)</f>
        <v>44754.23555</v>
      </c>
      <c r="D4066" s="15">
        <f>IFERROR(__xludf.DUMMYFUNCTION("""COMPUTED_VALUE"""),1.004)</f>
        <v>1.004</v>
      </c>
      <c r="E4066" s="16">
        <f>IFERROR(__xludf.DUMMYFUNCTION("""COMPUTED_VALUE"""),68.0)</f>
        <v>68</v>
      </c>
      <c r="F4066" s="19" t="str">
        <f>IFERROR(__xludf.DUMMYFUNCTION("""COMPUTED_VALUE"""),"BLACK")</f>
        <v>BLACK</v>
      </c>
      <c r="G4066" s="20" t="str">
        <f>IFERROR(__xludf.DUMMYFUNCTION("""COMPUTED_VALUE"""),"Uncle Sams Cider (5/13/2022)")</f>
        <v>Uncle Sams Cider (5/13/2022)</v>
      </c>
      <c r="H4066" s="19"/>
    </row>
    <row r="4067">
      <c r="A4067" s="9"/>
      <c r="B4067" s="15"/>
      <c r="C4067" s="9">
        <f>IFERROR(__xludf.DUMMYFUNCTION("""COMPUTED_VALUE"""),44754.225119699)</f>
        <v>44754.22512</v>
      </c>
      <c r="D4067" s="15">
        <f>IFERROR(__xludf.DUMMYFUNCTION("""COMPUTED_VALUE"""),1.004)</f>
        <v>1.004</v>
      </c>
      <c r="E4067" s="16">
        <f>IFERROR(__xludf.DUMMYFUNCTION("""COMPUTED_VALUE"""),68.0)</f>
        <v>68</v>
      </c>
      <c r="F4067" s="19" t="str">
        <f>IFERROR(__xludf.DUMMYFUNCTION("""COMPUTED_VALUE"""),"BLACK")</f>
        <v>BLACK</v>
      </c>
      <c r="G4067" s="20" t="str">
        <f>IFERROR(__xludf.DUMMYFUNCTION("""COMPUTED_VALUE"""),"Uncle Sams Cider (5/13/2022)")</f>
        <v>Uncle Sams Cider (5/13/2022)</v>
      </c>
      <c r="H4067" s="19"/>
    </row>
    <row r="4068">
      <c r="A4068" s="9"/>
      <c r="B4068" s="15"/>
      <c r="C4068" s="9">
        <f>IFERROR(__xludf.DUMMYFUNCTION("""COMPUTED_VALUE"""),44754.2146990046)</f>
        <v>44754.2147</v>
      </c>
      <c r="D4068" s="15">
        <f>IFERROR(__xludf.DUMMYFUNCTION("""COMPUTED_VALUE"""),1.004)</f>
        <v>1.004</v>
      </c>
      <c r="E4068" s="16">
        <f>IFERROR(__xludf.DUMMYFUNCTION("""COMPUTED_VALUE"""),68.0)</f>
        <v>68</v>
      </c>
      <c r="F4068" s="19" t="str">
        <f>IFERROR(__xludf.DUMMYFUNCTION("""COMPUTED_VALUE"""),"BLACK")</f>
        <v>BLACK</v>
      </c>
      <c r="G4068" s="20" t="str">
        <f>IFERROR(__xludf.DUMMYFUNCTION("""COMPUTED_VALUE"""),"Uncle Sams Cider (5/13/2022)")</f>
        <v>Uncle Sams Cider (5/13/2022)</v>
      </c>
      <c r="H4068" s="19"/>
    </row>
    <row r="4069">
      <c r="A4069" s="9"/>
      <c r="B4069" s="15"/>
      <c r="C4069" s="9">
        <f>IFERROR(__xludf.DUMMYFUNCTION("""COMPUTED_VALUE"""),44754.2042782291)</f>
        <v>44754.20428</v>
      </c>
      <c r="D4069" s="15">
        <f>IFERROR(__xludf.DUMMYFUNCTION("""COMPUTED_VALUE"""),1.004)</f>
        <v>1.004</v>
      </c>
      <c r="E4069" s="16">
        <f>IFERROR(__xludf.DUMMYFUNCTION("""COMPUTED_VALUE"""),68.0)</f>
        <v>68</v>
      </c>
      <c r="F4069" s="19" t="str">
        <f>IFERROR(__xludf.DUMMYFUNCTION("""COMPUTED_VALUE"""),"BLACK")</f>
        <v>BLACK</v>
      </c>
      <c r="G4069" s="20" t="str">
        <f>IFERROR(__xludf.DUMMYFUNCTION("""COMPUTED_VALUE"""),"Uncle Sams Cider (5/13/2022)")</f>
        <v>Uncle Sams Cider (5/13/2022)</v>
      </c>
      <c r="H4069" s="19"/>
    </row>
    <row r="4070">
      <c r="A4070" s="9"/>
      <c r="B4070" s="15"/>
      <c r="C4070" s="9">
        <f>IFERROR(__xludf.DUMMYFUNCTION("""COMPUTED_VALUE"""),44754.1938447453)</f>
        <v>44754.19384</v>
      </c>
      <c r="D4070" s="15">
        <f>IFERROR(__xludf.DUMMYFUNCTION("""COMPUTED_VALUE"""),1.004)</f>
        <v>1.004</v>
      </c>
      <c r="E4070" s="16">
        <f>IFERROR(__xludf.DUMMYFUNCTION("""COMPUTED_VALUE"""),68.0)</f>
        <v>68</v>
      </c>
      <c r="F4070" s="19" t="str">
        <f>IFERROR(__xludf.DUMMYFUNCTION("""COMPUTED_VALUE"""),"BLACK")</f>
        <v>BLACK</v>
      </c>
      <c r="G4070" s="20" t="str">
        <f>IFERROR(__xludf.DUMMYFUNCTION("""COMPUTED_VALUE"""),"Uncle Sams Cider (5/13/2022)")</f>
        <v>Uncle Sams Cider (5/13/2022)</v>
      </c>
      <c r="H4070" s="19"/>
    </row>
    <row r="4071">
      <c r="A4071" s="9"/>
      <c r="B4071" s="15"/>
      <c r="C4071" s="9">
        <f>IFERROR(__xludf.DUMMYFUNCTION("""COMPUTED_VALUE"""),44754.183423368)</f>
        <v>44754.18342</v>
      </c>
      <c r="D4071" s="15">
        <f>IFERROR(__xludf.DUMMYFUNCTION("""COMPUTED_VALUE"""),1.004)</f>
        <v>1.004</v>
      </c>
      <c r="E4071" s="16">
        <f>IFERROR(__xludf.DUMMYFUNCTION("""COMPUTED_VALUE"""),68.0)</f>
        <v>68</v>
      </c>
      <c r="F4071" s="19" t="str">
        <f>IFERROR(__xludf.DUMMYFUNCTION("""COMPUTED_VALUE"""),"BLACK")</f>
        <v>BLACK</v>
      </c>
      <c r="G4071" s="20" t="str">
        <f>IFERROR(__xludf.DUMMYFUNCTION("""COMPUTED_VALUE"""),"Uncle Sams Cider (5/13/2022)")</f>
        <v>Uncle Sams Cider (5/13/2022)</v>
      </c>
      <c r="H4071" s="19"/>
    </row>
    <row r="4072">
      <c r="A4072" s="9"/>
      <c r="B4072" s="15"/>
      <c r="C4072" s="9">
        <f>IFERROR(__xludf.DUMMYFUNCTION("""COMPUTED_VALUE"""),44754.1730034375)</f>
        <v>44754.173</v>
      </c>
      <c r="D4072" s="15">
        <f>IFERROR(__xludf.DUMMYFUNCTION("""COMPUTED_VALUE"""),1.004)</f>
        <v>1.004</v>
      </c>
      <c r="E4072" s="16">
        <f>IFERROR(__xludf.DUMMYFUNCTION("""COMPUTED_VALUE"""),68.0)</f>
        <v>68</v>
      </c>
      <c r="F4072" s="19" t="str">
        <f>IFERROR(__xludf.DUMMYFUNCTION("""COMPUTED_VALUE"""),"BLACK")</f>
        <v>BLACK</v>
      </c>
      <c r="G4072" s="20" t="str">
        <f>IFERROR(__xludf.DUMMYFUNCTION("""COMPUTED_VALUE"""),"Uncle Sams Cider (5/13/2022)")</f>
        <v>Uncle Sams Cider (5/13/2022)</v>
      </c>
      <c r="H4072" s="19"/>
    </row>
    <row r="4073">
      <c r="A4073" s="9"/>
      <c r="B4073" s="15"/>
      <c r="C4073" s="9">
        <f>IFERROR(__xludf.DUMMYFUNCTION("""COMPUTED_VALUE"""),44754.162582118)</f>
        <v>44754.16258</v>
      </c>
      <c r="D4073" s="15">
        <f>IFERROR(__xludf.DUMMYFUNCTION("""COMPUTED_VALUE"""),1.004)</f>
        <v>1.004</v>
      </c>
      <c r="E4073" s="16">
        <f>IFERROR(__xludf.DUMMYFUNCTION("""COMPUTED_VALUE"""),68.0)</f>
        <v>68</v>
      </c>
      <c r="F4073" s="19" t="str">
        <f>IFERROR(__xludf.DUMMYFUNCTION("""COMPUTED_VALUE"""),"BLACK")</f>
        <v>BLACK</v>
      </c>
      <c r="G4073" s="20" t="str">
        <f>IFERROR(__xludf.DUMMYFUNCTION("""COMPUTED_VALUE"""),"Uncle Sams Cider (5/13/2022)")</f>
        <v>Uncle Sams Cider (5/13/2022)</v>
      </c>
      <c r="H4073" s="19"/>
    </row>
    <row r="4074">
      <c r="A4074" s="9"/>
      <c r="B4074" s="15"/>
      <c r="C4074" s="9">
        <f>IFERROR(__xludf.DUMMYFUNCTION("""COMPUTED_VALUE"""),44754.1521610879)</f>
        <v>44754.15216</v>
      </c>
      <c r="D4074" s="15">
        <f>IFERROR(__xludf.DUMMYFUNCTION("""COMPUTED_VALUE"""),1.004)</f>
        <v>1.004</v>
      </c>
      <c r="E4074" s="16">
        <f>IFERROR(__xludf.DUMMYFUNCTION("""COMPUTED_VALUE"""),68.0)</f>
        <v>68</v>
      </c>
      <c r="F4074" s="19" t="str">
        <f>IFERROR(__xludf.DUMMYFUNCTION("""COMPUTED_VALUE"""),"BLACK")</f>
        <v>BLACK</v>
      </c>
      <c r="G4074" s="20" t="str">
        <f>IFERROR(__xludf.DUMMYFUNCTION("""COMPUTED_VALUE"""),"Uncle Sams Cider (5/13/2022)")</f>
        <v>Uncle Sams Cider (5/13/2022)</v>
      </c>
      <c r="H4074" s="19"/>
    </row>
    <row r="4075">
      <c r="A4075" s="9"/>
      <c r="B4075" s="15"/>
      <c r="C4075" s="9">
        <f>IFERROR(__xludf.DUMMYFUNCTION("""COMPUTED_VALUE"""),44754.1417400925)</f>
        <v>44754.14174</v>
      </c>
      <c r="D4075" s="15">
        <f>IFERROR(__xludf.DUMMYFUNCTION("""COMPUTED_VALUE"""),1.004)</f>
        <v>1.004</v>
      </c>
      <c r="E4075" s="16">
        <f>IFERROR(__xludf.DUMMYFUNCTION("""COMPUTED_VALUE"""),68.0)</f>
        <v>68</v>
      </c>
      <c r="F4075" s="19" t="str">
        <f>IFERROR(__xludf.DUMMYFUNCTION("""COMPUTED_VALUE"""),"BLACK")</f>
        <v>BLACK</v>
      </c>
      <c r="G4075" s="20" t="str">
        <f>IFERROR(__xludf.DUMMYFUNCTION("""COMPUTED_VALUE"""),"Uncle Sams Cider (5/13/2022)")</f>
        <v>Uncle Sams Cider (5/13/2022)</v>
      </c>
      <c r="H4075" s="19"/>
    </row>
    <row r="4076">
      <c r="A4076" s="9"/>
      <c r="B4076" s="15"/>
      <c r="C4076" s="9">
        <f>IFERROR(__xludf.DUMMYFUNCTION("""COMPUTED_VALUE"""),44754.1313186921)</f>
        <v>44754.13132</v>
      </c>
      <c r="D4076" s="15">
        <f>IFERROR(__xludf.DUMMYFUNCTION("""COMPUTED_VALUE"""),1.004)</f>
        <v>1.004</v>
      </c>
      <c r="E4076" s="16">
        <f>IFERROR(__xludf.DUMMYFUNCTION("""COMPUTED_VALUE"""),68.0)</f>
        <v>68</v>
      </c>
      <c r="F4076" s="19" t="str">
        <f>IFERROR(__xludf.DUMMYFUNCTION("""COMPUTED_VALUE"""),"BLACK")</f>
        <v>BLACK</v>
      </c>
      <c r="G4076" s="20" t="str">
        <f>IFERROR(__xludf.DUMMYFUNCTION("""COMPUTED_VALUE"""),"Uncle Sams Cider (5/13/2022)")</f>
        <v>Uncle Sams Cider (5/13/2022)</v>
      </c>
      <c r="H4076" s="19"/>
    </row>
    <row r="4077">
      <c r="A4077" s="9"/>
      <c r="B4077" s="15"/>
      <c r="C4077" s="9">
        <f>IFERROR(__xludf.DUMMYFUNCTION("""COMPUTED_VALUE"""),44754.1208866319)</f>
        <v>44754.12089</v>
      </c>
      <c r="D4077" s="15">
        <f>IFERROR(__xludf.DUMMYFUNCTION("""COMPUTED_VALUE"""),1.004)</f>
        <v>1.004</v>
      </c>
      <c r="E4077" s="16">
        <f>IFERROR(__xludf.DUMMYFUNCTION("""COMPUTED_VALUE"""),68.0)</f>
        <v>68</v>
      </c>
      <c r="F4077" s="19" t="str">
        <f>IFERROR(__xludf.DUMMYFUNCTION("""COMPUTED_VALUE"""),"BLACK")</f>
        <v>BLACK</v>
      </c>
      <c r="G4077" s="20" t="str">
        <f>IFERROR(__xludf.DUMMYFUNCTION("""COMPUTED_VALUE"""),"Uncle Sams Cider (5/13/2022)")</f>
        <v>Uncle Sams Cider (5/13/2022)</v>
      </c>
      <c r="H4077" s="19"/>
    </row>
    <row r="4078">
      <c r="A4078" s="9"/>
      <c r="B4078" s="15"/>
      <c r="C4078" s="9">
        <f>IFERROR(__xludf.DUMMYFUNCTION("""COMPUTED_VALUE"""),44754.1104673032)</f>
        <v>44754.11047</v>
      </c>
      <c r="D4078" s="15">
        <f>IFERROR(__xludf.DUMMYFUNCTION("""COMPUTED_VALUE"""),1.004)</f>
        <v>1.004</v>
      </c>
      <c r="E4078" s="16">
        <f>IFERROR(__xludf.DUMMYFUNCTION("""COMPUTED_VALUE"""),68.0)</f>
        <v>68</v>
      </c>
      <c r="F4078" s="19" t="str">
        <f>IFERROR(__xludf.DUMMYFUNCTION("""COMPUTED_VALUE"""),"BLACK")</f>
        <v>BLACK</v>
      </c>
      <c r="G4078" s="20" t="str">
        <f>IFERROR(__xludf.DUMMYFUNCTION("""COMPUTED_VALUE"""),"Uncle Sams Cider (5/13/2022)")</f>
        <v>Uncle Sams Cider (5/13/2022)</v>
      </c>
      <c r="H4078" s="19"/>
    </row>
    <row r="4079">
      <c r="A4079" s="9"/>
      <c r="B4079" s="15"/>
      <c r="C4079" s="9">
        <f>IFERROR(__xludf.DUMMYFUNCTION("""COMPUTED_VALUE"""),44754.1000463888)</f>
        <v>44754.10005</v>
      </c>
      <c r="D4079" s="15">
        <f>IFERROR(__xludf.DUMMYFUNCTION("""COMPUTED_VALUE"""),1.004)</f>
        <v>1.004</v>
      </c>
      <c r="E4079" s="16">
        <f>IFERROR(__xludf.DUMMYFUNCTION("""COMPUTED_VALUE"""),68.0)</f>
        <v>68</v>
      </c>
      <c r="F4079" s="19" t="str">
        <f>IFERROR(__xludf.DUMMYFUNCTION("""COMPUTED_VALUE"""),"BLACK")</f>
        <v>BLACK</v>
      </c>
      <c r="G4079" s="20" t="str">
        <f>IFERROR(__xludf.DUMMYFUNCTION("""COMPUTED_VALUE"""),"Uncle Sams Cider (5/13/2022)")</f>
        <v>Uncle Sams Cider (5/13/2022)</v>
      </c>
      <c r="H4079" s="19"/>
    </row>
    <row r="4080">
      <c r="A4080" s="9"/>
      <c r="B4080" s="15"/>
      <c r="C4080" s="9">
        <f>IFERROR(__xludf.DUMMYFUNCTION("""COMPUTED_VALUE"""),44754.0896137847)</f>
        <v>44754.08961</v>
      </c>
      <c r="D4080" s="15">
        <f>IFERROR(__xludf.DUMMYFUNCTION("""COMPUTED_VALUE"""),1.004)</f>
        <v>1.004</v>
      </c>
      <c r="E4080" s="16">
        <f>IFERROR(__xludf.DUMMYFUNCTION("""COMPUTED_VALUE"""),68.0)</f>
        <v>68</v>
      </c>
      <c r="F4080" s="19" t="str">
        <f>IFERROR(__xludf.DUMMYFUNCTION("""COMPUTED_VALUE"""),"BLACK")</f>
        <v>BLACK</v>
      </c>
      <c r="G4080" s="20" t="str">
        <f>IFERROR(__xludf.DUMMYFUNCTION("""COMPUTED_VALUE"""),"Uncle Sams Cider (5/13/2022)")</f>
        <v>Uncle Sams Cider (5/13/2022)</v>
      </c>
      <c r="H4080" s="19"/>
    </row>
    <row r="4081">
      <c r="A4081" s="9"/>
      <c r="B4081" s="15"/>
      <c r="C4081" s="9">
        <f>IFERROR(__xludf.DUMMYFUNCTION("""COMPUTED_VALUE"""),44754.0791928125)</f>
        <v>44754.07919</v>
      </c>
      <c r="D4081" s="15">
        <f>IFERROR(__xludf.DUMMYFUNCTION("""COMPUTED_VALUE"""),1.004)</f>
        <v>1.004</v>
      </c>
      <c r="E4081" s="16">
        <f>IFERROR(__xludf.DUMMYFUNCTION("""COMPUTED_VALUE"""),68.0)</f>
        <v>68</v>
      </c>
      <c r="F4081" s="19" t="str">
        <f>IFERROR(__xludf.DUMMYFUNCTION("""COMPUTED_VALUE"""),"BLACK")</f>
        <v>BLACK</v>
      </c>
      <c r="G4081" s="20" t="str">
        <f>IFERROR(__xludf.DUMMYFUNCTION("""COMPUTED_VALUE"""),"Uncle Sams Cider (5/13/2022)")</f>
        <v>Uncle Sams Cider (5/13/2022)</v>
      </c>
      <c r="H4081" s="19"/>
    </row>
    <row r="4082">
      <c r="A4082" s="9"/>
      <c r="B4082" s="15"/>
      <c r="C4082" s="9">
        <f>IFERROR(__xludf.DUMMYFUNCTION("""COMPUTED_VALUE"""),44754.0687600578)</f>
        <v>44754.06876</v>
      </c>
      <c r="D4082" s="15">
        <f>IFERROR(__xludf.DUMMYFUNCTION("""COMPUTED_VALUE"""),1.004)</f>
        <v>1.004</v>
      </c>
      <c r="E4082" s="16">
        <f>IFERROR(__xludf.DUMMYFUNCTION("""COMPUTED_VALUE"""),68.0)</f>
        <v>68</v>
      </c>
      <c r="F4082" s="19" t="str">
        <f>IFERROR(__xludf.DUMMYFUNCTION("""COMPUTED_VALUE"""),"BLACK")</f>
        <v>BLACK</v>
      </c>
      <c r="G4082" s="20" t="str">
        <f>IFERROR(__xludf.DUMMYFUNCTION("""COMPUTED_VALUE"""),"Uncle Sams Cider (5/13/2022)")</f>
        <v>Uncle Sams Cider (5/13/2022)</v>
      </c>
      <c r="H4082" s="19"/>
    </row>
    <row r="4083">
      <c r="A4083" s="9"/>
      <c r="B4083" s="15"/>
      <c r="C4083" s="9">
        <f>IFERROR(__xludf.DUMMYFUNCTION("""COMPUTED_VALUE"""),44754.0583389583)</f>
        <v>44754.05834</v>
      </c>
      <c r="D4083" s="15">
        <f>IFERROR(__xludf.DUMMYFUNCTION("""COMPUTED_VALUE"""),1.004)</f>
        <v>1.004</v>
      </c>
      <c r="E4083" s="16">
        <f>IFERROR(__xludf.DUMMYFUNCTION("""COMPUTED_VALUE"""),68.0)</f>
        <v>68</v>
      </c>
      <c r="F4083" s="19" t="str">
        <f>IFERROR(__xludf.DUMMYFUNCTION("""COMPUTED_VALUE"""),"BLACK")</f>
        <v>BLACK</v>
      </c>
      <c r="G4083" s="20" t="str">
        <f>IFERROR(__xludf.DUMMYFUNCTION("""COMPUTED_VALUE"""),"Uncle Sams Cider (5/13/2022)")</f>
        <v>Uncle Sams Cider (5/13/2022)</v>
      </c>
      <c r="H4083" s="19"/>
    </row>
    <row r="4084">
      <c r="A4084" s="9"/>
      <c r="B4084" s="15"/>
      <c r="C4084" s="9">
        <f>IFERROR(__xludf.DUMMYFUNCTION("""COMPUTED_VALUE"""),44754.0479188541)</f>
        <v>44754.04792</v>
      </c>
      <c r="D4084" s="15">
        <f>IFERROR(__xludf.DUMMYFUNCTION("""COMPUTED_VALUE"""),1.004)</f>
        <v>1.004</v>
      </c>
      <c r="E4084" s="16">
        <f>IFERROR(__xludf.DUMMYFUNCTION("""COMPUTED_VALUE"""),68.0)</f>
        <v>68</v>
      </c>
      <c r="F4084" s="19" t="str">
        <f>IFERROR(__xludf.DUMMYFUNCTION("""COMPUTED_VALUE"""),"BLACK")</f>
        <v>BLACK</v>
      </c>
      <c r="G4084" s="20" t="str">
        <f>IFERROR(__xludf.DUMMYFUNCTION("""COMPUTED_VALUE"""),"Uncle Sams Cider (5/13/2022)")</f>
        <v>Uncle Sams Cider (5/13/2022)</v>
      </c>
      <c r="H4084" s="19"/>
    </row>
    <row r="4085">
      <c r="A4085" s="9"/>
      <c r="B4085" s="15"/>
      <c r="C4085" s="9">
        <f>IFERROR(__xludf.DUMMYFUNCTION("""COMPUTED_VALUE"""),44754.0374970486)</f>
        <v>44754.0375</v>
      </c>
      <c r="D4085" s="15">
        <f>IFERROR(__xludf.DUMMYFUNCTION("""COMPUTED_VALUE"""),1.004)</f>
        <v>1.004</v>
      </c>
      <c r="E4085" s="16">
        <f>IFERROR(__xludf.DUMMYFUNCTION("""COMPUTED_VALUE"""),68.0)</f>
        <v>68</v>
      </c>
      <c r="F4085" s="19" t="str">
        <f>IFERROR(__xludf.DUMMYFUNCTION("""COMPUTED_VALUE"""),"BLACK")</f>
        <v>BLACK</v>
      </c>
      <c r="G4085" s="20" t="str">
        <f>IFERROR(__xludf.DUMMYFUNCTION("""COMPUTED_VALUE"""),"Uncle Sams Cider (5/13/2022)")</f>
        <v>Uncle Sams Cider (5/13/2022)</v>
      </c>
      <c r="H4085" s="19"/>
    </row>
    <row r="4086">
      <c r="A4086" s="9"/>
      <c r="B4086" s="15"/>
      <c r="C4086" s="9">
        <f>IFERROR(__xludf.DUMMYFUNCTION("""COMPUTED_VALUE"""),44754.0270653819)</f>
        <v>44754.02707</v>
      </c>
      <c r="D4086" s="15">
        <f>IFERROR(__xludf.DUMMYFUNCTION("""COMPUTED_VALUE"""),1.004)</f>
        <v>1.004</v>
      </c>
      <c r="E4086" s="16">
        <f>IFERROR(__xludf.DUMMYFUNCTION("""COMPUTED_VALUE"""),67.0)</f>
        <v>67</v>
      </c>
      <c r="F4086" s="19" t="str">
        <f>IFERROR(__xludf.DUMMYFUNCTION("""COMPUTED_VALUE"""),"BLACK")</f>
        <v>BLACK</v>
      </c>
      <c r="G4086" s="20" t="str">
        <f>IFERROR(__xludf.DUMMYFUNCTION("""COMPUTED_VALUE"""),"Uncle Sams Cider (5/13/2022)")</f>
        <v>Uncle Sams Cider (5/13/2022)</v>
      </c>
      <c r="H4086" s="19"/>
    </row>
    <row r="4087">
      <c r="A4087" s="9"/>
      <c r="B4087" s="15"/>
      <c r="C4087" s="9">
        <f>IFERROR(__xludf.DUMMYFUNCTION("""COMPUTED_VALUE"""),44754.016632905)</f>
        <v>44754.01663</v>
      </c>
      <c r="D4087" s="15">
        <f>IFERROR(__xludf.DUMMYFUNCTION("""COMPUTED_VALUE"""),1.004)</f>
        <v>1.004</v>
      </c>
      <c r="E4087" s="16">
        <f>IFERROR(__xludf.DUMMYFUNCTION("""COMPUTED_VALUE"""),67.0)</f>
        <v>67</v>
      </c>
      <c r="F4087" s="19" t="str">
        <f>IFERROR(__xludf.DUMMYFUNCTION("""COMPUTED_VALUE"""),"BLACK")</f>
        <v>BLACK</v>
      </c>
      <c r="G4087" s="20" t="str">
        <f>IFERROR(__xludf.DUMMYFUNCTION("""COMPUTED_VALUE"""),"Uncle Sams Cider (5/13/2022)")</f>
        <v>Uncle Sams Cider (5/13/2022)</v>
      </c>
      <c r="H4087" s="19"/>
    </row>
    <row r="4088">
      <c r="A4088" s="9"/>
      <c r="B4088" s="15"/>
      <c r="C4088" s="9">
        <f>IFERROR(__xludf.DUMMYFUNCTION("""COMPUTED_VALUE"""),44754.0062130208)</f>
        <v>44754.00621</v>
      </c>
      <c r="D4088" s="15">
        <f>IFERROR(__xludf.DUMMYFUNCTION("""COMPUTED_VALUE"""),1.004)</f>
        <v>1.004</v>
      </c>
      <c r="E4088" s="16">
        <f>IFERROR(__xludf.DUMMYFUNCTION("""COMPUTED_VALUE"""),67.0)</f>
        <v>67</v>
      </c>
      <c r="F4088" s="19" t="str">
        <f>IFERROR(__xludf.DUMMYFUNCTION("""COMPUTED_VALUE"""),"BLACK")</f>
        <v>BLACK</v>
      </c>
      <c r="G4088" s="20" t="str">
        <f>IFERROR(__xludf.DUMMYFUNCTION("""COMPUTED_VALUE"""),"Uncle Sams Cider (5/13/2022)")</f>
        <v>Uncle Sams Cider (5/13/2022)</v>
      </c>
      <c r="H4088" s="19"/>
    </row>
    <row r="4089">
      <c r="A4089" s="9"/>
      <c r="B4089" s="15"/>
      <c r="C4089" s="9">
        <f>IFERROR(__xludf.DUMMYFUNCTION("""COMPUTED_VALUE"""),44753.9957909838)</f>
        <v>44753.99579</v>
      </c>
      <c r="D4089" s="15">
        <f>IFERROR(__xludf.DUMMYFUNCTION("""COMPUTED_VALUE"""),1.004)</f>
        <v>1.004</v>
      </c>
      <c r="E4089" s="16">
        <f>IFERROR(__xludf.DUMMYFUNCTION("""COMPUTED_VALUE"""),67.0)</f>
        <v>67</v>
      </c>
      <c r="F4089" s="19" t="str">
        <f>IFERROR(__xludf.DUMMYFUNCTION("""COMPUTED_VALUE"""),"BLACK")</f>
        <v>BLACK</v>
      </c>
      <c r="G4089" s="20" t="str">
        <f>IFERROR(__xludf.DUMMYFUNCTION("""COMPUTED_VALUE"""),"Uncle Sams Cider (5/13/2022)")</f>
        <v>Uncle Sams Cider (5/13/2022)</v>
      </c>
      <c r="H4089" s="19"/>
    </row>
    <row r="4090">
      <c r="A4090" s="9"/>
      <c r="B4090" s="15"/>
      <c r="C4090" s="9">
        <f>IFERROR(__xludf.DUMMYFUNCTION("""COMPUTED_VALUE"""),44753.9853714583)</f>
        <v>44753.98537</v>
      </c>
      <c r="D4090" s="15">
        <f>IFERROR(__xludf.DUMMYFUNCTION("""COMPUTED_VALUE"""),1.004)</f>
        <v>1.004</v>
      </c>
      <c r="E4090" s="16">
        <f>IFERROR(__xludf.DUMMYFUNCTION("""COMPUTED_VALUE"""),67.0)</f>
        <v>67</v>
      </c>
      <c r="F4090" s="19" t="str">
        <f>IFERROR(__xludf.DUMMYFUNCTION("""COMPUTED_VALUE"""),"BLACK")</f>
        <v>BLACK</v>
      </c>
      <c r="G4090" s="20" t="str">
        <f>IFERROR(__xludf.DUMMYFUNCTION("""COMPUTED_VALUE"""),"Uncle Sams Cider (5/13/2022)")</f>
        <v>Uncle Sams Cider (5/13/2022)</v>
      </c>
      <c r="H4090" s="19"/>
    </row>
    <row r="4091">
      <c r="A4091" s="9"/>
      <c r="B4091" s="15"/>
      <c r="C4091" s="9">
        <f>IFERROR(__xludf.DUMMYFUNCTION("""COMPUTED_VALUE"""),44753.9749495023)</f>
        <v>44753.97495</v>
      </c>
      <c r="D4091" s="15">
        <f>IFERROR(__xludf.DUMMYFUNCTION("""COMPUTED_VALUE"""),1.004)</f>
        <v>1.004</v>
      </c>
      <c r="E4091" s="16">
        <f>IFERROR(__xludf.DUMMYFUNCTION("""COMPUTED_VALUE"""),67.0)</f>
        <v>67</v>
      </c>
      <c r="F4091" s="19" t="str">
        <f>IFERROR(__xludf.DUMMYFUNCTION("""COMPUTED_VALUE"""),"BLACK")</f>
        <v>BLACK</v>
      </c>
      <c r="G4091" s="20" t="str">
        <f>IFERROR(__xludf.DUMMYFUNCTION("""COMPUTED_VALUE"""),"Uncle Sams Cider (5/13/2022)")</f>
        <v>Uncle Sams Cider (5/13/2022)</v>
      </c>
      <c r="H4091" s="19"/>
    </row>
    <row r="4092">
      <c r="A4092" s="9"/>
      <c r="B4092" s="15"/>
      <c r="C4092" s="9">
        <f>IFERROR(__xludf.DUMMYFUNCTION("""COMPUTED_VALUE"""),44753.9645277893)</f>
        <v>44753.96453</v>
      </c>
      <c r="D4092" s="15">
        <f>IFERROR(__xludf.DUMMYFUNCTION("""COMPUTED_VALUE"""),1.004)</f>
        <v>1.004</v>
      </c>
      <c r="E4092" s="16">
        <f>IFERROR(__xludf.DUMMYFUNCTION("""COMPUTED_VALUE"""),67.0)</f>
        <v>67</v>
      </c>
      <c r="F4092" s="19" t="str">
        <f>IFERROR(__xludf.DUMMYFUNCTION("""COMPUTED_VALUE"""),"BLACK")</f>
        <v>BLACK</v>
      </c>
      <c r="G4092" s="20" t="str">
        <f>IFERROR(__xludf.DUMMYFUNCTION("""COMPUTED_VALUE"""),"Uncle Sams Cider (5/13/2022)")</f>
        <v>Uncle Sams Cider (5/13/2022)</v>
      </c>
      <c r="H4092" s="19"/>
    </row>
    <row r="4093">
      <c r="A4093" s="9"/>
      <c r="B4093" s="15"/>
      <c r="C4093" s="9">
        <f>IFERROR(__xludf.DUMMYFUNCTION("""COMPUTED_VALUE"""),44753.9540959606)</f>
        <v>44753.9541</v>
      </c>
      <c r="D4093" s="15">
        <f>IFERROR(__xludf.DUMMYFUNCTION("""COMPUTED_VALUE"""),1.004)</f>
        <v>1.004</v>
      </c>
      <c r="E4093" s="16">
        <f>IFERROR(__xludf.DUMMYFUNCTION("""COMPUTED_VALUE"""),67.0)</f>
        <v>67</v>
      </c>
      <c r="F4093" s="19" t="str">
        <f>IFERROR(__xludf.DUMMYFUNCTION("""COMPUTED_VALUE"""),"BLACK")</f>
        <v>BLACK</v>
      </c>
      <c r="G4093" s="20" t="str">
        <f>IFERROR(__xludf.DUMMYFUNCTION("""COMPUTED_VALUE"""),"Uncle Sams Cider (5/13/2022)")</f>
        <v>Uncle Sams Cider (5/13/2022)</v>
      </c>
      <c r="H4093" s="19"/>
    </row>
    <row r="4094">
      <c r="A4094" s="9"/>
      <c r="B4094" s="15"/>
      <c r="C4094" s="9">
        <f>IFERROR(__xludf.DUMMYFUNCTION("""COMPUTED_VALUE"""),44753.9436756365)</f>
        <v>44753.94368</v>
      </c>
      <c r="D4094" s="15">
        <f>IFERROR(__xludf.DUMMYFUNCTION("""COMPUTED_VALUE"""),1.004)</f>
        <v>1.004</v>
      </c>
      <c r="E4094" s="16">
        <f>IFERROR(__xludf.DUMMYFUNCTION("""COMPUTED_VALUE"""),67.0)</f>
        <v>67</v>
      </c>
      <c r="F4094" s="19" t="str">
        <f>IFERROR(__xludf.DUMMYFUNCTION("""COMPUTED_VALUE"""),"BLACK")</f>
        <v>BLACK</v>
      </c>
      <c r="G4094" s="20" t="str">
        <f>IFERROR(__xludf.DUMMYFUNCTION("""COMPUTED_VALUE"""),"Uncle Sams Cider (5/13/2022)")</f>
        <v>Uncle Sams Cider (5/13/2022)</v>
      </c>
      <c r="H4094" s="19"/>
    </row>
    <row r="4095">
      <c r="A4095" s="9"/>
      <c r="B4095" s="15"/>
      <c r="C4095" s="9">
        <f>IFERROR(__xludf.DUMMYFUNCTION("""COMPUTED_VALUE"""),44753.9332545601)</f>
        <v>44753.93325</v>
      </c>
      <c r="D4095" s="15">
        <f>IFERROR(__xludf.DUMMYFUNCTION("""COMPUTED_VALUE"""),1.004)</f>
        <v>1.004</v>
      </c>
      <c r="E4095" s="16">
        <f>IFERROR(__xludf.DUMMYFUNCTION("""COMPUTED_VALUE"""),67.0)</f>
        <v>67</v>
      </c>
      <c r="F4095" s="19" t="str">
        <f>IFERROR(__xludf.DUMMYFUNCTION("""COMPUTED_VALUE"""),"BLACK")</f>
        <v>BLACK</v>
      </c>
      <c r="G4095" s="20" t="str">
        <f>IFERROR(__xludf.DUMMYFUNCTION("""COMPUTED_VALUE"""),"Uncle Sams Cider (5/13/2022)")</f>
        <v>Uncle Sams Cider (5/13/2022)</v>
      </c>
      <c r="H4095" s="19"/>
    </row>
    <row r="4096">
      <c r="A4096" s="9"/>
      <c r="B4096" s="15"/>
      <c r="C4096" s="9">
        <f>IFERROR(__xludf.DUMMYFUNCTION("""COMPUTED_VALUE"""),44753.9228203703)</f>
        <v>44753.92282</v>
      </c>
      <c r="D4096" s="15">
        <f>IFERROR(__xludf.DUMMYFUNCTION("""COMPUTED_VALUE"""),1.004)</f>
        <v>1.004</v>
      </c>
      <c r="E4096" s="16">
        <f>IFERROR(__xludf.DUMMYFUNCTION("""COMPUTED_VALUE"""),67.0)</f>
        <v>67</v>
      </c>
      <c r="F4096" s="19" t="str">
        <f>IFERROR(__xludf.DUMMYFUNCTION("""COMPUTED_VALUE"""),"BLACK")</f>
        <v>BLACK</v>
      </c>
      <c r="G4096" s="20" t="str">
        <f>IFERROR(__xludf.DUMMYFUNCTION("""COMPUTED_VALUE"""),"Uncle Sams Cider (5/13/2022)")</f>
        <v>Uncle Sams Cider (5/13/2022)</v>
      </c>
      <c r="H4096" s="19"/>
    </row>
    <row r="4097">
      <c r="A4097" s="9"/>
      <c r="B4097" s="15"/>
      <c r="C4097" s="9">
        <f>IFERROR(__xludf.DUMMYFUNCTION("""COMPUTED_VALUE"""),44753.9123976041)</f>
        <v>44753.9124</v>
      </c>
      <c r="D4097" s="15">
        <f>IFERROR(__xludf.DUMMYFUNCTION("""COMPUTED_VALUE"""),1.004)</f>
        <v>1.004</v>
      </c>
      <c r="E4097" s="16">
        <f>IFERROR(__xludf.DUMMYFUNCTION("""COMPUTED_VALUE"""),67.0)</f>
        <v>67</v>
      </c>
      <c r="F4097" s="19" t="str">
        <f>IFERROR(__xludf.DUMMYFUNCTION("""COMPUTED_VALUE"""),"BLACK")</f>
        <v>BLACK</v>
      </c>
      <c r="G4097" s="20" t="str">
        <f>IFERROR(__xludf.DUMMYFUNCTION("""COMPUTED_VALUE"""),"Uncle Sams Cider (5/13/2022)")</f>
        <v>Uncle Sams Cider (5/13/2022)</v>
      </c>
      <c r="H4097" s="19"/>
    </row>
    <row r="4098">
      <c r="A4098" s="9"/>
      <c r="B4098" s="15"/>
      <c r="C4098" s="9">
        <f>IFERROR(__xludf.DUMMYFUNCTION("""COMPUTED_VALUE"""),44753.9019760069)</f>
        <v>44753.90198</v>
      </c>
      <c r="D4098" s="15">
        <f>IFERROR(__xludf.DUMMYFUNCTION("""COMPUTED_VALUE"""),1.004)</f>
        <v>1.004</v>
      </c>
      <c r="E4098" s="16">
        <f>IFERROR(__xludf.DUMMYFUNCTION("""COMPUTED_VALUE"""),67.0)</f>
        <v>67</v>
      </c>
      <c r="F4098" s="19" t="str">
        <f>IFERROR(__xludf.DUMMYFUNCTION("""COMPUTED_VALUE"""),"BLACK")</f>
        <v>BLACK</v>
      </c>
      <c r="G4098" s="20" t="str">
        <f>IFERROR(__xludf.DUMMYFUNCTION("""COMPUTED_VALUE"""),"Uncle Sams Cider (5/13/2022)")</f>
        <v>Uncle Sams Cider (5/13/2022)</v>
      </c>
      <c r="H4098" s="19"/>
    </row>
    <row r="4099">
      <c r="A4099" s="9"/>
      <c r="B4099" s="15"/>
      <c r="C4099" s="9">
        <f>IFERROR(__xludf.DUMMYFUNCTION("""COMPUTED_VALUE"""),44753.8915560995)</f>
        <v>44753.89156</v>
      </c>
      <c r="D4099" s="15">
        <f>IFERROR(__xludf.DUMMYFUNCTION("""COMPUTED_VALUE"""),1.004)</f>
        <v>1.004</v>
      </c>
      <c r="E4099" s="16">
        <f>IFERROR(__xludf.DUMMYFUNCTION("""COMPUTED_VALUE"""),67.0)</f>
        <v>67</v>
      </c>
      <c r="F4099" s="19" t="str">
        <f>IFERROR(__xludf.DUMMYFUNCTION("""COMPUTED_VALUE"""),"BLACK")</f>
        <v>BLACK</v>
      </c>
      <c r="G4099" s="20" t="str">
        <f>IFERROR(__xludf.DUMMYFUNCTION("""COMPUTED_VALUE"""),"Uncle Sams Cider (5/13/2022)")</f>
        <v>Uncle Sams Cider (5/13/2022)</v>
      </c>
      <c r="H4099" s="19"/>
    </row>
    <row r="4100">
      <c r="A4100" s="9"/>
      <c r="B4100" s="15"/>
      <c r="C4100" s="9">
        <f>IFERROR(__xludf.DUMMYFUNCTION("""COMPUTED_VALUE"""),44753.881135243)</f>
        <v>44753.88114</v>
      </c>
      <c r="D4100" s="15">
        <f>IFERROR(__xludf.DUMMYFUNCTION("""COMPUTED_VALUE"""),1.004)</f>
        <v>1.004</v>
      </c>
      <c r="E4100" s="16">
        <f>IFERROR(__xludf.DUMMYFUNCTION("""COMPUTED_VALUE"""),67.0)</f>
        <v>67</v>
      </c>
      <c r="F4100" s="19" t="str">
        <f>IFERROR(__xludf.DUMMYFUNCTION("""COMPUTED_VALUE"""),"BLACK")</f>
        <v>BLACK</v>
      </c>
      <c r="G4100" s="20" t="str">
        <f>IFERROR(__xludf.DUMMYFUNCTION("""COMPUTED_VALUE"""),"Uncle Sams Cider (5/13/2022)")</f>
        <v>Uncle Sams Cider (5/13/2022)</v>
      </c>
      <c r="H4100" s="19"/>
    </row>
    <row r="4101">
      <c r="A4101" s="9"/>
      <c r="B4101" s="15"/>
      <c r="C4101" s="9">
        <f>IFERROR(__xludf.DUMMYFUNCTION("""COMPUTED_VALUE"""),44753.8707139467)</f>
        <v>44753.87071</v>
      </c>
      <c r="D4101" s="15">
        <f>IFERROR(__xludf.DUMMYFUNCTION("""COMPUTED_VALUE"""),1.004)</f>
        <v>1.004</v>
      </c>
      <c r="E4101" s="16">
        <f>IFERROR(__xludf.DUMMYFUNCTION("""COMPUTED_VALUE"""),67.0)</f>
        <v>67</v>
      </c>
      <c r="F4101" s="19" t="str">
        <f>IFERROR(__xludf.DUMMYFUNCTION("""COMPUTED_VALUE"""),"BLACK")</f>
        <v>BLACK</v>
      </c>
      <c r="G4101" s="20" t="str">
        <f>IFERROR(__xludf.DUMMYFUNCTION("""COMPUTED_VALUE"""),"Uncle Sams Cider (5/13/2022)")</f>
        <v>Uncle Sams Cider (5/13/2022)</v>
      </c>
      <c r="H4101" s="19"/>
    </row>
    <row r="4102">
      <c r="A4102" s="9"/>
      <c r="B4102" s="15"/>
      <c r="C4102" s="9">
        <f>IFERROR(__xludf.DUMMYFUNCTION("""COMPUTED_VALUE"""),44753.8602928703)</f>
        <v>44753.86029</v>
      </c>
      <c r="D4102" s="15">
        <f>IFERROR(__xludf.DUMMYFUNCTION("""COMPUTED_VALUE"""),1.004)</f>
        <v>1.004</v>
      </c>
      <c r="E4102" s="16">
        <f>IFERROR(__xludf.DUMMYFUNCTION("""COMPUTED_VALUE"""),67.0)</f>
        <v>67</v>
      </c>
      <c r="F4102" s="19" t="str">
        <f>IFERROR(__xludf.DUMMYFUNCTION("""COMPUTED_VALUE"""),"BLACK")</f>
        <v>BLACK</v>
      </c>
      <c r="G4102" s="20" t="str">
        <f>IFERROR(__xludf.DUMMYFUNCTION("""COMPUTED_VALUE"""),"Uncle Sams Cider (5/13/2022)")</f>
        <v>Uncle Sams Cider (5/13/2022)</v>
      </c>
      <c r="H4102" s="19"/>
    </row>
    <row r="4103">
      <c r="A4103" s="9"/>
      <c r="B4103" s="15"/>
      <c r="C4103" s="9">
        <f>IFERROR(__xludf.DUMMYFUNCTION("""COMPUTED_VALUE"""),44753.8498609722)</f>
        <v>44753.84986</v>
      </c>
      <c r="D4103" s="15">
        <f>IFERROR(__xludf.DUMMYFUNCTION("""COMPUTED_VALUE"""),1.004)</f>
        <v>1.004</v>
      </c>
      <c r="E4103" s="16">
        <f>IFERROR(__xludf.DUMMYFUNCTION("""COMPUTED_VALUE"""),67.0)</f>
        <v>67</v>
      </c>
      <c r="F4103" s="19" t="str">
        <f>IFERROR(__xludf.DUMMYFUNCTION("""COMPUTED_VALUE"""),"BLACK")</f>
        <v>BLACK</v>
      </c>
      <c r="G4103" s="20" t="str">
        <f>IFERROR(__xludf.DUMMYFUNCTION("""COMPUTED_VALUE"""),"Uncle Sams Cider (5/13/2022)")</f>
        <v>Uncle Sams Cider (5/13/2022)</v>
      </c>
      <c r="H4103" s="19"/>
    </row>
    <row r="4104">
      <c r="A4104" s="9"/>
      <c r="B4104" s="15"/>
      <c r="C4104" s="9">
        <f>IFERROR(__xludf.DUMMYFUNCTION("""COMPUTED_VALUE"""),44753.8394382638)</f>
        <v>44753.83944</v>
      </c>
      <c r="D4104" s="15">
        <f>IFERROR(__xludf.DUMMYFUNCTION("""COMPUTED_VALUE"""),1.005)</f>
        <v>1.005</v>
      </c>
      <c r="E4104" s="16">
        <f>IFERROR(__xludf.DUMMYFUNCTION("""COMPUTED_VALUE"""),67.0)</f>
        <v>67</v>
      </c>
      <c r="F4104" s="19" t="str">
        <f>IFERROR(__xludf.DUMMYFUNCTION("""COMPUTED_VALUE"""),"BLACK")</f>
        <v>BLACK</v>
      </c>
      <c r="G4104" s="20" t="str">
        <f>IFERROR(__xludf.DUMMYFUNCTION("""COMPUTED_VALUE"""),"Uncle Sams Cider (5/13/2022)")</f>
        <v>Uncle Sams Cider (5/13/2022)</v>
      </c>
      <c r="H4104" s="19"/>
    </row>
    <row r="4105">
      <c r="A4105" s="9"/>
      <c r="B4105" s="15"/>
      <c r="C4105" s="9">
        <f>IFERROR(__xludf.DUMMYFUNCTION("""COMPUTED_VALUE"""),44753.8290154976)</f>
        <v>44753.82902</v>
      </c>
      <c r="D4105" s="15">
        <f>IFERROR(__xludf.DUMMYFUNCTION("""COMPUTED_VALUE"""),1.004)</f>
        <v>1.004</v>
      </c>
      <c r="E4105" s="16">
        <f>IFERROR(__xludf.DUMMYFUNCTION("""COMPUTED_VALUE"""),67.0)</f>
        <v>67</v>
      </c>
      <c r="F4105" s="19" t="str">
        <f>IFERROR(__xludf.DUMMYFUNCTION("""COMPUTED_VALUE"""),"BLACK")</f>
        <v>BLACK</v>
      </c>
      <c r="G4105" s="20" t="str">
        <f>IFERROR(__xludf.DUMMYFUNCTION("""COMPUTED_VALUE"""),"Uncle Sams Cider (5/13/2022)")</f>
        <v>Uncle Sams Cider (5/13/2022)</v>
      </c>
      <c r="H4105" s="19"/>
    </row>
    <row r="4106">
      <c r="A4106" s="9"/>
      <c r="B4106" s="15"/>
      <c r="C4106" s="9">
        <f>IFERROR(__xludf.DUMMYFUNCTION("""COMPUTED_VALUE"""),44753.8185943865)</f>
        <v>44753.81859</v>
      </c>
      <c r="D4106" s="15">
        <f>IFERROR(__xludf.DUMMYFUNCTION("""COMPUTED_VALUE"""),1.004)</f>
        <v>1.004</v>
      </c>
      <c r="E4106" s="16">
        <f>IFERROR(__xludf.DUMMYFUNCTION("""COMPUTED_VALUE"""),67.0)</f>
        <v>67</v>
      </c>
      <c r="F4106" s="19" t="str">
        <f>IFERROR(__xludf.DUMMYFUNCTION("""COMPUTED_VALUE"""),"BLACK")</f>
        <v>BLACK</v>
      </c>
      <c r="G4106" s="20" t="str">
        <f>IFERROR(__xludf.DUMMYFUNCTION("""COMPUTED_VALUE"""),"Uncle Sams Cider (5/13/2022)")</f>
        <v>Uncle Sams Cider (5/13/2022)</v>
      </c>
      <c r="H4106" s="19"/>
    </row>
    <row r="4107">
      <c r="A4107" s="9"/>
      <c r="B4107" s="15"/>
      <c r="C4107" s="9">
        <f>IFERROR(__xludf.DUMMYFUNCTION("""COMPUTED_VALUE"""),44753.8081754398)</f>
        <v>44753.80818</v>
      </c>
      <c r="D4107" s="15">
        <f>IFERROR(__xludf.DUMMYFUNCTION("""COMPUTED_VALUE"""),1.004)</f>
        <v>1.004</v>
      </c>
      <c r="E4107" s="16">
        <f>IFERROR(__xludf.DUMMYFUNCTION("""COMPUTED_VALUE"""),67.0)</f>
        <v>67</v>
      </c>
      <c r="F4107" s="19" t="str">
        <f>IFERROR(__xludf.DUMMYFUNCTION("""COMPUTED_VALUE"""),"BLACK")</f>
        <v>BLACK</v>
      </c>
      <c r="G4107" s="20" t="str">
        <f>IFERROR(__xludf.DUMMYFUNCTION("""COMPUTED_VALUE"""),"Uncle Sams Cider (5/13/2022)")</f>
        <v>Uncle Sams Cider (5/13/2022)</v>
      </c>
      <c r="H4107" s="19"/>
    </row>
    <row r="4108">
      <c r="A4108" s="9"/>
      <c r="B4108" s="15"/>
      <c r="C4108" s="9">
        <f>IFERROR(__xludf.DUMMYFUNCTION("""COMPUTED_VALUE"""),44753.7977542476)</f>
        <v>44753.79775</v>
      </c>
      <c r="D4108" s="15">
        <f>IFERROR(__xludf.DUMMYFUNCTION("""COMPUTED_VALUE"""),1.004)</f>
        <v>1.004</v>
      </c>
      <c r="E4108" s="16">
        <f>IFERROR(__xludf.DUMMYFUNCTION("""COMPUTED_VALUE"""),67.0)</f>
        <v>67</v>
      </c>
      <c r="F4108" s="19" t="str">
        <f>IFERROR(__xludf.DUMMYFUNCTION("""COMPUTED_VALUE"""),"BLACK")</f>
        <v>BLACK</v>
      </c>
      <c r="G4108" s="20" t="str">
        <f>IFERROR(__xludf.DUMMYFUNCTION("""COMPUTED_VALUE"""),"Uncle Sams Cider (5/13/2022)")</f>
        <v>Uncle Sams Cider (5/13/2022)</v>
      </c>
      <c r="H4108" s="19"/>
    </row>
    <row r="4109">
      <c r="A4109" s="9"/>
      <c r="B4109" s="15"/>
      <c r="C4109" s="9">
        <f>IFERROR(__xludf.DUMMYFUNCTION("""COMPUTED_VALUE"""),44753.7873100926)</f>
        <v>44753.78731</v>
      </c>
      <c r="D4109" s="15">
        <f>IFERROR(__xludf.DUMMYFUNCTION("""COMPUTED_VALUE"""),1.004)</f>
        <v>1.004</v>
      </c>
      <c r="E4109" s="16">
        <f>IFERROR(__xludf.DUMMYFUNCTION("""COMPUTED_VALUE"""),67.0)</f>
        <v>67</v>
      </c>
      <c r="F4109" s="19" t="str">
        <f>IFERROR(__xludf.DUMMYFUNCTION("""COMPUTED_VALUE"""),"BLACK")</f>
        <v>BLACK</v>
      </c>
      <c r="G4109" s="20" t="str">
        <f>IFERROR(__xludf.DUMMYFUNCTION("""COMPUTED_VALUE"""),"Uncle Sams Cider (5/13/2022)")</f>
        <v>Uncle Sams Cider (5/13/2022)</v>
      </c>
      <c r="H4109" s="19"/>
    </row>
    <row r="4110">
      <c r="A4110" s="9"/>
      <c r="B4110" s="15"/>
      <c r="C4110" s="9">
        <f>IFERROR(__xludf.DUMMYFUNCTION("""COMPUTED_VALUE"""),44753.7768887037)</f>
        <v>44753.77689</v>
      </c>
      <c r="D4110" s="15">
        <f>IFERROR(__xludf.DUMMYFUNCTION("""COMPUTED_VALUE"""),1.004)</f>
        <v>1.004</v>
      </c>
      <c r="E4110" s="16">
        <f>IFERROR(__xludf.DUMMYFUNCTION("""COMPUTED_VALUE"""),67.0)</f>
        <v>67</v>
      </c>
      <c r="F4110" s="19" t="str">
        <f>IFERROR(__xludf.DUMMYFUNCTION("""COMPUTED_VALUE"""),"BLACK")</f>
        <v>BLACK</v>
      </c>
      <c r="G4110" s="20" t="str">
        <f>IFERROR(__xludf.DUMMYFUNCTION("""COMPUTED_VALUE"""),"Uncle Sams Cider (5/13/2022)")</f>
        <v>Uncle Sams Cider (5/13/2022)</v>
      </c>
      <c r="H4110" s="19"/>
    </row>
    <row r="4111">
      <c r="A4111" s="9"/>
      <c r="B4111" s="15"/>
      <c r="C4111" s="9">
        <f>IFERROR(__xludf.DUMMYFUNCTION("""COMPUTED_VALUE"""),44753.7664664467)</f>
        <v>44753.76647</v>
      </c>
      <c r="D4111" s="15">
        <f>IFERROR(__xludf.DUMMYFUNCTION("""COMPUTED_VALUE"""),1.004)</f>
        <v>1.004</v>
      </c>
      <c r="E4111" s="16">
        <f>IFERROR(__xludf.DUMMYFUNCTION("""COMPUTED_VALUE"""),67.0)</f>
        <v>67</v>
      </c>
      <c r="F4111" s="19" t="str">
        <f>IFERROR(__xludf.DUMMYFUNCTION("""COMPUTED_VALUE"""),"BLACK")</f>
        <v>BLACK</v>
      </c>
      <c r="G4111" s="20" t="str">
        <f>IFERROR(__xludf.DUMMYFUNCTION("""COMPUTED_VALUE"""),"Uncle Sams Cider (5/13/2022)")</f>
        <v>Uncle Sams Cider (5/13/2022)</v>
      </c>
      <c r="H4111" s="19"/>
    </row>
    <row r="4112">
      <c r="A4112" s="9"/>
      <c r="B4112" s="15"/>
      <c r="C4112" s="9">
        <f>IFERROR(__xludf.DUMMYFUNCTION("""COMPUTED_VALUE"""),44753.7560217476)</f>
        <v>44753.75602</v>
      </c>
      <c r="D4112" s="15">
        <f>IFERROR(__xludf.DUMMYFUNCTION("""COMPUTED_VALUE"""),1.004)</f>
        <v>1.004</v>
      </c>
      <c r="E4112" s="16">
        <f>IFERROR(__xludf.DUMMYFUNCTION("""COMPUTED_VALUE"""),67.0)</f>
        <v>67</v>
      </c>
      <c r="F4112" s="19" t="str">
        <f>IFERROR(__xludf.DUMMYFUNCTION("""COMPUTED_VALUE"""),"BLACK")</f>
        <v>BLACK</v>
      </c>
      <c r="G4112" s="20" t="str">
        <f>IFERROR(__xludf.DUMMYFUNCTION("""COMPUTED_VALUE"""),"Uncle Sams Cider (5/13/2022)")</f>
        <v>Uncle Sams Cider (5/13/2022)</v>
      </c>
      <c r="H4112" s="19"/>
    </row>
    <row r="4113">
      <c r="A4113" s="9"/>
      <c r="B4113" s="15"/>
      <c r="C4113" s="9">
        <f>IFERROR(__xludf.DUMMYFUNCTION("""COMPUTED_VALUE"""),44753.745599537)</f>
        <v>44753.7456</v>
      </c>
      <c r="D4113" s="15">
        <f>IFERROR(__xludf.DUMMYFUNCTION("""COMPUTED_VALUE"""),1.004)</f>
        <v>1.004</v>
      </c>
      <c r="E4113" s="16">
        <f>IFERROR(__xludf.DUMMYFUNCTION("""COMPUTED_VALUE"""),67.0)</f>
        <v>67</v>
      </c>
      <c r="F4113" s="19" t="str">
        <f>IFERROR(__xludf.DUMMYFUNCTION("""COMPUTED_VALUE"""),"BLACK")</f>
        <v>BLACK</v>
      </c>
      <c r="G4113" s="20" t="str">
        <f>IFERROR(__xludf.DUMMYFUNCTION("""COMPUTED_VALUE"""),"Uncle Sams Cider (5/13/2022)")</f>
        <v>Uncle Sams Cider (5/13/2022)</v>
      </c>
      <c r="H4113" s="19"/>
    </row>
    <row r="4114">
      <c r="A4114" s="9"/>
      <c r="B4114" s="15"/>
      <c r="C4114" s="9">
        <f>IFERROR(__xludf.DUMMYFUNCTION("""COMPUTED_VALUE"""),44753.7351775578)</f>
        <v>44753.73518</v>
      </c>
      <c r="D4114" s="15">
        <f>IFERROR(__xludf.DUMMYFUNCTION("""COMPUTED_VALUE"""),1.004)</f>
        <v>1.004</v>
      </c>
      <c r="E4114" s="16">
        <f>IFERROR(__xludf.DUMMYFUNCTION("""COMPUTED_VALUE"""),67.0)</f>
        <v>67</v>
      </c>
      <c r="F4114" s="19" t="str">
        <f>IFERROR(__xludf.DUMMYFUNCTION("""COMPUTED_VALUE"""),"BLACK")</f>
        <v>BLACK</v>
      </c>
      <c r="G4114" s="20" t="str">
        <f>IFERROR(__xludf.DUMMYFUNCTION("""COMPUTED_VALUE"""),"Uncle Sams Cider (5/13/2022)")</f>
        <v>Uncle Sams Cider (5/13/2022)</v>
      </c>
      <c r="H4114" s="19"/>
    </row>
    <row r="4115">
      <c r="A4115" s="9"/>
      <c r="B4115" s="15"/>
      <c r="C4115" s="9">
        <f>IFERROR(__xludf.DUMMYFUNCTION("""COMPUTED_VALUE"""),44753.724758206)</f>
        <v>44753.72476</v>
      </c>
      <c r="D4115" s="15">
        <f>IFERROR(__xludf.DUMMYFUNCTION("""COMPUTED_VALUE"""),1.004)</f>
        <v>1.004</v>
      </c>
      <c r="E4115" s="16">
        <f>IFERROR(__xludf.DUMMYFUNCTION("""COMPUTED_VALUE"""),67.0)</f>
        <v>67</v>
      </c>
      <c r="F4115" s="19" t="str">
        <f>IFERROR(__xludf.DUMMYFUNCTION("""COMPUTED_VALUE"""),"BLACK")</f>
        <v>BLACK</v>
      </c>
      <c r="G4115" s="20" t="str">
        <f>IFERROR(__xludf.DUMMYFUNCTION("""COMPUTED_VALUE"""),"Uncle Sams Cider (5/13/2022)")</f>
        <v>Uncle Sams Cider (5/13/2022)</v>
      </c>
      <c r="H4115" s="19"/>
    </row>
    <row r="4116">
      <c r="A4116" s="9"/>
      <c r="B4116" s="15"/>
      <c r="C4116" s="9">
        <f>IFERROR(__xludf.DUMMYFUNCTION("""COMPUTED_VALUE"""),44753.7143362152)</f>
        <v>44753.71434</v>
      </c>
      <c r="D4116" s="15">
        <f>IFERROR(__xludf.DUMMYFUNCTION("""COMPUTED_VALUE"""),1.004)</f>
        <v>1.004</v>
      </c>
      <c r="E4116" s="16">
        <f>IFERROR(__xludf.DUMMYFUNCTION("""COMPUTED_VALUE"""),67.0)</f>
        <v>67</v>
      </c>
      <c r="F4116" s="19" t="str">
        <f>IFERROR(__xludf.DUMMYFUNCTION("""COMPUTED_VALUE"""),"BLACK")</f>
        <v>BLACK</v>
      </c>
      <c r="G4116" s="20" t="str">
        <f>IFERROR(__xludf.DUMMYFUNCTION("""COMPUTED_VALUE"""),"Uncle Sams Cider (5/13/2022)")</f>
        <v>Uncle Sams Cider (5/13/2022)</v>
      </c>
      <c r="H4116" s="19"/>
    </row>
    <row r="4117">
      <c r="A4117" s="9"/>
      <c r="B4117" s="15"/>
      <c r="C4117" s="9">
        <f>IFERROR(__xludf.DUMMYFUNCTION("""COMPUTED_VALUE"""),44753.7039020601)</f>
        <v>44753.7039</v>
      </c>
      <c r="D4117" s="15">
        <f>IFERROR(__xludf.DUMMYFUNCTION("""COMPUTED_VALUE"""),1.004)</f>
        <v>1.004</v>
      </c>
      <c r="E4117" s="16">
        <f>IFERROR(__xludf.DUMMYFUNCTION("""COMPUTED_VALUE"""),67.0)</f>
        <v>67</v>
      </c>
      <c r="F4117" s="19" t="str">
        <f>IFERROR(__xludf.DUMMYFUNCTION("""COMPUTED_VALUE"""),"BLACK")</f>
        <v>BLACK</v>
      </c>
      <c r="G4117" s="20" t="str">
        <f>IFERROR(__xludf.DUMMYFUNCTION("""COMPUTED_VALUE"""),"Uncle Sams Cider (5/13/2022)")</f>
        <v>Uncle Sams Cider (5/13/2022)</v>
      </c>
      <c r="H4117" s="19"/>
    </row>
    <row r="4118">
      <c r="A4118" s="9"/>
      <c r="B4118" s="15"/>
      <c r="C4118" s="9">
        <f>IFERROR(__xludf.DUMMYFUNCTION("""COMPUTED_VALUE"""),44753.6934806597)</f>
        <v>44753.69348</v>
      </c>
      <c r="D4118" s="15">
        <f>IFERROR(__xludf.DUMMYFUNCTION("""COMPUTED_VALUE"""),1.004)</f>
        <v>1.004</v>
      </c>
      <c r="E4118" s="16">
        <f>IFERROR(__xludf.DUMMYFUNCTION("""COMPUTED_VALUE"""),67.0)</f>
        <v>67</v>
      </c>
      <c r="F4118" s="19" t="str">
        <f>IFERROR(__xludf.DUMMYFUNCTION("""COMPUTED_VALUE"""),"BLACK")</f>
        <v>BLACK</v>
      </c>
      <c r="G4118" s="20" t="str">
        <f>IFERROR(__xludf.DUMMYFUNCTION("""COMPUTED_VALUE"""),"Uncle Sams Cider (5/13/2022)")</f>
        <v>Uncle Sams Cider (5/13/2022)</v>
      </c>
      <c r="H4118" s="19"/>
    </row>
    <row r="4119">
      <c r="A4119" s="9"/>
      <c r="B4119" s="15"/>
      <c r="C4119" s="9">
        <f>IFERROR(__xludf.DUMMYFUNCTION("""COMPUTED_VALUE"""),44753.6830478009)</f>
        <v>44753.68305</v>
      </c>
      <c r="D4119" s="15">
        <f>IFERROR(__xludf.DUMMYFUNCTION("""COMPUTED_VALUE"""),1.004)</f>
        <v>1.004</v>
      </c>
      <c r="E4119" s="16">
        <f>IFERROR(__xludf.DUMMYFUNCTION("""COMPUTED_VALUE"""),67.0)</f>
        <v>67</v>
      </c>
      <c r="F4119" s="19" t="str">
        <f>IFERROR(__xludf.DUMMYFUNCTION("""COMPUTED_VALUE"""),"BLACK")</f>
        <v>BLACK</v>
      </c>
      <c r="G4119" s="20" t="str">
        <f>IFERROR(__xludf.DUMMYFUNCTION("""COMPUTED_VALUE"""),"Uncle Sams Cider (5/13/2022)")</f>
        <v>Uncle Sams Cider (5/13/2022)</v>
      </c>
      <c r="H4119" s="19"/>
    </row>
    <row r="4120">
      <c r="A4120" s="9"/>
      <c r="B4120" s="15"/>
      <c r="C4120" s="9">
        <f>IFERROR(__xludf.DUMMYFUNCTION("""COMPUTED_VALUE"""),44753.6726262963)</f>
        <v>44753.67263</v>
      </c>
      <c r="D4120" s="15">
        <f>IFERROR(__xludf.DUMMYFUNCTION("""COMPUTED_VALUE"""),1.004)</f>
        <v>1.004</v>
      </c>
      <c r="E4120" s="16">
        <f>IFERROR(__xludf.DUMMYFUNCTION("""COMPUTED_VALUE"""),67.0)</f>
        <v>67</v>
      </c>
      <c r="F4120" s="19" t="str">
        <f>IFERROR(__xludf.DUMMYFUNCTION("""COMPUTED_VALUE"""),"BLACK")</f>
        <v>BLACK</v>
      </c>
      <c r="G4120" s="20" t="str">
        <f>IFERROR(__xludf.DUMMYFUNCTION("""COMPUTED_VALUE"""),"Uncle Sams Cider (5/13/2022)")</f>
        <v>Uncle Sams Cider (5/13/2022)</v>
      </c>
      <c r="H4120" s="19"/>
    </row>
    <row r="4121">
      <c r="A4121" s="9"/>
      <c r="B4121" s="15"/>
      <c r="C4121" s="9">
        <f>IFERROR(__xludf.DUMMYFUNCTION("""COMPUTED_VALUE"""),44753.6622047801)</f>
        <v>44753.6622</v>
      </c>
      <c r="D4121" s="15">
        <f>IFERROR(__xludf.DUMMYFUNCTION("""COMPUTED_VALUE"""),1.004)</f>
        <v>1.004</v>
      </c>
      <c r="E4121" s="16">
        <f>IFERROR(__xludf.DUMMYFUNCTION("""COMPUTED_VALUE"""),67.0)</f>
        <v>67</v>
      </c>
      <c r="F4121" s="19" t="str">
        <f>IFERROR(__xludf.DUMMYFUNCTION("""COMPUTED_VALUE"""),"BLACK")</f>
        <v>BLACK</v>
      </c>
      <c r="G4121" s="20" t="str">
        <f>IFERROR(__xludf.DUMMYFUNCTION("""COMPUTED_VALUE"""),"Uncle Sams Cider (5/13/2022)")</f>
        <v>Uncle Sams Cider (5/13/2022)</v>
      </c>
      <c r="H4121" s="19"/>
    </row>
    <row r="4122">
      <c r="A4122" s="9"/>
      <c r="B4122" s="15"/>
      <c r="C4122" s="9">
        <f>IFERROR(__xludf.DUMMYFUNCTION("""COMPUTED_VALUE"""),44753.6517835069)</f>
        <v>44753.65178</v>
      </c>
      <c r="D4122" s="15">
        <f>IFERROR(__xludf.DUMMYFUNCTION("""COMPUTED_VALUE"""),1.004)</f>
        <v>1.004</v>
      </c>
      <c r="E4122" s="16">
        <f>IFERROR(__xludf.DUMMYFUNCTION("""COMPUTED_VALUE"""),67.0)</f>
        <v>67</v>
      </c>
      <c r="F4122" s="19" t="str">
        <f>IFERROR(__xludf.DUMMYFUNCTION("""COMPUTED_VALUE"""),"BLACK")</f>
        <v>BLACK</v>
      </c>
      <c r="G4122" s="20" t="str">
        <f>IFERROR(__xludf.DUMMYFUNCTION("""COMPUTED_VALUE"""),"Uncle Sams Cider (5/13/2022)")</f>
        <v>Uncle Sams Cider (5/13/2022)</v>
      </c>
      <c r="H4122" s="19"/>
    </row>
    <row r="4123">
      <c r="A4123" s="9"/>
      <c r="B4123" s="15"/>
      <c r="C4123" s="9">
        <f>IFERROR(__xludf.DUMMYFUNCTION("""COMPUTED_VALUE"""),44753.6413627314)</f>
        <v>44753.64136</v>
      </c>
      <c r="D4123" s="15">
        <f>IFERROR(__xludf.DUMMYFUNCTION("""COMPUTED_VALUE"""),1.004)</f>
        <v>1.004</v>
      </c>
      <c r="E4123" s="16">
        <f>IFERROR(__xludf.DUMMYFUNCTION("""COMPUTED_VALUE"""),67.0)</f>
        <v>67</v>
      </c>
      <c r="F4123" s="19" t="str">
        <f>IFERROR(__xludf.DUMMYFUNCTION("""COMPUTED_VALUE"""),"BLACK")</f>
        <v>BLACK</v>
      </c>
      <c r="G4123" s="20" t="str">
        <f>IFERROR(__xludf.DUMMYFUNCTION("""COMPUTED_VALUE"""),"Uncle Sams Cider (5/13/2022)")</f>
        <v>Uncle Sams Cider (5/13/2022)</v>
      </c>
      <c r="H4123" s="19"/>
    </row>
    <row r="4124">
      <c r="A4124" s="9"/>
      <c r="B4124" s="15"/>
      <c r="C4124" s="9">
        <f>IFERROR(__xludf.DUMMYFUNCTION("""COMPUTED_VALUE"""),44753.6309411574)</f>
        <v>44753.63094</v>
      </c>
      <c r="D4124" s="15">
        <f>IFERROR(__xludf.DUMMYFUNCTION("""COMPUTED_VALUE"""),1.004)</f>
        <v>1.004</v>
      </c>
      <c r="E4124" s="16">
        <f>IFERROR(__xludf.DUMMYFUNCTION("""COMPUTED_VALUE"""),67.0)</f>
        <v>67</v>
      </c>
      <c r="F4124" s="19" t="str">
        <f>IFERROR(__xludf.DUMMYFUNCTION("""COMPUTED_VALUE"""),"BLACK")</f>
        <v>BLACK</v>
      </c>
      <c r="G4124" s="20" t="str">
        <f>IFERROR(__xludf.DUMMYFUNCTION("""COMPUTED_VALUE"""),"Uncle Sams Cider (5/13/2022)")</f>
        <v>Uncle Sams Cider (5/13/2022)</v>
      </c>
      <c r="H4124" s="19"/>
    </row>
    <row r="4125">
      <c r="A4125" s="9"/>
      <c r="B4125" s="15"/>
      <c r="C4125" s="9">
        <f>IFERROR(__xludf.DUMMYFUNCTION("""COMPUTED_VALUE"""),44753.6205205439)</f>
        <v>44753.62052</v>
      </c>
      <c r="D4125" s="15">
        <f>IFERROR(__xludf.DUMMYFUNCTION("""COMPUTED_VALUE"""),1.004)</f>
        <v>1.004</v>
      </c>
      <c r="E4125" s="16">
        <f>IFERROR(__xludf.DUMMYFUNCTION("""COMPUTED_VALUE"""),67.0)</f>
        <v>67</v>
      </c>
      <c r="F4125" s="19" t="str">
        <f>IFERROR(__xludf.DUMMYFUNCTION("""COMPUTED_VALUE"""),"BLACK")</f>
        <v>BLACK</v>
      </c>
      <c r="G4125" s="20" t="str">
        <f>IFERROR(__xludf.DUMMYFUNCTION("""COMPUTED_VALUE"""),"Uncle Sams Cider (5/13/2022)")</f>
        <v>Uncle Sams Cider (5/13/2022)</v>
      </c>
      <c r="H4125" s="19"/>
    </row>
    <row r="4126">
      <c r="A4126" s="9"/>
      <c r="B4126" s="15"/>
      <c r="C4126" s="9">
        <f>IFERROR(__xludf.DUMMYFUNCTION("""COMPUTED_VALUE"""),44753.6101005208)</f>
        <v>44753.6101</v>
      </c>
      <c r="D4126" s="15">
        <f>IFERROR(__xludf.DUMMYFUNCTION("""COMPUTED_VALUE"""),1.004)</f>
        <v>1.004</v>
      </c>
      <c r="E4126" s="16">
        <f>IFERROR(__xludf.DUMMYFUNCTION("""COMPUTED_VALUE"""),67.0)</f>
        <v>67</v>
      </c>
      <c r="F4126" s="19" t="str">
        <f>IFERROR(__xludf.DUMMYFUNCTION("""COMPUTED_VALUE"""),"BLACK")</f>
        <v>BLACK</v>
      </c>
      <c r="G4126" s="20" t="str">
        <f>IFERROR(__xludf.DUMMYFUNCTION("""COMPUTED_VALUE"""),"Uncle Sams Cider (5/13/2022)")</f>
        <v>Uncle Sams Cider (5/13/2022)</v>
      </c>
      <c r="H4126" s="19"/>
    </row>
    <row r="4127">
      <c r="A4127" s="9"/>
      <c r="B4127" s="15"/>
      <c r="C4127" s="9">
        <f>IFERROR(__xludf.DUMMYFUNCTION("""COMPUTED_VALUE"""),44753.5996677199)</f>
        <v>44753.59967</v>
      </c>
      <c r="D4127" s="15">
        <f>IFERROR(__xludf.DUMMYFUNCTION("""COMPUTED_VALUE"""),1.004)</f>
        <v>1.004</v>
      </c>
      <c r="E4127" s="16">
        <f>IFERROR(__xludf.DUMMYFUNCTION("""COMPUTED_VALUE"""),66.0)</f>
        <v>66</v>
      </c>
      <c r="F4127" s="19" t="str">
        <f>IFERROR(__xludf.DUMMYFUNCTION("""COMPUTED_VALUE"""),"BLACK")</f>
        <v>BLACK</v>
      </c>
      <c r="G4127" s="20" t="str">
        <f>IFERROR(__xludf.DUMMYFUNCTION("""COMPUTED_VALUE"""),"Uncle Sams Cider (5/13/2022)")</f>
        <v>Uncle Sams Cider (5/13/2022)</v>
      </c>
      <c r="H4127" s="19"/>
    </row>
    <row r="4128">
      <c r="A4128" s="9"/>
      <c r="B4128" s="15"/>
      <c r="C4128" s="9">
        <f>IFERROR(__xludf.DUMMYFUNCTION("""COMPUTED_VALUE"""),44753.5892468865)</f>
        <v>44753.58925</v>
      </c>
      <c r="D4128" s="15">
        <f>IFERROR(__xludf.DUMMYFUNCTION("""COMPUTED_VALUE"""),1.004)</f>
        <v>1.004</v>
      </c>
      <c r="E4128" s="16">
        <f>IFERROR(__xludf.DUMMYFUNCTION("""COMPUTED_VALUE"""),67.0)</f>
        <v>67</v>
      </c>
      <c r="F4128" s="19" t="str">
        <f>IFERROR(__xludf.DUMMYFUNCTION("""COMPUTED_VALUE"""),"BLACK")</f>
        <v>BLACK</v>
      </c>
      <c r="G4128" s="20" t="str">
        <f>IFERROR(__xludf.DUMMYFUNCTION("""COMPUTED_VALUE"""),"Uncle Sams Cider (5/13/2022)")</f>
        <v>Uncle Sams Cider (5/13/2022)</v>
      </c>
      <c r="H4128" s="19"/>
    </row>
    <row r="4129">
      <c r="A4129" s="9"/>
      <c r="B4129" s="15"/>
      <c r="C4129" s="9">
        <f>IFERROR(__xludf.DUMMYFUNCTION("""COMPUTED_VALUE"""),44753.5788254745)</f>
        <v>44753.57883</v>
      </c>
      <c r="D4129" s="15">
        <f>IFERROR(__xludf.DUMMYFUNCTION("""COMPUTED_VALUE"""),1.005)</f>
        <v>1.005</v>
      </c>
      <c r="E4129" s="16">
        <f>IFERROR(__xludf.DUMMYFUNCTION("""COMPUTED_VALUE"""),67.0)</f>
        <v>67</v>
      </c>
      <c r="F4129" s="19" t="str">
        <f>IFERROR(__xludf.DUMMYFUNCTION("""COMPUTED_VALUE"""),"BLACK")</f>
        <v>BLACK</v>
      </c>
      <c r="G4129" s="20" t="str">
        <f>IFERROR(__xludf.DUMMYFUNCTION("""COMPUTED_VALUE"""),"Uncle Sams Cider (5/13/2022)")</f>
        <v>Uncle Sams Cider (5/13/2022)</v>
      </c>
      <c r="H4129" s="19"/>
    </row>
    <row r="4130">
      <c r="A4130" s="9"/>
      <c r="B4130" s="15"/>
      <c r="C4130" s="9">
        <f>IFERROR(__xludf.DUMMYFUNCTION("""COMPUTED_VALUE"""),44753.5683931597)</f>
        <v>44753.56839</v>
      </c>
      <c r="D4130" s="15">
        <f>IFERROR(__xludf.DUMMYFUNCTION("""COMPUTED_VALUE"""),1.005)</f>
        <v>1.005</v>
      </c>
      <c r="E4130" s="16">
        <f>IFERROR(__xludf.DUMMYFUNCTION("""COMPUTED_VALUE"""),67.0)</f>
        <v>67</v>
      </c>
      <c r="F4130" s="19" t="str">
        <f>IFERROR(__xludf.DUMMYFUNCTION("""COMPUTED_VALUE"""),"BLACK")</f>
        <v>BLACK</v>
      </c>
      <c r="G4130" s="20" t="str">
        <f>IFERROR(__xludf.DUMMYFUNCTION("""COMPUTED_VALUE"""),"Uncle Sams Cider (5/13/2022)")</f>
        <v>Uncle Sams Cider (5/13/2022)</v>
      </c>
      <c r="H4130" s="19"/>
    </row>
    <row r="4131">
      <c r="A4131" s="9"/>
      <c r="B4131" s="15"/>
      <c r="C4131" s="9">
        <f>IFERROR(__xludf.DUMMYFUNCTION("""COMPUTED_VALUE"""),44753.5579723379)</f>
        <v>44753.55797</v>
      </c>
      <c r="D4131" s="15">
        <f>IFERROR(__xludf.DUMMYFUNCTION("""COMPUTED_VALUE"""),1.004)</f>
        <v>1.004</v>
      </c>
      <c r="E4131" s="16">
        <f>IFERROR(__xludf.DUMMYFUNCTION("""COMPUTED_VALUE"""),66.0)</f>
        <v>66</v>
      </c>
      <c r="F4131" s="19" t="str">
        <f>IFERROR(__xludf.DUMMYFUNCTION("""COMPUTED_VALUE"""),"BLACK")</f>
        <v>BLACK</v>
      </c>
      <c r="G4131" s="20" t="str">
        <f>IFERROR(__xludf.DUMMYFUNCTION("""COMPUTED_VALUE"""),"Uncle Sams Cider (5/13/2022)")</f>
        <v>Uncle Sams Cider (5/13/2022)</v>
      </c>
      <c r="H4131" s="19"/>
    </row>
    <row r="4132">
      <c r="A4132" s="9"/>
      <c r="B4132" s="15"/>
      <c r="C4132" s="9">
        <f>IFERROR(__xludf.DUMMYFUNCTION("""COMPUTED_VALUE"""),44753.5475526851)</f>
        <v>44753.54755</v>
      </c>
      <c r="D4132" s="15">
        <f>IFERROR(__xludf.DUMMYFUNCTION("""COMPUTED_VALUE"""),1.004)</f>
        <v>1.004</v>
      </c>
      <c r="E4132" s="16">
        <f>IFERROR(__xludf.DUMMYFUNCTION("""COMPUTED_VALUE"""),66.0)</f>
        <v>66</v>
      </c>
      <c r="F4132" s="19" t="str">
        <f>IFERROR(__xludf.DUMMYFUNCTION("""COMPUTED_VALUE"""),"BLACK")</f>
        <v>BLACK</v>
      </c>
      <c r="G4132" s="20" t="str">
        <f>IFERROR(__xludf.DUMMYFUNCTION("""COMPUTED_VALUE"""),"Uncle Sams Cider (5/13/2022)")</f>
        <v>Uncle Sams Cider (5/13/2022)</v>
      </c>
      <c r="H4132" s="19"/>
    </row>
    <row r="4133">
      <c r="A4133" s="9"/>
      <c r="B4133" s="15"/>
      <c r="C4133" s="9">
        <f>IFERROR(__xludf.DUMMYFUNCTION("""COMPUTED_VALUE"""),44753.5371303819)</f>
        <v>44753.53713</v>
      </c>
      <c r="D4133" s="15">
        <f>IFERROR(__xludf.DUMMYFUNCTION("""COMPUTED_VALUE"""),1.004)</f>
        <v>1.004</v>
      </c>
      <c r="E4133" s="16">
        <f>IFERROR(__xludf.DUMMYFUNCTION("""COMPUTED_VALUE"""),66.0)</f>
        <v>66</v>
      </c>
      <c r="F4133" s="19" t="str">
        <f>IFERROR(__xludf.DUMMYFUNCTION("""COMPUTED_VALUE"""),"BLACK")</f>
        <v>BLACK</v>
      </c>
      <c r="G4133" s="20" t="str">
        <f>IFERROR(__xludf.DUMMYFUNCTION("""COMPUTED_VALUE"""),"Uncle Sams Cider (5/13/2022)")</f>
        <v>Uncle Sams Cider (5/13/2022)</v>
      </c>
      <c r="H4133" s="19"/>
    </row>
    <row r="4134">
      <c r="A4134" s="9"/>
      <c r="B4134" s="15"/>
      <c r="C4134" s="9">
        <f>IFERROR(__xludf.DUMMYFUNCTION("""COMPUTED_VALUE"""),44753.5267092245)</f>
        <v>44753.52671</v>
      </c>
      <c r="D4134" s="15">
        <f>IFERROR(__xludf.DUMMYFUNCTION("""COMPUTED_VALUE"""),1.004)</f>
        <v>1.004</v>
      </c>
      <c r="E4134" s="16">
        <f>IFERROR(__xludf.DUMMYFUNCTION("""COMPUTED_VALUE"""),66.0)</f>
        <v>66</v>
      </c>
      <c r="F4134" s="19" t="str">
        <f>IFERROR(__xludf.DUMMYFUNCTION("""COMPUTED_VALUE"""),"BLACK")</f>
        <v>BLACK</v>
      </c>
      <c r="G4134" s="20" t="str">
        <f>IFERROR(__xludf.DUMMYFUNCTION("""COMPUTED_VALUE"""),"Uncle Sams Cider (5/13/2022)")</f>
        <v>Uncle Sams Cider (5/13/2022)</v>
      </c>
      <c r="H4134" s="19"/>
    </row>
    <row r="4135">
      <c r="A4135" s="9"/>
      <c r="B4135" s="15"/>
      <c r="C4135" s="9">
        <f>IFERROR(__xludf.DUMMYFUNCTION("""COMPUTED_VALUE"""),44753.5162766203)</f>
        <v>44753.51628</v>
      </c>
      <c r="D4135" s="15">
        <f>IFERROR(__xludf.DUMMYFUNCTION("""COMPUTED_VALUE"""),1.004)</f>
        <v>1.004</v>
      </c>
      <c r="E4135" s="16">
        <f>IFERROR(__xludf.DUMMYFUNCTION("""COMPUTED_VALUE"""),66.0)</f>
        <v>66</v>
      </c>
      <c r="F4135" s="19" t="str">
        <f>IFERROR(__xludf.DUMMYFUNCTION("""COMPUTED_VALUE"""),"BLACK")</f>
        <v>BLACK</v>
      </c>
      <c r="G4135" s="20" t="str">
        <f>IFERROR(__xludf.DUMMYFUNCTION("""COMPUTED_VALUE"""),"Uncle Sams Cider (5/13/2022)")</f>
        <v>Uncle Sams Cider (5/13/2022)</v>
      </c>
      <c r="H4135" s="19"/>
    </row>
    <row r="4136">
      <c r="A4136" s="9"/>
      <c r="B4136" s="15"/>
      <c r="C4136" s="9">
        <f>IFERROR(__xludf.DUMMYFUNCTION("""COMPUTED_VALUE"""),44753.5058561342)</f>
        <v>44753.50586</v>
      </c>
      <c r="D4136" s="15">
        <f>IFERROR(__xludf.DUMMYFUNCTION("""COMPUTED_VALUE"""),1.004)</f>
        <v>1.004</v>
      </c>
      <c r="E4136" s="16">
        <f>IFERROR(__xludf.DUMMYFUNCTION("""COMPUTED_VALUE"""),66.0)</f>
        <v>66</v>
      </c>
      <c r="F4136" s="19" t="str">
        <f>IFERROR(__xludf.DUMMYFUNCTION("""COMPUTED_VALUE"""),"BLACK")</f>
        <v>BLACK</v>
      </c>
      <c r="G4136" s="20" t="str">
        <f>IFERROR(__xludf.DUMMYFUNCTION("""COMPUTED_VALUE"""),"Uncle Sams Cider (5/13/2022)")</f>
        <v>Uncle Sams Cider (5/13/2022)</v>
      </c>
      <c r="H4136" s="19"/>
    </row>
    <row r="4137">
      <c r="A4137" s="9"/>
      <c r="B4137" s="15"/>
      <c r="C4137" s="9">
        <f>IFERROR(__xludf.DUMMYFUNCTION("""COMPUTED_VALUE"""),44753.4954369907)</f>
        <v>44753.49544</v>
      </c>
      <c r="D4137" s="15">
        <f>IFERROR(__xludf.DUMMYFUNCTION("""COMPUTED_VALUE"""),1.004)</f>
        <v>1.004</v>
      </c>
      <c r="E4137" s="16">
        <f>IFERROR(__xludf.DUMMYFUNCTION("""COMPUTED_VALUE"""),66.0)</f>
        <v>66</v>
      </c>
      <c r="F4137" s="19" t="str">
        <f>IFERROR(__xludf.DUMMYFUNCTION("""COMPUTED_VALUE"""),"BLACK")</f>
        <v>BLACK</v>
      </c>
      <c r="G4137" s="20" t="str">
        <f>IFERROR(__xludf.DUMMYFUNCTION("""COMPUTED_VALUE"""),"Uncle Sams Cider (5/13/2022)")</f>
        <v>Uncle Sams Cider (5/13/2022)</v>
      </c>
      <c r="H4137" s="19"/>
    </row>
    <row r="4138">
      <c r="A4138" s="9"/>
      <c r="B4138" s="15"/>
      <c r="C4138" s="9">
        <f>IFERROR(__xludf.DUMMYFUNCTION("""COMPUTED_VALUE"""),44753.4850155324)</f>
        <v>44753.48502</v>
      </c>
      <c r="D4138" s="15">
        <f>IFERROR(__xludf.DUMMYFUNCTION("""COMPUTED_VALUE"""),1.004)</f>
        <v>1.004</v>
      </c>
      <c r="E4138" s="16">
        <f>IFERROR(__xludf.DUMMYFUNCTION("""COMPUTED_VALUE"""),66.0)</f>
        <v>66</v>
      </c>
      <c r="F4138" s="19" t="str">
        <f>IFERROR(__xludf.DUMMYFUNCTION("""COMPUTED_VALUE"""),"BLACK")</f>
        <v>BLACK</v>
      </c>
      <c r="G4138" s="20" t="str">
        <f>IFERROR(__xludf.DUMMYFUNCTION("""COMPUTED_VALUE"""),"Uncle Sams Cider (5/13/2022)")</f>
        <v>Uncle Sams Cider (5/13/2022)</v>
      </c>
      <c r="H4138" s="19"/>
    </row>
    <row r="4139">
      <c r="A4139" s="9"/>
      <c r="B4139" s="15"/>
      <c r="C4139" s="9">
        <f>IFERROR(__xludf.DUMMYFUNCTION("""COMPUTED_VALUE"""),44753.4745949305)</f>
        <v>44753.47459</v>
      </c>
      <c r="D4139" s="15">
        <f>IFERROR(__xludf.DUMMYFUNCTION("""COMPUTED_VALUE"""),1.004)</f>
        <v>1.004</v>
      </c>
      <c r="E4139" s="16">
        <f>IFERROR(__xludf.DUMMYFUNCTION("""COMPUTED_VALUE"""),66.0)</f>
        <v>66</v>
      </c>
      <c r="F4139" s="19" t="str">
        <f>IFERROR(__xludf.DUMMYFUNCTION("""COMPUTED_VALUE"""),"BLACK")</f>
        <v>BLACK</v>
      </c>
      <c r="G4139" s="20" t="str">
        <f>IFERROR(__xludf.DUMMYFUNCTION("""COMPUTED_VALUE"""),"Uncle Sams Cider (5/13/2022)")</f>
        <v>Uncle Sams Cider (5/13/2022)</v>
      </c>
      <c r="H4139" s="19"/>
    </row>
    <row r="4140">
      <c r="A4140" s="9"/>
      <c r="B4140" s="15"/>
      <c r="C4140" s="9">
        <f>IFERROR(__xludf.DUMMYFUNCTION("""COMPUTED_VALUE"""),44753.464161875)</f>
        <v>44753.46416</v>
      </c>
      <c r="D4140" s="15">
        <f>IFERROR(__xludf.DUMMYFUNCTION("""COMPUTED_VALUE"""),1.004)</f>
        <v>1.004</v>
      </c>
      <c r="E4140" s="16">
        <f>IFERROR(__xludf.DUMMYFUNCTION("""COMPUTED_VALUE"""),66.0)</f>
        <v>66</v>
      </c>
      <c r="F4140" s="19" t="str">
        <f>IFERROR(__xludf.DUMMYFUNCTION("""COMPUTED_VALUE"""),"BLACK")</f>
        <v>BLACK</v>
      </c>
      <c r="G4140" s="20" t="str">
        <f>IFERROR(__xludf.DUMMYFUNCTION("""COMPUTED_VALUE"""),"Uncle Sams Cider (5/13/2022)")</f>
        <v>Uncle Sams Cider (5/13/2022)</v>
      </c>
      <c r="H4140" s="19"/>
    </row>
    <row r="4141">
      <c r="A4141" s="9"/>
      <c r="B4141" s="15"/>
      <c r="C4141" s="9">
        <f>IFERROR(__xludf.DUMMYFUNCTION("""COMPUTED_VALUE"""),44753.4537294213)</f>
        <v>44753.45373</v>
      </c>
      <c r="D4141" s="15">
        <f>IFERROR(__xludf.DUMMYFUNCTION("""COMPUTED_VALUE"""),1.004)</f>
        <v>1.004</v>
      </c>
      <c r="E4141" s="16">
        <f>IFERROR(__xludf.DUMMYFUNCTION("""COMPUTED_VALUE"""),66.0)</f>
        <v>66</v>
      </c>
      <c r="F4141" s="19" t="str">
        <f>IFERROR(__xludf.DUMMYFUNCTION("""COMPUTED_VALUE"""),"BLACK")</f>
        <v>BLACK</v>
      </c>
      <c r="G4141" s="20" t="str">
        <f>IFERROR(__xludf.DUMMYFUNCTION("""COMPUTED_VALUE"""),"Uncle Sams Cider (5/13/2022)")</f>
        <v>Uncle Sams Cider (5/13/2022)</v>
      </c>
      <c r="H4141" s="19"/>
    </row>
    <row r="4142">
      <c r="A4142" s="9"/>
      <c r="B4142" s="15"/>
      <c r="C4142" s="9">
        <f>IFERROR(__xludf.DUMMYFUNCTION("""COMPUTED_VALUE"""),44753.4433088541)</f>
        <v>44753.44331</v>
      </c>
      <c r="D4142" s="15">
        <f>IFERROR(__xludf.DUMMYFUNCTION("""COMPUTED_VALUE"""),1.004)</f>
        <v>1.004</v>
      </c>
      <c r="E4142" s="16">
        <f>IFERROR(__xludf.DUMMYFUNCTION("""COMPUTED_VALUE"""),66.0)</f>
        <v>66</v>
      </c>
      <c r="F4142" s="19" t="str">
        <f>IFERROR(__xludf.DUMMYFUNCTION("""COMPUTED_VALUE"""),"BLACK")</f>
        <v>BLACK</v>
      </c>
      <c r="G4142" s="20" t="str">
        <f>IFERROR(__xludf.DUMMYFUNCTION("""COMPUTED_VALUE"""),"Uncle Sams Cider (5/13/2022)")</f>
        <v>Uncle Sams Cider (5/13/2022)</v>
      </c>
      <c r="H4142" s="19"/>
    </row>
    <row r="4143">
      <c r="A4143" s="9"/>
      <c r="B4143" s="15"/>
      <c r="C4143" s="9">
        <f>IFERROR(__xludf.DUMMYFUNCTION("""COMPUTED_VALUE"""),44753.4328868634)</f>
        <v>44753.43289</v>
      </c>
      <c r="D4143" s="15">
        <f>IFERROR(__xludf.DUMMYFUNCTION("""COMPUTED_VALUE"""),1.004)</f>
        <v>1.004</v>
      </c>
      <c r="E4143" s="16">
        <f>IFERROR(__xludf.DUMMYFUNCTION("""COMPUTED_VALUE"""),66.0)</f>
        <v>66</v>
      </c>
      <c r="F4143" s="19" t="str">
        <f>IFERROR(__xludf.DUMMYFUNCTION("""COMPUTED_VALUE"""),"BLACK")</f>
        <v>BLACK</v>
      </c>
      <c r="G4143" s="20" t="str">
        <f>IFERROR(__xludf.DUMMYFUNCTION("""COMPUTED_VALUE"""),"Uncle Sams Cider (5/13/2022)")</f>
        <v>Uncle Sams Cider (5/13/2022)</v>
      </c>
      <c r="H4143" s="19"/>
    </row>
    <row r="4144">
      <c r="A4144" s="9"/>
      <c r="B4144" s="15"/>
      <c r="C4144" s="9">
        <f>IFERROR(__xludf.DUMMYFUNCTION("""COMPUTED_VALUE"""),44753.4224657291)</f>
        <v>44753.42247</v>
      </c>
      <c r="D4144" s="15">
        <f>IFERROR(__xludf.DUMMYFUNCTION("""COMPUTED_VALUE"""),1.004)</f>
        <v>1.004</v>
      </c>
      <c r="E4144" s="16">
        <f>IFERROR(__xludf.DUMMYFUNCTION("""COMPUTED_VALUE"""),66.0)</f>
        <v>66</v>
      </c>
      <c r="F4144" s="19" t="str">
        <f>IFERROR(__xludf.DUMMYFUNCTION("""COMPUTED_VALUE"""),"BLACK")</f>
        <v>BLACK</v>
      </c>
      <c r="G4144" s="20" t="str">
        <f>IFERROR(__xludf.DUMMYFUNCTION("""COMPUTED_VALUE"""),"Uncle Sams Cider (5/13/2022)")</f>
        <v>Uncle Sams Cider (5/13/2022)</v>
      </c>
      <c r="H4144" s="19"/>
    </row>
    <row r="4145">
      <c r="A4145" s="9"/>
      <c r="B4145" s="15"/>
      <c r="C4145" s="9">
        <f>IFERROR(__xludf.DUMMYFUNCTION("""COMPUTED_VALUE"""),44753.4120452199)</f>
        <v>44753.41205</v>
      </c>
      <c r="D4145" s="15">
        <f>IFERROR(__xludf.DUMMYFUNCTION("""COMPUTED_VALUE"""),1.005)</f>
        <v>1.005</v>
      </c>
      <c r="E4145" s="16">
        <f>IFERROR(__xludf.DUMMYFUNCTION("""COMPUTED_VALUE"""),66.0)</f>
        <v>66</v>
      </c>
      <c r="F4145" s="19" t="str">
        <f>IFERROR(__xludf.DUMMYFUNCTION("""COMPUTED_VALUE"""),"BLACK")</f>
        <v>BLACK</v>
      </c>
      <c r="G4145" s="20" t="str">
        <f>IFERROR(__xludf.DUMMYFUNCTION("""COMPUTED_VALUE"""),"Uncle Sams Cider (5/13/2022)")</f>
        <v>Uncle Sams Cider (5/13/2022)</v>
      </c>
      <c r="H4145" s="19"/>
    </row>
    <row r="4146">
      <c r="A4146" s="9"/>
      <c r="B4146" s="15"/>
      <c r="C4146" s="9">
        <f>IFERROR(__xludf.DUMMYFUNCTION("""COMPUTED_VALUE"""),44753.401622824)</f>
        <v>44753.40162</v>
      </c>
      <c r="D4146" s="15">
        <f>IFERROR(__xludf.DUMMYFUNCTION("""COMPUTED_VALUE"""),1.004)</f>
        <v>1.004</v>
      </c>
      <c r="E4146" s="16">
        <f>IFERROR(__xludf.DUMMYFUNCTION("""COMPUTED_VALUE"""),66.0)</f>
        <v>66</v>
      </c>
      <c r="F4146" s="19" t="str">
        <f>IFERROR(__xludf.DUMMYFUNCTION("""COMPUTED_VALUE"""),"BLACK")</f>
        <v>BLACK</v>
      </c>
      <c r="G4146" s="20" t="str">
        <f>IFERROR(__xludf.DUMMYFUNCTION("""COMPUTED_VALUE"""),"Uncle Sams Cider (5/13/2022)")</f>
        <v>Uncle Sams Cider (5/13/2022)</v>
      </c>
      <c r="H4146" s="19"/>
    </row>
    <row r="4147">
      <c r="A4147" s="9"/>
      <c r="B4147" s="15"/>
      <c r="C4147" s="9">
        <f>IFERROR(__xludf.DUMMYFUNCTION("""COMPUTED_VALUE"""),44753.391200081)</f>
        <v>44753.3912</v>
      </c>
      <c r="D4147" s="15">
        <f>IFERROR(__xludf.DUMMYFUNCTION("""COMPUTED_VALUE"""),1.005)</f>
        <v>1.005</v>
      </c>
      <c r="E4147" s="16">
        <f>IFERROR(__xludf.DUMMYFUNCTION("""COMPUTED_VALUE"""),66.0)</f>
        <v>66</v>
      </c>
      <c r="F4147" s="19" t="str">
        <f>IFERROR(__xludf.DUMMYFUNCTION("""COMPUTED_VALUE"""),"BLACK")</f>
        <v>BLACK</v>
      </c>
      <c r="G4147" s="20" t="str">
        <f>IFERROR(__xludf.DUMMYFUNCTION("""COMPUTED_VALUE"""),"Uncle Sams Cider (5/13/2022)")</f>
        <v>Uncle Sams Cider (5/13/2022)</v>
      </c>
      <c r="H4147" s="19"/>
    </row>
    <row r="4148">
      <c r="A4148" s="9"/>
      <c r="B4148" s="15"/>
      <c r="C4148" s="9">
        <f>IFERROR(__xludf.DUMMYFUNCTION("""COMPUTED_VALUE"""),44753.3807800115)</f>
        <v>44753.38078</v>
      </c>
      <c r="D4148" s="15">
        <f>IFERROR(__xludf.DUMMYFUNCTION("""COMPUTED_VALUE"""),1.005)</f>
        <v>1.005</v>
      </c>
      <c r="E4148" s="16">
        <f>IFERROR(__xludf.DUMMYFUNCTION("""COMPUTED_VALUE"""),66.0)</f>
        <v>66</v>
      </c>
      <c r="F4148" s="19" t="str">
        <f>IFERROR(__xludf.DUMMYFUNCTION("""COMPUTED_VALUE"""),"BLACK")</f>
        <v>BLACK</v>
      </c>
      <c r="G4148" s="20" t="str">
        <f>IFERROR(__xludf.DUMMYFUNCTION("""COMPUTED_VALUE"""),"Uncle Sams Cider (5/13/2022)")</f>
        <v>Uncle Sams Cider (5/13/2022)</v>
      </c>
      <c r="H4148" s="19"/>
    </row>
    <row r="4149">
      <c r="A4149" s="9"/>
      <c r="B4149" s="15"/>
      <c r="C4149" s="9">
        <f>IFERROR(__xludf.DUMMYFUNCTION("""COMPUTED_VALUE"""),44753.3703602199)</f>
        <v>44753.37036</v>
      </c>
      <c r="D4149" s="15">
        <f>IFERROR(__xludf.DUMMYFUNCTION("""COMPUTED_VALUE"""),1.005)</f>
        <v>1.005</v>
      </c>
      <c r="E4149" s="16">
        <f>IFERROR(__xludf.DUMMYFUNCTION("""COMPUTED_VALUE"""),66.0)</f>
        <v>66</v>
      </c>
      <c r="F4149" s="19" t="str">
        <f>IFERROR(__xludf.DUMMYFUNCTION("""COMPUTED_VALUE"""),"BLACK")</f>
        <v>BLACK</v>
      </c>
      <c r="G4149" s="20" t="str">
        <f>IFERROR(__xludf.DUMMYFUNCTION("""COMPUTED_VALUE"""),"Uncle Sams Cider (5/13/2022)")</f>
        <v>Uncle Sams Cider (5/13/2022)</v>
      </c>
      <c r="H4149" s="19"/>
    </row>
    <row r="4150">
      <c r="A4150" s="9"/>
      <c r="B4150" s="15"/>
      <c r="C4150" s="9">
        <f>IFERROR(__xludf.DUMMYFUNCTION("""COMPUTED_VALUE"""),44753.3599386921)</f>
        <v>44753.35994</v>
      </c>
      <c r="D4150" s="15">
        <f>IFERROR(__xludf.DUMMYFUNCTION("""COMPUTED_VALUE"""),1.004)</f>
        <v>1.004</v>
      </c>
      <c r="E4150" s="16">
        <f>IFERROR(__xludf.DUMMYFUNCTION("""COMPUTED_VALUE"""),66.0)</f>
        <v>66</v>
      </c>
      <c r="F4150" s="19" t="str">
        <f>IFERROR(__xludf.DUMMYFUNCTION("""COMPUTED_VALUE"""),"BLACK")</f>
        <v>BLACK</v>
      </c>
      <c r="G4150" s="20" t="str">
        <f>IFERROR(__xludf.DUMMYFUNCTION("""COMPUTED_VALUE"""),"Uncle Sams Cider (5/13/2022)")</f>
        <v>Uncle Sams Cider (5/13/2022)</v>
      </c>
      <c r="H4150" s="19"/>
    </row>
    <row r="4151">
      <c r="A4151" s="9"/>
      <c r="B4151" s="15"/>
      <c r="C4151" s="9">
        <f>IFERROR(__xludf.DUMMYFUNCTION("""COMPUTED_VALUE"""),44753.3495172337)</f>
        <v>44753.34952</v>
      </c>
      <c r="D4151" s="15">
        <f>IFERROR(__xludf.DUMMYFUNCTION("""COMPUTED_VALUE"""),1.004)</f>
        <v>1.004</v>
      </c>
      <c r="E4151" s="16">
        <f>IFERROR(__xludf.DUMMYFUNCTION("""COMPUTED_VALUE"""),66.0)</f>
        <v>66</v>
      </c>
      <c r="F4151" s="19" t="str">
        <f>IFERROR(__xludf.DUMMYFUNCTION("""COMPUTED_VALUE"""),"BLACK")</f>
        <v>BLACK</v>
      </c>
      <c r="G4151" s="20" t="str">
        <f>IFERROR(__xludf.DUMMYFUNCTION("""COMPUTED_VALUE"""),"Uncle Sams Cider (5/13/2022)")</f>
        <v>Uncle Sams Cider (5/13/2022)</v>
      </c>
      <c r="H4151" s="19"/>
    </row>
    <row r="4152">
      <c r="A4152" s="9"/>
      <c r="B4152" s="15"/>
      <c r="C4152" s="9">
        <f>IFERROR(__xludf.DUMMYFUNCTION("""COMPUTED_VALUE"""),44753.3390717361)</f>
        <v>44753.33907</v>
      </c>
      <c r="D4152" s="15">
        <f>IFERROR(__xludf.DUMMYFUNCTION("""COMPUTED_VALUE"""),1.004)</f>
        <v>1.004</v>
      </c>
      <c r="E4152" s="16">
        <f>IFERROR(__xludf.DUMMYFUNCTION("""COMPUTED_VALUE"""),66.0)</f>
        <v>66</v>
      </c>
      <c r="F4152" s="19" t="str">
        <f>IFERROR(__xludf.DUMMYFUNCTION("""COMPUTED_VALUE"""),"BLACK")</f>
        <v>BLACK</v>
      </c>
      <c r="G4152" s="20" t="str">
        <f>IFERROR(__xludf.DUMMYFUNCTION("""COMPUTED_VALUE"""),"Uncle Sams Cider (5/13/2022)")</f>
        <v>Uncle Sams Cider (5/13/2022)</v>
      </c>
      <c r="H4152" s="19"/>
    </row>
    <row r="4153">
      <c r="A4153" s="9"/>
      <c r="B4153" s="15"/>
      <c r="C4153" s="9">
        <f>IFERROR(__xludf.DUMMYFUNCTION("""COMPUTED_VALUE"""),44753.3286522685)</f>
        <v>44753.32865</v>
      </c>
      <c r="D4153" s="15">
        <f>IFERROR(__xludf.DUMMYFUNCTION("""COMPUTED_VALUE"""),1.004)</f>
        <v>1.004</v>
      </c>
      <c r="E4153" s="16">
        <f>IFERROR(__xludf.DUMMYFUNCTION("""COMPUTED_VALUE"""),66.0)</f>
        <v>66</v>
      </c>
      <c r="F4153" s="19" t="str">
        <f>IFERROR(__xludf.DUMMYFUNCTION("""COMPUTED_VALUE"""),"BLACK")</f>
        <v>BLACK</v>
      </c>
      <c r="G4153" s="20" t="str">
        <f>IFERROR(__xludf.DUMMYFUNCTION("""COMPUTED_VALUE"""),"Uncle Sams Cider (5/13/2022)")</f>
        <v>Uncle Sams Cider (5/13/2022)</v>
      </c>
      <c r="H4153" s="19"/>
    </row>
    <row r="4154">
      <c r="A4154" s="9"/>
      <c r="B4154" s="15"/>
      <c r="C4154" s="9">
        <f>IFERROR(__xludf.DUMMYFUNCTION("""COMPUTED_VALUE"""),44753.3182297106)</f>
        <v>44753.31823</v>
      </c>
      <c r="D4154" s="15">
        <f>IFERROR(__xludf.DUMMYFUNCTION("""COMPUTED_VALUE"""),1.004)</f>
        <v>1.004</v>
      </c>
      <c r="E4154" s="16">
        <f>IFERROR(__xludf.DUMMYFUNCTION("""COMPUTED_VALUE"""),66.0)</f>
        <v>66</v>
      </c>
      <c r="F4154" s="19" t="str">
        <f>IFERROR(__xludf.DUMMYFUNCTION("""COMPUTED_VALUE"""),"BLACK")</f>
        <v>BLACK</v>
      </c>
      <c r="G4154" s="20" t="str">
        <f>IFERROR(__xludf.DUMMYFUNCTION("""COMPUTED_VALUE"""),"Uncle Sams Cider (5/13/2022)")</f>
        <v>Uncle Sams Cider (5/13/2022)</v>
      </c>
      <c r="H4154" s="19"/>
    </row>
    <row r="4155">
      <c r="A4155" s="9"/>
      <c r="B4155" s="15"/>
      <c r="C4155" s="9">
        <f>IFERROR(__xludf.DUMMYFUNCTION("""COMPUTED_VALUE"""),44753.3078087615)</f>
        <v>44753.30781</v>
      </c>
      <c r="D4155" s="15">
        <f>IFERROR(__xludf.DUMMYFUNCTION("""COMPUTED_VALUE"""),1.004)</f>
        <v>1.004</v>
      </c>
      <c r="E4155" s="16">
        <f>IFERROR(__xludf.DUMMYFUNCTION("""COMPUTED_VALUE"""),66.0)</f>
        <v>66</v>
      </c>
      <c r="F4155" s="19" t="str">
        <f>IFERROR(__xludf.DUMMYFUNCTION("""COMPUTED_VALUE"""),"BLACK")</f>
        <v>BLACK</v>
      </c>
      <c r="G4155" s="20" t="str">
        <f>IFERROR(__xludf.DUMMYFUNCTION("""COMPUTED_VALUE"""),"Uncle Sams Cider (5/13/2022)")</f>
        <v>Uncle Sams Cider (5/13/2022)</v>
      </c>
      <c r="H4155" s="19"/>
    </row>
    <row r="4156">
      <c r="A4156" s="9"/>
      <c r="B4156" s="15"/>
      <c r="C4156" s="9">
        <f>IFERROR(__xludf.DUMMYFUNCTION("""COMPUTED_VALUE"""),44753.2973870138)</f>
        <v>44753.29739</v>
      </c>
      <c r="D4156" s="15">
        <f>IFERROR(__xludf.DUMMYFUNCTION("""COMPUTED_VALUE"""),1.004)</f>
        <v>1.004</v>
      </c>
      <c r="E4156" s="16">
        <f>IFERROR(__xludf.DUMMYFUNCTION("""COMPUTED_VALUE"""),66.0)</f>
        <v>66</v>
      </c>
      <c r="F4156" s="19" t="str">
        <f>IFERROR(__xludf.DUMMYFUNCTION("""COMPUTED_VALUE"""),"BLACK")</f>
        <v>BLACK</v>
      </c>
      <c r="G4156" s="20" t="str">
        <f>IFERROR(__xludf.DUMMYFUNCTION("""COMPUTED_VALUE"""),"Uncle Sams Cider (5/13/2022)")</f>
        <v>Uncle Sams Cider (5/13/2022)</v>
      </c>
      <c r="H4156" s="19"/>
    </row>
    <row r="4157">
      <c r="A4157" s="9"/>
      <c r="B4157" s="15"/>
      <c r="C4157" s="9">
        <f>IFERROR(__xludf.DUMMYFUNCTION("""COMPUTED_VALUE"""),44753.2869633564)</f>
        <v>44753.28696</v>
      </c>
      <c r="D4157" s="15">
        <f>IFERROR(__xludf.DUMMYFUNCTION("""COMPUTED_VALUE"""),1.004)</f>
        <v>1.004</v>
      </c>
      <c r="E4157" s="16">
        <f>IFERROR(__xludf.DUMMYFUNCTION("""COMPUTED_VALUE"""),66.0)</f>
        <v>66</v>
      </c>
      <c r="F4157" s="19" t="str">
        <f>IFERROR(__xludf.DUMMYFUNCTION("""COMPUTED_VALUE"""),"BLACK")</f>
        <v>BLACK</v>
      </c>
      <c r="G4157" s="20" t="str">
        <f>IFERROR(__xludf.DUMMYFUNCTION("""COMPUTED_VALUE"""),"Uncle Sams Cider (5/13/2022)")</f>
        <v>Uncle Sams Cider (5/13/2022)</v>
      </c>
      <c r="H4157" s="19"/>
    </row>
    <row r="4158">
      <c r="A4158" s="9"/>
      <c r="B4158" s="15"/>
      <c r="C4158" s="9">
        <f>IFERROR(__xludf.DUMMYFUNCTION("""COMPUTED_VALUE"""),44753.2765421643)</f>
        <v>44753.27654</v>
      </c>
      <c r="D4158" s="15">
        <f>IFERROR(__xludf.DUMMYFUNCTION("""COMPUTED_VALUE"""),1.005)</f>
        <v>1.005</v>
      </c>
      <c r="E4158" s="16">
        <f>IFERROR(__xludf.DUMMYFUNCTION("""COMPUTED_VALUE"""),66.0)</f>
        <v>66</v>
      </c>
      <c r="F4158" s="19" t="str">
        <f>IFERROR(__xludf.DUMMYFUNCTION("""COMPUTED_VALUE"""),"BLACK")</f>
        <v>BLACK</v>
      </c>
      <c r="G4158" s="20" t="str">
        <f>IFERROR(__xludf.DUMMYFUNCTION("""COMPUTED_VALUE"""),"Uncle Sams Cider (5/13/2022)")</f>
        <v>Uncle Sams Cider (5/13/2022)</v>
      </c>
      <c r="H4158" s="19"/>
    </row>
    <row r="4159">
      <c r="A4159" s="9"/>
      <c r="B4159" s="15"/>
      <c r="C4159" s="9">
        <f>IFERROR(__xludf.DUMMYFUNCTION("""COMPUTED_VALUE"""),44753.2661201504)</f>
        <v>44753.26612</v>
      </c>
      <c r="D4159" s="15">
        <f>IFERROR(__xludf.DUMMYFUNCTION("""COMPUTED_VALUE"""),1.004)</f>
        <v>1.004</v>
      </c>
      <c r="E4159" s="16">
        <f>IFERROR(__xludf.DUMMYFUNCTION("""COMPUTED_VALUE"""),66.0)</f>
        <v>66</v>
      </c>
      <c r="F4159" s="19" t="str">
        <f>IFERROR(__xludf.DUMMYFUNCTION("""COMPUTED_VALUE"""),"BLACK")</f>
        <v>BLACK</v>
      </c>
      <c r="G4159" s="20" t="str">
        <f>IFERROR(__xludf.DUMMYFUNCTION("""COMPUTED_VALUE"""),"Uncle Sams Cider (5/13/2022)")</f>
        <v>Uncle Sams Cider (5/13/2022)</v>
      </c>
      <c r="H4159" s="19"/>
    </row>
    <row r="4160">
      <c r="A4160" s="9"/>
      <c r="B4160" s="15"/>
      <c r="C4160" s="9">
        <f>IFERROR(__xludf.DUMMYFUNCTION("""COMPUTED_VALUE"""),44753.2556987384)</f>
        <v>44753.2557</v>
      </c>
      <c r="D4160" s="15">
        <f>IFERROR(__xludf.DUMMYFUNCTION("""COMPUTED_VALUE"""),1.004)</f>
        <v>1.004</v>
      </c>
      <c r="E4160" s="16">
        <f>IFERROR(__xludf.DUMMYFUNCTION("""COMPUTED_VALUE"""),66.0)</f>
        <v>66</v>
      </c>
      <c r="F4160" s="19" t="str">
        <f>IFERROR(__xludf.DUMMYFUNCTION("""COMPUTED_VALUE"""),"BLACK")</f>
        <v>BLACK</v>
      </c>
      <c r="G4160" s="20" t="str">
        <f>IFERROR(__xludf.DUMMYFUNCTION("""COMPUTED_VALUE"""),"Uncle Sams Cider (5/13/2022)")</f>
        <v>Uncle Sams Cider (5/13/2022)</v>
      </c>
      <c r="H4160" s="19"/>
    </row>
    <row r="4161">
      <c r="A4161" s="9"/>
      <c r="B4161" s="15"/>
      <c r="C4161" s="9">
        <f>IFERROR(__xludf.DUMMYFUNCTION("""COMPUTED_VALUE"""),44753.2452785185)</f>
        <v>44753.24528</v>
      </c>
      <c r="D4161" s="15">
        <f>IFERROR(__xludf.DUMMYFUNCTION("""COMPUTED_VALUE"""),1.004)</f>
        <v>1.004</v>
      </c>
      <c r="E4161" s="16">
        <f>IFERROR(__xludf.DUMMYFUNCTION("""COMPUTED_VALUE"""),66.0)</f>
        <v>66</v>
      </c>
      <c r="F4161" s="19" t="str">
        <f>IFERROR(__xludf.DUMMYFUNCTION("""COMPUTED_VALUE"""),"BLACK")</f>
        <v>BLACK</v>
      </c>
      <c r="G4161" s="20" t="str">
        <f>IFERROR(__xludf.DUMMYFUNCTION("""COMPUTED_VALUE"""),"Uncle Sams Cider (5/13/2022)")</f>
        <v>Uncle Sams Cider (5/13/2022)</v>
      </c>
      <c r="H4161" s="19"/>
    </row>
    <row r="4162">
      <c r="A4162" s="9"/>
      <c r="B4162" s="15"/>
      <c r="C4162" s="9">
        <f>IFERROR(__xludf.DUMMYFUNCTION("""COMPUTED_VALUE"""),44753.2348566782)</f>
        <v>44753.23486</v>
      </c>
      <c r="D4162" s="15">
        <f>IFERROR(__xludf.DUMMYFUNCTION("""COMPUTED_VALUE"""),1.004)</f>
        <v>1.004</v>
      </c>
      <c r="E4162" s="16">
        <f>IFERROR(__xludf.DUMMYFUNCTION("""COMPUTED_VALUE"""),66.0)</f>
        <v>66</v>
      </c>
      <c r="F4162" s="19" t="str">
        <f>IFERROR(__xludf.DUMMYFUNCTION("""COMPUTED_VALUE"""),"BLACK")</f>
        <v>BLACK</v>
      </c>
      <c r="G4162" s="20" t="str">
        <f>IFERROR(__xludf.DUMMYFUNCTION("""COMPUTED_VALUE"""),"Uncle Sams Cider (5/13/2022)")</f>
        <v>Uncle Sams Cider (5/13/2022)</v>
      </c>
      <c r="H4162" s="19"/>
    </row>
    <row r="4163">
      <c r="A4163" s="9"/>
      <c r="B4163" s="15"/>
      <c r="C4163" s="9">
        <f>IFERROR(__xludf.DUMMYFUNCTION("""COMPUTED_VALUE"""),44753.2244365509)</f>
        <v>44753.22444</v>
      </c>
      <c r="D4163" s="15">
        <f>IFERROR(__xludf.DUMMYFUNCTION("""COMPUTED_VALUE"""),1.004)</f>
        <v>1.004</v>
      </c>
      <c r="E4163" s="16">
        <f>IFERROR(__xludf.DUMMYFUNCTION("""COMPUTED_VALUE"""),66.0)</f>
        <v>66</v>
      </c>
      <c r="F4163" s="19" t="str">
        <f>IFERROR(__xludf.DUMMYFUNCTION("""COMPUTED_VALUE"""),"BLACK")</f>
        <v>BLACK</v>
      </c>
      <c r="G4163" s="20" t="str">
        <f>IFERROR(__xludf.DUMMYFUNCTION("""COMPUTED_VALUE"""),"Uncle Sams Cider (5/13/2022)")</f>
        <v>Uncle Sams Cider (5/13/2022)</v>
      </c>
      <c r="H4163" s="19"/>
    </row>
    <row r="4164">
      <c r="A4164" s="9"/>
      <c r="B4164" s="15"/>
      <c r="C4164" s="9">
        <f>IFERROR(__xludf.DUMMYFUNCTION("""COMPUTED_VALUE"""),44753.2140033912)</f>
        <v>44753.214</v>
      </c>
      <c r="D4164" s="15">
        <f>IFERROR(__xludf.DUMMYFUNCTION("""COMPUTED_VALUE"""),1.004)</f>
        <v>1.004</v>
      </c>
      <c r="E4164" s="16">
        <f>IFERROR(__xludf.DUMMYFUNCTION("""COMPUTED_VALUE"""),66.0)</f>
        <v>66</v>
      </c>
      <c r="F4164" s="19" t="str">
        <f>IFERROR(__xludf.DUMMYFUNCTION("""COMPUTED_VALUE"""),"BLACK")</f>
        <v>BLACK</v>
      </c>
      <c r="G4164" s="20" t="str">
        <f>IFERROR(__xludf.DUMMYFUNCTION("""COMPUTED_VALUE"""),"Uncle Sams Cider (5/13/2022)")</f>
        <v>Uncle Sams Cider (5/13/2022)</v>
      </c>
      <c r="H4164" s="19"/>
    </row>
    <row r="4165">
      <c r="A4165" s="9"/>
      <c r="B4165" s="15"/>
      <c r="C4165" s="9">
        <f>IFERROR(__xludf.DUMMYFUNCTION("""COMPUTED_VALUE"""),44753.2035834027)</f>
        <v>44753.20358</v>
      </c>
      <c r="D4165" s="15">
        <f>IFERROR(__xludf.DUMMYFUNCTION("""COMPUTED_VALUE"""),1.004)</f>
        <v>1.004</v>
      </c>
      <c r="E4165" s="16">
        <f>IFERROR(__xludf.DUMMYFUNCTION("""COMPUTED_VALUE"""),66.0)</f>
        <v>66</v>
      </c>
      <c r="F4165" s="19" t="str">
        <f>IFERROR(__xludf.DUMMYFUNCTION("""COMPUTED_VALUE"""),"BLACK")</f>
        <v>BLACK</v>
      </c>
      <c r="G4165" s="20" t="str">
        <f>IFERROR(__xludf.DUMMYFUNCTION("""COMPUTED_VALUE"""),"Uncle Sams Cider (5/13/2022)")</f>
        <v>Uncle Sams Cider (5/13/2022)</v>
      </c>
      <c r="H4165" s="19"/>
    </row>
    <row r="4166">
      <c r="A4166" s="9"/>
      <c r="B4166" s="15"/>
      <c r="C4166" s="9">
        <f>IFERROR(__xludf.DUMMYFUNCTION("""COMPUTED_VALUE"""),44753.1931617013)</f>
        <v>44753.19316</v>
      </c>
      <c r="D4166" s="15">
        <f>IFERROR(__xludf.DUMMYFUNCTION("""COMPUTED_VALUE"""),1.004)</f>
        <v>1.004</v>
      </c>
      <c r="E4166" s="16">
        <f>IFERROR(__xludf.DUMMYFUNCTION("""COMPUTED_VALUE"""),66.0)</f>
        <v>66</v>
      </c>
      <c r="F4166" s="19" t="str">
        <f>IFERROR(__xludf.DUMMYFUNCTION("""COMPUTED_VALUE"""),"BLACK")</f>
        <v>BLACK</v>
      </c>
      <c r="G4166" s="20" t="str">
        <f>IFERROR(__xludf.DUMMYFUNCTION("""COMPUTED_VALUE"""),"Uncle Sams Cider (5/13/2022)")</f>
        <v>Uncle Sams Cider (5/13/2022)</v>
      </c>
      <c r="H4166" s="19"/>
    </row>
    <row r="4167">
      <c r="A4167" s="9"/>
      <c r="B4167" s="15"/>
      <c r="C4167" s="9">
        <f>IFERROR(__xludf.DUMMYFUNCTION("""COMPUTED_VALUE"""),44753.1827414583)</f>
        <v>44753.18274</v>
      </c>
      <c r="D4167" s="15">
        <f>IFERROR(__xludf.DUMMYFUNCTION("""COMPUTED_VALUE"""),1.004)</f>
        <v>1.004</v>
      </c>
      <c r="E4167" s="16">
        <f>IFERROR(__xludf.DUMMYFUNCTION("""COMPUTED_VALUE"""),66.0)</f>
        <v>66</v>
      </c>
      <c r="F4167" s="19" t="str">
        <f>IFERROR(__xludf.DUMMYFUNCTION("""COMPUTED_VALUE"""),"BLACK")</f>
        <v>BLACK</v>
      </c>
      <c r="G4167" s="20" t="str">
        <f>IFERROR(__xludf.DUMMYFUNCTION("""COMPUTED_VALUE"""),"Uncle Sams Cider (5/13/2022)")</f>
        <v>Uncle Sams Cider (5/13/2022)</v>
      </c>
      <c r="H4167" s="19"/>
    </row>
    <row r="4168">
      <c r="A4168" s="9"/>
      <c r="B4168" s="15"/>
      <c r="C4168" s="9">
        <f>IFERROR(__xludf.DUMMYFUNCTION("""COMPUTED_VALUE"""),44753.1723203009)</f>
        <v>44753.17232</v>
      </c>
      <c r="D4168" s="15">
        <f>IFERROR(__xludf.DUMMYFUNCTION("""COMPUTED_VALUE"""),1.004)</f>
        <v>1.004</v>
      </c>
      <c r="E4168" s="16">
        <f>IFERROR(__xludf.DUMMYFUNCTION("""COMPUTED_VALUE"""),66.0)</f>
        <v>66</v>
      </c>
      <c r="F4168" s="19" t="str">
        <f>IFERROR(__xludf.DUMMYFUNCTION("""COMPUTED_VALUE"""),"BLACK")</f>
        <v>BLACK</v>
      </c>
      <c r="G4168" s="20" t="str">
        <f>IFERROR(__xludf.DUMMYFUNCTION("""COMPUTED_VALUE"""),"Uncle Sams Cider (5/13/2022)")</f>
        <v>Uncle Sams Cider (5/13/2022)</v>
      </c>
      <c r="H4168" s="19"/>
    </row>
    <row r="4169">
      <c r="A4169" s="9"/>
      <c r="B4169" s="15"/>
      <c r="C4169" s="9">
        <f>IFERROR(__xludf.DUMMYFUNCTION("""COMPUTED_VALUE"""),44753.1618977199)</f>
        <v>44753.1619</v>
      </c>
      <c r="D4169" s="15">
        <f>IFERROR(__xludf.DUMMYFUNCTION("""COMPUTED_VALUE"""),1.004)</f>
        <v>1.004</v>
      </c>
      <c r="E4169" s="16">
        <f>IFERROR(__xludf.DUMMYFUNCTION("""COMPUTED_VALUE"""),66.0)</f>
        <v>66</v>
      </c>
      <c r="F4169" s="19" t="str">
        <f>IFERROR(__xludf.DUMMYFUNCTION("""COMPUTED_VALUE"""),"BLACK")</f>
        <v>BLACK</v>
      </c>
      <c r="G4169" s="20" t="str">
        <f>IFERROR(__xludf.DUMMYFUNCTION("""COMPUTED_VALUE"""),"Uncle Sams Cider (5/13/2022)")</f>
        <v>Uncle Sams Cider (5/13/2022)</v>
      </c>
      <c r="H4169" s="19"/>
    </row>
    <row r="4170">
      <c r="A4170" s="9"/>
      <c r="B4170" s="15"/>
      <c r="C4170" s="9">
        <f>IFERROR(__xludf.DUMMYFUNCTION("""COMPUTED_VALUE"""),44753.1514766782)</f>
        <v>44753.15148</v>
      </c>
      <c r="D4170" s="15">
        <f>IFERROR(__xludf.DUMMYFUNCTION("""COMPUTED_VALUE"""),1.004)</f>
        <v>1.004</v>
      </c>
      <c r="E4170" s="16">
        <f>IFERROR(__xludf.DUMMYFUNCTION("""COMPUTED_VALUE"""),66.0)</f>
        <v>66</v>
      </c>
      <c r="F4170" s="19" t="str">
        <f>IFERROR(__xludf.DUMMYFUNCTION("""COMPUTED_VALUE"""),"BLACK")</f>
        <v>BLACK</v>
      </c>
      <c r="G4170" s="20" t="str">
        <f>IFERROR(__xludf.DUMMYFUNCTION("""COMPUTED_VALUE"""),"Uncle Sams Cider (5/13/2022)")</f>
        <v>Uncle Sams Cider (5/13/2022)</v>
      </c>
      <c r="H4170" s="19"/>
    </row>
    <row r="4171">
      <c r="A4171" s="9"/>
      <c r="B4171" s="15"/>
      <c r="C4171" s="9">
        <f>IFERROR(__xludf.DUMMYFUNCTION("""COMPUTED_VALUE"""),44753.141055868)</f>
        <v>44753.14106</v>
      </c>
      <c r="D4171" s="15">
        <f>IFERROR(__xludf.DUMMYFUNCTION("""COMPUTED_VALUE"""),1.004)</f>
        <v>1.004</v>
      </c>
      <c r="E4171" s="16">
        <f>IFERROR(__xludf.DUMMYFUNCTION("""COMPUTED_VALUE"""),66.0)</f>
        <v>66</v>
      </c>
      <c r="F4171" s="19" t="str">
        <f>IFERROR(__xludf.DUMMYFUNCTION("""COMPUTED_VALUE"""),"BLACK")</f>
        <v>BLACK</v>
      </c>
      <c r="G4171" s="20" t="str">
        <f>IFERROR(__xludf.DUMMYFUNCTION("""COMPUTED_VALUE"""),"Uncle Sams Cider (5/13/2022)")</f>
        <v>Uncle Sams Cider (5/13/2022)</v>
      </c>
      <c r="H4171" s="19"/>
    </row>
    <row r="4172">
      <c r="A4172" s="9"/>
      <c r="B4172" s="15"/>
      <c r="C4172" s="9">
        <f>IFERROR(__xludf.DUMMYFUNCTION("""COMPUTED_VALUE"""),44753.1306347222)</f>
        <v>44753.13063</v>
      </c>
      <c r="D4172" s="15">
        <f>IFERROR(__xludf.DUMMYFUNCTION("""COMPUTED_VALUE"""),1.004)</f>
        <v>1.004</v>
      </c>
      <c r="E4172" s="16">
        <f>IFERROR(__xludf.DUMMYFUNCTION("""COMPUTED_VALUE"""),66.0)</f>
        <v>66</v>
      </c>
      <c r="F4172" s="19" t="str">
        <f>IFERROR(__xludf.DUMMYFUNCTION("""COMPUTED_VALUE"""),"BLACK")</f>
        <v>BLACK</v>
      </c>
      <c r="G4172" s="20" t="str">
        <f>IFERROR(__xludf.DUMMYFUNCTION("""COMPUTED_VALUE"""),"Uncle Sams Cider (5/13/2022)")</f>
        <v>Uncle Sams Cider (5/13/2022)</v>
      </c>
      <c r="H4172" s="19"/>
    </row>
    <row r="4173">
      <c r="A4173" s="9"/>
      <c r="B4173" s="15"/>
      <c r="C4173" s="9">
        <f>IFERROR(__xludf.DUMMYFUNCTION("""COMPUTED_VALUE"""),44753.1202131597)</f>
        <v>44753.12021</v>
      </c>
      <c r="D4173" s="15">
        <f>IFERROR(__xludf.DUMMYFUNCTION("""COMPUTED_VALUE"""),1.004)</f>
        <v>1.004</v>
      </c>
      <c r="E4173" s="16">
        <f>IFERROR(__xludf.DUMMYFUNCTION("""COMPUTED_VALUE"""),66.0)</f>
        <v>66</v>
      </c>
      <c r="F4173" s="19" t="str">
        <f>IFERROR(__xludf.DUMMYFUNCTION("""COMPUTED_VALUE"""),"BLACK")</f>
        <v>BLACK</v>
      </c>
      <c r="G4173" s="20" t="str">
        <f>IFERROR(__xludf.DUMMYFUNCTION("""COMPUTED_VALUE"""),"Uncle Sams Cider (5/13/2022)")</f>
        <v>Uncle Sams Cider (5/13/2022)</v>
      </c>
      <c r="H4173" s="19"/>
    </row>
    <row r="4174">
      <c r="A4174" s="9"/>
      <c r="B4174" s="15"/>
      <c r="C4174" s="9">
        <f>IFERROR(__xludf.DUMMYFUNCTION("""COMPUTED_VALUE"""),44753.1097933564)</f>
        <v>44753.10979</v>
      </c>
      <c r="D4174" s="15">
        <f>IFERROR(__xludf.DUMMYFUNCTION("""COMPUTED_VALUE"""),1.004)</f>
        <v>1.004</v>
      </c>
      <c r="E4174" s="16">
        <f>IFERROR(__xludf.DUMMYFUNCTION("""COMPUTED_VALUE"""),66.0)</f>
        <v>66</v>
      </c>
      <c r="F4174" s="19" t="str">
        <f>IFERROR(__xludf.DUMMYFUNCTION("""COMPUTED_VALUE"""),"BLACK")</f>
        <v>BLACK</v>
      </c>
      <c r="G4174" s="20" t="str">
        <f>IFERROR(__xludf.DUMMYFUNCTION("""COMPUTED_VALUE"""),"Uncle Sams Cider (5/13/2022)")</f>
        <v>Uncle Sams Cider (5/13/2022)</v>
      </c>
      <c r="H4174" s="19"/>
    </row>
    <row r="4175">
      <c r="A4175" s="9"/>
      <c r="B4175" s="15"/>
      <c r="C4175" s="9">
        <f>IFERROR(__xludf.DUMMYFUNCTION("""COMPUTED_VALUE"""),44753.0993706018)</f>
        <v>44753.09937</v>
      </c>
      <c r="D4175" s="15">
        <f>IFERROR(__xludf.DUMMYFUNCTION("""COMPUTED_VALUE"""),1.004)</f>
        <v>1.004</v>
      </c>
      <c r="E4175" s="16">
        <f>IFERROR(__xludf.DUMMYFUNCTION("""COMPUTED_VALUE"""),66.0)</f>
        <v>66</v>
      </c>
      <c r="F4175" s="19" t="str">
        <f>IFERROR(__xludf.DUMMYFUNCTION("""COMPUTED_VALUE"""),"BLACK")</f>
        <v>BLACK</v>
      </c>
      <c r="G4175" s="20" t="str">
        <f>IFERROR(__xludf.DUMMYFUNCTION("""COMPUTED_VALUE"""),"Uncle Sams Cider (5/13/2022)")</f>
        <v>Uncle Sams Cider (5/13/2022)</v>
      </c>
      <c r="H4175" s="19"/>
    </row>
    <row r="4176">
      <c r="A4176" s="9"/>
      <c r="B4176" s="15"/>
      <c r="C4176" s="9">
        <f>IFERROR(__xludf.DUMMYFUNCTION("""COMPUTED_VALUE"""),44753.0889501504)</f>
        <v>44753.08895</v>
      </c>
      <c r="D4176" s="15">
        <f>IFERROR(__xludf.DUMMYFUNCTION("""COMPUTED_VALUE"""),1.004)</f>
        <v>1.004</v>
      </c>
      <c r="E4176" s="16">
        <f>IFERROR(__xludf.DUMMYFUNCTION("""COMPUTED_VALUE"""),66.0)</f>
        <v>66</v>
      </c>
      <c r="F4176" s="19" t="str">
        <f>IFERROR(__xludf.DUMMYFUNCTION("""COMPUTED_VALUE"""),"BLACK")</f>
        <v>BLACK</v>
      </c>
      <c r="G4176" s="20" t="str">
        <f>IFERROR(__xludf.DUMMYFUNCTION("""COMPUTED_VALUE"""),"Uncle Sams Cider (5/13/2022)")</f>
        <v>Uncle Sams Cider (5/13/2022)</v>
      </c>
      <c r="H4176" s="19"/>
    </row>
    <row r="4177">
      <c r="A4177" s="9"/>
      <c r="B4177" s="15"/>
      <c r="C4177" s="9">
        <f>IFERROR(__xludf.DUMMYFUNCTION("""COMPUTED_VALUE"""),44753.0785276736)</f>
        <v>44753.07853</v>
      </c>
      <c r="D4177" s="15">
        <f>IFERROR(__xludf.DUMMYFUNCTION("""COMPUTED_VALUE"""),1.004)</f>
        <v>1.004</v>
      </c>
      <c r="E4177" s="16">
        <f>IFERROR(__xludf.DUMMYFUNCTION("""COMPUTED_VALUE"""),66.0)</f>
        <v>66</v>
      </c>
      <c r="F4177" s="19" t="str">
        <f>IFERROR(__xludf.DUMMYFUNCTION("""COMPUTED_VALUE"""),"BLACK")</f>
        <v>BLACK</v>
      </c>
      <c r="G4177" s="20" t="str">
        <f>IFERROR(__xludf.DUMMYFUNCTION("""COMPUTED_VALUE"""),"Uncle Sams Cider (5/13/2022)")</f>
        <v>Uncle Sams Cider (5/13/2022)</v>
      </c>
      <c r="H4177" s="19"/>
    </row>
    <row r="4178">
      <c r="A4178" s="9"/>
      <c r="B4178" s="15"/>
      <c r="C4178" s="9">
        <f>IFERROR(__xludf.DUMMYFUNCTION("""COMPUTED_VALUE"""),44753.0680823495)</f>
        <v>44753.06808</v>
      </c>
      <c r="D4178" s="15">
        <f>IFERROR(__xludf.DUMMYFUNCTION("""COMPUTED_VALUE"""),1.004)</f>
        <v>1.004</v>
      </c>
      <c r="E4178" s="16">
        <f>IFERROR(__xludf.DUMMYFUNCTION("""COMPUTED_VALUE"""),66.0)</f>
        <v>66</v>
      </c>
      <c r="F4178" s="19" t="str">
        <f>IFERROR(__xludf.DUMMYFUNCTION("""COMPUTED_VALUE"""),"BLACK")</f>
        <v>BLACK</v>
      </c>
      <c r="G4178" s="20" t="str">
        <f>IFERROR(__xludf.DUMMYFUNCTION("""COMPUTED_VALUE"""),"Uncle Sams Cider (5/13/2022)")</f>
        <v>Uncle Sams Cider (5/13/2022)</v>
      </c>
      <c r="H4178" s="19"/>
    </row>
    <row r="4179">
      <c r="A4179" s="9"/>
      <c r="B4179" s="15"/>
      <c r="C4179" s="9">
        <f>IFERROR(__xludf.DUMMYFUNCTION("""COMPUTED_VALUE"""),44753.0576598958)</f>
        <v>44753.05766</v>
      </c>
      <c r="D4179" s="15">
        <f>IFERROR(__xludf.DUMMYFUNCTION("""COMPUTED_VALUE"""),1.004)</f>
        <v>1.004</v>
      </c>
      <c r="E4179" s="16">
        <f>IFERROR(__xludf.DUMMYFUNCTION("""COMPUTED_VALUE"""),67.0)</f>
        <v>67</v>
      </c>
      <c r="F4179" s="19" t="str">
        <f>IFERROR(__xludf.DUMMYFUNCTION("""COMPUTED_VALUE"""),"BLACK")</f>
        <v>BLACK</v>
      </c>
      <c r="G4179" s="20" t="str">
        <f>IFERROR(__xludf.DUMMYFUNCTION("""COMPUTED_VALUE"""),"Uncle Sams Cider (5/13/2022)")</f>
        <v>Uncle Sams Cider (5/13/2022)</v>
      </c>
      <c r="H4179" s="19"/>
    </row>
    <row r="4180">
      <c r="A4180" s="9"/>
      <c r="B4180" s="15"/>
      <c r="C4180" s="9">
        <f>IFERROR(__xludf.DUMMYFUNCTION("""COMPUTED_VALUE"""),44753.0472389236)</f>
        <v>44753.04724</v>
      </c>
      <c r="D4180" s="15">
        <f>IFERROR(__xludf.DUMMYFUNCTION("""COMPUTED_VALUE"""),1.004)</f>
        <v>1.004</v>
      </c>
      <c r="E4180" s="16">
        <f>IFERROR(__xludf.DUMMYFUNCTION("""COMPUTED_VALUE"""),67.0)</f>
        <v>67</v>
      </c>
      <c r="F4180" s="19" t="str">
        <f>IFERROR(__xludf.DUMMYFUNCTION("""COMPUTED_VALUE"""),"BLACK")</f>
        <v>BLACK</v>
      </c>
      <c r="G4180" s="20" t="str">
        <f>IFERROR(__xludf.DUMMYFUNCTION("""COMPUTED_VALUE"""),"Uncle Sams Cider (5/13/2022)")</f>
        <v>Uncle Sams Cider (5/13/2022)</v>
      </c>
      <c r="H4180" s="19"/>
    </row>
    <row r="4181">
      <c r="A4181" s="9"/>
      <c r="B4181" s="15"/>
      <c r="C4181" s="9">
        <f>IFERROR(__xludf.DUMMYFUNCTION("""COMPUTED_VALUE"""),44753.036805787)</f>
        <v>44753.03681</v>
      </c>
      <c r="D4181" s="15">
        <f>IFERROR(__xludf.DUMMYFUNCTION("""COMPUTED_VALUE"""),1.004)</f>
        <v>1.004</v>
      </c>
      <c r="E4181" s="16">
        <f>IFERROR(__xludf.DUMMYFUNCTION("""COMPUTED_VALUE"""),68.0)</f>
        <v>68</v>
      </c>
      <c r="F4181" s="19" t="str">
        <f>IFERROR(__xludf.DUMMYFUNCTION("""COMPUTED_VALUE"""),"BLACK")</f>
        <v>BLACK</v>
      </c>
      <c r="G4181" s="20" t="str">
        <f>IFERROR(__xludf.DUMMYFUNCTION("""COMPUTED_VALUE"""),"Uncle Sams Cider (5/13/2022)")</f>
        <v>Uncle Sams Cider (5/13/2022)</v>
      </c>
      <c r="H4181" s="19"/>
    </row>
    <row r="4182">
      <c r="A4182" s="9"/>
      <c r="B4182" s="15"/>
      <c r="C4182" s="9">
        <f>IFERROR(__xludf.DUMMYFUNCTION("""COMPUTED_VALUE"""),44753.0263733796)</f>
        <v>44753.02637</v>
      </c>
      <c r="D4182" s="15">
        <f>IFERROR(__xludf.DUMMYFUNCTION("""COMPUTED_VALUE"""),1.004)</f>
        <v>1.004</v>
      </c>
      <c r="E4182" s="16">
        <f>IFERROR(__xludf.DUMMYFUNCTION("""COMPUTED_VALUE"""),69.0)</f>
        <v>69</v>
      </c>
      <c r="F4182" s="19" t="str">
        <f>IFERROR(__xludf.DUMMYFUNCTION("""COMPUTED_VALUE"""),"BLACK")</f>
        <v>BLACK</v>
      </c>
      <c r="G4182" s="20" t="str">
        <f>IFERROR(__xludf.DUMMYFUNCTION("""COMPUTED_VALUE"""),"Uncle Sams Cider (5/13/2022)")</f>
        <v>Uncle Sams Cider (5/13/2022)</v>
      </c>
      <c r="H4182" s="19"/>
    </row>
    <row r="4183">
      <c r="A4183" s="9"/>
      <c r="B4183" s="15"/>
      <c r="C4183" s="9">
        <f>IFERROR(__xludf.DUMMYFUNCTION("""COMPUTED_VALUE"""),44753.0159400462)</f>
        <v>44753.01594</v>
      </c>
      <c r="D4183" s="15">
        <f>IFERROR(__xludf.DUMMYFUNCTION("""COMPUTED_VALUE"""),1.004)</f>
        <v>1.004</v>
      </c>
      <c r="E4183" s="16">
        <f>IFERROR(__xludf.DUMMYFUNCTION("""COMPUTED_VALUE"""),70.0)</f>
        <v>70</v>
      </c>
      <c r="F4183" s="19" t="str">
        <f>IFERROR(__xludf.DUMMYFUNCTION("""COMPUTED_VALUE"""),"BLACK")</f>
        <v>BLACK</v>
      </c>
      <c r="G4183" s="20" t="str">
        <f>IFERROR(__xludf.DUMMYFUNCTION("""COMPUTED_VALUE"""),"Uncle Sams Cider (5/13/2022)")</f>
        <v>Uncle Sams Cider (5/13/2022)</v>
      </c>
      <c r="H4183" s="19"/>
    </row>
    <row r="4184">
      <c r="A4184" s="9"/>
      <c r="B4184" s="15"/>
      <c r="C4184" s="9">
        <f>IFERROR(__xludf.DUMMYFUNCTION("""COMPUTED_VALUE"""),44753.0055194328)</f>
        <v>44753.00552</v>
      </c>
      <c r="D4184" s="15">
        <f>IFERROR(__xludf.DUMMYFUNCTION("""COMPUTED_VALUE"""),1.004)</f>
        <v>1.004</v>
      </c>
      <c r="E4184" s="16">
        <f>IFERROR(__xludf.DUMMYFUNCTION("""COMPUTED_VALUE"""),70.0)</f>
        <v>70</v>
      </c>
      <c r="F4184" s="19" t="str">
        <f>IFERROR(__xludf.DUMMYFUNCTION("""COMPUTED_VALUE"""),"BLACK")</f>
        <v>BLACK</v>
      </c>
      <c r="G4184" s="20" t="str">
        <f>IFERROR(__xludf.DUMMYFUNCTION("""COMPUTED_VALUE"""),"Uncle Sams Cider (5/13/2022)")</f>
        <v>Uncle Sams Cider (5/13/2022)</v>
      </c>
      <c r="H4184" s="19"/>
    </row>
    <row r="4185">
      <c r="A4185" s="9"/>
      <c r="B4185" s="15"/>
      <c r="C4185" s="9">
        <f>IFERROR(__xludf.DUMMYFUNCTION("""COMPUTED_VALUE"""),44752.9950874074)</f>
        <v>44752.99509</v>
      </c>
      <c r="D4185" s="15">
        <f>IFERROR(__xludf.DUMMYFUNCTION("""COMPUTED_VALUE"""),1.004)</f>
        <v>1.004</v>
      </c>
      <c r="E4185" s="16">
        <f>IFERROR(__xludf.DUMMYFUNCTION("""COMPUTED_VALUE"""),70.0)</f>
        <v>70</v>
      </c>
      <c r="F4185" s="19" t="str">
        <f>IFERROR(__xludf.DUMMYFUNCTION("""COMPUTED_VALUE"""),"BLACK")</f>
        <v>BLACK</v>
      </c>
      <c r="G4185" s="20" t="str">
        <f>IFERROR(__xludf.DUMMYFUNCTION("""COMPUTED_VALUE"""),"Uncle Sams Cider (5/13/2022)")</f>
        <v>Uncle Sams Cider (5/13/2022)</v>
      </c>
      <c r="H4185" s="19"/>
    </row>
    <row r="4186">
      <c r="A4186" s="9"/>
      <c r="B4186" s="15"/>
      <c r="C4186" s="9">
        <f>IFERROR(__xludf.DUMMYFUNCTION("""COMPUTED_VALUE"""),44752.9846537962)</f>
        <v>44752.98465</v>
      </c>
      <c r="D4186" s="15">
        <f>IFERROR(__xludf.DUMMYFUNCTION("""COMPUTED_VALUE"""),1.004)</f>
        <v>1.004</v>
      </c>
      <c r="E4186" s="16">
        <f>IFERROR(__xludf.DUMMYFUNCTION("""COMPUTED_VALUE"""),70.0)</f>
        <v>70</v>
      </c>
      <c r="F4186" s="19" t="str">
        <f>IFERROR(__xludf.DUMMYFUNCTION("""COMPUTED_VALUE"""),"BLACK")</f>
        <v>BLACK</v>
      </c>
      <c r="G4186" s="20" t="str">
        <f>IFERROR(__xludf.DUMMYFUNCTION("""COMPUTED_VALUE"""),"Uncle Sams Cider (5/13/2022)")</f>
        <v>Uncle Sams Cider (5/13/2022)</v>
      </c>
      <c r="H4186" s="19"/>
    </row>
    <row r="4187">
      <c r="A4187" s="9"/>
      <c r="B4187" s="15"/>
      <c r="C4187" s="9">
        <f>IFERROR(__xludf.DUMMYFUNCTION("""COMPUTED_VALUE"""),44752.9742335648)</f>
        <v>44752.97423</v>
      </c>
      <c r="D4187" s="15">
        <f>IFERROR(__xludf.DUMMYFUNCTION("""COMPUTED_VALUE"""),1.004)</f>
        <v>1.004</v>
      </c>
      <c r="E4187" s="16">
        <f>IFERROR(__xludf.DUMMYFUNCTION("""COMPUTED_VALUE"""),70.0)</f>
        <v>70</v>
      </c>
      <c r="F4187" s="19" t="str">
        <f>IFERROR(__xludf.DUMMYFUNCTION("""COMPUTED_VALUE"""),"BLACK")</f>
        <v>BLACK</v>
      </c>
      <c r="G4187" s="20" t="str">
        <f>IFERROR(__xludf.DUMMYFUNCTION("""COMPUTED_VALUE"""),"Uncle Sams Cider (5/13/2022)")</f>
        <v>Uncle Sams Cider (5/13/2022)</v>
      </c>
      <c r="H4187" s="19"/>
    </row>
    <row r="4188">
      <c r="A4188" s="9"/>
      <c r="B4188" s="15"/>
      <c r="C4188" s="9">
        <f>IFERROR(__xludf.DUMMYFUNCTION("""COMPUTED_VALUE"""),44752.9638116551)</f>
        <v>44752.96381</v>
      </c>
      <c r="D4188" s="15">
        <f>IFERROR(__xludf.DUMMYFUNCTION("""COMPUTED_VALUE"""),1.005)</f>
        <v>1.005</v>
      </c>
      <c r="E4188" s="16">
        <f>IFERROR(__xludf.DUMMYFUNCTION("""COMPUTED_VALUE"""),70.0)</f>
        <v>70</v>
      </c>
      <c r="F4188" s="19" t="str">
        <f>IFERROR(__xludf.DUMMYFUNCTION("""COMPUTED_VALUE"""),"BLACK")</f>
        <v>BLACK</v>
      </c>
      <c r="G4188" s="20" t="str">
        <f>IFERROR(__xludf.DUMMYFUNCTION("""COMPUTED_VALUE"""),"Uncle Sams Cider (5/13/2022)")</f>
        <v>Uncle Sams Cider (5/13/2022)</v>
      </c>
      <c r="H4188" s="19"/>
    </row>
    <row r="4189">
      <c r="A4189" s="9"/>
      <c r="B4189" s="15"/>
      <c r="C4189" s="9">
        <f>IFERROR(__xludf.DUMMYFUNCTION("""COMPUTED_VALUE"""),44752.9533913541)</f>
        <v>44752.95339</v>
      </c>
      <c r="D4189" s="15">
        <f>IFERROR(__xludf.DUMMYFUNCTION("""COMPUTED_VALUE"""),1.004)</f>
        <v>1.004</v>
      </c>
      <c r="E4189" s="16">
        <f>IFERROR(__xludf.DUMMYFUNCTION("""COMPUTED_VALUE"""),70.0)</f>
        <v>70</v>
      </c>
      <c r="F4189" s="19" t="str">
        <f>IFERROR(__xludf.DUMMYFUNCTION("""COMPUTED_VALUE"""),"BLACK")</f>
        <v>BLACK</v>
      </c>
      <c r="G4189" s="20" t="str">
        <f>IFERROR(__xludf.DUMMYFUNCTION("""COMPUTED_VALUE"""),"Uncle Sams Cider (5/13/2022)")</f>
        <v>Uncle Sams Cider (5/13/2022)</v>
      </c>
      <c r="H4189" s="19"/>
    </row>
    <row r="4190">
      <c r="A4190" s="9"/>
      <c r="B4190" s="15"/>
      <c r="C4190" s="9">
        <f>IFERROR(__xludf.DUMMYFUNCTION("""COMPUTED_VALUE"""),44752.9429716319)</f>
        <v>44752.94297</v>
      </c>
      <c r="D4190" s="15">
        <f>IFERROR(__xludf.DUMMYFUNCTION("""COMPUTED_VALUE"""),1.004)</f>
        <v>1.004</v>
      </c>
      <c r="E4190" s="16">
        <f>IFERROR(__xludf.DUMMYFUNCTION("""COMPUTED_VALUE"""),70.0)</f>
        <v>70</v>
      </c>
      <c r="F4190" s="19" t="str">
        <f>IFERROR(__xludf.DUMMYFUNCTION("""COMPUTED_VALUE"""),"BLACK")</f>
        <v>BLACK</v>
      </c>
      <c r="G4190" s="20" t="str">
        <f>IFERROR(__xludf.DUMMYFUNCTION("""COMPUTED_VALUE"""),"Uncle Sams Cider (5/13/2022)")</f>
        <v>Uncle Sams Cider (5/13/2022)</v>
      </c>
      <c r="H4190" s="19"/>
    </row>
    <row r="4191">
      <c r="A4191" s="9"/>
      <c r="B4191" s="15"/>
      <c r="C4191" s="9">
        <f>IFERROR(__xludf.DUMMYFUNCTION("""COMPUTED_VALUE"""),44752.9325513541)</f>
        <v>44752.93255</v>
      </c>
      <c r="D4191" s="15">
        <f>IFERROR(__xludf.DUMMYFUNCTION("""COMPUTED_VALUE"""),1.004)</f>
        <v>1.004</v>
      </c>
      <c r="E4191" s="16">
        <f>IFERROR(__xludf.DUMMYFUNCTION("""COMPUTED_VALUE"""),70.0)</f>
        <v>70</v>
      </c>
      <c r="F4191" s="19" t="str">
        <f>IFERROR(__xludf.DUMMYFUNCTION("""COMPUTED_VALUE"""),"BLACK")</f>
        <v>BLACK</v>
      </c>
      <c r="G4191" s="20" t="str">
        <f>IFERROR(__xludf.DUMMYFUNCTION("""COMPUTED_VALUE"""),"Uncle Sams Cider (5/13/2022)")</f>
        <v>Uncle Sams Cider (5/13/2022)</v>
      </c>
      <c r="H4191" s="19"/>
    </row>
    <row r="4192">
      <c r="A4192" s="9"/>
      <c r="B4192" s="15"/>
      <c r="C4192" s="9">
        <f>IFERROR(__xludf.DUMMYFUNCTION("""COMPUTED_VALUE"""),44752.9221290393)</f>
        <v>44752.92213</v>
      </c>
      <c r="D4192" s="15">
        <f>IFERROR(__xludf.DUMMYFUNCTION("""COMPUTED_VALUE"""),1.004)</f>
        <v>1.004</v>
      </c>
      <c r="E4192" s="16">
        <f>IFERROR(__xludf.DUMMYFUNCTION("""COMPUTED_VALUE"""),70.0)</f>
        <v>70</v>
      </c>
      <c r="F4192" s="19" t="str">
        <f>IFERROR(__xludf.DUMMYFUNCTION("""COMPUTED_VALUE"""),"BLACK")</f>
        <v>BLACK</v>
      </c>
      <c r="G4192" s="20" t="str">
        <f>IFERROR(__xludf.DUMMYFUNCTION("""COMPUTED_VALUE"""),"Uncle Sams Cider (5/13/2022)")</f>
        <v>Uncle Sams Cider (5/13/2022)</v>
      </c>
      <c r="H4192" s="19"/>
    </row>
    <row r="4193">
      <c r="A4193" s="9"/>
      <c r="B4193" s="15"/>
      <c r="C4193" s="9">
        <f>IFERROR(__xludf.DUMMYFUNCTION("""COMPUTED_VALUE"""),44752.9117084374)</f>
        <v>44752.91171</v>
      </c>
      <c r="D4193" s="15">
        <f>IFERROR(__xludf.DUMMYFUNCTION("""COMPUTED_VALUE"""),1.004)</f>
        <v>1.004</v>
      </c>
      <c r="E4193" s="16">
        <f>IFERROR(__xludf.DUMMYFUNCTION("""COMPUTED_VALUE"""),70.0)</f>
        <v>70</v>
      </c>
      <c r="F4193" s="19" t="str">
        <f>IFERROR(__xludf.DUMMYFUNCTION("""COMPUTED_VALUE"""),"BLACK")</f>
        <v>BLACK</v>
      </c>
      <c r="G4193" s="20" t="str">
        <f>IFERROR(__xludf.DUMMYFUNCTION("""COMPUTED_VALUE"""),"Uncle Sams Cider (5/13/2022)")</f>
        <v>Uncle Sams Cider (5/13/2022)</v>
      </c>
      <c r="H4193" s="19"/>
    </row>
    <row r="4194">
      <c r="A4194" s="9"/>
      <c r="B4194" s="15"/>
      <c r="C4194" s="9">
        <f>IFERROR(__xludf.DUMMYFUNCTION("""COMPUTED_VALUE"""),44752.9012875578)</f>
        <v>44752.90129</v>
      </c>
      <c r="D4194" s="15">
        <f>IFERROR(__xludf.DUMMYFUNCTION("""COMPUTED_VALUE"""),1.004)</f>
        <v>1.004</v>
      </c>
      <c r="E4194" s="16">
        <f>IFERROR(__xludf.DUMMYFUNCTION("""COMPUTED_VALUE"""),70.0)</f>
        <v>70</v>
      </c>
      <c r="F4194" s="19" t="str">
        <f>IFERROR(__xludf.DUMMYFUNCTION("""COMPUTED_VALUE"""),"BLACK")</f>
        <v>BLACK</v>
      </c>
      <c r="G4194" s="20" t="str">
        <f>IFERROR(__xludf.DUMMYFUNCTION("""COMPUTED_VALUE"""),"Uncle Sams Cider (5/13/2022)")</f>
        <v>Uncle Sams Cider (5/13/2022)</v>
      </c>
      <c r="H4194" s="19"/>
    </row>
    <row r="4195">
      <c r="A4195" s="9"/>
      <c r="B4195" s="15"/>
      <c r="C4195" s="9">
        <f>IFERROR(__xludf.DUMMYFUNCTION("""COMPUTED_VALUE"""),44752.8908653472)</f>
        <v>44752.89087</v>
      </c>
      <c r="D4195" s="15">
        <f>IFERROR(__xludf.DUMMYFUNCTION("""COMPUTED_VALUE"""),1.004)</f>
        <v>1.004</v>
      </c>
      <c r="E4195" s="16">
        <f>IFERROR(__xludf.DUMMYFUNCTION("""COMPUTED_VALUE"""),70.0)</f>
        <v>70</v>
      </c>
      <c r="F4195" s="19" t="str">
        <f>IFERROR(__xludf.DUMMYFUNCTION("""COMPUTED_VALUE"""),"BLACK")</f>
        <v>BLACK</v>
      </c>
      <c r="G4195" s="20" t="str">
        <f>IFERROR(__xludf.DUMMYFUNCTION("""COMPUTED_VALUE"""),"Uncle Sams Cider (5/13/2022)")</f>
        <v>Uncle Sams Cider (5/13/2022)</v>
      </c>
      <c r="H4195" s="19"/>
    </row>
    <row r="4196">
      <c r="A4196" s="9"/>
      <c r="B4196" s="15"/>
      <c r="C4196" s="9">
        <f>IFERROR(__xludf.DUMMYFUNCTION("""COMPUTED_VALUE"""),44752.8804420717)</f>
        <v>44752.88044</v>
      </c>
      <c r="D4196" s="15">
        <f>IFERROR(__xludf.DUMMYFUNCTION("""COMPUTED_VALUE"""),1.004)</f>
        <v>1.004</v>
      </c>
      <c r="E4196" s="16">
        <f>IFERROR(__xludf.DUMMYFUNCTION("""COMPUTED_VALUE"""),70.0)</f>
        <v>70</v>
      </c>
      <c r="F4196" s="19" t="str">
        <f>IFERROR(__xludf.DUMMYFUNCTION("""COMPUTED_VALUE"""),"BLACK")</f>
        <v>BLACK</v>
      </c>
      <c r="G4196" s="20" t="str">
        <f>IFERROR(__xludf.DUMMYFUNCTION("""COMPUTED_VALUE"""),"Uncle Sams Cider (5/13/2022)")</f>
        <v>Uncle Sams Cider (5/13/2022)</v>
      </c>
      <c r="H4196" s="19"/>
    </row>
    <row r="4197">
      <c r="A4197" s="9"/>
      <c r="B4197" s="15"/>
      <c r="C4197" s="9">
        <f>IFERROR(__xludf.DUMMYFUNCTION("""COMPUTED_VALUE"""),44752.870020081)</f>
        <v>44752.87002</v>
      </c>
      <c r="D4197" s="15">
        <f>IFERROR(__xludf.DUMMYFUNCTION("""COMPUTED_VALUE"""),1.004)</f>
        <v>1.004</v>
      </c>
      <c r="E4197" s="16">
        <f>IFERROR(__xludf.DUMMYFUNCTION("""COMPUTED_VALUE"""),70.0)</f>
        <v>70</v>
      </c>
      <c r="F4197" s="19" t="str">
        <f>IFERROR(__xludf.DUMMYFUNCTION("""COMPUTED_VALUE"""),"BLACK")</f>
        <v>BLACK</v>
      </c>
      <c r="G4197" s="20" t="str">
        <f>IFERROR(__xludf.DUMMYFUNCTION("""COMPUTED_VALUE"""),"Uncle Sams Cider (5/13/2022)")</f>
        <v>Uncle Sams Cider (5/13/2022)</v>
      </c>
      <c r="H4197" s="19"/>
    </row>
    <row r="4198">
      <c r="A4198" s="9"/>
      <c r="B4198" s="15"/>
      <c r="C4198" s="9">
        <f>IFERROR(__xludf.DUMMYFUNCTION("""COMPUTED_VALUE"""),44752.8595977199)</f>
        <v>44752.8596</v>
      </c>
      <c r="D4198" s="15">
        <f>IFERROR(__xludf.DUMMYFUNCTION("""COMPUTED_VALUE"""),1.004)</f>
        <v>1.004</v>
      </c>
      <c r="E4198" s="16">
        <f>IFERROR(__xludf.DUMMYFUNCTION("""COMPUTED_VALUE"""),70.0)</f>
        <v>70</v>
      </c>
      <c r="F4198" s="19" t="str">
        <f>IFERROR(__xludf.DUMMYFUNCTION("""COMPUTED_VALUE"""),"BLACK")</f>
        <v>BLACK</v>
      </c>
      <c r="G4198" s="20" t="str">
        <f>IFERROR(__xludf.DUMMYFUNCTION("""COMPUTED_VALUE"""),"Uncle Sams Cider (5/13/2022)")</f>
        <v>Uncle Sams Cider (5/13/2022)</v>
      </c>
      <c r="H4198" s="19"/>
    </row>
    <row r="4199">
      <c r="A4199" s="9"/>
      <c r="B4199" s="15"/>
      <c r="C4199" s="9">
        <f>IFERROR(__xludf.DUMMYFUNCTION("""COMPUTED_VALUE"""),44752.8491751967)</f>
        <v>44752.84918</v>
      </c>
      <c r="D4199" s="15">
        <f>IFERROR(__xludf.DUMMYFUNCTION("""COMPUTED_VALUE"""),1.004)</f>
        <v>1.004</v>
      </c>
      <c r="E4199" s="16">
        <f>IFERROR(__xludf.DUMMYFUNCTION("""COMPUTED_VALUE"""),70.0)</f>
        <v>70</v>
      </c>
      <c r="F4199" s="19" t="str">
        <f>IFERROR(__xludf.DUMMYFUNCTION("""COMPUTED_VALUE"""),"BLACK")</f>
        <v>BLACK</v>
      </c>
      <c r="G4199" s="20" t="str">
        <f>IFERROR(__xludf.DUMMYFUNCTION("""COMPUTED_VALUE"""),"Uncle Sams Cider (5/13/2022)")</f>
        <v>Uncle Sams Cider (5/13/2022)</v>
      </c>
      <c r="H4199" s="19"/>
    </row>
    <row r="4200">
      <c r="A4200" s="9"/>
      <c r="B4200" s="15"/>
      <c r="C4200" s="9">
        <f>IFERROR(__xludf.DUMMYFUNCTION("""COMPUTED_VALUE"""),44752.8387555439)</f>
        <v>44752.83876</v>
      </c>
      <c r="D4200" s="15">
        <f>IFERROR(__xludf.DUMMYFUNCTION("""COMPUTED_VALUE"""),1.004)</f>
        <v>1.004</v>
      </c>
      <c r="E4200" s="16">
        <f>IFERROR(__xludf.DUMMYFUNCTION("""COMPUTED_VALUE"""),70.0)</f>
        <v>70</v>
      </c>
      <c r="F4200" s="19" t="str">
        <f>IFERROR(__xludf.DUMMYFUNCTION("""COMPUTED_VALUE"""),"BLACK")</f>
        <v>BLACK</v>
      </c>
      <c r="G4200" s="20" t="str">
        <f>IFERROR(__xludf.DUMMYFUNCTION("""COMPUTED_VALUE"""),"Uncle Sams Cider (5/13/2022)")</f>
        <v>Uncle Sams Cider (5/13/2022)</v>
      </c>
      <c r="H4200" s="19"/>
    </row>
    <row r="4201">
      <c r="A4201" s="9"/>
      <c r="B4201" s="15"/>
      <c r="C4201" s="9">
        <f>IFERROR(__xludf.DUMMYFUNCTION("""COMPUTED_VALUE"""),44752.8283348842)</f>
        <v>44752.82833</v>
      </c>
      <c r="D4201" s="15">
        <f>IFERROR(__xludf.DUMMYFUNCTION("""COMPUTED_VALUE"""),1.004)</f>
        <v>1.004</v>
      </c>
      <c r="E4201" s="16">
        <f>IFERROR(__xludf.DUMMYFUNCTION("""COMPUTED_VALUE"""),70.0)</f>
        <v>70</v>
      </c>
      <c r="F4201" s="19" t="str">
        <f>IFERROR(__xludf.DUMMYFUNCTION("""COMPUTED_VALUE"""),"BLACK")</f>
        <v>BLACK</v>
      </c>
      <c r="G4201" s="20" t="str">
        <f>IFERROR(__xludf.DUMMYFUNCTION("""COMPUTED_VALUE"""),"Uncle Sams Cider (5/13/2022)")</f>
        <v>Uncle Sams Cider (5/13/2022)</v>
      </c>
      <c r="H4201" s="19"/>
    </row>
    <row r="4202">
      <c r="A4202" s="9"/>
      <c r="B4202" s="15"/>
      <c r="C4202" s="9">
        <f>IFERROR(__xludf.DUMMYFUNCTION("""COMPUTED_VALUE"""),44752.8179133564)</f>
        <v>44752.81791</v>
      </c>
      <c r="D4202" s="15">
        <f>IFERROR(__xludf.DUMMYFUNCTION("""COMPUTED_VALUE"""),1.004)</f>
        <v>1.004</v>
      </c>
      <c r="E4202" s="16">
        <f>IFERROR(__xludf.DUMMYFUNCTION("""COMPUTED_VALUE"""),70.0)</f>
        <v>70</v>
      </c>
      <c r="F4202" s="19" t="str">
        <f>IFERROR(__xludf.DUMMYFUNCTION("""COMPUTED_VALUE"""),"BLACK")</f>
        <v>BLACK</v>
      </c>
      <c r="G4202" s="20" t="str">
        <f>IFERROR(__xludf.DUMMYFUNCTION("""COMPUTED_VALUE"""),"Uncle Sams Cider (5/13/2022)")</f>
        <v>Uncle Sams Cider (5/13/2022)</v>
      </c>
      <c r="H4202" s="19"/>
    </row>
    <row r="4203">
      <c r="A4203" s="9"/>
      <c r="B4203" s="15"/>
      <c r="C4203" s="9">
        <f>IFERROR(__xludf.DUMMYFUNCTION("""COMPUTED_VALUE"""),44752.8074909837)</f>
        <v>44752.80749</v>
      </c>
      <c r="D4203" s="15">
        <f>IFERROR(__xludf.DUMMYFUNCTION("""COMPUTED_VALUE"""),1.004)</f>
        <v>1.004</v>
      </c>
      <c r="E4203" s="16">
        <f>IFERROR(__xludf.DUMMYFUNCTION("""COMPUTED_VALUE"""),70.0)</f>
        <v>70</v>
      </c>
      <c r="F4203" s="19" t="str">
        <f>IFERROR(__xludf.DUMMYFUNCTION("""COMPUTED_VALUE"""),"BLACK")</f>
        <v>BLACK</v>
      </c>
      <c r="G4203" s="20" t="str">
        <f>IFERROR(__xludf.DUMMYFUNCTION("""COMPUTED_VALUE"""),"Uncle Sams Cider (5/13/2022)")</f>
        <v>Uncle Sams Cider (5/13/2022)</v>
      </c>
      <c r="H4203" s="19"/>
    </row>
    <row r="4204">
      <c r="A4204" s="9"/>
      <c r="B4204" s="15"/>
      <c r="C4204" s="9">
        <f>IFERROR(__xludf.DUMMYFUNCTION("""COMPUTED_VALUE"""),44752.7970702199)</f>
        <v>44752.79707</v>
      </c>
      <c r="D4204" s="15">
        <f>IFERROR(__xludf.DUMMYFUNCTION("""COMPUTED_VALUE"""),1.004)</f>
        <v>1.004</v>
      </c>
      <c r="E4204" s="16">
        <f>IFERROR(__xludf.DUMMYFUNCTION("""COMPUTED_VALUE"""),70.0)</f>
        <v>70</v>
      </c>
      <c r="F4204" s="19" t="str">
        <f>IFERROR(__xludf.DUMMYFUNCTION("""COMPUTED_VALUE"""),"BLACK")</f>
        <v>BLACK</v>
      </c>
      <c r="G4204" s="20" t="str">
        <f>IFERROR(__xludf.DUMMYFUNCTION("""COMPUTED_VALUE"""),"Uncle Sams Cider (5/13/2022)")</f>
        <v>Uncle Sams Cider (5/13/2022)</v>
      </c>
      <c r="H4204" s="19"/>
    </row>
    <row r="4205">
      <c r="A4205" s="9"/>
      <c r="B4205" s="15"/>
      <c r="C4205" s="9">
        <f>IFERROR(__xludf.DUMMYFUNCTION("""COMPUTED_VALUE"""),44752.7866504629)</f>
        <v>44752.78665</v>
      </c>
      <c r="D4205" s="15">
        <f>IFERROR(__xludf.DUMMYFUNCTION("""COMPUTED_VALUE"""),1.004)</f>
        <v>1.004</v>
      </c>
      <c r="E4205" s="16">
        <f>IFERROR(__xludf.DUMMYFUNCTION("""COMPUTED_VALUE"""),70.0)</f>
        <v>70</v>
      </c>
      <c r="F4205" s="19" t="str">
        <f>IFERROR(__xludf.DUMMYFUNCTION("""COMPUTED_VALUE"""),"BLACK")</f>
        <v>BLACK</v>
      </c>
      <c r="G4205" s="20" t="str">
        <f>IFERROR(__xludf.DUMMYFUNCTION("""COMPUTED_VALUE"""),"Uncle Sams Cider (5/13/2022)")</f>
        <v>Uncle Sams Cider (5/13/2022)</v>
      </c>
      <c r="H4205" s="19"/>
    </row>
    <row r="4206">
      <c r="A4206" s="9"/>
      <c r="B4206" s="15"/>
      <c r="C4206" s="9">
        <f>IFERROR(__xludf.DUMMYFUNCTION("""COMPUTED_VALUE"""),44752.776228993)</f>
        <v>44752.77623</v>
      </c>
      <c r="D4206" s="15">
        <f>IFERROR(__xludf.DUMMYFUNCTION("""COMPUTED_VALUE"""),1.004)</f>
        <v>1.004</v>
      </c>
      <c r="E4206" s="16">
        <f>IFERROR(__xludf.DUMMYFUNCTION("""COMPUTED_VALUE"""),70.0)</f>
        <v>70</v>
      </c>
      <c r="F4206" s="19" t="str">
        <f>IFERROR(__xludf.DUMMYFUNCTION("""COMPUTED_VALUE"""),"BLACK")</f>
        <v>BLACK</v>
      </c>
      <c r="G4206" s="20" t="str">
        <f>IFERROR(__xludf.DUMMYFUNCTION("""COMPUTED_VALUE"""),"Uncle Sams Cider (5/13/2022)")</f>
        <v>Uncle Sams Cider (5/13/2022)</v>
      </c>
      <c r="H4206" s="19"/>
    </row>
    <row r="4207">
      <c r="A4207" s="9"/>
      <c r="B4207" s="15"/>
      <c r="C4207" s="9">
        <f>IFERROR(__xludf.DUMMYFUNCTION("""COMPUTED_VALUE"""),44752.7658080439)</f>
        <v>44752.76581</v>
      </c>
      <c r="D4207" s="15">
        <f>IFERROR(__xludf.DUMMYFUNCTION("""COMPUTED_VALUE"""),1.004)</f>
        <v>1.004</v>
      </c>
      <c r="E4207" s="16">
        <f>IFERROR(__xludf.DUMMYFUNCTION("""COMPUTED_VALUE"""),70.0)</f>
        <v>70</v>
      </c>
      <c r="F4207" s="19" t="str">
        <f>IFERROR(__xludf.DUMMYFUNCTION("""COMPUTED_VALUE"""),"BLACK")</f>
        <v>BLACK</v>
      </c>
      <c r="G4207" s="20" t="str">
        <f>IFERROR(__xludf.DUMMYFUNCTION("""COMPUTED_VALUE"""),"Uncle Sams Cider (5/13/2022)")</f>
        <v>Uncle Sams Cider (5/13/2022)</v>
      </c>
      <c r="H4207" s="19"/>
    </row>
    <row r="4208">
      <c r="A4208" s="9"/>
      <c r="B4208" s="15"/>
      <c r="C4208" s="9">
        <f>IFERROR(__xludf.DUMMYFUNCTION("""COMPUTED_VALUE"""),44752.7553873263)</f>
        <v>44752.75539</v>
      </c>
      <c r="D4208" s="15">
        <f>IFERROR(__xludf.DUMMYFUNCTION("""COMPUTED_VALUE"""),1.004)</f>
        <v>1.004</v>
      </c>
      <c r="E4208" s="16">
        <f>IFERROR(__xludf.DUMMYFUNCTION("""COMPUTED_VALUE"""),70.0)</f>
        <v>70</v>
      </c>
      <c r="F4208" s="19" t="str">
        <f>IFERROR(__xludf.DUMMYFUNCTION("""COMPUTED_VALUE"""),"BLACK")</f>
        <v>BLACK</v>
      </c>
      <c r="G4208" s="20" t="str">
        <f>IFERROR(__xludf.DUMMYFUNCTION("""COMPUTED_VALUE"""),"Uncle Sams Cider (5/13/2022)")</f>
        <v>Uncle Sams Cider (5/13/2022)</v>
      </c>
      <c r="H4208" s="19"/>
    </row>
    <row r="4209">
      <c r="A4209" s="9"/>
      <c r="B4209" s="15"/>
      <c r="C4209" s="9">
        <f>IFERROR(__xludf.DUMMYFUNCTION("""COMPUTED_VALUE"""),44752.744942743)</f>
        <v>44752.74494</v>
      </c>
      <c r="D4209" s="15">
        <f>IFERROR(__xludf.DUMMYFUNCTION("""COMPUTED_VALUE"""),1.004)</f>
        <v>1.004</v>
      </c>
      <c r="E4209" s="16">
        <f>IFERROR(__xludf.DUMMYFUNCTION("""COMPUTED_VALUE"""),70.0)</f>
        <v>70</v>
      </c>
      <c r="F4209" s="19" t="str">
        <f>IFERROR(__xludf.DUMMYFUNCTION("""COMPUTED_VALUE"""),"BLACK")</f>
        <v>BLACK</v>
      </c>
      <c r="G4209" s="20" t="str">
        <f>IFERROR(__xludf.DUMMYFUNCTION("""COMPUTED_VALUE"""),"Uncle Sams Cider (5/13/2022)")</f>
        <v>Uncle Sams Cider (5/13/2022)</v>
      </c>
      <c r="H4209" s="19"/>
    </row>
    <row r="4210">
      <c r="A4210" s="9"/>
      <c r="B4210" s="15"/>
      <c r="C4210" s="9">
        <f>IFERROR(__xludf.DUMMYFUNCTION("""COMPUTED_VALUE"""),44752.7345212268)</f>
        <v>44752.73452</v>
      </c>
      <c r="D4210" s="15">
        <f>IFERROR(__xludf.DUMMYFUNCTION("""COMPUTED_VALUE"""),1.004)</f>
        <v>1.004</v>
      </c>
      <c r="E4210" s="16">
        <f>IFERROR(__xludf.DUMMYFUNCTION("""COMPUTED_VALUE"""),70.0)</f>
        <v>70</v>
      </c>
      <c r="F4210" s="19" t="str">
        <f>IFERROR(__xludf.DUMMYFUNCTION("""COMPUTED_VALUE"""),"BLACK")</f>
        <v>BLACK</v>
      </c>
      <c r="G4210" s="20" t="str">
        <f>IFERROR(__xludf.DUMMYFUNCTION("""COMPUTED_VALUE"""),"Uncle Sams Cider (5/13/2022)")</f>
        <v>Uncle Sams Cider (5/13/2022)</v>
      </c>
      <c r="H4210" s="19"/>
    </row>
    <row r="4211">
      <c r="A4211" s="9"/>
      <c r="B4211" s="15"/>
      <c r="C4211" s="9">
        <f>IFERROR(__xludf.DUMMYFUNCTION("""COMPUTED_VALUE"""),44752.72409978)</f>
        <v>44752.7241</v>
      </c>
      <c r="D4211" s="15">
        <f>IFERROR(__xludf.DUMMYFUNCTION("""COMPUTED_VALUE"""),1.004)</f>
        <v>1.004</v>
      </c>
      <c r="E4211" s="16">
        <f>IFERROR(__xludf.DUMMYFUNCTION("""COMPUTED_VALUE"""),70.0)</f>
        <v>70</v>
      </c>
      <c r="F4211" s="19" t="str">
        <f>IFERROR(__xludf.DUMMYFUNCTION("""COMPUTED_VALUE"""),"BLACK")</f>
        <v>BLACK</v>
      </c>
      <c r="G4211" s="20" t="str">
        <f>IFERROR(__xludf.DUMMYFUNCTION("""COMPUTED_VALUE"""),"Uncle Sams Cider (5/13/2022)")</f>
        <v>Uncle Sams Cider (5/13/2022)</v>
      </c>
      <c r="H4211" s="19"/>
    </row>
    <row r="4212">
      <c r="A4212" s="9"/>
      <c r="B4212" s="15"/>
      <c r="C4212" s="9">
        <f>IFERROR(__xludf.DUMMYFUNCTION("""COMPUTED_VALUE"""),44752.7136558449)</f>
        <v>44752.71366</v>
      </c>
      <c r="D4212" s="15">
        <f>IFERROR(__xludf.DUMMYFUNCTION("""COMPUTED_VALUE"""),1.004)</f>
        <v>1.004</v>
      </c>
      <c r="E4212" s="16">
        <f>IFERROR(__xludf.DUMMYFUNCTION("""COMPUTED_VALUE"""),70.0)</f>
        <v>70</v>
      </c>
      <c r="F4212" s="19" t="str">
        <f>IFERROR(__xludf.DUMMYFUNCTION("""COMPUTED_VALUE"""),"BLACK")</f>
        <v>BLACK</v>
      </c>
      <c r="G4212" s="20" t="str">
        <f>IFERROR(__xludf.DUMMYFUNCTION("""COMPUTED_VALUE"""),"Uncle Sams Cider (5/13/2022)")</f>
        <v>Uncle Sams Cider (5/13/2022)</v>
      </c>
      <c r="H4212" s="19"/>
    </row>
    <row r="4213">
      <c r="A4213" s="9"/>
      <c r="B4213" s="15"/>
      <c r="C4213" s="9">
        <f>IFERROR(__xludf.DUMMYFUNCTION("""COMPUTED_VALUE"""),44752.7032364004)</f>
        <v>44752.70324</v>
      </c>
      <c r="D4213" s="15">
        <f>IFERROR(__xludf.DUMMYFUNCTION("""COMPUTED_VALUE"""),1.004)</f>
        <v>1.004</v>
      </c>
      <c r="E4213" s="16">
        <f>IFERROR(__xludf.DUMMYFUNCTION("""COMPUTED_VALUE"""),70.0)</f>
        <v>70</v>
      </c>
      <c r="F4213" s="19" t="str">
        <f>IFERROR(__xludf.DUMMYFUNCTION("""COMPUTED_VALUE"""),"BLACK")</f>
        <v>BLACK</v>
      </c>
      <c r="G4213" s="20" t="str">
        <f>IFERROR(__xludf.DUMMYFUNCTION("""COMPUTED_VALUE"""),"Uncle Sams Cider (5/13/2022)")</f>
        <v>Uncle Sams Cider (5/13/2022)</v>
      </c>
      <c r="H4213" s="19"/>
    </row>
    <row r="4214">
      <c r="A4214" s="9"/>
      <c r="B4214" s="15"/>
      <c r="C4214" s="9">
        <f>IFERROR(__xludf.DUMMYFUNCTION("""COMPUTED_VALUE"""),44752.6928145254)</f>
        <v>44752.69281</v>
      </c>
      <c r="D4214" s="15">
        <f>IFERROR(__xludf.DUMMYFUNCTION("""COMPUTED_VALUE"""),1.004)</f>
        <v>1.004</v>
      </c>
      <c r="E4214" s="16">
        <f>IFERROR(__xludf.DUMMYFUNCTION("""COMPUTED_VALUE"""),70.0)</f>
        <v>70</v>
      </c>
      <c r="F4214" s="19" t="str">
        <f>IFERROR(__xludf.DUMMYFUNCTION("""COMPUTED_VALUE"""),"BLACK")</f>
        <v>BLACK</v>
      </c>
      <c r="G4214" s="20" t="str">
        <f>IFERROR(__xludf.DUMMYFUNCTION("""COMPUTED_VALUE"""),"Uncle Sams Cider (5/13/2022)")</f>
        <v>Uncle Sams Cider (5/13/2022)</v>
      </c>
      <c r="H4214" s="19"/>
    </row>
    <row r="4215">
      <c r="A4215" s="9"/>
      <c r="B4215" s="15"/>
      <c r="C4215" s="9">
        <f>IFERROR(__xludf.DUMMYFUNCTION("""COMPUTED_VALUE"""),44752.682392199)</f>
        <v>44752.68239</v>
      </c>
      <c r="D4215" s="15">
        <f>IFERROR(__xludf.DUMMYFUNCTION("""COMPUTED_VALUE"""),1.004)</f>
        <v>1.004</v>
      </c>
      <c r="E4215" s="16">
        <f>IFERROR(__xludf.DUMMYFUNCTION("""COMPUTED_VALUE"""),70.0)</f>
        <v>70</v>
      </c>
      <c r="F4215" s="19" t="str">
        <f>IFERROR(__xludf.DUMMYFUNCTION("""COMPUTED_VALUE"""),"BLACK")</f>
        <v>BLACK</v>
      </c>
      <c r="G4215" s="20" t="str">
        <f>IFERROR(__xludf.DUMMYFUNCTION("""COMPUTED_VALUE"""),"Uncle Sams Cider (5/13/2022)")</f>
        <v>Uncle Sams Cider (5/13/2022)</v>
      </c>
      <c r="H4215" s="19"/>
    </row>
    <row r="4216">
      <c r="A4216" s="9"/>
      <c r="B4216" s="15"/>
      <c r="C4216" s="9">
        <f>IFERROR(__xludf.DUMMYFUNCTION("""COMPUTED_VALUE"""),44752.6719711342)</f>
        <v>44752.67197</v>
      </c>
      <c r="D4216" s="15">
        <f>IFERROR(__xludf.DUMMYFUNCTION("""COMPUTED_VALUE"""),1.004)</f>
        <v>1.004</v>
      </c>
      <c r="E4216" s="16">
        <f>IFERROR(__xludf.DUMMYFUNCTION("""COMPUTED_VALUE"""),70.0)</f>
        <v>70</v>
      </c>
      <c r="F4216" s="19" t="str">
        <f>IFERROR(__xludf.DUMMYFUNCTION("""COMPUTED_VALUE"""),"BLACK")</f>
        <v>BLACK</v>
      </c>
      <c r="G4216" s="20" t="str">
        <f>IFERROR(__xludf.DUMMYFUNCTION("""COMPUTED_VALUE"""),"Uncle Sams Cider (5/13/2022)")</f>
        <v>Uncle Sams Cider (5/13/2022)</v>
      </c>
      <c r="H4216" s="19"/>
    </row>
    <row r="4217">
      <c r="A4217" s="9"/>
      <c r="B4217" s="15"/>
      <c r="C4217" s="9">
        <f>IFERROR(__xludf.DUMMYFUNCTION("""COMPUTED_VALUE"""),44752.6615478935)</f>
        <v>44752.66155</v>
      </c>
      <c r="D4217" s="15">
        <f>IFERROR(__xludf.DUMMYFUNCTION("""COMPUTED_VALUE"""),1.004)</f>
        <v>1.004</v>
      </c>
      <c r="E4217" s="16">
        <f>IFERROR(__xludf.DUMMYFUNCTION("""COMPUTED_VALUE"""),70.0)</f>
        <v>70</v>
      </c>
      <c r="F4217" s="19" t="str">
        <f>IFERROR(__xludf.DUMMYFUNCTION("""COMPUTED_VALUE"""),"BLACK")</f>
        <v>BLACK</v>
      </c>
      <c r="G4217" s="20" t="str">
        <f>IFERROR(__xludf.DUMMYFUNCTION("""COMPUTED_VALUE"""),"Uncle Sams Cider (5/13/2022)")</f>
        <v>Uncle Sams Cider (5/13/2022)</v>
      </c>
      <c r="H4217" s="19"/>
    </row>
    <row r="4218">
      <c r="A4218" s="9"/>
      <c r="B4218" s="15"/>
      <c r="C4218" s="9">
        <f>IFERROR(__xludf.DUMMYFUNCTION("""COMPUTED_VALUE"""),44752.6511264004)</f>
        <v>44752.65113</v>
      </c>
      <c r="D4218" s="15">
        <f>IFERROR(__xludf.DUMMYFUNCTION("""COMPUTED_VALUE"""),1.004)</f>
        <v>1.004</v>
      </c>
      <c r="E4218" s="16">
        <f>IFERROR(__xludf.DUMMYFUNCTION("""COMPUTED_VALUE"""),70.0)</f>
        <v>70</v>
      </c>
      <c r="F4218" s="19" t="str">
        <f>IFERROR(__xludf.DUMMYFUNCTION("""COMPUTED_VALUE"""),"BLACK")</f>
        <v>BLACK</v>
      </c>
      <c r="G4218" s="20" t="str">
        <f>IFERROR(__xludf.DUMMYFUNCTION("""COMPUTED_VALUE"""),"Uncle Sams Cider (5/13/2022)")</f>
        <v>Uncle Sams Cider (5/13/2022)</v>
      </c>
      <c r="H4218" s="19"/>
    </row>
    <row r="4219">
      <c r="A4219" s="9"/>
      <c r="B4219" s="15"/>
      <c r="C4219" s="9">
        <f>IFERROR(__xludf.DUMMYFUNCTION("""COMPUTED_VALUE"""),44752.6407057291)</f>
        <v>44752.64071</v>
      </c>
      <c r="D4219" s="15">
        <f>IFERROR(__xludf.DUMMYFUNCTION("""COMPUTED_VALUE"""),1.004)</f>
        <v>1.004</v>
      </c>
      <c r="E4219" s="16">
        <f>IFERROR(__xludf.DUMMYFUNCTION("""COMPUTED_VALUE"""),70.0)</f>
        <v>70</v>
      </c>
      <c r="F4219" s="19" t="str">
        <f>IFERROR(__xludf.DUMMYFUNCTION("""COMPUTED_VALUE"""),"BLACK")</f>
        <v>BLACK</v>
      </c>
      <c r="G4219" s="20" t="str">
        <f>IFERROR(__xludf.DUMMYFUNCTION("""COMPUTED_VALUE"""),"Uncle Sams Cider (5/13/2022)")</f>
        <v>Uncle Sams Cider (5/13/2022)</v>
      </c>
      <c r="H4219" s="19"/>
    </row>
    <row r="4220">
      <c r="A4220" s="9"/>
      <c r="B4220" s="15"/>
      <c r="C4220" s="9">
        <f>IFERROR(__xludf.DUMMYFUNCTION("""COMPUTED_VALUE"""),44752.6302856944)</f>
        <v>44752.63029</v>
      </c>
      <c r="D4220" s="15">
        <f>IFERROR(__xludf.DUMMYFUNCTION("""COMPUTED_VALUE"""),1.004)</f>
        <v>1.004</v>
      </c>
      <c r="E4220" s="16">
        <f>IFERROR(__xludf.DUMMYFUNCTION("""COMPUTED_VALUE"""),70.0)</f>
        <v>70</v>
      </c>
      <c r="F4220" s="19" t="str">
        <f>IFERROR(__xludf.DUMMYFUNCTION("""COMPUTED_VALUE"""),"BLACK")</f>
        <v>BLACK</v>
      </c>
      <c r="G4220" s="20" t="str">
        <f>IFERROR(__xludf.DUMMYFUNCTION("""COMPUTED_VALUE"""),"Uncle Sams Cider (5/13/2022)")</f>
        <v>Uncle Sams Cider (5/13/2022)</v>
      </c>
      <c r="H4220" s="19"/>
    </row>
    <row r="4221">
      <c r="A4221" s="9"/>
      <c r="B4221" s="15"/>
      <c r="C4221" s="9">
        <f>IFERROR(__xludf.DUMMYFUNCTION("""COMPUTED_VALUE"""),44752.6198651967)</f>
        <v>44752.61987</v>
      </c>
      <c r="D4221" s="15">
        <f>IFERROR(__xludf.DUMMYFUNCTION("""COMPUTED_VALUE"""),1.004)</f>
        <v>1.004</v>
      </c>
      <c r="E4221" s="16">
        <f>IFERROR(__xludf.DUMMYFUNCTION("""COMPUTED_VALUE"""),70.0)</f>
        <v>70</v>
      </c>
      <c r="F4221" s="19" t="str">
        <f>IFERROR(__xludf.DUMMYFUNCTION("""COMPUTED_VALUE"""),"BLACK")</f>
        <v>BLACK</v>
      </c>
      <c r="G4221" s="20" t="str">
        <f>IFERROR(__xludf.DUMMYFUNCTION("""COMPUTED_VALUE"""),"Uncle Sams Cider (5/13/2022)")</f>
        <v>Uncle Sams Cider (5/13/2022)</v>
      </c>
      <c r="H4221" s="19"/>
    </row>
    <row r="4222">
      <c r="A4222" s="9"/>
      <c r="B4222" s="15"/>
      <c r="C4222" s="9">
        <f>IFERROR(__xludf.DUMMYFUNCTION("""COMPUTED_VALUE"""),44752.6094465625)</f>
        <v>44752.60945</v>
      </c>
      <c r="D4222" s="15">
        <f>IFERROR(__xludf.DUMMYFUNCTION("""COMPUTED_VALUE"""),1.004)</f>
        <v>1.004</v>
      </c>
      <c r="E4222" s="16">
        <f>IFERROR(__xludf.DUMMYFUNCTION("""COMPUTED_VALUE"""),70.0)</f>
        <v>70</v>
      </c>
      <c r="F4222" s="19" t="str">
        <f>IFERROR(__xludf.DUMMYFUNCTION("""COMPUTED_VALUE"""),"BLACK")</f>
        <v>BLACK</v>
      </c>
      <c r="G4222" s="20" t="str">
        <f>IFERROR(__xludf.DUMMYFUNCTION("""COMPUTED_VALUE"""),"Uncle Sams Cider (5/13/2022)")</f>
        <v>Uncle Sams Cider (5/13/2022)</v>
      </c>
      <c r="H4222" s="19"/>
    </row>
    <row r="4223">
      <c r="A4223" s="9"/>
      <c r="B4223" s="15"/>
      <c r="C4223" s="9">
        <f>IFERROR(__xludf.DUMMYFUNCTION("""COMPUTED_VALUE"""),44752.5990266898)</f>
        <v>44752.59903</v>
      </c>
      <c r="D4223" s="15">
        <f>IFERROR(__xludf.DUMMYFUNCTION("""COMPUTED_VALUE"""),1.004)</f>
        <v>1.004</v>
      </c>
      <c r="E4223" s="16">
        <f>IFERROR(__xludf.DUMMYFUNCTION("""COMPUTED_VALUE"""),70.0)</f>
        <v>70</v>
      </c>
      <c r="F4223" s="19" t="str">
        <f>IFERROR(__xludf.DUMMYFUNCTION("""COMPUTED_VALUE"""),"BLACK")</f>
        <v>BLACK</v>
      </c>
      <c r="G4223" s="20" t="str">
        <f>IFERROR(__xludf.DUMMYFUNCTION("""COMPUTED_VALUE"""),"Uncle Sams Cider (5/13/2022)")</f>
        <v>Uncle Sams Cider (5/13/2022)</v>
      </c>
      <c r="H4223" s="19"/>
    </row>
    <row r="4224">
      <c r="A4224" s="9"/>
      <c r="B4224" s="15"/>
      <c r="C4224" s="9">
        <f>IFERROR(__xludf.DUMMYFUNCTION("""COMPUTED_VALUE"""),44752.5886057523)</f>
        <v>44752.58861</v>
      </c>
      <c r="D4224" s="15">
        <f>IFERROR(__xludf.DUMMYFUNCTION("""COMPUTED_VALUE"""),1.004)</f>
        <v>1.004</v>
      </c>
      <c r="E4224" s="16">
        <f>IFERROR(__xludf.DUMMYFUNCTION("""COMPUTED_VALUE"""),70.0)</f>
        <v>70</v>
      </c>
      <c r="F4224" s="19" t="str">
        <f>IFERROR(__xludf.DUMMYFUNCTION("""COMPUTED_VALUE"""),"BLACK")</f>
        <v>BLACK</v>
      </c>
      <c r="G4224" s="20" t="str">
        <f>IFERROR(__xludf.DUMMYFUNCTION("""COMPUTED_VALUE"""),"Uncle Sams Cider (5/13/2022)")</f>
        <v>Uncle Sams Cider (5/13/2022)</v>
      </c>
      <c r="H4224" s="19"/>
    </row>
    <row r="4225">
      <c r="A4225" s="9"/>
      <c r="B4225" s="15"/>
      <c r="C4225" s="9">
        <f>IFERROR(__xludf.DUMMYFUNCTION("""COMPUTED_VALUE"""),44752.5781841319)</f>
        <v>44752.57818</v>
      </c>
      <c r="D4225" s="15">
        <f>IFERROR(__xludf.DUMMYFUNCTION("""COMPUTED_VALUE"""),1.004)</f>
        <v>1.004</v>
      </c>
      <c r="E4225" s="16">
        <f>IFERROR(__xludf.DUMMYFUNCTION("""COMPUTED_VALUE"""),70.0)</f>
        <v>70</v>
      </c>
      <c r="F4225" s="19" t="str">
        <f>IFERROR(__xludf.DUMMYFUNCTION("""COMPUTED_VALUE"""),"BLACK")</f>
        <v>BLACK</v>
      </c>
      <c r="G4225" s="20" t="str">
        <f>IFERROR(__xludf.DUMMYFUNCTION("""COMPUTED_VALUE"""),"Uncle Sams Cider (5/13/2022)")</f>
        <v>Uncle Sams Cider (5/13/2022)</v>
      </c>
      <c r="H4225" s="19"/>
    </row>
    <row r="4226">
      <c r="A4226" s="9"/>
      <c r="B4226" s="15"/>
      <c r="C4226" s="9">
        <f>IFERROR(__xludf.DUMMYFUNCTION("""COMPUTED_VALUE"""),44752.5677634375)</f>
        <v>44752.56776</v>
      </c>
      <c r="D4226" s="15">
        <f>IFERROR(__xludf.DUMMYFUNCTION("""COMPUTED_VALUE"""),1.004)</f>
        <v>1.004</v>
      </c>
      <c r="E4226" s="16">
        <f>IFERROR(__xludf.DUMMYFUNCTION("""COMPUTED_VALUE"""),69.0)</f>
        <v>69</v>
      </c>
      <c r="F4226" s="19" t="str">
        <f>IFERROR(__xludf.DUMMYFUNCTION("""COMPUTED_VALUE"""),"BLACK")</f>
        <v>BLACK</v>
      </c>
      <c r="G4226" s="20" t="str">
        <f>IFERROR(__xludf.DUMMYFUNCTION("""COMPUTED_VALUE"""),"Uncle Sams Cider (5/13/2022)")</f>
        <v>Uncle Sams Cider (5/13/2022)</v>
      </c>
      <c r="H4226" s="19"/>
    </row>
    <row r="4227">
      <c r="A4227" s="9"/>
      <c r="B4227" s="15"/>
      <c r="C4227" s="9">
        <f>IFERROR(__xludf.DUMMYFUNCTION("""COMPUTED_VALUE"""),44752.5573409722)</f>
        <v>44752.55734</v>
      </c>
      <c r="D4227" s="15">
        <f>IFERROR(__xludf.DUMMYFUNCTION("""COMPUTED_VALUE"""),1.004)</f>
        <v>1.004</v>
      </c>
      <c r="E4227" s="16">
        <f>IFERROR(__xludf.DUMMYFUNCTION("""COMPUTED_VALUE"""),70.0)</f>
        <v>70</v>
      </c>
      <c r="F4227" s="19" t="str">
        <f>IFERROR(__xludf.DUMMYFUNCTION("""COMPUTED_VALUE"""),"BLACK")</f>
        <v>BLACK</v>
      </c>
      <c r="G4227" s="20" t="str">
        <f>IFERROR(__xludf.DUMMYFUNCTION("""COMPUTED_VALUE"""),"Uncle Sams Cider (5/13/2022)")</f>
        <v>Uncle Sams Cider (5/13/2022)</v>
      </c>
      <c r="H4227" s="19"/>
    </row>
    <row r="4228">
      <c r="A4228" s="9"/>
      <c r="B4228" s="15"/>
      <c r="C4228" s="9">
        <f>IFERROR(__xludf.DUMMYFUNCTION("""COMPUTED_VALUE"""),44752.5469178935)</f>
        <v>44752.54692</v>
      </c>
      <c r="D4228" s="15">
        <f>IFERROR(__xludf.DUMMYFUNCTION("""COMPUTED_VALUE"""),1.004)</f>
        <v>1.004</v>
      </c>
      <c r="E4228" s="16">
        <f>IFERROR(__xludf.DUMMYFUNCTION("""COMPUTED_VALUE"""),70.0)</f>
        <v>70</v>
      </c>
      <c r="F4228" s="19" t="str">
        <f>IFERROR(__xludf.DUMMYFUNCTION("""COMPUTED_VALUE"""),"BLACK")</f>
        <v>BLACK</v>
      </c>
      <c r="G4228" s="20" t="str">
        <f>IFERROR(__xludf.DUMMYFUNCTION("""COMPUTED_VALUE"""),"Uncle Sams Cider (5/13/2022)")</f>
        <v>Uncle Sams Cider (5/13/2022)</v>
      </c>
      <c r="H4228" s="19"/>
    </row>
    <row r="4229">
      <c r="A4229" s="9"/>
      <c r="B4229" s="15"/>
      <c r="C4229" s="9">
        <f>IFERROR(__xludf.DUMMYFUNCTION("""COMPUTED_VALUE"""),44752.5364976967)</f>
        <v>44752.5365</v>
      </c>
      <c r="D4229" s="15">
        <f>IFERROR(__xludf.DUMMYFUNCTION("""COMPUTED_VALUE"""),1.004)</f>
        <v>1.004</v>
      </c>
      <c r="E4229" s="16">
        <f>IFERROR(__xludf.DUMMYFUNCTION("""COMPUTED_VALUE"""),70.0)</f>
        <v>70</v>
      </c>
      <c r="F4229" s="19" t="str">
        <f>IFERROR(__xludf.DUMMYFUNCTION("""COMPUTED_VALUE"""),"BLACK")</f>
        <v>BLACK</v>
      </c>
      <c r="G4229" s="20" t="str">
        <f>IFERROR(__xludf.DUMMYFUNCTION("""COMPUTED_VALUE"""),"Uncle Sams Cider (5/13/2022)")</f>
        <v>Uncle Sams Cider (5/13/2022)</v>
      </c>
      <c r="H4229" s="19"/>
    </row>
    <row r="4230">
      <c r="A4230" s="9"/>
      <c r="B4230" s="15"/>
      <c r="C4230" s="9">
        <f>IFERROR(__xludf.DUMMYFUNCTION("""COMPUTED_VALUE"""),44752.5260756944)</f>
        <v>44752.52608</v>
      </c>
      <c r="D4230" s="15">
        <f>IFERROR(__xludf.DUMMYFUNCTION("""COMPUTED_VALUE"""),1.004)</f>
        <v>1.004</v>
      </c>
      <c r="E4230" s="16">
        <f>IFERROR(__xludf.DUMMYFUNCTION("""COMPUTED_VALUE"""),69.0)</f>
        <v>69</v>
      </c>
      <c r="F4230" s="19" t="str">
        <f>IFERROR(__xludf.DUMMYFUNCTION("""COMPUTED_VALUE"""),"BLACK")</f>
        <v>BLACK</v>
      </c>
      <c r="G4230" s="20" t="str">
        <f>IFERROR(__xludf.DUMMYFUNCTION("""COMPUTED_VALUE"""),"Uncle Sams Cider (5/13/2022)")</f>
        <v>Uncle Sams Cider (5/13/2022)</v>
      </c>
      <c r="H4230" s="19"/>
    </row>
    <row r="4231">
      <c r="A4231" s="9"/>
      <c r="B4231" s="15"/>
      <c r="C4231" s="9">
        <f>IFERROR(__xludf.DUMMYFUNCTION("""COMPUTED_VALUE"""),44752.5156430092)</f>
        <v>44752.51564</v>
      </c>
      <c r="D4231" s="15">
        <f>IFERROR(__xludf.DUMMYFUNCTION("""COMPUTED_VALUE"""),1.004)</f>
        <v>1.004</v>
      </c>
      <c r="E4231" s="16">
        <f>IFERROR(__xludf.DUMMYFUNCTION("""COMPUTED_VALUE"""),69.0)</f>
        <v>69</v>
      </c>
      <c r="F4231" s="19" t="str">
        <f>IFERROR(__xludf.DUMMYFUNCTION("""COMPUTED_VALUE"""),"BLACK")</f>
        <v>BLACK</v>
      </c>
      <c r="G4231" s="20" t="str">
        <f>IFERROR(__xludf.DUMMYFUNCTION("""COMPUTED_VALUE"""),"Uncle Sams Cider (5/13/2022)")</f>
        <v>Uncle Sams Cider (5/13/2022)</v>
      </c>
      <c r="H4231" s="19"/>
    </row>
    <row r="4232">
      <c r="A4232" s="9"/>
      <c r="B4232" s="15"/>
      <c r="C4232" s="9">
        <f>IFERROR(__xludf.DUMMYFUNCTION("""COMPUTED_VALUE"""),44752.5052220138)</f>
        <v>44752.50522</v>
      </c>
      <c r="D4232" s="15">
        <f>IFERROR(__xludf.DUMMYFUNCTION("""COMPUTED_VALUE"""),1.004)</f>
        <v>1.004</v>
      </c>
      <c r="E4232" s="16">
        <f>IFERROR(__xludf.DUMMYFUNCTION("""COMPUTED_VALUE"""),70.0)</f>
        <v>70</v>
      </c>
      <c r="F4232" s="19" t="str">
        <f>IFERROR(__xludf.DUMMYFUNCTION("""COMPUTED_VALUE"""),"BLACK")</f>
        <v>BLACK</v>
      </c>
      <c r="G4232" s="20" t="str">
        <f>IFERROR(__xludf.DUMMYFUNCTION("""COMPUTED_VALUE"""),"Uncle Sams Cider (5/13/2022)")</f>
        <v>Uncle Sams Cider (5/13/2022)</v>
      </c>
      <c r="H4232" s="19"/>
    </row>
    <row r="4233">
      <c r="A4233" s="9"/>
      <c r="B4233" s="15"/>
      <c r="C4233" s="9">
        <f>IFERROR(__xludf.DUMMYFUNCTION("""COMPUTED_VALUE"""),44752.4947889699)</f>
        <v>44752.49479</v>
      </c>
      <c r="D4233" s="15">
        <f>IFERROR(__xludf.DUMMYFUNCTION("""COMPUTED_VALUE"""),1.004)</f>
        <v>1.004</v>
      </c>
      <c r="E4233" s="16">
        <f>IFERROR(__xludf.DUMMYFUNCTION("""COMPUTED_VALUE"""),69.0)</f>
        <v>69</v>
      </c>
      <c r="F4233" s="19" t="str">
        <f>IFERROR(__xludf.DUMMYFUNCTION("""COMPUTED_VALUE"""),"BLACK")</f>
        <v>BLACK</v>
      </c>
      <c r="G4233" s="20" t="str">
        <f>IFERROR(__xludf.DUMMYFUNCTION("""COMPUTED_VALUE"""),"Uncle Sams Cider (5/13/2022)")</f>
        <v>Uncle Sams Cider (5/13/2022)</v>
      </c>
      <c r="H4233" s="19"/>
    </row>
    <row r="4234">
      <c r="A4234" s="9"/>
      <c r="B4234" s="15"/>
      <c r="C4234" s="9">
        <f>IFERROR(__xludf.DUMMYFUNCTION("""COMPUTED_VALUE"""),44752.4843560185)</f>
        <v>44752.48436</v>
      </c>
      <c r="D4234" s="15">
        <f>IFERROR(__xludf.DUMMYFUNCTION("""COMPUTED_VALUE"""),1.004)</f>
        <v>1.004</v>
      </c>
      <c r="E4234" s="16">
        <f>IFERROR(__xludf.DUMMYFUNCTION("""COMPUTED_VALUE"""),69.0)</f>
        <v>69</v>
      </c>
      <c r="F4234" s="19" t="str">
        <f>IFERROR(__xludf.DUMMYFUNCTION("""COMPUTED_VALUE"""),"BLACK")</f>
        <v>BLACK</v>
      </c>
      <c r="G4234" s="20" t="str">
        <f>IFERROR(__xludf.DUMMYFUNCTION("""COMPUTED_VALUE"""),"Uncle Sams Cider (5/13/2022)")</f>
        <v>Uncle Sams Cider (5/13/2022)</v>
      </c>
      <c r="H4234" s="19"/>
    </row>
    <row r="4235">
      <c r="A4235" s="9"/>
      <c r="B4235" s="15"/>
      <c r="C4235" s="9">
        <f>IFERROR(__xludf.DUMMYFUNCTION("""COMPUTED_VALUE"""),44752.4739217708)</f>
        <v>44752.47392</v>
      </c>
      <c r="D4235" s="15">
        <f>IFERROR(__xludf.DUMMYFUNCTION("""COMPUTED_VALUE"""),1.004)</f>
        <v>1.004</v>
      </c>
      <c r="E4235" s="16">
        <f>IFERROR(__xludf.DUMMYFUNCTION("""COMPUTED_VALUE"""),69.0)</f>
        <v>69</v>
      </c>
      <c r="F4235" s="19" t="str">
        <f>IFERROR(__xludf.DUMMYFUNCTION("""COMPUTED_VALUE"""),"BLACK")</f>
        <v>BLACK</v>
      </c>
      <c r="G4235" s="20" t="str">
        <f>IFERROR(__xludf.DUMMYFUNCTION("""COMPUTED_VALUE"""),"Uncle Sams Cider (5/13/2022)")</f>
        <v>Uncle Sams Cider (5/13/2022)</v>
      </c>
      <c r="H4235" s="19"/>
    </row>
    <row r="4236">
      <c r="A4236" s="9"/>
      <c r="B4236" s="15"/>
      <c r="C4236" s="9">
        <f>IFERROR(__xludf.DUMMYFUNCTION("""COMPUTED_VALUE"""),44752.46349875)</f>
        <v>44752.4635</v>
      </c>
      <c r="D4236" s="15">
        <f>IFERROR(__xludf.DUMMYFUNCTION("""COMPUTED_VALUE"""),1.004)</f>
        <v>1.004</v>
      </c>
      <c r="E4236" s="16">
        <f>IFERROR(__xludf.DUMMYFUNCTION("""COMPUTED_VALUE"""),69.0)</f>
        <v>69</v>
      </c>
      <c r="F4236" s="19" t="str">
        <f>IFERROR(__xludf.DUMMYFUNCTION("""COMPUTED_VALUE"""),"BLACK")</f>
        <v>BLACK</v>
      </c>
      <c r="G4236" s="20" t="str">
        <f>IFERROR(__xludf.DUMMYFUNCTION("""COMPUTED_VALUE"""),"Uncle Sams Cider (5/13/2022)")</f>
        <v>Uncle Sams Cider (5/13/2022)</v>
      </c>
      <c r="H4236" s="19"/>
    </row>
    <row r="4237">
      <c r="A4237" s="9"/>
      <c r="B4237" s="15"/>
      <c r="C4237" s="9">
        <f>IFERROR(__xludf.DUMMYFUNCTION("""COMPUTED_VALUE"""),44752.4530772338)</f>
        <v>44752.45308</v>
      </c>
      <c r="D4237" s="15">
        <f>IFERROR(__xludf.DUMMYFUNCTION("""COMPUTED_VALUE"""),1.004)</f>
        <v>1.004</v>
      </c>
      <c r="E4237" s="16">
        <f>IFERROR(__xludf.DUMMYFUNCTION("""COMPUTED_VALUE"""),69.0)</f>
        <v>69</v>
      </c>
      <c r="F4237" s="19" t="str">
        <f>IFERROR(__xludf.DUMMYFUNCTION("""COMPUTED_VALUE"""),"BLACK")</f>
        <v>BLACK</v>
      </c>
      <c r="G4237" s="20" t="str">
        <f>IFERROR(__xludf.DUMMYFUNCTION("""COMPUTED_VALUE"""),"Uncle Sams Cider (5/13/2022)")</f>
        <v>Uncle Sams Cider (5/13/2022)</v>
      </c>
      <c r="H4237" s="19"/>
    </row>
    <row r="4238">
      <c r="A4238" s="9"/>
      <c r="B4238" s="15"/>
      <c r="C4238" s="9">
        <f>IFERROR(__xludf.DUMMYFUNCTION("""COMPUTED_VALUE"""),44752.442644537)</f>
        <v>44752.44264</v>
      </c>
      <c r="D4238" s="15">
        <f>IFERROR(__xludf.DUMMYFUNCTION("""COMPUTED_VALUE"""),1.004)</f>
        <v>1.004</v>
      </c>
      <c r="E4238" s="16">
        <f>IFERROR(__xludf.DUMMYFUNCTION("""COMPUTED_VALUE"""),69.0)</f>
        <v>69</v>
      </c>
      <c r="F4238" s="19" t="str">
        <f>IFERROR(__xludf.DUMMYFUNCTION("""COMPUTED_VALUE"""),"BLACK")</f>
        <v>BLACK</v>
      </c>
      <c r="G4238" s="20" t="str">
        <f>IFERROR(__xludf.DUMMYFUNCTION("""COMPUTED_VALUE"""),"Uncle Sams Cider (5/13/2022)")</f>
        <v>Uncle Sams Cider (5/13/2022)</v>
      </c>
      <c r="H4238" s="19"/>
    </row>
    <row r="4239">
      <c r="A4239" s="9"/>
      <c r="B4239" s="15"/>
      <c r="C4239" s="9">
        <f>IFERROR(__xludf.DUMMYFUNCTION("""COMPUTED_VALUE"""),44752.4322228935)</f>
        <v>44752.43222</v>
      </c>
      <c r="D4239" s="15">
        <f>IFERROR(__xludf.DUMMYFUNCTION("""COMPUTED_VALUE"""),1.004)</f>
        <v>1.004</v>
      </c>
      <c r="E4239" s="16">
        <f>IFERROR(__xludf.DUMMYFUNCTION("""COMPUTED_VALUE"""),69.0)</f>
        <v>69</v>
      </c>
      <c r="F4239" s="19" t="str">
        <f>IFERROR(__xludf.DUMMYFUNCTION("""COMPUTED_VALUE"""),"BLACK")</f>
        <v>BLACK</v>
      </c>
      <c r="G4239" s="20" t="str">
        <f>IFERROR(__xludf.DUMMYFUNCTION("""COMPUTED_VALUE"""),"Uncle Sams Cider (5/13/2022)")</f>
        <v>Uncle Sams Cider (5/13/2022)</v>
      </c>
      <c r="H4239" s="19"/>
    </row>
    <row r="4240">
      <c r="A4240" s="9"/>
      <c r="B4240" s="15"/>
      <c r="C4240" s="9">
        <f>IFERROR(__xludf.DUMMYFUNCTION("""COMPUTED_VALUE"""),44752.4218026041)</f>
        <v>44752.4218</v>
      </c>
      <c r="D4240" s="15">
        <f>IFERROR(__xludf.DUMMYFUNCTION("""COMPUTED_VALUE"""),1.004)</f>
        <v>1.004</v>
      </c>
      <c r="E4240" s="16">
        <f>IFERROR(__xludf.DUMMYFUNCTION("""COMPUTED_VALUE"""),69.0)</f>
        <v>69</v>
      </c>
      <c r="F4240" s="19" t="str">
        <f>IFERROR(__xludf.DUMMYFUNCTION("""COMPUTED_VALUE"""),"BLACK")</f>
        <v>BLACK</v>
      </c>
      <c r="G4240" s="20" t="str">
        <f>IFERROR(__xludf.DUMMYFUNCTION("""COMPUTED_VALUE"""),"Uncle Sams Cider (5/13/2022)")</f>
        <v>Uncle Sams Cider (5/13/2022)</v>
      </c>
      <c r="H4240" s="19"/>
    </row>
    <row r="4241">
      <c r="A4241" s="9"/>
      <c r="B4241" s="15"/>
      <c r="C4241" s="9">
        <f>IFERROR(__xludf.DUMMYFUNCTION("""COMPUTED_VALUE"""),44752.4113812268)</f>
        <v>44752.41138</v>
      </c>
      <c r="D4241" s="15">
        <f>IFERROR(__xludf.DUMMYFUNCTION("""COMPUTED_VALUE"""),1.004)</f>
        <v>1.004</v>
      </c>
      <c r="E4241" s="16">
        <f>IFERROR(__xludf.DUMMYFUNCTION("""COMPUTED_VALUE"""),69.0)</f>
        <v>69</v>
      </c>
      <c r="F4241" s="19" t="str">
        <f>IFERROR(__xludf.DUMMYFUNCTION("""COMPUTED_VALUE"""),"BLACK")</f>
        <v>BLACK</v>
      </c>
      <c r="G4241" s="20" t="str">
        <f>IFERROR(__xludf.DUMMYFUNCTION("""COMPUTED_VALUE"""),"Uncle Sams Cider (5/13/2022)")</f>
        <v>Uncle Sams Cider (5/13/2022)</v>
      </c>
      <c r="H4241" s="19"/>
    </row>
    <row r="4242">
      <c r="A4242" s="9"/>
      <c r="B4242" s="15"/>
      <c r="C4242" s="9">
        <f>IFERROR(__xludf.DUMMYFUNCTION("""COMPUTED_VALUE"""),44752.400937662)</f>
        <v>44752.40094</v>
      </c>
      <c r="D4242" s="15">
        <f>IFERROR(__xludf.DUMMYFUNCTION("""COMPUTED_VALUE"""),1.004)</f>
        <v>1.004</v>
      </c>
      <c r="E4242" s="16">
        <f>IFERROR(__xludf.DUMMYFUNCTION("""COMPUTED_VALUE"""),69.0)</f>
        <v>69</v>
      </c>
      <c r="F4242" s="19" t="str">
        <f>IFERROR(__xludf.DUMMYFUNCTION("""COMPUTED_VALUE"""),"BLACK")</f>
        <v>BLACK</v>
      </c>
      <c r="G4242" s="20" t="str">
        <f>IFERROR(__xludf.DUMMYFUNCTION("""COMPUTED_VALUE"""),"Uncle Sams Cider (5/13/2022)")</f>
        <v>Uncle Sams Cider (5/13/2022)</v>
      </c>
      <c r="H4242" s="19"/>
    </row>
    <row r="4243">
      <c r="A4243" s="9"/>
      <c r="B4243" s="15"/>
      <c r="C4243" s="9">
        <f>IFERROR(__xludf.DUMMYFUNCTION("""COMPUTED_VALUE"""),44752.3905160532)</f>
        <v>44752.39052</v>
      </c>
      <c r="D4243" s="15">
        <f>IFERROR(__xludf.DUMMYFUNCTION("""COMPUTED_VALUE"""),1.004)</f>
        <v>1.004</v>
      </c>
      <c r="E4243" s="16">
        <f>IFERROR(__xludf.DUMMYFUNCTION("""COMPUTED_VALUE"""),69.0)</f>
        <v>69</v>
      </c>
      <c r="F4243" s="19" t="str">
        <f>IFERROR(__xludf.DUMMYFUNCTION("""COMPUTED_VALUE"""),"BLACK")</f>
        <v>BLACK</v>
      </c>
      <c r="G4243" s="20" t="str">
        <f>IFERROR(__xludf.DUMMYFUNCTION("""COMPUTED_VALUE"""),"Uncle Sams Cider (5/13/2022)")</f>
        <v>Uncle Sams Cider (5/13/2022)</v>
      </c>
      <c r="H4243" s="19"/>
    </row>
    <row r="4244">
      <c r="A4244" s="9"/>
      <c r="B4244" s="15"/>
      <c r="C4244" s="9">
        <f>IFERROR(__xludf.DUMMYFUNCTION("""COMPUTED_VALUE"""),44752.3800950347)</f>
        <v>44752.3801</v>
      </c>
      <c r="D4244" s="15">
        <f>IFERROR(__xludf.DUMMYFUNCTION("""COMPUTED_VALUE"""),1.004)</f>
        <v>1.004</v>
      </c>
      <c r="E4244" s="16">
        <f>IFERROR(__xludf.DUMMYFUNCTION("""COMPUTED_VALUE"""),69.0)</f>
        <v>69</v>
      </c>
      <c r="F4244" s="19" t="str">
        <f>IFERROR(__xludf.DUMMYFUNCTION("""COMPUTED_VALUE"""),"BLACK")</f>
        <v>BLACK</v>
      </c>
      <c r="G4244" s="20" t="str">
        <f>IFERROR(__xludf.DUMMYFUNCTION("""COMPUTED_VALUE"""),"Uncle Sams Cider (5/13/2022)")</f>
        <v>Uncle Sams Cider (5/13/2022)</v>
      </c>
      <c r="H4244" s="19"/>
    </row>
    <row r="4245">
      <c r="A4245" s="9"/>
      <c r="B4245" s="15"/>
      <c r="C4245" s="9">
        <f>IFERROR(__xludf.DUMMYFUNCTION("""COMPUTED_VALUE"""),44752.3696750347)</f>
        <v>44752.36968</v>
      </c>
      <c r="D4245" s="15">
        <f>IFERROR(__xludf.DUMMYFUNCTION("""COMPUTED_VALUE"""),1.004)</f>
        <v>1.004</v>
      </c>
      <c r="E4245" s="16">
        <f>IFERROR(__xludf.DUMMYFUNCTION("""COMPUTED_VALUE"""),69.0)</f>
        <v>69</v>
      </c>
      <c r="F4245" s="19" t="str">
        <f>IFERROR(__xludf.DUMMYFUNCTION("""COMPUTED_VALUE"""),"BLACK")</f>
        <v>BLACK</v>
      </c>
      <c r="G4245" s="20" t="str">
        <f>IFERROR(__xludf.DUMMYFUNCTION("""COMPUTED_VALUE"""),"Uncle Sams Cider (5/13/2022)")</f>
        <v>Uncle Sams Cider (5/13/2022)</v>
      </c>
      <c r="H4245" s="19"/>
    </row>
    <row r="4246">
      <c r="A4246" s="9"/>
      <c r="B4246" s="15"/>
      <c r="C4246" s="9">
        <f>IFERROR(__xludf.DUMMYFUNCTION("""COMPUTED_VALUE"""),44752.3592537731)</f>
        <v>44752.35925</v>
      </c>
      <c r="D4246" s="15">
        <f>IFERROR(__xludf.DUMMYFUNCTION("""COMPUTED_VALUE"""),1.004)</f>
        <v>1.004</v>
      </c>
      <c r="E4246" s="16">
        <f>IFERROR(__xludf.DUMMYFUNCTION("""COMPUTED_VALUE"""),69.0)</f>
        <v>69</v>
      </c>
      <c r="F4246" s="19" t="str">
        <f>IFERROR(__xludf.DUMMYFUNCTION("""COMPUTED_VALUE"""),"BLACK")</f>
        <v>BLACK</v>
      </c>
      <c r="G4246" s="20" t="str">
        <f>IFERROR(__xludf.DUMMYFUNCTION("""COMPUTED_VALUE"""),"Uncle Sams Cider (5/13/2022)")</f>
        <v>Uncle Sams Cider (5/13/2022)</v>
      </c>
      <c r="H4246" s="19"/>
    </row>
    <row r="4247">
      <c r="A4247" s="9"/>
      <c r="B4247" s="15"/>
      <c r="C4247" s="9">
        <f>IFERROR(__xludf.DUMMYFUNCTION("""COMPUTED_VALUE"""),44752.348833287)</f>
        <v>44752.34883</v>
      </c>
      <c r="D4247" s="15">
        <f>IFERROR(__xludf.DUMMYFUNCTION("""COMPUTED_VALUE"""),1.004)</f>
        <v>1.004</v>
      </c>
      <c r="E4247" s="16">
        <f>IFERROR(__xludf.DUMMYFUNCTION("""COMPUTED_VALUE"""),69.0)</f>
        <v>69</v>
      </c>
      <c r="F4247" s="19" t="str">
        <f>IFERROR(__xludf.DUMMYFUNCTION("""COMPUTED_VALUE"""),"BLACK")</f>
        <v>BLACK</v>
      </c>
      <c r="G4247" s="20" t="str">
        <f>IFERROR(__xludf.DUMMYFUNCTION("""COMPUTED_VALUE"""),"Uncle Sams Cider (5/13/2022)")</f>
        <v>Uncle Sams Cider (5/13/2022)</v>
      </c>
      <c r="H4247" s="19"/>
    </row>
    <row r="4248">
      <c r="A4248" s="9"/>
      <c r="B4248" s="15"/>
      <c r="C4248" s="9">
        <f>IFERROR(__xludf.DUMMYFUNCTION("""COMPUTED_VALUE"""),44752.3384115509)</f>
        <v>44752.33841</v>
      </c>
      <c r="D4248" s="15">
        <f>IFERROR(__xludf.DUMMYFUNCTION("""COMPUTED_VALUE"""),1.004)</f>
        <v>1.004</v>
      </c>
      <c r="E4248" s="16">
        <f>IFERROR(__xludf.DUMMYFUNCTION("""COMPUTED_VALUE"""),69.0)</f>
        <v>69</v>
      </c>
      <c r="F4248" s="19" t="str">
        <f>IFERROR(__xludf.DUMMYFUNCTION("""COMPUTED_VALUE"""),"BLACK")</f>
        <v>BLACK</v>
      </c>
      <c r="G4248" s="20" t="str">
        <f>IFERROR(__xludf.DUMMYFUNCTION("""COMPUTED_VALUE"""),"Uncle Sams Cider (5/13/2022)")</f>
        <v>Uncle Sams Cider (5/13/2022)</v>
      </c>
      <c r="H4248" s="19"/>
    </row>
    <row r="4249">
      <c r="A4249" s="9"/>
      <c r="B4249" s="15"/>
      <c r="C4249" s="9">
        <f>IFERROR(__xludf.DUMMYFUNCTION("""COMPUTED_VALUE"""),44752.3279904745)</f>
        <v>44752.32799</v>
      </c>
      <c r="D4249" s="15">
        <f>IFERROR(__xludf.DUMMYFUNCTION("""COMPUTED_VALUE"""),1.004)</f>
        <v>1.004</v>
      </c>
      <c r="E4249" s="16">
        <f>IFERROR(__xludf.DUMMYFUNCTION("""COMPUTED_VALUE"""),69.0)</f>
        <v>69</v>
      </c>
      <c r="F4249" s="19" t="str">
        <f>IFERROR(__xludf.DUMMYFUNCTION("""COMPUTED_VALUE"""),"BLACK")</f>
        <v>BLACK</v>
      </c>
      <c r="G4249" s="20" t="str">
        <f>IFERROR(__xludf.DUMMYFUNCTION("""COMPUTED_VALUE"""),"Uncle Sams Cider (5/13/2022)")</f>
        <v>Uncle Sams Cider (5/13/2022)</v>
      </c>
      <c r="H4249" s="19"/>
    </row>
    <row r="4250">
      <c r="A4250" s="9"/>
      <c r="B4250" s="15"/>
      <c r="C4250" s="9">
        <f>IFERROR(__xludf.DUMMYFUNCTION("""COMPUTED_VALUE"""),44752.317567199)</f>
        <v>44752.31757</v>
      </c>
      <c r="D4250" s="15">
        <f>IFERROR(__xludf.DUMMYFUNCTION("""COMPUTED_VALUE"""),1.004)</f>
        <v>1.004</v>
      </c>
      <c r="E4250" s="16">
        <f>IFERROR(__xludf.DUMMYFUNCTION("""COMPUTED_VALUE"""),69.0)</f>
        <v>69</v>
      </c>
      <c r="F4250" s="19" t="str">
        <f>IFERROR(__xludf.DUMMYFUNCTION("""COMPUTED_VALUE"""),"BLACK")</f>
        <v>BLACK</v>
      </c>
      <c r="G4250" s="20" t="str">
        <f>IFERROR(__xludf.DUMMYFUNCTION("""COMPUTED_VALUE"""),"Uncle Sams Cider (5/13/2022)")</f>
        <v>Uncle Sams Cider (5/13/2022)</v>
      </c>
      <c r="H4250" s="19"/>
    </row>
    <row r="4251">
      <c r="A4251" s="9"/>
      <c r="B4251" s="15"/>
      <c r="C4251" s="9">
        <f>IFERROR(__xludf.DUMMYFUNCTION("""COMPUTED_VALUE"""),44752.3071455787)</f>
        <v>44752.30715</v>
      </c>
      <c r="D4251" s="15">
        <f>IFERROR(__xludf.DUMMYFUNCTION("""COMPUTED_VALUE"""),1.004)</f>
        <v>1.004</v>
      </c>
      <c r="E4251" s="16">
        <f>IFERROR(__xludf.DUMMYFUNCTION("""COMPUTED_VALUE"""),69.0)</f>
        <v>69</v>
      </c>
      <c r="F4251" s="19" t="str">
        <f>IFERROR(__xludf.DUMMYFUNCTION("""COMPUTED_VALUE"""),"BLACK")</f>
        <v>BLACK</v>
      </c>
      <c r="G4251" s="20" t="str">
        <f>IFERROR(__xludf.DUMMYFUNCTION("""COMPUTED_VALUE"""),"Uncle Sams Cider (5/13/2022)")</f>
        <v>Uncle Sams Cider (5/13/2022)</v>
      </c>
      <c r="H4251" s="19"/>
    </row>
    <row r="4252">
      <c r="A4252" s="9"/>
      <c r="B4252" s="15"/>
      <c r="C4252" s="9">
        <f>IFERROR(__xludf.DUMMYFUNCTION("""COMPUTED_VALUE"""),44752.2967145254)</f>
        <v>44752.29671</v>
      </c>
      <c r="D4252" s="15">
        <f>IFERROR(__xludf.DUMMYFUNCTION("""COMPUTED_VALUE"""),1.004)</f>
        <v>1.004</v>
      </c>
      <c r="E4252" s="16">
        <f>IFERROR(__xludf.DUMMYFUNCTION("""COMPUTED_VALUE"""),69.0)</f>
        <v>69</v>
      </c>
      <c r="F4252" s="19" t="str">
        <f>IFERROR(__xludf.DUMMYFUNCTION("""COMPUTED_VALUE"""),"BLACK")</f>
        <v>BLACK</v>
      </c>
      <c r="G4252" s="20" t="str">
        <f>IFERROR(__xludf.DUMMYFUNCTION("""COMPUTED_VALUE"""),"Uncle Sams Cider (5/13/2022)")</f>
        <v>Uncle Sams Cider (5/13/2022)</v>
      </c>
      <c r="H4252" s="19"/>
    </row>
    <row r="4253">
      <c r="A4253" s="9"/>
      <c r="B4253" s="15"/>
      <c r="C4253" s="9">
        <f>IFERROR(__xludf.DUMMYFUNCTION("""COMPUTED_VALUE"""),44752.2862932176)</f>
        <v>44752.28629</v>
      </c>
      <c r="D4253" s="15">
        <f>IFERROR(__xludf.DUMMYFUNCTION("""COMPUTED_VALUE"""),1.004)</f>
        <v>1.004</v>
      </c>
      <c r="E4253" s="16">
        <f>IFERROR(__xludf.DUMMYFUNCTION("""COMPUTED_VALUE"""),69.0)</f>
        <v>69</v>
      </c>
      <c r="F4253" s="19" t="str">
        <f>IFERROR(__xludf.DUMMYFUNCTION("""COMPUTED_VALUE"""),"BLACK")</f>
        <v>BLACK</v>
      </c>
      <c r="G4253" s="20" t="str">
        <f>IFERROR(__xludf.DUMMYFUNCTION("""COMPUTED_VALUE"""),"Uncle Sams Cider (5/13/2022)")</f>
        <v>Uncle Sams Cider (5/13/2022)</v>
      </c>
      <c r="H4253" s="19"/>
    </row>
    <row r="4254">
      <c r="A4254" s="9"/>
      <c r="B4254" s="15"/>
      <c r="C4254" s="9">
        <f>IFERROR(__xludf.DUMMYFUNCTION("""COMPUTED_VALUE"""),44752.2758726504)</f>
        <v>44752.27587</v>
      </c>
      <c r="D4254" s="15">
        <f>IFERROR(__xludf.DUMMYFUNCTION("""COMPUTED_VALUE"""),1.004)</f>
        <v>1.004</v>
      </c>
      <c r="E4254" s="16">
        <f>IFERROR(__xludf.DUMMYFUNCTION("""COMPUTED_VALUE"""),69.0)</f>
        <v>69</v>
      </c>
      <c r="F4254" s="19" t="str">
        <f>IFERROR(__xludf.DUMMYFUNCTION("""COMPUTED_VALUE"""),"BLACK")</f>
        <v>BLACK</v>
      </c>
      <c r="G4254" s="20" t="str">
        <f>IFERROR(__xludf.DUMMYFUNCTION("""COMPUTED_VALUE"""),"Uncle Sams Cider (5/13/2022)")</f>
        <v>Uncle Sams Cider (5/13/2022)</v>
      </c>
      <c r="H4254" s="19"/>
    </row>
    <row r="4255">
      <c r="A4255" s="9"/>
      <c r="B4255" s="15"/>
      <c r="C4255" s="9">
        <f>IFERROR(__xludf.DUMMYFUNCTION("""COMPUTED_VALUE"""),44752.2654513888)</f>
        <v>44752.26545</v>
      </c>
      <c r="D4255" s="15">
        <f>IFERROR(__xludf.DUMMYFUNCTION("""COMPUTED_VALUE"""),1.004)</f>
        <v>1.004</v>
      </c>
      <c r="E4255" s="16">
        <f>IFERROR(__xludf.DUMMYFUNCTION("""COMPUTED_VALUE"""),69.0)</f>
        <v>69</v>
      </c>
      <c r="F4255" s="19" t="str">
        <f>IFERROR(__xludf.DUMMYFUNCTION("""COMPUTED_VALUE"""),"BLACK")</f>
        <v>BLACK</v>
      </c>
      <c r="G4255" s="20" t="str">
        <f>IFERROR(__xludf.DUMMYFUNCTION("""COMPUTED_VALUE"""),"Uncle Sams Cider (5/13/2022)")</f>
        <v>Uncle Sams Cider (5/13/2022)</v>
      </c>
      <c r="H4255" s="19"/>
    </row>
    <row r="4256">
      <c r="A4256" s="9"/>
      <c r="B4256" s="15"/>
      <c r="C4256" s="9">
        <f>IFERROR(__xludf.DUMMYFUNCTION("""COMPUTED_VALUE"""),44752.2550293402)</f>
        <v>44752.25503</v>
      </c>
      <c r="D4256" s="15">
        <f>IFERROR(__xludf.DUMMYFUNCTION("""COMPUTED_VALUE"""),1.004)</f>
        <v>1.004</v>
      </c>
      <c r="E4256" s="16">
        <f>IFERROR(__xludf.DUMMYFUNCTION("""COMPUTED_VALUE"""),69.0)</f>
        <v>69</v>
      </c>
      <c r="F4256" s="19" t="str">
        <f>IFERROR(__xludf.DUMMYFUNCTION("""COMPUTED_VALUE"""),"BLACK")</f>
        <v>BLACK</v>
      </c>
      <c r="G4256" s="20" t="str">
        <f>IFERROR(__xludf.DUMMYFUNCTION("""COMPUTED_VALUE"""),"Uncle Sams Cider (5/13/2022)")</f>
        <v>Uncle Sams Cider (5/13/2022)</v>
      </c>
      <c r="H4256" s="19"/>
    </row>
    <row r="4257">
      <c r="A4257" s="9"/>
      <c r="B4257" s="15"/>
      <c r="C4257" s="9">
        <f>IFERROR(__xludf.DUMMYFUNCTION("""COMPUTED_VALUE"""),44752.2446082754)</f>
        <v>44752.24461</v>
      </c>
      <c r="D4257" s="15">
        <f>IFERROR(__xludf.DUMMYFUNCTION("""COMPUTED_VALUE"""),1.004)</f>
        <v>1.004</v>
      </c>
      <c r="E4257" s="16">
        <f>IFERROR(__xludf.DUMMYFUNCTION("""COMPUTED_VALUE"""),69.0)</f>
        <v>69</v>
      </c>
      <c r="F4257" s="19" t="str">
        <f>IFERROR(__xludf.DUMMYFUNCTION("""COMPUTED_VALUE"""),"BLACK")</f>
        <v>BLACK</v>
      </c>
      <c r="G4257" s="20" t="str">
        <f>IFERROR(__xludf.DUMMYFUNCTION("""COMPUTED_VALUE"""),"Uncle Sams Cider (5/13/2022)")</f>
        <v>Uncle Sams Cider (5/13/2022)</v>
      </c>
      <c r="H4257" s="19"/>
    </row>
    <row r="4258">
      <c r="A4258" s="9"/>
      <c r="B4258" s="15"/>
      <c r="C4258" s="9">
        <f>IFERROR(__xludf.DUMMYFUNCTION("""COMPUTED_VALUE"""),44752.2341874884)</f>
        <v>44752.23419</v>
      </c>
      <c r="D4258" s="15">
        <f>IFERROR(__xludf.DUMMYFUNCTION("""COMPUTED_VALUE"""),1.004)</f>
        <v>1.004</v>
      </c>
      <c r="E4258" s="16">
        <f>IFERROR(__xludf.DUMMYFUNCTION("""COMPUTED_VALUE"""),69.0)</f>
        <v>69</v>
      </c>
      <c r="F4258" s="19" t="str">
        <f>IFERROR(__xludf.DUMMYFUNCTION("""COMPUTED_VALUE"""),"BLACK")</f>
        <v>BLACK</v>
      </c>
      <c r="G4258" s="20" t="str">
        <f>IFERROR(__xludf.DUMMYFUNCTION("""COMPUTED_VALUE"""),"Uncle Sams Cider (5/13/2022)")</f>
        <v>Uncle Sams Cider (5/13/2022)</v>
      </c>
      <c r="H4258" s="19"/>
    </row>
    <row r="4259">
      <c r="A4259" s="9"/>
      <c r="B4259" s="15"/>
      <c r="C4259" s="9">
        <f>IFERROR(__xludf.DUMMYFUNCTION("""COMPUTED_VALUE"""),44752.2237564583)</f>
        <v>44752.22376</v>
      </c>
      <c r="D4259" s="15">
        <f>IFERROR(__xludf.DUMMYFUNCTION("""COMPUTED_VALUE"""),1.004)</f>
        <v>1.004</v>
      </c>
      <c r="E4259" s="16">
        <f>IFERROR(__xludf.DUMMYFUNCTION("""COMPUTED_VALUE"""),69.0)</f>
        <v>69</v>
      </c>
      <c r="F4259" s="19" t="str">
        <f>IFERROR(__xludf.DUMMYFUNCTION("""COMPUTED_VALUE"""),"BLACK")</f>
        <v>BLACK</v>
      </c>
      <c r="G4259" s="20" t="str">
        <f>IFERROR(__xludf.DUMMYFUNCTION("""COMPUTED_VALUE"""),"Uncle Sams Cider (5/13/2022)")</f>
        <v>Uncle Sams Cider (5/13/2022)</v>
      </c>
      <c r="H4259" s="19"/>
    </row>
    <row r="4260">
      <c r="A4260" s="9"/>
      <c r="B4260" s="15"/>
      <c r="C4260" s="9">
        <f>IFERROR(__xludf.DUMMYFUNCTION("""COMPUTED_VALUE"""),44752.2133238888)</f>
        <v>44752.21332</v>
      </c>
      <c r="D4260" s="15">
        <f>IFERROR(__xludf.DUMMYFUNCTION("""COMPUTED_VALUE"""),1.004)</f>
        <v>1.004</v>
      </c>
      <c r="E4260" s="16">
        <f>IFERROR(__xludf.DUMMYFUNCTION("""COMPUTED_VALUE"""),69.0)</f>
        <v>69</v>
      </c>
      <c r="F4260" s="19" t="str">
        <f>IFERROR(__xludf.DUMMYFUNCTION("""COMPUTED_VALUE"""),"BLACK")</f>
        <v>BLACK</v>
      </c>
      <c r="G4260" s="20" t="str">
        <f>IFERROR(__xludf.DUMMYFUNCTION("""COMPUTED_VALUE"""),"Uncle Sams Cider (5/13/2022)")</f>
        <v>Uncle Sams Cider (5/13/2022)</v>
      </c>
      <c r="H4260" s="19"/>
    </row>
    <row r="4261">
      <c r="A4261" s="9"/>
      <c r="B4261" s="15"/>
      <c r="C4261" s="9">
        <f>IFERROR(__xludf.DUMMYFUNCTION("""COMPUTED_VALUE"""),44752.2029035185)</f>
        <v>44752.2029</v>
      </c>
      <c r="D4261" s="15">
        <f>IFERROR(__xludf.DUMMYFUNCTION("""COMPUTED_VALUE"""),1.004)</f>
        <v>1.004</v>
      </c>
      <c r="E4261" s="16">
        <f>IFERROR(__xludf.DUMMYFUNCTION("""COMPUTED_VALUE"""),69.0)</f>
        <v>69</v>
      </c>
      <c r="F4261" s="19" t="str">
        <f>IFERROR(__xludf.DUMMYFUNCTION("""COMPUTED_VALUE"""),"BLACK")</f>
        <v>BLACK</v>
      </c>
      <c r="G4261" s="20" t="str">
        <f>IFERROR(__xludf.DUMMYFUNCTION("""COMPUTED_VALUE"""),"Uncle Sams Cider (5/13/2022)")</f>
        <v>Uncle Sams Cider (5/13/2022)</v>
      </c>
      <c r="H4261" s="19"/>
    </row>
    <row r="4262">
      <c r="A4262" s="9"/>
      <c r="B4262" s="15"/>
      <c r="C4262" s="9">
        <f>IFERROR(__xludf.DUMMYFUNCTION("""COMPUTED_VALUE"""),44752.1924834722)</f>
        <v>44752.19248</v>
      </c>
      <c r="D4262" s="15">
        <f>IFERROR(__xludf.DUMMYFUNCTION("""COMPUTED_VALUE"""),1.004)</f>
        <v>1.004</v>
      </c>
      <c r="E4262" s="16">
        <f>IFERROR(__xludf.DUMMYFUNCTION("""COMPUTED_VALUE"""),69.0)</f>
        <v>69</v>
      </c>
      <c r="F4262" s="19" t="str">
        <f>IFERROR(__xludf.DUMMYFUNCTION("""COMPUTED_VALUE"""),"BLACK")</f>
        <v>BLACK</v>
      </c>
      <c r="G4262" s="20" t="str">
        <f>IFERROR(__xludf.DUMMYFUNCTION("""COMPUTED_VALUE"""),"Uncle Sams Cider (5/13/2022)")</f>
        <v>Uncle Sams Cider (5/13/2022)</v>
      </c>
      <c r="H4262" s="19"/>
    </row>
    <row r="4263">
      <c r="A4263" s="9"/>
      <c r="B4263" s="15"/>
      <c r="C4263" s="9">
        <f>IFERROR(__xludf.DUMMYFUNCTION("""COMPUTED_VALUE"""),44752.1820508449)</f>
        <v>44752.18205</v>
      </c>
      <c r="D4263" s="15">
        <f>IFERROR(__xludf.DUMMYFUNCTION("""COMPUTED_VALUE"""),1.004)</f>
        <v>1.004</v>
      </c>
      <c r="E4263" s="16">
        <f>IFERROR(__xludf.DUMMYFUNCTION("""COMPUTED_VALUE"""),69.0)</f>
        <v>69</v>
      </c>
      <c r="F4263" s="19" t="str">
        <f>IFERROR(__xludf.DUMMYFUNCTION("""COMPUTED_VALUE"""),"BLACK")</f>
        <v>BLACK</v>
      </c>
      <c r="G4263" s="20" t="str">
        <f>IFERROR(__xludf.DUMMYFUNCTION("""COMPUTED_VALUE"""),"Uncle Sams Cider (5/13/2022)")</f>
        <v>Uncle Sams Cider (5/13/2022)</v>
      </c>
      <c r="H4263" s="19"/>
    </row>
    <row r="4264">
      <c r="A4264" s="9"/>
      <c r="B4264" s="15"/>
      <c r="C4264" s="9">
        <f>IFERROR(__xludf.DUMMYFUNCTION("""COMPUTED_VALUE"""),44752.1716295717)</f>
        <v>44752.17163</v>
      </c>
      <c r="D4264" s="15">
        <f>IFERROR(__xludf.DUMMYFUNCTION("""COMPUTED_VALUE"""),1.004)</f>
        <v>1.004</v>
      </c>
      <c r="E4264" s="16">
        <f>IFERROR(__xludf.DUMMYFUNCTION("""COMPUTED_VALUE"""),69.0)</f>
        <v>69</v>
      </c>
      <c r="F4264" s="19" t="str">
        <f>IFERROR(__xludf.DUMMYFUNCTION("""COMPUTED_VALUE"""),"BLACK")</f>
        <v>BLACK</v>
      </c>
      <c r="G4264" s="20" t="str">
        <f>IFERROR(__xludf.DUMMYFUNCTION("""COMPUTED_VALUE"""),"Uncle Sams Cider (5/13/2022)")</f>
        <v>Uncle Sams Cider (5/13/2022)</v>
      </c>
      <c r="H4264" s="19"/>
    </row>
    <row r="4265">
      <c r="A4265" s="9"/>
      <c r="B4265" s="15"/>
      <c r="C4265" s="9">
        <f>IFERROR(__xludf.DUMMYFUNCTION("""COMPUTED_VALUE"""),44752.1612092129)</f>
        <v>44752.16121</v>
      </c>
      <c r="D4265" s="15">
        <f>IFERROR(__xludf.DUMMYFUNCTION("""COMPUTED_VALUE"""),1.004)</f>
        <v>1.004</v>
      </c>
      <c r="E4265" s="16">
        <f>IFERROR(__xludf.DUMMYFUNCTION("""COMPUTED_VALUE"""),69.0)</f>
        <v>69</v>
      </c>
      <c r="F4265" s="19" t="str">
        <f>IFERROR(__xludf.DUMMYFUNCTION("""COMPUTED_VALUE"""),"BLACK")</f>
        <v>BLACK</v>
      </c>
      <c r="G4265" s="20" t="str">
        <f>IFERROR(__xludf.DUMMYFUNCTION("""COMPUTED_VALUE"""),"Uncle Sams Cider (5/13/2022)")</f>
        <v>Uncle Sams Cider (5/13/2022)</v>
      </c>
      <c r="H4265" s="19"/>
    </row>
    <row r="4266">
      <c r="A4266" s="9"/>
      <c r="B4266" s="15"/>
      <c r="C4266" s="9">
        <f>IFERROR(__xludf.DUMMYFUNCTION("""COMPUTED_VALUE"""),44752.1507654166)</f>
        <v>44752.15077</v>
      </c>
      <c r="D4266" s="15">
        <f>IFERROR(__xludf.DUMMYFUNCTION("""COMPUTED_VALUE"""),1.004)</f>
        <v>1.004</v>
      </c>
      <c r="E4266" s="16">
        <f>IFERROR(__xludf.DUMMYFUNCTION("""COMPUTED_VALUE"""),69.0)</f>
        <v>69</v>
      </c>
      <c r="F4266" s="19" t="str">
        <f>IFERROR(__xludf.DUMMYFUNCTION("""COMPUTED_VALUE"""),"BLACK")</f>
        <v>BLACK</v>
      </c>
      <c r="G4266" s="20" t="str">
        <f>IFERROR(__xludf.DUMMYFUNCTION("""COMPUTED_VALUE"""),"Uncle Sams Cider (5/13/2022)")</f>
        <v>Uncle Sams Cider (5/13/2022)</v>
      </c>
      <c r="H4266" s="19"/>
    </row>
    <row r="4267">
      <c r="A4267" s="9"/>
      <c r="B4267" s="15"/>
      <c r="C4267" s="9">
        <f>IFERROR(__xludf.DUMMYFUNCTION("""COMPUTED_VALUE"""),44752.1403315625)</f>
        <v>44752.14033</v>
      </c>
      <c r="D4267" s="15">
        <f>IFERROR(__xludf.DUMMYFUNCTION("""COMPUTED_VALUE"""),1.004)</f>
        <v>1.004</v>
      </c>
      <c r="E4267" s="16">
        <f>IFERROR(__xludf.DUMMYFUNCTION("""COMPUTED_VALUE"""),69.0)</f>
        <v>69</v>
      </c>
      <c r="F4267" s="19" t="str">
        <f>IFERROR(__xludf.DUMMYFUNCTION("""COMPUTED_VALUE"""),"BLACK")</f>
        <v>BLACK</v>
      </c>
      <c r="G4267" s="20" t="str">
        <f>IFERROR(__xludf.DUMMYFUNCTION("""COMPUTED_VALUE"""),"Uncle Sams Cider (5/13/2022)")</f>
        <v>Uncle Sams Cider (5/13/2022)</v>
      </c>
      <c r="H4267" s="19"/>
    </row>
    <row r="4268">
      <c r="A4268" s="9"/>
      <c r="B4268" s="15"/>
      <c r="C4268" s="9">
        <f>IFERROR(__xludf.DUMMYFUNCTION("""COMPUTED_VALUE"""),44752.1298966898)</f>
        <v>44752.1299</v>
      </c>
      <c r="D4268" s="15">
        <f>IFERROR(__xludf.DUMMYFUNCTION("""COMPUTED_VALUE"""),1.004)</f>
        <v>1.004</v>
      </c>
      <c r="E4268" s="16">
        <f>IFERROR(__xludf.DUMMYFUNCTION("""COMPUTED_VALUE"""),69.0)</f>
        <v>69</v>
      </c>
      <c r="F4268" s="19" t="str">
        <f>IFERROR(__xludf.DUMMYFUNCTION("""COMPUTED_VALUE"""),"BLACK")</f>
        <v>BLACK</v>
      </c>
      <c r="G4268" s="20" t="str">
        <f>IFERROR(__xludf.DUMMYFUNCTION("""COMPUTED_VALUE"""),"Uncle Sams Cider (5/13/2022)")</f>
        <v>Uncle Sams Cider (5/13/2022)</v>
      </c>
      <c r="H4268" s="19"/>
    </row>
    <row r="4269">
      <c r="A4269" s="9"/>
      <c r="B4269" s="15"/>
      <c r="C4269" s="9">
        <f>IFERROR(__xludf.DUMMYFUNCTION("""COMPUTED_VALUE"""),44752.1194634953)</f>
        <v>44752.11946</v>
      </c>
      <c r="D4269" s="15">
        <f>IFERROR(__xludf.DUMMYFUNCTION("""COMPUTED_VALUE"""),1.004)</f>
        <v>1.004</v>
      </c>
      <c r="E4269" s="16">
        <f>IFERROR(__xludf.DUMMYFUNCTION("""COMPUTED_VALUE"""),69.0)</f>
        <v>69</v>
      </c>
      <c r="F4269" s="19" t="str">
        <f>IFERROR(__xludf.DUMMYFUNCTION("""COMPUTED_VALUE"""),"BLACK")</f>
        <v>BLACK</v>
      </c>
      <c r="G4269" s="20" t="str">
        <f>IFERROR(__xludf.DUMMYFUNCTION("""COMPUTED_VALUE"""),"Uncle Sams Cider (5/13/2022)")</f>
        <v>Uncle Sams Cider (5/13/2022)</v>
      </c>
      <c r="H4269" s="19"/>
    </row>
    <row r="4270">
      <c r="A4270" s="9"/>
      <c r="B4270" s="15"/>
      <c r="C4270" s="9">
        <f>IFERROR(__xludf.DUMMYFUNCTION("""COMPUTED_VALUE"""),44752.109031655)</f>
        <v>44752.10903</v>
      </c>
      <c r="D4270" s="15">
        <f>IFERROR(__xludf.DUMMYFUNCTION("""COMPUTED_VALUE"""),1.004)</f>
        <v>1.004</v>
      </c>
      <c r="E4270" s="16">
        <f>IFERROR(__xludf.DUMMYFUNCTION("""COMPUTED_VALUE"""),69.0)</f>
        <v>69</v>
      </c>
      <c r="F4270" s="19" t="str">
        <f>IFERROR(__xludf.DUMMYFUNCTION("""COMPUTED_VALUE"""),"BLACK")</f>
        <v>BLACK</v>
      </c>
      <c r="G4270" s="20" t="str">
        <f>IFERROR(__xludf.DUMMYFUNCTION("""COMPUTED_VALUE"""),"Uncle Sams Cider (5/13/2022)")</f>
        <v>Uncle Sams Cider (5/13/2022)</v>
      </c>
      <c r="H4270" s="19"/>
    </row>
    <row r="4271">
      <c r="A4271" s="9"/>
      <c r="B4271" s="15"/>
      <c r="C4271" s="9">
        <f>IFERROR(__xludf.DUMMYFUNCTION("""COMPUTED_VALUE"""),44752.0986103588)</f>
        <v>44752.09861</v>
      </c>
      <c r="D4271" s="15">
        <f>IFERROR(__xludf.DUMMYFUNCTION("""COMPUTED_VALUE"""),1.004)</f>
        <v>1.004</v>
      </c>
      <c r="E4271" s="16">
        <f>IFERROR(__xludf.DUMMYFUNCTION("""COMPUTED_VALUE"""),69.0)</f>
        <v>69</v>
      </c>
      <c r="F4271" s="19" t="str">
        <f>IFERROR(__xludf.DUMMYFUNCTION("""COMPUTED_VALUE"""),"BLACK")</f>
        <v>BLACK</v>
      </c>
      <c r="G4271" s="20" t="str">
        <f>IFERROR(__xludf.DUMMYFUNCTION("""COMPUTED_VALUE"""),"Uncle Sams Cider (5/13/2022)")</f>
        <v>Uncle Sams Cider (5/13/2022)</v>
      </c>
      <c r="H4271" s="19"/>
    </row>
    <row r="4272">
      <c r="A4272" s="9"/>
      <c r="B4272" s="15"/>
      <c r="C4272" s="9">
        <f>IFERROR(__xludf.DUMMYFUNCTION("""COMPUTED_VALUE"""),44752.0881895023)</f>
        <v>44752.08819</v>
      </c>
      <c r="D4272" s="15">
        <f>IFERROR(__xludf.DUMMYFUNCTION("""COMPUTED_VALUE"""),1.004)</f>
        <v>1.004</v>
      </c>
      <c r="E4272" s="16">
        <f>IFERROR(__xludf.DUMMYFUNCTION("""COMPUTED_VALUE"""),69.0)</f>
        <v>69</v>
      </c>
      <c r="F4272" s="19" t="str">
        <f>IFERROR(__xludf.DUMMYFUNCTION("""COMPUTED_VALUE"""),"BLACK")</f>
        <v>BLACK</v>
      </c>
      <c r="G4272" s="20" t="str">
        <f>IFERROR(__xludf.DUMMYFUNCTION("""COMPUTED_VALUE"""),"Uncle Sams Cider (5/13/2022)")</f>
        <v>Uncle Sams Cider (5/13/2022)</v>
      </c>
      <c r="H4272" s="19"/>
    </row>
    <row r="4273">
      <c r="A4273" s="9"/>
      <c r="B4273" s="15"/>
      <c r="C4273" s="9">
        <f>IFERROR(__xludf.DUMMYFUNCTION("""COMPUTED_VALUE"""),44752.0777691203)</f>
        <v>44752.07777</v>
      </c>
      <c r="D4273" s="15">
        <f>IFERROR(__xludf.DUMMYFUNCTION("""COMPUTED_VALUE"""),1.004)</f>
        <v>1.004</v>
      </c>
      <c r="E4273" s="16">
        <f>IFERROR(__xludf.DUMMYFUNCTION("""COMPUTED_VALUE"""),69.0)</f>
        <v>69</v>
      </c>
      <c r="F4273" s="19" t="str">
        <f>IFERROR(__xludf.DUMMYFUNCTION("""COMPUTED_VALUE"""),"BLACK")</f>
        <v>BLACK</v>
      </c>
      <c r="G4273" s="20" t="str">
        <f>IFERROR(__xludf.DUMMYFUNCTION("""COMPUTED_VALUE"""),"Uncle Sams Cider (5/13/2022)")</f>
        <v>Uncle Sams Cider (5/13/2022)</v>
      </c>
      <c r="H4273" s="19"/>
    </row>
    <row r="4274">
      <c r="A4274" s="9"/>
      <c r="B4274" s="15"/>
      <c r="C4274" s="9">
        <f>IFERROR(__xludf.DUMMYFUNCTION("""COMPUTED_VALUE"""),44752.0673472106)</f>
        <v>44752.06735</v>
      </c>
      <c r="D4274" s="15">
        <f>IFERROR(__xludf.DUMMYFUNCTION("""COMPUTED_VALUE"""),1.004)</f>
        <v>1.004</v>
      </c>
      <c r="E4274" s="16">
        <f>IFERROR(__xludf.DUMMYFUNCTION("""COMPUTED_VALUE"""),69.0)</f>
        <v>69</v>
      </c>
      <c r="F4274" s="19" t="str">
        <f>IFERROR(__xludf.DUMMYFUNCTION("""COMPUTED_VALUE"""),"BLACK")</f>
        <v>BLACK</v>
      </c>
      <c r="G4274" s="20" t="str">
        <f>IFERROR(__xludf.DUMMYFUNCTION("""COMPUTED_VALUE"""),"Uncle Sams Cider (5/13/2022)")</f>
        <v>Uncle Sams Cider (5/13/2022)</v>
      </c>
      <c r="H4274" s="19"/>
    </row>
    <row r="4275">
      <c r="A4275" s="9"/>
      <c r="B4275" s="15"/>
      <c r="C4275" s="9">
        <f>IFERROR(__xludf.DUMMYFUNCTION("""COMPUTED_VALUE"""),44752.0569267245)</f>
        <v>44752.05693</v>
      </c>
      <c r="D4275" s="15">
        <f>IFERROR(__xludf.DUMMYFUNCTION("""COMPUTED_VALUE"""),1.004)</f>
        <v>1.004</v>
      </c>
      <c r="E4275" s="16">
        <f>IFERROR(__xludf.DUMMYFUNCTION("""COMPUTED_VALUE"""),69.0)</f>
        <v>69</v>
      </c>
      <c r="F4275" s="19" t="str">
        <f>IFERROR(__xludf.DUMMYFUNCTION("""COMPUTED_VALUE"""),"BLACK")</f>
        <v>BLACK</v>
      </c>
      <c r="G4275" s="20" t="str">
        <f>IFERROR(__xludf.DUMMYFUNCTION("""COMPUTED_VALUE"""),"Uncle Sams Cider (5/13/2022)")</f>
        <v>Uncle Sams Cider (5/13/2022)</v>
      </c>
      <c r="H4275" s="19"/>
    </row>
    <row r="4276">
      <c r="A4276" s="9"/>
      <c r="B4276" s="15"/>
      <c r="C4276" s="9">
        <f>IFERROR(__xludf.DUMMYFUNCTION("""COMPUTED_VALUE"""),44752.0465049768)</f>
        <v>44752.0465</v>
      </c>
      <c r="D4276" s="15">
        <f>IFERROR(__xludf.DUMMYFUNCTION("""COMPUTED_VALUE"""),1.004)</f>
        <v>1.004</v>
      </c>
      <c r="E4276" s="16">
        <f>IFERROR(__xludf.DUMMYFUNCTION("""COMPUTED_VALUE"""),69.0)</f>
        <v>69</v>
      </c>
      <c r="F4276" s="19" t="str">
        <f>IFERROR(__xludf.DUMMYFUNCTION("""COMPUTED_VALUE"""),"BLACK")</f>
        <v>BLACK</v>
      </c>
      <c r="G4276" s="20" t="str">
        <f>IFERROR(__xludf.DUMMYFUNCTION("""COMPUTED_VALUE"""),"Uncle Sams Cider (5/13/2022)")</f>
        <v>Uncle Sams Cider (5/13/2022)</v>
      </c>
      <c r="H4276" s="19"/>
    </row>
    <row r="4277">
      <c r="A4277" s="9"/>
      <c r="B4277" s="15"/>
      <c r="C4277" s="9">
        <f>IFERROR(__xludf.DUMMYFUNCTION("""COMPUTED_VALUE"""),44752.0360821296)</f>
        <v>44752.03608</v>
      </c>
      <c r="D4277" s="15">
        <f>IFERROR(__xludf.DUMMYFUNCTION("""COMPUTED_VALUE"""),1.004)</f>
        <v>1.004</v>
      </c>
      <c r="E4277" s="16">
        <f>IFERROR(__xludf.DUMMYFUNCTION("""COMPUTED_VALUE"""),69.0)</f>
        <v>69</v>
      </c>
      <c r="F4277" s="19" t="str">
        <f>IFERROR(__xludf.DUMMYFUNCTION("""COMPUTED_VALUE"""),"BLACK")</f>
        <v>BLACK</v>
      </c>
      <c r="G4277" s="20" t="str">
        <f>IFERROR(__xludf.DUMMYFUNCTION("""COMPUTED_VALUE"""),"Uncle Sams Cider (5/13/2022)")</f>
        <v>Uncle Sams Cider (5/13/2022)</v>
      </c>
      <c r="H4277" s="19"/>
    </row>
    <row r="4278">
      <c r="A4278" s="9"/>
      <c r="B4278" s="15"/>
      <c r="C4278" s="9">
        <f>IFERROR(__xludf.DUMMYFUNCTION("""COMPUTED_VALUE"""),44752.0256387152)</f>
        <v>44752.02564</v>
      </c>
      <c r="D4278" s="15">
        <f>IFERROR(__xludf.DUMMYFUNCTION("""COMPUTED_VALUE"""),1.004)</f>
        <v>1.004</v>
      </c>
      <c r="E4278" s="16">
        <f>IFERROR(__xludf.DUMMYFUNCTION("""COMPUTED_VALUE"""),69.0)</f>
        <v>69</v>
      </c>
      <c r="F4278" s="19" t="str">
        <f>IFERROR(__xludf.DUMMYFUNCTION("""COMPUTED_VALUE"""),"BLACK")</f>
        <v>BLACK</v>
      </c>
      <c r="G4278" s="20" t="str">
        <f>IFERROR(__xludf.DUMMYFUNCTION("""COMPUTED_VALUE"""),"Uncle Sams Cider (5/13/2022)")</f>
        <v>Uncle Sams Cider (5/13/2022)</v>
      </c>
      <c r="H4278" s="19"/>
    </row>
    <row r="4279">
      <c r="A4279" s="9"/>
      <c r="B4279" s="15"/>
      <c r="C4279" s="9">
        <f>IFERROR(__xludf.DUMMYFUNCTION("""COMPUTED_VALUE"""),44752.0152160879)</f>
        <v>44752.01522</v>
      </c>
      <c r="D4279" s="15">
        <f>IFERROR(__xludf.DUMMYFUNCTION("""COMPUTED_VALUE"""),1.004)</f>
        <v>1.004</v>
      </c>
      <c r="E4279" s="16">
        <f>IFERROR(__xludf.DUMMYFUNCTION("""COMPUTED_VALUE"""),69.0)</f>
        <v>69</v>
      </c>
      <c r="F4279" s="19" t="str">
        <f>IFERROR(__xludf.DUMMYFUNCTION("""COMPUTED_VALUE"""),"BLACK")</f>
        <v>BLACK</v>
      </c>
      <c r="G4279" s="20" t="str">
        <f>IFERROR(__xludf.DUMMYFUNCTION("""COMPUTED_VALUE"""),"Uncle Sams Cider (5/13/2022)")</f>
        <v>Uncle Sams Cider (5/13/2022)</v>
      </c>
      <c r="H4279" s="19"/>
    </row>
    <row r="4280">
      <c r="A4280" s="9"/>
      <c r="B4280" s="15"/>
      <c r="C4280" s="9">
        <f>IFERROR(__xludf.DUMMYFUNCTION("""COMPUTED_VALUE"""),44752.0047944444)</f>
        <v>44752.00479</v>
      </c>
      <c r="D4280" s="15">
        <f>IFERROR(__xludf.DUMMYFUNCTION("""COMPUTED_VALUE"""),1.004)</f>
        <v>1.004</v>
      </c>
      <c r="E4280" s="16">
        <f>IFERROR(__xludf.DUMMYFUNCTION("""COMPUTED_VALUE"""),69.0)</f>
        <v>69</v>
      </c>
      <c r="F4280" s="19" t="str">
        <f>IFERROR(__xludf.DUMMYFUNCTION("""COMPUTED_VALUE"""),"BLACK")</f>
        <v>BLACK</v>
      </c>
      <c r="G4280" s="20" t="str">
        <f>IFERROR(__xludf.DUMMYFUNCTION("""COMPUTED_VALUE"""),"Uncle Sams Cider (5/13/2022)")</f>
        <v>Uncle Sams Cider (5/13/2022)</v>
      </c>
      <c r="H4280" s="19"/>
    </row>
    <row r="4281">
      <c r="A4281" s="9"/>
      <c r="B4281" s="15"/>
      <c r="C4281" s="9">
        <f>IFERROR(__xludf.DUMMYFUNCTION("""COMPUTED_VALUE"""),44751.9943741666)</f>
        <v>44751.99437</v>
      </c>
      <c r="D4281" s="15">
        <f>IFERROR(__xludf.DUMMYFUNCTION("""COMPUTED_VALUE"""),1.004)</f>
        <v>1.004</v>
      </c>
      <c r="E4281" s="16">
        <f>IFERROR(__xludf.DUMMYFUNCTION("""COMPUTED_VALUE"""),69.0)</f>
        <v>69</v>
      </c>
      <c r="F4281" s="19" t="str">
        <f>IFERROR(__xludf.DUMMYFUNCTION("""COMPUTED_VALUE"""),"BLACK")</f>
        <v>BLACK</v>
      </c>
      <c r="G4281" s="20" t="str">
        <f>IFERROR(__xludf.DUMMYFUNCTION("""COMPUTED_VALUE"""),"Uncle Sams Cider (5/13/2022)")</f>
        <v>Uncle Sams Cider (5/13/2022)</v>
      </c>
      <c r="H4281" s="19"/>
    </row>
    <row r="4282">
      <c r="A4282" s="9"/>
      <c r="B4282" s="15"/>
      <c r="C4282" s="9">
        <f>IFERROR(__xludf.DUMMYFUNCTION("""COMPUTED_VALUE"""),44751.9839525694)</f>
        <v>44751.98395</v>
      </c>
      <c r="D4282" s="15">
        <f>IFERROR(__xludf.DUMMYFUNCTION("""COMPUTED_VALUE"""),1.004)</f>
        <v>1.004</v>
      </c>
      <c r="E4282" s="16">
        <f>IFERROR(__xludf.DUMMYFUNCTION("""COMPUTED_VALUE"""),69.0)</f>
        <v>69</v>
      </c>
      <c r="F4282" s="19" t="str">
        <f>IFERROR(__xludf.DUMMYFUNCTION("""COMPUTED_VALUE"""),"BLACK")</f>
        <v>BLACK</v>
      </c>
      <c r="G4282" s="20" t="str">
        <f>IFERROR(__xludf.DUMMYFUNCTION("""COMPUTED_VALUE"""),"Uncle Sams Cider (5/13/2022)")</f>
        <v>Uncle Sams Cider (5/13/2022)</v>
      </c>
      <c r="H4282" s="19"/>
    </row>
    <row r="4283">
      <c r="A4283" s="9"/>
      <c r="B4283" s="15"/>
      <c r="C4283" s="9">
        <f>IFERROR(__xludf.DUMMYFUNCTION("""COMPUTED_VALUE"""),44751.9735309606)</f>
        <v>44751.97353</v>
      </c>
      <c r="D4283" s="15">
        <f>IFERROR(__xludf.DUMMYFUNCTION("""COMPUTED_VALUE"""),1.004)</f>
        <v>1.004</v>
      </c>
      <c r="E4283" s="16">
        <f>IFERROR(__xludf.DUMMYFUNCTION("""COMPUTED_VALUE"""),69.0)</f>
        <v>69</v>
      </c>
      <c r="F4283" s="19" t="str">
        <f>IFERROR(__xludf.DUMMYFUNCTION("""COMPUTED_VALUE"""),"BLACK")</f>
        <v>BLACK</v>
      </c>
      <c r="G4283" s="20" t="str">
        <f>IFERROR(__xludf.DUMMYFUNCTION("""COMPUTED_VALUE"""),"Uncle Sams Cider (5/13/2022)")</f>
        <v>Uncle Sams Cider (5/13/2022)</v>
      </c>
      <c r="H4283" s="19"/>
    </row>
    <row r="4284">
      <c r="A4284" s="9"/>
      <c r="B4284" s="15"/>
      <c r="C4284" s="9">
        <f>IFERROR(__xludf.DUMMYFUNCTION("""COMPUTED_VALUE"""),44751.96310875)</f>
        <v>44751.96311</v>
      </c>
      <c r="D4284" s="15">
        <f>IFERROR(__xludf.DUMMYFUNCTION("""COMPUTED_VALUE"""),1.004)</f>
        <v>1.004</v>
      </c>
      <c r="E4284" s="16">
        <f>IFERROR(__xludf.DUMMYFUNCTION("""COMPUTED_VALUE"""),69.0)</f>
        <v>69</v>
      </c>
      <c r="F4284" s="19" t="str">
        <f>IFERROR(__xludf.DUMMYFUNCTION("""COMPUTED_VALUE"""),"BLACK")</f>
        <v>BLACK</v>
      </c>
      <c r="G4284" s="20" t="str">
        <f>IFERROR(__xludf.DUMMYFUNCTION("""COMPUTED_VALUE"""),"Uncle Sams Cider (5/13/2022)")</f>
        <v>Uncle Sams Cider (5/13/2022)</v>
      </c>
      <c r="H4284" s="19"/>
    </row>
    <row r="4285">
      <c r="A4285" s="9"/>
      <c r="B4285" s="15"/>
      <c r="C4285" s="9">
        <f>IFERROR(__xludf.DUMMYFUNCTION("""COMPUTED_VALUE"""),44751.9526878935)</f>
        <v>44751.95269</v>
      </c>
      <c r="D4285" s="15">
        <f>IFERROR(__xludf.DUMMYFUNCTION("""COMPUTED_VALUE"""),1.004)</f>
        <v>1.004</v>
      </c>
      <c r="E4285" s="16">
        <f>IFERROR(__xludf.DUMMYFUNCTION("""COMPUTED_VALUE"""),69.0)</f>
        <v>69</v>
      </c>
      <c r="F4285" s="19" t="str">
        <f>IFERROR(__xludf.DUMMYFUNCTION("""COMPUTED_VALUE"""),"BLACK")</f>
        <v>BLACK</v>
      </c>
      <c r="G4285" s="20" t="str">
        <f>IFERROR(__xludf.DUMMYFUNCTION("""COMPUTED_VALUE"""),"Uncle Sams Cider (5/13/2022)")</f>
        <v>Uncle Sams Cider (5/13/2022)</v>
      </c>
      <c r="H4285" s="19"/>
    </row>
    <row r="4286">
      <c r="A4286" s="9"/>
      <c r="B4286" s="15"/>
      <c r="C4286" s="9">
        <f>IFERROR(__xludf.DUMMYFUNCTION("""COMPUTED_VALUE"""),44751.942267743)</f>
        <v>44751.94227</v>
      </c>
      <c r="D4286" s="15">
        <f>IFERROR(__xludf.DUMMYFUNCTION("""COMPUTED_VALUE"""),1.004)</f>
        <v>1.004</v>
      </c>
      <c r="E4286" s="16">
        <f>IFERROR(__xludf.DUMMYFUNCTION("""COMPUTED_VALUE"""),69.0)</f>
        <v>69</v>
      </c>
      <c r="F4286" s="19" t="str">
        <f>IFERROR(__xludf.DUMMYFUNCTION("""COMPUTED_VALUE"""),"BLACK")</f>
        <v>BLACK</v>
      </c>
      <c r="G4286" s="20" t="str">
        <f>IFERROR(__xludf.DUMMYFUNCTION("""COMPUTED_VALUE"""),"Uncle Sams Cider (5/13/2022)")</f>
        <v>Uncle Sams Cider (5/13/2022)</v>
      </c>
      <c r="H4286" s="19"/>
    </row>
    <row r="4287">
      <c r="A4287" s="9"/>
      <c r="B4287" s="15"/>
      <c r="C4287" s="9">
        <f>IFERROR(__xludf.DUMMYFUNCTION("""COMPUTED_VALUE"""),44751.9318367245)</f>
        <v>44751.93184</v>
      </c>
      <c r="D4287" s="15">
        <f>IFERROR(__xludf.DUMMYFUNCTION("""COMPUTED_VALUE"""),1.004)</f>
        <v>1.004</v>
      </c>
      <c r="E4287" s="16">
        <f>IFERROR(__xludf.DUMMYFUNCTION("""COMPUTED_VALUE"""),69.0)</f>
        <v>69</v>
      </c>
      <c r="F4287" s="19" t="str">
        <f>IFERROR(__xludf.DUMMYFUNCTION("""COMPUTED_VALUE"""),"BLACK")</f>
        <v>BLACK</v>
      </c>
      <c r="G4287" s="20" t="str">
        <f>IFERROR(__xludf.DUMMYFUNCTION("""COMPUTED_VALUE"""),"Uncle Sams Cider (5/13/2022)")</f>
        <v>Uncle Sams Cider (5/13/2022)</v>
      </c>
      <c r="H4287" s="19"/>
    </row>
    <row r="4288">
      <c r="A4288" s="9"/>
      <c r="B4288" s="15"/>
      <c r="C4288" s="9">
        <f>IFERROR(__xludf.DUMMYFUNCTION("""COMPUTED_VALUE"""),44751.9214158333)</f>
        <v>44751.92142</v>
      </c>
      <c r="D4288" s="15">
        <f>IFERROR(__xludf.DUMMYFUNCTION("""COMPUTED_VALUE"""),1.004)</f>
        <v>1.004</v>
      </c>
      <c r="E4288" s="16">
        <f>IFERROR(__xludf.DUMMYFUNCTION("""COMPUTED_VALUE"""),69.0)</f>
        <v>69</v>
      </c>
      <c r="F4288" s="19" t="str">
        <f>IFERROR(__xludf.DUMMYFUNCTION("""COMPUTED_VALUE"""),"BLACK")</f>
        <v>BLACK</v>
      </c>
      <c r="G4288" s="20" t="str">
        <f>IFERROR(__xludf.DUMMYFUNCTION("""COMPUTED_VALUE"""),"Uncle Sams Cider (5/13/2022)")</f>
        <v>Uncle Sams Cider (5/13/2022)</v>
      </c>
      <c r="H4288" s="19"/>
    </row>
    <row r="4289">
      <c r="A4289" s="9"/>
      <c r="B4289" s="15"/>
      <c r="C4289" s="9">
        <f>IFERROR(__xludf.DUMMYFUNCTION("""COMPUTED_VALUE"""),44751.9109933796)</f>
        <v>44751.91099</v>
      </c>
      <c r="D4289" s="15">
        <f>IFERROR(__xludf.DUMMYFUNCTION("""COMPUTED_VALUE"""),1.004)</f>
        <v>1.004</v>
      </c>
      <c r="E4289" s="16">
        <f>IFERROR(__xludf.DUMMYFUNCTION("""COMPUTED_VALUE"""),69.0)</f>
        <v>69</v>
      </c>
      <c r="F4289" s="19" t="str">
        <f>IFERROR(__xludf.DUMMYFUNCTION("""COMPUTED_VALUE"""),"BLACK")</f>
        <v>BLACK</v>
      </c>
      <c r="G4289" s="20" t="str">
        <f>IFERROR(__xludf.DUMMYFUNCTION("""COMPUTED_VALUE"""),"Uncle Sams Cider (5/13/2022)")</f>
        <v>Uncle Sams Cider (5/13/2022)</v>
      </c>
      <c r="H4289" s="19"/>
    </row>
    <row r="4290">
      <c r="A4290" s="9"/>
      <c r="B4290" s="15"/>
      <c r="C4290" s="9">
        <f>IFERROR(__xludf.DUMMYFUNCTION("""COMPUTED_VALUE"""),44751.900573287)</f>
        <v>44751.90057</v>
      </c>
      <c r="D4290" s="15">
        <f>IFERROR(__xludf.DUMMYFUNCTION("""COMPUTED_VALUE"""),1.004)</f>
        <v>1.004</v>
      </c>
      <c r="E4290" s="16">
        <f>IFERROR(__xludf.DUMMYFUNCTION("""COMPUTED_VALUE"""),69.0)</f>
        <v>69</v>
      </c>
      <c r="F4290" s="19" t="str">
        <f>IFERROR(__xludf.DUMMYFUNCTION("""COMPUTED_VALUE"""),"BLACK")</f>
        <v>BLACK</v>
      </c>
      <c r="G4290" s="20" t="str">
        <f>IFERROR(__xludf.DUMMYFUNCTION("""COMPUTED_VALUE"""),"Uncle Sams Cider (5/13/2022)")</f>
        <v>Uncle Sams Cider (5/13/2022)</v>
      </c>
      <c r="H4290" s="19"/>
    </row>
    <row r="4291">
      <c r="A4291" s="9"/>
      <c r="B4291" s="15"/>
      <c r="C4291" s="9">
        <f>IFERROR(__xludf.DUMMYFUNCTION("""COMPUTED_VALUE"""),44751.8901537731)</f>
        <v>44751.89015</v>
      </c>
      <c r="D4291" s="15">
        <f>IFERROR(__xludf.DUMMYFUNCTION("""COMPUTED_VALUE"""),1.004)</f>
        <v>1.004</v>
      </c>
      <c r="E4291" s="16">
        <f>IFERROR(__xludf.DUMMYFUNCTION("""COMPUTED_VALUE"""),69.0)</f>
        <v>69</v>
      </c>
      <c r="F4291" s="19" t="str">
        <f>IFERROR(__xludf.DUMMYFUNCTION("""COMPUTED_VALUE"""),"BLACK")</f>
        <v>BLACK</v>
      </c>
      <c r="G4291" s="20" t="str">
        <f>IFERROR(__xludf.DUMMYFUNCTION("""COMPUTED_VALUE"""),"Uncle Sams Cider (5/13/2022)")</f>
        <v>Uncle Sams Cider (5/13/2022)</v>
      </c>
      <c r="H4291" s="19"/>
    </row>
    <row r="4292">
      <c r="A4292" s="9"/>
      <c r="B4292" s="15"/>
      <c r="C4292" s="9">
        <f>IFERROR(__xludf.DUMMYFUNCTION("""COMPUTED_VALUE"""),44751.879732824)</f>
        <v>44751.87973</v>
      </c>
      <c r="D4292" s="15">
        <f>IFERROR(__xludf.DUMMYFUNCTION("""COMPUTED_VALUE"""),1.004)</f>
        <v>1.004</v>
      </c>
      <c r="E4292" s="16">
        <f>IFERROR(__xludf.DUMMYFUNCTION("""COMPUTED_VALUE"""),69.0)</f>
        <v>69</v>
      </c>
      <c r="F4292" s="19" t="str">
        <f>IFERROR(__xludf.DUMMYFUNCTION("""COMPUTED_VALUE"""),"BLACK")</f>
        <v>BLACK</v>
      </c>
      <c r="G4292" s="20" t="str">
        <f>IFERROR(__xludf.DUMMYFUNCTION("""COMPUTED_VALUE"""),"Uncle Sams Cider (5/13/2022)")</f>
        <v>Uncle Sams Cider (5/13/2022)</v>
      </c>
      <c r="H4292" s="19"/>
    </row>
    <row r="4293">
      <c r="A4293" s="9"/>
      <c r="B4293" s="15"/>
      <c r="C4293" s="9">
        <f>IFERROR(__xludf.DUMMYFUNCTION("""COMPUTED_VALUE"""),44751.8693124768)</f>
        <v>44751.86931</v>
      </c>
      <c r="D4293" s="15">
        <f>IFERROR(__xludf.DUMMYFUNCTION("""COMPUTED_VALUE"""),1.004)</f>
        <v>1.004</v>
      </c>
      <c r="E4293" s="16">
        <f>IFERROR(__xludf.DUMMYFUNCTION("""COMPUTED_VALUE"""),69.0)</f>
        <v>69</v>
      </c>
      <c r="F4293" s="19" t="str">
        <f>IFERROR(__xludf.DUMMYFUNCTION("""COMPUTED_VALUE"""),"BLACK")</f>
        <v>BLACK</v>
      </c>
      <c r="G4293" s="20" t="str">
        <f>IFERROR(__xludf.DUMMYFUNCTION("""COMPUTED_VALUE"""),"Uncle Sams Cider (5/13/2022)")</f>
        <v>Uncle Sams Cider (5/13/2022)</v>
      </c>
      <c r="H4293" s="19"/>
    </row>
    <row r="4294">
      <c r="A4294" s="9"/>
      <c r="B4294" s="15"/>
      <c r="C4294" s="9">
        <f>IFERROR(__xludf.DUMMYFUNCTION("""COMPUTED_VALUE"""),44751.8588925463)</f>
        <v>44751.85889</v>
      </c>
      <c r="D4294" s="15">
        <f>IFERROR(__xludf.DUMMYFUNCTION("""COMPUTED_VALUE"""),1.004)</f>
        <v>1.004</v>
      </c>
      <c r="E4294" s="16">
        <f>IFERROR(__xludf.DUMMYFUNCTION("""COMPUTED_VALUE"""),69.0)</f>
        <v>69</v>
      </c>
      <c r="F4294" s="19" t="str">
        <f>IFERROR(__xludf.DUMMYFUNCTION("""COMPUTED_VALUE"""),"BLACK")</f>
        <v>BLACK</v>
      </c>
      <c r="G4294" s="20" t="str">
        <f>IFERROR(__xludf.DUMMYFUNCTION("""COMPUTED_VALUE"""),"Uncle Sams Cider (5/13/2022)")</f>
        <v>Uncle Sams Cider (5/13/2022)</v>
      </c>
      <c r="H4294" s="19"/>
    </row>
    <row r="4295">
      <c r="A4295" s="9"/>
      <c r="B4295" s="15"/>
      <c r="C4295" s="9">
        <f>IFERROR(__xludf.DUMMYFUNCTION("""COMPUTED_VALUE"""),44751.848470949)</f>
        <v>44751.84847</v>
      </c>
      <c r="D4295" s="15">
        <f>IFERROR(__xludf.DUMMYFUNCTION("""COMPUTED_VALUE"""),1.004)</f>
        <v>1.004</v>
      </c>
      <c r="E4295" s="16">
        <f>IFERROR(__xludf.DUMMYFUNCTION("""COMPUTED_VALUE"""),69.0)</f>
        <v>69</v>
      </c>
      <c r="F4295" s="19" t="str">
        <f>IFERROR(__xludf.DUMMYFUNCTION("""COMPUTED_VALUE"""),"BLACK")</f>
        <v>BLACK</v>
      </c>
      <c r="G4295" s="20" t="str">
        <f>IFERROR(__xludf.DUMMYFUNCTION("""COMPUTED_VALUE"""),"Uncle Sams Cider (5/13/2022)")</f>
        <v>Uncle Sams Cider (5/13/2022)</v>
      </c>
      <c r="H4295" s="19"/>
    </row>
    <row r="4296">
      <c r="A4296" s="9"/>
      <c r="B4296" s="15"/>
      <c r="C4296" s="9">
        <f>IFERROR(__xludf.DUMMYFUNCTION("""COMPUTED_VALUE"""),44751.8380496527)</f>
        <v>44751.83805</v>
      </c>
      <c r="D4296" s="15">
        <f>IFERROR(__xludf.DUMMYFUNCTION("""COMPUTED_VALUE"""),1.004)</f>
        <v>1.004</v>
      </c>
      <c r="E4296" s="16">
        <f>IFERROR(__xludf.DUMMYFUNCTION("""COMPUTED_VALUE"""),69.0)</f>
        <v>69</v>
      </c>
      <c r="F4296" s="19" t="str">
        <f>IFERROR(__xludf.DUMMYFUNCTION("""COMPUTED_VALUE"""),"BLACK")</f>
        <v>BLACK</v>
      </c>
      <c r="G4296" s="20" t="str">
        <f>IFERROR(__xludf.DUMMYFUNCTION("""COMPUTED_VALUE"""),"Uncle Sams Cider (5/13/2022)")</f>
        <v>Uncle Sams Cider (5/13/2022)</v>
      </c>
      <c r="H4296" s="19"/>
    </row>
    <row r="4297">
      <c r="A4297" s="9"/>
      <c r="B4297" s="15"/>
      <c r="C4297" s="9">
        <f>IFERROR(__xludf.DUMMYFUNCTION("""COMPUTED_VALUE"""),44751.8276150347)</f>
        <v>44751.82762</v>
      </c>
      <c r="D4297" s="15">
        <f>IFERROR(__xludf.DUMMYFUNCTION("""COMPUTED_VALUE"""),1.004)</f>
        <v>1.004</v>
      </c>
      <c r="E4297" s="16">
        <f>IFERROR(__xludf.DUMMYFUNCTION("""COMPUTED_VALUE"""),69.0)</f>
        <v>69</v>
      </c>
      <c r="F4297" s="19" t="str">
        <f>IFERROR(__xludf.DUMMYFUNCTION("""COMPUTED_VALUE"""),"BLACK")</f>
        <v>BLACK</v>
      </c>
      <c r="G4297" s="20" t="str">
        <f>IFERROR(__xludf.DUMMYFUNCTION("""COMPUTED_VALUE"""),"Uncle Sams Cider (5/13/2022)")</f>
        <v>Uncle Sams Cider (5/13/2022)</v>
      </c>
      <c r="H4297" s="19"/>
    </row>
    <row r="4298">
      <c r="A4298" s="9"/>
      <c r="B4298" s="15"/>
      <c r="C4298" s="9">
        <f>IFERROR(__xludf.DUMMYFUNCTION("""COMPUTED_VALUE"""),44751.8171943171)</f>
        <v>44751.81719</v>
      </c>
      <c r="D4298" s="15">
        <f>IFERROR(__xludf.DUMMYFUNCTION("""COMPUTED_VALUE"""),1.004)</f>
        <v>1.004</v>
      </c>
      <c r="E4298" s="16">
        <f>IFERROR(__xludf.DUMMYFUNCTION("""COMPUTED_VALUE"""),69.0)</f>
        <v>69</v>
      </c>
      <c r="F4298" s="19" t="str">
        <f>IFERROR(__xludf.DUMMYFUNCTION("""COMPUTED_VALUE"""),"BLACK")</f>
        <v>BLACK</v>
      </c>
      <c r="G4298" s="20" t="str">
        <f>IFERROR(__xludf.DUMMYFUNCTION("""COMPUTED_VALUE"""),"Uncle Sams Cider (5/13/2022)")</f>
        <v>Uncle Sams Cider (5/13/2022)</v>
      </c>
      <c r="H4298" s="19"/>
    </row>
    <row r="4299">
      <c r="A4299" s="9"/>
      <c r="B4299" s="15"/>
      <c r="C4299" s="9">
        <f>IFERROR(__xludf.DUMMYFUNCTION("""COMPUTED_VALUE"""),44751.8067516203)</f>
        <v>44751.80675</v>
      </c>
      <c r="D4299" s="15">
        <f>IFERROR(__xludf.DUMMYFUNCTION("""COMPUTED_VALUE"""),1.004)</f>
        <v>1.004</v>
      </c>
      <c r="E4299" s="16">
        <f>IFERROR(__xludf.DUMMYFUNCTION("""COMPUTED_VALUE"""),69.0)</f>
        <v>69</v>
      </c>
      <c r="F4299" s="19" t="str">
        <f>IFERROR(__xludf.DUMMYFUNCTION("""COMPUTED_VALUE"""),"BLACK")</f>
        <v>BLACK</v>
      </c>
      <c r="G4299" s="20" t="str">
        <f>IFERROR(__xludf.DUMMYFUNCTION("""COMPUTED_VALUE"""),"Uncle Sams Cider (5/13/2022)")</f>
        <v>Uncle Sams Cider (5/13/2022)</v>
      </c>
      <c r="H4299" s="19"/>
    </row>
    <row r="4300">
      <c r="A4300" s="9"/>
      <c r="B4300" s="15"/>
      <c r="C4300" s="9">
        <f>IFERROR(__xludf.DUMMYFUNCTION("""COMPUTED_VALUE"""),44751.7963327662)</f>
        <v>44751.79633</v>
      </c>
      <c r="D4300" s="15">
        <f>IFERROR(__xludf.DUMMYFUNCTION("""COMPUTED_VALUE"""),1.004)</f>
        <v>1.004</v>
      </c>
      <c r="E4300" s="16">
        <f>IFERROR(__xludf.DUMMYFUNCTION("""COMPUTED_VALUE"""),69.0)</f>
        <v>69</v>
      </c>
      <c r="F4300" s="19" t="str">
        <f>IFERROR(__xludf.DUMMYFUNCTION("""COMPUTED_VALUE"""),"BLACK")</f>
        <v>BLACK</v>
      </c>
      <c r="G4300" s="20" t="str">
        <f>IFERROR(__xludf.DUMMYFUNCTION("""COMPUTED_VALUE"""),"Uncle Sams Cider (5/13/2022)")</f>
        <v>Uncle Sams Cider (5/13/2022)</v>
      </c>
      <c r="H4300" s="19"/>
    </row>
    <row r="4301">
      <c r="A4301" s="9"/>
      <c r="B4301" s="15"/>
      <c r="C4301" s="9">
        <f>IFERROR(__xludf.DUMMYFUNCTION("""COMPUTED_VALUE"""),44751.785901412)</f>
        <v>44751.7859</v>
      </c>
      <c r="D4301" s="15">
        <f>IFERROR(__xludf.DUMMYFUNCTION("""COMPUTED_VALUE"""),1.004)</f>
        <v>1.004</v>
      </c>
      <c r="E4301" s="16">
        <f>IFERROR(__xludf.DUMMYFUNCTION("""COMPUTED_VALUE"""),69.0)</f>
        <v>69</v>
      </c>
      <c r="F4301" s="19" t="str">
        <f>IFERROR(__xludf.DUMMYFUNCTION("""COMPUTED_VALUE"""),"BLACK")</f>
        <v>BLACK</v>
      </c>
      <c r="G4301" s="20" t="str">
        <f>IFERROR(__xludf.DUMMYFUNCTION("""COMPUTED_VALUE"""),"Uncle Sams Cider (5/13/2022)")</f>
        <v>Uncle Sams Cider (5/13/2022)</v>
      </c>
      <c r="H4301" s="19"/>
    </row>
    <row r="4302">
      <c r="A4302" s="9"/>
      <c r="B4302" s="15"/>
      <c r="C4302" s="9">
        <f>IFERROR(__xludf.DUMMYFUNCTION("""COMPUTED_VALUE"""),44751.7754802083)</f>
        <v>44751.77548</v>
      </c>
      <c r="D4302" s="15">
        <f>IFERROR(__xludf.DUMMYFUNCTION("""COMPUTED_VALUE"""),1.004)</f>
        <v>1.004</v>
      </c>
      <c r="E4302" s="16">
        <f>IFERROR(__xludf.DUMMYFUNCTION("""COMPUTED_VALUE"""),69.0)</f>
        <v>69</v>
      </c>
      <c r="F4302" s="19" t="str">
        <f>IFERROR(__xludf.DUMMYFUNCTION("""COMPUTED_VALUE"""),"BLACK")</f>
        <v>BLACK</v>
      </c>
      <c r="G4302" s="20" t="str">
        <f>IFERROR(__xludf.DUMMYFUNCTION("""COMPUTED_VALUE"""),"Uncle Sams Cider (5/13/2022)")</f>
        <v>Uncle Sams Cider (5/13/2022)</v>
      </c>
      <c r="H4302" s="19"/>
    </row>
    <row r="4303">
      <c r="A4303" s="9"/>
      <c r="B4303" s="15"/>
      <c r="C4303" s="9">
        <f>IFERROR(__xludf.DUMMYFUNCTION("""COMPUTED_VALUE"""),44751.7650452314)</f>
        <v>44751.76505</v>
      </c>
      <c r="D4303" s="15">
        <f>IFERROR(__xludf.DUMMYFUNCTION("""COMPUTED_VALUE"""),1.004)</f>
        <v>1.004</v>
      </c>
      <c r="E4303" s="16">
        <f>IFERROR(__xludf.DUMMYFUNCTION("""COMPUTED_VALUE"""),69.0)</f>
        <v>69</v>
      </c>
      <c r="F4303" s="19" t="str">
        <f>IFERROR(__xludf.DUMMYFUNCTION("""COMPUTED_VALUE"""),"BLACK")</f>
        <v>BLACK</v>
      </c>
      <c r="G4303" s="20" t="str">
        <f>IFERROR(__xludf.DUMMYFUNCTION("""COMPUTED_VALUE"""),"Uncle Sams Cider (5/13/2022)")</f>
        <v>Uncle Sams Cider (5/13/2022)</v>
      </c>
      <c r="H4303" s="19"/>
    </row>
    <row r="4304">
      <c r="A4304" s="9"/>
      <c r="B4304" s="15"/>
      <c r="C4304" s="9">
        <f>IFERROR(__xludf.DUMMYFUNCTION("""COMPUTED_VALUE"""),44751.7546247222)</f>
        <v>44751.75462</v>
      </c>
      <c r="D4304" s="15">
        <f>IFERROR(__xludf.DUMMYFUNCTION("""COMPUTED_VALUE"""),1.004)</f>
        <v>1.004</v>
      </c>
      <c r="E4304" s="16">
        <f>IFERROR(__xludf.DUMMYFUNCTION("""COMPUTED_VALUE"""),69.0)</f>
        <v>69</v>
      </c>
      <c r="F4304" s="19" t="str">
        <f>IFERROR(__xludf.DUMMYFUNCTION("""COMPUTED_VALUE"""),"BLACK")</f>
        <v>BLACK</v>
      </c>
      <c r="G4304" s="20" t="str">
        <f>IFERROR(__xludf.DUMMYFUNCTION("""COMPUTED_VALUE"""),"Uncle Sams Cider (5/13/2022)")</f>
        <v>Uncle Sams Cider (5/13/2022)</v>
      </c>
      <c r="H4304" s="19"/>
    </row>
    <row r="4305">
      <c r="A4305" s="9"/>
      <c r="B4305" s="15"/>
      <c r="C4305" s="9">
        <f>IFERROR(__xludf.DUMMYFUNCTION("""COMPUTED_VALUE"""),44751.7442041666)</f>
        <v>44751.7442</v>
      </c>
      <c r="D4305" s="15">
        <f>IFERROR(__xludf.DUMMYFUNCTION("""COMPUTED_VALUE"""),1.004)</f>
        <v>1.004</v>
      </c>
      <c r="E4305" s="16">
        <f>IFERROR(__xludf.DUMMYFUNCTION("""COMPUTED_VALUE"""),69.0)</f>
        <v>69</v>
      </c>
      <c r="F4305" s="19" t="str">
        <f>IFERROR(__xludf.DUMMYFUNCTION("""COMPUTED_VALUE"""),"BLACK")</f>
        <v>BLACK</v>
      </c>
      <c r="G4305" s="20" t="str">
        <f>IFERROR(__xludf.DUMMYFUNCTION("""COMPUTED_VALUE"""),"Uncle Sams Cider (5/13/2022)")</f>
        <v>Uncle Sams Cider (5/13/2022)</v>
      </c>
      <c r="H4305" s="19"/>
    </row>
    <row r="4306">
      <c r="A4306" s="9"/>
      <c r="B4306" s="15"/>
      <c r="C4306" s="9">
        <f>IFERROR(__xludf.DUMMYFUNCTION("""COMPUTED_VALUE"""),44751.7337830902)</f>
        <v>44751.73378</v>
      </c>
      <c r="D4306" s="15">
        <f>IFERROR(__xludf.DUMMYFUNCTION("""COMPUTED_VALUE"""),1.004)</f>
        <v>1.004</v>
      </c>
      <c r="E4306" s="16">
        <f>IFERROR(__xludf.DUMMYFUNCTION("""COMPUTED_VALUE"""),69.0)</f>
        <v>69</v>
      </c>
      <c r="F4306" s="19" t="str">
        <f>IFERROR(__xludf.DUMMYFUNCTION("""COMPUTED_VALUE"""),"BLACK")</f>
        <v>BLACK</v>
      </c>
      <c r="G4306" s="20" t="str">
        <f>IFERROR(__xludf.DUMMYFUNCTION("""COMPUTED_VALUE"""),"Uncle Sams Cider (5/13/2022)")</f>
        <v>Uncle Sams Cider (5/13/2022)</v>
      </c>
      <c r="H4306" s="19"/>
    </row>
    <row r="4307">
      <c r="A4307" s="9"/>
      <c r="B4307" s="15"/>
      <c r="C4307" s="9">
        <f>IFERROR(__xludf.DUMMYFUNCTION("""COMPUTED_VALUE"""),44751.7233517361)</f>
        <v>44751.72335</v>
      </c>
      <c r="D4307" s="15">
        <f>IFERROR(__xludf.DUMMYFUNCTION("""COMPUTED_VALUE"""),1.004)</f>
        <v>1.004</v>
      </c>
      <c r="E4307" s="16">
        <f>IFERROR(__xludf.DUMMYFUNCTION("""COMPUTED_VALUE"""),68.0)</f>
        <v>68</v>
      </c>
      <c r="F4307" s="19" t="str">
        <f>IFERROR(__xludf.DUMMYFUNCTION("""COMPUTED_VALUE"""),"BLACK")</f>
        <v>BLACK</v>
      </c>
      <c r="G4307" s="20" t="str">
        <f>IFERROR(__xludf.DUMMYFUNCTION("""COMPUTED_VALUE"""),"Uncle Sams Cider (5/13/2022)")</f>
        <v>Uncle Sams Cider (5/13/2022)</v>
      </c>
      <c r="H4307" s="19"/>
    </row>
    <row r="4308">
      <c r="A4308" s="9"/>
      <c r="B4308" s="15"/>
      <c r="C4308" s="9">
        <f>IFERROR(__xludf.DUMMYFUNCTION("""COMPUTED_VALUE"""),44751.7129303703)</f>
        <v>44751.71293</v>
      </c>
      <c r="D4308" s="15">
        <f>IFERROR(__xludf.DUMMYFUNCTION("""COMPUTED_VALUE"""),1.004)</f>
        <v>1.004</v>
      </c>
      <c r="E4308" s="16">
        <f>IFERROR(__xludf.DUMMYFUNCTION("""COMPUTED_VALUE"""),68.0)</f>
        <v>68</v>
      </c>
      <c r="F4308" s="19" t="str">
        <f>IFERROR(__xludf.DUMMYFUNCTION("""COMPUTED_VALUE"""),"BLACK")</f>
        <v>BLACK</v>
      </c>
      <c r="G4308" s="20" t="str">
        <f>IFERROR(__xludf.DUMMYFUNCTION("""COMPUTED_VALUE"""),"Uncle Sams Cider (5/13/2022)")</f>
        <v>Uncle Sams Cider (5/13/2022)</v>
      </c>
      <c r="H4308" s="19"/>
    </row>
    <row r="4309">
      <c r="A4309" s="9"/>
      <c r="B4309" s="15"/>
      <c r="C4309" s="9">
        <f>IFERROR(__xludf.DUMMYFUNCTION("""COMPUTED_VALUE"""),44751.7025084722)</f>
        <v>44751.70251</v>
      </c>
      <c r="D4309" s="15">
        <f>IFERROR(__xludf.DUMMYFUNCTION("""COMPUTED_VALUE"""),1.004)</f>
        <v>1.004</v>
      </c>
      <c r="E4309" s="16">
        <f>IFERROR(__xludf.DUMMYFUNCTION("""COMPUTED_VALUE"""),68.0)</f>
        <v>68</v>
      </c>
      <c r="F4309" s="19" t="str">
        <f>IFERROR(__xludf.DUMMYFUNCTION("""COMPUTED_VALUE"""),"BLACK")</f>
        <v>BLACK</v>
      </c>
      <c r="G4309" s="20" t="str">
        <f>IFERROR(__xludf.DUMMYFUNCTION("""COMPUTED_VALUE"""),"Uncle Sams Cider (5/13/2022)")</f>
        <v>Uncle Sams Cider (5/13/2022)</v>
      </c>
      <c r="H4309" s="19"/>
    </row>
    <row r="4310">
      <c r="A4310" s="9"/>
      <c r="B4310" s="15"/>
      <c r="C4310" s="9">
        <f>IFERROR(__xludf.DUMMYFUNCTION("""COMPUTED_VALUE"""),44751.6920909953)</f>
        <v>44751.69209</v>
      </c>
      <c r="D4310" s="15">
        <f>IFERROR(__xludf.DUMMYFUNCTION("""COMPUTED_VALUE"""),1.004)</f>
        <v>1.004</v>
      </c>
      <c r="E4310" s="16">
        <f>IFERROR(__xludf.DUMMYFUNCTION("""COMPUTED_VALUE"""),68.0)</f>
        <v>68</v>
      </c>
      <c r="F4310" s="19" t="str">
        <f>IFERROR(__xludf.DUMMYFUNCTION("""COMPUTED_VALUE"""),"BLACK")</f>
        <v>BLACK</v>
      </c>
      <c r="G4310" s="20" t="str">
        <f>IFERROR(__xludf.DUMMYFUNCTION("""COMPUTED_VALUE"""),"Uncle Sams Cider (5/13/2022)")</f>
        <v>Uncle Sams Cider (5/13/2022)</v>
      </c>
      <c r="H4310" s="19"/>
    </row>
    <row r="4311">
      <c r="A4311" s="9"/>
      <c r="B4311" s="15"/>
      <c r="C4311" s="9">
        <f>IFERROR(__xludf.DUMMYFUNCTION("""COMPUTED_VALUE"""),44751.6816482176)</f>
        <v>44751.68165</v>
      </c>
      <c r="D4311" s="15">
        <f>IFERROR(__xludf.DUMMYFUNCTION("""COMPUTED_VALUE"""),1.004)</f>
        <v>1.004</v>
      </c>
      <c r="E4311" s="16">
        <f>IFERROR(__xludf.DUMMYFUNCTION("""COMPUTED_VALUE"""),68.0)</f>
        <v>68</v>
      </c>
      <c r="F4311" s="19" t="str">
        <f>IFERROR(__xludf.DUMMYFUNCTION("""COMPUTED_VALUE"""),"BLACK")</f>
        <v>BLACK</v>
      </c>
      <c r="G4311" s="20" t="str">
        <f>IFERROR(__xludf.DUMMYFUNCTION("""COMPUTED_VALUE"""),"Uncle Sams Cider (5/13/2022)")</f>
        <v>Uncle Sams Cider (5/13/2022)</v>
      </c>
      <c r="H4311" s="19"/>
    </row>
    <row r="4312">
      <c r="A4312" s="9"/>
      <c r="B4312" s="15"/>
      <c r="C4312" s="9">
        <f>IFERROR(__xludf.DUMMYFUNCTION("""COMPUTED_VALUE"""),44751.6712307754)</f>
        <v>44751.67123</v>
      </c>
      <c r="D4312" s="15">
        <f>IFERROR(__xludf.DUMMYFUNCTION("""COMPUTED_VALUE"""),1.004)</f>
        <v>1.004</v>
      </c>
      <c r="E4312" s="16">
        <f>IFERROR(__xludf.DUMMYFUNCTION("""COMPUTED_VALUE"""),68.0)</f>
        <v>68</v>
      </c>
      <c r="F4312" s="19" t="str">
        <f>IFERROR(__xludf.DUMMYFUNCTION("""COMPUTED_VALUE"""),"BLACK")</f>
        <v>BLACK</v>
      </c>
      <c r="G4312" s="20" t="str">
        <f>IFERROR(__xludf.DUMMYFUNCTION("""COMPUTED_VALUE"""),"Uncle Sams Cider (5/13/2022)")</f>
        <v>Uncle Sams Cider (5/13/2022)</v>
      </c>
      <c r="H4312" s="19"/>
    </row>
    <row r="4313">
      <c r="A4313" s="9"/>
      <c r="B4313" s="15"/>
      <c r="C4313" s="9">
        <f>IFERROR(__xludf.DUMMYFUNCTION("""COMPUTED_VALUE"""),44751.6608093171)</f>
        <v>44751.66081</v>
      </c>
      <c r="D4313" s="15">
        <f>IFERROR(__xludf.DUMMYFUNCTION("""COMPUTED_VALUE"""),1.004)</f>
        <v>1.004</v>
      </c>
      <c r="E4313" s="16">
        <f>IFERROR(__xludf.DUMMYFUNCTION("""COMPUTED_VALUE"""),68.0)</f>
        <v>68</v>
      </c>
      <c r="F4313" s="19" t="str">
        <f>IFERROR(__xludf.DUMMYFUNCTION("""COMPUTED_VALUE"""),"BLACK")</f>
        <v>BLACK</v>
      </c>
      <c r="G4313" s="20" t="str">
        <f>IFERROR(__xludf.DUMMYFUNCTION("""COMPUTED_VALUE"""),"Uncle Sams Cider (5/13/2022)")</f>
        <v>Uncle Sams Cider (5/13/2022)</v>
      </c>
      <c r="H4313" s="19"/>
    </row>
    <row r="4314">
      <c r="A4314" s="9"/>
      <c r="B4314" s="15"/>
      <c r="C4314" s="9">
        <f>IFERROR(__xludf.DUMMYFUNCTION("""COMPUTED_VALUE"""),44751.6503893518)</f>
        <v>44751.65039</v>
      </c>
      <c r="D4314" s="15">
        <f>IFERROR(__xludf.DUMMYFUNCTION("""COMPUTED_VALUE"""),1.004)</f>
        <v>1.004</v>
      </c>
      <c r="E4314" s="16">
        <f>IFERROR(__xludf.DUMMYFUNCTION("""COMPUTED_VALUE"""),68.0)</f>
        <v>68</v>
      </c>
      <c r="F4314" s="19" t="str">
        <f>IFERROR(__xludf.DUMMYFUNCTION("""COMPUTED_VALUE"""),"BLACK")</f>
        <v>BLACK</v>
      </c>
      <c r="G4314" s="20" t="str">
        <f>IFERROR(__xludf.DUMMYFUNCTION("""COMPUTED_VALUE"""),"Uncle Sams Cider (5/13/2022)")</f>
        <v>Uncle Sams Cider (5/13/2022)</v>
      </c>
      <c r="H4314" s="19"/>
    </row>
    <row r="4315">
      <c r="A4315" s="9"/>
      <c r="B4315" s="15"/>
      <c r="C4315" s="9">
        <f>IFERROR(__xludf.DUMMYFUNCTION("""COMPUTED_VALUE"""),44751.6399586458)</f>
        <v>44751.63996</v>
      </c>
      <c r="D4315" s="15">
        <f>IFERROR(__xludf.DUMMYFUNCTION("""COMPUTED_VALUE"""),1.004)</f>
        <v>1.004</v>
      </c>
      <c r="E4315" s="16">
        <f>IFERROR(__xludf.DUMMYFUNCTION("""COMPUTED_VALUE"""),68.0)</f>
        <v>68</v>
      </c>
      <c r="F4315" s="19" t="str">
        <f>IFERROR(__xludf.DUMMYFUNCTION("""COMPUTED_VALUE"""),"BLACK")</f>
        <v>BLACK</v>
      </c>
      <c r="G4315" s="20" t="str">
        <f>IFERROR(__xludf.DUMMYFUNCTION("""COMPUTED_VALUE"""),"Uncle Sams Cider (5/13/2022)")</f>
        <v>Uncle Sams Cider (5/13/2022)</v>
      </c>
      <c r="H4315" s="19"/>
    </row>
    <row r="4316">
      <c r="A4316" s="9"/>
      <c r="B4316" s="15"/>
      <c r="C4316" s="9">
        <f>IFERROR(__xludf.DUMMYFUNCTION("""COMPUTED_VALUE"""),44751.6295362731)</f>
        <v>44751.62954</v>
      </c>
      <c r="D4316" s="15">
        <f>IFERROR(__xludf.DUMMYFUNCTION("""COMPUTED_VALUE"""),1.004)</f>
        <v>1.004</v>
      </c>
      <c r="E4316" s="16">
        <f>IFERROR(__xludf.DUMMYFUNCTION("""COMPUTED_VALUE"""),68.0)</f>
        <v>68</v>
      </c>
      <c r="F4316" s="19" t="str">
        <f>IFERROR(__xludf.DUMMYFUNCTION("""COMPUTED_VALUE"""),"BLACK")</f>
        <v>BLACK</v>
      </c>
      <c r="G4316" s="20" t="str">
        <f>IFERROR(__xludf.DUMMYFUNCTION("""COMPUTED_VALUE"""),"Uncle Sams Cider (5/13/2022)")</f>
        <v>Uncle Sams Cider (5/13/2022)</v>
      </c>
      <c r="H4316" s="19"/>
    </row>
    <row r="4317">
      <c r="A4317" s="9"/>
      <c r="B4317" s="15"/>
      <c r="C4317" s="9">
        <f>IFERROR(__xludf.DUMMYFUNCTION("""COMPUTED_VALUE"""),44751.6191157523)</f>
        <v>44751.61912</v>
      </c>
      <c r="D4317" s="15">
        <f>IFERROR(__xludf.DUMMYFUNCTION("""COMPUTED_VALUE"""),1.004)</f>
        <v>1.004</v>
      </c>
      <c r="E4317" s="16">
        <f>IFERROR(__xludf.DUMMYFUNCTION("""COMPUTED_VALUE"""),68.0)</f>
        <v>68</v>
      </c>
      <c r="F4317" s="19" t="str">
        <f>IFERROR(__xludf.DUMMYFUNCTION("""COMPUTED_VALUE"""),"BLACK")</f>
        <v>BLACK</v>
      </c>
      <c r="G4317" s="20" t="str">
        <f>IFERROR(__xludf.DUMMYFUNCTION("""COMPUTED_VALUE"""),"Uncle Sams Cider (5/13/2022)")</f>
        <v>Uncle Sams Cider (5/13/2022)</v>
      </c>
      <c r="H4317" s="19"/>
    </row>
    <row r="4318">
      <c r="A4318" s="9"/>
      <c r="B4318" s="15"/>
      <c r="C4318" s="9">
        <f>IFERROR(__xludf.DUMMYFUNCTION("""COMPUTED_VALUE"""),44751.6086958796)</f>
        <v>44751.6087</v>
      </c>
      <c r="D4318" s="15">
        <f>IFERROR(__xludf.DUMMYFUNCTION("""COMPUTED_VALUE"""),1.004)</f>
        <v>1.004</v>
      </c>
      <c r="E4318" s="16">
        <f>IFERROR(__xludf.DUMMYFUNCTION("""COMPUTED_VALUE"""),68.0)</f>
        <v>68</v>
      </c>
      <c r="F4318" s="19" t="str">
        <f>IFERROR(__xludf.DUMMYFUNCTION("""COMPUTED_VALUE"""),"BLACK")</f>
        <v>BLACK</v>
      </c>
      <c r="G4318" s="20" t="str">
        <f>IFERROR(__xludf.DUMMYFUNCTION("""COMPUTED_VALUE"""),"Uncle Sams Cider (5/13/2022)")</f>
        <v>Uncle Sams Cider (5/13/2022)</v>
      </c>
      <c r="H4318" s="19"/>
    </row>
    <row r="4319">
      <c r="A4319" s="9"/>
      <c r="B4319" s="15"/>
      <c r="C4319" s="9">
        <f>IFERROR(__xludf.DUMMYFUNCTION("""COMPUTED_VALUE"""),44751.5982739004)</f>
        <v>44751.59827</v>
      </c>
      <c r="D4319" s="15">
        <f>IFERROR(__xludf.DUMMYFUNCTION("""COMPUTED_VALUE"""),1.004)</f>
        <v>1.004</v>
      </c>
      <c r="E4319" s="16">
        <f>IFERROR(__xludf.DUMMYFUNCTION("""COMPUTED_VALUE"""),68.0)</f>
        <v>68</v>
      </c>
      <c r="F4319" s="19" t="str">
        <f>IFERROR(__xludf.DUMMYFUNCTION("""COMPUTED_VALUE"""),"BLACK")</f>
        <v>BLACK</v>
      </c>
      <c r="G4319" s="20" t="str">
        <f>IFERROR(__xludf.DUMMYFUNCTION("""COMPUTED_VALUE"""),"Uncle Sams Cider (5/13/2022)")</f>
        <v>Uncle Sams Cider (5/13/2022)</v>
      </c>
      <c r="H4319" s="19"/>
    </row>
    <row r="4320">
      <c r="A4320" s="9"/>
      <c r="B4320" s="15"/>
      <c r="C4320" s="9">
        <f>IFERROR(__xludf.DUMMYFUNCTION("""COMPUTED_VALUE"""),44751.5878511574)</f>
        <v>44751.58785</v>
      </c>
      <c r="D4320" s="15">
        <f>IFERROR(__xludf.DUMMYFUNCTION("""COMPUTED_VALUE"""),1.004)</f>
        <v>1.004</v>
      </c>
      <c r="E4320" s="16">
        <f>IFERROR(__xludf.DUMMYFUNCTION("""COMPUTED_VALUE"""),68.0)</f>
        <v>68</v>
      </c>
      <c r="F4320" s="19" t="str">
        <f>IFERROR(__xludf.DUMMYFUNCTION("""COMPUTED_VALUE"""),"BLACK")</f>
        <v>BLACK</v>
      </c>
      <c r="G4320" s="20" t="str">
        <f>IFERROR(__xludf.DUMMYFUNCTION("""COMPUTED_VALUE"""),"Uncle Sams Cider (5/13/2022)")</f>
        <v>Uncle Sams Cider (5/13/2022)</v>
      </c>
      <c r="H4320" s="19"/>
    </row>
    <row r="4321">
      <c r="A4321" s="9"/>
      <c r="B4321" s="15"/>
      <c r="C4321" s="9">
        <f>IFERROR(__xludf.DUMMYFUNCTION("""COMPUTED_VALUE"""),44751.5774199305)</f>
        <v>44751.57742</v>
      </c>
      <c r="D4321" s="15">
        <f>IFERROR(__xludf.DUMMYFUNCTION("""COMPUTED_VALUE"""),1.004)</f>
        <v>1.004</v>
      </c>
      <c r="E4321" s="16">
        <f>IFERROR(__xludf.DUMMYFUNCTION("""COMPUTED_VALUE"""),68.0)</f>
        <v>68</v>
      </c>
      <c r="F4321" s="19" t="str">
        <f>IFERROR(__xludf.DUMMYFUNCTION("""COMPUTED_VALUE"""),"BLACK")</f>
        <v>BLACK</v>
      </c>
      <c r="G4321" s="20" t="str">
        <f>IFERROR(__xludf.DUMMYFUNCTION("""COMPUTED_VALUE"""),"Uncle Sams Cider (5/13/2022)")</f>
        <v>Uncle Sams Cider (5/13/2022)</v>
      </c>
      <c r="H4321" s="19"/>
    </row>
    <row r="4322">
      <c r="A4322" s="9"/>
      <c r="B4322" s="15"/>
      <c r="C4322" s="9">
        <f>IFERROR(__xludf.DUMMYFUNCTION("""COMPUTED_VALUE"""),44751.5669989004)</f>
        <v>44751.567</v>
      </c>
      <c r="D4322" s="15">
        <f>IFERROR(__xludf.DUMMYFUNCTION("""COMPUTED_VALUE"""),1.004)</f>
        <v>1.004</v>
      </c>
      <c r="E4322" s="16">
        <f>IFERROR(__xludf.DUMMYFUNCTION("""COMPUTED_VALUE"""),68.0)</f>
        <v>68</v>
      </c>
      <c r="F4322" s="19" t="str">
        <f>IFERROR(__xludf.DUMMYFUNCTION("""COMPUTED_VALUE"""),"BLACK")</f>
        <v>BLACK</v>
      </c>
      <c r="G4322" s="20" t="str">
        <f>IFERROR(__xludf.DUMMYFUNCTION("""COMPUTED_VALUE"""),"Uncle Sams Cider (5/13/2022)")</f>
        <v>Uncle Sams Cider (5/13/2022)</v>
      </c>
      <c r="H4322" s="19"/>
    </row>
    <row r="4323">
      <c r="A4323" s="9"/>
      <c r="B4323" s="15"/>
      <c r="C4323" s="9">
        <f>IFERROR(__xludf.DUMMYFUNCTION("""COMPUTED_VALUE"""),44751.5565778703)</f>
        <v>44751.55658</v>
      </c>
      <c r="D4323" s="15">
        <f>IFERROR(__xludf.DUMMYFUNCTION("""COMPUTED_VALUE"""),1.004)</f>
        <v>1.004</v>
      </c>
      <c r="E4323" s="16">
        <f>IFERROR(__xludf.DUMMYFUNCTION("""COMPUTED_VALUE"""),68.0)</f>
        <v>68</v>
      </c>
      <c r="F4323" s="19" t="str">
        <f>IFERROR(__xludf.DUMMYFUNCTION("""COMPUTED_VALUE"""),"BLACK")</f>
        <v>BLACK</v>
      </c>
      <c r="G4323" s="20" t="str">
        <f>IFERROR(__xludf.DUMMYFUNCTION("""COMPUTED_VALUE"""),"Uncle Sams Cider (5/13/2022)")</f>
        <v>Uncle Sams Cider (5/13/2022)</v>
      </c>
      <c r="H4323" s="19"/>
    </row>
    <row r="4324">
      <c r="A4324" s="9"/>
      <c r="B4324" s="15"/>
      <c r="C4324" s="9">
        <f>IFERROR(__xludf.DUMMYFUNCTION("""COMPUTED_VALUE"""),44751.5461568287)</f>
        <v>44751.54616</v>
      </c>
      <c r="D4324" s="15">
        <f>IFERROR(__xludf.DUMMYFUNCTION("""COMPUTED_VALUE"""),1.004)</f>
        <v>1.004</v>
      </c>
      <c r="E4324" s="16">
        <f>IFERROR(__xludf.DUMMYFUNCTION("""COMPUTED_VALUE"""),68.0)</f>
        <v>68</v>
      </c>
      <c r="F4324" s="19" t="str">
        <f>IFERROR(__xludf.DUMMYFUNCTION("""COMPUTED_VALUE"""),"BLACK")</f>
        <v>BLACK</v>
      </c>
      <c r="G4324" s="20" t="str">
        <f>IFERROR(__xludf.DUMMYFUNCTION("""COMPUTED_VALUE"""),"Uncle Sams Cider (5/13/2022)")</f>
        <v>Uncle Sams Cider (5/13/2022)</v>
      </c>
      <c r="H4324" s="19"/>
    </row>
    <row r="4325">
      <c r="A4325" s="9"/>
      <c r="B4325" s="15"/>
      <c r="C4325" s="9">
        <f>IFERROR(__xludf.DUMMYFUNCTION("""COMPUTED_VALUE"""),44751.5357359027)</f>
        <v>44751.53574</v>
      </c>
      <c r="D4325" s="15">
        <f>IFERROR(__xludf.DUMMYFUNCTION("""COMPUTED_VALUE"""),1.004)</f>
        <v>1.004</v>
      </c>
      <c r="E4325" s="16">
        <f>IFERROR(__xludf.DUMMYFUNCTION("""COMPUTED_VALUE"""),68.0)</f>
        <v>68</v>
      </c>
      <c r="F4325" s="19" t="str">
        <f>IFERROR(__xludf.DUMMYFUNCTION("""COMPUTED_VALUE"""),"BLACK")</f>
        <v>BLACK</v>
      </c>
      <c r="G4325" s="20" t="str">
        <f>IFERROR(__xludf.DUMMYFUNCTION("""COMPUTED_VALUE"""),"Uncle Sams Cider (5/13/2022)")</f>
        <v>Uncle Sams Cider (5/13/2022)</v>
      </c>
      <c r="H4325" s="19"/>
    </row>
    <row r="4326">
      <c r="A4326" s="9"/>
      <c r="B4326" s="15"/>
      <c r="C4326" s="9">
        <f>IFERROR(__xludf.DUMMYFUNCTION("""COMPUTED_VALUE"""),44751.5253163425)</f>
        <v>44751.52532</v>
      </c>
      <c r="D4326" s="15">
        <f>IFERROR(__xludf.DUMMYFUNCTION("""COMPUTED_VALUE"""),1.004)</f>
        <v>1.004</v>
      </c>
      <c r="E4326" s="16">
        <f>IFERROR(__xludf.DUMMYFUNCTION("""COMPUTED_VALUE"""),68.0)</f>
        <v>68</v>
      </c>
      <c r="F4326" s="19" t="str">
        <f>IFERROR(__xludf.DUMMYFUNCTION("""COMPUTED_VALUE"""),"BLACK")</f>
        <v>BLACK</v>
      </c>
      <c r="G4326" s="20" t="str">
        <f>IFERROR(__xludf.DUMMYFUNCTION("""COMPUTED_VALUE"""),"Uncle Sams Cider (5/13/2022)")</f>
        <v>Uncle Sams Cider (5/13/2022)</v>
      </c>
      <c r="H4326" s="19"/>
    </row>
    <row r="4327">
      <c r="A4327" s="9"/>
      <c r="B4327" s="15"/>
      <c r="C4327" s="9">
        <f>IFERROR(__xludf.DUMMYFUNCTION("""COMPUTED_VALUE"""),44751.5148962847)</f>
        <v>44751.5149</v>
      </c>
      <c r="D4327" s="15">
        <f>IFERROR(__xludf.DUMMYFUNCTION("""COMPUTED_VALUE"""),1.004)</f>
        <v>1.004</v>
      </c>
      <c r="E4327" s="16">
        <f>IFERROR(__xludf.DUMMYFUNCTION("""COMPUTED_VALUE"""),68.0)</f>
        <v>68</v>
      </c>
      <c r="F4327" s="19" t="str">
        <f>IFERROR(__xludf.DUMMYFUNCTION("""COMPUTED_VALUE"""),"BLACK")</f>
        <v>BLACK</v>
      </c>
      <c r="G4327" s="20" t="str">
        <f>IFERROR(__xludf.DUMMYFUNCTION("""COMPUTED_VALUE"""),"Uncle Sams Cider (5/13/2022)")</f>
        <v>Uncle Sams Cider (5/13/2022)</v>
      </c>
      <c r="H4327" s="19"/>
    </row>
    <row r="4328">
      <c r="A4328" s="9"/>
      <c r="B4328" s="15"/>
      <c r="C4328" s="9">
        <f>IFERROR(__xludf.DUMMYFUNCTION("""COMPUTED_VALUE"""),44751.5044742708)</f>
        <v>44751.50447</v>
      </c>
      <c r="D4328" s="15">
        <f>IFERROR(__xludf.DUMMYFUNCTION("""COMPUTED_VALUE"""),1.004)</f>
        <v>1.004</v>
      </c>
      <c r="E4328" s="16">
        <f>IFERROR(__xludf.DUMMYFUNCTION("""COMPUTED_VALUE"""),68.0)</f>
        <v>68</v>
      </c>
      <c r="F4328" s="19" t="str">
        <f>IFERROR(__xludf.DUMMYFUNCTION("""COMPUTED_VALUE"""),"BLACK")</f>
        <v>BLACK</v>
      </c>
      <c r="G4328" s="20" t="str">
        <f>IFERROR(__xludf.DUMMYFUNCTION("""COMPUTED_VALUE"""),"Uncle Sams Cider (5/13/2022)")</f>
        <v>Uncle Sams Cider (5/13/2022)</v>
      </c>
      <c r="H4328" s="19"/>
    </row>
    <row r="4329">
      <c r="A4329" s="9"/>
      <c r="B4329" s="15"/>
      <c r="C4329" s="9">
        <f>IFERROR(__xludf.DUMMYFUNCTION("""COMPUTED_VALUE"""),44751.4940535532)</f>
        <v>44751.49405</v>
      </c>
      <c r="D4329" s="15">
        <f>IFERROR(__xludf.DUMMYFUNCTION("""COMPUTED_VALUE"""),1.004)</f>
        <v>1.004</v>
      </c>
      <c r="E4329" s="16">
        <f>IFERROR(__xludf.DUMMYFUNCTION("""COMPUTED_VALUE"""),68.0)</f>
        <v>68</v>
      </c>
      <c r="F4329" s="19" t="str">
        <f>IFERROR(__xludf.DUMMYFUNCTION("""COMPUTED_VALUE"""),"BLACK")</f>
        <v>BLACK</v>
      </c>
      <c r="G4329" s="20" t="str">
        <f>IFERROR(__xludf.DUMMYFUNCTION("""COMPUTED_VALUE"""),"Uncle Sams Cider (5/13/2022)")</f>
        <v>Uncle Sams Cider (5/13/2022)</v>
      </c>
      <c r="H4329" s="19"/>
    </row>
    <row r="4330">
      <c r="A4330" s="9"/>
      <c r="B4330" s="15"/>
      <c r="C4330" s="9">
        <f>IFERROR(__xludf.DUMMYFUNCTION("""COMPUTED_VALUE"""),44751.4836309722)</f>
        <v>44751.48363</v>
      </c>
      <c r="D4330" s="15">
        <f>IFERROR(__xludf.DUMMYFUNCTION("""COMPUTED_VALUE"""),1.004)</f>
        <v>1.004</v>
      </c>
      <c r="E4330" s="16">
        <f>IFERROR(__xludf.DUMMYFUNCTION("""COMPUTED_VALUE"""),68.0)</f>
        <v>68</v>
      </c>
      <c r="F4330" s="19" t="str">
        <f>IFERROR(__xludf.DUMMYFUNCTION("""COMPUTED_VALUE"""),"BLACK")</f>
        <v>BLACK</v>
      </c>
      <c r="G4330" s="20" t="str">
        <f>IFERROR(__xludf.DUMMYFUNCTION("""COMPUTED_VALUE"""),"Uncle Sams Cider (5/13/2022)")</f>
        <v>Uncle Sams Cider (5/13/2022)</v>
      </c>
      <c r="H4330" s="19"/>
    </row>
    <row r="4331">
      <c r="A4331" s="9"/>
      <c r="B4331" s="15"/>
      <c r="C4331" s="9">
        <f>IFERROR(__xludf.DUMMYFUNCTION("""COMPUTED_VALUE"""),44751.4732101157)</f>
        <v>44751.47321</v>
      </c>
      <c r="D4331" s="15">
        <f>IFERROR(__xludf.DUMMYFUNCTION("""COMPUTED_VALUE"""),1.004)</f>
        <v>1.004</v>
      </c>
      <c r="E4331" s="16">
        <f>IFERROR(__xludf.DUMMYFUNCTION("""COMPUTED_VALUE"""),68.0)</f>
        <v>68</v>
      </c>
      <c r="F4331" s="19" t="str">
        <f>IFERROR(__xludf.DUMMYFUNCTION("""COMPUTED_VALUE"""),"BLACK")</f>
        <v>BLACK</v>
      </c>
      <c r="G4331" s="20" t="str">
        <f>IFERROR(__xludf.DUMMYFUNCTION("""COMPUTED_VALUE"""),"Uncle Sams Cider (5/13/2022)")</f>
        <v>Uncle Sams Cider (5/13/2022)</v>
      </c>
      <c r="H4331" s="19"/>
    </row>
    <row r="4332">
      <c r="A4332" s="9"/>
      <c r="B4332" s="15"/>
      <c r="C4332" s="9">
        <f>IFERROR(__xludf.DUMMYFUNCTION("""COMPUTED_VALUE"""),44751.4627671875)</f>
        <v>44751.46277</v>
      </c>
      <c r="D4332" s="15">
        <f>IFERROR(__xludf.DUMMYFUNCTION("""COMPUTED_VALUE"""),1.004)</f>
        <v>1.004</v>
      </c>
      <c r="E4332" s="16">
        <f>IFERROR(__xludf.DUMMYFUNCTION("""COMPUTED_VALUE"""),68.0)</f>
        <v>68</v>
      </c>
      <c r="F4332" s="19" t="str">
        <f>IFERROR(__xludf.DUMMYFUNCTION("""COMPUTED_VALUE"""),"BLACK")</f>
        <v>BLACK</v>
      </c>
      <c r="G4332" s="20" t="str">
        <f>IFERROR(__xludf.DUMMYFUNCTION("""COMPUTED_VALUE"""),"Uncle Sams Cider (5/13/2022)")</f>
        <v>Uncle Sams Cider (5/13/2022)</v>
      </c>
      <c r="H4332" s="19"/>
    </row>
    <row r="4333">
      <c r="A4333" s="9"/>
      <c r="B4333" s="15"/>
      <c r="C4333" s="9">
        <f>IFERROR(__xludf.DUMMYFUNCTION("""COMPUTED_VALUE"""),44751.4523462615)</f>
        <v>44751.45235</v>
      </c>
      <c r="D4333" s="15">
        <f>IFERROR(__xludf.DUMMYFUNCTION("""COMPUTED_VALUE"""),1.004)</f>
        <v>1.004</v>
      </c>
      <c r="E4333" s="16">
        <f>IFERROR(__xludf.DUMMYFUNCTION("""COMPUTED_VALUE"""),68.0)</f>
        <v>68</v>
      </c>
      <c r="F4333" s="19" t="str">
        <f>IFERROR(__xludf.DUMMYFUNCTION("""COMPUTED_VALUE"""),"BLACK")</f>
        <v>BLACK</v>
      </c>
      <c r="G4333" s="20" t="str">
        <f>IFERROR(__xludf.DUMMYFUNCTION("""COMPUTED_VALUE"""),"Uncle Sams Cider (5/13/2022)")</f>
        <v>Uncle Sams Cider (5/13/2022)</v>
      </c>
      <c r="H4333" s="19"/>
    </row>
    <row r="4334">
      <c r="A4334" s="9"/>
      <c r="B4334" s="15"/>
      <c r="C4334" s="9">
        <f>IFERROR(__xludf.DUMMYFUNCTION("""COMPUTED_VALUE"""),44751.4419243171)</f>
        <v>44751.44192</v>
      </c>
      <c r="D4334" s="15">
        <f>IFERROR(__xludf.DUMMYFUNCTION("""COMPUTED_VALUE"""),1.004)</f>
        <v>1.004</v>
      </c>
      <c r="E4334" s="16">
        <f>IFERROR(__xludf.DUMMYFUNCTION("""COMPUTED_VALUE"""),68.0)</f>
        <v>68</v>
      </c>
      <c r="F4334" s="19" t="str">
        <f>IFERROR(__xludf.DUMMYFUNCTION("""COMPUTED_VALUE"""),"BLACK")</f>
        <v>BLACK</v>
      </c>
      <c r="G4334" s="20" t="str">
        <f>IFERROR(__xludf.DUMMYFUNCTION("""COMPUTED_VALUE"""),"Uncle Sams Cider (5/13/2022)")</f>
        <v>Uncle Sams Cider (5/13/2022)</v>
      </c>
      <c r="H4334" s="19"/>
    </row>
    <row r="4335">
      <c r="A4335" s="9"/>
      <c r="B4335" s="15"/>
      <c r="C4335" s="9">
        <f>IFERROR(__xludf.DUMMYFUNCTION("""COMPUTED_VALUE"""),44751.4315030439)</f>
        <v>44751.4315</v>
      </c>
      <c r="D4335" s="15">
        <f>IFERROR(__xludf.DUMMYFUNCTION("""COMPUTED_VALUE"""),1.004)</f>
        <v>1.004</v>
      </c>
      <c r="E4335" s="16">
        <f>IFERROR(__xludf.DUMMYFUNCTION("""COMPUTED_VALUE"""),68.0)</f>
        <v>68</v>
      </c>
      <c r="F4335" s="19" t="str">
        <f>IFERROR(__xludf.DUMMYFUNCTION("""COMPUTED_VALUE"""),"BLACK")</f>
        <v>BLACK</v>
      </c>
      <c r="G4335" s="20" t="str">
        <f>IFERROR(__xludf.DUMMYFUNCTION("""COMPUTED_VALUE"""),"Uncle Sams Cider (5/13/2022)")</f>
        <v>Uncle Sams Cider (5/13/2022)</v>
      </c>
      <c r="H4335" s="19"/>
    </row>
    <row r="4336">
      <c r="A4336" s="9"/>
      <c r="B4336" s="15"/>
      <c r="C4336" s="9">
        <f>IFERROR(__xludf.DUMMYFUNCTION("""COMPUTED_VALUE"""),44751.4210824652)</f>
        <v>44751.42108</v>
      </c>
      <c r="D4336" s="15">
        <f>IFERROR(__xludf.DUMMYFUNCTION("""COMPUTED_VALUE"""),1.004)</f>
        <v>1.004</v>
      </c>
      <c r="E4336" s="16">
        <f>IFERROR(__xludf.DUMMYFUNCTION("""COMPUTED_VALUE"""),68.0)</f>
        <v>68</v>
      </c>
      <c r="F4336" s="19" t="str">
        <f>IFERROR(__xludf.DUMMYFUNCTION("""COMPUTED_VALUE"""),"BLACK")</f>
        <v>BLACK</v>
      </c>
      <c r="G4336" s="20" t="str">
        <f>IFERROR(__xludf.DUMMYFUNCTION("""COMPUTED_VALUE"""),"Uncle Sams Cider (5/13/2022)")</f>
        <v>Uncle Sams Cider (5/13/2022)</v>
      </c>
      <c r="H4336" s="19"/>
    </row>
    <row r="4337">
      <c r="A4337" s="9"/>
      <c r="B4337" s="15"/>
      <c r="C4337" s="9">
        <f>IFERROR(__xludf.DUMMYFUNCTION("""COMPUTED_VALUE"""),44751.410659699)</f>
        <v>44751.41066</v>
      </c>
      <c r="D4337" s="15">
        <f>IFERROR(__xludf.DUMMYFUNCTION("""COMPUTED_VALUE"""),1.004)</f>
        <v>1.004</v>
      </c>
      <c r="E4337" s="16">
        <f>IFERROR(__xludf.DUMMYFUNCTION("""COMPUTED_VALUE"""),68.0)</f>
        <v>68</v>
      </c>
      <c r="F4337" s="19" t="str">
        <f>IFERROR(__xludf.DUMMYFUNCTION("""COMPUTED_VALUE"""),"BLACK")</f>
        <v>BLACK</v>
      </c>
      <c r="G4337" s="20" t="str">
        <f>IFERROR(__xludf.DUMMYFUNCTION("""COMPUTED_VALUE"""),"Uncle Sams Cider (5/13/2022)")</f>
        <v>Uncle Sams Cider (5/13/2022)</v>
      </c>
      <c r="H4337" s="19"/>
    </row>
    <row r="4338">
      <c r="A4338" s="9"/>
      <c r="B4338" s="15"/>
      <c r="C4338" s="9">
        <f>IFERROR(__xludf.DUMMYFUNCTION("""COMPUTED_VALUE"""),44751.4002382986)</f>
        <v>44751.40024</v>
      </c>
      <c r="D4338" s="15">
        <f>IFERROR(__xludf.DUMMYFUNCTION("""COMPUTED_VALUE"""),1.004)</f>
        <v>1.004</v>
      </c>
      <c r="E4338" s="16">
        <f>IFERROR(__xludf.DUMMYFUNCTION("""COMPUTED_VALUE"""),68.0)</f>
        <v>68</v>
      </c>
      <c r="F4338" s="19" t="str">
        <f>IFERROR(__xludf.DUMMYFUNCTION("""COMPUTED_VALUE"""),"BLACK")</f>
        <v>BLACK</v>
      </c>
      <c r="G4338" s="20" t="str">
        <f>IFERROR(__xludf.DUMMYFUNCTION("""COMPUTED_VALUE"""),"Uncle Sams Cider (5/13/2022)")</f>
        <v>Uncle Sams Cider (5/13/2022)</v>
      </c>
      <c r="H4338" s="19"/>
    </row>
    <row r="4339">
      <c r="A4339" s="9"/>
      <c r="B4339" s="15"/>
      <c r="C4339" s="9">
        <f>IFERROR(__xludf.DUMMYFUNCTION("""COMPUTED_VALUE"""),44751.389817581)</f>
        <v>44751.38982</v>
      </c>
      <c r="D4339" s="15">
        <f>IFERROR(__xludf.DUMMYFUNCTION("""COMPUTED_VALUE"""),1.004)</f>
        <v>1.004</v>
      </c>
      <c r="E4339" s="16">
        <f>IFERROR(__xludf.DUMMYFUNCTION("""COMPUTED_VALUE"""),68.0)</f>
        <v>68</v>
      </c>
      <c r="F4339" s="19" t="str">
        <f>IFERROR(__xludf.DUMMYFUNCTION("""COMPUTED_VALUE"""),"BLACK")</f>
        <v>BLACK</v>
      </c>
      <c r="G4339" s="20" t="str">
        <f>IFERROR(__xludf.DUMMYFUNCTION("""COMPUTED_VALUE"""),"Uncle Sams Cider (5/13/2022)")</f>
        <v>Uncle Sams Cider (5/13/2022)</v>
      </c>
      <c r="H4339" s="19"/>
    </row>
    <row r="4340">
      <c r="A4340" s="9"/>
      <c r="B4340" s="15"/>
      <c r="C4340" s="9">
        <f>IFERROR(__xludf.DUMMYFUNCTION("""COMPUTED_VALUE"""),44751.3793960069)</f>
        <v>44751.3794</v>
      </c>
      <c r="D4340" s="15">
        <f>IFERROR(__xludf.DUMMYFUNCTION("""COMPUTED_VALUE"""),1.004)</f>
        <v>1.004</v>
      </c>
      <c r="E4340" s="16">
        <f>IFERROR(__xludf.DUMMYFUNCTION("""COMPUTED_VALUE"""),68.0)</f>
        <v>68</v>
      </c>
      <c r="F4340" s="19" t="str">
        <f>IFERROR(__xludf.DUMMYFUNCTION("""COMPUTED_VALUE"""),"BLACK")</f>
        <v>BLACK</v>
      </c>
      <c r="G4340" s="20" t="str">
        <f>IFERROR(__xludf.DUMMYFUNCTION("""COMPUTED_VALUE"""),"Uncle Sams Cider (5/13/2022)")</f>
        <v>Uncle Sams Cider (5/13/2022)</v>
      </c>
      <c r="H4340" s="19"/>
    </row>
    <row r="4341">
      <c r="A4341" s="9"/>
      <c r="B4341" s="15"/>
      <c r="C4341" s="9">
        <f>IFERROR(__xludf.DUMMYFUNCTION("""COMPUTED_VALUE"""),44751.3689751504)</f>
        <v>44751.36898</v>
      </c>
      <c r="D4341" s="15">
        <f>IFERROR(__xludf.DUMMYFUNCTION("""COMPUTED_VALUE"""),1.004)</f>
        <v>1.004</v>
      </c>
      <c r="E4341" s="16">
        <f>IFERROR(__xludf.DUMMYFUNCTION("""COMPUTED_VALUE"""),68.0)</f>
        <v>68</v>
      </c>
      <c r="F4341" s="19" t="str">
        <f>IFERROR(__xludf.DUMMYFUNCTION("""COMPUTED_VALUE"""),"BLACK")</f>
        <v>BLACK</v>
      </c>
      <c r="G4341" s="20" t="str">
        <f>IFERROR(__xludf.DUMMYFUNCTION("""COMPUTED_VALUE"""),"Uncle Sams Cider (5/13/2022)")</f>
        <v>Uncle Sams Cider (5/13/2022)</v>
      </c>
      <c r="H4341" s="19"/>
    </row>
    <row r="4342">
      <c r="A4342" s="9"/>
      <c r="B4342" s="15"/>
      <c r="C4342" s="9">
        <f>IFERROR(__xludf.DUMMYFUNCTION("""COMPUTED_VALUE"""),44751.3585427546)</f>
        <v>44751.35854</v>
      </c>
      <c r="D4342" s="15">
        <f>IFERROR(__xludf.DUMMYFUNCTION("""COMPUTED_VALUE"""),1.004)</f>
        <v>1.004</v>
      </c>
      <c r="E4342" s="16">
        <f>IFERROR(__xludf.DUMMYFUNCTION("""COMPUTED_VALUE"""),68.0)</f>
        <v>68</v>
      </c>
      <c r="F4342" s="19" t="str">
        <f>IFERROR(__xludf.DUMMYFUNCTION("""COMPUTED_VALUE"""),"BLACK")</f>
        <v>BLACK</v>
      </c>
      <c r="G4342" s="20" t="str">
        <f>IFERROR(__xludf.DUMMYFUNCTION("""COMPUTED_VALUE"""),"Uncle Sams Cider (5/13/2022)")</f>
        <v>Uncle Sams Cider (5/13/2022)</v>
      </c>
      <c r="H4342" s="19"/>
    </row>
    <row r="4343">
      <c r="A4343" s="9"/>
      <c r="B4343" s="15"/>
      <c r="C4343" s="9">
        <f>IFERROR(__xludf.DUMMYFUNCTION("""COMPUTED_VALUE"""),44751.3481210879)</f>
        <v>44751.34812</v>
      </c>
      <c r="D4343" s="15">
        <f>IFERROR(__xludf.DUMMYFUNCTION("""COMPUTED_VALUE"""),1.004)</f>
        <v>1.004</v>
      </c>
      <c r="E4343" s="16">
        <f>IFERROR(__xludf.DUMMYFUNCTION("""COMPUTED_VALUE"""),68.0)</f>
        <v>68</v>
      </c>
      <c r="F4343" s="19" t="str">
        <f>IFERROR(__xludf.DUMMYFUNCTION("""COMPUTED_VALUE"""),"BLACK")</f>
        <v>BLACK</v>
      </c>
      <c r="G4343" s="20" t="str">
        <f>IFERROR(__xludf.DUMMYFUNCTION("""COMPUTED_VALUE"""),"Uncle Sams Cider (5/13/2022)")</f>
        <v>Uncle Sams Cider (5/13/2022)</v>
      </c>
      <c r="H4343" s="19"/>
    </row>
    <row r="4344">
      <c r="A4344" s="9"/>
      <c r="B4344" s="15"/>
      <c r="C4344" s="9">
        <f>IFERROR(__xludf.DUMMYFUNCTION("""COMPUTED_VALUE"""),44751.3376989583)</f>
        <v>44751.3377</v>
      </c>
      <c r="D4344" s="15">
        <f>IFERROR(__xludf.DUMMYFUNCTION("""COMPUTED_VALUE"""),1.004)</f>
        <v>1.004</v>
      </c>
      <c r="E4344" s="16">
        <f>IFERROR(__xludf.DUMMYFUNCTION("""COMPUTED_VALUE"""),68.0)</f>
        <v>68</v>
      </c>
      <c r="F4344" s="19" t="str">
        <f>IFERROR(__xludf.DUMMYFUNCTION("""COMPUTED_VALUE"""),"BLACK")</f>
        <v>BLACK</v>
      </c>
      <c r="G4344" s="20" t="str">
        <f>IFERROR(__xludf.DUMMYFUNCTION("""COMPUTED_VALUE"""),"Uncle Sams Cider (5/13/2022)")</f>
        <v>Uncle Sams Cider (5/13/2022)</v>
      </c>
      <c r="H4344" s="19"/>
    </row>
    <row r="4345">
      <c r="A4345" s="9"/>
      <c r="B4345" s="15"/>
      <c r="C4345" s="9">
        <f>IFERROR(__xludf.DUMMYFUNCTION("""COMPUTED_VALUE"""),44751.3272767361)</f>
        <v>44751.32728</v>
      </c>
      <c r="D4345" s="15">
        <f>IFERROR(__xludf.DUMMYFUNCTION("""COMPUTED_VALUE"""),1.004)</f>
        <v>1.004</v>
      </c>
      <c r="E4345" s="16">
        <f>IFERROR(__xludf.DUMMYFUNCTION("""COMPUTED_VALUE"""),68.0)</f>
        <v>68</v>
      </c>
      <c r="F4345" s="19" t="str">
        <f>IFERROR(__xludf.DUMMYFUNCTION("""COMPUTED_VALUE"""),"BLACK")</f>
        <v>BLACK</v>
      </c>
      <c r="G4345" s="20" t="str">
        <f>IFERROR(__xludf.DUMMYFUNCTION("""COMPUTED_VALUE"""),"Uncle Sams Cider (5/13/2022)")</f>
        <v>Uncle Sams Cider (5/13/2022)</v>
      </c>
      <c r="H4345" s="19"/>
    </row>
    <row r="4346">
      <c r="A4346" s="9"/>
      <c r="B4346" s="15"/>
      <c r="C4346" s="9">
        <f>IFERROR(__xludf.DUMMYFUNCTION("""COMPUTED_VALUE"""),44751.3168552546)</f>
        <v>44751.31686</v>
      </c>
      <c r="D4346" s="15">
        <f>IFERROR(__xludf.DUMMYFUNCTION("""COMPUTED_VALUE"""),1.004)</f>
        <v>1.004</v>
      </c>
      <c r="E4346" s="16">
        <f>IFERROR(__xludf.DUMMYFUNCTION("""COMPUTED_VALUE"""),68.0)</f>
        <v>68</v>
      </c>
      <c r="F4346" s="19" t="str">
        <f>IFERROR(__xludf.DUMMYFUNCTION("""COMPUTED_VALUE"""),"BLACK")</f>
        <v>BLACK</v>
      </c>
      <c r="G4346" s="20" t="str">
        <f>IFERROR(__xludf.DUMMYFUNCTION("""COMPUTED_VALUE"""),"Uncle Sams Cider (5/13/2022)")</f>
        <v>Uncle Sams Cider (5/13/2022)</v>
      </c>
      <c r="H4346" s="19"/>
    </row>
    <row r="4347">
      <c r="A4347" s="9"/>
      <c r="B4347" s="15"/>
      <c r="C4347" s="9">
        <f>IFERROR(__xludf.DUMMYFUNCTION("""COMPUTED_VALUE"""),44751.3064348379)</f>
        <v>44751.30643</v>
      </c>
      <c r="D4347" s="15">
        <f>IFERROR(__xludf.DUMMYFUNCTION("""COMPUTED_VALUE"""),1.004)</f>
        <v>1.004</v>
      </c>
      <c r="E4347" s="16">
        <f>IFERROR(__xludf.DUMMYFUNCTION("""COMPUTED_VALUE"""),68.0)</f>
        <v>68</v>
      </c>
      <c r="F4347" s="19" t="str">
        <f>IFERROR(__xludf.DUMMYFUNCTION("""COMPUTED_VALUE"""),"BLACK")</f>
        <v>BLACK</v>
      </c>
      <c r="G4347" s="20" t="str">
        <f>IFERROR(__xludf.DUMMYFUNCTION("""COMPUTED_VALUE"""),"Uncle Sams Cider (5/13/2022)")</f>
        <v>Uncle Sams Cider (5/13/2022)</v>
      </c>
      <c r="H4347" s="19"/>
    </row>
    <row r="4348">
      <c r="A4348" s="9"/>
      <c r="B4348" s="15"/>
      <c r="C4348" s="9">
        <f>IFERROR(__xludf.DUMMYFUNCTION("""COMPUTED_VALUE"""),44751.296012199)</f>
        <v>44751.29601</v>
      </c>
      <c r="D4348" s="15">
        <f>IFERROR(__xludf.DUMMYFUNCTION("""COMPUTED_VALUE"""),1.004)</f>
        <v>1.004</v>
      </c>
      <c r="E4348" s="16">
        <f>IFERROR(__xludf.DUMMYFUNCTION("""COMPUTED_VALUE"""),68.0)</f>
        <v>68</v>
      </c>
      <c r="F4348" s="19" t="str">
        <f>IFERROR(__xludf.DUMMYFUNCTION("""COMPUTED_VALUE"""),"BLACK")</f>
        <v>BLACK</v>
      </c>
      <c r="G4348" s="20" t="str">
        <f>IFERROR(__xludf.DUMMYFUNCTION("""COMPUTED_VALUE"""),"Uncle Sams Cider (5/13/2022)")</f>
        <v>Uncle Sams Cider (5/13/2022)</v>
      </c>
      <c r="H4348" s="19"/>
    </row>
    <row r="4349">
      <c r="A4349" s="9"/>
      <c r="B4349" s="15"/>
      <c r="C4349" s="9">
        <f>IFERROR(__xludf.DUMMYFUNCTION("""COMPUTED_VALUE"""),44751.2855910532)</f>
        <v>44751.28559</v>
      </c>
      <c r="D4349" s="15">
        <f>IFERROR(__xludf.DUMMYFUNCTION("""COMPUTED_VALUE"""),1.004)</f>
        <v>1.004</v>
      </c>
      <c r="E4349" s="16">
        <f>IFERROR(__xludf.DUMMYFUNCTION("""COMPUTED_VALUE"""),68.0)</f>
        <v>68</v>
      </c>
      <c r="F4349" s="19" t="str">
        <f>IFERROR(__xludf.DUMMYFUNCTION("""COMPUTED_VALUE"""),"BLACK")</f>
        <v>BLACK</v>
      </c>
      <c r="G4349" s="20" t="str">
        <f>IFERROR(__xludf.DUMMYFUNCTION("""COMPUTED_VALUE"""),"Uncle Sams Cider (5/13/2022)")</f>
        <v>Uncle Sams Cider (5/13/2022)</v>
      </c>
      <c r="H4349" s="19"/>
    </row>
    <row r="4350">
      <c r="A4350" s="9"/>
      <c r="B4350" s="15"/>
      <c r="C4350" s="9">
        <f>IFERROR(__xludf.DUMMYFUNCTION("""COMPUTED_VALUE"""),44751.2751696643)</f>
        <v>44751.27517</v>
      </c>
      <c r="D4350" s="15">
        <f>IFERROR(__xludf.DUMMYFUNCTION("""COMPUTED_VALUE"""),1.004)</f>
        <v>1.004</v>
      </c>
      <c r="E4350" s="16">
        <f>IFERROR(__xludf.DUMMYFUNCTION("""COMPUTED_VALUE"""),68.0)</f>
        <v>68</v>
      </c>
      <c r="F4350" s="19" t="str">
        <f>IFERROR(__xludf.DUMMYFUNCTION("""COMPUTED_VALUE"""),"BLACK")</f>
        <v>BLACK</v>
      </c>
      <c r="G4350" s="20" t="str">
        <f>IFERROR(__xludf.DUMMYFUNCTION("""COMPUTED_VALUE"""),"Uncle Sams Cider (5/13/2022)")</f>
        <v>Uncle Sams Cider (5/13/2022)</v>
      </c>
      <c r="H4350" s="19"/>
    </row>
    <row r="4351">
      <c r="A4351" s="9"/>
      <c r="B4351" s="15"/>
      <c r="C4351" s="9">
        <f>IFERROR(__xludf.DUMMYFUNCTION("""COMPUTED_VALUE"""),44751.2647487731)</f>
        <v>44751.26475</v>
      </c>
      <c r="D4351" s="15">
        <f>IFERROR(__xludf.DUMMYFUNCTION("""COMPUTED_VALUE"""),1.004)</f>
        <v>1.004</v>
      </c>
      <c r="E4351" s="16">
        <f>IFERROR(__xludf.DUMMYFUNCTION("""COMPUTED_VALUE"""),68.0)</f>
        <v>68</v>
      </c>
      <c r="F4351" s="19" t="str">
        <f>IFERROR(__xludf.DUMMYFUNCTION("""COMPUTED_VALUE"""),"BLACK")</f>
        <v>BLACK</v>
      </c>
      <c r="G4351" s="20" t="str">
        <f>IFERROR(__xludf.DUMMYFUNCTION("""COMPUTED_VALUE"""),"Uncle Sams Cider (5/13/2022)")</f>
        <v>Uncle Sams Cider (5/13/2022)</v>
      </c>
      <c r="H4351" s="19"/>
    </row>
    <row r="4352">
      <c r="A4352" s="9"/>
      <c r="B4352" s="15"/>
      <c r="C4352" s="9">
        <f>IFERROR(__xludf.DUMMYFUNCTION("""COMPUTED_VALUE"""),44751.254316956)</f>
        <v>44751.25432</v>
      </c>
      <c r="D4352" s="15">
        <f>IFERROR(__xludf.DUMMYFUNCTION("""COMPUTED_VALUE"""),1.004)</f>
        <v>1.004</v>
      </c>
      <c r="E4352" s="16">
        <f>IFERROR(__xludf.DUMMYFUNCTION("""COMPUTED_VALUE"""),68.0)</f>
        <v>68</v>
      </c>
      <c r="F4352" s="19" t="str">
        <f>IFERROR(__xludf.DUMMYFUNCTION("""COMPUTED_VALUE"""),"BLACK")</f>
        <v>BLACK</v>
      </c>
      <c r="G4352" s="20" t="str">
        <f>IFERROR(__xludf.DUMMYFUNCTION("""COMPUTED_VALUE"""),"Uncle Sams Cider (5/13/2022)")</f>
        <v>Uncle Sams Cider (5/13/2022)</v>
      </c>
      <c r="H4352" s="19"/>
    </row>
    <row r="4353">
      <c r="A4353" s="9"/>
      <c r="B4353" s="15"/>
      <c r="C4353" s="9">
        <f>IFERROR(__xludf.DUMMYFUNCTION("""COMPUTED_VALUE"""),44751.2438949537)</f>
        <v>44751.24389</v>
      </c>
      <c r="D4353" s="15">
        <f>IFERROR(__xludf.DUMMYFUNCTION("""COMPUTED_VALUE"""),1.004)</f>
        <v>1.004</v>
      </c>
      <c r="E4353" s="16">
        <f>IFERROR(__xludf.DUMMYFUNCTION("""COMPUTED_VALUE"""),68.0)</f>
        <v>68</v>
      </c>
      <c r="F4353" s="19" t="str">
        <f>IFERROR(__xludf.DUMMYFUNCTION("""COMPUTED_VALUE"""),"BLACK")</f>
        <v>BLACK</v>
      </c>
      <c r="G4353" s="20" t="str">
        <f>IFERROR(__xludf.DUMMYFUNCTION("""COMPUTED_VALUE"""),"Uncle Sams Cider (5/13/2022)")</f>
        <v>Uncle Sams Cider (5/13/2022)</v>
      </c>
      <c r="H4353" s="19"/>
    </row>
    <row r="4354">
      <c r="A4354" s="9"/>
      <c r="B4354" s="15"/>
      <c r="C4354" s="9">
        <f>IFERROR(__xludf.DUMMYFUNCTION("""COMPUTED_VALUE"""),44751.2334746296)</f>
        <v>44751.23347</v>
      </c>
      <c r="D4354" s="15">
        <f>IFERROR(__xludf.DUMMYFUNCTION("""COMPUTED_VALUE"""),1.004)</f>
        <v>1.004</v>
      </c>
      <c r="E4354" s="16">
        <f>IFERROR(__xludf.DUMMYFUNCTION("""COMPUTED_VALUE"""),68.0)</f>
        <v>68</v>
      </c>
      <c r="F4354" s="19" t="str">
        <f>IFERROR(__xludf.DUMMYFUNCTION("""COMPUTED_VALUE"""),"BLACK")</f>
        <v>BLACK</v>
      </c>
      <c r="G4354" s="20" t="str">
        <f>IFERROR(__xludf.DUMMYFUNCTION("""COMPUTED_VALUE"""),"Uncle Sams Cider (5/13/2022)")</f>
        <v>Uncle Sams Cider (5/13/2022)</v>
      </c>
      <c r="H4354" s="19"/>
    </row>
    <row r="4355">
      <c r="A4355" s="9"/>
      <c r="B4355" s="15"/>
      <c r="C4355" s="9">
        <f>IFERROR(__xludf.DUMMYFUNCTION("""COMPUTED_VALUE"""),44751.2230525115)</f>
        <v>44751.22305</v>
      </c>
      <c r="D4355" s="15">
        <f>IFERROR(__xludf.DUMMYFUNCTION("""COMPUTED_VALUE"""),1.004)</f>
        <v>1.004</v>
      </c>
      <c r="E4355" s="16">
        <f>IFERROR(__xludf.DUMMYFUNCTION("""COMPUTED_VALUE"""),68.0)</f>
        <v>68</v>
      </c>
      <c r="F4355" s="19" t="str">
        <f>IFERROR(__xludf.DUMMYFUNCTION("""COMPUTED_VALUE"""),"BLACK")</f>
        <v>BLACK</v>
      </c>
      <c r="G4355" s="20" t="str">
        <f>IFERROR(__xludf.DUMMYFUNCTION("""COMPUTED_VALUE"""),"Uncle Sams Cider (5/13/2022)")</f>
        <v>Uncle Sams Cider (5/13/2022)</v>
      </c>
      <c r="H4355" s="19"/>
    </row>
    <row r="4356">
      <c r="A4356" s="9"/>
      <c r="B4356" s="15"/>
      <c r="C4356" s="9">
        <f>IFERROR(__xludf.DUMMYFUNCTION("""COMPUTED_VALUE"""),44751.2126333101)</f>
        <v>44751.21263</v>
      </c>
      <c r="D4356" s="15">
        <f>IFERROR(__xludf.DUMMYFUNCTION("""COMPUTED_VALUE"""),1.004)</f>
        <v>1.004</v>
      </c>
      <c r="E4356" s="16">
        <f>IFERROR(__xludf.DUMMYFUNCTION("""COMPUTED_VALUE"""),68.0)</f>
        <v>68</v>
      </c>
      <c r="F4356" s="19" t="str">
        <f>IFERROR(__xludf.DUMMYFUNCTION("""COMPUTED_VALUE"""),"BLACK")</f>
        <v>BLACK</v>
      </c>
      <c r="G4356" s="20" t="str">
        <f>IFERROR(__xludf.DUMMYFUNCTION("""COMPUTED_VALUE"""),"Uncle Sams Cider (5/13/2022)")</f>
        <v>Uncle Sams Cider (5/13/2022)</v>
      </c>
      <c r="H4356" s="19"/>
    </row>
    <row r="4357">
      <c r="A4357" s="9"/>
      <c r="B4357" s="15"/>
      <c r="C4357" s="9">
        <f>IFERROR(__xludf.DUMMYFUNCTION("""COMPUTED_VALUE"""),44751.2022125)</f>
        <v>44751.20221</v>
      </c>
      <c r="D4357" s="15">
        <f>IFERROR(__xludf.DUMMYFUNCTION("""COMPUTED_VALUE"""),1.004)</f>
        <v>1.004</v>
      </c>
      <c r="E4357" s="16">
        <f>IFERROR(__xludf.DUMMYFUNCTION("""COMPUTED_VALUE"""),68.0)</f>
        <v>68</v>
      </c>
      <c r="F4357" s="19" t="str">
        <f>IFERROR(__xludf.DUMMYFUNCTION("""COMPUTED_VALUE"""),"BLACK")</f>
        <v>BLACK</v>
      </c>
      <c r="G4357" s="20" t="str">
        <f>IFERROR(__xludf.DUMMYFUNCTION("""COMPUTED_VALUE"""),"Uncle Sams Cider (5/13/2022)")</f>
        <v>Uncle Sams Cider (5/13/2022)</v>
      </c>
      <c r="H4357" s="19"/>
    </row>
    <row r="4358">
      <c r="A4358" s="9"/>
      <c r="B4358" s="15"/>
      <c r="C4358" s="9">
        <f>IFERROR(__xludf.DUMMYFUNCTION("""COMPUTED_VALUE"""),44751.1917906713)</f>
        <v>44751.19179</v>
      </c>
      <c r="D4358" s="15">
        <f>IFERROR(__xludf.DUMMYFUNCTION("""COMPUTED_VALUE"""),1.004)</f>
        <v>1.004</v>
      </c>
      <c r="E4358" s="16">
        <f>IFERROR(__xludf.DUMMYFUNCTION("""COMPUTED_VALUE"""),68.0)</f>
        <v>68</v>
      </c>
      <c r="F4358" s="19" t="str">
        <f>IFERROR(__xludf.DUMMYFUNCTION("""COMPUTED_VALUE"""),"BLACK")</f>
        <v>BLACK</v>
      </c>
      <c r="G4358" s="20" t="str">
        <f>IFERROR(__xludf.DUMMYFUNCTION("""COMPUTED_VALUE"""),"Uncle Sams Cider (5/13/2022)")</f>
        <v>Uncle Sams Cider (5/13/2022)</v>
      </c>
      <c r="H4358" s="19"/>
    </row>
    <row r="4359">
      <c r="A4359" s="9"/>
      <c r="B4359" s="15"/>
      <c r="C4359" s="9">
        <f>IFERROR(__xludf.DUMMYFUNCTION("""COMPUTED_VALUE"""),44751.1813579976)</f>
        <v>44751.18136</v>
      </c>
      <c r="D4359" s="15">
        <f>IFERROR(__xludf.DUMMYFUNCTION("""COMPUTED_VALUE"""),1.004)</f>
        <v>1.004</v>
      </c>
      <c r="E4359" s="16">
        <f>IFERROR(__xludf.DUMMYFUNCTION("""COMPUTED_VALUE"""),68.0)</f>
        <v>68</v>
      </c>
      <c r="F4359" s="19" t="str">
        <f>IFERROR(__xludf.DUMMYFUNCTION("""COMPUTED_VALUE"""),"BLACK")</f>
        <v>BLACK</v>
      </c>
      <c r="G4359" s="20" t="str">
        <f>IFERROR(__xludf.DUMMYFUNCTION("""COMPUTED_VALUE"""),"Uncle Sams Cider (5/13/2022)")</f>
        <v>Uncle Sams Cider (5/13/2022)</v>
      </c>
      <c r="H4359" s="19"/>
    </row>
    <row r="4360">
      <c r="A4360" s="9"/>
      <c r="B4360" s="15"/>
      <c r="C4360" s="9">
        <f>IFERROR(__xludf.DUMMYFUNCTION("""COMPUTED_VALUE"""),44751.1709374652)</f>
        <v>44751.17094</v>
      </c>
      <c r="D4360" s="15">
        <f>IFERROR(__xludf.DUMMYFUNCTION("""COMPUTED_VALUE"""),1.004)</f>
        <v>1.004</v>
      </c>
      <c r="E4360" s="16">
        <f>IFERROR(__xludf.DUMMYFUNCTION("""COMPUTED_VALUE"""),68.0)</f>
        <v>68</v>
      </c>
      <c r="F4360" s="19" t="str">
        <f>IFERROR(__xludf.DUMMYFUNCTION("""COMPUTED_VALUE"""),"BLACK")</f>
        <v>BLACK</v>
      </c>
      <c r="G4360" s="20" t="str">
        <f>IFERROR(__xludf.DUMMYFUNCTION("""COMPUTED_VALUE"""),"Uncle Sams Cider (5/13/2022)")</f>
        <v>Uncle Sams Cider (5/13/2022)</v>
      </c>
      <c r="H4360" s="19"/>
    </row>
    <row r="4361">
      <c r="A4361" s="9"/>
      <c r="B4361" s="15"/>
      <c r="C4361" s="9">
        <f>IFERROR(__xludf.DUMMYFUNCTION("""COMPUTED_VALUE"""),44751.1605162384)</f>
        <v>44751.16052</v>
      </c>
      <c r="D4361" s="15">
        <f>IFERROR(__xludf.DUMMYFUNCTION("""COMPUTED_VALUE"""),1.004)</f>
        <v>1.004</v>
      </c>
      <c r="E4361" s="16">
        <f>IFERROR(__xludf.DUMMYFUNCTION("""COMPUTED_VALUE"""),68.0)</f>
        <v>68</v>
      </c>
      <c r="F4361" s="19" t="str">
        <f>IFERROR(__xludf.DUMMYFUNCTION("""COMPUTED_VALUE"""),"BLACK")</f>
        <v>BLACK</v>
      </c>
      <c r="G4361" s="20" t="str">
        <f>IFERROR(__xludf.DUMMYFUNCTION("""COMPUTED_VALUE"""),"Uncle Sams Cider (5/13/2022)")</f>
        <v>Uncle Sams Cider (5/13/2022)</v>
      </c>
      <c r="H4361" s="19"/>
    </row>
    <row r="4362">
      <c r="A4362" s="9"/>
      <c r="B4362" s="15"/>
      <c r="C4362" s="9">
        <f>IFERROR(__xludf.DUMMYFUNCTION("""COMPUTED_VALUE"""),44751.1500944791)</f>
        <v>44751.15009</v>
      </c>
      <c r="D4362" s="15">
        <f>IFERROR(__xludf.DUMMYFUNCTION("""COMPUTED_VALUE"""),1.004)</f>
        <v>1.004</v>
      </c>
      <c r="E4362" s="16">
        <f>IFERROR(__xludf.DUMMYFUNCTION("""COMPUTED_VALUE"""),68.0)</f>
        <v>68</v>
      </c>
      <c r="F4362" s="19" t="str">
        <f>IFERROR(__xludf.DUMMYFUNCTION("""COMPUTED_VALUE"""),"BLACK")</f>
        <v>BLACK</v>
      </c>
      <c r="G4362" s="20" t="str">
        <f>IFERROR(__xludf.DUMMYFUNCTION("""COMPUTED_VALUE"""),"Uncle Sams Cider (5/13/2022)")</f>
        <v>Uncle Sams Cider (5/13/2022)</v>
      </c>
      <c r="H4362" s="19"/>
    </row>
    <row r="4363">
      <c r="A4363" s="9"/>
      <c r="B4363" s="15"/>
      <c r="C4363" s="9">
        <f>IFERROR(__xludf.DUMMYFUNCTION("""COMPUTED_VALUE"""),44751.1396757176)</f>
        <v>44751.13968</v>
      </c>
      <c r="D4363" s="15">
        <f>IFERROR(__xludf.DUMMYFUNCTION("""COMPUTED_VALUE"""),1.004)</f>
        <v>1.004</v>
      </c>
      <c r="E4363" s="16">
        <f>IFERROR(__xludf.DUMMYFUNCTION("""COMPUTED_VALUE"""),68.0)</f>
        <v>68</v>
      </c>
      <c r="F4363" s="19" t="str">
        <f>IFERROR(__xludf.DUMMYFUNCTION("""COMPUTED_VALUE"""),"BLACK")</f>
        <v>BLACK</v>
      </c>
      <c r="G4363" s="20" t="str">
        <f>IFERROR(__xludf.DUMMYFUNCTION("""COMPUTED_VALUE"""),"Uncle Sams Cider (5/13/2022)")</f>
        <v>Uncle Sams Cider (5/13/2022)</v>
      </c>
      <c r="H4363" s="19"/>
    </row>
    <row r="4364">
      <c r="A4364" s="9"/>
      <c r="B4364" s="15"/>
      <c r="C4364" s="9">
        <f>IFERROR(__xludf.DUMMYFUNCTION("""COMPUTED_VALUE"""),44751.1292535532)</f>
        <v>44751.12925</v>
      </c>
      <c r="D4364" s="15">
        <f>IFERROR(__xludf.DUMMYFUNCTION("""COMPUTED_VALUE"""),1.004)</f>
        <v>1.004</v>
      </c>
      <c r="E4364" s="16">
        <f>IFERROR(__xludf.DUMMYFUNCTION("""COMPUTED_VALUE"""),68.0)</f>
        <v>68</v>
      </c>
      <c r="F4364" s="19" t="str">
        <f>IFERROR(__xludf.DUMMYFUNCTION("""COMPUTED_VALUE"""),"BLACK")</f>
        <v>BLACK</v>
      </c>
      <c r="G4364" s="20" t="str">
        <f>IFERROR(__xludf.DUMMYFUNCTION("""COMPUTED_VALUE"""),"Uncle Sams Cider (5/13/2022)")</f>
        <v>Uncle Sams Cider (5/13/2022)</v>
      </c>
      <c r="H4364" s="19"/>
    </row>
    <row r="4365">
      <c r="A4365" s="9"/>
      <c r="B4365" s="15"/>
      <c r="C4365" s="9">
        <f>IFERROR(__xludf.DUMMYFUNCTION("""COMPUTED_VALUE"""),44751.1188338773)</f>
        <v>44751.11883</v>
      </c>
      <c r="D4365" s="15">
        <f>IFERROR(__xludf.DUMMYFUNCTION("""COMPUTED_VALUE"""),1.004)</f>
        <v>1.004</v>
      </c>
      <c r="E4365" s="16">
        <f>IFERROR(__xludf.DUMMYFUNCTION("""COMPUTED_VALUE"""),67.0)</f>
        <v>67</v>
      </c>
      <c r="F4365" s="19" t="str">
        <f>IFERROR(__xludf.DUMMYFUNCTION("""COMPUTED_VALUE"""),"BLACK")</f>
        <v>BLACK</v>
      </c>
      <c r="G4365" s="20" t="str">
        <f>IFERROR(__xludf.DUMMYFUNCTION("""COMPUTED_VALUE"""),"Uncle Sams Cider (5/13/2022)")</f>
        <v>Uncle Sams Cider (5/13/2022)</v>
      </c>
      <c r="H4365" s="19"/>
    </row>
    <row r="4366">
      <c r="A4366" s="9"/>
      <c r="B4366" s="15"/>
      <c r="C4366" s="9">
        <f>IFERROR(__xludf.DUMMYFUNCTION("""COMPUTED_VALUE"""),44751.1084115972)</f>
        <v>44751.10841</v>
      </c>
      <c r="D4366" s="15">
        <f>IFERROR(__xludf.DUMMYFUNCTION("""COMPUTED_VALUE"""),1.005)</f>
        <v>1.005</v>
      </c>
      <c r="E4366" s="16">
        <f>IFERROR(__xludf.DUMMYFUNCTION("""COMPUTED_VALUE"""),67.0)</f>
        <v>67</v>
      </c>
      <c r="F4366" s="19" t="str">
        <f>IFERROR(__xludf.DUMMYFUNCTION("""COMPUTED_VALUE"""),"BLACK")</f>
        <v>BLACK</v>
      </c>
      <c r="G4366" s="20" t="str">
        <f>IFERROR(__xludf.DUMMYFUNCTION("""COMPUTED_VALUE"""),"Uncle Sams Cider (5/13/2022)")</f>
        <v>Uncle Sams Cider (5/13/2022)</v>
      </c>
      <c r="H4366" s="19"/>
    </row>
    <row r="4367">
      <c r="A4367" s="9"/>
      <c r="B4367" s="15"/>
      <c r="C4367" s="9">
        <f>IFERROR(__xludf.DUMMYFUNCTION("""COMPUTED_VALUE"""),44751.0979899189)</f>
        <v>44751.09799</v>
      </c>
      <c r="D4367" s="15">
        <f>IFERROR(__xludf.DUMMYFUNCTION("""COMPUTED_VALUE"""),1.004)</f>
        <v>1.004</v>
      </c>
      <c r="E4367" s="16">
        <f>IFERROR(__xludf.DUMMYFUNCTION("""COMPUTED_VALUE"""),67.0)</f>
        <v>67</v>
      </c>
      <c r="F4367" s="19" t="str">
        <f>IFERROR(__xludf.DUMMYFUNCTION("""COMPUTED_VALUE"""),"BLACK")</f>
        <v>BLACK</v>
      </c>
      <c r="G4367" s="20" t="str">
        <f>IFERROR(__xludf.DUMMYFUNCTION("""COMPUTED_VALUE"""),"Uncle Sams Cider (5/13/2022)")</f>
        <v>Uncle Sams Cider (5/13/2022)</v>
      </c>
      <c r="H4367" s="19"/>
    </row>
    <row r="4368">
      <c r="A4368" s="9"/>
      <c r="B4368" s="15"/>
      <c r="C4368" s="9">
        <f>IFERROR(__xludf.DUMMYFUNCTION("""COMPUTED_VALUE"""),44751.0875688078)</f>
        <v>44751.08757</v>
      </c>
      <c r="D4368" s="15">
        <f>IFERROR(__xludf.DUMMYFUNCTION("""COMPUTED_VALUE"""),1.004)</f>
        <v>1.004</v>
      </c>
      <c r="E4368" s="16">
        <f>IFERROR(__xludf.DUMMYFUNCTION("""COMPUTED_VALUE"""),67.0)</f>
        <v>67</v>
      </c>
      <c r="F4368" s="19" t="str">
        <f>IFERROR(__xludf.DUMMYFUNCTION("""COMPUTED_VALUE"""),"BLACK")</f>
        <v>BLACK</v>
      </c>
      <c r="G4368" s="20" t="str">
        <f>IFERROR(__xludf.DUMMYFUNCTION("""COMPUTED_VALUE"""),"Uncle Sams Cider (5/13/2022)")</f>
        <v>Uncle Sams Cider (5/13/2022)</v>
      </c>
      <c r="H4368" s="19"/>
    </row>
    <row r="4369">
      <c r="A4369" s="9"/>
      <c r="B4369" s="15"/>
      <c r="C4369" s="9">
        <f>IFERROR(__xludf.DUMMYFUNCTION("""COMPUTED_VALUE"""),44751.077136574)</f>
        <v>44751.07714</v>
      </c>
      <c r="D4369" s="15">
        <f>IFERROR(__xludf.DUMMYFUNCTION("""COMPUTED_VALUE"""),1.004)</f>
        <v>1.004</v>
      </c>
      <c r="E4369" s="16">
        <f>IFERROR(__xludf.DUMMYFUNCTION("""COMPUTED_VALUE"""),67.0)</f>
        <v>67</v>
      </c>
      <c r="F4369" s="19" t="str">
        <f>IFERROR(__xludf.DUMMYFUNCTION("""COMPUTED_VALUE"""),"BLACK")</f>
        <v>BLACK</v>
      </c>
      <c r="G4369" s="20" t="str">
        <f>IFERROR(__xludf.DUMMYFUNCTION("""COMPUTED_VALUE"""),"Uncle Sams Cider (5/13/2022)")</f>
        <v>Uncle Sams Cider (5/13/2022)</v>
      </c>
      <c r="H4369" s="19"/>
    </row>
    <row r="4370">
      <c r="A4370" s="9"/>
      <c r="B4370" s="15"/>
      <c r="C4370" s="9">
        <f>IFERROR(__xludf.DUMMYFUNCTION("""COMPUTED_VALUE"""),44751.0667144676)</f>
        <v>44751.06671</v>
      </c>
      <c r="D4370" s="15">
        <f>IFERROR(__xludf.DUMMYFUNCTION("""COMPUTED_VALUE"""),1.004)</f>
        <v>1.004</v>
      </c>
      <c r="E4370" s="16">
        <f>IFERROR(__xludf.DUMMYFUNCTION("""COMPUTED_VALUE"""),67.0)</f>
        <v>67</v>
      </c>
      <c r="F4370" s="19" t="str">
        <f>IFERROR(__xludf.DUMMYFUNCTION("""COMPUTED_VALUE"""),"BLACK")</f>
        <v>BLACK</v>
      </c>
      <c r="G4370" s="20" t="str">
        <f>IFERROR(__xludf.DUMMYFUNCTION("""COMPUTED_VALUE"""),"Uncle Sams Cider (5/13/2022)")</f>
        <v>Uncle Sams Cider (5/13/2022)</v>
      </c>
      <c r="H4370" s="19"/>
    </row>
    <row r="4371">
      <c r="A4371" s="9"/>
      <c r="B4371" s="15"/>
      <c r="C4371" s="9">
        <f>IFERROR(__xludf.DUMMYFUNCTION("""COMPUTED_VALUE"""),44751.0562831365)</f>
        <v>44751.05628</v>
      </c>
      <c r="D4371" s="15">
        <f>IFERROR(__xludf.DUMMYFUNCTION("""COMPUTED_VALUE"""),1.004)</f>
        <v>1.004</v>
      </c>
      <c r="E4371" s="16">
        <f>IFERROR(__xludf.DUMMYFUNCTION("""COMPUTED_VALUE"""),67.0)</f>
        <v>67</v>
      </c>
      <c r="F4371" s="19" t="str">
        <f>IFERROR(__xludf.DUMMYFUNCTION("""COMPUTED_VALUE"""),"BLACK")</f>
        <v>BLACK</v>
      </c>
      <c r="G4371" s="20" t="str">
        <f>IFERROR(__xludf.DUMMYFUNCTION("""COMPUTED_VALUE"""),"Uncle Sams Cider (5/13/2022)")</f>
        <v>Uncle Sams Cider (5/13/2022)</v>
      </c>
      <c r="H4371" s="19"/>
    </row>
    <row r="4372">
      <c r="A4372" s="9"/>
      <c r="B4372" s="15"/>
      <c r="C4372" s="9">
        <f>IFERROR(__xludf.DUMMYFUNCTION("""COMPUTED_VALUE"""),44751.0458625463)</f>
        <v>44751.04586</v>
      </c>
      <c r="D4372" s="15">
        <f>IFERROR(__xludf.DUMMYFUNCTION("""COMPUTED_VALUE"""),1.004)</f>
        <v>1.004</v>
      </c>
      <c r="E4372" s="16">
        <f>IFERROR(__xludf.DUMMYFUNCTION("""COMPUTED_VALUE"""),67.0)</f>
        <v>67</v>
      </c>
      <c r="F4372" s="19" t="str">
        <f>IFERROR(__xludf.DUMMYFUNCTION("""COMPUTED_VALUE"""),"BLACK")</f>
        <v>BLACK</v>
      </c>
      <c r="G4372" s="20" t="str">
        <f>IFERROR(__xludf.DUMMYFUNCTION("""COMPUTED_VALUE"""),"Uncle Sams Cider (5/13/2022)")</f>
        <v>Uncle Sams Cider (5/13/2022)</v>
      </c>
      <c r="H4372" s="19"/>
    </row>
    <row r="4373">
      <c r="A4373" s="9"/>
      <c r="B4373" s="15"/>
      <c r="C4373" s="9">
        <f>IFERROR(__xludf.DUMMYFUNCTION("""COMPUTED_VALUE"""),44751.0354411689)</f>
        <v>44751.03544</v>
      </c>
      <c r="D4373" s="15">
        <f>IFERROR(__xludf.DUMMYFUNCTION("""COMPUTED_VALUE"""),1.004)</f>
        <v>1.004</v>
      </c>
      <c r="E4373" s="16">
        <f>IFERROR(__xludf.DUMMYFUNCTION("""COMPUTED_VALUE"""),67.0)</f>
        <v>67</v>
      </c>
      <c r="F4373" s="19" t="str">
        <f>IFERROR(__xludf.DUMMYFUNCTION("""COMPUTED_VALUE"""),"BLACK")</f>
        <v>BLACK</v>
      </c>
      <c r="G4373" s="20" t="str">
        <f>IFERROR(__xludf.DUMMYFUNCTION("""COMPUTED_VALUE"""),"Uncle Sams Cider (5/13/2022)")</f>
        <v>Uncle Sams Cider (5/13/2022)</v>
      </c>
      <c r="H4373" s="19"/>
    </row>
    <row r="4374">
      <c r="A4374" s="9"/>
      <c r="B4374" s="15"/>
      <c r="C4374" s="9">
        <f>IFERROR(__xludf.DUMMYFUNCTION("""COMPUTED_VALUE"""),44751.0250201157)</f>
        <v>44751.02502</v>
      </c>
      <c r="D4374" s="15">
        <f>IFERROR(__xludf.DUMMYFUNCTION("""COMPUTED_VALUE"""),1.004)</f>
        <v>1.004</v>
      </c>
      <c r="E4374" s="16">
        <f>IFERROR(__xludf.DUMMYFUNCTION("""COMPUTED_VALUE"""),67.0)</f>
        <v>67</v>
      </c>
      <c r="F4374" s="19" t="str">
        <f>IFERROR(__xludf.DUMMYFUNCTION("""COMPUTED_VALUE"""),"BLACK")</f>
        <v>BLACK</v>
      </c>
      <c r="G4374" s="20" t="str">
        <f>IFERROR(__xludf.DUMMYFUNCTION("""COMPUTED_VALUE"""),"Uncle Sams Cider (5/13/2022)")</f>
        <v>Uncle Sams Cider (5/13/2022)</v>
      </c>
      <c r="H4374" s="19"/>
    </row>
    <row r="4375">
      <c r="A4375" s="9"/>
      <c r="B4375" s="15"/>
      <c r="C4375" s="9">
        <f>IFERROR(__xludf.DUMMYFUNCTION("""COMPUTED_VALUE"""),44751.0145979282)</f>
        <v>44751.0146</v>
      </c>
      <c r="D4375" s="15">
        <f>IFERROR(__xludf.DUMMYFUNCTION("""COMPUTED_VALUE"""),1.004)</f>
        <v>1.004</v>
      </c>
      <c r="E4375" s="16">
        <f>IFERROR(__xludf.DUMMYFUNCTION("""COMPUTED_VALUE"""),67.0)</f>
        <v>67</v>
      </c>
      <c r="F4375" s="19" t="str">
        <f>IFERROR(__xludf.DUMMYFUNCTION("""COMPUTED_VALUE"""),"BLACK")</f>
        <v>BLACK</v>
      </c>
      <c r="G4375" s="20" t="str">
        <f>IFERROR(__xludf.DUMMYFUNCTION("""COMPUTED_VALUE"""),"Uncle Sams Cider (5/13/2022)")</f>
        <v>Uncle Sams Cider (5/13/2022)</v>
      </c>
      <c r="H4375" s="19"/>
    </row>
    <row r="4376">
      <c r="A4376" s="9"/>
      <c r="B4376" s="15"/>
      <c r="C4376" s="9">
        <f>IFERROR(__xludf.DUMMYFUNCTION("""COMPUTED_VALUE"""),44751.0041768171)</f>
        <v>44751.00418</v>
      </c>
      <c r="D4376" s="15">
        <f>IFERROR(__xludf.DUMMYFUNCTION("""COMPUTED_VALUE"""),1.004)</f>
        <v>1.004</v>
      </c>
      <c r="E4376" s="16">
        <f>IFERROR(__xludf.DUMMYFUNCTION("""COMPUTED_VALUE"""),67.0)</f>
        <v>67</v>
      </c>
      <c r="F4376" s="19" t="str">
        <f>IFERROR(__xludf.DUMMYFUNCTION("""COMPUTED_VALUE"""),"BLACK")</f>
        <v>BLACK</v>
      </c>
      <c r="G4376" s="20" t="str">
        <f>IFERROR(__xludf.DUMMYFUNCTION("""COMPUTED_VALUE"""),"Uncle Sams Cider (5/13/2022)")</f>
        <v>Uncle Sams Cider (5/13/2022)</v>
      </c>
      <c r="H4376" s="19"/>
    </row>
    <row r="4377">
      <c r="A4377" s="9"/>
      <c r="B4377" s="15"/>
      <c r="C4377" s="9">
        <f>IFERROR(__xludf.DUMMYFUNCTION("""COMPUTED_VALUE"""),44750.993754618)</f>
        <v>44750.99375</v>
      </c>
      <c r="D4377" s="15">
        <f>IFERROR(__xludf.DUMMYFUNCTION("""COMPUTED_VALUE"""),1.004)</f>
        <v>1.004</v>
      </c>
      <c r="E4377" s="16">
        <f>IFERROR(__xludf.DUMMYFUNCTION("""COMPUTED_VALUE"""),67.0)</f>
        <v>67</v>
      </c>
      <c r="F4377" s="19" t="str">
        <f>IFERROR(__xludf.DUMMYFUNCTION("""COMPUTED_VALUE"""),"BLACK")</f>
        <v>BLACK</v>
      </c>
      <c r="G4377" s="20" t="str">
        <f>IFERROR(__xludf.DUMMYFUNCTION("""COMPUTED_VALUE"""),"Uncle Sams Cider (5/13/2022)")</f>
        <v>Uncle Sams Cider (5/13/2022)</v>
      </c>
      <c r="H4377" s="19"/>
    </row>
    <row r="4378">
      <c r="A4378" s="9"/>
      <c r="B4378" s="15"/>
      <c r="C4378" s="9">
        <f>IFERROR(__xludf.DUMMYFUNCTION("""COMPUTED_VALUE"""),44750.9833210763)</f>
        <v>44750.98332</v>
      </c>
      <c r="D4378" s="15">
        <f>IFERROR(__xludf.DUMMYFUNCTION("""COMPUTED_VALUE"""),1.004)</f>
        <v>1.004</v>
      </c>
      <c r="E4378" s="16">
        <f>IFERROR(__xludf.DUMMYFUNCTION("""COMPUTED_VALUE"""),67.0)</f>
        <v>67</v>
      </c>
      <c r="F4378" s="19" t="str">
        <f>IFERROR(__xludf.DUMMYFUNCTION("""COMPUTED_VALUE"""),"BLACK")</f>
        <v>BLACK</v>
      </c>
      <c r="G4378" s="20" t="str">
        <f>IFERROR(__xludf.DUMMYFUNCTION("""COMPUTED_VALUE"""),"Uncle Sams Cider (5/13/2022)")</f>
        <v>Uncle Sams Cider (5/13/2022)</v>
      </c>
      <c r="H4378" s="19"/>
    </row>
    <row r="4379">
      <c r="A4379" s="9"/>
      <c r="B4379" s="15"/>
      <c r="C4379" s="9">
        <f>IFERROR(__xludf.DUMMYFUNCTION("""COMPUTED_VALUE"""),44750.9728990625)</f>
        <v>44750.9729</v>
      </c>
      <c r="D4379" s="15">
        <f>IFERROR(__xludf.DUMMYFUNCTION("""COMPUTED_VALUE"""),1.004)</f>
        <v>1.004</v>
      </c>
      <c r="E4379" s="16">
        <f>IFERROR(__xludf.DUMMYFUNCTION("""COMPUTED_VALUE"""),67.0)</f>
        <v>67</v>
      </c>
      <c r="F4379" s="19" t="str">
        <f>IFERROR(__xludf.DUMMYFUNCTION("""COMPUTED_VALUE"""),"BLACK")</f>
        <v>BLACK</v>
      </c>
      <c r="G4379" s="20" t="str">
        <f>IFERROR(__xludf.DUMMYFUNCTION("""COMPUTED_VALUE"""),"Uncle Sams Cider (5/13/2022)")</f>
        <v>Uncle Sams Cider (5/13/2022)</v>
      </c>
      <c r="H4379" s="19"/>
    </row>
    <row r="4380">
      <c r="A4380" s="9"/>
      <c r="B4380" s="15"/>
      <c r="C4380" s="9">
        <f>IFERROR(__xludf.DUMMYFUNCTION("""COMPUTED_VALUE"""),44750.9624789236)</f>
        <v>44750.96248</v>
      </c>
      <c r="D4380" s="15">
        <f>IFERROR(__xludf.DUMMYFUNCTION("""COMPUTED_VALUE"""),1.004)</f>
        <v>1.004</v>
      </c>
      <c r="E4380" s="16">
        <f>IFERROR(__xludf.DUMMYFUNCTION("""COMPUTED_VALUE"""),67.0)</f>
        <v>67</v>
      </c>
      <c r="F4380" s="19" t="str">
        <f>IFERROR(__xludf.DUMMYFUNCTION("""COMPUTED_VALUE"""),"BLACK")</f>
        <v>BLACK</v>
      </c>
      <c r="G4380" s="20" t="str">
        <f>IFERROR(__xludf.DUMMYFUNCTION("""COMPUTED_VALUE"""),"Uncle Sams Cider (5/13/2022)")</f>
        <v>Uncle Sams Cider (5/13/2022)</v>
      </c>
      <c r="H4380" s="19"/>
    </row>
    <row r="4381">
      <c r="A4381" s="9"/>
      <c r="B4381" s="15"/>
      <c r="C4381" s="9">
        <f>IFERROR(__xludf.DUMMYFUNCTION("""COMPUTED_VALUE"""),44750.9520590509)</f>
        <v>44750.95206</v>
      </c>
      <c r="D4381" s="15">
        <f>IFERROR(__xludf.DUMMYFUNCTION("""COMPUTED_VALUE"""),1.004)</f>
        <v>1.004</v>
      </c>
      <c r="E4381" s="16">
        <f>IFERROR(__xludf.DUMMYFUNCTION("""COMPUTED_VALUE"""),67.0)</f>
        <v>67</v>
      </c>
      <c r="F4381" s="19" t="str">
        <f>IFERROR(__xludf.DUMMYFUNCTION("""COMPUTED_VALUE"""),"BLACK")</f>
        <v>BLACK</v>
      </c>
      <c r="G4381" s="20" t="str">
        <f>IFERROR(__xludf.DUMMYFUNCTION("""COMPUTED_VALUE"""),"Uncle Sams Cider (5/13/2022)")</f>
        <v>Uncle Sams Cider (5/13/2022)</v>
      </c>
      <c r="H4381" s="19"/>
    </row>
    <row r="4382">
      <c r="A4382" s="9"/>
      <c r="B4382" s="15"/>
      <c r="C4382" s="9">
        <f>IFERROR(__xludf.DUMMYFUNCTION("""COMPUTED_VALUE"""),44750.9416252546)</f>
        <v>44750.94163</v>
      </c>
      <c r="D4382" s="15">
        <f>IFERROR(__xludf.DUMMYFUNCTION("""COMPUTED_VALUE"""),1.004)</f>
        <v>1.004</v>
      </c>
      <c r="E4382" s="16">
        <f>IFERROR(__xludf.DUMMYFUNCTION("""COMPUTED_VALUE"""),67.0)</f>
        <v>67</v>
      </c>
      <c r="F4382" s="19" t="str">
        <f>IFERROR(__xludf.DUMMYFUNCTION("""COMPUTED_VALUE"""),"BLACK")</f>
        <v>BLACK</v>
      </c>
      <c r="G4382" s="20" t="str">
        <f>IFERROR(__xludf.DUMMYFUNCTION("""COMPUTED_VALUE"""),"Uncle Sams Cider (5/13/2022)")</f>
        <v>Uncle Sams Cider (5/13/2022)</v>
      </c>
      <c r="H4382" s="19"/>
    </row>
    <row r="4383">
      <c r="A4383" s="9"/>
      <c r="B4383" s="15"/>
      <c r="C4383" s="9">
        <f>IFERROR(__xludf.DUMMYFUNCTION("""COMPUTED_VALUE"""),44750.9312034259)</f>
        <v>44750.9312</v>
      </c>
      <c r="D4383" s="15">
        <f>IFERROR(__xludf.DUMMYFUNCTION("""COMPUTED_VALUE"""),1.004)</f>
        <v>1.004</v>
      </c>
      <c r="E4383" s="16">
        <f>IFERROR(__xludf.DUMMYFUNCTION("""COMPUTED_VALUE"""),67.0)</f>
        <v>67</v>
      </c>
      <c r="F4383" s="19" t="str">
        <f>IFERROR(__xludf.DUMMYFUNCTION("""COMPUTED_VALUE"""),"BLACK")</f>
        <v>BLACK</v>
      </c>
      <c r="G4383" s="20" t="str">
        <f>IFERROR(__xludf.DUMMYFUNCTION("""COMPUTED_VALUE"""),"Uncle Sams Cider (5/13/2022)")</f>
        <v>Uncle Sams Cider (5/13/2022)</v>
      </c>
      <c r="H4383" s="19"/>
    </row>
    <row r="4384">
      <c r="A4384" s="9"/>
      <c r="B4384" s="15"/>
      <c r="C4384" s="9">
        <f>IFERROR(__xludf.DUMMYFUNCTION("""COMPUTED_VALUE"""),44750.9207700926)</f>
        <v>44750.92077</v>
      </c>
      <c r="D4384" s="15">
        <f>IFERROR(__xludf.DUMMYFUNCTION("""COMPUTED_VALUE"""),1.004)</f>
        <v>1.004</v>
      </c>
      <c r="E4384" s="16">
        <f>IFERROR(__xludf.DUMMYFUNCTION("""COMPUTED_VALUE"""),67.0)</f>
        <v>67</v>
      </c>
      <c r="F4384" s="19" t="str">
        <f>IFERROR(__xludf.DUMMYFUNCTION("""COMPUTED_VALUE"""),"BLACK")</f>
        <v>BLACK</v>
      </c>
      <c r="G4384" s="20" t="str">
        <f>IFERROR(__xludf.DUMMYFUNCTION("""COMPUTED_VALUE"""),"Uncle Sams Cider (5/13/2022)")</f>
        <v>Uncle Sams Cider (5/13/2022)</v>
      </c>
      <c r="H4384" s="19"/>
    </row>
    <row r="4385">
      <c r="A4385" s="9"/>
      <c r="B4385" s="15"/>
      <c r="C4385" s="9">
        <f>IFERROR(__xludf.DUMMYFUNCTION("""COMPUTED_VALUE"""),44750.9103493171)</f>
        <v>44750.91035</v>
      </c>
      <c r="D4385" s="15">
        <f>IFERROR(__xludf.DUMMYFUNCTION("""COMPUTED_VALUE"""),1.004)</f>
        <v>1.004</v>
      </c>
      <c r="E4385" s="16">
        <f>IFERROR(__xludf.DUMMYFUNCTION("""COMPUTED_VALUE"""),67.0)</f>
        <v>67</v>
      </c>
      <c r="F4385" s="19" t="str">
        <f>IFERROR(__xludf.DUMMYFUNCTION("""COMPUTED_VALUE"""),"BLACK")</f>
        <v>BLACK</v>
      </c>
      <c r="G4385" s="20" t="str">
        <f>IFERROR(__xludf.DUMMYFUNCTION("""COMPUTED_VALUE"""),"Uncle Sams Cider (5/13/2022)")</f>
        <v>Uncle Sams Cider (5/13/2022)</v>
      </c>
      <c r="H4385" s="19"/>
    </row>
    <row r="4386">
      <c r="A4386" s="9"/>
      <c r="B4386" s="15"/>
      <c r="C4386" s="9">
        <f>IFERROR(__xludf.DUMMYFUNCTION("""COMPUTED_VALUE"""),44750.8999290046)</f>
        <v>44750.89993</v>
      </c>
      <c r="D4386" s="15">
        <f>IFERROR(__xludf.DUMMYFUNCTION("""COMPUTED_VALUE"""),1.004)</f>
        <v>1.004</v>
      </c>
      <c r="E4386" s="16">
        <f>IFERROR(__xludf.DUMMYFUNCTION("""COMPUTED_VALUE"""),67.0)</f>
        <v>67</v>
      </c>
      <c r="F4386" s="19" t="str">
        <f>IFERROR(__xludf.DUMMYFUNCTION("""COMPUTED_VALUE"""),"BLACK")</f>
        <v>BLACK</v>
      </c>
      <c r="G4386" s="20" t="str">
        <f>IFERROR(__xludf.DUMMYFUNCTION("""COMPUTED_VALUE"""),"Uncle Sams Cider (5/13/2022)")</f>
        <v>Uncle Sams Cider (5/13/2022)</v>
      </c>
      <c r="H4386" s="19"/>
    </row>
    <row r="4387">
      <c r="A4387" s="9"/>
      <c r="B4387" s="15"/>
      <c r="C4387" s="9">
        <f>IFERROR(__xludf.DUMMYFUNCTION("""COMPUTED_VALUE"""),44750.8895070949)</f>
        <v>44750.88951</v>
      </c>
      <c r="D4387" s="15">
        <f>IFERROR(__xludf.DUMMYFUNCTION("""COMPUTED_VALUE"""),1.004)</f>
        <v>1.004</v>
      </c>
      <c r="E4387" s="16">
        <f>IFERROR(__xludf.DUMMYFUNCTION("""COMPUTED_VALUE"""),67.0)</f>
        <v>67</v>
      </c>
      <c r="F4387" s="19" t="str">
        <f>IFERROR(__xludf.DUMMYFUNCTION("""COMPUTED_VALUE"""),"BLACK")</f>
        <v>BLACK</v>
      </c>
      <c r="G4387" s="20" t="str">
        <f>IFERROR(__xludf.DUMMYFUNCTION("""COMPUTED_VALUE"""),"Uncle Sams Cider (5/13/2022)")</f>
        <v>Uncle Sams Cider (5/13/2022)</v>
      </c>
      <c r="H4387" s="19"/>
    </row>
    <row r="4388">
      <c r="A4388" s="9"/>
      <c r="B4388" s="15"/>
      <c r="C4388" s="9">
        <f>IFERROR(__xludf.DUMMYFUNCTION("""COMPUTED_VALUE"""),44750.8790853125)</f>
        <v>44750.87909</v>
      </c>
      <c r="D4388" s="15">
        <f>IFERROR(__xludf.DUMMYFUNCTION("""COMPUTED_VALUE"""),1.004)</f>
        <v>1.004</v>
      </c>
      <c r="E4388" s="16">
        <f>IFERROR(__xludf.DUMMYFUNCTION("""COMPUTED_VALUE"""),67.0)</f>
        <v>67</v>
      </c>
      <c r="F4388" s="19" t="str">
        <f>IFERROR(__xludf.DUMMYFUNCTION("""COMPUTED_VALUE"""),"BLACK")</f>
        <v>BLACK</v>
      </c>
      <c r="G4388" s="20" t="str">
        <f>IFERROR(__xludf.DUMMYFUNCTION("""COMPUTED_VALUE"""),"Uncle Sams Cider (5/13/2022)")</f>
        <v>Uncle Sams Cider (5/13/2022)</v>
      </c>
      <c r="H4388" s="19"/>
    </row>
    <row r="4389">
      <c r="A4389" s="9"/>
      <c r="B4389" s="15"/>
      <c r="C4389" s="9">
        <f>IFERROR(__xludf.DUMMYFUNCTION("""COMPUTED_VALUE"""),44750.8686635763)</f>
        <v>44750.86866</v>
      </c>
      <c r="D4389" s="15">
        <f>IFERROR(__xludf.DUMMYFUNCTION("""COMPUTED_VALUE"""),1.004)</f>
        <v>1.004</v>
      </c>
      <c r="E4389" s="16">
        <f>IFERROR(__xludf.DUMMYFUNCTION("""COMPUTED_VALUE"""),67.0)</f>
        <v>67</v>
      </c>
      <c r="F4389" s="19" t="str">
        <f>IFERROR(__xludf.DUMMYFUNCTION("""COMPUTED_VALUE"""),"BLACK")</f>
        <v>BLACK</v>
      </c>
      <c r="G4389" s="20" t="str">
        <f>IFERROR(__xludf.DUMMYFUNCTION("""COMPUTED_VALUE"""),"Uncle Sams Cider (5/13/2022)")</f>
        <v>Uncle Sams Cider (5/13/2022)</v>
      </c>
      <c r="H4389" s="19"/>
    </row>
    <row r="4390">
      <c r="A4390" s="9"/>
      <c r="B4390" s="15"/>
      <c r="C4390" s="9">
        <f>IFERROR(__xludf.DUMMYFUNCTION("""COMPUTED_VALUE"""),44750.8582423611)</f>
        <v>44750.85824</v>
      </c>
      <c r="D4390" s="15">
        <f>IFERROR(__xludf.DUMMYFUNCTION("""COMPUTED_VALUE"""),1.004)</f>
        <v>1.004</v>
      </c>
      <c r="E4390" s="16">
        <f>IFERROR(__xludf.DUMMYFUNCTION("""COMPUTED_VALUE"""),67.0)</f>
        <v>67</v>
      </c>
      <c r="F4390" s="19" t="str">
        <f>IFERROR(__xludf.DUMMYFUNCTION("""COMPUTED_VALUE"""),"BLACK")</f>
        <v>BLACK</v>
      </c>
      <c r="G4390" s="20" t="str">
        <f>IFERROR(__xludf.DUMMYFUNCTION("""COMPUTED_VALUE"""),"Uncle Sams Cider (5/13/2022)")</f>
        <v>Uncle Sams Cider (5/13/2022)</v>
      </c>
      <c r="H4390" s="19"/>
    </row>
    <row r="4391">
      <c r="A4391" s="9"/>
      <c r="B4391" s="15"/>
      <c r="C4391" s="9">
        <f>IFERROR(__xludf.DUMMYFUNCTION("""COMPUTED_VALUE"""),44750.84781875)</f>
        <v>44750.84782</v>
      </c>
      <c r="D4391" s="15">
        <f>IFERROR(__xludf.DUMMYFUNCTION("""COMPUTED_VALUE"""),1.004)</f>
        <v>1.004</v>
      </c>
      <c r="E4391" s="16">
        <f>IFERROR(__xludf.DUMMYFUNCTION("""COMPUTED_VALUE"""),67.0)</f>
        <v>67</v>
      </c>
      <c r="F4391" s="19" t="str">
        <f>IFERROR(__xludf.DUMMYFUNCTION("""COMPUTED_VALUE"""),"BLACK")</f>
        <v>BLACK</v>
      </c>
      <c r="G4391" s="20" t="str">
        <f>IFERROR(__xludf.DUMMYFUNCTION("""COMPUTED_VALUE"""),"Uncle Sams Cider (5/13/2022)")</f>
        <v>Uncle Sams Cider (5/13/2022)</v>
      </c>
      <c r="H4391" s="19"/>
    </row>
    <row r="4392">
      <c r="A4392" s="9"/>
      <c r="B4392" s="15"/>
      <c r="C4392" s="9">
        <f>IFERROR(__xludf.DUMMYFUNCTION("""COMPUTED_VALUE"""),44750.8373519097)</f>
        <v>44750.83735</v>
      </c>
      <c r="D4392" s="15">
        <f>IFERROR(__xludf.DUMMYFUNCTION("""COMPUTED_VALUE"""),1.004)</f>
        <v>1.004</v>
      </c>
      <c r="E4392" s="16">
        <f>IFERROR(__xludf.DUMMYFUNCTION("""COMPUTED_VALUE"""),67.0)</f>
        <v>67</v>
      </c>
      <c r="F4392" s="19" t="str">
        <f>IFERROR(__xludf.DUMMYFUNCTION("""COMPUTED_VALUE"""),"BLACK")</f>
        <v>BLACK</v>
      </c>
      <c r="G4392" s="20" t="str">
        <f>IFERROR(__xludf.DUMMYFUNCTION("""COMPUTED_VALUE"""),"Uncle Sams Cider (5/13/2022)")</f>
        <v>Uncle Sams Cider (5/13/2022)</v>
      </c>
      <c r="H4392" s="19"/>
    </row>
    <row r="4393">
      <c r="A4393" s="9"/>
      <c r="B4393" s="15"/>
      <c r="C4393" s="9">
        <f>IFERROR(__xludf.DUMMYFUNCTION("""COMPUTED_VALUE"""),44750.8269321412)</f>
        <v>44750.82693</v>
      </c>
      <c r="D4393" s="15">
        <f>IFERROR(__xludf.DUMMYFUNCTION("""COMPUTED_VALUE"""),1.005)</f>
        <v>1.005</v>
      </c>
      <c r="E4393" s="16">
        <f>IFERROR(__xludf.DUMMYFUNCTION("""COMPUTED_VALUE"""),67.0)</f>
        <v>67</v>
      </c>
      <c r="F4393" s="19" t="str">
        <f>IFERROR(__xludf.DUMMYFUNCTION("""COMPUTED_VALUE"""),"BLACK")</f>
        <v>BLACK</v>
      </c>
      <c r="G4393" s="20" t="str">
        <f>IFERROR(__xludf.DUMMYFUNCTION("""COMPUTED_VALUE"""),"Uncle Sams Cider (5/13/2022)")</f>
        <v>Uncle Sams Cider (5/13/2022)</v>
      </c>
      <c r="H4393" s="19"/>
    </row>
    <row r="4394">
      <c r="A4394" s="9"/>
      <c r="B4394" s="15"/>
      <c r="C4394" s="9">
        <f>IFERROR(__xludf.DUMMYFUNCTION("""COMPUTED_VALUE"""),44750.8165106365)</f>
        <v>44750.81651</v>
      </c>
      <c r="D4394" s="15">
        <f>IFERROR(__xludf.DUMMYFUNCTION("""COMPUTED_VALUE"""),1.004)</f>
        <v>1.004</v>
      </c>
      <c r="E4394" s="16">
        <f>IFERROR(__xludf.DUMMYFUNCTION("""COMPUTED_VALUE"""),67.0)</f>
        <v>67</v>
      </c>
      <c r="F4394" s="19" t="str">
        <f>IFERROR(__xludf.DUMMYFUNCTION("""COMPUTED_VALUE"""),"BLACK")</f>
        <v>BLACK</v>
      </c>
      <c r="G4394" s="20" t="str">
        <f>IFERROR(__xludf.DUMMYFUNCTION("""COMPUTED_VALUE"""),"Uncle Sams Cider (5/13/2022)")</f>
        <v>Uncle Sams Cider (5/13/2022)</v>
      </c>
      <c r="H4394" s="19"/>
    </row>
    <row r="4395">
      <c r="A4395" s="9"/>
      <c r="B4395" s="15"/>
      <c r="C4395" s="9">
        <f>IFERROR(__xludf.DUMMYFUNCTION("""COMPUTED_VALUE"""),44750.806090405)</f>
        <v>44750.80609</v>
      </c>
      <c r="D4395" s="15">
        <f>IFERROR(__xludf.DUMMYFUNCTION("""COMPUTED_VALUE"""),1.004)</f>
        <v>1.004</v>
      </c>
      <c r="E4395" s="16">
        <f>IFERROR(__xludf.DUMMYFUNCTION("""COMPUTED_VALUE"""),67.0)</f>
        <v>67</v>
      </c>
      <c r="F4395" s="19" t="str">
        <f>IFERROR(__xludf.DUMMYFUNCTION("""COMPUTED_VALUE"""),"BLACK")</f>
        <v>BLACK</v>
      </c>
      <c r="G4395" s="20" t="str">
        <f>IFERROR(__xludf.DUMMYFUNCTION("""COMPUTED_VALUE"""),"Uncle Sams Cider (5/13/2022)")</f>
        <v>Uncle Sams Cider (5/13/2022)</v>
      </c>
      <c r="H4395" s="19"/>
    </row>
    <row r="4396">
      <c r="A4396" s="9"/>
      <c r="B4396" s="15"/>
      <c r="C4396" s="9">
        <f>IFERROR(__xludf.DUMMYFUNCTION("""COMPUTED_VALUE"""),44750.7956709027)</f>
        <v>44750.79567</v>
      </c>
      <c r="D4396" s="15">
        <f>IFERROR(__xludf.DUMMYFUNCTION("""COMPUTED_VALUE"""),1.004)</f>
        <v>1.004</v>
      </c>
      <c r="E4396" s="16">
        <f>IFERROR(__xludf.DUMMYFUNCTION("""COMPUTED_VALUE"""),67.0)</f>
        <v>67</v>
      </c>
      <c r="F4396" s="19" t="str">
        <f>IFERROR(__xludf.DUMMYFUNCTION("""COMPUTED_VALUE"""),"BLACK")</f>
        <v>BLACK</v>
      </c>
      <c r="G4396" s="20" t="str">
        <f>IFERROR(__xludf.DUMMYFUNCTION("""COMPUTED_VALUE"""),"Uncle Sams Cider (5/13/2022)")</f>
        <v>Uncle Sams Cider (5/13/2022)</v>
      </c>
      <c r="H4396" s="19"/>
    </row>
    <row r="4397">
      <c r="A4397" s="9"/>
      <c r="B4397" s="15"/>
      <c r="C4397" s="9">
        <f>IFERROR(__xludf.DUMMYFUNCTION("""COMPUTED_VALUE"""),44750.7852500463)</f>
        <v>44750.78525</v>
      </c>
      <c r="D4397" s="15">
        <f>IFERROR(__xludf.DUMMYFUNCTION("""COMPUTED_VALUE"""),1.005)</f>
        <v>1.005</v>
      </c>
      <c r="E4397" s="16">
        <f>IFERROR(__xludf.DUMMYFUNCTION("""COMPUTED_VALUE"""),67.0)</f>
        <v>67</v>
      </c>
      <c r="F4397" s="19" t="str">
        <f>IFERROR(__xludf.DUMMYFUNCTION("""COMPUTED_VALUE"""),"BLACK")</f>
        <v>BLACK</v>
      </c>
      <c r="G4397" s="20" t="str">
        <f>IFERROR(__xludf.DUMMYFUNCTION("""COMPUTED_VALUE"""),"Uncle Sams Cider (5/13/2022)")</f>
        <v>Uncle Sams Cider (5/13/2022)</v>
      </c>
      <c r="H4397" s="19"/>
    </row>
    <row r="4398">
      <c r="A4398" s="9"/>
      <c r="B4398" s="15"/>
      <c r="C4398" s="9">
        <f>IFERROR(__xludf.DUMMYFUNCTION("""COMPUTED_VALUE"""),44750.7748294791)</f>
        <v>44750.77483</v>
      </c>
      <c r="D4398" s="15">
        <f>IFERROR(__xludf.DUMMYFUNCTION("""COMPUTED_VALUE"""),1.004)</f>
        <v>1.004</v>
      </c>
      <c r="E4398" s="16">
        <f>IFERROR(__xludf.DUMMYFUNCTION("""COMPUTED_VALUE"""),67.0)</f>
        <v>67</v>
      </c>
      <c r="F4398" s="19" t="str">
        <f>IFERROR(__xludf.DUMMYFUNCTION("""COMPUTED_VALUE"""),"BLACK")</f>
        <v>BLACK</v>
      </c>
      <c r="G4398" s="20" t="str">
        <f>IFERROR(__xludf.DUMMYFUNCTION("""COMPUTED_VALUE"""),"Uncle Sams Cider (5/13/2022)")</f>
        <v>Uncle Sams Cider (5/13/2022)</v>
      </c>
      <c r="H4398" s="19"/>
    </row>
    <row r="4399">
      <c r="A4399" s="9"/>
      <c r="B4399" s="15"/>
      <c r="C4399" s="9">
        <f>IFERROR(__xludf.DUMMYFUNCTION("""COMPUTED_VALUE"""),44750.7643849768)</f>
        <v>44750.76438</v>
      </c>
      <c r="D4399" s="15">
        <f>IFERROR(__xludf.DUMMYFUNCTION("""COMPUTED_VALUE"""),1.004)</f>
        <v>1.004</v>
      </c>
      <c r="E4399" s="16">
        <f>IFERROR(__xludf.DUMMYFUNCTION("""COMPUTED_VALUE"""),67.0)</f>
        <v>67</v>
      </c>
      <c r="F4399" s="19" t="str">
        <f>IFERROR(__xludf.DUMMYFUNCTION("""COMPUTED_VALUE"""),"BLACK")</f>
        <v>BLACK</v>
      </c>
      <c r="G4399" s="20" t="str">
        <f>IFERROR(__xludf.DUMMYFUNCTION("""COMPUTED_VALUE"""),"Uncle Sams Cider (5/13/2022)")</f>
        <v>Uncle Sams Cider (5/13/2022)</v>
      </c>
      <c r="H4399" s="19"/>
    </row>
    <row r="4400">
      <c r="A4400" s="9"/>
      <c r="B4400" s="15"/>
      <c r="C4400" s="9">
        <f>IFERROR(__xludf.DUMMYFUNCTION("""COMPUTED_VALUE"""),44750.7539619097)</f>
        <v>44750.75396</v>
      </c>
      <c r="D4400" s="15">
        <f>IFERROR(__xludf.DUMMYFUNCTION("""COMPUTED_VALUE"""),1.004)</f>
        <v>1.004</v>
      </c>
      <c r="E4400" s="16">
        <f>IFERROR(__xludf.DUMMYFUNCTION("""COMPUTED_VALUE"""),67.0)</f>
        <v>67</v>
      </c>
      <c r="F4400" s="19" t="str">
        <f>IFERROR(__xludf.DUMMYFUNCTION("""COMPUTED_VALUE"""),"BLACK")</f>
        <v>BLACK</v>
      </c>
      <c r="G4400" s="20" t="str">
        <f>IFERROR(__xludf.DUMMYFUNCTION("""COMPUTED_VALUE"""),"Uncle Sams Cider (5/13/2022)")</f>
        <v>Uncle Sams Cider (5/13/2022)</v>
      </c>
      <c r="H4400" s="19"/>
    </row>
    <row r="4401">
      <c r="A4401" s="9"/>
      <c r="B4401" s="15"/>
      <c r="C4401" s="9">
        <f>IFERROR(__xludf.DUMMYFUNCTION("""COMPUTED_VALUE"""),44750.7435404861)</f>
        <v>44750.74354</v>
      </c>
      <c r="D4401" s="15">
        <f>IFERROR(__xludf.DUMMYFUNCTION("""COMPUTED_VALUE"""),1.005)</f>
        <v>1.005</v>
      </c>
      <c r="E4401" s="16">
        <f>IFERROR(__xludf.DUMMYFUNCTION("""COMPUTED_VALUE"""),67.0)</f>
        <v>67</v>
      </c>
      <c r="F4401" s="19" t="str">
        <f>IFERROR(__xludf.DUMMYFUNCTION("""COMPUTED_VALUE"""),"BLACK")</f>
        <v>BLACK</v>
      </c>
      <c r="G4401" s="20" t="str">
        <f>IFERROR(__xludf.DUMMYFUNCTION("""COMPUTED_VALUE"""),"Uncle Sams Cider (5/13/2022)")</f>
        <v>Uncle Sams Cider (5/13/2022)</v>
      </c>
      <c r="H4401" s="19"/>
    </row>
    <row r="4402">
      <c r="A4402" s="9"/>
      <c r="B4402" s="15"/>
      <c r="C4402" s="9">
        <f>IFERROR(__xludf.DUMMYFUNCTION("""COMPUTED_VALUE"""),44750.7331198842)</f>
        <v>44750.73312</v>
      </c>
      <c r="D4402" s="15">
        <f>IFERROR(__xludf.DUMMYFUNCTION("""COMPUTED_VALUE"""),1.004)</f>
        <v>1.004</v>
      </c>
      <c r="E4402" s="16">
        <f>IFERROR(__xludf.DUMMYFUNCTION("""COMPUTED_VALUE"""),67.0)</f>
        <v>67</v>
      </c>
      <c r="F4402" s="19" t="str">
        <f>IFERROR(__xludf.DUMMYFUNCTION("""COMPUTED_VALUE"""),"BLACK")</f>
        <v>BLACK</v>
      </c>
      <c r="G4402" s="20" t="str">
        <f>IFERROR(__xludf.DUMMYFUNCTION("""COMPUTED_VALUE"""),"Uncle Sams Cider (5/13/2022)")</f>
        <v>Uncle Sams Cider (5/13/2022)</v>
      </c>
      <c r="H4402" s="19"/>
    </row>
    <row r="4403">
      <c r="A4403" s="9"/>
      <c r="B4403" s="15"/>
      <c r="C4403" s="9">
        <f>IFERROR(__xludf.DUMMYFUNCTION("""COMPUTED_VALUE"""),44750.7226640856)</f>
        <v>44750.72266</v>
      </c>
      <c r="D4403" s="15">
        <f>IFERROR(__xludf.DUMMYFUNCTION("""COMPUTED_VALUE"""),1.005)</f>
        <v>1.005</v>
      </c>
      <c r="E4403" s="16">
        <f>IFERROR(__xludf.DUMMYFUNCTION("""COMPUTED_VALUE"""),67.0)</f>
        <v>67</v>
      </c>
      <c r="F4403" s="19" t="str">
        <f>IFERROR(__xludf.DUMMYFUNCTION("""COMPUTED_VALUE"""),"BLACK")</f>
        <v>BLACK</v>
      </c>
      <c r="G4403" s="20" t="str">
        <f>IFERROR(__xludf.DUMMYFUNCTION("""COMPUTED_VALUE"""),"Uncle Sams Cider (5/13/2022)")</f>
        <v>Uncle Sams Cider (5/13/2022)</v>
      </c>
      <c r="H4403" s="19"/>
    </row>
    <row r="4404">
      <c r="A4404" s="9"/>
      <c r="B4404" s="15"/>
      <c r="C4404" s="9">
        <f>IFERROR(__xludf.DUMMYFUNCTION("""COMPUTED_VALUE"""),44750.7122420601)</f>
        <v>44750.71224</v>
      </c>
      <c r="D4404" s="15">
        <f>IFERROR(__xludf.DUMMYFUNCTION("""COMPUTED_VALUE"""),1.005)</f>
        <v>1.005</v>
      </c>
      <c r="E4404" s="16">
        <f>IFERROR(__xludf.DUMMYFUNCTION("""COMPUTED_VALUE"""),67.0)</f>
        <v>67</v>
      </c>
      <c r="F4404" s="19" t="str">
        <f>IFERROR(__xludf.DUMMYFUNCTION("""COMPUTED_VALUE"""),"BLACK")</f>
        <v>BLACK</v>
      </c>
      <c r="G4404" s="20" t="str">
        <f>IFERROR(__xludf.DUMMYFUNCTION("""COMPUTED_VALUE"""),"Uncle Sams Cider (5/13/2022)")</f>
        <v>Uncle Sams Cider (5/13/2022)</v>
      </c>
      <c r="H4404" s="19"/>
    </row>
    <row r="4405">
      <c r="A4405" s="9"/>
      <c r="B4405" s="15"/>
      <c r="C4405" s="9">
        <f>IFERROR(__xludf.DUMMYFUNCTION("""COMPUTED_VALUE"""),44750.7018101851)</f>
        <v>44750.70181</v>
      </c>
      <c r="D4405" s="15">
        <f>IFERROR(__xludf.DUMMYFUNCTION("""COMPUTED_VALUE"""),1.005)</f>
        <v>1.005</v>
      </c>
      <c r="E4405" s="16">
        <f>IFERROR(__xludf.DUMMYFUNCTION("""COMPUTED_VALUE"""),67.0)</f>
        <v>67</v>
      </c>
      <c r="F4405" s="19" t="str">
        <f>IFERROR(__xludf.DUMMYFUNCTION("""COMPUTED_VALUE"""),"BLACK")</f>
        <v>BLACK</v>
      </c>
      <c r="G4405" s="20" t="str">
        <f>IFERROR(__xludf.DUMMYFUNCTION("""COMPUTED_VALUE"""),"Uncle Sams Cider (5/13/2022)")</f>
        <v>Uncle Sams Cider (5/13/2022)</v>
      </c>
      <c r="H4405" s="19"/>
    </row>
    <row r="4406">
      <c r="A4406" s="9"/>
      <c r="B4406" s="15"/>
      <c r="C4406" s="9">
        <f>IFERROR(__xludf.DUMMYFUNCTION("""COMPUTED_VALUE"""),44750.6913884722)</f>
        <v>44750.69139</v>
      </c>
      <c r="D4406" s="15">
        <f>IFERROR(__xludf.DUMMYFUNCTION("""COMPUTED_VALUE"""),1.004)</f>
        <v>1.004</v>
      </c>
      <c r="E4406" s="16">
        <f>IFERROR(__xludf.DUMMYFUNCTION("""COMPUTED_VALUE"""),66.0)</f>
        <v>66</v>
      </c>
      <c r="F4406" s="19" t="str">
        <f>IFERROR(__xludf.DUMMYFUNCTION("""COMPUTED_VALUE"""),"BLACK")</f>
        <v>BLACK</v>
      </c>
      <c r="G4406" s="20" t="str">
        <f>IFERROR(__xludf.DUMMYFUNCTION("""COMPUTED_VALUE"""),"Uncle Sams Cider (5/13/2022)")</f>
        <v>Uncle Sams Cider (5/13/2022)</v>
      </c>
      <c r="H4406" s="19"/>
    </row>
    <row r="4407">
      <c r="A4407" s="9"/>
      <c r="B4407" s="15"/>
      <c r="C4407" s="9">
        <f>IFERROR(__xludf.DUMMYFUNCTION("""COMPUTED_VALUE"""),44750.6809561689)</f>
        <v>44750.68096</v>
      </c>
      <c r="D4407" s="15">
        <f>IFERROR(__xludf.DUMMYFUNCTION("""COMPUTED_VALUE"""),1.004)</f>
        <v>1.004</v>
      </c>
      <c r="E4407" s="16">
        <f>IFERROR(__xludf.DUMMYFUNCTION("""COMPUTED_VALUE"""),66.0)</f>
        <v>66</v>
      </c>
      <c r="F4407" s="19" t="str">
        <f>IFERROR(__xludf.DUMMYFUNCTION("""COMPUTED_VALUE"""),"BLACK")</f>
        <v>BLACK</v>
      </c>
      <c r="G4407" s="20" t="str">
        <f>IFERROR(__xludf.DUMMYFUNCTION("""COMPUTED_VALUE"""),"Uncle Sams Cider (5/13/2022)")</f>
        <v>Uncle Sams Cider (5/13/2022)</v>
      </c>
      <c r="H4407" s="19"/>
    </row>
    <row r="4408">
      <c r="A4408" s="9"/>
      <c r="B4408" s="15"/>
      <c r="C4408" s="9">
        <f>IFERROR(__xludf.DUMMYFUNCTION("""COMPUTED_VALUE"""),44750.6705238657)</f>
        <v>44750.67052</v>
      </c>
      <c r="D4408" s="15">
        <f>IFERROR(__xludf.DUMMYFUNCTION("""COMPUTED_VALUE"""),1.004)</f>
        <v>1.004</v>
      </c>
      <c r="E4408" s="16">
        <f>IFERROR(__xludf.DUMMYFUNCTION("""COMPUTED_VALUE"""),66.0)</f>
        <v>66</v>
      </c>
      <c r="F4408" s="19" t="str">
        <f>IFERROR(__xludf.DUMMYFUNCTION("""COMPUTED_VALUE"""),"BLACK")</f>
        <v>BLACK</v>
      </c>
      <c r="G4408" s="20" t="str">
        <f>IFERROR(__xludf.DUMMYFUNCTION("""COMPUTED_VALUE"""),"Uncle Sams Cider (5/13/2022)")</f>
        <v>Uncle Sams Cider (5/13/2022)</v>
      </c>
      <c r="H4408" s="19"/>
    </row>
    <row r="4409">
      <c r="A4409" s="9"/>
      <c r="B4409" s="15"/>
      <c r="C4409" s="9">
        <f>IFERROR(__xludf.DUMMYFUNCTION("""COMPUTED_VALUE"""),44750.6601033912)</f>
        <v>44750.6601</v>
      </c>
      <c r="D4409" s="15">
        <f>IFERROR(__xludf.DUMMYFUNCTION("""COMPUTED_VALUE"""),1.004)</f>
        <v>1.004</v>
      </c>
      <c r="E4409" s="16">
        <f>IFERROR(__xludf.DUMMYFUNCTION("""COMPUTED_VALUE"""),66.0)</f>
        <v>66</v>
      </c>
      <c r="F4409" s="19" t="str">
        <f>IFERROR(__xludf.DUMMYFUNCTION("""COMPUTED_VALUE"""),"BLACK")</f>
        <v>BLACK</v>
      </c>
      <c r="G4409" s="20" t="str">
        <f>IFERROR(__xludf.DUMMYFUNCTION("""COMPUTED_VALUE"""),"Uncle Sams Cider (5/13/2022)")</f>
        <v>Uncle Sams Cider (5/13/2022)</v>
      </c>
      <c r="H4409" s="19"/>
    </row>
    <row r="4410">
      <c r="A4410" s="9"/>
      <c r="B4410" s="15"/>
      <c r="C4410" s="9">
        <f>IFERROR(__xludf.DUMMYFUNCTION("""COMPUTED_VALUE"""),44750.6496834837)</f>
        <v>44750.64968</v>
      </c>
      <c r="D4410" s="15">
        <f>IFERROR(__xludf.DUMMYFUNCTION("""COMPUTED_VALUE"""),1.005)</f>
        <v>1.005</v>
      </c>
      <c r="E4410" s="16">
        <f>IFERROR(__xludf.DUMMYFUNCTION("""COMPUTED_VALUE"""),66.0)</f>
        <v>66</v>
      </c>
      <c r="F4410" s="19" t="str">
        <f>IFERROR(__xludf.DUMMYFUNCTION("""COMPUTED_VALUE"""),"BLACK")</f>
        <v>BLACK</v>
      </c>
      <c r="G4410" s="20" t="str">
        <f>IFERROR(__xludf.DUMMYFUNCTION("""COMPUTED_VALUE"""),"Uncle Sams Cider (5/13/2022)")</f>
        <v>Uncle Sams Cider (5/13/2022)</v>
      </c>
      <c r="H4410" s="19"/>
    </row>
    <row r="4411">
      <c r="A4411" s="9"/>
      <c r="B4411" s="15"/>
      <c r="C4411" s="9">
        <f>IFERROR(__xludf.DUMMYFUNCTION("""COMPUTED_VALUE"""),44750.6392620949)</f>
        <v>44750.63926</v>
      </c>
      <c r="D4411" s="15">
        <f>IFERROR(__xludf.DUMMYFUNCTION("""COMPUTED_VALUE"""),1.004)</f>
        <v>1.004</v>
      </c>
      <c r="E4411" s="16">
        <f>IFERROR(__xludf.DUMMYFUNCTION("""COMPUTED_VALUE"""),66.0)</f>
        <v>66</v>
      </c>
      <c r="F4411" s="19" t="str">
        <f>IFERROR(__xludf.DUMMYFUNCTION("""COMPUTED_VALUE"""),"BLACK")</f>
        <v>BLACK</v>
      </c>
      <c r="G4411" s="20" t="str">
        <f>IFERROR(__xludf.DUMMYFUNCTION("""COMPUTED_VALUE"""),"Uncle Sams Cider (5/13/2022)")</f>
        <v>Uncle Sams Cider (5/13/2022)</v>
      </c>
      <c r="H4411" s="19"/>
    </row>
    <row r="4412">
      <c r="A4412" s="9"/>
      <c r="B4412" s="15"/>
      <c r="C4412" s="9">
        <f>IFERROR(__xludf.DUMMYFUNCTION("""COMPUTED_VALUE"""),44750.6288398726)</f>
        <v>44750.62884</v>
      </c>
      <c r="D4412" s="15">
        <f>IFERROR(__xludf.DUMMYFUNCTION("""COMPUTED_VALUE"""),1.004)</f>
        <v>1.004</v>
      </c>
      <c r="E4412" s="16">
        <f>IFERROR(__xludf.DUMMYFUNCTION("""COMPUTED_VALUE"""),66.0)</f>
        <v>66</v>
      </c>
      <c r="F4412" s="19" t="str">
        <f>IFERROR(__xludf.DUMMYFUNCTION("""COMPUTED_VALUE"""),"BLACK")</f>
        <v>BLACK</v>
      </c>
      <c r="G4412" s="20" t="str">
        <f>IFERROR(__xludf.DUMMYFUNCTION("""COMPUTED_VALUE"""),"Uncle Sams Cider (5/13/2022)")</f>
        <v>Uncle Sams Cider (5/13/2022)</v>
      </c>
      <c r="H4412" s="19"/>
    </row>
    <row r="4413">
      <c r="A4413" s="9"/>
      <c r="B4413" s="15"/>
      <c r="C4413" s="9">
        <f>IFERROR(__xludf.DUMMYFUNCTION("""COMPUTED_VALUE"""),44750.6184191898)</f>
        <v>44750.61842</v>
      </c>
      <c r="D4413" s="15">
        <f>IFERROR(__xludf.DUMMYFUNCTION("""COMPUTED_VALUE"""),1.004)</f>
        <v>1.004</v>
      </c>
      <c r="E4413" s="16">
        <f>IFERROR(__xludf.DUMMYFUNCTION("""COMPUTED_VALUE"""),66.0)</f>
        <v>66</v>
      </c>
      <c r="F4413" s="19" t="str">
        <f>IFERROR(__xludf.DUMMYFUNCTION("""COMPUTED_VALUE"""),"BLACK")</f>
        <v>BLACK</v>
      </c>
      <c r="G4413" s="20" t="str">
        <f>IFERROR(__xludf.DUMMYFUNCTION("""COMPUTED_VALUE"""),"Uncle Sams Cider (5/13/2022)")</f>
        <v>Uncle Sams Cider (5/13/2022)</v>
      </c>
      <c r="H4413" s="19"/>
    </row>
    <row r="4414">
      <c r="A4414" s="9"/>
      <c r="B4414" s="15"/>
      <c r="C4414" s="9">
        <f>IFERROR(__xludf.DUMMYFUNCTION("""COMPUTED_VALUE"""),44750.6079984143)</f>
        <v>44750.608</v>
      </c>
      <c r="D4414" s="15">
        <f>IFERROR(__xludf.DUMMYFUNCTION("""COMPUTED_VALUE"""),1.004)</f>
        <v>1.004</v>
      </c>
      <c r="E4414" s="16">
        <f>IFERROR(__xludf.DUMMYFUNCTION("""COMPUTED_VALUE"""),66.0)</f>
        <v>66</v>
      </c>
      <c r="F4414" s="19" t="str">
        <f>IFERROR(__xludf.DUMMYFUNCTION("""COMPUTED_VALUE"""),"BLACK")</f>
        <v>BLACK</v>
      </c>
      <c r="G4414" s="20" t="str">
        <f>IFERROR(__xludf.DUMMYFUNCTION("""COMPUTED_VALUE"""),"Uncle Sams Cider (5/13/2022)")</f>
        <v>Uncle Sams Cider (5/13/2022)</v>
      </c>
      <c r="H4414" s="19"/>
    </row>
    <row r="4415">
      <c r="A4415" s="9"/>
      <c r="B4415" s="15"/>
      <c r="C4415" s="9">
        <f>IFERROR(__xludf.DUMMYFUNCTION("""COMPUTED_VALUE"""),44750.5975643055)</f>
        <v>44750.59756</v>
      </c>
      <c r="D4415" s="15">
        <f>IFERROR(__xludf.DUMMYFUNCTION("""COMPUTED_VALUE"""),1.004)</f>
        <v>1.004</v>
      </c>
      <c r="E4415" s="16">
        <f>IFERROR(__xludf.DUMMYFUNCTION("""COMPUTED_VALUE"""),66.0)</f>
        <v>66</v>
      </c>
      <c r="F4415" s="19" t="str">
        <f>IFERROR(__xludf.DUMMYFUNCTION("""COMPUTED_VALUE"""),"BLACK")</f>
        <v>BLACK</v>
      </c>
      <c r="G4415" s="20" t="str">
        <f>IFERROR(__xludf.DUMMYFUNCTION("""COMPUTED_VALUE"""),"Uncle Sams Cider (5/13/2022)")</f>
        <v>Uncle Sams Cider (5/13/2022)</v>
      </c>
      <c r="H4415" s="19"/>
    </row>
    <row r="4416">
      <c r="A4416" s="9"/>
      <c r="B4416" s="15"/>
      <c r="C4416" s="9">
        <f>IFERROR(__xludf.DUMMYFUNCTION("""COMPUTED_VALUE"""),44750.587108368)</f>
        <v>44750.58711</v>
      </c>
      <c r="D4416" s="15">
        <f>IFERROR(__xludf.DUMMYFUNCTION("""COMPUTED_VALUE"""),1.004)</f>
        <v>1.004</v>
      </c>
      <c r="E4416" s="16">
        <f>IFERROR(__xludf.DUMMYFUNCTION("""COMPUTED_VALUE"""),66.0)</f>
        <v>66</v>
      </c>
      <c r="F4416" s="19" t="str">
        <f>IFERROR(__xludf.DUMMYFUNCTION("""COMPUTED_VALUE"""),"BLACK")</f>
        <v>BLACK</v>
      </c>
      <c r="G4416" s="20" t="str">
        <f>IFERROR(__xludf.DUMMYFUNCTION("""COMPUTED_VALUE"""),"Uncle Sams Cider (5/13/2022)")</f>
        <v>Uncle Sams Cider (5/13/2022)</v>
      </c>
      <c r="H4416" s="19"/>
    </row>
    <row r="4417">
      <c r="A4417" s="9"/>
      <c r="B4417" s="15"/>
      <c r="C4417" s="9">
        <f>IFERROR(__xludf.DUMMYFUNCTION("""COMPUTED_VALUE"""),44750.5766763657)</f>
        <v>44750.57668</v>
      </c>
      <c r="D4417" s="15">
        <f>IFERROR(__xludf.DUMMYFUNCTION("""COMPUTED_VALUE"""),1.004)</f>
        <v>1.004</v>
      </c>
      <c r="E4417" s="16">
        <f>IFERROR(__xludf.DUMMYFUNCTION("""COMPUTED_VALUE"""),66.0)</f>
        <v>66</v>
      </c>
      <c r="F4417" s="19" t="str">
        <f>IFERROR(__xludf.DUMMYFUNCTION("""COMPUTED_VALUE"""),"BLACK")</f>
        <v>BLACK</v>
      </c>
      <c r="G4417" s="20" t="str">
        <f>IFERROR(__xludf.DUMMYFUNCTION("""COMPUTED_VALUE"""),"Uncle Sams Cider (5/13/2022)")</f>
        <v>Uncle Sams Cider (5/13/2022)</v>
      </c>
      <c r="H4417" s="19"/>
    </row>
    <row r="4418">
      <c r="A4418" s="9"/>
      <c r="B4418" s="15"/>
      <c r="C4418" s="9">
        <f>IFERROR(__xludf.DUMMYFUNCTION("""COMPUTED_VALUE"""),44750.5662557638)</f>
        <v>44750.56626</v>
      </c>
      <c r="D4418" s="15">
        <f>IFERROR(__xludf.DUMMYFUNCTION("""COMPUTED_VALUE"""),1.005)</f>
        <v>1.005</v>
      </c>
      <c r="E4418" s="16">
        <f>IFERROR(__xludf.DUMMYFUNCTION("""COMPUTED_VALUE"""),66.0)</f>
        <v>66</v>
      </c>
      <c r="F4418" s="19" t="str">
        <f>IFERROR(__xludf.DUMMYFUNCTION("""COMPUTED_VALUE"""),"BLACK")</f>
        <v>BLACK</v>
      </c>
      <c r="G4418" s="20" t="str">
        <f>IFERROR(__xludf.DUMMYFUNCTION("""COMPUTED_VALUE"""),"Uncle Sams Cider (5/13/2022)")</f>
        <v>Uncle Sams Cider (5/13/2022)</v>
      </c>
      <c r="H4418" s="19"/>
    </row>
    <row r="4419">
      <c r="A4419" s="9"/>
      <c r="B4419" s="15"/>
      <c r="C4419" s="9">
        <f>IFERROR(__xludf.DUMMYFUNCTION("""COMPUTED_VALUE"""),44750.5558342129)</f>
        <v>44750.55583</v>
      </c>
      <c r="D4419" s="15">
        <f>IFERROR(__xludf.DUMMYFUNCTION("""COMPUTED_VALUE"""),1.004)</f>
        <v>1.004</v>
      </c>
      <c r="E4419" s="16">
        <f>IFERROR(__xludf.DUMMYFUNCTION("""COMPUTED_VALUE"""),66.0)</f>
        <v>66</v>
      </c>
      <c r="F4419" s="19" t="str">
        <f>IFERROR(__xludf.DUMMYFUNCTION("""COMPUTED_VALUE"""),"BLACK")</f>
        <v>BLACK</v>
      </c>
      <c r="G4419" s="20" t="str">
        <f>IFERROR(__xludf.DUMMYFUNCTION("""COMPUTED_VALUE"""),"Uncle Sams Cider (5/13/2022)")</f>
        <v>Uncle Sams Cider (5/13/2022)</v>
      </c>
      <c r="H4419" s="19"/>
    </row>
    <row r="4420">
      <c r="A4420" s="9"/>
      <c r="B4420" s="15"/>
      <c r="C4420" s="9">
        <f>IFERROR(__xludf.DUMMYFUNCTION("""COMPUTED_VALUE"""),44750.5454125926)</f>
        <v>44750.54541</v>
      </c>
      <c r="D4420" s="15">
        <f>IFERROR(__xludf.DUMMYFUNCTION("""COMPUTED_VALUE"""),1.004)</f>
        <v>1.004</v>
      </c>
      <c r="E4420" s="16">
        <f>IFERROR(__xludf.DUMMYFUNCTION("""COMPUTED_VALUE"""),66.0)</f>
        <v>66</v>
      </c>
      <c r="F4420" s="19" t="str">
        <f>IFERROR(__xludf.DUMMYFUNCTION("""COMPUTED_VALUE"""),"BLACK")</f>
        <v>BLACK</v>
      </c>
      <c r="G4420" s="20" t="str">
        <f>IFERROR(__xludf.DUMMYFUNCTION("""COMPUTED_VALUE"""),"Uncle Sams Cider (5/13/2022)")</f>
        <v>Uncle Sams Cider (5/13/2022)</v>
      </c>
      <c r="H4420" s="19"/>
    </row>
    <row r="4421">
      <c r="A4421" s="9"/>
      <c r="B4421" s="15"/>
      <c r="C4421" s="9">
        <f>IFERROR(__xludf.DUMMYFUNCTION("""COMPUTED_VALUE"""),44750.5349926388)</f>
        <v>44750.53499</v>
      </c>
      <c r="D4421" s="15">
        <f>IFERROR(__xludf.DUMMYFUNCTION("""COMPUTED_VALUE"""),1.004)</f>
        <v>1.004</v>
      </c>
      <c r="E4421" s="16">
        <f>IFERROR(__xludf.DUMMYFUNCTION("""COMPUTED_VALUE"""),66.0)</f>
        <v>66</v>
      </c>
      <c r="F4421" s="19" t="str">
        <f>IFERROR(__xludf.DUMMYFUNCTION("""COMPUTED_VALUE"""),"BLACK")</f>
        <v>BLACK</v>
      </c>
      <c r="G4421" s="20" t="str">
        <f>IFERROR(__xludf.DUMMYFUNCTION("""COMPUTED_VALUE"""),"Uncle Sams Cider (5/13/2022)")</f>
        <v>Uncle Sams Cider (5/13/2022)</v>
      </c>
      <c r="H4421" s="19"/>
    </row>
    <row r="4422">
      <c r="A4422" s="9"/>
      <c r="B4422" s="15"/>
      <c r="C4422" s="9">
        <f>IFERROR(__xludf.DUMMYFUNCTION("""COMPUTED_VALUE"""),44750.5245685648)</f>
        <v>44750.52457</v>
      </c>
      <c r="D4422" s="15">
        <f>IFERROR(__xludf.DUMMYFUNCTION("""COMPUTED_VALUE"""),1.004)</f>
        <v>1.004</v>
      </c>
      <c r="E4422" s="16">
        <f>IFERROR(__xludf.DUMMYFUNCTION("""COMPUTED_VALUE"""),66.0)</f>
        <v>66</v>
      </c>
      <c r="F4422" s="19" t="str">
        <f>IFERROR(__xludf.DUMMYFUNCTION("""COMPUTED_VALUE"""),"BLACK")</f>
        <v>BLACK</v>
      </c>
      <c r="G4422" s="20" t="str">
        <f>IFERROR(__xludf.DUMMYFUNCTION("""COMPUTED_VALUE"""),"Uncle Sams Cider (5/13/2022)")</f>
        <v>Uncle Sams Cider (5/13/2022)</v>
      </c>
      <c r="H4422" s="19"/>
    </row>
    <row r="4423">
      <c r="A4423" s="9"/>
      <c r="B4423" s="15"/>
      <c r="C4423" s="9">
        <f>IFERROR(__xludf.DUMMYFUNCTION("""COMPUTED_VALUE"""),44750.5141494444)</f>
        <v>44750.51415</v>
      </c>
      <c r="D4423" s="15">
        <f>IFERROR(__xludf.DUMMYFUNCTION("""COMPUTED_VALUE"""),1.004)</f>
        <v>1.004</v>
      </c>
      <c r="E4423" s="16">
        <f>IFERROR(__xludf.DUMMYFUNCTION("""COMPUTED_VALUE"""),66.0)</f>
        <v>66</v>
      </c>
      <c r="F4423" s="19" t="str">
        <f>IFERROR(__xludf.DUMMYFUNCTION("""COMPUTED_VALUE"""),"BLACK")</f>
        <v>BLACK</v>
      </c>
      <c r="G4423" s="20" t="str">
        <f>IFERROR(__xludf.DUMMYFUNCTION("""COMPUTED_VALUE"""),"Uncle Sams Cider (5/13/2022)")</f>
        <v>Uncle Sams Cider (5/13/2022)</v>
      </c>
      <c r="H4423" s="19"/>
    </row>
    <row r="4424">
      <c r="A4424" s="9"/>
      <c r="B4424" s="15"/>
      <c r="C4424" s="9">
        <f>IFERROR(__xludf.DUMMYFUNCTION("""COMPUTED_VALUE"""),44750.5037172338)</f>
        <v>44750.50372</v>
      </c>
      <c r="D4424" s="15">
        <f>IFERROR(__xludf.DUMMYFUNCTION("""COMPUTED_VALUE"""),1.004)</f>
        <v>1.004</v>
      </c>
      <c r="E4424" s="16">
        <f>IFERROR(__xludf.DUMMYFUNCTION("""COMPUTED_VALUE"""),66.0)</f>
        <v>66</v>
      </c>
      <c r="F4424" s="19" t="str">
        <f>IFERROR(__xludf.DUMMYFUNCTION("""COMPUTED_VALUE"""),"BLACK")</f>
        <v>BLACK</v>
      </c>
      <c r="G4424" s="20" t="str">
        <f>IFERROR(__xludf.DUMMYFUNCTION("""COMPUTED_VALUE"""),"Uncle Sams Cider (5/13/2022)")</f>
        <v>Uncle Sams Cider (5/13/2022)</v>
      </c>
      <c r="H4424" s="19"/>
    </row>
    <row r="4425">
      <c r="A4425" s="9"/>
      <c r="B4425" s="15"/>
      <c r="C4425" s="9">
        <f>IFERROR(__xludf.DUMMYFUNCTION("""COMPUTED_VALUE"""),44750.4932957176)</f>
        <v>44750.4933</v>
      </c>
      <c r="D4425" s="15">
        <f>IFERROR(__xludf.DUMMYFUNCTION("""COMPUTED_VALUE"""),1.004)</f>
        <v>1.004</v>
      </c>
      <c r="E4425" s="16">
        <f>IFERROR(__xludf.DUMMYFUNCTION("""COMPUTED_VALUE"""),66.0)</f>
        <v>66</v>
      </c>
      <c r="F4425" s="19" t="str">
        <f>IFERROR(__xludf.DUMMYFUNCTION("""COMPUTED_VALUE"""),"BLACK")</f>
        <v>BLACK</v>
      </c>
      <c r="G4425" s="20" t="str">
        <f>IFERROR(__xludf.DUMMYFUNCTION("""COMPUTED_VALUE"""),"Uncle Sams Cider (5/13/2022)")</f>
        <v>Uncle Sams Cider (5/13/2022)</v>
      </c>
      <c r="H4425" s="19"/>
    </row>
    <row r="4426">
      <c r="A4426" s="9"/>
      <c r="B4426" s="15"/>
      <c r="C4426" s="9">
        <f>IFERROR(__xludf.DUMMYFUNCTION("""COMPUTED_VALUE"""),44750.4828732986)</f>
        <v>44750.48287</v>
      </c>
      <c r="D4426" s="15">
        <f>IFERROR(__xludf.DUMMYFUNCTION("""COMPUTED_VALUE"""),1.004)</f>
        <v>1.004</v>
      </c>
      <c r="E4426" s="16">
        <f>IFERROR(__xludf.DUMMYFUNCTION("""COMPUTED_VALUE"""),66.0)</f>
        <v>66</v>
      </c>
      <c r="F4426" s="19" t="str">
        <f>IFERROR(__xludf.DUMMYFUNCTION("""COMPUTED_VALUE"""),"BLACK")</f>
        <v>BLACK</v>
      </c>
      <c r="G4426" s="20" t="str">
        <f>IFERROR(__xludf.DUMMYFUNCTION("""COMPUTED_VALUE"""),"Uncle Sams Cider (5/13/2022)")</f>
        <v>Uncle Sams Cider (5/13/2022)</v>
      </c>
      <c r="H4426" s="19"/>
    </row>
    <row r="4427">
      <c r="A4427" s="9"/>
      <c r="B4427" s="15"/>
      <c r="C4427" s="9">
        <f>IFERROR(__xludf.DUMMYFUNCTION("""COMPUTED_VALUE"""),44750.4724519213)</f>
        <v>44750.47245</v>
      </c>
      <c r="D4427" s="15">
        <f>IFERROR(__xludf.DUMMYFUNCTION("""COMPUTED_VALUE"""),1.004)</f>
        <v>1.004</v>
      </c>
      <c r="E4427" s="16">
        <f>IFERROR(__xludf.DUMMYFUNCTION("""COMPUTED_VALUE"""),66.0)</f>
        <v>66</v>
      </c>
      <c r="F4427" s="19" t="str">
        <f>IFERROR(__xludf.DUMMYFUNCTION("""COMPUTED_VALUE"""),"BLACK")</f>
        <v>BLACK</v>
      </c>
      <c r="G4427" s="20" t="str">
        <f>IFERROR(__xludf.DUMMYFUNCTION("""COMPUTED_VALUE"""),"Uncle Sams Cider (5/13/2022)")</f>
        <v>Uncle Sams Cider (5/13/2022)</v>
      </c>
      <c r="H4427" s="19"/>
    </row>
    <row r="4428">
      <c r="A4428" s="9"/>
      <c r="B4428" s="15"/>
      <c r="C4428" s="9">
        <f>IFERROR(__xludf.DUMMYFUNCTION("""COMPUTED_VALUE"""),44750.4620293287)</f>
        <v>44750.46203</v>
      </c>
      <c r="D4428" s="15">
        <f>IFERROR(__xludf.DUMMYFUNCTION("""COMPUTED_VALUE"""),1.004)</f>
        <v>1.004</v>
      </c>
      <c r="E4428" s="16">
        <f>IFERROR(__xludf.DUMMYFUNCTION("""COMPUTED_VALUE"""),66.0)</f>
        <v>66</v>
      </c>
      <c r="F4428" s="19" t="str">
        <f>IFERROR(__xludf.DUMMYFUNCTION("""COMPUTED_VALUE"""),"BLACK")</f>
        <v>BLACK</v>
      </c>
      <c r="G4428" s="20" t="str">
        <f>IFERROR(__xludf.DUMMYFUNCTION("""COMPUTED_VALUE"""),"Uncle Sams Cider (5/13/2022)")</f>
        <v>Uncle Sams Cider (5/13/2022)</v>
      </c>
      <c r="H4428" s="19"/>
    </row>
    <row r="4429">
      <c r="A4429" s="9"/>
      <c r="B4429" s="15"/>
      <c r="C4429" s="9">
        <f>IFERROR(__xludf.DUMMYFUNCTION("""COMPUTED_VALUE"""),44750.4516069675)</f>
        <v>44750.45161</v>
      </c>
      <c r="D4429" s="15">
        <f>IFERROR(__xludf.DUMMYFUNCTION("""COMPUTED_VALUE"""),1.005)</f>
        <v>1.005</v>
      </c>
      <c r="E4429" s="16">
        <f>IFERROR(__xludf.DUMMYFUNCTION("""COMPUTED_VALUE"""),66.0)</f>
        <v>66</v>
      </c>
      <c r="F4429" s="19" t="str">
        <f>IFERROR(__xludf.DUMMYFUNCTION("""COMPUTED_VALUE"""),"BLACK")</f>
        <v>BLACK</v>
      </c>
      <c r="G4429" s="20" t="str">
        <f>IFERROR(__xludf.DUMMYFUNCTION("""COMPUTED_VALUE"""),"Uncle Sams Cider (5/13/2022)")</f>
        <v>Uncle Sams Cider (5/13/2022)</v>
      </c>
      <c r="H4429" s="19"/>
    </row>
    <row r="4430">
      <c r="A4430" s="9"/>
      <c r="B4430" s="15"/>
      <c r="C4430" s="9">
        <f>IFERROR(__xludf.DUMMYFUNCTION("""COMPUTED_VALUE"""),44750.4411874421)</f>
        <v>44750.44119</v>
      </c>
      <c r="D4430" s="15">
        <f>IFERROR(__xludf.DUMMYFUNCTION("""COMPUTED_VALUE"""),1.004)</f>
        <v>1.004</v>
      </c>
      <c r="E4430" s="16">
        <f>IFERROR(__xludf.DUMMYFUNCTION("""COMPUTED_VALUE"""),66.0)</f>
        <v>66</v>
      </c>
      <c r="F4430" s="19" t="str">
        <f>IFERROR(__xludf.DUMMYFUNCTION("""COMPUTED_VALUE"""),"BLACK")</f>
        <v>BLACK</v>
      </c>
      <c r="G4430" s="20" t="str">
        <f>IFERROR(__xludf.DUMMYFUNCTION("""COMPUTED_VALUE"""),"Uncle Sams Cider (5/13/2022)")</f>
        <v>Uncle Sams Cider (5/13/2022)</v>
      </c>
      <c r="H4430" s="19"/>
    </row>
    <row r="4431">
      <c r="A4431" s="9"/>
      <c r="B4431" s="15"/>
      <c r="C4431" s="9">
        <f>IFERROR(__xludf.DUMMYFUNCTION("""COMPUTED_VALUE"""),44750.4307649652)</f>
        <v>44750.43076</v>
      </c>
      <c r="D4431" s="15">
        <f>IFERROR(__xludf.DUMMYFUNCTION("""COMPUTED_VALUE"""),1.004)</f>
        <v>1.004</v>
      </c>
      <c r="E4431" s="16">
        <f>IFERROR(__xludf.DUMMYFUNCTION("""COMPUTED_VALUE"""),66.0)</f>
        <v>66</v>
      </c>
      <c r="F4431" s="19" t="str">
        <f>IFERROR(__xludf.DUMMYFUNCTION("""COMPUTED_VALUE"""),"BLACK")</f>
        <v>BLACK</v>
      </c>
      <c r="G4431" s="20" t="str">
        <f>IFERROR(__xludf.DUMMYFUNCTION("""COMPUTED_VALUE"""),"Uncle Sams Cider (5/13/2022)")</f>
        <v>Uncle Sams Cider (5/13/2022)</v>
      </c>
      <c r="H4431" s="19"/>
    </row>
    <row r="4432">
      <c r="A4432" s="9"/>
      <c r="B4432" s="15"/>
      <c r="C4432" s="9">
        <f>IFERROR(__xludf.DUMMYFUNCTION("""COMPUTED_VALUE"""),44750.4203436574)</f>
        <v>44750.42034</v>
      </c>
      <c r="D4432" s="15">
        <f>IFERROR(__xludf.DUMMYFUNCTION("""COMPUTED_VALUE"""),1.004)</f>
        <v>1.004</v>
      </c>
      <c r="E4432" s="16">
        <f>IFERROR(__xludf.DUMMYFUNCTION("""COMPUTED_VALUE"""),66.0)</f>
        <v>66</v>
      </c>
      <c r="F4432" s="19" t="str">
        <f>IFERROR(__xludf.DUMMYFUNCTION("""COMPUTED_VALUE"""),"BLACK")</f>
        <v>BLACK</v>
      </c>
      <c r="G4432" s="20" t="str">
        <f>IFERROR(__xludf.DUMMYFUNCTION("""COMPUTED_VALUE"""),"Uncle Sams Cider (5/13/2022)")</f>
        <v>Uncle Sams Cider (5/13/2022)</v>
      </c>
      <c r="H4432" s="19"/>
    </row>
    <row r="4433">
      <c r="A4433" s="9"/>
      <c r="B4433" s="15"/>
      <c r="C4433" s="9">
        <f>IFERROR(__xludf.DUMMYFUNCTION("""COMPUTED_VALUE"""),44750.4099230324)</f>
        <v>44750.40992</v>
      </c>
      <c r="D4433" s="15">
        <f>IFERROR(__xludf.DUMMYFUNCTION("""COMPUTED_VALUE"""),1.004)</f>
        <v>1.004</v>
      </c>
      <c r="E4433" s="16">
        <f>IFERROR(__xludf.DUMMYFUNCTION("""COMPUTED_VALUE"""),66.0)</f>
        <v>66</v>
      </c>
      <c r="F4433" s="19" t="str">
        <f>IFERROR(__xludf.DUMMYFUNCTION("""COMPUTED_VALUE"""),"BLACK")</f>
        <v>BLACK</v>
      </c>
      <c r="G4433" s="20" t="str">
        <f>IFERROR(__xludf.DUMMYFUNCTION("""COMPUTED_VALUE"""),"Uncle Sams Cider (5/13/2022)")</f>
        <v>Uncle Sams Cider (5/13/2022)</v>
      </c>
      <c r="H4433" s="19"/>
    </row>
    <row r="4434">
      <c r="A4434" s="9"/>
      <c r="B4434" s="15"/>
      <c r="C4434" s="9">
        <f>IFERROR(__xludf.DUMMYFUNCTION("""COMPUTED_VALUE"""),44750.399502662)</f>
        <v>44750.3995</v>
      </c>
      <c r="D4434" s="15">
        <f>IFERROR(__xludf.DUMMYFUNCTION("""COMPUTED_VALUE"""),1.004)</f>
        <v>1.004</v>
      </c>
      <c r="E4434" s="16">
        <f>IFERROR(__xludf.DUMMYFUNCTION("""COMPUTED_VALUE"""),66.0)</f>
        <v>66</v>
      </c>
      <c r="F4434" s="19" t="str">
        <f>IFERROR(__xludf.DUMMYFUNCTION("""COMPUTED_VALUE"""),"BLACK")</f>
        <v>BLACK</v>
      </c>
      <c r="G4434" s="20" t="str">
        <f>IFERROR(__xludf.DUMMYFUNCTION("""COMPUTED_VALUE"""),"Uncle Sams Cider (5/13/2022)")</f>
        <v>Uncle Sams Cider (5/13/2022)</v>
      </c>
      <c r="H4434" s="19"/>
    </row>
    <row r="4435">
      <c r="A4435" s="9"/>
      <c r="B4435" s="15"/>
      <c r="C4435" s="9">
        <f>IFERROR(__xludf.DUMMYFUNCTION("""COMPUTED_VALUE"""),44750.3890830902)</f>
        <v>44750.38908</v>
      </c>
      <c r="D4435" s="15">
        <f>IFERROR(__xludf.DUMMYFUNCTION("""COMPUTED_VALUE"""),1.004)</f>
        <v>1.004</v>
      </c>
      <c r="E4435" s="16">
        <f>IFERROR(__xludf.DUMMYFUNCTION("""COMPUTED_VALUE"""),66.0)</f>
        <v>66</v>
      </c>
      <c r="F4435" s="19" t="str">
        <f>IFERROR(__xludf.DUMMYFUNCTION("""COMPUTED_VALUE"""),"BLACK")</f>
        <v>BLACK</v>
      </c>
      <c r="G4435" s="20" t="str">
        <f>IFERROR(__xludf.DUMMYFUNCTION("""COMPUTED_VALUE"""),"Uncle Sams Cider (5/13/2022)")</f>
        <v>Uncle Sams Cider (5/13/2022)</v>
      </c>
      <c r="H4435" s="19"/>
    </row>
    <row r="4436">
      <c r="A4436" s="9"/>
      <c r="B4436" s="15"/>
      <c r="C4436" s="9">
        <f>IFERROR(__xludf.DUMMYFUNCTION("""COMPUTED_VALUE"""),44750.3786488425)</f>
        <v>44750.37865</v>
      </c>
      <c r="D4436" s="15">
        <f>IFERROR(__xludf.DUMMYFUNCTION("""COMPUTED_VALUE"""),1.004)</f>
        <v>1.004</v>
      </c>
      <c r="E4436" s="16">
        <f>IFERROR(__xludf.DUMMYFUNCTION("""COMPUTED_VALUE"""),66.0)</f>
        <v>66</v>
      </c>
      <c r="F4436" s="19" t="str">
        <f>IFERROR(__xludf.DUMMYFUNCTION("""COMPUTED_VALUE"""),"BLACK")</f>
        <v>BLACK</v>
      </c>
      <c r="G4436" s="20" t="str">
        <f>IFERROR(__xludf.DUMMYFUNCTION("""COMPUTED_VALUE"""),"Uncle Sams Cider (5/13/2022)")</f>
        <v>Uncle Sams Cider (5/13/2022)</v>
      </c>
      <c r="H4436" s="19"/>
    </row>
    <row r="4437">
      <c r="A4437" s="9"/>
      <c r="B4437" s="15"/>
      <c r="C4437" s="9">
        <f>IFERROR(__xludf.DUMMYFUNCTION("""COMPUTED_VALUE"""),44750.3681927546)</f>
        <v>44750.36819</v>
      </c>
      <c r="D4437" s="15">
        <f>IFERROR(__xludf.DUMMYFUNCTION("""COMPUTED_VALUE"""),1.004)</f>
        <v>1.004</v>
      </c>
      <c r="E4437" s="16">
        <f>IFERROR(__xludf.DUMMYFUNCTION("""COMPUTED_VALUE"""),66.0)</f>
        <v>66</v>
      </c>
      <c r="F4437" s="19" t="str">
        <f>IFERROR(__xludf.DUMMYFUNCTION("""COMPUTED_VALUE"""),"BLACK")</f>
        <v>BLACK</v>
      </c>
      <c r="G4437" s="20" t="str">
        <f>IFERROR(__xludf.DUMMYFUNCTION("""COMPUTED_VALUE"""),"Uncle Sams Cider (5/13/2022)")</f>
        <v>Uncle Sams Cider (5/13/2022)</v>
      </c>
      <c r="H4437" s="19"/>
    </row>
    <row r="4438">
      <c r="A4438" s="9"/>
      <c r="B4438" s="15"/>
      <c r="C4438" s="9">
        <f>IFERROR(__xludf.DUMMYFUNCTION("""COMPUTED_VALUE"""),44750.3577608912)</f>
        <v>44750.35776</v>
      </c>
      <c r="D4438" s="15">
        <f>IFERROR(__xludf.DUMMYFUNCTION("""COMPUTED_VALUE"""),1.004)</f>
        <v>1.004</v>
      </c>
      <c r="E4438" s="16">
        <f>IFERROR(__xludf.DUMMYFUNCTION("""COMPUTED_VALUE"""),66.0)</f>
        <v>66</v>
      </c>
      <c r="F4438" s="19" t="str">
        <f>IFERROR(__xludf.DUMMYFUNCTION("""COMPUTED_VALUE"""),"BLACK")</f>
        <v>BLACK</v>
      </c>
      <c r="G4438" s="20" t="str">
        <f>IFERROR(__xludf.DUMMYFUNCTION("""COMPUTED_VALUE"""),"Uncle Sams Cider (5/13/2022)")</f>
        <v>Uncle Sams Cider (5/13/2022)</v>
      </c>
      <c r="H4438" s="19"/>
    </row>
    <row r="4439">
      <c r="A4439" s="9"/>
      <c r="B4439" s="15"/>
      <c r="C4439" s="9">
        <f>IFERROR(__xludf.DUMMYFUNCTION("""COMPUTED_VALUE"""),44750.3473373263)</f>
        <v>44750.34734</v>
      </c>
      <c r="D4439" s="15">
        <f>IFERROR(__xludf.DUMMYFUNCTION("""COMPUTED_VALUE"""),1.004)</f>
        <v>1.004</v>
      </c>
      <c r="E4439" s="16">
        <f>IFERROR(__xludf.DUMMYFUNCTION("""COMPUTED_VALUE"""),66.0)</f>
        <v>66</v>
      </c>
      <c r="F4439" s="19" t="str">
        <f>IFERROR(__xludf.DUMMYFUNCTION("""COMPUTED_VALUE"""),"BLACK")</f>
        <v>BLACK</v>
      </c>
      <c r="G4439" s="20" t="str">
        <f>IFERROR(__xludf.DUMMYFUNCTION("""COMPUTED_VALUE"""),"Uncle Sams Cider (5/13/2022)")</f>
        <v>Uncle Sams Cider (5/13/2022)</v>
      </c>
      <c r="H4439" s="19"/>
    </row>
    <row r="4440">
      <c r="A4440" s="9"/>
      <c r="B4440" s="15"/>
      <c r="C4440" s="9">
        <f>IFERROR(__xludf.DUMMYFUNCTION("""COMPUTED_VALUE"""),44750.3369158796)</f>
        <v>44750.33692</v>
      </c>
      <c r="D4440" s="15">
        <f>IFERROR(__xludf.DUMMYFUNCTION("""COMPUTED_VALUE"""),1.004)</f>
        <v>1.004</v>
      </c>
      <c r="E4440" s="16">
        <f>IFERROR(__xludf.DUMMYFUNCTION("""COMPUTED_VALUE"""),66.0)</f>
        <v>66</v>
      </c>
      <c r="F4440" s="19" t="str">
        <f>IFERROR(__xludf.DUMMYFUNCTION("""COMPUTED_VALUE"""),"BLACK")</f>
        <v>BLACK</v>
      </c>
      <c r="G4440" s="20" t="str">
        <f>IFERROR(__xludf.DUMMYFUNCTION("""COMPUTED_VALUE"""),"Uncle Sams Cider (5/13/2022)")</f>
        <v>Uncle Sams Cider (5/13/2022)</v>
      </c>
      <c r="H4440" s="19"/>
    </row>
    <row r="4441">
      <c r="A4441" s="9"/>
      <c r="B4441" s="15"/>
      <c r="C4441" s="9">
        <f>IFERROR(__xludf.DUMMYFUNCTION("""COMPUTED_VALUE"""),44750.3264949537)</f>
        <v>44750.32649</v>
      </c>
      <c r="D4441" s="15">
        <f>IFERROR(__xludf.DUMMYFUNCTION("""COMPUTED_VALUE"""),1.004)</f>
        <v>1.004</v>
      </c>
      <c r="E4441" s="16">
        <f>IFERROR(__xludf.DUMMYFUNCTION("""COMPUTED_VALUE"""),66.0)</f>
        <v>66</v>
      </c>
      <c r="F4441" s="19" t="str">
        <f>IFERROR(__xludf.DUMMYFUNCTION("""COMPUTED_VALUE"""),"BLACK")</f>
        <v>BLACK</v>
      </c>
      <c r="G4441" s="20" t="str">
        <f>IFERROR(__xludf.DUMMYFUNCTION("""COMPUTED_VALUE"""),"Uncle Sams Cider (5/13/2022)")</f>
        <v>Uncle Sams Cider (5/13/2022)</v>
      </c>
      <c r="H4441" s="19"/>
    </row>
    <row r="4442">
      <c r="A4442" s="9"/>
      <c r="B4442" s="15"/>
      <c r="C4442" s="9">
        <f>IFERROR(__xludf.DUMMYFUNCTION("""COMPUTED_VALUE"""),44750.3160740162)</f>
        <v>44750.31607</v>
      </c>
      <c r="D4442" s="15">
        <f>IFERROR(__xludf.DUMMYFUNCTION("""COMPUTED_VALUE"""),1.004)</f>
        <v>1.004</v>
      </c>
      <c r="E4442" s="16">
        <f>IFERROR(__xludf.DUMMYFUNCTION("""COMPUTED_VALUE"""),66.0)</f>
        <v>66</v>
      </c>
      <c r="F4442" s="19" t="str">
        <f>IFERROR(__xludf.DUMMYFUNCTION("""COMPUTED_VALUE"""),"BLACK")</f>
        <v>BLACK</v>
      </c>
      <c r="G4442" s="20" t="str">
        <f>IFERROR(__xludf.DUMMYFUNCTION("""COMPUTED_VALUE"""),"Uncle Sams Cider (5/13/2022)")</f>
        <v>Uncle Sams Cider (5/13/2022)</v>
      </c>
      <c r="H4442" s="19"/>
    </row>
    <row r="4443">
      <c r="A4443" s="9"/>
      <c r="B4443" s="15"/>
      <c r="C4443" s="9">
        <f>IFERROR(__xludf.DUMMYFUNCTION("""COMPUTED_VALUE"""),44750.3056409953)</f>
        <v>44750.30564</v>
      </c>
      <c r="D4443" s="15">
        <f>IFERROR(__xludf.DUMMYFUNCTION("""COMPUTED_VALUE"""),1.004)</f>
        <v>1.004</v>
      </c>
      <c r="E4443" s="16">
        <f>IFERROR(__xludf.DUMMYFUNCTION("""COMPUTED_VALUE"""),66.0)</f>
        <v>66</v>
      </c>
      <c r="F4443" s="19" t="str">
        <f>IFERROR(__xludf.DUMMYFUNCTION("""COMPUTED_VALUE"""),"BLACK")</f>
        <v>BLACK</v>
      </c>
      <c r="G4443" s="20" t="str">
        <f>IFERROR(__xludf.DUMMYFUNCTION("""COMPUTED_VALUE"""),"Uncle Sams Cider (5/13/2022)")</f>
        <v>Uncle Sams Cider (5/13/2022)</v>
      </c>
      <c r="H4443" s="19"/>
    </row>
    <row r="4444">
      <c r="A4444" s="9"/>
      <c r="B4444" s="15"/>
      <c r="C4444" s="9">
        <f>IFERROR(__xludf.DUMMYFUNCTION("""COMPUTED_VALUE"""),44750.2952205439)</f>
        <v>44750.29522</v>
      </c>
      <c r="D4444" s="15">
        <f>IFERROR(__xludf.DUMMYFUNCTION("""COMPUTED_VALUE"""),1.004)</f>
        <v>1.004</v>
      </c>
      <c r="E4444" s="16">
        <f>IFERROR(__xludf.DUMMYFUNCTION("""COMPUTED_VALUE"""),67.0)</f>
        <v>67</v>
      </c>
      <c r="F4444" s="19" t="str">
        <f>IFERROR(__xludf.DUMMYFUNCTION("""COMPUTED_VALUE"""),"BLACK")</f>
        <v>BLACK</v>
      </c>
      <c r="G4444" s="20" t="str">
        <f>IFERROR(__xludf.DUMMYFUNCTION("""COMPUTED_VALUE"""),"Uncle Sams Cider (5/13/2022)")</f>
        <v>Uncle Sams Cider (5/13/2022)</v>
      </c>
      <c r="H4444" s="19"/>
    </row>
    <row r="4445">
      <c r="A4445" s="9"/>
      <c r="B4445" s="15"/>
      <c r="C4445" s="9">
        <f>IFERROR(__xludf.DUMMYFUNCTION("""COMPUTED_VALUE"""),44750.2847989699)</f>
        <v>44750.2848</v>
      </c>
      <c r="D4445" s="15">
        <f>IFERROR(__xludf.DUMMYFUNCTION("""COMPUTED_VALUE"""),1.004)</f>
        <v>1.004</v>
      </c>
      <c r="E4445" s="16">
        <f>IFERROR(__xludf.DUMMYFUNCTION("""COMPUTED_VALUE"""),67.0)</f>
        <v>67</v>
      </c>
      <c r="F4445" s="19" t="str">
        <f>IFERROR(__xludf.DUMMYFUNCTION("""COMPUTED_VALUE"""),"BLACK")</f>
        <v>BLACK</v>
      </c>
      <c r="G4445" s="20" t="str">
        <f>IFERROR(__xludf.DUMMYFUNCTION("""COMPUTED_VALUE"""),"Uncle Sams Cider (5/13/2022)")</f>
        <v>Uncle Sams Cider (5/13/2022)</v>
      </c>
      <c r="H4445" s="19"/>
    </row>
    <row r="4446">
      <c r="A4446" s="9"/>
      <c r="B4446" s="15"/>
      <c r="C4446" s="9">
        <f>IFERROR(__xludf.DUMMYFUNCTION("""COMPUTED_VALUE"""),44750.2743670601)</f>
        <v>44750.27437</v>
      </c>
      <c r="D4446" s="15">
        <f>IFERROR(__xludf.DUMMYFUNCTION("""COMPUTED_VALUE"""),1.004)</f>
        <v>1.004</v>
      </c>
      <c r="E4446" s="16">
        <f>IFERROR(__xludf.DUMMYFUNCTION("""COMPUTED_VALUE"""),68.0)</f>
        <v>68</v>
      </c>
      <c r="F4446" s="19" t="str">
        <f>IFERROR(__xludf.DUMMYFUNCTION("""COMPUTED_VALUE"""),"BLACK")</f>
        <v>BLACK</v>
      </c>
      <c r="G4446" s="20" t="str">
        <f>IFERROR(__xludf.DUMMYFUNCTION("""COMPUTED_VALUE"""),"Uncle Sams Cider (5/13/2022)")</f>
        <v>Uncle Sams Cider (5/13/2022)</v>
      </c>
      <c r="H4446" s="19"/>
    </row>
    <row r="4447">
      <c r="A4447" s="9"/>
      <c r="B4447" s="15"/>
      <c r="C4447" s="9">
        <f>IFERROR(__xludf.DUMMYFUNCTION("""COMPUTED_VALUE"""),44750.2639343055)</f>
        <v>44750.26393</v>
      </c>
      <c r="D4447" s="15">
        <f>IFERROR(__xludf.DUMMYFUNCTION("""COMPUTED_VALUE"""),1.004)</f>
        <v>1.004</v>
      </c>
      <c r="E4447" s="16">
        <f>IFERROR(__xludf.DUMMYFUNCTION("""COMPUTED_VALUE"""),69.0)</f>
        <v>69</v>
      </c>
      <c r="F4447" s="19" t="str">
        <f>IFERROR(__xludf.DUMMYFUNCTION("""COMPUTED_VALUE"""),"BLACK")</f>
        <v>BLACK</v>
      </c>
      <c r="G4447" s="20" t="str">
        <f>IFERROR(__xludf.DUMMYFUNCTION("""COMPUTED_VALUE"""),"Uncle Sams Cider (5/13/2022)")</f>
        <v>Uncle Sams Cider (5/13/2022)</v>
      </c>
      <c r="H4447" s="19"/>
    </row>
    <row r="4448">
      <c r="A4448" s="9"/>
      <c r="B4448" s="15"/>
      <c r="C4448" s="9">
        <f>IFERROR(__xludf.DUMMYFUNCTION("""COMPUTED_VALUE"""),44750.2534922106)</f>
        <v>44750.25349</v>
      </c>
      <c r="D4448" s="15">
        <f>IFERROR(__xludf.DUMMYFUNCTION("""COMPUTED_VALUE"""),1.004)</f>
        <v>1.004</v>
      </c>
      <c r="E4448" s="16">
        <f>IFERROR(__xludf.DUMMYFUNCTION("""COMPUTED_VALUE"""),70.0)</f>
        <v>70</v>
      </c>
      <c r="F4448" s="19" t="str">
        <f>IFERROR(__xludf.DUMMYFUNCTION("""COMPUTED_VALUE"""),"BLACK")</f>
        <v>BLACK</v>
      </c>
      <c r="G4448" s="20" t="str">
        <f>IFERROR(__xludf.DUMMYFUNCTION("""COMPUTED_VALUE"""),"Uncle Sams Cider (5/13/2022)")</f>
        <v>Uncle Sams Cider (5/13/2022)</v>
      </c>
      <c r="H4448" s="19"/>
    </row>
    <row r="4449">
      <c r="A4449" s="9"/>
      <c r="B4449" s="15"/>
      <c r="C4449" s="9">
        <f>IFERROR(__xludf.DUMMYFUNCTION("""COMPUTED_VALUE"""),44750.2430690393)</f>
        <v>44750.24307</v>
      </c>
      <c r="D4449" s="15">
        <f>IFERROR(__xludf.DUMMYFUNCTION("""COMPUTED_VALUE"""),1.004)</f>
        <v>1.004</v>
      </c>
      <c r="E4449" s="16">
        <f>IFERROR(__xludf.DUMMYFUNCTION("""COMPUTED_VALUE"""),70.0)</f>
        <v>70</v>
      </c>
      <c r="F4449" s="19" t="str">
        <f>IFERROR(__xludf.DUMMYFUNCTION("""COMPUTED_VALUE"""),"BLACK")</f>
        <v>BLACK</v>
      </c>
      <c r="G4449" s="20" t="str">
        <f>IFERROR(__xludf.DUMMYFUNCTION("""COMPUTED_VALUE"""),"Uncle Sams Cider (5/13/2022)")</f>
        <v>Uncle Sams Cider (5/13/2022)</v>
      </c>
      <c r="H4449" s="19"/>
    </row>
    <row r="4450">
      <c r="A4450" s="9"/>
      <c r="B4450" s="15"/>
      <c r="C4450" s="9">
        <f>IFERROR(__xludf.DUMMYFUNCTION("""COMPUTED_VALUE"""),44750.232648449)</f>
        <v>44750.23265</v>
      </c>
      <c r="D4450" s="15">
        <f>IFERROR(__xludf.DUMMYFUNCTION("""COMPUTED_VALUE"""),1.004)</f>
        <v>1.004</v>
      </c>
      <c r="E4450" s="16">
        <f>IFERROR(__xludf.DUMMYFUNCTION("""COMPUTED_VALUE"""),70.0)</f>
        <v>70</v>
      </c>
      <c r="F4450" s="19" t="str">
        <f>IFERROR(__xludf.DUMMYFUNCTION("""COMPUTED_VALUE"""),"BLACK")</f>
        <v>BLACK</v>
      </c>
      <c r="G4450" s="20" t="str">
        <f>IFERROR(__xludf.DUMMYFUNCTION("""COMPUTED_VALUE"""),"Uncle Sams Cider (5/13/2022)")</f>
        <v>Uncle Sams Cider (5/13/2022)</v>
      </c>
      <c r="H4450" s="19"/>
    </row>
    <row r="4451">
      <c r="A4451" s="9"/>
      <c r="B4451" s="15"/>
      <c r="C4451" s="9">
        <f>IFERROR(__xludf.DUMMYFUNCTION("""COMPUTED_VALUE"""),44750.2222294907)</f>
        <v>44750.22223</v>
      </c>
      <c r="D4451" s="15">
        <f>IFERROR(__xludf.DUMMYFUNCTION("""COMPUTED_VALUE"""),1.004)</f>
        <v>1.004</v>
      </c>
      <c r="E4451" s="16">
        <f>IFERROR(__xludf.DUMMYFUNCTION("""COMPUTED_VALUE"""),70.0)</f>
        <v>70</v>
      </c>
      <c r="F4451" s="19" t="str">
        <f>IFERROR(__xludf.DUMMYFUNCTION("""COMPUTED_VALUE"""),"BLACK")</f>
        <v>BLACK</v>
      </c>
      <c r="G4451" s="20" t="str">
        <f>IFERROR(__xludf.DUMMYFUNCTION("""COMPUTED_VALUE"""),"Uncle Sams Cider (5/13/2022)")</f>
        <v>Uncle Sams Cider (5/13/2022)</v>
      </c>
      <c r="H4451" s="19"/>
    </row>
    <row r="4452">
      <c r="A4452" s="9"/>
      <c r="B4452" s="15"/>
      <c r="C4452" s="9">
        <f>IFERROR(__xludf.DUMMYFUNCTION("""COMPUTED_VALUE"""),44750.2117970601)</f>
        <v>44750.2118</v>
      </c>
      <c r="D4452" s="15">
        <f>IFERROR(__xludf.DUMMYFUNCTION("""COMPUTED_VALUE"""),1.004)</f>
        <v>1.004</v>
      </c>
      <c r="E4452" s="16">
        <f>IFERROR(__xludf.DUMMYFUNCTION("""COMPUTED_VALUE"""),70.0)</f>
        <v>70</v>
      </c>
      <c r="F4452" s="19" t="str">
        <f>IFERROR(__xludf.DUMMYFUNCTION("""COMPUTED_VALUE"""),"BLACK")</f>
        <v>BLACK</v>
      </c>
      <c r="G4452" s="20" t="str">
        <f>IFERROR(__xludf.DUMMYFUNCTION("""COMPUTED_VALUE"""),"Uncle Sams Cider (5/13/2022)")</f>
        <v>Uncle Sams Cider (5/13/2022)</v>
      </c>
      <c r="H4452" s="19"/>
    </row>
    <row r="4453">
      <c r="A4453" s="9"/>
      <c r="B4453" s="15"/>
      <c r="C4453" s="9">
        <f>IFERROR(__xludf.DUMMYFUNCTION("""COMPUTED_VALUE"""),44750.2013659722)</f>
        <v>44750.20137</v>
      </c>
      <c r="D4453" s="15">
        <f>IFERROR(__xludf.DUMMYFUNCTION("""COMPUTED_VALUE"""),1.004)</f>
        <v>1.004</v>
      </c>
      <c r="E4453" s="16">
        <f>IFERROR(__xludf.DUMMYFUNCTION("""COMPUTED_VALUE"""),70.0)</f>
        <v>70</v>
      </c>
      <c r="F4453" s="19" t="str">
        <f>IFERROR(__xludf.DUMMYFUNCTION("""COMPUTED_VALUE"""),"BLACK")</f>
        <v>BLACK</v>
      </c>
      <c r="G4453" s="20" t="str">
        <f>IFERROR(__xludf.DUMMYFUNCTION("""COMPUTED_VALUE"""),"Uncle Sams Cider (5/13/2022)")</f>
        <v>Uncle Sams Cider (5/13/2022)</v>
      </c>
      <c r="H4453" s="19"/>
    </row>
    <row r="4454">
      <c r="A4454" s="9"/>
      <c r="B4454" s="15"/>
      <c r="C4454" s="9">
        <f>IFERROR(__xludf.DUMMYFUNCTION("""COMPUTED_VALUE"""),44750.1909449537)</f>
        <v>44750.19094</v>
      </c>
      <c r="D4454" s="15">
        <f>IFERROR(__xludf.DUMMYFUNCTION("""COMPUTED_VALUE"""),1.004)</f>
        <v>1.004</v>
      </c>
      <c r="E4454" s="16">
        <f>IFERROR(__xludf.DUMMYFUNCTION("""COMPUTED_VALUE"""),70.0)</f>
        <v>70</v>
      </c>
      <c r="F4454" s="19" t="str">
        <f>IFERROR(__xludf.DUMMYFUNCTION("""COMPUTED_VALUE"""),"BLACK")</f>
        <v>BLACK</v>
      </c>
      <c r="G4454" s="20" t="str">
        <f>IFERROR(__xludf.DUMMYFUNCTION("""COMPUTED_VALUE"""),"Uncle Sams Cider (5/13/2022)")</f>
        <v>Uncle Sams Cider (5/13/2022)</v>
      </c>
      <c r="H4454" s="19"/>
    </row>
    <row r="4455">
      <c r="A4455" s="9"/>
      <c r="B4455" s="15"/>
      <c r="C4455" s="9">
        <f>IFERROR(__xludf.DUMMYFUNCTION("""COMPUTED_VALUE"""),44750.1805243634)</f>
        <v>44750.18052</v>
      </c>
      <c r="D4455" s="15">
        <f>IFERROR(__xludf.DUMMYFUNCTION("""COMPUTED_VALUE"""),1.004)</f>
        <v>1.004</v>
      </c>
      <c r="E4455" s="16">
        <f>IFERROR(__xludf.DUMMYFUNCTION("""COMPUTED_VALUE"""),70.0)</f>
        <v>70</v>
      </c>
      <c r="F4455" s="19" t="str">
        <f>IFERROR(__xludf.DUMMYFUNCTION("""COMPUTED_VALUE"""),"BLACK")</f>
        <v>BLACK</v>
      </c>
      <c r="G4455" s="20" t="str">
        <f>IFERROR(__xludf.DUMMYFUNCTION("""COMPUTED_VALUE"""),"Uncle Sams Cider (5/13/2022)")</f>
        <v>Uncle Sams Cider (5/13/2022)</v>
      </c>
      <c r="H4455" s="19"/>
    </row>
    <row r="4456">
      <c r="A4456" s="9"/>
      <c r="B4456" s="15"/>
      <c r="C4456" s="9">
        <f>IFERROR(__xludf.DUMMYFUNCTION("""COMPUTED_VALUE"""),44750.1701033449)</f>
        <v>44750.1701</v>
      </c>
      <c r="D4456" s="15">
        <f>IFERROR(__xludf.DUMMYFUNCTION("""COMPUTED_VALUE"""),1.004)</f>
        <v>1.004</v>
      </c>
      <c r="E4456" s="16">
        <f>IFERROR(__xludf.DUMMYFUNCTION("""COMPUTED_VALUE"""),70.0)</f>
        <v>70</v>
      </c>
      <c r="F4456" s="19" t="str">
        <f>IFERROR(__xludf.DUMMYFUNCTION("""COMPUTED_VALUE"""),"BLACK")</f>
        <v>BLACK</v>
      </c>
      <c r="G4456" s="20" t="str">
        <f>IFERROR(__xludf.DUMMYFUNCTION("""COMPUTED_VALUE"""),"Uncle Sams Cider (5/13/2022)")</f>
        <v>Uncle Sams Cider (5/13/2022)</v>
      </c>
      <c r="H4456" s="19"/>
    </row>
    <row r="4457">
      <c r="A4457" s="9"/>
      <c r="B4457" s="15"/>
      <c r="C4457" s="9">
        <f>IFERROR(__xludf.DUMMYFUNCTION("""COMPUTED_VALUE"""),44750.159647743)</f>
        <v>44750.15965</v>
      </c>
      <c r="D4457" s="15">
        <f>IFERROR(__xludf.DUMMYFUNCTION("""COMPUTED_VALUE"""),1.004)</f>
        <v>1.004</v>
      </c>
      <c r="E4457" s="16">
        <f>IFERROR(__xludf.DUMMYFUNCTION("""COMPUTED_VALUE"""),70.0)</f>
        <v>70</v>
      </c>
      <c r="F4457" s="19" t="str">
        <f>IFERROR(__xludf.DUMMYFUNCTION("""COMPUTED_VALUE"""),"BLACK")</f>
        <v>BLACK</v>
      </c>
      <c r="G4457" s="20" t="str">
        <f>IFERROR(__xludf.DUMMYFUNCTION("""COMPUTED_VALUE"""),"Uncle Sams Cider (5/13/2022)")</f>
        <v>Uncle Sams Cider (5/13/2022)</v>
      </c>
      <c r="H4457" s="19"/>
    </row>
    <row r="4458">
      <c r="A4458" s="9"/>
      <c r="B4458" s="15"/>
      <c r="C4458" s="9">
        <f>IFERROR(__xludf.DUMMYFUNCTION("""COMPUTED_VALUE"""),44750.1492258101)</f>
        <v>44750.14923</v>
      </c>
      <c r="D4458" s="15">
        <f>IFERROR(__xludf.DUMMYFUNCTION("""COMPUTED_VALUE"""),1.004)</f>
        <v>1.004</v>
      </c>
      <c r="E4458" s="16">
        <f>IFERROR(__xludf.DUMMYFUNCTION("""COMPUTED_VALUE"""),70.0)</f>
        <v>70</v>
      </c>
      <c r="F4458" s="19" t="str">
        <f>IFERROR(__xludf.DUMMYFUNCTION("""COMPUTED_VALUE"""),"BLACK")</f>
        <v>BLACK</v>
      </c>
      <c r="G4458" s="20" t="str">
        <f>IFERROR(__xludf.DUMMYFUNCTION("""COMPUTED_VALUE"""),"Uncle Sams Cider (5/13/2022)")</f>
        <v>Uncle Sams Cider (5/13/2022)</v>
      </c>
      <c r="H4458" s="19"/>
    </row>
    <row r="4459">
      <c r="A4459" s="9"/>
      <c r="B4459" s="15"/>
      <c r="C4459" s="9">
        <f>IFERROR(__xludf.DUMMYFUNCTION("""COMPUTED_VALUE"""),44750.1388066435)</f>
        <v>44750.13881</v>
      </c>
      <c r="D4459" s="15">
        <f>IFERROR(__xludf.DUMMYFUNCTION("""COMPUTED_VALUE"""),1.004)</f>
        <v>1.004</v>
      </c>
      <c r="E4459" s="16">
        <f>IFERROR(__xludf.DUMMYFUNCTION("""COMPUTED_VALUE"""),70.0)</f>
        <v>70</v>
      </c>
      <c r="F4459" s="19" t="str">
        <f>IFERROR(__xludf.DUMMYFUNCTION("""COMPUTED_VALUE"""),"BLACK")</f>
        <v>BLACK</v>
      </c>
      <c r="G4459" s="20" t="str">
        <f>IFERROR(__xludf.DUMMYFUNCTION("""COMPUTED_VALUE"""),"Uncle Sams Cider (5/13/2022)")</f>
        <v>Uncle Sams Cider (5/13/2022)</v>
      </c>
      <c r="H4459" s="19"/>
    </row>
    <row r="4460">
      <c r="A4460" s="9"/>
      <c r="B4460" s="15"/>
      <c r="C4460" s="9">
        <f>IFERROR(__xludf.DUMMYFUNCTION("""COMPUTED_VALUE"""),44750.1283852546)</f>
        <v>44750.12839</v>
      </c>
      <c r="D4460" s="15">
        <f>IFERROR(__xludf.DUMMYFUNCTION("""COMPUTED_VALUE"""),1.004)</f>
        <v>1.004</v>
      </c>
      <c r="E4460" s="16">
        <f>IFERROR(__xludf.DUMMYFUNCTION("""COMPUTED_VALUE"""),70.0)</f>
        <v>70</v>
      </c>
      <c r="F4460" s="19" t="str">
        <f>IFERROR(__xludf.DUMMYFUNCTION("""COMPUTED_VALUE"""),"BLACK")</f>
        <v>BLACK</v>
      </c>
      <c r="G4460" s="20" t="str">
        <f>IFERROR(__xludf.DUMMYFUNCTION("""COMPUTED_VALUE"""),"Uncle Sams Cider (5/13/2022)")</f>
        <v>Uncle Sams Cider (5/13/2022)</v>
      </c>
      <c r="H4460" s="19"/>
    </row>
    <row r="4461">
      <c r="A4461" s="9"/>
      <c r="B4461" s="15"/>
      <c r="C4461" s="9">
        <f>IFERROR(__xludf.DUMMYFUNCTION("""COMPUTED_VALUE"""),44750.1179653935)</f>
        <v>44750.11797</v>
      </c>
      <c r="D4461" s="15">
        <f>IFERROR(__xludf.DUMMYFUNCTION("""COMPUTED_VALUE"""),1.004)</f>
        <v>1.004</v>
      </c>
      <c r="E4461" s="16">
        <f>IFERROR(__xludf.DUMMYFUNCTION("""COMPUTED_VALUE"""),70.0)</f>
        <v>70</v>
      </c>
      <c r="F4461" s="19" t="str">
        <f>IFERROR(__xludf.DUMMYFUNCTION("""COMPUTED_VALUE"""),"BLACK")</f>
        <v>BLACK</v>
      </c>
      <c r="G4461" s="20" t="str">
        <f>IFERROR(__xludf.DUMMYFUNCTION("""COMPUTED_VALUE"""),"Uncle Sams Cider (5/13/2022)")</f>
        <v>Uncle Sams Cider (5/13/2022)</v>
      </c>
      <c r="H4461" s="19"/>
    </row>
    <row r="4462">
      <c r="A4462" s="9"/>
      <c r="B4462" s="15"/>
      <c r="C4462" s="9">
        <f>IFERROR(__xludf.DUMMYFUNCTION("""COMPUTED_VALUE"""),44750.1075442592)</f>
        <v>44750.10754</v>
      </c>
      <c r="D4462" s="15">
        <f>IFERROR(__xludf.DUMMYFUNCTION("""COMPUTED_VALUE"""),1.004)</f>
        <v>1.004</v>
      </c>
      <c r="E4462" s="16">
        <f>IFERROR(__xludf.DUMMYFUNCTION("""COMPUTED_VALUE"""),70.0)</f>
        <v>70</v>
      </c>
      <c r="F4462" s="19" t="str">
        <f>IFERROR(__xludf.DUMMYFUNCTION("""COMPUTED_VALUE"""),"BLACK")</f>
        <v>BLACK</v>
      </c>
      <c r="G4462" s="20" t="str">
        <f>IFERROR(__xludf.DUMMYFUNCTION("""COMPUTED_VALUE"""),"Uncle Sams Cider (5/13/2022)")</f>
        <v>Uncle Sams Cider (5/13/2022)</v>
      </c>
      <c r="H4462" s="19"/>
    </row>
    <row r="4463">
      <c r="A4463" s="9"/>
      <c r="B4463" s="15"/>
      <c r="C4463" s="9">
        <f>IFERROR(__xludf.DUMMYFUNCTION("""COMPUTED_VALUE"""),44750.0971230439)</f>
        <v>44750.09712</v>
      </c>
      <c r="D4463" s="15">
        <f>IFERROR(__xludf.DUMMYFUNCTION("""COMPUTED_VALUE"""),1.004)</f>
        <v>1.004</v>
      </c>
      <c r="E4463" s="16">
        <f>IFERROR(__xludf.DUMMYFUNCTION("""COMPUTED_VALUE"""),70.0)</f>
        <v>70</v>
      </c>
      <c r="F4463" s="19" t="str">
        <f>IFERROR(__xludf.DUMMYFUNCTION("""COMPUTED_VALUE"""),"BLACK")</f>
        <v>BLACK</v>
      </c>
      <c r="G4463" s="20" t="str">
        <f>IFERROR(__xludf.DUMMYFUNCTION("""COMPUTED_VALUE"""),"Uncle Sams Cider (5/13/2022)")</f>
        <v>Uncle Sams Cider (5/13/2022)</v>
      </c>
      <c r="H4463" s="19"/>
    </row>
    <row r="4464">
      <c r="A4464" s="9"/>
      <c r="B4464" s="15"/>
      <c r="C4464" s="9">
        <f>IFERROR(__xludf.DUMMYFUNCTION("""COMPUTED_VALUE"""),44750.0867017939)</f>
        <v>44750.0867</v>
      </c>
      <c r="D4464" s="15">
        <f>IFERROR(__xludf.DUMMYFUNCTION("""COMPUTED_VALUE"""),1.004)</f>
        <v>1.004</v>
      </c>
      <c r="E4464" s="16">
        <f>IFERROR(__xludf.DUMMYFUNCTION("""COMPUTED_VALUE"""),70.0)</f>
        <v>70</v>
      </c>
      <c r="F4464" s="19" t="str">
        <f>IFERROR(__xludf.DUMMYFUNCTION("""COMPUTED_VALUE"""),"BLACK")</f>
        <v>BLACK</v>
      </c>
      <c r="G4464" s="20" t="str">
        <f>IFERROR(__xludf.DUMMYFUNCTION("""COMPUTED_VALUE"""),"Uncle Sams Cider (5/13/2022)")</f>
        <v>Uncle Sams Cider (5/13/2022)</v>
      </c>
      <c r="H4464" s="19"/>
    </row>
    <row r="4465">
      <c r="A4465" s="9"/>
      <c r="B4465" s="15"/>
      <c r="C4465" s="9">
        <f>IFERROR(__xludf.DUMMYFUNCTION("""COMPUTED_VALUE"""),44750.0762810532)</f>
        <v>44750.07628</v>
      </c>
      <c r="D4465" s="15">
        <f>IFERROR(__xludf.DUMMYFUNCTION("""COMPUTED_VALUE"""),1.004)</f>
        <v>1.004</v>
      </c>
      <c r="E4465" s="16">
        <f>IFERROR(__xludf.DUMMYFUNCTION("""COMPUTED_VALUE"""),70.0)</f>
        <v>70</v>
      </c>
      <c r="F4465" s="19" t="str">
        <f>IFERROR(__xludf.DUMMYFUNCTION("""COMPUTED_VALUE"""),"BLACK")</f>
        <v>BLACK</v>
      </c>
      <c r="G4465" s="20" t="str">
        <f>IFERROR(__xludf.DUMMYFUNCTION("""COMPUTED_VALUE"""),"Uncle Sams Cider (5/13/2022)")</f>
        <v>Uncle Sams Cider (5/13/2022)</v>
      </c>
      <c r="H4465" s="19"/>
    </row>
    <row r="4466">
      <c r="A4466" s="9"/>
      <c r="B4466" s="15"/>
      <c r="C4466" s="9">
        <f>IFERROR(__xludf.DUMMYFUNCTION("""COMPUTED_VALUE"""),44750.0658597453)</f>
        <v>44750.06586</v>
      </c>
      <c r="D4466" s="15">
        <f>IFERROR(__xludf.DUMMYFUNCTION("""COMPUTED_VALUE"""),1.004)</f>
        <v>1.004</v>
      </c>
      <c r="E4466" s="16">
        <f>IFERROR(__xludf.DUMMYFUNCTION("""COMPUTED_VALUE"""),70.0)</f>
        <v>70</v>
      </c>
      <c r="F4466" s="19" t="str">
        <f>IFERROR(__xludf.DUMMYFUNCTION("""COMPUTED_VALUE"""),"BLACK")</f>
        <v>BLACK</v>
      </c>
      <c r="G4466" s="20" t="str">
        <f>IFERROR(__xludf.DUMMYFUNCTION("""COMPUTED_VALUE"""),"Uncle Sams Cider (5/13/2022)")</f>
        <v>Uncle Sams Cider (5/13/2022)</v>
      </c>
      <c r="H4466" s="19"/>
    </row>
    <row r="4467">
      <c r="A4467" s="9"/>
      <c r="B4467" s="15"/>
      <c r="C4467" s="9">
        <f>IFERROR(__xludf.DUMMYFUNCTION("""COMPUTED_VALUE"""),44750.0554270717)</f>
        <v>44750.05543</v>
      </c>
      <c r="D4467" s="15">
        <f>IFERROR(__xludf.DUMMYFUNCTION("""COMPUTED_VALUE"""),1.004)</f>
        <v>1.004</v>
      </c>
      <c r="E4467" s="16">
        <f>IFERROR(__xludf.DUMMYFUNCTION("""COMPUTED_VALUE"""),70.0)</f>
        <v>70</v>
      </c>
      <c r="F4467" s="19" t="str">
        <f>IFERROR(__xludf.DUMMYFUNCTION("""COMPUTED_VALUE"""),"BLACK")</f>
        <v>BLACK</v>
      </c>
      <c r="G4467" s="20" t="str">
        <f>IFERROR(__xludf.DUMMYFUNCTION("""COMPUTED_VALUE"""),"Uncle Sams Cider (5/13/2022)")</f>
        <v>Uncle Sams Cider (5/13/2022)</v>
      </c>
      <c r="H4467" s="19"/>
    </row>
    <row r="4468">
      <c r="A4468" s="9"/>
      <c r="B4468" s="15"/>
      <c r="C4468" s="9">
        <f>IFERROR(__xludf.DUMMYFUNCTION("""COMPUTED_VALUE"""),44750.0450052777)</f>
        <v>44750.04501</v>
      </c>
      <c r="D4468" s="15">
        <f>IFERROR(__xludf.DUMMYFUNCTION("""COMPUTED_VALUE"""),1.004)</f>
        <v>1.004</v>
      </c>
      <c r="E4468" s="16">
        <f>IFERROR(__xludf.DUMMYFUNCTION("""COMPUTED_VALUE"""),70.0)</f>
        <v>70</v>
      </c>
      <c r="F4468" s="19" t="str">
        <f>IFERROR(__xludf.DUMMYFUNCTION("""COMPUTED_VALUE"""),"BLACK")</f>
        <v>BLACK</v>
      </c>
      <c r="G4468" s="20" t="str">
        <f>IFERROR(__xludf.DUMMYFUNCTION("""COMPUTED_VALUE"""),"Uncle Sams Cider (5/13/2022)")</f>
        <v>Uncle Sams Cider (5/13/2022)</v>
      </c>
      <c r="H4468" s="19"/>
    </row>
    <row r="4469">
      <c r="A4469" s="9"/>
      <c r="B4469" s="15"/>
      <c r="C4469" s="9">
        <f>IFERROR(__xludf.DUMMYFUNCTION("""COMPUTED_VALUE"""),44750.03458375)</f>
        <v>44750.03458</v>
      </c>
      <c r="D4469" s="15">
        <f>IFERROR(__xludf.DUMMYFUNCTION("""COMPUTED_VALUE"""),1.004)</f>
        <v>1.004</v>
      </c>
      <c r="E4469" s="16">
        <f>IFERROR(__xludf.DUMMYFUNCTION("""COMPUTED_VALUE"""),70.0)</f>
        <v>70</v>
      </c>
      <c r="F4469" s="19" t="str">
        <f>IFERROR(__xludf.DUMMYFUNCTION("""COMPUTED_VALUE"""),"BLACK")</f>
        <v>BLACK</v>
      </c>
      <c r="G4469" s="20" t="str">
        <f>IFERROR(__xludf.DUMMYFUNCTION("""COMPUTED_VALUE"""),"Uncle Sams Cider (5/13/2022)")</f>
        <v>Uncle Sams Cider (5/13/2022)</v>
      </c>
      <c r="H4469" s="19"/>
    </row>
    <row r="4470">
      <c r="A4470" s="9"/>
      <c r="B4470" s="15"/>
      <c r="C4470" s="9">
        <f>IFERROR(__xludf.DUMMYFUNCTION("""COMPUTED_VALUE"""),44750.0241630208)</f>
        <v>44750.02416</v>
      </c>
      <c r="D4470" s="15">
        <f>IFERROR(__xludf.DUMMYFUNCTION("""COMPUTED_VALUE"""),1.004)</f>
        <v>1.004</v>
      </c>
      <c r="E4470" s="16">
        <f>IFERROR(__xludf.DUMMYFUNCTION("""COMPUTED_VALUE"""),70.0)</f>
        <v>70</v>
      </c>
      <c r="F4470" s="19" t="str">
        <f>IFERROR(__xludf.DUMMYFUNCTION("""COMPUTED_VALUE"""),"BLACK")</f>
        <v>BLACK</v>
      </c>
      <c r="G4470" s="20" t="str">
        <f>IFERROR(__xludf.DUMMYFUNCTION("""COMPUTED_VALUE"""),"Uncle Sams Cider (5/13/2022)")</f>
        <v>Uncle Sams Cider (5/13/2022)</v>
      </c>
      <c r="H4470" s="19"/>
    </row>
    <row r="4471">
      <c r="A4471" s="9"/>
      <c r="B4471" s="15"/>
      <c r="C4471" s="9">
        <f>IFERROR(__xludf.DUMMYFUNCTION("""COMPUTED_VALUE"""),44750.0137306481)</f>
        <v>44750.01373</v>
      </c>
      <c r="D4471" s="15">
        <f>IFERROR(__xludf.DUMMYFUNCTION("""COMPUTED_VALUE"""),1.004)</f>
        <v>1.004</v>
      </c>
      <c r="E4471" s="16">
        <f>IFERROR(__xludf.DUMMYFUNCTION("""COMPUTED_VALUE"""),70.0)</f>
        <v>70</v>
      </c>
      <c r="F4471" s="19" t="str">
        <f>IFERROR(__xludf.DUMMYFUNCTION("""COMPUTED_VALUE"""),"BLACK")</f>
        <v>BLACK</v>
      </c>
      <c r="G4471" s="20" t="str">
        <f>IFERROR(__xludf.DUMMYFUNCTION("""COMPUTED_VALUE"""),"Uncle Sams Cider (5/13/2022)")</f>
        <v>Uncle Sams Cider (5/13/2022)</v>
      </c>
      <c r="H4471" s="19"/>
    </row>
    <row r="4472">
      <c r="A4472" s="9"/>
      <c r="B4472" s="15"/>
      <c r="C4472" s="9">
        <f>IFERROR(__xludf.DUMMYFUNCTION("""COMPUTED_VALUE"""),44750.0033094444)</f>
        <v>44750.00331</v>
      </c>
      <c r="D4472" s="15">
        <f>IFERROR(__xludf.DUMMYFUNCTION("""COMPUTED_VALUE"""),1.004)</f>
        <v>1.004</v>
      </c>
      <c r="E4472" s="16">
        <f>IFERROR(__xludf.DUMMYFUNCTION("""COMPUTED_VALUE"""),70.0)</f>
        <v>70</v>
      </c>
      <c r="F4472" s="19" t="str">
        <f>IFERROR(__xludf.DUMMYFUNCTION("""COMPUTED_VALUE"""),"BLACK")</f>
        <v>BLACK</v>
      </c>
      <c r="G4472" s="20" t="str">
        <f>IFERROR(__xludf.DUMMYFUNCTION("""COMPUTED_VALUE"""),"Uncle Sams Cider (5/13/2022)")</f>
        <v>Uncle Sams Cider (5/13/2022)</v>
      </c>
      <c r="H4472" s="19"/>
    </row>
    <row r="4473">
      <c r="A4473" s="9"/>
      <c r="B4473" s="15"/>
      <c r="C4473" s="9">
        <f>IFERROR(__xludf.DUMMYFUNCTION("""COMPUTED_VALUE"""),44749.9928893287)</f>
        <v>44749.99289</v>
      </c>
      <c r="D4473" s="15">
        <f>IFERROR(__xludf.DUMMYFUNCTION("""COMPUTED_VALUE"""),1.004)</f>
        <v>1.004</v>
      </c>
      <c r="E4473" s="16">
        <f>IFERROR(__xludf.DUMMYFUNCTION("""COMPUTED_VALUE"""),70.0)</f>
        <v>70</v>
      </c>
      <c r="F4473" s="19" t="str">
        <f>IFERROR(__xludf.DUMMYFUNCTION("""COMPUTED_VALUE"""),"BLACK")</f>
        <v>BLACK</v>
      </c>
      <c r="G4473" s="20" t="str">
        <f>IFERROR(__xludf.DUMMYFUNCTION("""COMPUTED_VALUE"""),"Uncle Sams Cider (5/13/2022)")</f>
        <v>Uncle Sams Cider (5/13/2022)</v>
      </c>
      <c r="H4473" s="19"/>
    </row>
    <row r="4474">
      <c r="A4474" s="9"/>
      <c r="B4474" s="15"/>
      <c r="C4474" s="9">
        <f>IFERROR(__xludf.DUMMYFUNCTION("""COMPUTED_VALUE"""),44749.9824683796)</f>
        <v>44749.98247</v>
      </c>
      <c r="D4474" s="15">
        <f>IFERROR(__xludf.DUMMYFUNCTION("""COMPUTED_VALUE"""),1.004)</f>
        <v>1.004</v>
      </c>
      <c r="E4474" s="16">
        <f>IFERROR(__xludf.DUMMYFUNCTION("""COMPUTED_VALUE"""),70.0)</f>
        <v>70</v>
      </c>
      <c r="F4474" s="19" t="str">
        <f>IFERROR(__xludf.DUMMYFUNCTION("""COMPUTED_VALUE"""),"BLACK")</f>
        <v>BLACK</v>
      </c>
      <c r="G4474" s="20" t="str">
        <f>IFERROR(__xludf.DUMMYFUNCTION("""COMPUTED_VALUE"""),"Uncle Sams Cider (5/13/2022)")</f>
        <v>Uncle Sams Cider (5/13/2022)</v>
      </c>
      <c r="H4474" s="19"/>
    </row>
    <row r="4475">
      <c r="A4475" s="9"/>
      <c r="B4475" s="15"/>
      <c r="C4475" s="9">
        <f>IFERROR(__xludf.DUMMYFUNCTION("""COMPUTED_VALUE"""),44749.9720459143)</f>
        <v>44749.97205</v>
      </c>
      <c r="D4475" s="15">
        <f>IFERROR(__xludf.DUMMYFUNCTION("""COMPUTED_VALUE"""),1.004)</f>
        <v>1.004</v>
      </c>
      <c r="E4475" s="16">
        <f>IFERROR(__xludf.DUMMYFUNCTION("""COMPUTED_VALUE"""),70.0)</f>
        <v>70</v>
      </c>
      <c r="F4475" s="19" t="str">
        <f>IFERROR(__xludf.DUMMYFUNCTION("""COMPUTED_VALUE"""),"BLACK")</f>
        <v>BLACK</v>
      </c>
      <c r="G4475" s="20" t="str">
        <f>IFERROR(__xludf.DUMMYFUNCTION("""COMPUTED_VALUE"""),"Uncle Sams Cider (5/13/2022)")</f>
        <v>Uncle Sams Cider (5/13/2022)</v>
      </c>
      <c r="H4475" s="19"/>
    </row>
    <row r="4476">
      <c r="A4476" s="9"/>
      <c r="B4476" s="15"/>
      <c r="C4476" s="9">
        <f>IFERROR(__xludf.DUMMYFUNCTION("""COMPUTED_VALUE"""),44749.9616244907)</f>
        <v>44749.96162</v>
      </c>
      <c r="D4476" s="15">
        <f>IFERROR(__xludf.DUMMYFUNCTION("""COMPUTED_VALUE"""),1.004)</f>
        <v>1.004</v>
      </c>
      <c r="E4476" s="16">
        <f>IFERROR(__xludf.DUMMYFUNCTION("""COMPUTED_VALUE"""),70.0)</f>
        <v>70</v>
      </c>
      <c r="F4476" s="19" t="str">
        <f>IFERROR(__xludf.DUMMYFUNCTION("""COMPUTED_VALUE"""),"BLACK")</f>
        <v>BLACK</v>
      </c>
      <c r="G4476" s="20" t="str">
        <f>IFERROR(__xludf.DUMMYFUNCTION("""COMPUTED_VALUE"""),"Uncle Sams Cider (5/13/2022)")</f>
        <v>Uncle Sams Cider (5/13/2022)</v>
      </c>
      <c r="H4476" s="19"/>
    </row>
    <row r="4477">
      <c r="A4477" s="9"/>
      <c r="B4477" s="15"/>
      <c r="C4477" s="9">
        <f>IFERROR(__xludf.DUMMYFUNCTION("""COMPUTED_VALUE"""),44749.9512026157)</f>
        <v>44749.9512</v>
      </c>
      <c r="D4477" s="15">
        <f>IFERROR(__xludf.DUMMYFUNCTION("""COMPUTED_VALUE"""),1.004)</f>
        <v>1.004</v>
      </c>
      <c r="E4477" s="16">
        <f>IFERROR(__xludf.DUMMYFUNCTION("""COMPUTED_VALUE"""),70.0)</f>
        <v>70</v>
      </c>
      <c r="F4477" s="19" t="str">
        <f>IFERROR(__xludf.DUMMYFUNCTION("""COMPUTED_VALUE"""),"BLACK")</f>
        <v>BLACK</v>
      </c>
      <c r="G4477" s="20" t="str">
        <f>IFERROR(__xludf.DUMMYFUNCTION("""COMPUTED_VALUE"""),"Uncle Sams Cider (5/13/2022)")</f>
        <v>Uncle Sams Cider (5/13/2022)</v>
      </c>
      <c r="H4477" s="19"/>
    </row>
    <row r="4478">
      <c r="A4478" s="9"/>
      <c r="B4478" s="15"/>
      <c r="C4478" s="9">
        <f>IFERROR(__xludf.DUMMYFUNCTION("""COMPUTED_VALUE"""),44749.9407805671)</f>
        <v>44749.94078</v>
      </c>
      <c r="D4478" s="15">
        <f>IFERROR(__xludf.DUMMYFUNCTION("""COMPUTED_VALUE"""),1.004)</f>
        <v>1.004</v>
      </c>
      <c r="E4478" s="16">
        <f>IFERROR(__xludf.DUMMYFUNCTION("""COMPUTED_VALUE"""),70.0)</f>
        <v>70</v>
      </c>
      <c r="F4478" s="19" t="str">
        <f>IFERROR(__xludf.DUMMYFUNCTION("""COMPUTED_VALUE"""),"BLACK")</f>
        <v>BLACK</v>
      </c>
      <c r="G4478" s="20" t="str">
        <f>IFERROR(__xludf.DUMMYFUNCTION("""COMPUTED_VALUE"""),"Uncle Sams Cider (5/13/2022)")</f>
        <v>Uncle Sams Cider (5/13/2022)</v>
      </c>
      <c r="H4478" s="19"/>
    </row>
    <row r="4479">
      <c r="A4479" s="9"/>
      <c r="B4479" s="15"/>
      <c r="C4479" s="9">
        <f>IFERROR(__xludf.DUMMYFUNCTION("""COMPUTED_VALUE"""),44749.9303591203)</f>
        <v>44749.93036</v>
      </c>
      <c r="D4479" s="15">
        <f>IFERROR(__xludf.DUMMYFUNCTION("""COMPUTED_VALUE"""),1.004)</f>
        <v>1.004</v>
      </c>
      <c r="E4479" s="16">
        <f>IFERROR(__xludf.DUMMYFUNCTION("""COMPUTED_VALUE"""),70.0)</f>
        <v>70</v>
      </c>
      <c r="F4479" s="19" t="str">
        <f>IFERROR(__xludf.DUMMYFUNCTION("""COMPUTED_VALUE"""),"BLACK")</f>
        <v>BLACK</v>
      </c>
      <c r="G4479" s="20" t="str">
        <f>IFERROR(__xludf.DUMMYFUNCTION("""COMPUTED_VALUE"""),"Uncle Sams Cider (5/13/2022)")</f>
        <v>Uncle Sams Cider (5/13/2022)</v>
      </c>
      <c r="H4479" s="19"/>
    </row>
    <row r="4480">
      <c r="A4480" s="9"/>
      <c r="B4480" s="15"/>
      <c r="C4480" s="9">
        <f>IFERROR(__xludf.DUMMYFUNCTION("""COMPUTED_VALUE"""),44749.919938912)</f>
        <v>44749.91994</v>
      </c>
      <c r="D4480" s="15">
        <f>IFERROR(__xludf.DUMMYFUNCTION("""COMPUTED_VALUE"""),1.004)</f>
        <v>1.004</v>
      </c>
      <c r="E4480" s="16">
        <f>IFERROR(__xludf.DUMMYFUNCTION("""COMPUTED_VALUE"""),70.0)</f>
        <v>70</v>
      </c>
      <c r="F4480" s="19" t="str">
        <f>IFERROR(__xludf.DUMMYFUNCTION("""COMPUTED_VALUE"""),"BLACK")</f>
        <v>BLACK</v>
      </c>
      <c r="G4480" s="20" t="str">
        <f>IFERROR(__xludf.DUMMYFUNCTION("""COMPUTED_VALUE"""),"Uncle Sams Cider (5/13/2022)")</f>
        <v>Uncle Sams Cider (5/13/2022)</v>
      </c>
      <c r="H4480" s="19"/>
    </row>
    <row r="4481">
      <c r="A4481" s="9"/>
      <c r="B4481" s="15"/>
      <c r="C4481" s="9">
        <f>IFERROR(__xludf.DUMMYFUNCTION("""COMPUTED_VALUE"""),44749.9095174884)</f>
        <v>44749.90952</v>
      </c>
      <c r="D4481" s="15">
        <f>IFERROR(__xludf.DUMMYFUNCTION("""COMPUTED_VALUE"""),1.004)</f>
        <v>1.004</v>
      </c>
      <c r="E4481" s="16">
        <f>IFERROR(__xludf.DUMMYFUNCTION("""COMPUTED_VALUE"""),70.0)</f>
        <v>70</v>
      </c>
      <c r="F4481" s="19" t="str">
        <f>IFERROR(__xludf.DUMMYFUNCTION("""COMPUTED_VALUE"""),"BLACK")</f>
        <v>BLACK</v>
      </c>
      <c r="G4481" s="20" t="str">
        <f>IFERROR(__xludf.DUMMYFUNCTION("""COMPUTED_VALUE"""),"Uncle Sams Cider (5/13/2022)")</f>
        <v>Uncle Sams Cider (5/13/2022)</v>
      </c>
      <c r="H4481" s="19"/>
    </row>
    <row r="4482">
      <c r="A4482" s="9"/>
      <c r="B4482" s="15"/>
      <c r="C4482" s="9">
        <f>IFERROR(__xludf.DUMMYFUNCTION("""COMPUTED_VALUE"""),44749.8990949421)</f>
        <v>44749.89909</v>
      </c>
      <c r="D4482" s="15">
        <f>IFERROR(__xludf.DUMMYFUNCTION("""COMPUTED_VALUE"""),1.004)</f>
        <v>1.004</v>
      </c>
      <c r="E4482" s="16">
        <f>IFERROR(__xludf.DUMMYFUNCTION("""COMPUTED_VALUE"""),70.0)</f>
        <v>70</v>
      </c>
      <c r="F4482" s="19" t="str">
        <f>IFERROR(__xludf.DUMMYFUNCTION("""COMPUTED_VALUE"""),"BLACK")</f>
        <v>BLACK</v>
      </c>
      <c r="G4482" s="20" t="str">
        <f>IFERROR(__xludf.DUMMYFUNCTION("""COMPUTED_VALUE"""),"Uncle Sams Cider (5/13/2022)")</f>
        <v>Uncle Sams Cider (5/13/2022)</v>
      </c>
      <c r="H4482" s="19"/>
    </row>
    <row r="4483">
      <c r="A4483" s="9"/>
      <c r="B4483" s="15"/>
      <c r="C4483" s="9">
        <f>IFERROR(__xludf.DUMMYFUNCTION("""COMPUTED_VALUE"""),44749.8886614699)</f>
        <v>44749.88866</v>
      </c>
      <c r="D4483" s="15">
        <f>IFERROR(__xludf.DUMMYFUNCTION("""COMPUTED_VALUE"""),1.004)</f>
        <v>1.004</v>
      </c>
      <c r="E4483" s="16">
        <f>IFERROR(__xludf.DUMMYFUNCTION("""COMPUTED_VALUE"""),70.0)</f>
        <v>70</v>
      </c>
      <c r="F4483" s="19" t="str">
        <f>IFERROR(__xludf.DUMMYFUNCTION("""COMPUTED_VALUE"""),"BLACK")</f>
        <v>BLACK</v>
      </c>
      <c r="G4483" s="20" t="str">
        <f>IFERROR(__xludf.DUMMYFUNCTION("""COMPUTED_VALUE"""),"Uncle Sams Cider (5/13/2022)")</f>
        <v>Uncle Sams Cider (5/13/2022)</v>
      </c>
      <c r="H4483" s="19"/>
    </row>
    <row r="4484">
      <c r="A4484" s="9"/>
      <c r="B4484" s="15"/>
      <c r="C4484" s="9">
        <f>IFERROR(__xludf.DUMMYFUNCTION("""COMPUTED_VALUE"""),44749.8782391666)</f>
        <v>44749.87824</v>
      </c>
      <c r="D4484" s="15">
        <f>IFERROR(__xludf.DUMMYFUNCTION("""COMPUTED_VALUE"""),1.004)</f>
        <v>1.004</v>
      </c>
      <c r="E4484" s="16">
        <f>IFERROR(__xludf.DUMMYFUNCTION("""COMPUTED_VALUE"""),70.0)</f>
        <v>70</v>
      </c>
      <c r="F4484" s="19" t="str">
        <f>IFERROR(__xludf.DUMMYFUNCTION("""COMPUTED_VALUE"""),"BLACK")</f>
        <v>BLACK</v>
      </c>
      <c r="G4484" s="20" t="str">
        <f>IFERROR(__xludf.DUMMYFUNCTION("""COMPUTED_VALUE"""),"Uncle Sams Cider (5/13/2022)")</f>
        <v>Uncle Sams Cider (5/13/2022)</v>
      </c>
      <c r="H4484" s="19"/>
    </row>
    <row r="4485">
      <c r="A4485" s="9"/>
      <c r="B4485" s="15"/>
      <c r="C4485" s="9">
        <f>IFERROR(__xludf.DUMMYFUNCTION("""COMPUTED_VALUE"""),44749.8678194907)</f>
        <v>44749.86782</v>
      </c>
      <c r="D4485" s="15">
        <f>IFERROR(__xludf.DUMMYFUNCTION("""COMPUTED_VALUE"""),1.004)</f>
        <v>1.004</v>
      </c>
      <c r="E4485" s="16">
        <f>IFERROR(__xludf.DUMMYFUNCTION("""COMPUTED_VALUE"""),70.0)</f>
        <v>70</v>
      </c>
      <c r="F4485" s="19" t="str">
        <f>IFERROR(__xludf.DUMMYFUNCTION("""COMPUTED_VALUE"""),"BLACK")</f>
        <v>BLACK</v>
      </c>
      <c r="G4485" s="20" t="str">
        <f>IFERROR(__xludf.DUMMYFUNCTION("""COMPUTED_VALUE"""),"Uncle Sams Cider (5/13/2022)")</f>
        <v>Uncle Sams Cider (5/13/2022)</v>
      </c>
      <c r="H4485" s="19"/>
    </row>
    <row r="4486">
      <c r="A4486" s="9"/>
      <c r="B4486" s="15"/>
      <c r="C4486" s="9">
        <f>IFERROR(__xludf.DUMMYFUNCTION("""COMPUTED_VALUE"""),44749.8573873726)</f>
        <v>44749.85739</v>
      </c>
      <c r="D4486" s="15">
        <f>IFERROR(__xludf.DUMMYFUNCTION("""COMPUTED_VALUE"""),1.004)</f>
        <v>1.004</v>
      </c>
      <c r="E4486" s="16">
        <f>IFERROR(__xludf.DUMMYFUNCTION("""COMPUTED_VALUE"""),70.0)</f>
        <v>70</v>
      </c>
      <c r="F4486" s="19" t="str">
        <f>IFERROR(__xludf.DUMMYFUNCTION("""COMPUTED_VALUE"""),"BLACK")</f>
        <v>BLACK</v>
      </c>
      <c r="G4486" s="20" t="str">
        <f>IFERROR(__xludf.DUMMYFUNCTION("""COMPUTED_VALUE"""),"Uncle Sams Cider (5/13/2022)")</f>
        <v>Uncle Sams Cider (5/13/2022)</v>
      </c>
      <c r="H4486" s="19"/>
    </row>
    <row r="4487">
      <c r="A4487" s="9"/>
      <c r="B4487" s="15"/>
      <c r="C4487" s="9">
        <f>IFERROR(__xludf.DUMMYFUNCTION("""COMPUTED_VALUE"""),44749.8469525)</f>
        <v>44749.84695</v>
      </c>
      <c r="D4487" s="15">
        <f>IFERROR(__xludf.DUMMYFUNCTION("""COMPUTED_VALUE"""),1.004)</f>
        <v>1.004</v>
      </c>
      <c r="E4487" s="16">
        <f>IFERROR(__xludf.DUMMYFUNCTION("""COMPUTED_VALUE"""),70.0)</f>
        <v>70</v>
      </c>
      <c r="F4487" s="19" t="str">
        <f>IFERROR(__xludf.DUMMYFUNCTION("""COMPUTED_VALUE"""),"BLACK")</f>
        <v>BLACK</v>
      </c>
      <c r="G4487" s="20" t="str">
        <f>IFERROR(__xludf.DUMMYFUNCTION("""COMPUTED_VALUE"""),"Uncle Sams Cider (5/13/2022)")</f>
        <v>Uncle Sams Cider (5/13/2022)</v>
      </c>
      <c r="H4487" s="19"/>
    </row>
    <row r="4488">
      <c r="A4488" s="9"/>
      <c r="B4488" s="15"/>
      <c r="C4488" s="9">
        <f>IFERROR(__xludf.DUMMYFUNCTION("""COMPUTED_VALUE"""),44749.836531493)</f>
        <v>44749.83653</v>
      </c>
      <c r="D4488" s="15">
        <f>IFERROR(__xludf.DUMMYFUNCTION("""COMPUTED_VALUE"""),1.004)</f>
        <v>1.004</v>
      </c>
      <c r="E4488" s="16">
        <f>IFERROR(__xludf.DUMMYFUNCTION("""COMPUTED_VALUE"""),70.0)</f>
        <v>70</v>
      </c>
      <c r="F4488" s="19" t="str">
        <f>IFERROR(__xludf.DUMMYFUNCTION("""COMPUTED_VALUE"""),"BLACK")</f>
        <v>BLACK</v>
      </c>
      <c r="G4488" s="20" t="str">
        <f>IFERROR(__xludf.DUMMYFUNCTION("""COMPUTED_VALUE"""),"Uncle Sams Cider (5/13/2022)")</f>
        <v>Uncle Sams Cider (5/13/2022)</v>
      </c>
      <c r="H4488" s="19"/>
    </row>
    <row r="4489">
      <c r="A4489" s="9"/>
      <c r="B4489" s="15"/>
      <c r="C4489" s="9">
        <f>IFERROR(__xludf.DUMMYFUNCTION("""COMPUTED_VALUE"""),44749.8261114583)</f>
        <v>44749.82611</v>
      </c>
      <c r="D4489" s="15">
        <f>IFERROR(__xludf.DUMMYFUNCTION("""COMPUTED_VALUE"""),1.004)</f>
        <v>1.004</v>
      </c>
      <c r="E4489" s="16">
        <f>IFERROR(__xludf.DUMMYFUNCTION("""COMPUTED_VALUE"""),70.0)</f>
        <v>70</v>
      </c>
      <c r="F4489" s="19" t="str">
        <f>IFERROR(__xludf.DUMMYFUNCTION("""COMPUTED_VALUE"""),"BLACK")</f>
        <v>BLACK</v>
      </c>
      <c r="G4489" s="20" t="str">
        <f>IFERROR(__xludf.DUMMYFUNCTION("""COMPUTED_VALUE"""),"Uncle Sams Cider (5/13/2022)")</f>
        <v>Uncle Sams Cider (5/13/2022)</v>
      </c>
      <c r="H4489" s="19"/>
    </row>
    <row r="4490">
      <c r="A4490" s="9"/>
      <c r="B4490" s="15"/>
      <c r="C4490" s="9">
        <f>IFERROR(__xludf.DUMMYFUNCTION("""COMPUTED_VALUE"""),44749.8156798379)</f>
        <v>44749.81568</v>
      </c>
      <c r="D4490" s="15">
        <f>IFERROR(__xludf.DUMMYFUNCTION("""COMPUTED_VALUE"""),1.004)</f>
        <v>1.004</v>
      </c>
      <c r="E4490" s="16">
        <f>IFERROR(__xludf.DUMMYFUNCTION("""COMPUTED_VALUE"""),70.0)</f>
        <v>70</v>
      </c>
      <c r="F4490" s="19" t="str">
        <f>IFERROR(__xludf.DUMMYFUNCTION("""COMPUTED_VALUE"""),"BLACK")</f>
        <v>BLACK</v>
      </c>
      <c r="G4490" s="20" t="str">
        <f>IFERROR(__xludf.DUMMYFUNCTION("""COMPUTED_VALUE"""),"Uncle Sams Cider (5/13/2022)")</f>
        <v>Uncle Sams Cider (5/13/2022)</v>
      </c>
      <c r="H4490" s="19"/>
    </row>
    <row r="4491">
      <c r="A4491" s="9"/>
      <c r="B4491" s="15"/>
      <c r="C4491" s="9">
        <f>IFERROR(__xludf.DUMMYFUNCTION("""COMPUTED_VALUE"""),44749.8052578009)</f>
        <v>44749.80526</v>
      </c>
      <c r="D4491" s="15">
        <f>IFERROR(__xludf.DUMMYFUNCTION("""COMPUTED_VALUE"""),1.004)</f>
        <v>1.004</v>
      </c>
      <c r="E4491" s="16">
        <f>IFERROR(__xludf.DUMMYFUNCTION("""COMPUTED_VALUE"""),70.0)</f>
        <v>70</v>
      </c>
      <c r="F4491" s="19" t="str">
        <f>IFERROR(__xludf.DUMMYFUNCTION("""COMPUTED_VALUE"""),"BLACK")</f>
        <v>BLACK</v>
      </c>
      <c r="G4491" s="20" t="str">
        <f>IFERROR(__xludf.DUMMYFUNCTION("""COMPUTED_VALUE"""),"Uncle Sams Cider (5/13/2022)")</f>
        <v>Uncle Sams Cider (5/13/2022)</v>
      </c>
      <c r="H4491" s="19"/>
    </row>
    <row r="4492">
      <c r="A4492" s="9"/>
      <c r="B4492" s="15"/>
      <c r="C4492" s="9">
        <f>IFERROR(__xludf.DUMMYFUNCTION("""COMPUTED_VALUE"""),44749.794824699)</f>
        <v>44749.79482</v>
      </c>
      <c r="D4492" s="15">
        <f>IFERROR(__xludf.DUMMYFUNCTION("""COMPUTED_VALUE"""),1.004)</f>
        <v>1.004</v>
      </c>
      <c r="E4492" s="16">
        <f>IFERROR(__xludf.DUMMYFUNCTION("""COMPUTED_VALUE"""),70.0)</f>
        <v>70</v>
      </c>
      <c r="F4492" s="19" t="str">
        <f>IFERROR(__xludf.DUMMYFUNCTION("""COMPUTED_VALUE"""),"BLACK")</f>
        <v>BLACK</v>
      </c>
      <c r="G4492" s="20" t="str">
        <f>IFERROR(__xludf.DUMMYFUNCTION("""COMPUTED_VALUE"""),"Uncle Sams Cider (5/13/2022)")</f>
        <v>Uncle Sams Cider (5/13/2022)</v>
      </c>
      <c r="H4492" s="19"/>
    </row>
    <row r="4493">
      <c r="A4493" s="9"/>
      <c r="B4493" s="15"/>
      <c r="C4493" s="9">
        <f>IFERROR(__xludf.DUMMYFUNCTION("""COMPUTED_VALUE"""),44749.7843922222)</f>
        <v>44749.78439</v>
      </c>
      <c r="D4493" s="15">
        <f>IFERROR(__xludf.DUMMYFUNCTION("""COMPUTED_VALUE"""),1.004)</f>
        <v>1.004</v>
      </c>
      <c r="E4493" s="16">
        <f>IFERROR(__xludf.DUMMYFUNCTION("""COMPUTED_VALUE"""),70.0)</f>
        <v>70</v>
      </c>
      <c r="F4493" s="19" t="str">
        <f>IFERROR(__xludf.DUMMYFUNCTION("""COMPUTED_VALUE"""),"BLACK")</f>
        <v>BLACK</v>
      </c>
      <c r="G4493" s="20" t="str">
        <f>IFERROR(__xludf.DUMMYFUNCTION("""COMPUTED_VALUE"""),"Uncle Sams Cider (5/13/2022)")</f>
        <v>Uncle Sams Cider (5/13/2022)</v>
      </c>
      <c r="H4493" s="19"/>
    </row>
    <row r="4494">
      <c r="A4494" s="9"/>
      <c r="B4494" s="15"/>
      <c r="C4494" s="9">
        <f>IFERROR(__xludf.DUMMYFUNCTION("""COMPUTED_VALUE"""),44749.7739708333)</f>
        <v>44749.77397</v>
      </c>
      <c r="D4494" s="15">
        <f>IFERROR(__xludf.DUMMYFUNCTION("""COMPUTED_VALUE"""),1.004)</f>
        <v>1.004</v>
      </c>
      <c r="E4494" s="16">
        <f>IFERROR(__xludf.DUMMYFUNCTION("""COMPUTED_VALUE"""),69.0)</f>
        <v>69</v>
      </c>
      <c r="F4494" s="19" t="str">
        <f>IFERROR(__xludf.DUMMYFUNCTION("""COMPUTED_VALUE"""),"BLACK")</f>
        <v>BLACK</v>
      </c>
      <c r="G4494" s="20" t="str">
        <f>IFERROR(__xludf.DUMMYFUNCTION("""COMPUTED_VALUE"""),"Uncle Sams Cider (5/13/2022)")</f>
        <v>Uncle Sams Cider (5/13/2022)</v>
      </c>
      <c r="H4494" s="19"/>
    </row>
    <row r="4495">
      <c r="A4495" s="9"/>
      <c r="B4495" s="15"/>
      <c r="C4495" s="9">
        <f>IFERROR(__xludf.DUMMYFUNCTION("""COMPUTED_VALUE"""),44749.7635366898)</f>
        <v>44749.76354</v>
      </c>
      <c r="D4495" s="15">
        <f>IFERROR(__xludf.DUMMYFUNCTION("""COMPUTED_VALUE"""),1.004)</f>
        <v>1.004</v>
      </c>
      <c r="E4495" s="16">
        <f>IFERROR(__xludf.DUMMYFUNCTION("""COMPUTED_VALUE"""),69.0)</f>
        <v>69</v>
      </c>
      <c r="F4495" s="19" t="str">
        <f>IFERROR(__xludf.DUMMYFUNCTION("""COMPUTED_VALUE"""),"BLACK")</f>
        <v>BLACK</v>
      </c>
      <c r="G4495" s="20" t="str">
        <f>IFERROR(__xludf.DUMMYFUNCTION("""COMPUTED_VALUE"""),"Uncle Sams Cider (5/13/2022)")</f>
        <v>Uncle Sams Cider (5/13/2022)</v>
      </c>
      <c r="H4495" s="19"/>
    </row>
    <row r="4496">
      <c r="A4496" s="9"/>
      <c r="B4496" s="15"/>
      <c r="C4496" s="9">
        <f>IFERROR(__xludf.DUMMYFUNCTION("""COMPUTED_VALUE"""),44749.753115706)</f>
        <v>44749.75312</v>
      </c>
      <c r="D4496" s="15">
        <f>IFERROR(__xludf.DUMMYFUNCTION("""COMPUTED_VALUE"""),1.004)</f>
        <v>1.004</v>
      </c>
      <c r="E4496" s="16">
        <f>IFERROR(__xludf.DUMMYFUNCTION("""COMPUTED_VALUE"""),70.0)</f>
        <v>70</v>
      </c>
      <c r="F4496" s="19" t="str">
        <f>IFERROR(__xludf.DUMMYFUNCTION("""COMPUTED_VALUE"""),"BLACK")</f>
        <v>BLACK</v>
      </c>
      <c r="G4496" s="20" t="str">
        <f>IFERROR(__xludf.DUMMYFUNCTION("""COMPUTED_VALUE"""),"Uncle Sams Cider (5/13/2022)")</f>
        <v>Uncle Sams Cider (5/13/2022)</v>
      </c>
      <c r="H4496" s="19"/>
    </row>
    <row r="4497">
      <c r="A4497" s="9"/>
      <c r="B4497" s="15"/>
      <c r="C4497" s="9">
        <f>IFERROR(__xludf.DUMMYFUNCTION("""COMPUTED_VALUE"""),44749.7426960301)</f>
        <v>44749.7427</v>
      </c>
      <c r="D4497" s="15">
        <f>IFERROR(__xludf.DUMMYFUNCTION("""COMPUTED_VALUE"""),1.004)</f>
        <v>1.004</v>
      </c>
      <c r="E4497" s="16">
        <f>IFERROR(__xludf.DUMMYFUNCTION("""COMPUTED_VALUE"""),69.0)</f>
        <v>69</v>
      </c>
      <c r="F4497" s="19" t="str">
        <f>IFERROR(__xludf.DUMMYFUNCTION("""COMPUTED_VALUE"""),"BLACK")</f>
        <v>BLACK</v>
      </c>
      <c r="G4497" s="20" t="str">
        <f>IFERROR(__xludf.DUMMYFUNCTION("""COMPUTED_VALUE"""),"Uncle Sams Cider (5/13/2022)")</f>
        <v>Uncle Sams Cider (5/13/2022)</v>
      </c>
      <c r="H4497" s="19"/>
    </row>
    <row r="4498">
      <c r="A4498" s="9"/>
      <c r="B4498" s="15"/>
      <c r="C4498" s="9">
        <f>IFERROR(__xludf.DUMMYFUNCTION("""COMPUTED_VALUE"""),44749.7322745833)</f>
        <v>44749.73227</v>
      </c>
      <c r="D4498" s="15">
        <f>IFERROR(__xludf.DUMMYFUNCTION("""COMPUTED_VALUE"""),1.004)</f>
        <v>1.004</v>
      </c>
      <c r="E4498" s="16">
        <f>IFERROR(__xludf.DUMMYFUNCTION("""COMPUTED_VALUE"""),70.0)</f>
        <v>70</v>
      </c>
      <c r="F4498" s="19" t="str">
        <f>IFERROR(__xludf.DUMMYFUNCTION("""COMPUTED_VALUE"""),"BLACK")</f>
        <v>BLACK</v>
      </c>
      <c r="G4498" s="20" t="str">
        <f>IFERROR(__xludf.DUMMYFUNCTION("""COMPUTED_VALUE"""),"Uncle Sams Cider (5/13/2022)")</f>
        <v>Uncle Sams Cider (5/13/2022)</v>
      </c>
      <c r="H4498" s="19"/>
    </row>
    <row r="4499">
      <c r="A4499" s="9"/>
      <c r="B4499" s="15"/>
      <c r="C4499" s="9">
        <f>IFERROR(__xludf.DUMMYFUNCTION("""COMPUTED_VALUE"""),44749.7218190972)</f>
        <v>44749.72182</v>
      </c>
      <c r="D4499" s="15">
        <f>IFERROR(__xludf.DUMMYFUNCTION("""COMPUTED_VALUE"""),1.004)</f>
        <v>1.004</v>
      </c>
      <c r="E4499" s="16">
        <f>IFERROR(__xludf.DUMMYFUNCTION("""COMPUTED_VALUE"""),70.0)</f>
        <v>70</v>
      </c>
      <c r="F4499" s="19" t="str">
        <f>IFERROR(__xludf.DUMMYFUNCTION("""COMPUTED_VALUE"""),"BLACK")</f>
        <v>BLACK</v>
      </c>
      <c r="G4499" s="20" t="str">
        <f>IFERROR(__xludf.DUMMYFUNCTION("""COMPUTED_VALUE"""),"Uncle Sams Cider (5/13/2022)")</f>
        <v>Uncle Sams Cider (5/13/2022)</v>
      </c>
      <c r="H4499" s="19"/>
    </row>
    <row r="4500">
      <c r="A4500" s="9"/>
      <c r="B4500" s="15"/>
      <c r="C4500" s="9">
        <f>IFERROR(__xludf.DUMMYFUNCTION("""COMPUTED_VALUE"""),44749.7113972569)</f>
        <v>44749.7114</v>
      </c>
      <c r="D4500" s="15">
        <f>IFERROR(__xludf.DUMMYFUNCTION("""COMPUTED_VALUE"""),1.004)</f>
        <v>1.004</v>
      </c>
      <c r="E4500" s="16">
        <f>IFERROR(__xludf.DUMMYFUNCTION("""COMPUTED_VALUE"""),70.0)</f>
        <v>70</v>
      </c>
      <c r="F4500" s="19" t="str">
        <f>IFERROR(__xludf.DUMMYFUNCTION("""COMPUTED_VALUE"""),"BLACK")</f>
        <v>BLACK</v>
      </c>
      <c r="G4500" s="20" t="str">
        <f>IFERROR(__xludf.DUMMYFUNCTION("""COMPUTED_VALUE"""),"Uncle Sams Cider (5/13/2022)")</f>
        <v>Uncle Sams Cider (5/13/2022)</v>
      </c>
      <c r="H4500" s="19"/>
    </row>
    <row r="4501">
      <c r="A4501" s="9"/>
      <c r="B4501" s="15"/>
      <c r="C4501" s="9">
        <f>IFERROR(__xludf.DUMMYFUNCTION("""COMPUTED_VALUE"""),44749.7009756481)</f>
        <v>44749.70098</v>
      </c>
      <c r="D4501" s="15">
        <f>IFERROR(__xludf.DUMMYFUNCTION("""COMPUTED_VALUE"""),1.004)</f>
        <v>1.004</v>
      </c>
      <c r="E4501" s="16">
        <f>IFERROR(__xludf.DUMMYFUNCTION("""COMPUTED_VALUE"""),69.0)</f>
        <v>69</v>
      </c>
      <c r="F4501" s="19" t="str">
        <f>IFERROR(__xludf.DUMMYFUNCTION("""COMPUTED_VALUE"""),"BLACK")</f>
        <v>BLACK</v>
      </c>
      <c r="G4501" s="20" t="str">
        <f>IFERROR(__xludf.DUMMYFUNCTION("""COMPUTED_VALUE"""),"Uncle Sams Cider (5/13/2022)")</f>
        <v>Uncle Sams Cider (5/13/2022)</v>
      </c>
      <c r="H4501" s="19"/>
    </row>
    <row r="4502">
      <c r="A4502" s="9"/>
      <c r="B4502" s="15"/>
      <c r="C4502" s="9">
        <f>IFERROR(__xludf.DUMMYFUNCTION("""COMPUTED_VALUE"""),44749.6905546064)</f>
        <v>44749.69055</v>
      </c>
      <c r="D4502" s="15">
        <f>IFERROR(__xludf.DUMMYFUNCTION("""COMPUTED_VALUE"""),1.004)</f>
        <v>1.004</v>
      </c>
      <c r="E4502" s="16">
        <f>IFERROR(__xludf.DUMMYFUNCTION("""COMPUTED_VALUE"""),69.0)</f>
        <v>69</v>
      </c>
      <c r="F4502" s="19" t="str">
        <f>IFERROR(__xludf.DUMMYFUNCTION("""COMPUTED_VALUE"""),"BLACK")</f>
        <v>BLACK</v>
      </c>
      <c r="G4502" s="20" t="str">
        <f>IFERROR(__xludf.DUMMYFUNCTION("""COMPUTED_VALUE"""),"Uncle Sams Cider (5/13/2022)")</f>
        <v>Uncle Sams Cider (5/13/2022)</v>
      </c>
      <c r="H4502" s="19"/>
    </row>
    <row r="4503">
      <c r="A4503" s="9"/>
      <c r="B4503" s="15"/>
      <c r="C4503" s="9">
        <f>IFERROR(__xludf.DUMMYFUNCTION("""COMPUTED_VALUE"""),44749.680121493)</f>
        <v>44749.68012</v>
      </c>
      <c r="D4503" s="15">
        <f>IFERROR(__xludf.DUMMYFUNCTION("""COMPUTED_VALUE"""),1.004)</f>
        <v>1.004</v>
      </c>
      <c r="E4503" s="16">
        <f>IFERROR(__xludf.DUMMYFUNCTION("""COMPUTED_VALUE"""),69.0)</f>
        <v>69</v>
      </c>
      <c r="F4503" s="19" t="str">
        <f>IFERROR(__xludf.DUMMYFUNCTION("""COMPUTED_VALUE"""),"BLACK")</f>
        <v>BLACK</v>
      </c>
      <c r="G4503" s="20" t="str">
        <f>IFERROR(__xludf.DUMMYFUNCTION("""COMPUTED_VALUE"""),"Uncle Sams Cider (5/13/2022)")</f>
        <v>Uncle Sams Cider (5/13/2022)</v>
      </c>
      <c r="H4503" s="19"/>
    </row>
    <row r="4504">
      <c r="A4504" s="9"/>
      <c r="B4504" s="15"/>
      <c r="C4504" s="9">
        <f>IFERROR(__xludf.DUMMYFUNCTION("""COMPUTED_VALUE"""),44749.6697017939)</f>
        <v>44749.6697</v>
      </c>
      <c r="D4504" s="15">
        <f>IFERROR(__xludf.DUMMYFUNCTION("""COMPUTED_VALUE"""),1.004)</f>
        <v>1.004</v>
      </c>
      <c r="E4504" s="16">
        <f>IFERROR(__xludf.DUMMYFUNCTION("""COMPUTED_VALUE"""),69.0)</f>
        <v>69</v>
      </c>
      <c r="F4504" s="19" t="str">
        <f>IFERROR(__xludf.DUMMYFUNCTION("""COMPUTED_VALUE"""),"BLACK")</f>
        <v>BLACK</v>
      </c>
      <c r="G4504" s="20" t="str">
        <f>IFERROR(__xludf.DUMMYFUNCTION("""COMPUTED_VALUE"""),"Uncle Sams Cider (5/13/2022)")</f>
        <v>Uncle Sams Cider (5/13/2022)</v>
      </c>
      <c r="H4504" s="19"/>
    </row>
    <row r="4505">
      <c r="A4505" s="9"/>
      <c r="B4505" s="15"/>
      <c r="C4505" s="9">
        <f>IFERROR(__xludf.DUMMYFUNCTION("""COMPUTED_VALUE"""),44749.6592676273)</f>
        <v>44749.65927</v>
      </c>
      <c r="D4505" s="15">
        <f>IFERROR(__xludf.DUMMYFUNCTION("""COMPUTED_VALUE"""),1.004)</f>
        <v>1.004</v>
      </c>
      <c r="E4505" s="16">
        <f>IFERROR(__xludf.DUMMYFUNCTION("""COMPUTED_VALUE"""),69.0)</f>
        <v>69</v>
      </c>
      <c r="F4505" s="19" t="str">
        <f>IFERROR(__xludf.DUMMYFUNCTION("""COMPUTED_VALUE"""),"BLACK")</f>
        <v>BLACK</v>
      </c>
      <c r="G4505" s="20" t="str">
        <f>IFERROR(__xludf.DUMMYFUNCTION("""COMPUTED_VALUE"""),"Uncle Sams Cider (5/13/2022)")</f>
        <v>Uncle Sams Cider (5/13/2022)</v>
      </c>
      <c r="H4505" s="19"/>
    </row>
    <row r="4506">
      <c r="A4506" s="9"/>
      <c r="B4506" s="15"/>
      <c r="C4506" s="9">
        <f>IFERROR(__xludf.DUMMYFUNCTION("""COMPUTED_VALUE"""),44749.6488464467)</f>
        <v>44749.64885</v>
      </c>
      <c r="D4506" s="15">
        <f>IFERROR(__xludf.DUMMYFUNCTION("""COMPUTED_VALUE"""),1.004)</f>
        <v>1.004</v>
      </c>
      <c r="E4506" s="16">
        <f>IFERROR(__xludf.DUMMYFUNCTION("""COMPUTED_VALUE"""),69.0)</f>
        <v>69</v>
      </c>
      <c r="F4506" s="19" t="str">
        <f>IFERROR(__xludf.DUMMYFUNCTION("""COMPUTED_VALUE"""),"BLACK")</f>
        <v>BLACK</v>
      </c>
      <c r="G4506" s="20" t="str">
        <f>IFERROR(__xludf.DUMMYFUNCTION("""COMPUTED_VALUE"""),"Uncle Sams Cider (5/13/2022)")</f>
        <v>Uncle Sams Cider (5/13/2022)</v>
      </c>
      <c r="H4506" s="19"/>
    </row>
    <row r="4507">
      <c r="A4507" s="9"/>
      <c r="B4507" s="15"/>
      <c r="C4507" s="9">
        <f>IFERROR(__xludf.DUMMYFUNCTION("""COMPUTED_VALUE"""),44749.6384246064)</f>
        <v>44749.63842</v>
      </c>
      <c r="D4507" s="15">
        <f>IFERROR(__xludf.DUMMYFUNCTION("""COMPUTED_VALUE"""),1.004)</f>
        <v>1.004</v>
      </c>
      <c r="E4507" s="16">
        <f>IFERROR(__xludf.DUMMYFUNCTION("""COMPUTED_VALUE"""),69.0)</f>
        <v>69</v>
      </c>
      <c r="F4507" s="19" t="str">
        <f>IFERROR(__xludf.DUMMYFUNCTION("""COMPUTED_VALUE"""),"BLACK")</f>
        <v>BLACK</v>
      </c>
      <c r="G4507" s="20" t="str">
        <f>IFERROR(__xludf.DUMMYFUNCTION("""COMPUTED_VALUE"""),"Uncle Sams Cider (5/13/2022)")</f>
        <v>Uncle Sams Cider (5/13/2022)</v>
      </c>
      <c r="H4507" s="19"/>
    </row>
    <row r="4508">
      <c r="A4508" s="9"/>
      <c r="B4508" s="15"/>
      <c r="C4508" s="9">
        <f>IFERROR(__xludf.DUMMYFUNCTION("""COMPUTED_VALUE"""),44749.628005)</f>
        <v>44749.62801</v>
      </c>
      <c r="D4508" s="15">
        <f>IFERROR(__xludf.DUMMYFUNCTION("""COMPUTED_VALUE"""),1.004)</f>
        <v>1.004</v>
      </c>
      <c r="E4508" s="16">
        <f>IFERROR(__xludf.DUMMYFUNCTION("""COMPUTED_VALUE"""),69.0)</f>
        <v>69</v>
      </c>
      <c r="F4508" s="19" t="str">
        <f>IFERROR(__xludf.DUMMYFUNCTION("""COMPUTED_VALUE"""),"BLACK")</f>
        <v>BLACK</v>
      </c>
      <c r="G4508" s="20" t="str">
        <f>IFERROR(__xludf.DUMMYFUNCTION("""COMPUTED_VALUE"""),"Uncle Sams Cider (5/13/2022)")</f>
        <v>Uncle Sams Cider (5/13/2022)</v>
      </c>
      <c r="H4508" s="19"/>
    </row>
    <row r="4509">
      <c r="A4509" s="9"/>
      <c r="B4509" s="15"/>
      <c r="C4509" s="9">
        <f>IFERROR(__xludf.DUMMYFUNCTION("""COMPUTED_VALUE"""),44749.6175855092)</f>
        <v>44749.61759</v>
      </c>
      <c r="D4509" s="15">
        <f>IFERROR(__xludf.DUMMYFUNCTION("""COMPUTED_VALUE"""),1.004)</f>
        <v>1.004</v>
      </c>
      <c r="E4509" s="16">
        <f>IFERROR(__xludf.DUMMYFUNCTION("""COMPUTED_VALUE"""),69.0)</f>
        <v>69</v>
      </c>
      <c r="F4509" s="19" t="str">
        <f>IFERROR(__xludf.DUMMYFUNCTION("""COMPUTED_VALUE"""),"BLACK")</f>
        <v>BLACK</v>
      </c>
      <c r="G4509" s="20" t="str">
        <f>IFERROR(__xludf.DUMMYFUNCTION("""COMPUTED_VALUE"""),"Uncle Sams Cider (5/13/2022)")</f>
        <v>Uncle Sams Cider (5/13/2022)</v>
      </c>
      <c r="H4509" s="19"/>
    </row>
    <row r="4510">
      <c r="A4510" s="9"/>
      <c r="B4510" s="15"/>
      <c r="C4510" s="9">
        <f>IFERROR(__xludf.DUMMYFUNCTION("""COMPUTED_VALUE"""),44749.6071643055)</f>
        <v>44749.60716</v>
      </c>
      <c r="D4510" s="15">
        <f>IFERROR(__xludf.DUMMYFUNCTION("""COMPUTED_VALUE"""),1.004)</f>
        <v>1.004</v>
      </c>
      <c r="E4510" s="16">
        <f>IFERROR(__xludf.DUMMYFUNCTION("""COMPUTED_VALUE"""),69.0)</f>
        <v>69</v>
      </c>
      <c r="F4510" s="19" t="str">
        <f>IFERROR(__xludf.DUMMYFUNCTION("""COMPUTED_VALUE"""),"BLACK")</f>
        <v>BLACK</v>
      </c>
      <c r="G4510" s="20" t="str">
        <f>IFERROR(__xludf.DUMMYFUNCTION("""COMPUTED_VALUE"""),"Uncle Sams Cider (5/13/2022)")</f>
        <v>Uncle Sams Cider (5/13/2022)</v>
      </c>
      <c r="H4510" s="19"/>
    </row>
    <row r="4511">
      <c r="A4511" s="9"/>
      <c r="B4511" s="15"/>
      <c r="C4511" s="9">
        <f>IFERROR(__xludf.DUMMYFUNCTION("""COMPUTED_VALUE"""),44749.5967442708)</f>
        <v>44749.59674</v>
      </c>
      <c r="D4511" s="15">
        <f>IFERROR(__xludf.DUMMYFUNCTION("""COMPUTED_VALUE"""),1.004)</f>
        <v>1.004</v>
      </c>
      <c r="E4511" s="16">
        <f>IFERROR(__xludf.DUMMYFUNCTION("""COMPUTED_VALUE"""),69.0)</f>
        <v>69</v>
      </c>
      <c r="F4511" s="19" t="str">
        <f>IFERROR(__xludf.DUMMYFUNCTION("""COMPUTED_VALUE"""),"BLACK")</f>
        <v>BLACK</v>
      </c>
      <c r="G4511" s="20" t="str">
        <f>IFERROR(__xludf.DUMMYFUNCTION("""COMPUTED_VALUE"""),"Uncle Sams Cider (5/13/2022)")</f>
        <v>Uncle Sams Cider (5/13/2022)</v>
      </c>
      <c r="H4511" s="19"/>
    </row>
    <row r="4512">
      <c r="A4512" s="9"/>
      <c r="B4512" s="15"/>
      <c r="C4512" s="9">
        <f>IFERROR(__xludf.DUMMYFUNCTION("""COMPUTED_VALUE"""),44749.5863225115)</f>
        <v>44749.58632</v>
      </c>
      <c r="D4512" s="15">
        <f>IFERROR(__xludf.DUMMYFUNCTION("""COMPUTED_VALUE"""),1.004)</f>
        <v>1.004</v>
      </c>
      <c r="E4512" s="16">
        <f>IFERROR(__xludf.DUMMYFUNCTION("""COMPUTED_VALUE"""),69.0)</f>
        <v>69</v>
      </c>
      <c r="F4512" s="19" t="str">
        <f>IFERROR(__xludf.DUMMYFUNCTION("""COMPUTED_VALUE"""),"BLACK")</f>
        <v>BLACK</v>
      </c>
      <c r="G4512" s="20" t="str">
        <f>IFERROR(__xludf.DUMMYFUNCTION("""COMPUTED_VALUE"""),"Uncle Sams Cider (5/13/2022)")</f>
        <v>Uncle Sams Cider (5/13/2022)</v>
      </c>
      <c r="H4512" s="19"/>
    </row>
    <row r="4513">
      <c r="A4513" s="9"/>
      <c r="B4513" s="15"/>
      <c r="C4513" s="9">
        <f>IFERROR(__xludf.DUMMYFUNCTION("""COMPUTED_VALUE"""),44749.5759010416)</f>
        <v>44749.5759</v>
      </c>
      <c r="D4513" s="15">
        <f>IFERROR(__xludf.DUMMYFUNCTION("""COMPUTED_VALUE"""),1.004)</f>
        <v>1.004</v>
      </c>
      <c r="E4513" s="16">
        <f>IFERROR(__xludf.DUMMYFUNCTION("""COMPUTED_VALUE"""),69.0)</f>
        <v>69</v>
      </c>
      <c r="F4513" s="19" t="str">
        <f>IFERROR(__xludf.DUMMYFUNCTION("""COMPUTED_VALUE"""),"BLACK")</f>
        <v>BLACK</v>
      </c>
      <c r="G4513" s="20" t="str">
        <f>IFERROR(__xludf.DUMMYFUNCTION("""COMPUTED_VALUE"""),"Uncle Sams Cider (5/13/2022)")</f>
        <v>Uncle Sams Cider (5/13/2022)</v>
      </c>
      <c r="H4513" s="19"/>
    </row>
    <row r="4514">
      <c r="A4514" s="9"/>
      <c r="B4514" s="15"/>
      <c r="C4514" s="9">
        <f>IFERROR(__xludf.DUMMYFUNCTION("""COMPUTED_VALUE"""),44749.5654806712)</f>
        <v>44749.56548</v>
      </c>
      <c r="D4514" s="15">
        <f>IFERROR(__xludf.DUMMYFUNCTION("""COMPUTED_VALUE"""),1.004)</f>
        <v>1.004</v>
      </c>
      <c r="E4514" s="16">
        <f>IFERROR(__xludf.DUMMYFUNCTION("""COMPUTED_VALUE"""),69.0)</f>
        <v>69</v>
      </c>
      <c r="F4514" s="19" t="str">
        <f>IFERROR(__xludf.DUMMYFUNCTION("""COMPUTED_VALUE"""),"BLACK")</f>
        <v>BLACK</v>
      </c>
      <c r="G4514" s="20" t="str">
        <f>IFERROR(__xludf.DUMMYFUNCTION("""COMPUTED_VALUE"""),"Uncle Sams Cider (5/13/2022)")</f>
        <v>Uncle Sams Cider (5/13/2022)</v>
      </c>
      <c r="H4514" s="19"/>
    </row>
    <row r="4515">
      <c r="A4515" s="9"/>
      <c r="B4515" s="15"/>
      <c r="C4515" s="9">
        <f>IFERROR(__xludf.DUMMYFUNCTION("""COMPUTED_VALUE"""),44749.5550371412)</f>
        <v>44749.55504</v>
      </c>
      <c r="D4515" s="15">
        <f>IFERROR(__xludf.DUMMYFUNCTION("""COMPUTED_VALUE"""),1.004)</f>
        <v>1.004</v>
      </c>
      <c r="E4515" s="16">
        <f>IFERROR(__xludf.DUMMYFUNCTION("""COMPUTED_VALUE"""),69.0)</f>
        <v>69</v>
      </c>
      <c r="F4515" s="19" t="str">
        <f>IFERROR(__xludf.DUMMYFUNCTION("""COMPUTED_VALUE"""),"BLACK")</f>
        <v>BLACK</v>
      </c>
      <c r="G4515" s="20" t="str">
        <f>IFERROR(__xludf.DUMMYFUNCTION("""COMPUTED_VALUE"""),"Uncle Sams Cider (5/13/2022)")</f>
        <v>Uncle Sams Cider (5/13/2022)</v>
      </c>
      <c r="H4515" s="19"/>
    </row>
    <row r="4516">
      <c r="A4516" s="9"/>
      <c r="B4516" s="15"/>
      <c r="C4516" s="9">
        <f>IFERROR(__xludf.DUMMYFUNCTION("""COMPUTED_VALUE"""),44749.5446155555)</f>
        <v>44749.54462</v>
      </c>
      <c r="D4516" s="15">
        <f>IFERROR(__xludf.DUMMYFUNCTION("""COMPUTED_VALUE"""),1.004)</f>
        <v>1.004</v>
      </c>
      <c r="E4516" s="16">
        <f>IFERROR(__xludf.DUMMYFUNCTION("""COMPUTED_VALUE"""),69.0)</f>
        <v>69</v>
      </c>
      <c r="F4516" s="19" t="str">
        <f>IFERROR(__xludf.DUMMYFUNCTION("""COMPUTED_VALUE"""),"BLACK")</f>
        <v>BLACK</v>
      </c>
      <c r="G4516" s="20" t="str">
        <f>IFERROR(__xludf.DUMMYFUNCTION("""COMPUTED_VALUE"""),"Uncle Sams Cider (5/13/2022)")</f>
        <v>Uncle Sams Cider (5/13/2022)</v>
      </c>
      <c r="H4516" s="19"/>
    </row>
    <row r="4517">
      <c r="A4517" s="9"/>
      <c r="B4517" s="15"/>
      <c r="C4517" s="9">
        <f>IFERROR(__xludf.DUMMYFUNCTION("""COMPUTED_VALUE"""),44749.5341941782)</f>
        <v>44749.53419</v>
      </c>
      <c r="D4517" s="15">
        <f>IFERROR(__xludf.DUMMYFUNCTION("""COMPUTED_VALUE"""),1.004)</f>
        <v>1.004</v>
      </c>
      <c r="E4517" s="16">
        <f>IFERROR(__xludf.DUMMYFUNCTION("""COMPUTED_VALUE"""),69.0)</f>
        <v>69</v>
      </c>
      <c r="F4517" s="19" t="str">
        <f>IFERROR(__xludf.DUMMYFUNCTION("""COMPUTED_VALUE"""),"BLACK")</f>
        <v>BLACK</v>
      </c>
      <c r="G4517" s="20" t="str">
        <f>IFERROR(__xludf.DUMMYFUNCTION("""COMPUTED_VALUE"""),"Uncle Sams Cider (5/13/2022)")</f>
        <v>Uncle Sams Cider (5/13/2022)</v>
      </c>
      <c r="H4517" s="19"/>
    </row>
    <row r="4518">
      <c r="A4518" s="9"/>
      <c r="B4518" s="15"/>
      <c r="C4518" s="9">
        <f>IFERROR(__xludf.DUMMYFUNCTION("""COMPUTED_VALUE"""),44749.5237718518)</f>
        <v>44749.52377</v>
      </c>
      <c r="D4518" s="15">
        <f>IFERROR(__xludf.DUMMYFUNCTION("""COMPUTED_VALUE"""),1.004)</f>
        <v>1.004</v>
      </c>
      <c r="E4518" s="16">
        <f>IFERROR(__xludf.DUMMYFUNCTION("""COMPUTED_VALUE"""),69.0)</f>
        <v>69</v>
      </c>
      <c r="F4518" s="19" t="str">
        <f>IFERROR(__xludf.DUMMYFUNCTION("""COMPUTED_VALUE"""),"BLACK")</f>
        <v>BLACK</v>
      </c>
      <c r="G4518" s="20" t="str">
        <f>IFERROR(__xludf.DUMMYFUNCTION("""COMPUTED_VALUE"""),"Uncle Sams Cider (5/13/2022)")</f>
        <v>Uncle Sams Cider (5/13/2022)</v>
      </c>
      <c r="H4518" s="19"/>
    </row>
    <row r="4519">
      <c r="A4519" s="9"/>
      <c r="B4519" s="15"/>
      <c r="C4519" s="9">
        <f>IFERROR(__xludf.DUMMYFUNCTION("""COMPUTED_VALUE"""),44749.5133515856)</f>
        <v>44749.51335</v>
      </c>
      <c r="D4519" s="15">
        <f>IFERROR(__xludf.DUMMYFUNCTION("""COMPUTED_VALUE"""),1.004)</f>
        <v>1.004</v>
      </c>
      <c r="E4519" s="16">
        <f>IFERROR(__xludf.DUMMYFUNCTION("""COMPUTED_VALUE"""),69.0)</f>
        <v>69</v>
      </c>
      <c r="F4519" s="19" t="str">
        <f>IFERROR(__xludf.DUMMYFUNCTION("""COMPUTED_VALUE"""),"BLACK")</f>
        <v>BLACK</v>
      </c>
      <c r="G4519" s="20" t="str">
        <f>IFERROR(__xludf.DUMMYFUNCTION("""COMPUTED_VALUE"""),"Uncle Sams Cider (5/13/2022)")</f>
        <v>Uncle Sams Cider (5/13/2022)</v>
      </c>
      <c r="H4519" s="19"/>
    </row>
    <row r="4520">
      <c r="A4520" s="9"/>
      <c r="B4520" s="15"/>
      <c r="C4520" s="9">
        <f>IFERROR(__xludf.DUMMYFUNCTION("""COMPUTED_VALUE"""),44749.5029314583)</f>
        <v>44749.50293</v>
      </c>
      <c r="D4520" s="15">
        <f>IFERROR(__xludf.DUMMYFUNCTION("""COMPUTED_VALUE"""),1.004)</f>
        <v>1.004</v>
      </c>
      <c r="E4520" s="16">
        <f>IFERROR(__xludf.DUMMYFUNCTION("""COMPUTED_VALUE"""),69.0)</f>
        <v>69</v>
      </c>
      <c r="F4520" s="19" t="str">
        <f>IFERROR(__xludf.DUMMYFUNCTION("""COMPUTED_VALUE"""),"BLACK")</f>
        <v>BLACK</v>
      </c>
      <c r="G4520" s="20" t="str">
        <f>IFERROR(__xludf.DUMMYFUNCTION("""COMPUTED_VALUE"""),"Uncle Sams Cider (5/13/2022)")</f>
        <v>Uncle Sams Cider (5/13/2022)</v>
      </c>
      <c r="H4520" s="19"/>
    </row>
    <row r="4521">
      <c r="A4521" s="9"/>
      <c r="B4521" s="15"/>
      <c r="C4521" s="9">
        <f>IFERROR(__xludf.DUMMYFUNCTION("""COMPUTED_VALUE"""),44749.4924872916)</f>
        <v>44749.49249</v>
      </c>
      <c r="D4521" s="15">
        <f>IFERROR(__xludf.DUMMYFUNCTION("""COMPUTED_VALUE"""),1.004)</f>
        <v>1.004</v>
      </c>
      <c r="E4521" s="16">
        <f>IFERROR(__xludf.DUMMYFUNCTION("""COMPUTED_VALUE"""),69.0)</f>
        <v>69</v>
      </c>
      <c r="F4521" s="19" t="str">
        <f>IFERROR(__xludf.DUMMYFUNCTION("""COMPUTED_VALUE"""),"BLACK")</f>
        <v>BLACK</v>
      </c>
      <c r="G4521" s="20" t="str">
        <f>IFERROR(__xludf.DUMMYFUNCTION("""COMPUTED_VALUE"""),"Uncle Sams Cider (5/13/2022)")</f>
        <v>Uncle Sams Cider (5/13/2022)</v>
      </c>
      <c r="H4521" s="19"/>
    </row>
    <row r="4522">
      <c r="A4522" s="9"/>
      <c r="B4522" s="15"/>
      <c r="C4522" s="9">
        <f>IFERROR(__xludf.DUMMYFUNCTION("""COMPUTED_VALUE"""),44749.4820555324)</f>
        <v>44749.48206</v>
      </c>
      <c r="D4522" s="15">
        <f>IFERROR(__xludf.DUMMYFUNCTION("""COMPUTED_VALUE"""),1.004)</f>
        <v>1.004</v>
      </c>
      <c r="E4522" s="16">
        <f>IFERROR(__xludf.DUMMYFUNCTION("""COMPUTED_VALUE"""),69.0)</f>
        <v>69</v>
      </c>
      <c r="F4522" s="19" t="str">
        <f>IFERROR(__xludf.DUMMYFUNCTION("""COMPUTED_VALUE"""),"BLACK")</f>
        <v>BLACK</v>
      </c>
      <c r="G4522" s="20" t="str">
        <f>IFERROR(__xludf.DUMMYFUNCTION("""COMPUTED_VALUE"""),"Uncle Sams Cider (5/13/2022)")</f>
        <v>Uncle Sams Cider (5/13/2022)</v>
      </c>
      <c r="H4522" s="19"/>
    </row>
    <row r="4523">
      <c r="A4523" s="9"/>
      <c r="B4523" s="15"/>
      <c r="C4523" s="9">
        <f>IFERROR(__xludf.DUMMYFUNCTION("""COMPUTED_VALUE"""),44749.4716346875)</f>
        <v>44749.47163</v>
      </c>
      <c r="D4523" s="15">
        <f>IFERROR(__xludf.DUMMYFUNCTION("""COMPUTED_VALUE"""),1.004)</f>
        <v>1.004</v>
      </c>
      <c r="E4523" s="16">
        <f>IFERROR(__xludf.DUMMYFUNCTION("""COMPUTED_VALUE"""),69.0)</f>
        <v>69</v>
      </c>
      <c r="F4523" s="19" t="str">
        <f>IFERROR(__xludf.DUMMYFUNCTION("""COMPUTED_VALUE"""),"BLACK")</f>
        <v>BLACK</v>
      </c>
      <c r="G4523" s="20" t="str">
        <f>IFERROR(__xludf.DUMMYFUNCTION("""COMPUTED_VALUE"""),"Uncle Sams Cider (5/13/2022)")</f>
        <v>Uncle Sams Cider (5/13/2022)</v>
      </c>
      <c r="H4523" s="19"/>
    </row>
    <row r="4524">
      <c r="A4524" s="9"/>
      <c r="B4524" s="15"/>
      <c r="C4524" s="9">
        <f>IFERROR(__xludf.DUMMYFUNCTION("""COMPUTED_VALUE"""),44749.4612150463)</f>
        <v>44749.46122</v>
      </c>
      <c r="D4524" s="15">
        <f>IFERROR(__xludf.DUMMYFUNCTION("""COMPUTED_VALUE"""),1.004)</f>
        <v>1.004</v>
      </c>
      <c r="E4524" s="16">
        <f>IFERROR(__xludf.DUMMYFUNCTION("""COMPUTED_VALUE"""),69.0)</f>
        <v>69</v>
      </c>
      <c r="F4524" s="19" t="str">
        <f>IFERROR(__xludf.DUMMYFUNCTION("""COMPUTED_VALUE"""),"BLACK")</f>
        <v>BLACK</v>
      </c>
      <c r="G4524" s="20" t="str">
        <f>IFERROR(__xludf.DUMMYFUNCTION("""COMPUTED_VALUE"""),"Uncle Sams Cider (5/13/2022)")</f>
        <v>Uncle Sams Cider (5/13/2022)</v>
      </c>
      <c r="H4524" s="19"/>
    </row>
    <row r="4525">
      <c r="A4525" s="9"/>
      <c r="B4525" s="15"/>
      <c r="C4525" s="9">
        <f>IFERROR(__xludf.DUMMYFUNCTION("""COMPUTED_VALUE"""),44749.4507936226)</f>
        <v>44749.45079</v>
      </c>
      <c r="D4525" s="15">
        <f>IFERROR(__xludf.DUMMYFUNCTION("""COMPUTED_VALUE"""),1.004)</f>
        <v>1.004</v>
      </c>
      <c r="E4525" s="16">
        <f>IFERROR(__xludf.DUMMYFUNCTION("""COMPUTED_VALUE"""),69.0)</f>
        <v>69</v>
      </c>
      <c r="F4525" s="19" t="str">
        <f>IFERROR(__xludf.DUMMYFUNCTION("""COMPUTED_VALUE"""),"BLACK")</f>
        <v>BLACK</v>
      </c>
      <c r="G4525" s="20" t="str">
        <f>IFERROR(__xludf.DUMMYFUNCTION("""COMPUTED_VALUE"""),"Uncle Sams Cider (5/13/2022)")</f>
        <v>Uncle Sams Cider (5/13/2022)</v>
      </c>
      <c r="H4525" s="19"/>
    </row>
    <row r="4526">
      <c r="A4526" s="9"/>
      <c r="B4526" s="15"/>
      <c r="C4526" s="9">
        <f>IFERROR(__xludf.DUMMYFUNCTION("""COMPUTED_VALUE"""),44749.4403619444)</f>
        <v>44749.44036</v>
      </c>
      <c r="D4526" s="15">
        <f>IFERROR(__xludf.DUMMYFUNCTION("""COMPUTED_VALUE"""),1.004)</f>
        <v>1.004</v>
      </c>
      <c r="E4526" s="16">
        <f>IFERROR(__xludf.DUMMYFUNCTION("""COMPUTED_VALUE"""),69.0)</f>
        <v>69</v>
      </c>
      <c r="F4526" s="19" t="str">
        <f>IFERROR(__xludf.DUMMYFUNCTION("""COMPUTED_VALUE"""),"BLACK")</f>
        <v>BLACK</v>
      </c>
      <c r="G4526" s="20" t="str">
        <f>IFERROR(__xludf.DUMMYFUNCTION("""COMPUTED_VALUE"""),"Uncle Sams Cider (5/13/2022)")</f>
        <v>Uncle Sams Cider (5/13/2022)</v>
      </c>
      <c r="H4526" s="19"/>
    </row>
    <row r="4527">
      <c r="A4527" s="9"/>
      <c r="B4527" s="15"/>
      <c r="C4527" s="9">
        <f>IFERROR(__xludf.DUMMYFUNCTION("""COMPUTED_VALUE"""),44749.4299301157)</f>
        <v>44749.42993</v>
      </c>
      <c r="D4527" s="15">
        <f>IFERROR(__xludf.DUMMYFUNCTION("""COMPUTED_VALUE"""),1.004)</f>
        <v>1.004</v>
      </c>
      <c r="E4527" s="16">
        <f>IFERROR(__xludf.DUMMYFUNCTION("""COMPUTED_VALUE"""),69.0)</f>
        <v>69</v>
      </c>
      <c r="F4527" s="19" t="str">
        <f>IFERROR(__xludf.DUMMYFUNCTION("""COMPUTED_VALUE"""),"BLACK")</f>
        <v>BLACK</v>
      </c>
      <c r="G4527" s="20" t="str">
        <f>IFERROR(__xludf.DUMMYFUNCTION("""COMPUTED_VALUE"""),"Uncle Sams Cider (5/13/2022)")</f>
        <v>Uncle Sams Cider (5/13/2022)</v>
      </c>
      <c r="H4527" s="19"/>
    </row>
    <row r="4528">
      <c r="A4528" s="9"/>
      <c r="B4528" s="15"/>
      <c r="C4528" s="9">
        <f>IFERROR(__xludf.DUMMYFUNCTION("""COMPUTED_VALUE"""),44749.4194974421)</f>
        <v>44749.4195</v>
      </c>
      <c r="D4528" s="15">
        <f>IFERROR(__xludf.DUMMYFUNCTION("""COMPUTED_VALUE"""),1.004)</f>
        <v>1.004</v>
      </c>
      <c r="E4528" s="16">
        <f>IFERROR(__xludf.DUMMYFUNCTION("""COMPUTED_VALUE"""),69.0)</f>
        <v>69</v>
      </c>
      <c r="F4528" s="19" t="str">
        <f>IFERROR(__xludf.DUMMYFUNCTION("""COMPUTED_VALUE"""),"BLACK")</f>
        <v>BLACK</v>
      </c>
      <c r="G4528" s="20" t="str">
        <f>IFERROR(__xludf.DUMMYFUNCTION("""COMPUTED_VALUE"""),"Uncle Sams Cider (5/13/2022)")</f>
        <v>Uncle Sams Cider (5/13/2022)</v>
      </c>
      <c r="H4528" s="19"/>
    </row>
    <row r="4529">
      <c r="A4529" s="9"/>
      <c r="B4529" s="15"/>
      <c r="C4529" s="9">
        <f>IFERROR(__xludf.DUMMYFUNCTION("""COMPUTED_VALUE"""),44749.4090759953)</f>
        <v>44749.40908</v>
      </c>
      <c r="D4529" s="15">
        <f>IFERROR(__xludf.DUMMYFUNCTION("""COMPUTED_VALUE"""),1.004)</f>
        <v>1.004</v>
      </c>
      <c r="E4529" s="16">
        <f>IFERROR(__xludf.DUMMYFUNCTION("""COMPUTED_VALUE"""),69.0)</f>
        <v>69</v>
      </c>
      <c r="F4529" s="19" t="str">
        <f>IFERROR(__xludf.DUMMYFUNCTION("""COMPUTED_VALUE"""),"BLACK")</f>
        <v>BLACK</v>
      </c>
      <c r="G4529" s="20" t="str">
        <f>IFERROR(__xludf.DUMMYFUNCTION("""COMPUTED_VALUE"""),"Uncle Sams Cider (5/13/2022)")</f>
        <v>Uncle Sams Cider (5/13/2022)</v>
      </c>
      <c r="H4529" s="19"/>
    </row>
    <row r="4530">
      <c r="A4530" s="9"/>
      <c r="B4530" s="15"/>
      <c r="C4530" s="9">
        <f>IFERROR(__xludf.DUMMYFUNCTION("""COMPUTED_VALUE"""),44749.3986548842)</f>
        <v>44749.39865</v>
      </c>
      <c r="D4530" s="15">
        <f>IFERROR(__xludf.DUMMYFUNCTION("""COMPUTED_VALUE"""),1.004)</f>
        <v>1.004</v>
      </c>
      <c r="E4530" s="16">
        <f>IFERROR(__xludf.DUMMYFUNCTION("""COMPUTED_VALUE"""),69.0)</f>
        <v>69</v>
      </c>
      <c r="F4530" s="19" t="str">
        <f>IFERROR(__xludf.DUMMYFUNCTION("""COMPUTED_VALUE"""),"BLACK")</f>
        <v>BLACK</v>
      </c>
      <c r="G4530" s="20" t="str">
        <f>IFERROR(__xludf.DUMMYFUNCTION("""COMPUTED_VALUE"""),"Uncle Sams Cider (5/13/2022)")</f>
        <v>Uncle Sams Cider (5/13/2022)</v>
      </c>
      <c r="H4530" s="19"/>
    </row>
    <row r="4531">
      <c r="A4531" s="9"/>
      <c r="B4531" s="15"/>
      <c r="C4531" s="9">
        <f>IFERROR(__xludf.DUMMYFUNCTION("""COMPUTED_VALUE"""),44749.3882332175)</f>
        <v>44749.38823</v>
      </c>
      <c r="D4531" s="15">
        <f>IFERROR(__xludf.DUMMYFUNCTION("""COMPUTED_VALUE"""),1.004)</f>
        <v>1.004</v>
      </c>
      <c r="E4531" s="16">
        <f>IFERROR(__xludf.DUMMYFUNCTION("""COMPUTED_VALUE"""),69.0)</f>
        <v>69</v>
      </c>
      <c r="F4531" s="19" t="str">
        <f>IFERROR(__xludf.DUMMYFUNCTION("""COMPUTED_VALUE"""),"BLACK")</f>
        <v>BLACK</v>
      </c>
      <c r="G4531" s="20" t="str">
        <f>IFERROR(__xludf.DUMMYFUNCTION("""COMPUTED_VALUE"""),"Uncle Sams Cider (5/13/2022)")</f>
        <v>Uncle Sams Cider (5/13/2022)</v>
      </c>
      <c r="H4531" s="19"/>
    </row>
    <row r="4532">
      <c r="A4532" s="9"/>
      <c r="B4532" s="15"/>
      <c r="C4532" s="9">
        <f>IFERROR(__xludf.DUMMYFUNCTION("""COMPUTED_VALUE"""),44749.3778112847)</f>
        <v>44749.37781</v>
      </c>
      <c r="D4532" s="15">
        <f>IFERROR(__xludf.DUMMYFUNCTION("""COMPUTED_VALUE"""),1.005)</f>
        <v>1.005</v>
      </c>
      <c r="E4532" s="16">
        <f>IFERROR(__xludf.DUMMYFUNCTION("""COMPUTED_VALUE"""),69.0)</f>
        <v>69</v>
      </c>
      <c r="F4532" s="19" t="str">
        <f>IFERROR(__xludf.DUMMYFUNCTION("""COMPUTED_VALUE"""),"BLACK")</f>
        <v>BLACK</v>
      </c>
      <c r="G4532" s="20" t="str">
        <f>IFERROR(__xludf.DUMMYFUNCTION("""COMPUTED_VALUE"""),"Uncle Sams Cider (5/13/2022)")</f>
        <v>Uncle Sams Cider (5/13/2022)</v>
      </c>
      <c r="H4532" s="19"/>
    </row>
    <row r="4533">
      <c r="A4533" s="9"/>
      <c r="B4533" s="15"/>
      <c r="C4533" s="9">
        <f>IFERROR(__xludf.DUMMYFUNCTION("""COMPUTED_VALUE"""),44749.3673785879)</f>
        <v>44749.36738</v>
      </c>
      <c r="D4533" s="15">
        <f>IFERROR(__xludf.DUMMYFUNCTION("""COMPUTED_VALUE"""),1.004)</f>
        <v>1.004</v>
      </c>
      <c r="E4533" s="16">
        <f>IFERROR(__xludf.DUMMYFUNCTION("""COMPUTED_VALUE"""),69.0)</f>
        <v>69</v>
      </c>
      <c r="F4533" s="19" t="str">
        <f>IFERROR(__xludf.DUMMYFUNCTION("""COMPUTED_VALUE"""),"BLACK")</f>
        <v>BLACK</v>
      </c>
      <c r="G4533" s="20" t="str">
        <f>IFERROR(__xludf.DUMMYFUNCTION("""COMPUTED_VALUE"""),"Uncle Sams Cider (5/13/2022)")</f>
        <v>Uncle Sams Cider (5/13/2022)</v>
      </c>
      <c r="H4533" s="19"/>
    </row>
    <row r="4534">
      <c r="A4534" s="9"/>
      <c r="B4534" s="15"/>
      <c r="C4534" s="9">
        <f>IFERROR(__xludf.DUMMYFUNCTION("""COMPUTED_VALUE"""),44749.3569567245)</f>
        <v>44749.35696</v>
      </c>
      <c r="D4534" s="15">
        <f>IFERROR(__xludf.DUMMYFUNCTION("""COMPUTED_VALUE"""),1.004)</f>
        <v>1.004</v>
      </c>
      <c r="E4534" s="16">
        <f>IFERROR(__xludf.DUMMYFUNCTION("""COMPUTED_VALUE"""),69.0)</f>
        <v>69</v>
      </c>
      <c r="F4534" s="19" t="str">
        <f>IFERROR(__xludf.DUMMYFUNCTION("""COMPUTED_VALUE"""),"BLACK")</f>
        <v>BLACK</v>
      </c>
      <c r="G4534" s="20" t="str">
        <f>IFERROR(__xludf.DUMMYFUNCTION("""COMPUTED_VALUE"""),"Uncle Sams Cider (5/13/2022)")</f>
        <v>Uncle Sams Cider (5/13/2022)</v>
      </c>
      <c r="H4534" s="19"/>
    </row>
    <row r="4535">
      <c r="A4535" s="9"/>
      <c r="B4535" s="15"/>
      <c r="C4535" s="9">
        <f>IFERROR(__xludf.DUMMYFUNCTION("""COMPUTED_VALUE"""),44749.3465247569)</f>
        <v>44749.34652</v>
      </c>
      <c r="D4535" s="15">
        <f>IFERROR(__xludf.DUMMYFUNCTION("""COMPUTED_VALUE"""),1.004)</f>
        <v>1.004</v>
      </c>
      <c r="E4535" s="16">
        <f>IFERROR(__xludf.DUMMYFUNCTION("""COMPUTED_VALUE"""),69.0)</f>
        <v>69</v>
      </c>
      <c r="F4535" s="19" t="str">
        <f>IFERROR(__xludf.DUMMYFUNCTION("""COMPUTED_VALUE"""),"BLACK")</f>
        <v>BLACK</v>
      </c>
      <c r="G4535" s="20" t="str">
        <f>IFERROR(__xludf.DUMMYFUNCTION("""COMPUTED_VALUE"""),"Uncle Sams Cider (5/13/2022)")</f>
        <v>Uncle Sams Cider (5/13/2022)</v>
      </c>
      <c r="H4535" s="19"/>
    </row>
    <row r="4536">
      <c r="A4536" s="9"/>
      <c r="B4536" s="15"/>
      <c r="C4536" s="9">
        <f>IFERROR(__xludf.DUMMYFUNCTION("""COMPUTED_VALUE"""),44749.3361017245)</f>
        <v>44749.3361</v>
      </c>
      <c r="D4536" s="15">
        <f>IFERROR(__xludf.DUMMYFUNCTION("""COMPUTED_VALUE"""),1.004)</f>
        <v>1.004</v>
      </c>
      <c r="E4536" s="16">
        <f>IFERROR(__xludf.DUMMYFUNCTION("""COMPUTED_VALUE"""),69.0)</f>
        <v>69</v>
      </c>
      <c r="F4536" s="19" t="str">
        <f>IFERROR(__xludf.DUMMYFUNCTION("""COMPUTED_VALUE"""),"BLACK")</f>
        <v>BLACK</v>
      </c>
      <c r="G4536" s="20" t="str">
        <f>IFERROR(__xludf.DUMMYFUNCTION("""COMPUTED_VALUE"""),"Uncle Sams Cider (5/13/2022)")</f>
        <v>Uncle Sams Cider (5/13/2022)</v>
      </c>
      <c r="H4536" s="19"/>
    </row>
    <row r="4537">
      <c r="A4537" s="9"/>
      <c r="B4537" s="15"/>
      <c r="C4537" s="9">
        <f>IFERROR(__xludf.DUMMYFUNCTION("""COMPUTED_VALUE"""),44749.3256797453)</f>
        <v>44749.32568</v>
      </c>
      <c r="D4537" s="15">
        <f>IFERROR(__xludf.DUMMYFUNCTION("""COMPUTED_VALUE"""),1.004)</f>
        <v>1.004</v>
      </c>
      <c r="E4537" s="16">
        <f>IFERROR(__xludf.DUMMYFUNCTION("""COMPUTED_VALUE"""),69.0)</f>
        <v>69</v>
      </c>
      <c r="F4537" s="19" t="str">
        <f>IFERROR(__xludf.DUMMYFUNCTION("""COMPUTED_VALUE"""),"BLACK")</f>
        <v>BLACK</v>
      </c>
      <c r="G4537" s="20" t="str">
        <f>IFERROR(__xludf.DUMMYFUNCTION("""COMPUTED_VALUE"""),"Uncle Sams Cider (5/13/2022)")</f>
        <v>Uncle Sams Cider (5/13/2022)</v>
      </c>
      <c r="H4537" s="19"/>
    </row>
    <row r="4538">
      <c r="A4538" s="9"/>
      <c r="B4538" s="15"/>
      <c r="C4538" s="9">
        <f>IFERROR(__xludf.DUMMYFUNCTION("""COMPUTED_VALUE"""),44749.3152580902)</f>
        <v>44749.31526</v>
      </c>
      <c r="D4538" s="15">
        <f>IFERROR(__xludf.DUMMYFUNCTION("""COMPUTED_VALUE"""),1.004)</f>
        <v>1.004</v>
      </c>
      <c r="E4538" s="16">
        <f>IFERROR(__xludf.DUMMYFUNCTION("""COMPUTED_VALUE"""),69.0)</f>
        <v>69</v>
      </c>
      <c r="F4538" s="19" t="str">
        <f>IFERROR(__xludf.DUMMYFUNCTION("""COMPUTED_VALUE"""),"BLACK")</f>
        <v>BLACK</v>
      </c>
      <c r="G4538" s="20" t="str">
        <f>IFERROR(__xludf.DUMMYFUNCTION("""COMPUTED_VALUE"""),"Uncle Sams Cider (5/13/2022)")</f>
        <v>Uncle Sams Cider (5/13/2022)</v>
      </c>
      <c r="H4538" s="19"/>
    </row>
    <row r="4539">
      <c r="A4539" s="9"/>
      <c r="B4539" s="15"/>
      <c r="C4539" s="9">
        <f>IFERROR(__xludf.DUMMYFUNCTION("""COMPUTED_VALUE"""),44749.3048372569)</f>
        <v>44749.30484</v>
      </c>
      <c r="D4539" s="15">
        <f>IFERROR(__xludf.DUMMYFUNCTION("""COMPUTED_VALUE"""),1.004)</f>
        <v>1.004</v>
      </c>
      <c r="E4539" s="16">
        <f>IFERROR(__xludf.DUMMYFUNCTION("""COMPUTED_VALUE"""),69.0)</f>
        <v>69</v>
      </c>
      <c r="F4539" s="19" t="str">
        <f>IFERROR(__xludf.DUMMYFUNCTION("""COMPUTED_VALUE"""),"BLACK")</f>
        <v>BLACK</v>
      </c>
      <c r="G4539" s="20" t="str">
        <f>IFERROR(__xludf.DUMMYFUNCTION("""COMPUTED_VALUE"""),"Uncle Sams Cider (5/13/2022)")</f>
        <v>Uncle Sams Cider (5/13/2022)</v>
      </c>
      <c r="H4539" s="19"/>
    </row>
    <row r="4540">
      <c r="A4540" s="9"/>
      <c r="B4540" s="15"/>
      <c r="C4540" s="9">
        <f>IFERROR(__xludf.DUMMYFUNCTION("""COMPUTED_VALUE"""),44749.2944157523)</f>
        <v>44749.29442</v>
      </c>
      <c r="D4540" s="15">
        <f>IFERROR(__xludf.DUMMYFUNCTION("""COMPUTED_VALUE"""),1.004)</f>
        <v>1.004</v>
      </c>
      <c r="E4540" s="16">
        <f>IFERROR(__xludf.DUMMYFUNCTION("""COMPUTED_VALUE"""),69.0)</f>
        <v>69</v>
      </c>
      <c r="F4540" s="19" t="str">
        <f>IFERROR(__xludf.DUMMYFUNCTION("""COMPUTED_VALUE"""),"BLACK")</f>
        <v>BLACK</v>
      </c>
      <c r="G4540" s="20" t="str">
        <f>IFERROR(__xludf.DUMMYFUNCTION("""COMPUTED_VALUE"""),"Uncle Sams Cider (5/13/2022)")</f>
        <v>Uncle Sams Cider (5/13/2022)</v>
      </c>
      <c r="H4540" s="19"/>
    </row>
    <row r="4541">
      <c r="A4541" s="9"/>
      <c r="B4541" s="15"/>
      <c r="C4541" s="9">
        <f>IFERROR(__xludf.DUMMYFUNCTION("""COMPUTED_VALUE"""),44749.2839830324)</f>
        <v>44749.28398</v>
      </c>
      <c r="D4541" s="15">
        <f>IFERROR(__xludf.DUMMYFUNCTION("""COMPUTED_VALUE"""),1.004)</f>
        <v>1.004</v>
      </c>
      <c r="E4541" s="16">
        <f>IFERROR(__xludf.DUMMYFUNCTION("""COMPUTED_VALUE"""),69.0)</f>
        <v>69</v>
      </c>
      <c r="F4541" s="19" t="str">
        <f>IFERROR(__xludf.DUMMYFUNCTION("""COMPUTED_VALUE"""),"BLACK")</f>
        <v>BLACK</v>
      </c>
      <c r="G4541" s="20" t="str">
        <f>IFERROR(__xludf.DUMMYFUNCTION("""COMPUTED_VALUE"""),"Uncle Sams Cider (5/13/2022)")</f>
        <v>Uncle Sams Cider (5/13/2022)</v>
      </c>
      <c r="H4541" s="19"/>
    </row>
    <row r="4542">
      <c r="A4542" s="9"/>
      <c r="B4542" s="15"/>
      <c r="C4542" s="9">
        <f>IFERROR(__xludf.DUMMYFUNCTION("""COMPUTED_VALUE"""),44749.2735628819)</f>
        <v>44749.27356</v>
      </c>
      <c r="D4542" s="15">
        <f>IFERROR(__xludf.DUMMYFUNCTION("""COMPUTED_VALUE"""),1.004)</f>
        <v>1.004</v>
      </c>
      <c r="E4542" s="16">
        <f>IFERROR(__xludf.DUMMYFUNCTION("""COMPUTED_VALUE"""),69.0)</f>
        <v>69</v>
      </c>
      <c r="F4542" s="19" t="str">
        <f>IFERROR(__xludf.DUMMYFUNCTION("""COMPUTED_VALUE"""),"BLACK")</f>
        <v>BLACK</v>
      </c>
      <c r="G4542" s="20" t="str">
        <f>IFERROR(__xludf.DUMMYFUNCTION("""COMPUTED_VALUE"""),"Uncle Sams Cider (5/13/2022)")</f>
        <v>Uncle Sams Cider (5/13/2022)</v>
      </c>
      <c r="H4542" s="19"/>
    </row>
    <row r="4543">
      <c r="A4543" s="9"/>
      <c r="B4543" s="15"/>
      <c r="C4543" s="9">
        <f>IFERROR(__xludf.DUMMYFUNCTION("""COMPUTED_VALUE"""),44749.2631299189)</f>
        <v>44749.26313</v>
      </c>
      <c r="D4543" s="15">
        <f>IFERROR(__xludf.DUMMYFUNCTION("""COMPUTED_VALUE"""),1.004)</f>
        <v>1.004</v>
      </c>
      <c r="E4543" s="16">
        <f>IFERROR(__xludf.DUMMYFUNCTION("""COMPUTED_VALUE"""),69.0)</f>
        <v>69</v>
      </c>
      <c r="F4543" s="19" t="str">
        <f>IFERROR(__xludf.DUMMYFUNCTION("""COMPUTED_VALUE"""),"BLACK")</f>
        <v>BLACK</v>
      </c>
      <c r="G4543" s="20" t="str">
        <f>IFERROR(__xludf.DUMMYFUNCTION("""COMPUTED_VALUE"""),"Uncle Sams Cider (5/13/2022)")</f>
        <v>Uncle Sams Cider (5/13/2022)</v>
      </c>
      <c r="H4543" s="19"/>
    </row>
    <row r="4544">
      <c r="A4544" s="9"/>
      <c r="B4544" s="15"/>
      <c r="C4544" s="9">
        <f>IFERROR(__xludf.DUMMYFUNCTION("""COMPUTED_VALUE"""),44749.2527078703)</f>
        <v>44749.25271</v>
      </c>
      <c r="D4544" s="15">
        <f>IFERROR(__xludf.DUMMYFUNCTION("""COMPUTED_VALUE"""),1.004)</f>
        <v>1.004</v>
      </c>
      <c r="E4544" s="16">
        <f>IFERROR(__xludf.DUMMYFUNCTION("""COMPUTED_VALUE"""),69.0)</f>
        <v>69</v>
      </c>
      <c r="F4544" s="19" t="str">
        <f>IFERROR(__xludf.DUMMYFUNCTION("""COMPUTED_VALUE"""),"BLACK")</f>
        <v>BLACK</v>
      </c>
      <c r="G4544" s="20" t="str">
        <f>IFERROR(__xludf.DUMMYFUNCTION("""COMPUTED_VALUE"""),"Uncle Sams Cider (5/13/2022)")</f>
        <v>Uncle Sams Cider (5/13/2022)</v>
      </c>
      <c r="H4544" s="19"/>
    </row>
    <row r="4545">
      <c r="A4545" s="9"/>
      <c r="B4545" s="15"/>
      <c r="C4545" s="9">
        <f>IFERROR(__xludf.DUMMYFUNCTION("""COMPUTED_VALUE"""),44749.2422847337)</f>
        <v>44749.24228</v>
      </c>
      <c r="D4545" s="15">
        <f>IFERROR(__xludf.DUMMYFUNCTION("""COMPUTED_VALUE"""),1.005)</f>
        <v>1.005</v>
      </c>
      <c r="E4545" s="16">
        <f>IFERROR(__xludf.DUMMYFUNCTION("""COMPUTED_VALUE"""),69.0)</f>
        <v>69</v>
      </c>
      <c r="F4545" s="19" t="str">
        <f>IFERROR(__xludf.DUMMYFUNCTION("""COMPUTED_VALUE"""),"BLACK")</f>
        <v>BLACK</v>
      </c>
      <c r="G4545" s="20" t="str">
        <f>IFERROR(__xludf.DUMMYFUNCTION("""COMPUTED_VALUE"""),"Uncle Sams Cider (5/13/2022)")</f>
        <v>Uncle Sams Cider (5/13/2022)</v>
      </c>
      <c r="H4545" s="19"/>
    </row>
    <row r="4546">
      <c r="A4546" s="9"/>
      <c r="B4546" s="15"/>
      <c r="C4546" s="9">
        <f>IFERROR(__xludf.DUMMYFUNCTION("""COMPUTED_VALUE"""),44749.2318631597)</f>
        <v>44749.23186</v>
      </c>
      <c r="D4546" s="15">
        <f>IFERROR(__xludf.DUMMYFUNCTION("""COMPUTED_VALUE"""),1.004)</f>
        <v>1.004</v>
      </c>
      <c r="E4546" s="16">
        <f>IFERROR(__xludf.DUMMYFUNCTION("""COMPUTED_VALUE"""),69.0)</f>
        <v>69</v>
      </c>
      <c r="F4546" s="19" t="str">
        <f>IFERROR(__xludf.DUMMYFUNCTION("""COMPUTED_VALUE"""),"BLACK")</f>
        <v>BLACK</v>
      </c>
      <c r="G4546" s="20" t="str">
        <f>IFERROR(__xludf.DUMMYFUNCTION("""COMPUTED_VALUE"""),"Uncle Sams Cider (5/13/2022)")</f>
        <v>Uncle Sams Cider (5/13/2022)</v>
      </c>
      <c r="H4546" s="19"/>
    </row>
    <row r="4547">
      <c r="A4547" s="9"/>
      <c r="B4547" s="15"/>
      <c r="C4547" s="9">
        <f>IFERROR(__xludf.DUMMYFUNCTION("""COMPUTED_VALUE"""),44749.2214294907)</f>
        <v>44749.22143</v>
      </c>
      <c r="D4547" s="15">
        <f>IFERROR(__xludf.DUMMYFUNCTION("""COMPUTED_VALUE"""),1.004)</f>
        <v>1.004</v>
      </c>
      <c r="E4547" s="16">
        <f>IFERROR(__xludf.DUMMYFUNCTION("""COMPUTED_VALUE"""),69.0)</f>
        <v>69</v>
      </c>
      <c r="F4547" s="19" t="str">
        <f>IFERROR(__xludf.DUMMYFUNCTION("""COMPUTED_VALUE"""),"BLACK")</f>
        <v>BLACK</v>
      </c>
      <c r="G4547" s="20" t="str">
        <f>IFERROR(__xludf.DUMMYFUNCTION("""COMPUTED_VALUE"""),"Uncle Sams Cider (5/13/2022)")</f>
        <v>Uncle Sams Cider (5/13/2022)</v>
      </c>
      <c r="H4547" s="19"/>
    </row>
    <row r="4548">
      <c r="A4548" s="9"/>
      <c r="B4548" s="15"/>
      <c r="C4548" s="9">
        <f>IFERROR(__xludf.DUMMYFUNCTION("""COMPUTED_VALUE"""),44749.2110084027)</f>
        <v>44749.21101</v>
      </c>
      <c r="D4548" s="15">
        <f>IFERROR(__xludf.DUMMYFUNCTION("""COMPUTED_VALUE"""),1.004)</f>
        <v>1.004</v>
      </c>
      <c r="E4548" s="16">
        <f>IFERROR(__xludf.DUMMYFUNCTION("""COMPUTED_VALUE"""),69.0)</f>
        <v>69</v>
      </c>
      <c r="F4548" s="19" t="str">
        <f>IFERROR(__xludf.DUMMYFUNCTION("""COMPUTED_VALUE"""),"BLACK")</f>
        <v>BLACK</v>
      </c>
      <c r="G4548" s="20" t="str">
        <f>IFERROR(__xludf.DUMMYFUNCTION("""COMPUTED_VALUE"""),"Uncle Sams Cider (5/13/2022)")</f>
        <v>Uncle Sams Cider (5/13/2022)</v>
      </c>
      <c r="H4548" s="19"/>
    </row>
    <row r="4549">
      <c r="A4549" s="9"/>
      <c r="B4549" s="15"/>
      <c r="C4549" s="9">
        <f>IFERROR(__xludf.DUMMYFUNCTION("""COMPUTED_VALUE"""),44749.2005867824)</f>
        <v>44749.20059</v>
      </c>
      <c r="D4549" s="15">
        <f>IFERROR(__xludf.DUMMYFUNCTION("""COMPUTED_VALUE"""),1.004)</f>
        <v>1.004</v>
      </c>
      <c r="E4549" s="16">
        <f>IFERROR(__xludf.DUMMYFUNCTION("""COMPUTED_VALUE"""),69.0)</f>
        <v>69</v>
      </c>
      <c r="F4549" s="19" t="str">
        <f>IFERROR(__xludf.DUMMYFUNCTION("""COMPUTED_VALUE"""),"BLACK")</f>
        <v>BLACK</v>
      </c>
      <c r="G4549" s="20" t="str">
        <f>IFERROR(__xludf.DUMMYFUNCTION("""COMPUTED_VALUE"""),"Uncle Sams Cider (5/13/2022)")</f>
        <v>Uncle Sams Cider (5/13/2022)</v>
      </c>
      <c r="H4549" s="19"/>
    </row>
    <row r="4550">
      <c r="A4550" s="9"/>
      <c r="B4550" s="15"/>
      <c r="C4550" s="9">
        <f>IFERROR(__xludf.DUMMYFUNCTION("""COMPUTED_VALUE"""),44749.1901676736)</f>
        <v>44749.19017</v>
      </c>
      <c r="D4550" s="15">
        <f>IFERROR(__xludf.DUMMYFUNCTION("""COMPUTED_VALUE"""),1.004)</f>
        <v>1.004</v>
      </c>
      <c r="E4550" s="16">
        <f>IFERROR(__xludf.DUMMYFUNCTION("""COMPUTED_VALUE"""),69.0)</f>
        <v>69</v>
      </c>
      <c r="F4550" s="19" t="str">
        <f>IFERROR(__xludf.DUMMYFUNCTION("""COMPUTED_VALUE"""),"BLACK")</f>
        <v>BLACK</v>
      </c>
      <c r="G4550" s="20" t="str">
        <f>IFERROR(__xludf.DUMMYFUNCTION("""COMPUTED_VALUE"""),"Uncle Sams Cider (5/13/2022)")</f>
        <v>Uncle Sams Cider (5/13/2022)</v>
      </c>
      <c r="H4550" s="19"/>
    </row>
    <row r="4551">
      <c r="A4551" s="9"/>
      <c r="B4551" s="15"/>
      <c r="C4551" s="9">
        <f>IFERROR(__xludf.DUMMYFUNCTION("""COMPUTED_VALUE"""),44749.1797457986)</f>
        <v>44749.17975</v>
      </c>
      <c r="D4551" s="15">
        <f>IFERROR(__xludf.DUMMYFUNCTION("""COMPUTED_VALUE"""),1.004)</f>
        <v>1.004</v>
      </c>
      <c r="E4551" s="16">
        <f>IFERROR(__xludf.DUMMYFUNCTION("""COMPUTED_VALUE"""),69.0)</f>
        <v>69</v>
      </c>
      <c r="F4551" s="19" t="str">
        <f>IFERROR(__xludf.DUMMYFUNCTION("""COMPUTED_VALUE"""),"BLACK")</f>
        <v>BLACK</v>
      </c>
      <c r="G4551" s="20" t="str">
        <f>IFERROR(__xludf.DUMMYFUNCTION("""COMPUTED_VALUE"""),"Uncle Sams Cider (5/13/2022)")</f>
        <v>Uncle Sams Cider (5/13/2022)</v>
      </c>
      <c r="H4551" s="19"/>
    </row>
    <row r="4552">
      <c r="A4552" s="9"/>
      <c r="B4552" s="15"/>
      <c r="C4552" s="9">
        <f>IFERROR(__xludf.DUMMYFUNCTION("""COMPUTED_VALUE"""),44749.1693235995)</f>
        <v>44749.16932</v>
      </c>
      <c r="D4552" s="15">
        <f>IFERROR(__xludf.DUMMYFUNCTION("""COMPUTED_VALUE"""),1.004)</f>
        <v>1.004</v>
      </c>
      <c r="E4552" s="16">
        <f>IFERROR(__xludf.DUMMYFUNCTION("""COMPUTED_VALUE"""),69.0)</f>
        <v>69</v>
      </c>
      <c r="F4552" s="19" t="str">
        <f>IFERROR(__xludf.DUMMYFUNCTION("""COMPUTED_VALUE"""),"BLACK")</f>
        <v>BLACK</v>
      </c>
      <c r="G4552" s="20" t="str">
        <f>IFERROR(__xludf.DUMMYFUNCTION("""COMPUTED_VALUE"""),"Uncle Sams Cider (5/13/2022)")</f>
        <v>Uncle Sams Cider (5/13/2022)</v>
      </c>
      <c r="H4552" s="19"/>
    </row>
    <row r="4553">
      <c r="A4553" s="9"/>
      <c r="B4553" s="15"/>
      <c r="C4553" s="9">
        <f>IFERROR(__xludf.DUMMYFUNCTION("""COMPUTED_VALUE"""),44749.1588908217)</f>
        <v>44749.15889</v>
      </c>
      <c r="D4553" s="15">
        <f>IFERROR(__xludf.DUMMYFUNCTION("""COMPUTED_VALUE"""),1.005)</f>
        <v>1.005</v>
      </c>
      <c r="E4553" s="16">
        <f>IFERROR(__xludf.DUMMYFUNCTION("""COMPUTED_VALUE"""),69.0)</f>
        <v>69</v>
      </c>
      <c r="F4553" s="19" t="str">
        <f>IFERROR(__xludf.DUMMYFUNCTION("""COMPUTED_VALUE"""),"BLACK")</f>
        <v>BLACK</v>
      </c>
      <c r="G4553" s="20" t="str">
        <f>IFERROR(__xludf.DUMMYFUNCTION("""COMPUTED_VALUE"""),"Uncle Sams Cider (5/13/2022)")</f>
        <v>Uncle Sams Cider (5/13/2022)</v>
      </c>
      <c r="H4553" s="19"/>
    </row>
    <row r="4554">
      <c r="A4554" s="9"/>
      <c r="B4554" s="15"/>
      <c r="C4554" s="9">
        <f>IFERROR(__xludf.DUMMYFUNCTION("""COMPUTED_VALUE"""),44749.1484703588)</f>
        <v>44749.14847</v>
      </c>
      <c r="D4554" s="15">
        <f>IFERROR(__xludf.DUMMYFUNCTION("""COMPUTED_VALUE"""),1.004)</f>
        <v>1.004</v>
      </c>
      <c r="E4554" s="16">
        <f>IFERROR(__xludf.DUMMYFUNCTION("""COMPUTED_VALUE"""),69.0)</f>
        <v>69</v>
      </c>
      <c r="F4554" s="19" t="str">
        <f>IFERROR(__xludf.DUMMYFUNCTION("""COMPUTED_VALUE"""),"BLACK")</f>
        <v>BLACK</v>
      </c>
      <c r="G4554" s="20" t="str">
        <f>IFERROR(__xludf.DUMMYFUNCTION("""COMPUTED_VALUE"""),"Uncle Sams Cider (5/13/2022)")</f>
        <v>Uncle Sams Cider (5/13/2022)</v>
      </c>
      <c r="H4554" s="19"/>
    </row>
    <row r="4555">
      <c r="A4555" s="9"/>
      <c r="B4555" s="15"/>
      <c r="C4555" s="9">
        <f>IFERROR(__xludf.DUMMYFUNCTION("""COMPUTED_VALUE"""),44749.1380514004)</f>
        <v>44749.13805</v>
      </c>
      <c r="D4555" s="15">
        <f>IFERROR(__xludf.DUMMYFUNCTION("""COMPUTED_VALUE"""),1.004)</f>
        <v>1.004</v>
      </c>
      <c r="E4555" s="16">
        <f>IFERROR(__xludf.DUMMYFUNCTION("""COMPUTED_VALUE"""),69.0)</f>
        <v>69</v>
      </c>
      <c r="F4555" s="19" t="str">
        <f>IFERROR(__xludf.DUMMYFUNCTION("""COMPUTED_VALUE"""),"BLACK")</f>
        <v>BLACK</v>
      </c>
      <c r="G4555" s="20" t="str">
        <f>IFERROR(__xludf.DUMMYFUNCTION("""COMPUTED_VALUE"""),"Uncle Sams Cider (5/13/2022)")</f>
        <v>Uncle Sams Cider (5/13/2022)</v>
      </c>
      <c r="H4555" s="19"/>
    </row>
    <row r="4556">
      <c r="A4556" s="9"/>
      <c r="B4556" s="15"/>
      <c r="C4556" s="9">
        <f>IFERROR(__xludf.DUMMYFUNCTION("""COMPUTED_VALUE"""),44749.1276296064)</f>
        <v>44749.12763</v>
      </c>
      <c r="D4556" s="15">
        <f>IFERROR(__xludf.DUMMYFUNCTION("""COMPUTED_VALUE"""),1.004)</f>
        <v>1.004</v>
      </c>
      <c r="E4556" s="16">
        <f>IFERROR(__xludf.DUMMYFUNCTION("""COMPUTED_VALUE"""),69.0)</f>
        <v>69</v>
      </c>
      <c r="F4556" s="19" t="str">
        <f>IFERROR(__xludf.DUMMYFUNCTION("""COMPUTED_VALUE"""),"BLACK")</f>
        <v>BLACK</v>
      </c>
      <c r="G4556" s="20" t="str">
        <f>IFERROR(__xludf.DUMMYFUNCTION("""COMPUTED_VALUE"""),"Uncle Sams Cider (5/13/2022)")</f>
        <v>Uncle Sams Cider (5/13/2022)</v>
      </c>
      <c r="H4556" s="19"/>
    </row>
    <row r="4557">
      <c r="A4557" s="9"/>
      <c r="B4557" s="15"/>
      <c r="C4557" s="9">
        <f>IFERROR(__xludf.DUMMYFUNCTION("""COMPUTED_VALUE"""),44749.117198206)</f>
        <v>44749.1172</v>
      </c>
      <c r="D4557" s="15">
        <f>IFERROR(__xludf.DUMMYFUNCTION("""COMPUTED_VALUE"""),1.004)</f>
        <v>1.004</v>
      </c>
      <c r="E4557" s="16">
        <f>IFERROR(__xludf.DUMMYFUNCTION("""COMPUTED_VALUE"""),69.0)</f>
        <v>69</v>
      </c>
      <c r="F4557" s="19" t="str">
        <f>IFERROR(__xludf.DUMMYFUNCTION("""COMPUTED_VALUE"""),"BLACK")</f>
        <v>BLACK</v>
      </c>
      <c r="G4557" s="20" t="str">
        <f>IFERROR(__xludf.DUMMYFUNCTION("""COMPUTED_VALUE"""),"Uncle Sams Cider (5/13/2022)")</f>
        <v>Uncle Sams Cider (5/13/2022)</v>
      </c>
      <c r="H4557" s="19"/>
    </row>
    <row r="4558">
      <c r="A4558" s="9"/>
      <c r="B4558" s="15"/>
      <c r="C4558" s="9">
        <f>IFERROR(__xludf.DUMMYFUNCTION("""COMPUTED_VALUE"""),44749.1067766203)</f>
        <v>44749.10678</v>
      </c>
      <c r="D4558" s="15">
        <f>IFERROR(__xludf.DUMMYFUNCTION("""COMPUTED_VALUE"""),1.004)</f>
        <v>1.004</v>
      </c>
      <c r="E4558" s="16">
        <f>IFERROR(__xludf.DUMMYFUNCTION("""COMPUTED_VALUE"""),69.0)</f>
        <v>69</v>
      </c>
      <c r="F4558" s="19" t="str">
        <f>IFERROR(__xludf.DUMMYFUNCTION("""COMPUTED_VALUE"""),"BLACK")</f>
        <v>BLACK</v>
      </c>
      <c r="G4558" s="20" t="str">
        <f>IFERROR(__xludf.DUMMYFUNCTION("""COMPUTED_VALUE"""),"Uncle Sams Cider (5/13/2022)")</f>
        <v>Uncle Sams Cider (5/13/2022)</v>
      </c>
      <c r="H4558" s="19"/>
    </row>
    <row r="4559">
      <c r="A4559" s="9"/>
      <c r="B4559" s="15"/>
      <c r="C4559" s="9">
        <f>IFERROR(__xludf.DUMMYFUNCTION("""COMPUTED_VALUE"""),44749.0963435069)</f>
        <v>44749.09634</v>
      </c>
      <c r="D4559" s="15">
        <f>IFERROR(__xludf.DUMMYFUNCTION("""COMPUTED_VALUE"""),1.005)</f>
        <v>1.005</v>
      </c>
      <c r="E4559" s="16">
        <f>IFERROR(__xludf.DUMMYFUNCTION("""COMPUTED_VALUE"""),69.0)</f>
        <v>69</v>
      </c>
      <c r="F4559" s="19" t="str">
        <f>IFERROR(__xludf.DUMMYFUNCTION("""COMPUTED_VALUE"""),"BLACK")</f>
        <v>BLACK</v>
      </c>
      <c r="G4559" s="20" t="str">
        <f>IFERROR(__xludf.DUMMYFUNCTION("""COMPUTED_VALUE"""),"Uncle Sams Cider (5/13/2022)")</f>
        <v>Uncle Sams Cider (5/13/2022)</v>
      </c>
      <c r="H4559" s="19"/>
    </row>
    <row r="4560">
      <c r="A4560" s="9"/>
      <c r="B4560" s="15"/>
      <c r="C4560" s="9">
        <f>IFERROR(__xludf.DUMMYFUNCTION("""COMPUTED_VALUE"""),44749.0859231944)</f>
        <v>44749.08592</v>
      </c>
      <c r="D4560" s="15">
        <f>IFERROR(__xludf.DUMMYFUNCTION("""COMPUTED_VALUE"""),1.004)</f>
        <v>1.004</v>
      </c>
      <c r="E4560" s="16">
        <f>IFERROR(__xludf.DUMMYFUNCTION("""COMPUTED_VALUE"""),69.0)</f>
        <v>69</v>
      </c>
      <c r="F4560" s="19" t="str">
        <f>IFERROR(__xludf.DUMMYFUNCTION("""COMPUTED_VALUE"""),"BLACK")</f>
        <v>BLACK</v>
      </c>
      <c r="G4560" s="20" t="str">
        <f>IFERROR(__xludf.DUMMYFUNCTION("""COMPUTED_VALUE"""),"Uncle Sams Cider (5/13/2022)")</f>
        <v>Uncle Sams Cider (5/13/2022)</v>
      </c>
      <c r="H4560" s="19"/>
    </row>
    <row r="4561">
      <c r="A4561" s="9"/>
      <c r="B4561" s="15"/>
      <c r="C4561" s="9">
        <f>IFERROR(__xludf.DUMMYFUNCTION("""COMPUTED_VALUE"""),44749.0755006481)</f>
        <v>44749.0755</v>
      </c>
      <c r="D4561" s="15">
        <f>IFERROR(__xludf.DUMMYFUNCTION("""COMPUTED_VALUE"""),1.004)</f>
        <v>1.004</v>
      </c>
      <c r="E4561" s="16">
        <f>IFERROR(__xludf.DUMMYFUNCTION("""COMPUTED_VALUE"""),68.0)</f>
        <v>68</v>
      </c>
      <c r="F4561" s="19" t="str">
        <f>IFERROR(__xludf.DUMMYFUNCTION("""COMPUTED_VALUE"""),"BLACK")</f>
        <v>BLACK</v>
      </c>
      <c r="G4561" s="20" t="str">
        <f>IFERROR(__xludf.DUMMYFUNCTION("""COMPUTED_VALUE"""),"Uncle Sams Cider (5/13/2022)")</f>
        <v>Uncle Sams Cider (5/13/2022)</v>
      </c>
      <c r="H4561" s="19"/>
    </row>
    <row r="4562">
      <c r="A4562" s="9"/>
      <c r="B4562" s="15"/>
      <c r="C4562" s="9">
        <f>IFERROR(__xludf.DUMMYFUNCTION("""COMPUTED_VALUE"""),44749.0650790972)</f>
        <v>44749.06508</v>
      </c>
      <c r="D4562" s="15">
        <f>IFERROR(__xludf.DUMMYFUNCTION("""COMPUTED_VALUE"""),1.004)</f>
        <v>1.004</v>
      </c>
      <c r="E4562" s="16">
        <f>IFERROR(__xludf.DUMMYFUNCTION("""COMPUTED_VALUE"""),68.0)</f>
        <v>68</v>
      </c>
      <c r="F4562" s="19" t="str">
        <f>IFERROR(__xludf.DUMMYFUNCTION("""COMPUTED_VALUE"""),"BLACK")</f>
        <v>BLACK</v>
      </c>
      <c r="G4562" s="20" t="str">
        <f>IFERROR(__xludf.DUMMYFUNCTION("""COMPUTED_VALUE"""),"Uncle Sams Cider (5/13/2022)")</f>
        <v>Uncle Sams Cider (5/13/2022)</v>
      </c>
      <c r="H4562" s="19"/>
    </row>
    <row r="4563">
      <c r="A4563" s="9"/>
      <c r="B4563" s="15"/>
      <c r="C4563" s="9">
        <f>IFERROR(__xludf.DUMMYFUNCTION("""COMPUTED_VALUE"""),44749.0546575694)</f>
        <v>44749.05466</v>
      </c>
      <c r="D4563" s="15">
        <f>IFERROR(__xludf.DUMMYFUNCTION("""COMPUTED_VALUE"""),1.004)</f>
        <v>1.004</v>
      </c>
      <c r="E4563" s="16">
        <f>IFERROR(__xludf.DUMMYFUNCTION("""COMPUTED_VALUE"""),69.0)</f>
        <v>69</v>
      </c>
      <c r="F4563" s="19" t="str">
        <f>IFERROR(__xludf.DUMMYFUNCTION("""COMPUTED_VALUE"""),"BLACK")</f>
        <v>BLACK</v>
      </c>
      <c r="G4563" s="20" t="str">
        <f>IFERROR(__xludf.DUMMYFUNCTION("""COMPUTED_VALUE"""),"Uncle Sams Cider (5/13/2022)")</f>
        <v>Uncle Sams Cider (5/13/2022)</v>
      </c>
      <c r="H4563" s="19"/>
    </row>
    <row r="4564">
      <c r="A4564" s="9"/>
      <c r="B4564" s="15"/>
      <c r="C4564" s="9">
        <f>IFERROR(__xludf.DUMMYFUNCTION("""COMPUTED_VALUE"""),44749.0442372222)</f>
        <v>44749.04424</v>
      </c>
      <c r="D4564" s="15">
        <f>IFERROR(__xludf.DUMMYFUNCTION("""COMPUTED_VALUE"""),1.004)</f>
        <v>1.004</v>
      </c>
      <c r="E4564" s="16">
        <f>IFERROR(__xludf.DUMMYFUNCTION("""COMPUTED_VALUE"""),68.0)</f>
        <v>68</v>
      </c>
      <c r="F4564" s="19" t="str">
        <f>IFERROR(__xludf.DUMMYFUNCTION("""COMPUTED_VALUE"""),"BLACK")</f>
        <v>BLACK</v>
      </c>
      <c r="G4564" s="20" t="str">
        <f>IFERROR(__xludf.DUMMYFUNCTION("""COMPUTED_VALUE"""),"Uncle Sams Cider (5/13/2022)")</f>
        <v>Uncle Sams Cider (5/13/2022)</v>
      </c>
      <c r="H4564" s="19"/>
    </row>
    <row r="4565">
      <c r="A4565" s="9"/>
      <c r="B4565" s="15"/>
      <c r="C4565" s="9">
        <f>IFERROR(__xludf.DUMMYFUNCTION("""COMPUTED_VALUE"""),44749.0338178125)</f>
        <v>44749.03382</v>
      </c>
      <c r="D4565" s="15">
        <f>IFERROR(__xludf.DUMMYFUNCTION("""COMPUTED_VALUE"""),1.005)</f>
        <v>1.005</v>
      </c>
      <c r="E4565" s="16">
        <f>IFERROR(__xludf.DUMMYFUNCTION("""COMPUTED_VALUE"""),68.0)</f>
        <v>68</v>
      </c>
      <c r="F4565" s="19" t="str">
        <f>IFERROR(__xludf.DUMMYFUNCTION("""COMPUTED_VALUE"""),"BLACK")</f>
        <v>BLACK</v>
      </c>
      <c r="G4565" s="20" t="str">
        <f>IFERROR(__xludf.DUMMYFUNCTION("""COMPUTED_VALUE"""),"Uncle Sams Cider (5/13/2022)")</f>
        <v>Uncle Sams Cider (5/13/2022)</v>
      </c>
      <c r="H4565" s="19"/>
    </row>
    <row r="4566">
      <c r="A4566" s="9"/>
      <c r="B4566" s="15"/>
      <c r="C4566" s="9">
        <f>IFERROR(__xludf.DUMMYFUNCTION("""COMPUTED_VALUE"""),44749.0233974074)</f>
        <v>44749.0234</v>
      </c>
      <c r="D4566" s="15">
        <f>IFERROR(__xludf.DUMMYFUNCTION("""COMPUTED_VALUE"""),1.004)</f>
        <v>1.004</v>
      </c>
      <c r="E4566" s="16">
        <f>IFERROR(__xludf.DUMMYFUNCTION("""COMPUTED_VALUE"""),68.0)</f>
        <v>68</v>
      </c>
      <c r="F4566" s="19" t="str">
        <f>IFERROR(__xludf.DUMMYFUNCTION("""COMPUTED_VALUE"""),"BLACK")</f>
        <v>BLACK</v>
      </c>
      <c r="G4566" s="20" t="str">
        <f>IFERROR(__xludf.DUMMYFUNCTION("""COMPUTED_VALUE"""),"Uncle Sams Cider (5/13/2022)")</f>
        <v>Uncle Sams Cider (5/13/2022)</v>
      </c>
      <c r="H4566" s="19"/>
    </row>
    <row r="4567">
      <c r="A4567" s="9"/>
      <c r="B4567" s="15"/>
      <c r="C4567" s="9">
        <f>IFERROR(__xludf.DUMMYFUNCTION("""COMPUTED_VALUE"""),44749.0129767129)</f>
        <v>44749.01298</v>
      </c>
      <c r="D4567" s="15">
        <f>IFERROR(__xludf.DUMMYFUNCTION("""COMPUTED_VALUE"""),1.004)</f>
        <v>1.004</v>
      </c>
      <c r="E4567" s="16">
        <f>IFERROR(__xludf.DUMMYFUNCTION("""COMPUTED_VALUE"""),68.0)</f>
        <v>68</v>
      </c>
      <c r="F4567" s="19" t="str">
        <f>IFERROR(__xludf.DUMMYFUNCTION("""COMPUTED_VALUE"""),"BLACK")</f>
        <v>BLACK</v>
      </c>
      <c r="G4567" s="20" t="str">
        <f>IFERROR(__xludf.DUMMYFUNCTION("""COMPUTED_VALUE"""),"Uncle Sams Cider (5/13/2022)")</f>
        <v>Uncle Sams Cider (5/13/2022)</v>
      </c>
      <c r="H4567" s="19"/>
    </row>
    <row r="4568">
      <c r="A4568" s="9"/>
      <c r="B4568" s="15"/>
      <c r="C4568" s="9">
        <f>IFERROR(__xludf.DUMMYFUNCTION("""COMPUTED_VALUE"""),44749.0025546759)</f>
        <v>44749.00255</v>
      </c>
      <c r="D4568" s="15">
        <f>IFERROR(__xludf.DUMMYFUNCTION("""COMPUTED_VALUE"""),1.004)</f>
        <v>1.004</v>
      </c>
      <c r="E4568" s="16">
        <f>IFERROR(__xludf.DUMMYFUNCTION("""COMPUTED_VALUE"""),68.0)</f>
        <v>68</v>
      </c>
      <c r="F4568" s="19" t="str">
        <f>IFERROR(__xludf.DUMMYFUNCTION("""COMPUTED_VALUE"""),"BLACK")</f>
        <v>BLACK</v>
      </c>
      <c r="G4568" s="20" t="str">
        <f>IFERROR(__xludf.DUMMYFUNCTION("""COMPUTED_VALUE"""),"Uncle Sams Cider (5/13/2022)")</f>
        <v>Uncle Sams Cider (5/13/2022)</v>
      </c>
      <c r="H4568" s="19"/>
    </row>
    <row r="4569">
      <c r="A4569" s="9"/>
      <c r="B4569" s="15"/>
      <c r="C4569" s="9">
        <f>IFERROR(__xludf.DUMMYFUNCTION("""COMPUTED_VALUE"""),44748.9921086689)</f>
        <v>44748.99211</v>
      </c>
      <c r="D4569" s="15">
        <f>IFERROR(__xludf.DUMMYFUNCTION("""COMPUTED_VALUE"""),1.004)</f>
        <v>1.004</v>
      </c>
      <c r="E4569" s="16">
        <f>IFERROR(__xludf.DUMMYFUNCTION("""COMPUTED_VALUE"""),68.0)</f>
        <v>68</v>
      </c>
      <c r="F4569" s="19" t="str">
        <f>IFERROR(__xludf.DUMMYFUNCTION("""COMPUTED_VALUE"""),"BLACK")</f>
        <v>BLACK</v>
      </c>
      <c r="G4569" s="20" t="str">
        <f>IFERROR(__xludf.DUMMYFUNCTION("""COMPUTED_VALUE"""),"Uncle Sams Cider (5/13/2022)")</f>
        <v>Uncle Sams Cider (5/13/2022)</v>
      </c>
      <c r="H4569" s="19"/>
    </row>
    <row r="4570">
      <c r="A4570" s="9"/>
      <c r="B4570" s="15"/>
      <c r="C4570" s="9">
        <f>IFERROR(__xludf.DUMMYFUNCTION("""COMPUTED_VALUE"""),44748.9816885416)</f>
        <v>44748.98169</v>
      </c>
      <c r="D4570" s="15">
        <f>IFERROR(__xludf.DUMMYFUNCTION("""COMPUTED_VALUE"""),1.004)</f>
        <v>1.004</v>
      </c>
      <c r="E4570" s="16">
        <f>IFERROR(__xludf.DUMMYFUNCTION("""COMPUTED_VALUE"""),68.0)</f>
        <v>68</v>
      </c>
      <c r="F4570" s="19" t="str">
        <f>IFERROR(__xludf.DUMMYFUNCTION("""COMPUTED_VALUE"""),"BLACK")</f>
        <v>BLACK</v>
      </c>
      <c r="G4570" s="20" t="str">
        <f>IFERROR(__xludf.DUMMYFUNCTION("""COMPUTED_VALUE"""),"Uncle Sams Cider (5/13/2022)")</f>
        <v>Uncle Sams Cider (5/13/2022)</v>
      </c>
      <c r="H4570" s="19"/>
    </row>
    <row r="4571">
      <c r="A4571" s="9"/>
      <c r="B4571" s="15"/>
      <c r="C4571" s="9">
        <f>IFERROR(__xludf.DUMMYFUNCTION("""COMPUTED_VALUE"""),44748.9712675463)</f>
        <v>44748.97127</v>
      </c>
      <c r="D4571" s="15">
        <f>IFERROR(__xludf.DUMMYFUNCTION("""COMPUTED_VALUE"""),1.004)</f>
        <v>1.004</v>
      </c>
      <c r="E4571" s="16">
        <f>IFERROR(__xludf.DUMMYFUNCTION("""COMPUTED_VALUE"""),68.0)</f>
        <v>68</v>
      </c>
      <c r="F4571" s="19" t="str">
        <f>IFERROR(__xludf.DUMMYFUNCTION("""COMPUTED_VALUE"""),"BLACK")</f>
        <v>BLACK</v>
      </c>
      <c r="G4571" s="20" t="str">
        <f>IFERROR(__xludf.DUMMYFUNCTION("""COMPUTED_VALUE"""),"Uncle Sams Cider (5/13/2022)")</f>
        <v>Uncle Sams Cider (5/13/2022)</v>
      </c>
      <c r="H4571" s="19"/>
    </row>
    <row r="4572">
      <c r="A4572" s="9"/>
      <c r="B4572" s="15"/>
      <c r="C4572" s="9">
        <f>IFERROR(__xludf.DUMMYFUNCTION("""COMPUTED_VALUE"""),44748.9608347916)</f>
        <v>44748.96083</v>
      </c>
      <c r="D4572" s="15">
        <f>IFERROR(__xludf.DUMMYFUNCTION("""COMPUTED_VALUE"""),1.004)</f>
        <v>1.004</v>
      </c>
      <c r="E4572" s="16">
        <f>IFERROR(__xludf.DUMMYFUNCTION("""COMPUTED_VALUE"""),68.0)</f>
        <v>68</v>
      </c>
      <c r="F4572" s="19" t="str">
        <f>IFERROR(__xludf.DUMMYFUNCTION("""COMPUTED_VALUE"""),"BLACK")</f>
        <v>BLACK</v>
      </c>
      <c r="G4572" s="20" t="str">
        <f>IFERROR(__xludf.DUMMYFUNCTION("""COMPUTED_VALUE"""),"Uncle Sams Cider (5/13/2022)")</f>
        <v>Uncle Sams Cider (5/13/2022)</v>
      </c>
      <c r="H4572" s="19"/>
    </row>
    <row r="4573">
      <c r="A4573" s="9"/>
      <c r="B4573" s="15"/>
      <c r="C4573" s="9">
        <f>IFERROR(__xludf.DUMMYFUNCTION("""COMPUTED_VALUE"""),44748.9504143171)</f>
        <v>44748.95041</v>
      </c>
      <c r="D4573" s="15">
        <f>IFERROR(__xludf.DUMMYFUNCTION("""COMPUTED_VALUE"""),1.004)</f>
        <v>1.004</v>
      </c>
      <c r="E4573" s="16">
        <f>IFERROR(__xludf.DUMMYFUNCTION("""COMPUTED_VALUE"""),68.0)</f>
        <v>68</v>
      </c>
      <c r="F4573" s="19" t="str">
        <f>IFERROR(__xludf.DUMMYFUNCTION("""COMPUTED_VALUE"""),"BLACK")</f>
        <v>BLACK</v>
      </c>
      <c r="G4573" s="20" t="str">
        <f>IFERROR(__xludf.DUMMYFUNCTION("""COMPUTED_VALUE"""),"Uncle Sams Cider (5/13/2022)")</f>
        <v>Uncle Sams Cider (5/13/2022)</v>
      </c>
      <c r="H4573" s="19"/>
    </row>
    <row r="4574">
      <c r="A4574" s="9"/>
      <c r="B4574" s="15"/>
      <c r="C4574" s="9">
        <f>IFERROR(__xludf.DUMMYFUNCTION("""COMPUTED_VALUE"""),44748.9399945023)</f>
        <v>44748.93999</v>
      </c>
      <c r="D4574" s="15">
        <f>IFERROR(__xludf.DUMMYFUNCTION("""COMPUTED_VALUE"""),1.004)</f>
        <v>1.004</v>
      </c>
      <c r="E4574" s="16">
        <f>IFERROR(__xludf.DUMMYFUNCTION("""COMPUTED_VALUE"""),68.0)</f>
        <v>68</v>
      </c>
      <c r="F4574" s="19" t="str">
        <f>IFERROR(__xludf.DUMMYFUNCTION("""COMPUTED_VALUE"""),"BLACK")</f>
        <v>BLACK</v>
      </c>
      <c r="G4574" s="20" t="str">
        <f>IFERROR(__xludf.DUMMYFUNCTION("""COMPUTED_VALUE"""),"Uncle Sams Cider (5/13/2022)")</f>
        <v>Uncle Sams Cider (5/13/2022)</v>
      </c>
      <c r="H4574" s="19"/>
    </row>
    <row r="4575">
      <c r="A4575" s="9"/>
      <c r="B4575" s="15"/>
      <c r="C4575" s="9">
        <f>IFERROR(__xludf.DUMMYFUNCTION("""COMPUTED_VALUE"""),44748.9295722222)</f>
        <v>44748.92957</v>
      </c>
      <c r="D4575" s="15">
        <f>IFERROR(__xludf.DUMMYFUNCTION("""COMPUTED_VALUE"""),1.004)</f>
        <v>1.004</v>
      </c>
      <c r="E4575" s="16">
        <f>IFERROR(__xludf.DUMMYFUNCTION("""COMPUTED_VALUE"""),68.0)</f>
        <v>68</v>
      </c>
      <c r="F4575" s="19" t="str">
        <f>IFERROR(__xludf.DUMMYFUNCTION("""COMPUTED_VALUE"""),"BLACK")</f>
        <v>BLACK</v>
      </c>
      <c r="G4575" s="20" t="str">
        <f>IFERROR(__xludf.DUMMYFUNCTION("""COMPUTED_VALUE"""),"Uncle Sams Cider (5/13/2022)")</f>
        <v>Uncle Sams Cider (5/13/2022)</v>
      </c>
      <c r="H4575" s="19"/>
    </row>
    <row r="4576">
      <c r="A4576" s="9"/>
      <c r="B4576" s="15"/>
      <c r="C4576" s="9">
        <f>IFERROR(__xludf.DUMMYFUNCTION("""COMPUTED_VALUE"""),44748.9191517245)</f>
        <v>44748.91915</v>
      </c>
      <c r="D4576" s="15">
        <f>IFERROR(__xludf.DUMMYFUNCTION("""COMPUTED_VALUE"""),1.004)</f>
        <v>1.004</v>
      </c>
      <c r="E4576" s="16">
        <f>IFERROR(__xludf.DUMMYFUNCTION("""COMPUTED_VALUE"""),68.0)</f>
        <v>68</v>
      </c>
      <c r="F4576" s="19" t="str">
        <f>IFERROR(__xludf.DUMMYFUNCTION("""COMPUTED_VALUE"""),"BLACK")</f>
        <v>BLACK</v>
      </c>
      <c r="G4576" s="20" t="str">
        <f>IFERROR(__xludf.DUMMYFUNCTION("""COMPUTED_VALUE"""),"Uncle Sams Cider (5/13/2022)")</f>
        <v>Uncle Sams Cider (5/13/2022)</v>
      </c>
      <c r="H4576" s="19"/>
    </row>
    <row r="4577">
      <c r="A4577" s="9"/>
      <c r="B4577" s="15"/>
      <c r="C4577" s="9">
        <f>IFERROR(__xludf.DUMMYFUNCTION("""COMPUTED_VALUE"""),44748.9087302546)</f>
        <v>44748.90873</v>
      </c>
      <c r="D4577" s="15">
        <f>IFERROR(__xludf.DUMMYFUNCTION("""COMPUTED_VALUE"""),1.004)</f>
        <v>1.004</v>
      </c>
      <c r="E4577" s="16">
        <f>IFERROR(__xludf.DUMMYFUNCTION("""COMPUTED_VALUE"""),68.0)</f>
        <v>68</v>
      </c>
      <c r="F4577" s="19" t="str">
        <f>IFERROR(__xludf.DUMMYFUNCTION("""COMPUTED_VALUE"""),"BLACK")</f>
        <v>BLACK</v>
      </c>
      <c r="G4577" s="20" t="str">
        <f>IFERROR(__xludf.DUMMYFUNCTION("""COMPUTED_VALUE"""),"Uncle Sams Cider (5/13/2022)")</f>
        <v>Uncle Sams Cider (5/13/2022)</v>
      </c>
      <c r="H4577" s="19"/>
    </row>
    <row r="4578">
      <c r="A4578" s="9"/>
      <c r="B4578" s="15"/>
      <c r="C4578" s="9">
        <f>IFERROR(__xludf.DUMMYFUNCTION("""COMPUTED_VALUE"""),44748.8983098263)</f>
        <v>44748.89831</v>
      </c>
      <c r="D4578" s="15">
        <f>IFERROR(__xludf.DUMMYFUNCTION("""COMPUTED_VALUE"""),1.004)</f>
        <v>1.004</v>
      </c>
      <c r="E4578" s="16">
        <f>IFERROR(__xludf.DUMMYFUNCTION("""COMPUTED_VALUE"""),68.0)</f>
        <v>68</v>
      </c>
      <c r="F4578" s="19" t="str">
        <f>IFERROR(__xludf.DUMMYFUNCTION("""COMPUTED_VALUE"""),"BLACK")</f>
        <v>BLACK</v>
      </c>
      <c r="G4578" s="20" t="str">
        <f>IFERROR(__xludf.DUMMYFUNCTION("""COMPUTED_VALUE"""),"Uncle Sams Cider (5/13/2022)")</f>
        <v>Uncle Sams Cider (5/13/2022)</v>
      </c>
      <c r="H4578" s="19"/>
    </row>
    <row r="4579">
      <c r="A4579" s="9"/>
      <c r="B4579" s="15"/>
      <c r="C4579" s="9">
        <f>IFERROR(__xludf.DUMMYFUNCTION("""COMPUTED_VALUE"""),44748.8878881481)</f>
        <v>44748.88789</v>
      </c>
      <c r="D4579" s="15">
        <f>IFERROR(__xludf.DUMMYFUNCTION("""COMPUTED_VALUE"""),1.004)</f>
        <v>1.004</v>
      </c>
      <c r="E4579" s="16">
        <f>IFERROR(__xludf.DUMMYFUNCTION("""COMPUTED_VALUE"""),68.0)</f>
        <v>68</v>
      </c>
      <c r="F4579" s="19" t="str">
        <f>IFERROR(__xludf.DUMMYFUNCTION("""COMPUTED_VALUE"""),"BLACK")</f>
        <v>BLACK</v>
      </c>
      <c r="G4579" s="20" t="str">
        <f>IFERROR(__xludf.DUMMYFUNCTION("""COMPUTED_VALUE"""),"Uncle Sams Cider (5/13/2022)")</f>
        <v>Uncle Sams Cider (5/13/2022)</v>
      </c>
      <c r="H4579" s="19"/>
    </row>
    <row r="4580">
      <c r="A4580" s="9"/>
      <c r="B4580" s="15"/>
      <c r="C4580" s="9">
        <f>IFERROR(__xludf.DUMMYFUNCTION("""COMPUTED_VALUE"""),44748.8774673379)</f>
        <v>44748.87747</v>
      </c>
      <c r="D4580" s="15">
        <f>IFERROR(__xludf.DUMMYFUNCTION("""COMPUTED_VALUE"""),1.004)</f>
        <v>1.004</v>
      </c>
      <c r="E4580" s="16">
        <f>IFERROR(__xludf.DUMMYFUNCTION("""COMPUTED_VALUE"""),68.0)</f>
        <v>68</v>
      </c>
      <c r="F4580" s="19" t="str">
        <f>IFERROR(__xludf.DUMMYFUNCTION("""COMPUTED_VALUE"""),"BLACK")</f>
        <v>BLACK</v>
      </c>
      <c r="G4580" s="20" t="str">
        <f>IFERROR(__xludf.DUMMYFUNCTION("""COMPUTED_VALUE"""),"Uncle Sams Cider (5/13/2022)")</f>
        <v>Uncle Sams Cider (5/13/2022)</v>
      </c>
      <c r="H4580" s="19"/>
    </row>
    <row r="4581">
      <c r="A4581" s="9"/>
      <c r="B4581" s="15"/>
      <c r="C4581" s="9">
        <f>IFERROR(__xludf.DUMMYFUNCTION("""COMPUTED_VALUE"""),44748.8670448958)</f>
        <v>44748.86704</v>
      </c>
      <c r="D4581" s="15">
        <f>IFERROR(__xludf.DUMMYFUNCTION("""COMPUTED_VALUE"""),1.004)</f>
        <v>1.004</v>
      </c>
      <c r="E4581" s="16">
        <f>IFERROR(__xludf.DUMMYFUNCTION("""COMPUTED_VALUE"""),68.0)</f>
        <v>68</v>
      </c>
      <c r="F4581" s="19" t="str">
        <f>IFERROR(__xludf.DUMMYFUNCTION("""COMPUTED_VALUE"""),"BLACK")</f>
        <v>BLACK</v>
      </c>
      <c r="G4581" s="20" t="str">
        <f>IFERROR(__xludf.DUMMYFUNCTION("""COMPUTED_VALUE"""),"Uncle Sams Cider (5/13/2022)")</f>
        <v>Uncle Sams Cider (5/13/2022)</v>
      </c>
      <c r="H4581" s="19"/>
    </row>
    <row r="4582">
      <c r="A4582" s="9"/>
      <c r="B4582" s="15"/>
      <c r="C4582" s="9">
        <f>IFERROR(__xludf.DUMMYFUNCTION("""COMPUTED_VALUE"""),44748.8566233217)</f>
        <v>44748.85662</v>
      </c>
      <c r="D4582" s="15">
        <f>IFERROR(__xludf.DUMMYFUNCTION("""COMPUTED_VALUE"""),1.004)</f>
        <v>1.004</v>
      </c>
      <c r="E4582" s="16">
        <f>IFERROR(__xludf.DUMMYFUNCTION("""COMPUTED_VALUE"""),68.0)</f>
        <v>68</v>
      </c>
      <c r="F4582" s="19" t="str">
        <f>IFERROR(__xludf.DUMMYFUNCTION("""COMPUTED_VALUE"""),"BLACK")</f>
        <v>BLACK</v>
      </c>
      <c r="G4582" s="20" t="str">
        <f>IFERROR(__xludf.DUMMYFUNCTION("""COMPUTED_VALUE"""),"Uncle Sams Cider (5/13/2022)")</f>
        <v>Uncle Sams Cider (5/13/2022)</v>
      </c>
      <c r="H4582" s="19"/>
    </row>
    <row r="4583">
      <c r="A4583" s="9"/>
      <c r="B4583" s="15"/>
      <c r="C4583" s="9">
        <f>IFERROR(__xludf.DUMMYFUNCTION("""COMPUTED_VALUE"""),44748.8462035185)</f>
        <v>44748.8462</v>
      </c>
      <c r="D4583" s="15">
        <f>IFERROR(__xludf.DUMMYFUNCTION("""COMPUTED_VALUE"""),1.004)</f>
        <v>1.004</v>
      </c>
      <c r="E4583" s="16">
        <f>IFERROR(__xludf.DUMMYFUNCTION("""COMPUTED_VALUE"""),68.0)</f>
        <v>68</v>
      </c>
      <c r="F4583" s="19" t="str">
        <f>IFERROR(__xludf.DUMMYFUNCTION("""COMPUTED_VALUE"""),"BLACK")</f>
        <v>BLACK</v>
      </c>
      <c r="G4583" s="20" t="str">
        <f>IFERROR(__xludf.DUMMYFUNCTION("""COMPUTED_VALUE"""),"Uncle Sams Cider (5/13/2022)")</f>
        <v>Uncle Sams Cider (5/13/2022)</v>
      </c>
      <c r="H4583" s="19"/>
    </row>
    <row r="4584">
      <c r="A4584" s="9"/>
      <c r="B4584" s="15"/>
      <c r="C4584" s="9">
        <f>IFERROR(__xludf.DUMMYFUNCTION("""COMPUTED_VALUE"""),44748.8357836689)</f>
        <v>44748.83578</v>
      </c>
      <c r="D4584" s="15">
        <f>IFERROR(__xludf.DUMMYFUNCTION("""COMPUTED_VALUE"""),1.004)</f>
        <v>1.004</v>
      </c>
      <c r="E4584" s="16">
        <f>IFERROR(__xludf.DUMMYFUNCTION("""COMPUTED_VALUE"""),68.0)</f>
        <v>68</v>
      </c>
      <c r="F4584" s="19" t="str">
        <f>IFERROR(__xludf.DUMMYFUNCTION("""COMPUTED_VALUE"""),"BLACK")</f>
        <v>BLACK</v>
      </c>
      <c r="G4584" s="20" t="str">
        <f>IFERROR(__xludf.DUMMYFUNCTION("""COMPUTED_VALUE"""),"Uncle Sams Cider (5/13/2022)")</f>
        <v>Uncle Sams Cider (5/13/2022)</v>
      </c>
      <c r="H4584" s="19"/>
    </row>
    <row r="4585">
      <c r="A4585" s="9"/>
      <c r="B4585" s="15"/>
      <c r="C4585" s="9">
        <f>IFERROR(__xludf.DUMMYFUNCTION("""COMPUTED_VALUE"""),44748.8253627893)</f>
        <v>44748.82536</v>
      </c>
      <c r="D4585" s="15">
        <f>IFERROR(__xludf.DUMMYFUNCTION("""COMPUTED_VALUE"""),1.004)</f>
        <v>1.004</v>
      </c>
      <c r="E4585" s="16">
        <f>IFERROR(__xludf.DUMMYFUNCTION("""COMPUTED_VALUE"""),68.0)</f>
        <v>68</v>
      </c>
      <c r="F4585" s="19" t="str">
        <f>IFERROR(__xludf.DUMMYFUNCTION("""COMPUTED_VALUE"""),"BLACK")</f>
        <v>BLACK</v>
      </c>
      <c r="G4585" s="20" t="str">
        <f>IFERROR(__xludf.DUMMYFUNCTION("""COMPUTED_VALUE"""),"Uncle Sams Cider (5/13/2022)")</f>
        <v>Uncle Sams Cider (5/13/2022)</v>
      </c>
      <c r="H4585" s="19"/>
    </row>
    <row r="4586">
      <c r="A4586" s="9"/>
      <c r="B4586" s="15"/>
      <c r="C4586" s="9">
        <f>IFERROR(__xludf.DUMMYFUNCTION("""COMPUTED_VALUE"""),44748.8149407407)</f>
        <v>44748.81494</v>
      </c>
      <c r="D4586" s="15">
        <f>IFERROR(__xludf.DUMMYFUNCTION("""COMPUTED_VALUE"""),1.005)</f>
        <v>1.005</v>
      </c>
      <c r="E4586" s="16">
        <f>IFERROR(__xludf.DUMMYFUNCTION("""COMPUTED_VALUE"""),68.0)</f>
        <v>68</v>
      </c>
      <c r="F4586" s="19" t="str">
        <f>IFERROR(__xludf.DUMMYFUNCTION("""COMPUTED_VALUE"""),"BLACK")</f>
        <v>BLACK</v>
      </c>
      <c r="G4586" s="20" t="str">
        <f>IFERROR(__xludf.DUMMYFUNCTION("""COMPUTED_VALUE"""),"Uncle Sams Cider (5/13/2022)")</f>
        <v>Uncle Sams Cider (5/13/2022)</v>
      </c>
      <c r="H4586" s="19"/>
    </row>
    <row r="4587">
      <c r="A4587" s="9"/>
      <c r="B4587" s="15"/>
      <c r="C4587" s="9">
        <f>IFERROR(__xludf.DUMMYFUNCTION("""COMPUTED_VALUE"""),44748.80451875)</f>
        <v>44748.80452</v>
      </c>
      <c r="D4587" s="15">
        <f>IFERROR(__xludf.DUMMYFUNCTION("""COMPUTED_VALUE"""),1.004)</f>
        <v>1.004</v>
      </c>
      <c r="E4587" s="16">
        <f>IFERROR(__xludf.DUMMYFUNCTION("""COMPUTED_VALUE"""),68.0)</f>
        <v>68</v>
      </c>
      <c r="F4587" s="19" t="str">
        <f>IFERROR(__xludf.DUMMYFUNCTION("""COMPUTED_VALUE"""),"BLACK")</f>
        <v>BLACK</v>
      </c>
      <c r="G4587" s="20" t="str">
        <f>IFERROR(__xludf.DUMMYFUNCTION("""COMPUTED_VALUE"""),"Uncle Sams Cider (5/13/2022)")</f>
        <v>Uncle Sams Cider (5/13/2022)</v>
      </c>
      <c r="H4587" s="19"/>
    </row>
    <row r="4588">
      <c r="A4588" s="9"/>
      <c r="B4588" s="15"/>
      <c r="C4588" s="9">
        <f>IFERROR(__xludf.DUMMYFUNCTION("""COMPUTED_VALUE"""),44748.7940868287)</f>
        <v>44748.79409</v>
      </c>
      <c r="D4588" s="15">
        <f>IFERROR(__xludf.DUMMYFUNCTION("""COMPUTED_VALUE"""),1.004)</f>
        <v>1.004</v>
      </c>
      <c r="E4588" s="16">
        <f>IFERROR(__xludf.DUMMYFUNCTION("""COMPUTED_VALUE"""),68.0)</f>
        <v>68</v>
      </c>
      <c r="F4588" s="19" t="str">
        <f>IFERROR(__xludf.DUMMYFUNCTION("""COMPUTED_VALUE"""),"BLACK")</f>
        <v>BLACK</v>
      </c>
      <c r="G4588" s="20" t="str">
        <f>IFERROR(__xludf.DUMMYFUNCTION("""COMPUTED_VALUE"""),"Uncle Sams Cider (5/13/2022)")</f>
        <v>Uncle Sams Cider (5/13/2022)</v>
      </c>
      <c r="H4588" s="19"/>
    </row>
    <row r="4589">
      <c r="A4589" s="9"/>
      <c r="B4589" s="15"/>
      <c r="C4589" s="9">
        <f>IFERROR(__xludf.DUMMYFUNCTION("""COMPUTED_VALUE"""),44748.7836434143)</f>
        <v>44748.78364</v>
      </c>
      <c r="D4589" s="15">
        <f>IFERROR(__xludf.DUMMYFUNCTION("""COMPUTED_VALUE"""),1.004)</f>
        <v>1.004</v>
      </c>
      <c r="E4589" s="16">
        <f>IFERROR(__xludf.DUMMYFUNCTION("""COMPUTED_VALUE"""),68.0)</f>
        <v>68</v>
      </c>
      <c r="F4589" s="19" t="str">
        <f>IFERROR(__xludf.DUMMYFUNCTION("""COMPUTED_VALUE"""),"BLACK")</f>
        <v>BLACK</v>
      </c>
      <c r="G4589" s="20" t="str">
        <f>IFERROR(__xludf.DUMMYFUNCTION("""COMPUTED_VALUE"""),"Uncle Sams Cider (5/13/2022)")</f>
        <v>Uncle Sams Cider (5/13/2022)</v>
      </c>
      <c r="H4589" s="19"/>
    </row>
    <row r="4590">
      <c r="A4590" s="9"/>
      <c r="B4590" s="15"/>
      <c r="C4590" s="9">
        <f>IFERROR(__xludf.DUMMYFUNCTION("""COMPUTED_VALUE"""),44748.7732229976)</f>
        <v>44748.77322</v>
      </c>
      <c r="D4590" s="15">
        <f>IFERROR(__xludf.DUMMYFUNCTION("""COMPUTED_VALUE"""),1.004)</f>
        <v>1.004</v>
      </c>
      <c r="E4590" s="16">
        <f>IFERROR(__xludf.DUMMYFUNCTION("""COMPUTED_VALUE"""),68.0)</f>
        <v>68</v>
      </c>
      <c r="F4590" s="19" t="str">
        <f>IFERROR(__xludf.DUMMYFUNCTION("""COMPUTED_VALUE"""),"BLACK")</f>
        <v>BLACK</v>
      </c>
      <c r="G4590" s="20" t="str">
        <f>IFERROR(__xludf.DUMMYFUNCTION("""COMPUTED_VALUE"""),"Uncle Sams Cider (5/13/2022)")</f>
        <v>Uncle Sams Cider (5/13/2022)</v>
      </c>
      <c r="H4590" s="19"/>
    </row>
    <row r="4591">
      <c r="A4591" s="9"/>
      <c r="B4591" s="15"/>
      <c r="C4591" s="9">
        <f>IFERROR(__xludf.DUMMYFUNCTION("""COMPUTED_VALUE"""),44748.762790625)</f>
        <v>44748.76279</v>
      </c>
      <c r="D4591" s="15">
        <f>IFERROR(__xludf.DUMMYFUNCTION("""COMPUTED_VALUE"""),1.004)</f>
        <v>1.004</v>
      </c>
      <c r="E4591" s="16">
        <f>IFERROR(__xludf.DUMMYFUNCTION("""COMPUTED_VALUE"""),68.0)</f>
        <v>68</v>
      </c>
      <c r="F4591" s="19" t="str">
        <f>IFERROR(__xludf.DUMMYFUNCTION("""COMPUTED_VALUE"""),"BLACK")</f>
        <v>BLACK</v>
      </c>
      <c r="G4591" s="20" t="str">
        <f>IFERROR(__xludf.DUMMYFUNCTION("""COMPUTED_VALUE"""),"Uncle Sams Cider (5/13/2022)")</f>
        <v>Uncle Sams Cider (5/13/2022)</v>
      </c>
      <c r="H4591" s="19"/>
    </row>
    <row r="4592">
      <c r="A4592" s="9"/>
      <c r="B4592" s="15"/>
      <c r="C4592" s="9">
        <f>IFERROR(__xludf.DUMMYFUNCTION("""COMPUTED_VALUE"""),44748.7523715509)</f>
        <v>44748.75237</v>
      </c>
      <c r="D4592" s="15">
        <f>IFERROR(__xludf.DUMMYFUNCTION("""COMPUTED_VALUE"""),1.005)</f>
        <v>1.005</v>
      </c>
      <c r="E4592" s="16">
        <f>IFERROR(__xludf.DUMMYFUNCTION("""COMPUTED_VALUE"""),68.0)</f>
        <v>68</v>
      </c>
      <c r="F4592" s="19" t="str">
        <f>IFERROR(__xludf.DUMMYFUNCTION("""COMPUTED_VALUE"""),"BLACK")</f>
        <v>BLACK</v>
      </c>
      <c r="G4592" s="20" t="str">
        <f>IFERROR(__xludf.DUMMYFUNCTION("""COMPUTED_VALUE"""),"Uncle Sams Cider (5/13/2022)")</f>
        <v>Uncle Sams Cider (5/13/2022)</v>
      </c>
      <c r="H4592" s="19"/>
    </row>
    <row r="4593">
      <c r="A4593" s="9"/>
      <c r="B4593" s="15"/>
      <c r="C4593" s="9">
        <f>IFERROR(__xludf.DUMMYFUNCTION("""COMPUTED_VALUE"""),44748.7419507407)</f>
        <v>44748.74195</v>
      </c>
      <c r="D4593" s="15">
        <f>IFERROR(__xludf.DUMMYFUNCTION("""COMPUTED_VALUE"""),1.004)</f>
        <v>1.004</v>
      </c>
      <c r="E4593" s="16">
        <f>IFERROR(__xludf.DUMMYFUNCTION("""COMPUTED_VALUE"""),68.0)</f>
        <v>68</v>
      </c>
      <c r="F4593" s="19" t="str">
        <f>IFERROR(__xludf.DUMMYFUNCTION("""COMPUTED_VALUE"""),"BLACK")</f>
        <v>BLACK</v>
      </c>
      <c r="G4593" s="20" t="str">
        <f>IFERROR(__xludf.DUMMYFUNCTION("""COMPUTED_VALUE"""),"Uncle Sams Cider (5/13/2022)")</f>
        <v>Uncle Sams Cider (5/13/2022)</v>
      </c>
      <c r="H4593" s="19"/>
    </row>
    <row r="4594">
      <c r="A4594" s="9"/>
      <c r="B4594" s="15"/>
      <c r="C4594" s="9">
        <f>IFERROR(__xludf.DUMMYFUNCTION("""COMPUTED_VALUE"""),44748.7315171296)</f>
        <v>44748.73152</v>
      </c>
      <c r="D4594" s="15">
        <f>IFERROR(__xludf.DUMMYFUNCTION("""COMPUTED_VALUE"""),1.005)</f>
        <v>1.005</v>
      </c>
      <c r="E4594" s="16">
        <f>IFERROR(__xludf.DUMMYFUNCTION("""COMPUTED_VALUE"""),68.0)</f>
        <v>68</v>
      </c>
      <c r="F4594" s="19" t="str">
        <f>IFERROR(__xludf.DUMMYFUNCTION("""COMPUTED_VALUE"""),"BLACK")</f>
        <v>BLACK</v>
      </c>
      <c r="G4594" s="20" t="str">
        <f>IFERROR(__xludf.DUMMYFUNCTION("""COMPUTED_VALUE"""),"Uncle Sams Cider (5/13/2022)")</f>
        <v>Uncle Sams Cider (5/13/2022)</v>
      </c>
      <c r="H4594" s="19"/>
    </row>
    <row r="4595">
      <c r="A4595" s="9"/>
      <c r="B4595" s="15"/>
      <c r="C4595" s="9">
        <f>IFERROR(__xludf.DUMMYFUNCTION("""COMPUTED_VALUE"""),44748.7210968402)</f>
        <v>44748.7211</v>
      </c>
      <c r="D4595" s="15">
        <f>IFERROR(__xludf.DUMMYFUNCTION("""COMPUTED_VALUE"""),1.004)</f>
        <v>1.004</v>
      </c>
      <c r="E4595" s="16">
        <f>IFERROR(__xludf.DUMMYFUNCTION("""COMPUTED_VALUE"""),68.0)</f>
        <v>68</v>
      </c>
      <c r="F4595" s="19" t="str">
        <f>IFERROR(__xludf.DUMMYFUNCTION("""COMPUTED_VALUE"""),"BLACK")</f>
        <v>BLACK</v>
      </c>
      <c r="G4595" s="20" t="str">
        <f>IFERROR(__xludf.DUMMYFUNCTION("""COMPUTED_VALUE"""),"Uncle Sams Cider (5/13/2022)")</f>
        <v>Uncle Sams Cider (5/13/2022)</v>
      </c>
      <c r="H4595" s="19"/>
    </row>
    <row r="4596">
      <c r="A4596" s="9"/>
      <c r="B4596" s="15"/>
      <c r="C4596" s="9">
        <f>IFERROR(__xludf.DUMMYFUNCTION("""COMPUTED_VALUE"""),44748.7106742592)</f>
        <v>44748.71067</v>
      </c>
      <c r="D4596" s="15">
        <f>IFERROR(__xludf.DUMMYFUNCTION("""COMPUTED_VALUE"""),1.004)</f>
        <v>1.004</v>
      </c>
      <c r="E4596" s="16">
        <f>IFERROR(__xludf.DUMMYFUNCTION("""COMPUTED_VALUE"""),68.0)</f>
        <v>68</v>
      </c>
      <c r="F4596" s="19" t="str">
        <f>IFERROR(__xludf.DUMMYFUNCTION("""COMPUTED_VALUE"""),"BLACK")</f>
        <v>BLACK</v>
      </c>
      <c r="G4596" s="20" t="str">
        <f>IFERROR(__xludf.DUMMYFUNCTION("""COMPUTED_VALUE"""),"Uncle Sams Cider (5/13/2022)")</f>
        <v>Uncle Sams Cider (5/13/2022)</v>
      </c>
      <c r="H4596" s="19"/>
    </row>
    <row r="4597">
      <c r="A4597" s="9"/>
      <c r="B4597" s="15"/>
      <c r="C4597" s="9">
        <f>IFERROR(__xludf.DUMMYFUNCTION("""COMPUTED_VALUE"""),44748.7002396064)</f>
        <v>44748.70024</v>
      </c>
      <c r="D4597" s="15">
        <f>IFERROR(__xludf.DUMMYFUNCTION("""COMPUTED_VALUE"""),1.004)</f>
        <v>1.004</v>
      </c>
      <c r="E4597" s="16">
        <f>IFERROR(__xludf.DUMMYFUNCTION("""COMPUTED_VALUE"""),68.0)</f>
        <v>68</v>
      </c>
      <c r="F4597" s="19" t="str">
        <f>IFERROR(__xludf.DUMMYFUNCTION("""COMPUTED_VALUE"""),"BLACK")</f>
        <v>BLACK</v>
      </c>
      <c r="G4597" s="20" t="str">
        <f>IFERROR(__xludf.DUMMYFUNCTION("""COMPUTED_VALUE"""),"Uncle Sams Cider (5/13/2022)")</f>
        <v>Uncle Sams Cider (5/13/2022)</v>
      </c>
      <c r="H4597" s="19"/>
    </row>
    <row r="4598">
      <c r="A4598" s="9"/>
      <c r="B4598" s="15"/>
      <c r="C4598" s="9">
        <f>IFERROR(__xludf.DUMMYFUNCTION("""COMPUTED_VALUE"""),44748.6898198611)</f>
        <v>44748.68982</v>
      </c>
      <c r="D4598" s="15">
        <f>IFERROR(__xludf.DUMMYFUNCTION("""COMPUTED_VALUE"""),1.004)</f>
        <v>1.004</v>
      </c>
      <c r="E4598" s="16">
        <f>IFERROR(__xludf.DUMMYFUNCTION("""COMPUTED_VALUE"""),68.0)</f>
        <v>68</v>
      </c>
      <c r="F4598" s="19" t="str">
        <f>IFERROR(__xludf.DUMMYFUNCTION("""COMPUTED_VALUE"""),"BLACK")</f>
        <v>BLACK</v>
      </c>
      <c r="G4598" s="20" t="str">
        <f>IFERROR(__xludf.DUMMYFUNCTION("""COMPUTED_VALUE"""),"Uncle Sams Cider (5/13/2022)")</f>
        <v>Uncle Sams Cider (5/13/2022)</v>
      </c>
      <c r="H4598" s="19"/>
    </row>
    <row r="4599">
      <c r="A4599" s="9"/>
      <c r="B4599" s="15"/>
      <c r="C4599" s="9">
        <f>IFERROR(__xludf.DUMMYFUNCTION("""COMPUTED_VALUE"""),44748.6793739236)</f>
        <v>44748.67937</v>
      </c>
      <c r="D4599" s="15">
        <f>IFERROR(__xludf.DUMMYFUNCTION("""COMPUTED_VALUE"""),1.004)</f>
        <v>1.004</v>
      </c>
      <c r="E4599" s="16">
        <f>IFERROR(__xludf.DUMMYFUNCTION("""COMPUTED_VALUE"""),68.0)</f>
        <v>68</v>
      </c>
      <c r="F4599" s="19" t="str">
        <f>IFERROR(__xludf.DUMMYFUNCTION("""COMPUTED_VALUE"""),"BLACK")</f>
        <v>BLACK</v>
      </c>
      <c r="G4599" s="20" t="str">
        <f>IFERROR(__xludf.DUMMYFUNCTION("""COMPUTED_VALUE"""),"Uncle Sams Cider (5/13/2022)")</f>
        <v>Uncle Sams Cider (5/13/2022)</v>
      </c>
      <c r="H4599" s="19"/>
    </row>
    <row r="4600">
      <c r="A4600" s="9"/>
      <c r="B4600" s="15"/>
      <c r="C4600" s="9">
        <f>IFERROR(__xludf.DUMMYFUNCTION("""COMPUTED_VALUE"""),44748.6689529166)</f>
        <v>44748.66895</v>
      </c>
      <c r="D4600" s="15">
        <f>IFERROR(__xludf.DUMMYFUNCTION("""COMPUTED_VALUE"""),1.005)</f>
        <v>1.005</v>
      </c>
      <c r="E4600" s="16">
        <f>IFERROR(__xludf.DUMMYFUNCTION("""COMPUTED_VALUE"""),68.0)</f>
        <v>68</v>
      </c>
      <c r="F4600" s="19" t="str">
        <f>IFERROR(__xludf.DUMMYFUNCTION("""COMPUTED_VALUE"""),"BLACK")</f>
        <v>BLACK</v>
      </c>
      <c r="G4600" s="20" t="str">
        <f>IFERROR(__xludf.DUMMYFUNCTION("""COMPUTED_VALUE"""),"Uncle Sams Cider (5/13/2022)")</f>
        <v>Uncle Sams Cider (5/13/2022)</v>
      </c>
      <c r="H4600" s="19"/>
    </row>
    <row r="4601">
      <c r="A4601" s="9"/>
      <c r="B4601" s="15"/>
      <c r="C4601" s="9">
        <f>IFERROR(__xludf.DUMMYFUNCTION("""COMPUTED_VALUE"""),44748.6585320601)</f>
        <v>44748.65853</v>
      </c>
      <c r="D4601" s="15">
        <f>IFERROR(__xludf.DUMMYFUNCTION("""COMPUTED_VALUE"""),1.005)</f>
        <v>1.005</v>
      </c>
      <c r="E4601" s="16">
        <f>IFERROR(__xludf.DUMMYFUNCTION("""COMPUTED_VALUE"""),68.0)</f>
        <v>68</v>
      </c>
      <c r="F4601" s="19" t="str">
        <f>IFERROR(__xludf.DUMMYFUNCTION("""COMPUTED_VALUE"""),"BLACK")</f>
        <v>BLACK</v>
      </c>
      <c r="G4601" s="20" t="str">
        <f>IFERROR(__xludf.DUMMYFUNCTION("""COMPUTED_VALUE"""),"Uncle Sams Cider (5/13/2022)")</f>
        <v>Uncle Sams Cider (5/13/2022)</v>
      </c>
      <c r="H4601" s="19"/>
    </row>
    <row r="4602">
      <c r="A4602" s="9"/>
      <c r="B4602" s="15"/>
      <c r="C4602" s="9">
        <f>IFERROR(__xludf.DUMMYFUNCTION("""COMPUTED_VALUE"""),44748.6480858101)</f>
        <v>44748.64809</v>
      </c>
      <c r="D4602" s="15">
        <f>IFERROR(__xludf.DUMMYFUNCTION("""COMPUTED_VALUE"""),1.005)</f>
        <v>1.005</v>
      </c>
      <c r="E4602" s="16">
        <f>IFERROR(__xludf.DUMMYFUNCTION("""COMPUTED_VALUE"""),68.0)</f>
        <v>68</v>
      </c>
      <c r="F4602" s="19" t="str">
        <f>IFERROR(__xludf.DUMMYFUNCTION("""COMPUTED_VALUE"""),"BLACK")</f>
        <v>BLACK</v>
      </c>
      <c r="G4602" s="20" t="str">
        <f>IFERROR(__xludf.DUMMYFUNCTION("""COMPUTED_VALUE"""),"Uncle Sams Cider (5/13/2022)")</f>
        <v>Uncle Sams Cider (5/13/2022)</v>
      </c>
      <c r="H4602" s="19"/>
    </row>
    <row r="4603">
      <c r="A4603" s="9"/>
      <c r="B4603" s="15"/>
      <c r="C4603" s="9">
        <f>IFERROR(__xludf.DUMMYFUNCTION("""COMPUTED_VALUE"""),44748.6376655092)</f>
        <v>44748.63767</v>
      </c>
      <c r="D4603" s="15">
        <f>IFERROR(__xludf.DUMMYFUNCTION("""COMPUTED_VALUE"""),1.004)</f>
        <v>1.004</v>
      </c>
      <c r="E4603" s="16">
        <f>IFERROR(__xludf.DUMMYFUNCTION("""COMPUTED_VALUE"""),68.0)</f>
        <v>68</v>
      </c>
      <c r="F4603" s="19" t="str">
        <f>IFERROR(__xludf.DUMMYFUNCTION("""COMPUTED_VALUE"""),"BLACK")</f>
        <v>BLACK</v>
      </c>
      <c r="G4603" s="20" t="str">
        <f>IFERROR(__xludf.DUMMYFUNCTION("""COMPUTED_VALUE"""),"Uncle Sams Cider (5/13/2022)")</f>
        <v>Uncle Sams Cider (5/13/2022)</v>
      </c>
      <c r="H4603" s="19"/>
    </row>
    <row r="4604">
      <c r="A4604" s="9"/>
      <c r="B4604" s="15"/>
      <c r="C4604" s="9">
        <f>IFERROR(__xludf.DUMMYFUNCTION("""COMPUTED_VALUE"""),44748.6272434375)</f>
        <v>44748.62724</v>
      </c>
      <c r="D4604" s="15">
        <f>IFERROR(__xludf.DUMMYFUNCTION("""COMPUTED_VALUE"""),1.004)</f>
        <v>1.004</v>
      </c>
      <c r="E4604" s="16">
        <f>IFERROR(__xludf.DUMMYFUNCTION("""COMPUTED_VALUE"""),68.0)</f>
        <v>68</v>
      </c>
      <c r="F4604" s="19" t="str">
        <f>IFERROR(__xludf.DUMMYFUNCTION("""COMPUTED_VALUE"""),"BLACK")</f>
        <v>BLACK</v>
      </c>
      <c r="G4604" s="20" t="str">
        <f>IFERROR(__xludf.DUMMYFUNCTION("""COMPUTED_VALUE"""),"Uncle Sams Cider (5/13/2022)")</f>
        <v>Uncle Sams Cider (5/13/2022)</v>
      </c>
      <c r="H4604" s="19"/>
    </row>
    <row r="4605">
      <c r="A4605" s="9"/>
      <c r="B4605" s="15"/>
      <c r="C4605" s="9">
        <f>IFERROR(__xludf.DUMMYFUNCTION("""COMPUTED_VALUE"""),44748.6168113657)</f>
        <v>44748.61681</v>
      </c>
      <c r="D4605" s="15">
        <f>IFERROR(__xludf.DUMMYFUNCTION("""COMPUTED_VALUE"""),1.004)</f>
        <v>1.004</v>
      </c>
      <c r="E4605" s="16">
        <f>IFERROR(__xludf.DUMMYFUNCTION("""COMPUTED_VALUE"""),68.0)</f>
        <v>68</v>
      </c>
      <c r="F4605" s="19" t="str">
        <f>IFERROR(__xludf.DUMMYFUNCTION("""COMPUTED_VALUE"""),"BLACK")</f>
        <v>BLACK</v>
      </c>
      <c r="G4605" s="20" t="str">
        <f>IFERROR(__xludf.DUMMYFUNCTION("""COMPUTED_VALUE"""),"Uncle Sams Cider (5/13/2022)")</f>
        <v>Uncle Sams Cider (5/13/2022)</v>
      </c>
      <c r="H4605" s="19"/>
    </row>
    <row r="4606">
      <c r="A4606" s="9"/>
      <c r="B4606" s="15"/>
      <c r="C4606" s="9">
        <f>IFERROR(__xludf.DUMMYFUNCTION("""COMPUTED_VALUE"""),44748.6063895717)</f>
        <v>44748.60639</v>
      </c>
      <c r="D4606" s="15">
        <f>IFERROR(__xludf.DUMMYFUNCTION("""COMPUTED_VALUE"""),1.004)</f>
        <v>1.004</v>
      </c>
      <c r="E4606" s="16">
        <f>IFERROR(__xludf.DUMMYFUNCTION("""COMPUTED_VALUE"""),68.0)</f>
        <v>68</v>
      </c>
      <c r="F4606" s="19" t="str">
        <f>IFERROR(__xludf.DUMMYFUNCTION("""COMPUTED_VALUE"""),"BLACK")</f>
        <v>BLACK</v>
      </c>
      <c r="G4606" s="20" t="str">
        <f>IFERROR(__xludf.DUMMYFUNCTION("""COMPUTED_VALUE"""),"Uncle Sams Cider (5/13/2022)")</f>
        <v>Uncle Sams Cider (5/13/2022)</v>
      </c>
      <c r="H4606" s="19"/>
    </row>
    <row r="4607">
      <c r="A4607" s="9"/>
      <c r="B4607" s="15"/>
      <c r="C4607" s="9">
        <f>IFERROR(__xludf.DUMMYFUNCTION("""COMPUTED_VALUE"""),44748.5959685995)</f>
        <v>44748.59597</v>
      </c>
      <c r="D4607" s="15">
        <f>IFERROR(__xludf.DUMMYFUNCTION("""COMPUTED_VALUE"""),1.005)</f>
        <v>1.005</v>
      </c>
      <c r="E4607" s="16">
        <f>IFERROR(__xludf.DUMMYFUNCTION("""COMPUTED_VALUE"""),68.0)</f>
        <v>68</v>
      </c>
      <c r="F4607" s="19" t="str">
        <f>IFERROR(__xludf.DUMMYFUNCTION("""COMPUTED_VALUE"""),"BLACK")</f>
        <v>BLACK</v>
      </c>
      <c r="G4607" s="20" t="str">
        <f>IFERROR(__xludf.DUMMYFUNCTION("""COMPUTED_VALUE"""),"Uncle Sams Cider (5/13/2022)")</f>
        <v>Uncle Sams Cider (5/13/2022)</v>
      </c>
      <c r="H4607" s="19"/>
    </row>
    <row r="4608">
      <c r="A4608" s="9"/>
      <c r="B4608" s="15"/>
      <c r="C4608" s="9">
        <f>IFERROR(__xludf.DUMMYFUNCTION("""COMPUTED_VALUE"""),44748.585525081)</f>
        <v>44748.58553</v>
      </c>
      <c r="D4608" s="15">
        <f>IFERROR(__xludf.DUMMYFUNCTION("""COMPUTED_VALUE"""),1.004)</f>
        <v>1.004</v>
      </c>
      <c r="E4608" s="16">
        <f>IFERROR(__xludf.DUMMYFUNCTION("""COMPUTED_VALUE"""),68.0)</f>
        <v>68</v>
      </c>
      <c r="F4608" s="19" t="str">
        <f>IFERROR(__xludf.DUMMYFUNCTION("""COMPUTED_VALUE"""),"BLACK")</f>
        <v>BLACK</v>
      </c>
      <c r="G4608" s="20" t="str">
        <f>IFERROR(__xludf.DUMMYFUNCTION("""COMPUTED_VALUE"""),"Uncle Sams Cider (5/13/2022)")</f>
        <v>Uncle Sams Cider (5/13/2022)</v>
      </c>
      <c r="H4608" s="19"/>
    </row>
    <row r="4609">
      <c r="A4609" s="9"/>
      <c r="B4609" s="15"/>
      <c r="C4609" s="9">
        <f>IFERROR(__xludf.DUMMYFUNCTION("""COMPUTED_VALUE"""),44748.5750918518)</f>
        <v>44748.57509</v>
      </c>
      <c r="D4609" s="15">
        <f>IFERROR(__xludf.DUMMYFUNCTION("""COMPUTED_VALUE"""),1.004)</f>
        <v>1.004</v>
      </c>
      <c r="E4609" s="16">
        <f>IFERROR(__xludf.DUMMYFUNCTION("""COMPUTED_VALUE"""),68.0)</f>
        <v>68</v>
      </c>
      <c r="F4609" s="19" t="str">
        <f>IFERROR(__xludf.DUMMYFUNCTION("""COMPUTED_VALUE"""),"BLACK")</f>
        <v>BLACK</v>
      </c>
      <c r="G4609" s="20" t="str">
        <f>IFERROR(__xludf.DUMMYFUNCTION("""COMPUTED_VALUE"""),"Uncle Sams Cider (5/13/2022)")</f>
        <v>Uncle Sams Cider (5/13/2022)</v>
      </c>
      <c r="H4609" s="19"/>
    </row>
    <row r="4610">
      <c r="A4610" s="9"/>
      <c r="B4610" s="15"/>
      <c r="C4610" s="9">
        <f>IFERROR(__xludf.DUMMYFUNCTION("""COMPUTED_VALUE"""),44748.5646472453)</f>
        <v>44748.56465</v>
      </c>
      <c r="D4610" s="15">
        <f>IFERROR(__xludf.DUMMYFUNCTION("""COMPUTED_VALUE"""),1.004)</f>
        <v>1.004</v>
      </c>
      <c r="E4610" s="16">
        <f>IFERROR(__xludf.DUMMYFUNCTION("""COMPUTED_VALUE"""),68.0)</f>
        <v>68</v>
      </c>
      <c r="F4610" s="19" t="str">
        <f>IFERROR(__xludf.DUMMYFUNCTION("""COMPUTED_VALUE"""),"BLACK")</f>
        <v>BLACK</v>
      </c>
      <c r="G4610" s="20" t="str">
        <f>IFERROR(__xludf.DUMMYFUNCTION("""COMPUTED_VALUE"""),"Uncle Sams Cider (5/13/2022)")</f>
        <v>Uncle Sams Cider (5/13/2022)</v>
      </c>
      <c r="H4610" s="19"/>
    </row>
    <row r="4611">
      <c r="A4611" s="9"/>
      <c r="B4611" s="15"/>
      <c r="C4611" s="9">
        <f>IFERROR(__xludf.DUMMYFUNCTION("""COMPUTED_VALUE"""),44748.5542259606)</f>
        <v>44748.55423</v>
      </c>
      <c r="D4611" s="15">
        <f>IFERROR(__xludf.DUMMYFUNCTION("""COMPUTED_VALUE"""),1.004)</f>
        <v>1.004</v>
      </c>
      <c r="E4611" s="16">
        <f>IFERROR(__xludf.DUMMYFUNCTION("""COMPUTED_VALUE"""),68.0)</f>
        <v>68</v>
      </c>
      <c r="F4611" s="19" t="str">
        <f>IFERROR(__xludf.DUMMYFUNCTION("""COMPUTED_VALUE"""),"BLACK")</f>
        <v>BLACK</v>
      </c>
      <c r="G4611" s="20" t="str">
        <f>IFERROR(__xludf.DUMMYFUNCTION("""COMPUTED_VALUE"""),"Uncle Sams Cider (5/13/2022)")</f>
        <v>Uncle Sams Cider (5/13/2022)</v>
      </c>
      <c r="H4611" s="19"/>
    </row>
    <row r="4612">
      <c r="A4612" s="9"/>
      <c r="B4612" s="15"/>
      <c r="C4612" s="9">
        <f>IFERROR(__xludf.DUMMYFUNCTION("""COMPUTED_VALUE"""),44748.543803287)</f>
        <v>44748.5438</v>
      </c>
      <c r="D4612" s="15">
        <f>IFERROR(__xludf.DUMMYFUNCTION("""COMPUTED_VALUE"""),1.004)</f>
        <v>1.004</v>
      </c>
      <c r="E4612" s="16">
        <f>IFERROR(__xludf.DUMMYFUNCTION("""COMPUTED_VALUE"""),67.0)</f>
        <v>67</v>
      </c>
      <c r="F4612" s="19" t="str">
        <f>IFERROR(__xludf.DUMMYFUNCTION("""COMPUTED_VALUE"""),"BLACK")</f>
        <v>BLACK</v>
      </c>
      <c r="G4612" s="20" t="str">
        <f>IFERROR(__xludf.DUMMYFUNCTION("""COMPUTED_VALUE"""),"Uncle Sams Cider (5/13/2022)")</f>
        <v>Uncle Sams Cider (5/13/2022)</v>
      </c>
      <c r="H4612" s="19"/>
    </row>
    <row r="4613">
      <c r="A4613" s="9"/>
      <c r="B4613" s="15"/>
      <c r="C4613" s="9">
        <f>IFERROR(__xludf.DUMMYFUNCTION("""COMPUTED_VALUE"""),44748.5333799421)</f>
        <v>44748.53338</v>
      </c>
      <c r="D4613" s="15">
        <f>IFERROR(__xludf.DUMMYFUNCTION("""COMPUTED_VALUE"""),1.004)</f>
        <v>1.004</v>
      </c>
      <c r="E4613" s="16">
        <f>IFERROR(__xludf.DUMMYFUNCTION("""COMPUTED_VALUE"""),67.0)</f>
        <v>67</v>
      </c>
      <c r="F4613" s="19" t="str">
        <f>IFERROR(__xludf.DUMMYFUNCTION("""COMPUTED_VALUE"""),"BLACK")</f>
        <v>BLACK</v>
      </c>
      <c r="G4613" s="20" t="str">
        <f>IFERROR(__xludf.DUMMYFUNCTION("""COMPUTED_VALUE"""),"Uncle Sams Cider (5/13/2022)")</f>
        <v>Uncle Sams Cider (5/13/2022)</v>
      </c>
      <c r="H4613" s="19"/>
    </row>
    <row r="4614">
      <c r="A4614" s="9"/>
      <c r="B4614" s="15"/>
      <c r="C4614" s="9">
        <f>IFERROR(__xludf.DUMMYFUNCTION("""COMPUTED_VALUE"""),44748.5229468981)</f>
        <v>44748.52295</v>
      </c>
      <c r="D4614" s="15">
        <f>IFERROR(__xludf.DUMMYFUNCTION("""COMPUTED_VALUE"""),1.004)</f>
        <v>1.004</v>
      </c>
      <c r="E4614" s="16">
        <f>IFERROR(__xludf.DUMMYFUNCTION("""COMPUTED_VALUE"""),67.0)</f>
        <v>67</v>
      </c>
      <c r="F4614" s="19" t="str">
        <f>IFERROR(__xludf.DUMMYFUNCTION("""COMPUTED_VALUE"""),"BLACK")</f>
        <v>BLACK</v>
      </c>
      <c r="G4614" s="20" t="str">
        <f>IFERROR(__xludf.DUMMYFUNCTION("""COMPUTED_VALUE"""),"Uncle Sams Cider (5/13/2022)")</f>
        <v>Uncle Sams Cider (5/13/2022)</v>
      </c>
      <c r="H4614" s="19"/>
    </row>
    <row r="4615">
      <c r="A4615" s="9"/>
      <c r="B4615" s="15"/>
      <c r="C4615" s="9">
        <f>IFERROR(__xludf.DUMMYFUNCTION("""COMPUTED_VALUE"""),44748.5125267939)</f>
        <v>44748.51253</v>
      </c>
      <c r="D4615" s="15">
        <f>IFERROR(__xludf.DUMMYFUNCTION("""COMPUTED_VALUE"""),1.004)</f>
        <v>1.004</v>
      </c>
      <c r="E4615" s="16">
        <f>IFERROR(__xludf.DUMMYFUNCTION("""COMPUTED_VALUE"""),68.0)</f>
        <v>68</v>
      </c>
      <c r="F4615" s="19" t="str">
        <f>IFERROR(__xludf.DUMMYFUNCTION("""COMPUTED_VALUE"""),"BLACK")</f>
        <v>BLACK</v>
      </c>
      <c r="G4615" s="20" t="str">
        <f>IFERROR(__xludf.DUMMYFUNCTION("""COMPUTED_VALUE"""),"Uncle Sams Cider (5/13/2022)")</f>
        <v>Uncle Sams Cider (5/13/2022)</v>
      </c>
      <c r="H4615" s="19"/>
    </row>
    <row r="4616">
      <c r="A4616" s="9"/>
      <c r="B4616" s="15"/>
      <c r="C4616" s="9">
        <f>IFERROR(__xludf.DUMMYFUNCTION("""COMPUTED_VALUE"""),44748.5021057638)</f>
        <v>44748.50211</v>
      </c>
      <c r="D4616" s="15">
        <f>IFERROR(__xludf.DUMMYFUNCTION("""COMPUTED_VALUE"""),1.005)</f>
        <v>1.005</v>
      </c>
      <c r="E4616" s="16">
        <f>IFERROR(__xludf.DUMMYFUNCTION("""COMPUTED_VALUE"""),67.0)</f>
        <v>67</v>
      </c>
      <c r="F4616" s="19" t="str">
        <f>IFERROR(__xludf.DUMMYFUNCTION("""COMPUTED_VALUE"""),"BLACK")</f>
        <v>BLACK</v>
      </c>
      <c r="G4616" s="20" t="str">
        <f>IFERROR(__xludf.DUMMYFUNCTION("""COMPUTED_VALUE"""),"Uncle Sams Cider (5/13/2022)")</f>
        <v>Uncle Sams Cider (5/13/2022)</v>
      </c>
      <c r="H4616" s="19"/>
    </row>
    <row r="4617">
      <c r="A4617" s="9"/>
      <c r="B4617" s="15"/>
      <c r="C4617" s="9">
        <f>IFERROR(__xludf.DUMMYFUNCTION("""COMPUTED_VALUE"""),44748.4916853472)</f>
        <v>44748.49169</v>
      </c>
      <c r="D4617" s="15">
        <f>IFERROR(__xludf.DUMMYFUNCTION("""COMPUTED_VALUE"""),1.004)</f>
        <v>1.004</v>
      </c>
      <c r="E4617" s="16">
        <f>IFERROR(__xludf.DUMMYFUNCTION("""COMPUTED_VALUE"""),67.0)</f>
        <v>67</v>
      </c>
      <c r="F4617" s="19" t="str">
        <f>IFERROR(__xludf.DUMMYFUNCTION("""COMPUTED_VALUE"""),"BLACK")</f>
        <v>BLACK</v>
      </c>
      <c r="G4617" s="20" t="str">
        <f>IFERROR(__xludf.DUMMYFUNCTION("""COMPUTED_VALUE"""),"Uncle Sams Cider (5/13/2022)")</f>
        <v>Uncle Sams Cider (5/13/2022)</v>
      </c>
      <c r="H4617" s="19"/>
    </row>
    <row r="4618">
      <c r="A4618" s="9"/>
      <c r="B4618" s="15"/>
      <c r="C4618" s="9">
        <f>IFERROR(__xludf.DUMMYFUNCTION("""COMPUTED_VALUE"""),44748.4812411921)</f>
        <v>44748.48124</v>
      </c>
      <c r="D4618" s="15">
        <f>IFERROR(__xludf.DUMMYFUNCTION("""COMPUTED_VALUE"""),1.005)</f>
        <v>1.005</v>
      </c>
      <c r="E4618" s="16">
        <f>IFERROR(__xludf.DUMMYFUNCTION("""COMPUTED_VALUE"""),67.0)</f>
        <v>67</v>
      </c>
      <c r="F4618" s="19" t="str">
        <f>IFERROR(__xludf.DUMMYFUNCTION("""COMPUTED_VALUE"""),"BLACK")</f>
        <v>BLACK</v>
      </c>
      <c r="G4618" s="20" t="str">
        <f>IFERROR(__xludf.DUMMYFUNCTION("""COMPUTED_VALUE"""),"Uncle Sams Cider (5/13/2022)")</f>
        <v>Uncle Sams Cider (5/13/2022)</v>
      </c>
      <c r="H4618" s="19"/>
    </row>
    <row r="4619">
      <c r="A4619" s="9"/>
      <c r="B4619" s="15"/>
      <c r="C4619" s="9">
        <f>IFERROR(__xludf.DUMMYFUNCTION("""COMPUTED_VALUE"""),44748.4708068402)</f>
        <v>44748.47081</v>
      </c>
      <c r="D4619" s="15">
        <f>IFERROR(__xludf.DUMMYFUNCTION("""COMPUTED_VALUE"""),1.004)</f>
        <v>1.004</v>
      </c>
      <c r="E4619" s="16">
        <f>IFERROR(__xludf.DUMMYFUNCTION("""COMPUTED_VALUE"""),67.0)</f>
        <v>67</v>
      </c>
      <c r="F4619" s="19" t="str">
        <f>IFERROR(__xludf.DUMMYFUNCTION("""COMPUTED_VALUE"""),"BLACK")</f>
        <v>BLACK</v>
      </c>
      <c r="G4619" s="20" t="str">
        <f>IFERROR(__xludf.DUMMYFUNCTION("""COMPUTED_VALUE"""),"Uncle Sams Cider (5/13/2022)")</f>
        <v>Uncle Sams Cider (5/13/2022)</v>
      </c>
      <c r="H4619" s="19"/>
    </row>
    <row r="4620">
      <c r="A4620" s="9"/>
      <c r="B4620" s="15"/>
      <c r="C4620" s="9">
        <f>IFERROR(__xludf.DUMMYFUNCTION("""COMPUTED_VALUE"""),44748.4603851157)</f>
        <v>44748.46039</v>
      </c>
      <c r="D4620" s="15">
        <f>IFERROR(__xludf.DUMMYFUNCTION("""COMPUTED_VALUE"""),1.004)</f>
        <v>1.004</v>
      </c>
      <c r="E4620" s="16">
        <f>IFERROR(__xludf.DUMMYFUNCTION("""COMPUTED_VALUE"""),67.0)</f>
        <v>67</v>
      </c>
      <c r="F4620" s="19" t="str">
        <f>IFERROR(__xludf.DUMMYFUNCTION("""COMPUTED_VALUE"""),"BLACK")</f>
        <v>BLACK</v>
      </c>
      <c r="G4620" s="20" t="str">
        <f>IFERROR(__xludf.DUMMYFUNCTION("""COMPUTED_VALUE"""),"Uncle Sams Cider (5/13/2022)")</f>
        <v>Uncle Sams Cider (5/13/2022)</v>
      </c>
      <c r="H4620" s="19"/>
    </row>
    <row r="4621">
      <c r="A4621" s="9"/>
      <c r="B4621" s="15"/>
      <c r="C4621" s="9">
        <f>IFERROR(__xludf.DUMMYFUNCTION("""COMPUTED_VALUE"""),44748.4499628009)</f>
        <v>44748.44996</v>
      </c>
      <c r="D4621" s="15">
        <f>IFERROR(__xludf.DUMMYFUNCTION("""COMPUTED_VALUE"""),1.004)</f>
        <v>1.004</v>
      </c>
      <c r="E4621" s="16">
        <f>IFERROR(__xludf.DUMMYFUNCTION("""COMPUTED_VALUE"""),67.0)</f>
        <v>67</v>
      </c>
      <c r="F4621" s="19" t="str">
        <f>IFERROR(__xludf.DUMMYFUNCTION("""COMPUTED_VALUE"""),"BLACK")</f>
        <v>BLACK</v>
      </c>
      <c r="G4621" s="20" t="str">
        <f>IFERROR(__xludf.DUMMYFUNCTION("""COMPUTED_VALUE"""),"Uncle Sams Cider (5/13/2022)")</f>
        <v>Uncle Sams Cider (5/13/2022)</v>
      </c>
      <c r="H4621" s="19"/>
    </row>
    <row r="4622">
      <c r="A4622" s="9"/>
      <c r="B4622" s="15"/>
      <c r="C4622" s="9">
        <f>IFERROR(__xludf.DUMMYFUNCTION("""COMPUTED_VALUE"""),44748.4395417708)</f>
        <v>44748.43954</v>
      </c>
      <c r="D4622" s="15">
        <f>IFERROR(__xludf.DUMMYFUNCTION("""COMPUTED_VALUE"""),1.004)</f>
        <v>1.004</v>
      </c>
      <c r="E4622" s="16">
        <f>IFERROR(__xludf.DUMMYFUNCTION("""COMPUTED_VALUE"""),67.0)</f>
        <v>67</v>
      </c>
      <c r="F4622" s="19" t="str">
        <f>IFERROR(__xludf.DUMMYFUNCTION("""COMPUTED_VALUE"""),"BLACK")</f>
        <v>BLACK</v>
      </c>
      <c r="G4622" s="20" t="str">
        <f>IFERROR(__xludf.DUMMYFUNCTION("""COMPUTED_VALUE"""),"Uncle Sams Cider (5/13/2022)")</f>
        <v>Uncle Sams Cider (5/13/2022)</v>
      </c>
      <c r="H4622" s="19"/>
    </row>
    <row r="4623">
      <c r="A4623" s="9"/>
      <c r="B4623" s="15"/>
      <c r="C4623" s="9">
        <f>IFERROR(__xludf.DUMMYFUNCTION("""COMPUTED_VALUE"""),44748.4291200347)</f>
        <v>44748.42912</v>
      </c>
      <c r="D4623" s="15">
        <f>IFERROR(__xludf.DUMMYFUNCTION("""COMPUTED_VALUE"""),1.004)</f>
        <v>1.004</v>
      </c>
      <c r="E4623" s="16">
        <f>IFERROR(__xludf.DUMMYFUNCTION("""COMPUTED_VALUE"""),67.0)</f>
        <v>67</v>
      </c>
      <c r="F4623" s="19" t="str">
        <f>IFERROR(__xludf.DUMMYFUNCTION("""COMPUTED_VALUE"""),"BLACK")</f>
        <v>BLACK</v>
      </c>
      <c r="G4623" s="20" t="str">
        <f>IFERROR(__xludf.DUMMYFUNCTION("""COMPUTED_VALUE"""),"Uncle Sams Cider (5/13/2022)")</f>
        <v>Uncle Sams Cider (5/13/2022)</v>
      </c>
      <c r="H4623" s="19"/>
    </row>
    <row r="4624">
      <c r="A4624" s="9"/>
      <c r="B4624" s="15"/>
      <c r="C4624" s="9">
        <f>IFERROR(__xludf.DUMMYFUNCTION("""COMPUTED_VALUE"""),44748.4186986921)</f>
        <v>44748.4187</v>
      </c>
      <c r="D4624" s="15">
        <f>IFERROR(__xludf.DUMMYFUNCTION("""COMPUTED_VALUE"""),1.005)</f>
        <v>1.005</v>
      </c>
      <c r="E4624" s="16">
        <f>IFERROR(__xludf.DUMMYFUNCTION("""COMPUTED_VALUE"""),67.0)</f>
        <v>67</v>
      </c>
      <c r="F4624" s="19" t="str">
        <f>IFERROR(__xludf.DUMMYFUNCTION("""COMPUTED_VALUE"""),"BLACK")</f>
        <v>BLACK</v>
      </c>
      <c r="G4624" s="20" t="str">
        <f>IFERROR(__xludf.DUMMYFUNCTION("""COMPUTED_VALUE"""),"Uncle Sams Cider (5/13/2022)")</f>
        <v>Uncle Sams Cider (5/13/2022)</v>
      </c>
      <c r="H4624" s="19"/>
    </row>
    <row r="4625">
      <c r="A4625" s="9"/>
      <c r="B4625" s="15"/>
      <c r="C4625" s="9">
        <f>IFERROR(__xludf.DUMMYFUNCTION("""COMPUTED_VALUE"""),44748.4082779282)</f>
        <v>44748.40828</v>
      </c>
      <c r="D4625" s="15">
        <f>IFERROR(__xludf.DUMMYFUNCTION("""COMPUTED_VALUE"""),1.004)</f>
        <v>1.004</v>
      </c>
      <c r="E4625" s="16">
        <f>IFERROR(__xludf.DUMMYFUNCTION("""COMPUTED_VALUE"""),67.0)</f>
        <v>67</v>
      </c>
      <c r="F4625" s="19" t="str">
        <f>IFERROR(__xludf.DUMMYFUNCTION("""COMPUTED_VALUE"""),"BLACK")</f>
        <v>BLACK</v>
      </c>
      <c r="G4625" s="20" t="str">
        <f>IFERROR(__xludf.DUMMYFUNCTION("""COMPUTED_VALUE"""),"Uncle Sams Cider (5/13/2022)")</f>
        <v>Uncle Sams Cider (5/13/2022)</v>
      </c>
      <c r="H4625" s="19"/>
    </row>
    <row r="4626">
      <c r="A4626" s="9"/>
      <c r="B4626" s="15"/>
      <c r="C4626" s="9">
        <f>IFERROR(__xludf.DUMMYFUNCTION("""COMPUTED_VALUE"""),44748.3978588078)</f>
        <v>44748.39786</v>
      </c>
      <c r="D4626" s="15">
        <f>IFERROR(__xludf.DUMMYFUNCTION("""COMPUTED_VALUE"""),1.004)</f>
        <v>1.004</v>
      </c>
      <c r="E4626" s="16">
        <f>IFERROR(__xludf.DUMMYFUNCTION("""COMPUTED_VALUE"""),67.0)</f>
        <v>67</v>
      </c>
      <c r="F4626" s="19" t="str">
        <f>IFERROR(__xludf.DUMMYFUNCTION("""COMPUTED_VALUE"""),"BLACK")</f>
        <v>BLACK</v>
      </c>
      <c r="G4626" s="20" t="str">
        <f>IFERROR(__xludf.DUMMYFUNCTION("""COMPUTED_VALUE"""),"Uncle Sams Cider (5/13/2022)")</f>
        <v>Uncle Sams Cider (5/13/2022)</v>
      </c>
      <c r="H4626" s="19"/>
    </row>
    <row r="4627">
      <c r="A4627" s="9"/>
      <c r="B4627" s="15"/>
      <c r="C4627" s="9">
        <f>IFERROR(__xludf.DUMMYFUNCTION("""COMPUTED_VALUE"""),44748.3874389236)</f>
        <v>44748.38744</v>
      </c>
      <c r="D4627" s="15">
        <f>IFERROR(__xludf.DUMMYFUNCTION("""COMPUTED_VALUE"""),1.004)</f>
        <v>1.004</v>
      </c>
      <c r="E4627" s="16">
        <f>IFERROR(__xludf.DUMMYFUNCTION("""COMPUTED_VALUE"""),67.0)</f>
        <v>67</v>
      </c>
      <c r="F4627" s="19" t="str">
        <f>IFERROR(__xludf.DUMMYFUNCTION("""COMPUTED_VALUE"""),"BLACK")</f>
        <v>BLACK</v>
      </c>
      <c r="G4627" s="20" t="str">
        <f>IFERROR(__xludf.DUMMYFUNCTION("""COMPUTED_VALUE"""),"Uncle Sams Cider (5/13/2022)")</f>
        <v>Uncle Sams Cider (5/13/2022)</v>
      </c>
      <c r="H4627" s="19"/>
    </row>
    <row r="4628">
      <c r="A4628" s="9"/>
      <c r="B4628" s="15"/>
      <c r="C4628" s="9">
        <f>IFERROR(__xludf.DUMMYFUNCTION("""COMPUTED_VALUE"""),44748.3769819907)</f>
        <v>44748.37698</v>
      </c>
      <c r="D4628" s="15">
        <f>IFERROR(__xludf.DUMMYFUNCTION("""COMPUTED_VALUE"""),1.004)</f>
        <v>1.004</v>
      </c>
      <c r="E4628" s="16">
        <f>IFERROR(__xludf.DUMMYFUNCTION("""COMPUTED_VALUE"""),67.0)</f>
        <v>67</v>
      </c>
      <c r="F4628" s="19" t="str">
        <f>IFERROR(__xludf.DUMMYFUNCTION("""COMPUTED_VALUE"""),"BLACK")</f>
        <v>BLACK</v>
      </c>
      <c r="G4628" s="20" t="str">
        <f>IFERROR(__xludf.DUMMYFUNCTION("""COMPUTED_VALUE"""),"Uncle Sams Cider (5/13/2022)")</f>
        <v>Uncle Sams Cider (5/13/2022)</v>
      </c>
      <c r="H4628" s="19"/>
    </row>
    <row r="4629">
      <c r="A4629" s="9"/>
      <c r="B4629" s="15"/>
      <c r="C4629" s="9">
        <f>IFERROR(__xludf.DUMMYFUNCTION("""COMPUTED_VALUE"""),44748.3665606713)</f>
        <v>44748.36656</v>
      </c>
      <c r="D4629" s="15">
        <f>IFERROR(__xludf.DUMMYFUNCTION("""COMPUTED_VALUE"""),1.005)</f>
        <v>1.005</v>
      </c>
      <c r="E4629" s="16">
        <f>IFERROR(__xludf.DUMMYFUNCTION("""COMPUTED_VALUE"""),67.0)</f>
        <v>67</v>
      </c>
      <c r="F4629" s="19" t="str">
        <f>IFERROR(__xludf.DUMMYFUNCTION("""COMPUTED_VALUE"""),"BLACK")</f>
        <v>BLACK</v>
      </c>
      <c r="G4629" s="20" t="str">
        <f>IFERROR(__xludf.DUMMYFUNCTION("""COMPUTED_VALUE"""),"Uncle Sams Cider (5/13/2022)")</f>
        <v>Uncle Sams Cider (5/13/2022)</v>
      </c>
      <c r="H4629" s="19"/>
    </row>
    <row r="4630">
      <c r="A4630" s="9"/>
      <c r="B4630" s="15"/>
      <c r="C4630" s="9">
        <f>IFERROR(__xludf.DUMMYFUNCTION("""COMPUTED_VALUE"""),44748.3561160416)</f>
        <v>44748.35612</v>
      </c>
      <c r="D4630" s="15">
        <f>IFERROR(__xludf.DUMMYFUNCTION("""COMPUTED_VALUE"""),1.004)</f>
        <v>1.004</v>
      </c>
      <c r="E4630" s="16">
        <f>IFERROR(__xludf.DUMMYFUNCTION("""COMPUTED_VALUE"""),67.0)</f>
        <v>67</v>
      </c>
      <c r="F4630" s="19" t="str">
        <f>IFERROR(__xludf.DUMMYFUNCTION("""COMPUTED_VALUE"""),"BLACK")</f>
        <v>BLACK</v>
      </c>
      <c r="G4630" s="20" t="str">
        <f>IFERROR(__xludf.DUMMYFUNCTION("""COMPUTED_VALUE"""),"Uncle Sams Cider (5/13/2022)")</f>
        <v>Uncle Sams Cider (5/13/2022)</v>
      </c>
      <c r="H4630" s="19"/>
    </row>
    <row r="4631">
      <c r="A4631" s="9"/>
      <c r="B4631" s="15"/>
      <c r="C4631" s="9">
        <f>IFERROR(__xludf.DUMMYFUNCTION("""COMPUTED_VALUE"""),44748.3456936342)</f>
        <v>44748.34569</v>
      </c>
      <c r="D4631" s="15">
        <f>IFERROR(__xludf.DUMMYFUNCTION("""COMPUTED_VALUE"""),1.004)</f>
        <v>1.004</v>
      </c>
      <c r="E4631" s="16">
        <f>IFERROR(__xludf.DUMMYFUNCTION("""COMPUTED_VALUE"""),67.0)</f>
        <v>67</v>
      </c>
      <c r="F4631" s="19" t="str">
        <f>IFERROR(__xludf.DUMMYFUNCTION("""COMPUTED_VALUE"""),"BLACK")</f>
        <v>BLACK</v>
      </c>
      <c r="G4631" s="20" t="str">
        <f>IFERROR(__xludf.DUMMYFUNCTION("""COMPUTED_VALUE"""),"Uncle Sams Cider (5/13/2022)")</f>
        <v>Uncle Sams Cider (5/13/2022)</v>
      </c>
      <c r="H4631" s="19"/>
    </row>
    <row r="4632">
      <c r="A4632" s="9"/>
      <c r="B4632" s="15"/>
      <c r="C4632" s="9">
        <f>IFERROR(__xludf.DUMMYFUNCTION("""COMPUTED_VALUE"""),44748.3352734259)</f>
        <v>44748.33527</v>
      </c>
      <c r="D4632" s="15">
        <f>IFERROR(__xludf.DUMMYFUNCTION("""COMPUTED_VALUE"""),1.004)</f>
        <v>1.004</v>
      </c>
      <c r="E4632" s="16">
        <f>IFERROR(__xludf.DUMMYFUNCTION("""COMPUTED_VALUE"""),67.0)</f>
        <v>67</v>
      </c>
      <c r="F4632" s="19" t="str">
        <f>IFERROR(__xludf.DUMMYFUNCTION("""COMPUTED_VALUE"""),"BLACK")</f>
        <v>BLACK</v>
      </c>
      <c r="G4632" s="20" t="str">
        <f>IFERROR(__xludf.DUMMYFUNCTION("""COMPUTED_VALUE"""),"Uncle Sams Cider (5/13/2022)")</f>
        <v>Uncle Sams Cider (5/13/2022)</v>
      </c>
      <c r="H4632" s="19"/>
    </row>
    <row r="4633">
      <c r="A4633" s="9"/>
      <c r="B4633" s="15"/>
      <c r="C4633" s="9">
        <f>IFERROR(__xludf.DUMMYFUNCTION("""COMPUTED_VALUE"""),44748.3248505439)</f>
        <v>44748.32485</v>
      </c>
      <c r="D4633" s="15">
        <f>IFERROR(__xludf.DUMMYFUNCTION("""COMPUTED_VALUE"""),1.004)</f>
        <v>1.004</v>
      </c>
      <c r="E4633" s="16">
        <f>IFERROR(__xludf.DUMMYFUNCTION("""COMPUTED_VALUE"""),67.0)</f>
        <v>67</v>
      </c>
      <c r="F4633" s="19" t="str">
        <f>IFERROR(__xludf.DUMMYFUNCTION("""COMPUTED_VALUE"""),"BLACK")</f>
        <v>BLACK</v>
      </c>
      <c r="G4633" s="20" t="str">
        <f>IFERROR(__xludf.DUMMYFUNCTION("""COMPUTED_VALUE"""),"Uncle Sams Cider (5/13/2022)")</f>
        <v>Uncle Sams Cider (5/13/2022)</v>
      </c>
      <c r="H4633" s="19"/>
    </row>
    <row r="4634">
      <c r="A4634" s="9"/>
      <c r="B4634" s="15"/>
      <c r="C4634" s="9">
        <f>IFERROR(__xludf.DUMMYFUNCTION("""COMPUTED_VALUE"""),44748.3144174189)</f>
        <v>44748.31442</v>
      </c>
      <c r="D4634" s="15">
        <f>IFERROR(__xludf.DUMMYFUNCTION("""COMPUTED_VALUE"""),1.004)</f>
        <v>1.004</v>
      </c>
      <c r="E4634" s="16">
        <f>IFERROR(__xludf.DUMMYFUNCTION("""COMPUTED_VALUE"""),67.0)</f>
        <v>67</v>
      </c>
      <c r="F4634" s="19" t="str">
        <f>IFERROR(__xludf.DUMMYFUNCTION("""COMPUTED_VALUE"""),"BLACK")</f>
        <v>BLACK</v>
      </c>
      <c r="G4634" s="20" t="str">
        <f>IFERROR(__xludf.DUMMYFUNCTION("""COMPUTED_VALUE"""),"Uncle Sams Cider (5/13/2022)")</f>
        <v>Uncle Sams Cider (5/13/2022)</v>
      </c>
      <c r="H4634" s="19"/>
    </row>
    <row r="4635">
      <c r="A4635" s="9"/>
      <c r="B4635" s="15"/>
      <c r="C4635" s="9">
        <f>IFERROR(__xludf.DUMMYFUNCTION("""COMPUTED_VALUE"""),44748.3039967245)</f>
        <v>44748.304</v>
      </c>
      <c r="D4635" s="15">
        <f>IFERROR(__xludf.DUMMYFUNCTION("""COMPUTED_VALUE"""),1.005)</f>
        <v>1.005</v>
      </c>
      <c r="E4635" s="16">
        <f>IFERROR(__xludf.DUMMYFUNCTION("""COMPUTED_VALUE"""),67.0)</f>
        <v>67</v>
      </c>
      <c r="F4635" s="19" t="str">
        <f>IFERROR(__xludf.DUMMYFUNCTION("""COMPUTED_VALUE"""),"BLACK")</f>
        <v>BLACK</v>
      </c>
      <c r="G4635" s="20" t="str">
        <f>IFERROR(__xludf.DUMMYFUNCTION("""COMPUTED_VALUE"""),"Uncle Sams Cider (5/13/2022)")</f>
        <v>Uncle Sams Cider (5/13/2022)</v>
      </c>
      <c r="H4635" s="19"/>
    </row>
    <row r="4636">
      <c r="A4636" s="9"/>
      <c r="B4636" s="15"/>
      <c r="C4636" s="9">
        <f>IFERROR(__xludf.DUMMYFUNCTION("""COMPUTED_VALUE"""),44748.2935737268)</f>
        <v>44748.29357</v>
      </c>
      <c r="D4636" s="15">
        <f>IFERROR(__xludf.DUMMYFUNCTION("""COMPUTED_VALUE"""),1.004)</f>
        <v>1.004</v>
      </c>
      <c r="E4636" s="16">
        <f>IFERROR(__xludf.DUMMYFUNCTION("""COMPUTED_VALUE"""),67.0)</f>
        <v>67</v>
      </c>
      <c r="F4636" s="19" t="str">
        <f>IFERROR(__xludf.DUMMYFUNCTION("""COMPUTED_VALUE"""),"BLACK")</f>
        <v>BLACK</v>
      </c>
      <c r="G4636" s="20" t="str">
        <f>IFERROR(__xludf.DUMMYFUNCTION("""COMPUTED_VALUE"""),"Uncle Sams Cider (5/13/2022)")</f>
        <v>Uncle Sams Cider (5/13/2022)</v>
      </c>
      <c r="H4636" s="19"/>
    </row>
    <row r="4637">
      <c r="A4637" s="9"/>
      <c r="B4637" s="15"/>
      <c r="C4637" s="9">
        <f>IFERROR(__xludf.DUMMYFUNCTION("""COMPUTED_VALUE"""),44748.2831415162)</f>
        <v>44748.28314</v>
      </c>
      <c r="D4637" s="15">
        <f>IFERROR(__xludf.DUMMYFUNCTION("""COMPUTED_VALUE"""),1.005)</f>
        <v>1.005</v>
      </c>
      <c r="E4637" s="16">
        <f>IFERROR(__xludf.DUMMYFUNCTION("""COMPUTED_VALUE"""),67.0)</f>
        <v>67</v>
      </c>
      <c r="F4637" s="19" t="str">
        <f>IFERROR(__xludf.DUMMYFUNCTION("""COMPUTED_VALUE"""),"BLACK")</f>
        <v>BLACK</v>
      </c>
      <c r="G4637" s="20" t="str">
        <f>IFERROR(__xludf.DUMMYFUNCTION("""COMPUTED_VALUE"""),"Uncle Sams Cider (5/13/2022)")</f>
        <v>Uncle Sams Cider (5/13/2022)</v>
      </c>
      <c r="H4637" s="19"/>
    </row>
    <row r="4638">
      <c r="A4638" s="9"/>
      <c r="B4638" s="15"/>
      <c r="C4638" s="9">
        <f>IFERROR(__xludf.DUMMYFUNCTION("""COMPUTED_VALUE"""),44748.2727198842)</f>
        <v>44748.27272</v>
      </c>
      <c r="D4638" s="15">
        <f>IFERROR(__xludf.DUMMYFUNCTION("""COMPUTED_VALUE"""),1.004)</f>
        <v>1.004</v>
      </c>
      <c r="E4638" s="16">
        <f>IFERROR(__xludf.DUMMYFUNCTION("""COMPUTED_VALUE"""),67.0)</f>
        <v>67</v>
      </c>
      <c r="F4638" s="19" t="str">
        <f>IFERROR(__xludf.DUMMYFUNCTION("""COMPUTED_VALUE"""),"BLACK")</f>
        <v>BLACK</v>
      </c>
      <c r="G4638" s="20" t="str">
        <f>IFERROR(__xludf.DUMMYFUNCTION("""COMPUTED_VALUE"""),"Uncle Sams Cider (5/13/2022)")</f>
        <v>Uncle Sams Cider (5/13/2022)</v>
      </c>
      <c r="H4638" s="19"/>
    </row>
    <row r="4639">
      <c r="A4639" s="9"/>
      <c r="B4639" s="15"/>
      <c r="C4639" s="9">
        <f>IFERROR(__xludf.DUMMYFUNCTION("""COMPUTED_VALUE"""),44748.2622999189)</f>
        <v>44748.2623</v>
      </c>
      <c r="D4639" s="15">
        <f>IFERROR(__xludf.DUMMYFUNCTION("""COMPUTED_VALUE"""),1.004)</f>
        <v>1.004</v>
      </c>
      <c r="E4639" s="16">
        <f>IFERROR(__xludf.DUMMYFUNCTION("""COMPUTED_VALUE"""),67.0)</f>
        <v>67</v>
      </c>
      <c r="F4639" s="19" t="str">
        <f>IFERROR(__xludf.DUMMYFUNCTION("""COMPUTED_VALUE"""),"BLACK")</f>
        <v>BLACK</v>
      </c>
      <c r="G4639" s="20" t="str">
        <f>IFERROR(__xludf.DUMMYFUNCTION("""COMPUTED_VALUE"""),"Uncle Sams Cider (5/13/2022)")</f>
        <v>Uncle Sams Cider (5/13/2022)</v>
      </c>
      <c r="H4639" s="19"/>
    </row>
    <row r="4640">
      <c r="A4640" s="9"/>
      <c r="B4640" s="15"/>
      <c r="C4640" s="9">
        <f>IFERROR(__xludf.DUMMYFUNCTION("""COMPUTED_VALUE"""),44748.2518774537)</f>
        <v>44748.25188</v>
      </c>
      <c r="D4640" s="15">
        <f>IFERROR(__xludf.DUMMYFUNCTION("""COMPUTED_VALUE"""),1.004)</f>
        <v>1.004</v>
      </c>
      <c r="E4640" s="16">
        <f>IFERROR(__xludf.DUMMYFUNCTION("""COMPUTED_VALUE"""),67.0)</f>
        <v>67</v>
      </c>
      <c r="F4640" s="19" t="str">
        <f>IFERROR(__xludf.DUMMYFUNCTION("""COMPUTED_VALUE"""),"BLACK")</f>
        <v>BLACK</v>
      </c>
      <c r="G4640" s="20" t="str">
        <f>IFERROR(__xludf.DUMMYFUNCTION("""COMPUTED_VALUE"""),"Uncle Sams Cider (5/13/2022)")</f>
        <v>Uncle Sams Cider (5/13/2022)</v>
      </c>
      <c r="H4640" s="19"/>
    </row>
    <row r="4641">
      <c r="A4641" s="9"/>
      <c r="B4641" s="15"/>
      <c r="C4641" s="9">
        <f>IFERROR(__xludf.DUMMYFUNCTION("""COMPUTED_VALUE"""),44748.2414552662)</f>
        <v>44748.24146</v>
      </c>
      <c r="D4641" s="15">
        <f>IFERROR(__xludf.DUMMYFUNCTION("""COMPUTED_VALUE"""),1.004)</f>
        <v>1.004</v>
      </c>
      <c r="E4641" s="16">
        <f>IFERROR(__xludf.DUMMYFUNCTION("""COMPUTED_VALUE"""),67.0)</f>
        <v>67</v>
      </c>
      <c r="F4641" s="19" t="str">
        <f>IFERROR(__xludf.DUMMYFUNCTION("""COMPUTED_VALUE"""),"BLACK")</f>
        <v>BLACK</v>
      </c>
      <c r="G4641" s="20" t="str">
        <f>IFERROR(__xludf.DUMMYFUNCTION("""COMPUTED_VALUE"""),"Uncle Sams Cider (5/13/2022)")</f>
        <v>Uncle Sams Cider (5/13/2022)</v>
      </c>
      <c r="H4641" s="19"/>
    </row>
    <row r="4642">
      <c r="A4642" s="9"/>
      <c r="B4642" s="15"/>
      <c r="C4642" s="9">
        <f>IFERROR(__xludf.DUMMYFUNCTION("""COMPUTED_VALUE"""),44748.2310339583)</f>
        <v>44748.23103</v>
      </c>
      <c r="D4642" s="15">
        <f>IFERROR(__xludf.DUMMYFUNCTION("""COMPUTED_VALUE"""),1.004)</f>
        <v>1.004</v>
      </c>
      <c r="E4642" s="16">
        <f>IFERROR(__xludf.DUMMYFUNCTION("""COMPUTED_VALUE"""),67.0)</f>
        <v>67</v>
      </c>
      <c r="F4642" s="19" t="str">
        <f>IFERROR(__xludf.DUMMYFUNCTION("""COMPUTED_VALUE"""),"BLACK")</f>
        <v>BLACK</v>
      </c>
      <c r="G4642" s="20" t="str">
        <f>IFERROR(__xludf.DUMMYFUNCTION("""COMPUTED_VALUE"""),"Uncle Sams Cider (5/13/2022)")</f>
        <v>Uncle Sams Cider (5/13/2022)</v>
      </c>
      <c r="H4642" s="19"/>
    </row>
    <row r="4643">
      <c r="A4643" s="9"/>
      <c r="B4643" s="15"/>
      <c r="C4643" s="9">
        <f>IFERROR(__xludf.DUMMYFUNCTION("""COMPUTED_VALUE"""),44748.2206140277)</f>
        <v>44748.22061</v>
      </c>
      <c r="D4643" s="15">
        <f>IFERROR(__xludf.DUMMYFUNCTION("""COMPUTED_VALUE"""),1.004)</f>
        <v>1.004</v>
      </c>
      <c r="E4643" s="16">
        <f>IFERROR(__xludf.DUMMYFUNCTION("""COMPUTED_VALUE"""),67.0)</f>
        <v>67</v>
      </c>
      <c r="F4643" s="19" t="str">
        <f>IFERROR(__xludf.DUMMYFUNCTION("""COMPUTED_VALUE"""),"BLACK")</f>
        <v>BLACK</v>
      </c>
      <c r="G4643" s="20" t="str">
        <f>IFERROR(__xludf.DUMMYFUNCTION("""COMPUTED_VALUE"""),"Uncle Sams Cider (5/13/2022)")</f>
        <v>Uncle Sams Cider (5/13/2022)</v>
      </c>
      <c r="H4643" s="19"/>
    </row>
    <row r="4644">
      <c r="A4644" s="9"/>
      <c r="B4644" s="15"/>
      <c r="C4644" s="9">
        <f>IFERROR(__xludf.DUMMYFUNCTION("""COMPUTED_VALUE"""),44748.2101923148)</f>
        <v>44748.21019</v>
      </c>
      <c r="D4644" s="15">
        <f>IFERROR(__xludf.DUMMYFUNCTION("""COMPUTED_VALUE"""),1.004)</f>
        <v>1.004</v>
      </c>
      <c r="E4644" s="16">
        <f>IFERROR(__xludf.DUMMYFUNCTION("""COMPUTED_VALUE"""),67.0)</f>
        <v>67</v>
      </c>
      <c r="F4644" s="19" t="str">
        <f>IFERROR(__xludf.DUMMYFUNCTION("""COMPUTED_VALUE"""),"BLACK")</f>
        <v>BLACK</v>
      </c>
      <c r="G4644" s="20" t="str">
        <f>IFERROR(__xludf.DUMMYFUNCTION("""COMPUTED_VALUE"""),"Uncle Sams Cider (5/13/2022)")</f>
        <v>Uncle Sams Cider (5/13/2022)</v>
      </c>
      <c r="H4644" s="19"/>
    </row>
    <row r="4645">
      <c r="A4645" s="9"/>
      <c r="B4645" s="15"/>
      <c r="C4645" s="9">
        <f>IFERROR(__xludf.DUMMYFUNCTION("""COMPUTED_VALUE"""),44748.1997608796)</f>
        <v>44748.19976</v>
      </c>
      <c r="D4645" s="15">
        <f>IFERROR(__xludf.DUMMYFUNCTION("""COMPUTED_VALUE"""),1.004)</f>
        <v>1.004</v>
      </c>
      <c r="E4645" s="16">
        <f>IFERROR(__xludf.DUMMYFUNCTION("""COMPUTED_VALUE"""),67.0)</f>
        <v>67</v>
      </c>
      <c r="F4645" s="19" t="str">
        <f>IFERROR(__xludf.DUMMYFUNCTION("""COMPUTED_VALUE"""),"BLACK")</f>
        <v>BLACK</v>
      </c>
      <c r="G4645" s="20" t="str">
        <f>IFERROR(__xludf.DUMMYFUNCTION("""COMPUTED_VALUE"""),"Uncle Sams Cider (5/13/2022)")</f>
        <v>Uncle Sams Cider (5/13/2022)</v>
      </c>
      <c r="H4645" s="19"/>
    </row>
    <row r="4646">
      <c r="A4646" s="9"/>
      <c r="B4646" s="15"/>
      <c r="C4646" s="9">
        <f>IFERROR(__xludf.DUMMYFUNCTION("""COMPUTED_VALUE"""),44748.1893274537)</f>
        <v>44748.18933</v>
      </c>
      <c r="D4646" s="15">
        <f>IFERROR(__xludf.DUMMYFUNCTION("""COMPUTED_VALUE"""),1.004)</f>
        <v>1.004</v>
      </c>
      <c r="E4646" s="16">
        <f>IFERROR(__xludf.DUMMYFUNCTION("""COMPUTED_VALUE"""),67.0)</f>
        <v>67</v>
      </c>
      <c r="F4646" s="19" t="str">
        <f>IFERROR(__xludf.DUMMYFUNCTION("""COMPUTED_VALUE"""),"BLACK")</f>
        <v>BLACK</v>
      </c>
      <c r="G4646" s="20" t="str">
        <f>IFERROR(__xludf.DUMMYFUNCTION("""COMPUTED_VALUE"""),"Uncle Sams Cider (5/13/2022)")</f>
        <v>Uncle Sams Cider (5/13/2022)</v>
      </c>
      <c r="H4646" s="19"/>
    </row>
    <row r="4647">
      <c r="A4647" s="9"/>
      <c r="B4647" s="15"/>
      <c r="C4647" s="9">
        <f>IFERROR(__xludf.DUMMYFUNCTION("""COMPUTED_VALUE"""),44748.1789068287)</f>
        <v>44748.17891</v>
      </c>
      <c r="D4647" s="15">
        <f>IFERROR(__xludf.DUMMYFUNCTION("""COMPUTED_VALUE"""),1.004)</f>
        <v>1.004</v>
      </c>
      <c r="E4647" s="16">
        <f>IFERROR(__xludf.DUMMYFUNCTION("""COMPUTED_VALUE"""),67.0)</f>
        <v>67</v>
      </c>
      <c r="F4647" s="19" t="str">
        <f>IFERROR(__xludf.DUMMYFUNCTION("""COMPUTED_VALUE"""),"BLACK")</f>
        <v>BLACK</v>
      </c>
      <c r="G4647" s="20" t="str">
        <f>IFERROR(__xludf.DUMMYFUNCTION("""COMPUTED_VALUE"""),"Uncle Sams Cider (5/13/2022)")</f>
        <v>Uncle Sams Cider (5/13/2022)</v>
      </c>
      <c r="H4647" s="19"/>
    </row>
    <row r="4648">
      <c r="A4648" s="9"/>
      <c r="B4648" s="15"/>
      <c r="C4648" s="9">
        <f>IFERROR(__xludf.DUMMYFUNCTION("""COMPUTED_VALUE"""),44748.1684848958)</f>
        <v>44748.16848</v>
      </c>
      <c r="D4648" s="15">
        <f>IFERROR(__xludf.DUMMYFUNCTION("""COMPUTED_VALUE"""),1.004)</f>
        <v>1.004</v>
      </c>
      <c r="E4648" s="16">
        <f>IFERROR(__xludf.DUMMYFUNCTION("""COMPUTED_VALUE"""),67.0)</f>
        <v>67</v>
      </c>
      <c r="F4648" s="19" t="str">
        <f>IFERROR(__xludf.DUMMYFUNCTION("""COMPUTED_VALUE"""),"BLACK")</f>
        <v>BLACK</v>
      </c>
      <c r="G4648" s="20" t="str">
        <f>IFERROR(__xludf.DUMMYFUNCTION("""COMPUTED_VALUE"""),"Uncle Sams Cider (5/13/2022)")</f>
        <v>Uncle Sams Cider (5/13/2022)</v>
      </c>
      <c r="H4648" s="19"/>
    </row>
    <row r="4649">
      <c r="A4649" s="9"/>
      <c r="B4649" s="15"/>
      <c r="C4649" s="9">
        <f>IFERROR(__xludf.DUMMYFUNCTION("""COMPUTED_VALUE"""),44748.1580635648)</f>
        <v>44748.15806</v>
      </c>
      <c r="D4649" s="15">
        <f>IFERROR(__xludf.DUMMYFUNCTION("""COMPUTED_VALUE"""),1.004)</f>
        <v>1.004</v>
      </c>
      <c r="E4649" s="16">
        <f>IFERROR(__xludf.DUMMYFUNCTION("""COMPUTED_VALUE"""),67.0)</f>
        <v>67</v>
      </c>
      <c r="F4649" s="19" t="str">
        <f>IFERROR(__xludf.DUMMYFUNCTION("""COMPUTED_VALUE"""),"BLACK")</f>
        <v>BLACK</v>
      </c>
      <c r="G4649" s="20" t="str">
        <f>IFERROR(__xludf.DUMMYFUNCTION("""COMPUTED_VALUE"""),"Uncle Sams Cider (5/13/2022)")</f>
        <v>Uncle Sams Cider (5/13/2022)</v>
      </c>
      <c r="H4649" s="19"/>
    </row>
    <row r="4650">
      <c r="A4650" s="9"/>
      <c r="B4650" s="15"/>
      <c r="C4650" s="9">
        <f>IFERROR(__xludf.DUMMYFUNCTION("""COMPUTED_VALUE"""),44748.1476419791)</f>
        <v>44748.14764</v>
      </c>
      <c r="D4650" s="15">
        <f>IFERROR(__xludf.DUMMYFUNCTION("""COMPUTED_VALUE"""),1.004)</f>
        <v>1.004</v>
      </c>
      <c r="E4650" s="16">
        <f>IFERROR(__xludf.DUMMYFUNCTION("""COMPUTED_VALUE"""),67.0)</f>
        <v>67</v>
      </c>
      <c r="F4650" s="19" t="str">
        <f>IFERROR(__xludf.DUMMYFUNCTION("""COMPUTED_VALUE"""),"BLACK")</f>
        <v>BLACK</v>
      </c>
      <c r="G4650" s="20" t="str">
        <f>IFERROR(__xludf.DUMMYFUNCTION("""COMPUTED_VALUE"""),"Uncle Sams Cider (5/13/2022)")</f>
        <v>Uncle Sams Cider (5/13/2022)</v>
      </c>
      <c r="H4650" s="19"/>
    </row>
    <row r="4651">
      <c r="A4651" s="9"/>
      <c r="B4651" s="15"/>
      <c r="C4651" s="9">
        <f>IFERROR(__xludf.DUMMYFUNCTION("""COMPUTED_VALUE"""),44748.1372196296)</f>
        <v>44748.13722</v>
      </c>
      <c r="D4651" s="15">
        <f>IFERROR(__xludf.DUMMYFUNCTION("""COMPUTED_VALUE"""),1.004)</f>
        <v>1.004</v>
      </c>
      <c r="E4651" s="16">
        <f>IFERROR(__xludf.DUMMYFUNCTION("""COMPUTED_VALUE"""),67.0)</f>
        <v>67</v>
      </c>
      <c r="F4651" s="19" t="str">
        <f>IFERROR(__xludf.DUMMYFUNCTION("""COMPUTED_VALUE"""),"BLACK")</f>
        <v>BLACK</v>
      </c>
      <c r="G4651" s="20" t="str">
        <f>IFERROR(__xludf.DUMMYFUNCTION("""COMPUTED_VALUE"""),"Uncle Sams Cider (5/13/2022)")</f>
        <v>Uncle Sams Cider (5/13/2022)</v>
      </c>
      <c r="H4651" s="19"/>
    </row>
    <row r="4652">
      <c r="A4652" s="9"/>
      <c r="B4652" s="15"/>
      <c r="C4652" s="9">
        <f>IFERROR(__xludf.DUMMYFUNCTION("""COMPUTED_VALUE"""),44748.1267992592)</f>
        <v>44748.1268</v>
      </c>
      <c r="D4652" s="15">
        <f>IFERROR(__xludf.DUMMYFUNCTION("""COMPUTED_VALUE"""),1.005)</f>
        <v>1.005</v>
      </c>
      <c r="E4652" s="16">
        <f>IFERROR(__xludf.DUMMYFUNCTION("""COMPUTED_VALUE"""),67.0)</f>
        <v>67</v>
      </c>
      <c r="F4652" s="19" t="str">
        <f>IFERROR(__xludf.DUMMYFUNCTION("""COMPUTED_VALUE"""),"BLACK")</f>
        <v>BLACK</v>
      </c>
      <c r="G4652" s="20" t="str">
        <f>IFERROR(__xludf.DUMMYFUNCTION("""COMPUTED_VALUE"""),"Uncle Sams Cider (5/13/2022)")</f>
        <v>Uncle Sams Cider (5/13/2022)</v>
      </c>
      <c r="H4652" s="19"/>
    </row>
    <row r="4653">
      <c r="A4653" s="9"/>
      <c r="B4653" s="15"/>
      <c r="C4653" s="9">
        <f>IFERROR(__xludf.DUMMYFUNCTION("""COMPUTED_VALUE"""),44748.1163665393)</f>
        <v>44748.11637</v>
      </c>
      <c r="D4653" s="15">
        <f>IFERROR(__xludf.DUMMYFUNCTION("""COMPUTED_VALUE"""),1.004)</f>
        <v>1.004</v>
      </c>
      <c r="E4653" s="16">
        <f>IFERROR(__xludf.DUMMYFUNCTION("""COMPUTED_VALUE"""),67.0)</f>
        <v>67</v>
      </c>
      <c r="F4653" s="19" t="str">
        <f>IFERROR(__xludf.DUMMYFUNCTION("""COMPUTED_VALUE"""),"BLACK")</f>
        <v>BLACK</v>
      </c>
      <c r="G4653" s="20" t="str">
        <f>IFERROR(__xludf.DUMMYFUNCTION("""COMPUTED_VALUE"""),"Uncle Sams Cider (5/13/2022)")</f>
        <v>Uncle Sams Cider (5/13/2022)</v>
      </c>
      <c r="H4653" s="19"/>
    </row>
    <row r="4654">
      <c r="A4654" s="9"/>
      <c r="B4654" s="15"/>
      <c r="C4654" s="9">
        <f>IFERROR(__xludf.DUMMYFUNCTION("""COMPUTED_VALUE"""),44748.1059440162)</f>
        <v>44748.10594</v>
      </c>
      <c r="D4654" s="15">
        <f>IFERROR(__xludf.DUMMYFUNCTION("""COMPUTED_VALUE"""),1.004)</f>
        <v>1.004</v>
      </c>
      <c r="E4654" s="16">
        <f>IFERROR(__xludf.DUMMYFUNCTION("""COMPUTED_VALUE"""),67.0)</f>
        <v>67</v>
      </c>
      <c r="F4654" s="19" t="str">
        <f>IFERROR(__xludf.DUMMYFUNCTION("""COMPUTED_VALUE"""),"BLACK")</f>
        <v>BLACK</v>
      </c>
      <c r="G4654" s="20" t="str">
        <f>IFERROR(__xludf.DUMMYFUNCTION("""COMPUTED_VALUE"""),"Uncle Sams Cider (5/13/2022)")</f>
        <v>Uncle Sams Cider (5/13/2022)</v>
      </c>
      <c r="H4654" s="19"/>
    </row>
    <row r="4655">
      <c r="A4655" s="9"/>
      <c r="B4655" s="15"/>
      <c r="C4655" s="9">
        <f>IFERROR(__xludf.DUMMYFUNCTION("""COMPUTED_VALUE"""),44748.0955224537)</f>
        <v>44748.09552</v>
      </c>
      <c r="D4655" s="15">
        <f>IFERROR(__xludf.DUMMYFUNCTION("""COMPUTED_VALUE"""),1.004)</f>
        <v>1.004</v>
      </c>
      <c r="E4655" s="16">
        <f>IFERROR(__xludf.DUMMYFUNCTION("""COMPUTED_VALUE"""),67.0)</f>
        <v>67</v>
      </c>
      <c r="F4655" s="19" t="str">
        <f>IFERROR(__xludf.DUMMYFUNCTION("""COMPUTED_VALUE"""),"BLACK")</f>
        <v>BLACK</v>
      </c>
      <c r="G4655" s="20" t="str">
        <f>IFERROR(__xludf.DUMMYFUNCTION("""COMPUTED_VALUE"""),"Uncle Sams Cider (5/13/2022)")</f>
        <v>Uncle Sams Cider (5/13/2022)</v>
      </c>
      <c r="H4655" s="19"/>
    </row>
    <row r="4656">
      <c r="A4656" s="9"/>
      <c r="B4656" s="15"/>
      <c r="C4656" s="9">
        <f>IFERROR(__xludf.DUMMYFUNCTION("""COMPUTED_VALUE"""),44748.0850659837)</f>
        <v>44748.08507</v>
      </c>
      <c r="D4656" s="15">
        <f>IFERROR(__xludf.DUMMYFUNCTION("""COMPUTED_VALUE"""),1.004)</f>
        <v>1.004</v>
      </c>
      <c r="E4656" s="16">
        <f>IFERROR(__xludf.DUMMYFUNCTION("""COMPUTED_VALUE"""),67.0)</f>
        <v>67</v>
      </c>
      <c r="F4656" s="19" t="str">
        <f>IFERROR(__xludf.DUMMYFUNCTION("""COMPUTED_VALUE"""),"BLACK")</f>
        <v>BLACK</v>
      </c>
      <c r="G4656" s="20" t="str">
        <f>IFERROR(__xludf.DUMMYFUNCTION("""COMPUTED_VALUE"""),"Uncle Sams Cider (5/13/2022)")</f>
        <v>Uncle Sams Cider (5/13/2022)</v>
      </c>
      <c r="H4656" s="19"/>
    </row>
    <row r="4657">
      <c r="A4657" s="9"/>
      <c r="B4657" s="15"/>
      <c r="C4657" s="9">
        <f>IFERROR(__xludf.DUMMYFUNCTION("""COMPUTED_VALUE"""),44748.0746458912)</f>
        <v>44748.07465</v>
      </c>
      <c r="D4657" s="15">
        <f>IFERROR(__xludf.DUMMYFUNCTION("""COMPUTED_VALUE"""),1.005)</f>
        <v>1.005</v>
      </c>
      <c r="E4657" s="16">
        <f>IFERROR(__xludf.DUMMYFUNCTION("""COMPUTED_VALUE"""),67.0)</f>
        <v>67</v>
      </c>
      <c r="F4657" s="19" t="str">
        <f>IFERROR(__xludf.DUMMYFUNCTION("""COMPUTED_VALUE"""),"BLACK")</f>
        <v>BLACK</v>
      </c>
      <c r="G4657" s="20" t="str">
        <f>IFERROR(__xludf.DUMMYFUNCTION("""COMPUTED_VALUE"""),"Uncle Sams Cider (5/13/2022)")</f>
        <v>Uncle Sams Cider (5/13/2022)</v>
      </c>
      <c r="H4657" s="19"/>
    </row>
    <row r="4658">
      <c r="A4658" s="9"/>
      <c r="B4658" s="15"/>
      <c r="C4658" s="9">
        <f>IFERROR(__xludf.DUMMYFUNCTION("""COMPUTED_VALUE"""),44748.0642240509)</f>
        <v>44748.06422</v>
      </c>
      <c r="D4658" s="15">
        <f>IFERROR(__xludf.DUMMYFUNCTION("""COMPUTED_VALUE"""),1.004)</f>
        <v>1.004</v>
      </c>
      <c r="E4658" s="16">
        <f>IFERROR(__xludf.DUMMYFUNCTION("""COMPUTED_VALUE"""),67.0)</f>
        <v>67</v>
      </c>
      <c r="F4658" s="19" t="str">
        <f>IFERROR(__xludf.DUMMYFUNCTION("""COMPUTED_VALUE"""),"BLACK")</f>
        <v>BLACK</v>
      </c>
      <c r="G4658" s="20" t="str">
        <f>IFERROR(__xludf.DUMMYFUNCTION("""COMPUTED_VALUE"""),"Uncle Sams Cider (5/13/2022)")</f>
        <v>Uncle Sams Cider (5/13/2022)</v>
      </c>
      <c r="H4658" s="19"/>
    </row>
    <row r="4659">
      <c r="A4659" s="9"/>
      <c r="B4659" s="15"/>
      <c r="C4659" s="9">
        <f>IFERROR(__xludf.DUMMYFUNCTION("""COMPUTED_VALUE"""),44748.0538014814)</f>
        <v>44748.0538</v>
      </c>
      <c r="D4659" s="15">
        <f>IFERROR(__xludf.DUMMYFUNCTION("""COMPUTED_VALUE"""),1.004)</f>
        <v>1.004</v>
      </c>
      <c r="E4659" s="16">
        <f>IFERROR(__xludf.DUMMYFUNCTION("""COMPUTED_VALUE"""),67.0)</f>
        <v>67</v>
      </c>
      <c r="F4659" s="19" t="str">
        <f>IFERROR(__xludf.DUMMYFUNCTION("""COMPUTED_VALUE"""),"BLACK")</f>
        <v>BLACK</v>
      </c>
      <c r="G4659" s="20" t="str">
        <f>IFERROR(__xludf.DUMMYFUNCTION("""COMPUTED_VALUE"""),"Uncle Sams Cider (5/13/2022)")</f>
        <v>Uncle Sams Cider (5/13/2022)</v>
      </c>
      <c r="H4659" s="19"/>
    </row>
    <row r="4660">
      <c r="A4660" s="9"/>
      <c r="B4660" s="15"/>
      <c r="C4660" s="9">
        <f>IFERROR(__xludf.DUMMYFUNCTION("""COMPUTED_VALUE"""),44748.043378993)</f>
        <v>44748.04338</v>
      </c>
      <c r="D4660" s="15">
        <f>IFERROR(__xludf.DUMMYFUNCTION("""COMPUTED_VALUE"""),1.004)</f>
        <v>1.004</v>
      </c>
      <c r="E4660" s="16">
        <f>IFERROR(__xludf.DUMMYFUNCTION("""COMPUTED_VALUE"""),67.0)</f>
        <v>67</v>
      </c>
      <c r="F4660" s="19" t="str">
        <f>IFERROR(__xludf.DUMMYFUNCTION("""COMPUTED_VALUE"""),"BLACK")</f>
        <v>BLACK</v>
      </c>
      <c r="G4660" s="20" t="str">
        <f>IFERROR(__xludf.DUMMYFUNCTION("""COMPUTED_VALUE"""),"Uncle Sams Cider (5/13/2022)")</f>
        <v>Uncle Sams Cider (5/13/2022)</v>
      </c>
      <c r="H4660" s="19"/>
    </row>
    <row r="4661">
      <c r="A4661" s="9"/>
      <c r="B4661" s="15"/>
      <c r="C4661" s="9">
        <f>IFERROR(__xludf.DUMMYFUNCTION("""COMPUTED_VALUE"""),44748.0329584375)</f>
        <v>44748.03296</v>
      </c>
      <c r="D4661" s="15">
        <f>IFERROR(__xludf.DUMMYFUNCTION("""COMPUTED_VALUE"""),1.004)</f>
        <v>1.004</v>
      </c>
      <c r="E4661" s="16">
        <f>IFERROR(__xludf.DUMMYFUNCTION("""COMPUTED_VALUE"""),67.0)</f>
        <v>67</v>
      </c>
      <c r="F4661" s="19" t="str">
        <f>IFERROR(__xludf.DUMMYFUNCTION("""COMPUTED_VALUE"""),"BLACK")</f>
        <v>BLACK</v>
      </c>
      <c r="G4661" s="20" t="str">
        <f>IFERROR(__xludf.DUMMYFUNCTION("""COMPUTED_VALUE"""),"Uncle Sams Cider (5/13/2022)")</f>
        <v>Uncle Sams Cider (5/13/2022)</v>
      </c>
      <c r="H4661" s="19"/>
    </row>
    <row r="4662">
      <c r="A4662" s="9"/>
      <c r="B4662" s="15"/>
      <c r="C4662" s="9">
        <f>IFERROR(__xludf.DUMMYFUNCTION("""COMPUTED_VALUE"""),44748.0225386111)</f>
        <v>44748.02254</v>
      </c>
      <c r="D4662" s="15">
        <f>IFERROR(__xludf.DUMMYFUNCTION("""COMPUTED_VALUE"""),1.004)</f>
        <v>1.004</v>
      </c>
      <c r="E4662" s="16">
        <f>IFERROR(__xludf.DUMMYFUNCTION("""COMPUTED_VALUE"""),67.0)</f>
        <v>67</v>
      </c>
      <c r="F4662" s="19" t="str">
        <f>IFERROR(__xludf.DUMMYFUNCTION("""COMPUTED_VALUE"""),"BLACK")</f>
        <v>BLACK</v>
      </c>
      <c r="G4662" s="20" t="str">
        <f>IFERROR(__xludf.DUMMYFUNCTION("""COMPUTED_VALUE"""),"Uncle Sams Cider (5/13/2022)")</f>
        <v>Uncle Sams Cider (5/13/2022)</v>
      </c>
      <c r="H4662" s="19"/>
    </row>
    <row r="4663">
      <c r="A4663" s="9"/>
      <c r="B4663" s="15"/>
      <c r="C4663" s="9">
        <f>IFERROR(__xludf.DUMMYFUNCTION("""COMPUTED_VALUE"""),44748.012116875)</f>
        <v>44748.01212</v>
      </c>
      <c r="D4663" s="15">
        <f>IFERROR(__xludf.DUMMYFUNCTION("""COMPUTED_VALUE"""),1.004)</f>
        <v>1.004</v>
      </c>
      <c r="E4663" s="16">
        <f>IFERROR(__xludf.DUMMYFUNCTION("""COMPUTED_VALUE"""),67.0)</f>
        <v>67</v>
      </c>
      <c r="F4663" s="19" t="str">
        <f>IFERROR(__xludf.DUMMYFUNCTION("""COMPUTED_VALUE"""),"BLACK")</f>
        <v>BLACK</v>
      </c>
      <c r="G4663" s="20" t="str">
        <f>IFERROR(__xludf.DUMMYFUNCTION("""COMPUTED_VALUE"""),"Uncle Sams Cider (5/13/2022)")</f>
        <v>Uncle Sams Cider (5/13/2022)</v>
      </c>
      <c r="H4663" s="19"/>
    </row>
    <row r="4664">
      <c r="A4664" s="9"/>
      <c r="B4664" s="15"/>
      <c r="C4664" s="9">
        <f>IFERROR(__xludf.DUMMYFUNCTION("""COMPUTED_VALUE"""),44748.0016842476)</f>
        <v>44748.00168</v>
      </c>
      <c r="D4664" s="15">
        <f>IFERROR(__xludf.DUMMYFUNCTION("""COMPUTED_VALUE"""),1.005)</f>
        <v>1.005</v>
      </c>
      <c r="E4664" s="16">
        <f>IFERROR(__xludf.DUMMYFUNCTION("""COMPUTED_VALUE"""),66.0)</f>
        <v>66</v>
      </c>
      <c r="F4664" s="19" t="str">
        <f>IFERROR(__xludf.DUMMYFUNCTION("""COMPUTED_VALUE"""),"BLACK")</f>
        <v>BLACK</v>
      </c>
      <c r="G4664" s="20" t="str">
        <f>IFERROR(__xludf.DUMMYFUNCTION("""COMPUTED_VALUE"""),"Uncle Sams Cider (5/13/2022)")</f>
        <v>Uncle Sams Cider (5/13/2022)</v>
      </c>
      <c r="H4664" s="19"/>
    </row>
    <row r="4665">
      <c r="A4665" s="9"/>
      <c r="B4665" s="15"/>
      <c r="C4665" s="9">
        <f>IFERROR(__xludf.DUMMYFUNCTION("""COMPUTED_VALUE"""),44747.9912633101)</f>
        <v>44747.99126</v>
      </c>
      <c r="D4665" s="15">
        <f>IFERROR(__xludf.DUMMYFUNCTION("""COMPUTED_VALUE"""),1.004)</f>
        <v>1.004</v>
      </c>
      <c r="E4665" s="16">
        <f>IFERROR(__xludf.DUMMYFUNCTION("""COMPUTED_VALUE"""),67.0)</f>
        <v>67</v>
      </c>
      <c r="F4665" s="19" t="str">
        <f>IFERROR(__xludf.DUMMYFUNCTION("""COMPUTED_VALUE"""),"BLACK")</f>
        <v>BLACK</v>
      </c>
      <c r="G4665" s="20" t="str">
        <f>IFERROR(__xludf.DUMMYFUNCTION("""COMPUTED_VALUE"""),"Uncle Sams Cider (5/13/2022)")</f>
        <v>Uncle Sams Cider (5/13/2022)</v>
      </c>
      <c r="H4665" s="19"/>
    </row>
    <row r="4666">
      <c r="A4666" s="9"/>
      <c r="B4666" s="15"/>
      <c r="C4666" s="9">
        <f>IFERROR(__xludf.DUMMYFUNCTION("""COMPUTED_VALUE"""),44747.9808418171)</f>
        <v>44747.98084</v>
      </c>
      <c r="D4666" s="15">
        <f>IFERROR(__xludf.DUMMYFUNCTION("""COMPUTED_VALUE"""),1.004)</f>
        <v>1.004</v>
      </c>
      <c r="E4666" s="16">
        <f>IFERROR(__xludf.DUMMYFUNCTION("""COMPUTED_VALUE"""),66.0)</f>
        <v>66</v>
      </c>
      <c r="F4666" s="19" t="str">
        <f>IFERROR(__xludf.DUMMYFUNCTION("""COMPUTED_VALUE"""),"BLACK")</f>
        <v>BLACK</v>
      </c>
      <c r="G4666" s="20" t="str">
        <f>IFERROR(__xludf.DUMMYFUNCTION("""COMPUTED_VALUE"""),"Uncle Sams Cider (5/13/2022)")</f>
        <v>Uncle Sams Cider (5/13/2022)</v>
      </c>
      <c r="H4666" s="19"/>
    </row>
    <row r="4667">
      <c r="A4667" s="9"/>
      <c r="B4667" s="15"/>
      <c r="C4667" s="9">
        <f>IFERROR(__xludf.DUMMYFUNCTION("""COMPUTED_VALUE"""),44747.9704186226)</f>
        <v>44747.97042</v>
      </c>
      <c r="D4667" s="15">
        <f>IFERROR(__xludf.DUMMYFUNCTION("""COMPUTED_VALUE"""),1.004)</f>
        <v>1.004</v>
      </c>
      <c r="E4667" s="16">
        <f>IFERROR(__xludf.DUMMYFUNCTION("""COMPUTED_VALUE"""),66.0)</f>
        <v>66</v>
      </c>
      <c r="F4667" s="19" t="str">
        <f>IFERROR(__xludf.DUMMYFUNCTION("""COMPUTED_VALUE"""),"BLACK")</f>
        <v>BLACK</v>
      </c>
      <c r="G4667" s="20" t="str">
        <f>IFERROR(__xludf.DUMMYFUNCTION("""COMPUTED_VALUE"""),"Uncle Sams Cider (5/13/2022)")</f>
        <v>Uncle Sams Cider (5/13/2022)</v>
      </c>
      <c r="H4667" s="19"/>
    </row>
    <row r="4668">
      <c r="A4668" s="9"/>
      <c r="B4668" s="15"/>
      <c r="C4668" s="9">
        <f>IFERROR(__xludf.DUMMYFUNCTION("""COMPUTED_VALUE"""),44747.959997824)</f>
        <v>44747.96</v>
      </c>
      <c r="D4668" s="15">
        <f>IFERROR(__xludf.DUMMYFUNCTION("""COMPUTED_VALUE"""),1.005)</f>
        <v>1.005</v>
      </c>
      <c r="E4668" s="16">
        <f>IFERROR(__xludf.DUMMYFUNCTION("""COMPUTED_VALUE"""),66.0)</f>
        <v>66</v>
      </c>
      <c r="F4668" s="19" t="str">
        <f>IFERROR(__xludf.DUMMYFUNCTION("""COMPUTED_VALUE"""),"BLACK")</f>
        <v>BLACK</v>
      </c>
      <c r="G4668" s="20" t="str">
        <f>IFERROR(__xludf.DUMMYFUNCTION("""COMPUTED_VALUE"""),"Uncle Sams Cider (5/13/2022)")</f>
        <v>Uncle Sams Cider (5/13/2022)</v>
      </c>
      <c r="H4668" s="19"/>
    </row>
    <row r="4669">
      <c r="A4669" s="9"/>
      <c r="B4669" s="15"/>
      <c r="C4669" s="9">
        <f>IFERROR(__xludf.DUMMYFUNCTION("""COMPUTED_VALUE"""),44747.9495767245)</f>
        <v>44747.94958</v>
      </c>
      <c r="D4669" s="15">
        <f>IFERROR(__xludf.DUMMYFUNCTION("""COMPUTED_VALUE"""),1.005)</f>
        <v>1.005</v>
      </c>
      <c r="E4669" s="16">
        <f>IFERROR(__xludf.DUMMYFUNCTION("""COMPUTED_VALUE"""),66.0)</f>
        <v>66</v>
      </c>
      <c r="F4669" s="19" t="str">
        <f>IFERROR(__xludf.DUMMYFUNCTION("""COMPUTED_VALUE"""),"BLACK")</f>
        <v>BLACK</v>
      </c>
      <c r="G4669" s="20" t="str">
        <f>IFERROR(__xludf.DUMMYFUNCTION("""COMPUTED_VALUE"""),"Uncle Sams Cider (5/13/2022)")</f>
        <v>Uncle Sams Cider (5/13/2022)</v>
      </c>
      <c r="H4669" s="19"/>
    </row>
    <row r="4670">
      <c r="A4670" s="9"/>
      <c r="B4670" s="15"/>
      <c r="C4670" s="9">
        <f>IFERROR(__xludf.DUMMYFUNCTION("""COMPUTED_VALUE"""),44747.9391450694)</f>
        <v>44747.93915</v>
      </c>
      <c r="D4670" s="15">
        <f>IFERROR(__xludf.DUMMYFUNCTION("""COMPUTED_VALUE"""),1.004)</f>
        <v>1.004</v>
      </c>
      <c r="E4670" s="16">
        <f>IFERROR(__xludf.DUMMYFUNCTION("""COMPUTED_VALUE"""),66.0)</f>
        <v>66</v>
      </c>
      <c r="F4670" s="19" t="str">
        <f>IFERROR(__xludf.DUMMYFUNCTION("""COMPUTED_VALUE"""),"BLACK")</f>
        <v>BLACK</v>
      </c>
      <c r="G4670" s="20" t="str">
        <f>IFERROR(__xludf.DUMMYFUNCTION("""COMPUTED_VALUE"""),"Uncle Sams Cider (5/13/2022)")</f>
        <v>Uncle Sams Cider (5/13/2022)</v>
      </c>
      <c r="H4670" s="19"/>
    </row>
    <row r="4671">
      <c r="A4671" s="9"/>
      <c r="B4671" s="15"/>
      <c r="C4671" s="9">
        <f>IFERROR(__xludf.DUMMYFUNCTION("""COMPUTED_VALUE"""),44747.928724456)</f>
        <v>44747.92872</v>
      </c>
      <c r="D4671" s="15">
        <f>IFERROR(__xludf.DUMMYFUNCTION("""COMPUTED_VALUE"""),1.004)</f>
        <v>1.004</v>
      </c>
      <c r="E4671" s="16">
        <f>IFERROR(__xludf.DUMMYFUNCTION("""COMPUTED_VALUE"""),66.0)</f>
        <v>66</v>
      </c>
      <c r="F4671" s="19" t="str">
        <f>IFERROR(__xludf.DUMMYFUNCTION("""COMPUTED_VALUE"""),"BLACK")</f>
        <v>BLACK</v>
      </c>
      <c r="G4671" s="20" t="str">
        <f>IFERROR(__xludf.DUMMYFUNCTION("""COMPUTED_VALUE"""),"Uncle Sams Cider (5/13/2022)")</f>
        <v>Uncle Sams Cider (5/13/2022)</v>
      </c>
      <c r="H4671" s="19"/>
    </row>
    <row r="4672">
      <c r="A4672" s="9"/>
      <c r="B4672" s="15"/>
      <c r="C4672" s="9">
        <f>IFERROR(__xludf.DUMMYFUNCTION("""COMPUTED_VALUE"""),44747.9183017476)</f>
        <v>44747.9183</v>
      </c>
      <c r="D4672" s="15">
        <f>IFERROR(__xludf.DUMMYFUNCTION("""COMPUTED_VALUE"""),1.004)</f>
        <v>1.004</v>
      </c>
      <c r="E4672" s="16">
        <f>IFERROR(__xludf.DUMMYFUNCTION("""COMPUTED_VALUE"""),66.0)</f>
        <v>66</v>
      </c>
      <c r="F4672" s="19" t="str">
        <f>IFERROR(__xludf.DUMMYFUNCTION("""COMPUTED_VALUE"""),"BLACK")</f>
        <v>BLACK</v>
      </c>
      <c r="G4672" s="20" t="str">
        <f>IFERROR(__xludf.DUMMYFUNCTION("""COMPUTED_VALUE"""),"Uncle Sams Cider (5/13/2022)")</f>
        <v>Uncle Sams Cider (5/13/2022)</v>
      </c>
      <c r="H4672" s="19"/>
    </row>
    <row r="4673">
      <c r="A4673" s="9"/>
      <c r="B4673" s="15"/>
      <c r="C4673" s="9">
        <f>IFERROR(__xludf.DUMMYFUNCTION("""COMPUTED_VALUE"""),44747.9078809027)</f>
        <v>44747.90788</v>
      </c>
      <c r="D4673" s="15">
        <f>IFERROR(__xludf.DUMMYFUNCTION("""COMPUTED_VALUE"""),1.005)</f>
        <v>1.005</v>
      </c>
      <c r="E4673" s="16">
        <f>IFERROR(__xludf.DUMMYFUNCTION("""COMPUTED_VALUE"""),66.0)</f>
        <v>66</v>
      </c>
      <c r="F4673" s="19" t="str">
        <f>IFERROR(__xludf.DUMMYFUNCTION("""COMPUTED_VALUE"""),"BLACK")</f>
        <v>BLACK</v>
      </c>
      <c r="G4673" s="20" t="str">
        <f>IFERROR(__xludf.DUMMYFUNCTION("""COMPUTED_VALUE"""),"Uncle Sams Cider (5/13/2022)")</f>
        <v>Uncle Sams Cider (5/13/2022)</v>
      </c>
      <c r="H4673" s="19"/>
    </row>
    <row r="4674">
      <c r="A4674" s="9"/>
      <c r="B4674" s="15"/>
      <c r="C4674" s="9">
        <f>IFERROR(__xludf.DUMMYFUNCTION("""COMPUTED_VALUE"""),44747.8974253703)</f>
        <v>44747.89743</v>
      </c>
      <c r="D4674" s="15">
        <f>IFERROR(__xludf.DUMMYFUNCTION("""COMPUTED_VALUE"""),1.005)</f>
        <v>1.005</v>
      </c>
      <c r="E4674" s="16">
        <f>IFERROR(__xludf.DUMMYFUNCTION("""COMPUTED_VALUE"""),66.0)</f>
        <v>66</v>
      </c>
      <c r="F4674" s="19" t="str">
        <f>IFERROR(__xludf.DUMMYFUNCTION("""COMPUTED_VALUE"""),"BLACK")</f>
        <v>BLACK</v>
      </c>
      <c r="G4674" s="20" t="str">
        <f>IFERROR(__xludf.DUMMYFUNCTION("""COMPUTED_VALUE"""),"Uncle Sams Cider (5/13/2022)")</f>
        <v>Uncle Sams Cider (5/13/2022)</v>
      </c>
      <c r="H4674" s="19"/>
    </row>
    <row r="4675">
      <c r="A4675" s="9"/>
      <c r="B4675" s="15"/>
      <c r="C4675" s="9">
        <f>IFERROR(__xludf.DUMMYFUNCTION("""COMPUTED_VALUE"""),44747.8869802662)</f>
        <v>44747.88698</v>
      </c>
      <c r="D4675" s="15">
        <f>IFERROR(__xludf.DUMMYFUNCTION("""COMPUTED_VALUE"""),1.004)</f>
        <v>1.004</v>
      </c>
      <c r="E4675" s="16">
        <f>IFERROR(__xludf.DUMMYFUNCTION("""COMPUTED_VALUE"""),66.0)</f>
        <v>66</v>
      </c>
      <c r="F4675" s="19" t="str">
        <f>IFERROR(__xludf.DUMMYFUNCTION("""COMPUTED_VALUE"""),"BLACK")</f>
        <v>BLACK</v>
      </c>
      <c r="G4675" s="20" t="str">
        <f>IFERROR(__xludf.DUMMYFUNCTION("""COMPUTED_VALUE"""),"Uncle Sams Cider (5/13/2022)")</f>
        <v>Uncle Sams Cider (5/13/2022)</v>
      </c>
      <c r="H4675" s="19"/>
    </row>
    <row r="4676">
      <c r="A4676" s="9"/>
      <c r="B4676" s="15"/>
      <c r="C4676" s="9">
        <f>IFERROR(__xludf.DUMMYFUNCTION("""COMPUTED_VALUE"""),44747.8765479745)</f>
        <v>44747.87655</v>
      </c>
      <c r="D4676" s="15">
        <f>IFERROR(__xludf.DUMMYFUNCTION("""COMPUTED_VALUE"""),1.004)</f>
        <v>1.004</v>
      </c>
      <c r="E4676" s="16">
        <f>IFERROR(__xludf.DUMMYFUNCTION("""COMPUTED_VALUE"""),66.0)</f>
        <v>66</v>
      </c>
      <c r="F4676" s="19" t="str">
        <f>IFERROR(__xludf.DUMMYFUNCTION("""COMPUTED_VALUE"""),"BLACK")</f>
        <v>BLACK</v>
      </c>
      <c r="G4676" s="20" t="str">
        <f>IFERROR(__xludf.DUMMYFUNCTION("""COMPUTED_VALUE"""),"Uncle Sams Cider (5/13/2022)")</f>
        <v>Uncle Sams Cider (5/13/2022)</v>
      </c>
      <c r="H4676" s="19"/>
    </row>
    <row r="4677">
      <c r="A4677" s="9"/>
      <c r="B4677" s="15"/>
      <c r="C4677" s="9">
        <f>IFERROR(__xludf.DUMMYFUNCTION("""COMPUTED_VALUE"""),44747.8661285185)</f>
        <v>44747.86613</v>
      </c>
      <c r="D4677" s="15">
        <f>IFERROR(__xludf.DUMMYFUNCTION("""COMPUTED_VALUE"""),1.004)</f>
        <v>1.004</v>
      </c>
      <c r="E4677" s="16">
        <f>IFERROR(__xludf.DUMMYFUNCTION("""COMPUTED_VALUE"""),66.0)</f>
        <v>66</v>
      </c>
      <c r="F4677" s="19" t="str">
        <f>IFERROR(__xludf.DUMMYFUNCTION("""COMPUTED_VALUE"""),"BLACK")</f>
        <v>BLACK</v>
      </c>
      <c r="G4677" s="20" t="str">
        <f>IFERROR(__xludf.DUMMYFUNCTION("""COMPUTED_VALUE"""),"Uncle Sams Cider (5/13/2022)")</f>
        <v>Uncle Sams Cider (5/13/2022)</v>
      </c>
      <c r="H4677" s="19"/>
    </row>
    <row r="4678">
      <c r="A4678" s="9"/>
      <c r="B4678" s="15"/>
      <c r="C4678" s="9">
        <f>IFERROR(__xludf.DUMMYFUNCTION("""COMPUTED_VALUE"""),44747.8557083912)</f>
        <v>44747.85571</v>
      </c>
      <c r="D4678" s="15">
        <f>IFERROR(__xludf.DUMMYFUNCTION("""COMPUTED_VALUE"""),1.005)</f>
        <v>1.005</v>
      </c>
      <c r="E4678" s="16">
        <f>IFERROR(__xludf.DUMMYFUNCTION("""COMPUTED_VALUE"""),66.0)</f>
        <v>66</v>
      </c>
      <c r="F4678" s="19" t="str">
        <f>IFERROR(__xludf.DUMMYFUNCTION("""COMPUTED_VALUE"""),"BLACK")</f>
        <v>BLACK</v>
      </c>
      <c r="G4678" s="20" t="str">
        <f>IFERROR(__xludf.DUMMYFUNCTION("""COMPUTED_VALUE"""),"Uncle Sams Cider (5/13/2022)")</f>
        <v>Uncle Sams Cider (5/13/2022)</v>
      </c>
      <c r="H4678" s="19"/>
    </row>
    <row r="4679">
      <c r="A4679" s="9"/>
      <c r="B4679" s="15"/>
      <c r="C4679" s="9">
        <f>IFERROR(__xludf.DUMMYFUNCTION("""COMPUTED_VALUE"""),44747.8452759375)</f>
        <v>44747.84528</v>
      </c>
      <c r="D4679" s="15">
        <f>IFERROR(__xludf.DUMMYFUNCTION("""COMPUTED_VALUE"""),1.004)</f>
        <v>1.004</v>
      </c>
      <c r="E4679" s="16">
        <f>IFERROR(__xludf.DUMMYFUNCTION("""COMPUTED_VALUE"""),66.0)</f>
        <v>66</v>
      </c>
      <c r="F4679" s="19" t="str">
        <f>IFERROR(__xludf.DUMMYFUNCTION("""COMPUTED_VALUE"""),"BLACK")</f>
        <v>BLACK</v>
      </c>
      <c r="G4679" s="20" t="str">
        <f>IFERROR(__xludf.DUMMYFUNCTION("""COMPUTED_VALUE"""),"Uncle Sams Cider (5/13/2022)")</f>
        <v>Uncle Sams Cider (5/13/2022)</v>
      </c>
      <c r="H4679" s="19"/>
    </row>
    <row r="4680">
      <c r="A4680" s="9"/>
      <c r="B4680" s="15"/>
      <c r="C4680" s="9">
        <f>IFERROR(__xludf.DUMMYFUNCTION("""COMPUTED_VALUE"""),44747.8348538888)</f>
        <v>44747.83485</v>
      </c>
      <c r="D4680" s="15">
        <f>IFERROR(__xludf.DUMMYFUNCTION("""COMPUTED_VALUE"""),1.004)</f>
        <v>1.004</v>
      </c>
      <c r="E4680" s="16">
        <f>IFERROR(__xludf.DUMMYFUNCTION("""COMPUTED_VALUE"""),66.0)</f>
        <v>66</v>
      </c>
      <c r="F4680" s="19" t="str">
        <f>IFERROR(__xludf.DUMMYFUNCTION("""COMPUTED_VALUE"""),"BLACK")</f>
        <v>BLACK</v>
      </c>
      <c r="G4680" s="20" t="str">
        <f>IFERROR(__xludf.DUMMYFUNCTION("""COMPUTED_VALUE"""),"Uncle Sams Cider (5/13/2022)")</f>
        <v>Uncle Sams Cider (5/13/2022)</v>
      </c>
      <c r="H4680" s="19"/>
    </row>
    <row r="4681">
      <c r="A4681" s="9"/>
      <c r="B4681" s="15"/>
      <c r="C4681" s="9">
        <f>IFERROR(__xludf.DUMMYFUNCTION("""COMPUTED_VALUE"""),44747.8244317013)</f>
        <v>44747.82443</v>
      </c>
      <c r="D4681" s="15">
        <f>IFERROR(__xludf.DUMMYFUNCTION("""COMPUTED_VALUE"""),1.005)</f>
        <v>1.005</v>
      </c>
      <c r="E4681" s="16">
        <f>IFERROR(__xludf.DUMMYFUNCTION("""COMPUTED_VALUE"""),66.0)</f>
        <v>66</v>
      </c>
      <c r="F4681" s="19" t="str">
        <f>IFERROR(__xludf.DUMMYFUNCTION("""COMPUTED_VALUE"""),"BLACK")</f>
        <v>BLACK</v>
      </c>
      <c r="G4681" s="20" t="str">
        <f>IFERROR(__xludf.DUMMYFUNCTION("""COMPUTED_VALUE"""),"Uncle Sams Cider (5/13/2022)")</f>
        <v>Uncle Sams Cider (5/13/2022)</v>
      </c>
      <c r="H4681" s="19"/>
    </row>
    <row r="4682">
      <c r="A4682" s="9"/>
      <c r="B4682" s="15"/>
      <c r="C4682" s="9">
        <f>IFERROR(__xludf.DUMMYFUNCTION("""COMPUTED_VALUE"""),44747.8140098726)</f>
        <v>44747.81401</v>
      </c>
      <c r="D4682" s="15">
        <f>IFERROR(__xludf.DUMMYFUNCTION("""COMPUTED_VALUE"""),1.004)</f>
        <v>1.004</v>
      </c>
      <c r="E4682" s="16">
        <f>IFERROR(__xludf.DUMMYFUNCTION("""COMPUTED_VALUE"""),66.0)</f>
        <v>66</v>
      </c>
      <c r="F4682" s="19" t="str">
        <f>IFERROR(__xludf.DUMMYFUNCTION("""COMPUTED_VALUE"""),"BLACK")</f>
        <v>BLACK</v>
      </c>
      <c r="G4682" s="20" t="str">
        <f>IFERROR(__xludf.DUMMYFUNCTION("""COMPUTED_VALUE"""),"Uncle Sams Cider (5/13/2022)")</f>
        <v>Uncle Sams Cider (5/13/2022)</v>
      </c>
      <c r="H4682" s="19"/>
    </row>
    <row r="4683">
      <c r="A4683" s="9"/>
      <c r="B4683" s="15"/>
      <c r="C4683" s="9">
        <f>IFERROR(__xludf.DUMMYFUNCTION("""COMPUTED_VALUE"""),44747.8035890046)</f>
        <v>44747.80359</v>
      </c>
      <c r="D4683" s="15">
        <f>IFERROR(__xludf.DUMMYFUNCTION("""COMPUTED_VALUE"""),1.004)</f>
        <v>1.004</v>
      </c>
      <c r="E4683" s="16">
        <f>IFERROR(__xludf.DUMMYFUNCTION("""COMPUTED_VALUE"""),66.0)</f>
        <v>66</v>
      </c>
      <c r="F4683" s="19" t="str">
        <f>IFERROR(__xludf.DUMMYFUNCTION("""COMPUTED_VALUE"""),"BLACK")</f>
        <v>BLACK</v>
      </c>
      <c r="G4683" s="20" t="str">
        <f>IFERROR(__xludf.DUMMYFUNCTION("""COMPUTED_VALUE"""),"Uncle Sams Cider (5/13/2022)")</f>
        <v>Uncle Sams Cider (5/13/2022)</v>
      </c>
      <c r="H4683" s="19"/>
    </row>
    <row r="4684">
      <c r="A4684" s="9"/>
      <c r="B4684" s="15"/>
      <c r="C4684" s="9">
        <f>IFERROR(__xludf.DUMMYFUNCTION("""COMPUTED_VALUE"""),44747.793169618)</f>
        <v>44747.79317</v>
      </c>
      <c r="D4684" s="15">
        <f>IFERROR(__xludf.DUMMYFUNCTION("""COMPUTED_VALUE"""),1.004)</f>
        <v>1.004</v>
      </c>
      <c r="E4684" s="16">
        <f>IFERROR(__xludf.DUMMYFUNCTION("""COMPUTED_VALUE"""),66.0)</f>
        <v>66</v>
      </c>
      <c r="F4684" s="19" t="str">
        <f>IFERROR(__xludf.DUMMYFUNCTION("""COMPUTED_VALUE"""),"BLACK")</f>
        <v>BLACK</v>
      </c>
      <c r="G4684" s="20" t="str">
        <f>IFERROR(__xludf.DUMMYFUNCTION("""COMPUTED_VALUE"""),"Uncle Sams Cider (5/13/2022)")</f>
        <v>Uncle Sams Cider (5/13/2022)</v>
      </c>
      <c r="H4684" s="19"/>
    </row>
    <row r="4685">
      <c r="A4685" s="9"/>
      <c r="B4685" s="15"/>
      <c r="C4685" s="9">
        <f>IFERROR(__xludf.DUMMYFUNCTION("""COMPUTED_VALUE"""),44747.7827484838)</f>
        <v>44747.78275</v>
      </c>
      <c r="D4685" s="15">
        <f>IFERROR(__xludf.DUMMYFUNCTION("""COMPUTED_VALUE"""),1.004)</f>
        <v>1.004</v>
      </c>
      <c r="E4685" s="16">
        <f>IFERROR(__xludf.DUMMYFUNCTION("""COMPUTED_VALUE"""),66.0)</f>
        <v>66</v>
      </c>
      <c r="F4685" s="19" t="str">
        <f>IFERROR(__xludf.DUMMYFUNCTION("""COMPUTED_VALUE"""),"BLACK")</f>
        <v>BLACK</v>
      </c>
      <c r="G4685" s="20" t="str">
        <f>IFERROR(__xludf.DUMMYFUNCTION("""COMPUTED_VALUE"""),"Uncle Sams Cider (5/13/2022)")</f>
        <v>Uncle Sams Cider (5/13/2022)</v>
      </c>
      <c r="H4685" s="19"/>
    </row>
    <row r="4686">
      <c r="A4686" s="9"/>
      <c r="B4686" s="15"/>
      <c r="C4686" s="9">
        <f>IFERROR(__xludf.DUMMYFUNCTION("""COMPUTED_VALUE"""),44747.7723276273)</f>
        <v>44747.77233</v>
      </c>
      <c r="D4686" s="15">
        <f>IFERROR(__xludf.DUMMYFUNCTION("""COMPUTED_VALUE"""),1.004)</f>
        <v>1.004</v>
      </c>
      <c r="E4686" s="16">
        <f>IFERROR(__xludf.DUMMYFUNCTION("""COMPUTED_VALUE"""),66.0)</f>
        <v>66</v>
      </c>
      <c r="F4686" s="19" t="str">
        <f>IFERROR(__xludf.DUMMYFUNCTION("""COMPUTED_VALUE"""),"BLACK")</f>
        <v>BLACK</v>
      </c>
      <c r="G4686" s="20" t="str">
        <f>IFERROR(__xludf.DUMMYFUNCTION("""COMPUTED_VALUE"""),"Uncle Sams Cider (5/13/2022)")</f>
        <v>Uncle Sams Cider (5/13/2022)</v>
      </c>
      <c r="H4686" s="19"/>
    </row>
    <row r="4687">
      <c r="A4687" s="9"/>
      <c r="B4687" s="15"/>
      <c r="C4687" s="9">
        <f>IFERROR(__xludf.DUMMYFUNCTION("""COMPUTED_VALUE"""),44747.7619074305)</f>
        <v>44747.76191</v>
      </c>
      <c r="D4687" s="15">
        <f>IFERROR(__xludf.DUMMYFUNCTION("""COMPUTED_VALUE"""),1.005)</f>
        <v>1.005</v>
      </c>
      <c r="E4687" s="16">
        <f>IFERROR(__xludf.DUMMYFUNCTION("""COMPUTED_VALUE"""),66.0)</f>
        <v>66</v>
      </c>
      <c r="F4687" s="19" t="str">
        <f>IFERROR(__xludf.DUMMYFUNCTION("""COMPUTED_VALUE"""),"BLACK")</f>
        <v>BLACK</v>
      </c>
      <c r="G4687" s="20" t="str">
        <f>IFERROR(__xludf.DUMMYFUNCTION("""COMPUTED_VALUE"""),"Uncle Sams Cider (5/13/2022)")</f>
        <v>Uncle Sams Cider (5/13/2022)</v>
      </c>
      <c r="H4687" s="19"/>
    </row>
    <row r="4688">
      <c r="A4688" s="9"/>
      <c r="B4688" s="15"/>
      <c r="C4688" s="9">
        <f>IFERROR(__xludf.DUMMYFUNCTION("""COMPUTED_VALUE"""),44747.7514848148)</f>
        <v>44747.75148</v>
      </c>
      <c r="D4688" s="15">
        <f>IFERROR(__xludf.DUMMYFUNCTION("""COMPUTED_VALUE"""),1.005)</f>
        <v>1.005</v>
      </c>
      <c r="E4688" s="16">
        <f>IFERROR(__xludf.DUMMYFUNCTION("""COMPUTED_VALUE"""),66.0)</f>
        <v>66</v>
      </c>
      <c r="F4688" s="19" t="str">
        <f>IFERROR(__xludf.DUMMYFUNCTION("""COMPUTED_VALUE"""),"BLACK")</f>
        <v>BLACK</v>
      </c>
      <c r="G4688" s="20" t="str">
        <f>IFERROR(__xludf.DUMMYFUNCTION("""COMPUTED_VALUE"""),"Uncle Sams Cider (5/13/2022)")</f>
        <v>Uncle Sams Cider (5/13/2022)</v>
      </c>
      <c r="H4688" s="19"/>
    </row>
    <row r="4689">
      <c r="A4689" s="9"/>
      <c r="B4689" s="15"/>
      <c r="C4689" s="9">
        <f>IFERROR(__xludf.DUMMYFUNCTION("""COMPUTED_VALUE"""),44747.7410645254)</f>
        <v>44747.74106</v>
      </c>
      <c r="D4689" s="15">
        <f>IFERROR(__xludf.DUMMYFUNCTION("""COMPUTED_VALUE"""),1.004)</f>
        <v>1.004</v>
      </c>
      <c r="E4689" s="16">
        <f>IFERROR(__xludf.DUMMYFUNCTION("""COMPUTED_VALUE"""),66.0)</f>
        <v>66</v>
      </c>
      <c r="F4689" s="19" t="str">
        <f>IFERROR(__xludf.DUMMYFUNCTION("""COMPUTED_VALUE"""),"BLACK")</f>
        <v>BLACK</v>
      </c>
      <c r="G4689" s="20" t="str">
        <f>IFERROR(__xludf.DUMMYFUNCTION("""COMPUTED_VALUE"""),"Uncle Sams Cider (5/13/2022)")</f>
        <v>Uncle Sams Cider (5/13/2022)</v>
      </c>
      <c r="H4689" s="19"/>
    </row>
    <row r="4690">
      <c r="A4690" s="9"/>
      <c r="B4690" s="15"/>
      <c r="C4690" s="9">
        <f>IFERROR(__xludf.DUMMYFUNCTION("""COMPUTED_VALUE"""),44747.7306309259)</f>
        <v>44747.73063</v>
      </c>
      <c r="D4690" s="15">
        <f>IFERROR(__xludf.DUMMYFUNCTION("""COMPUTED_VALUE"""),1.004)</f>
        <v>1.004</v>
      </c>
      <c r="E4690" s="16">
        <f>IFERROR(__xludf.DUMMYFUNCTION("""COMPUTED_VALUE"""),66.0)</f>
        <v>66</v>
      </c>
      <c r="F4690" s="19" t="str">
        <f>IFERROR(__xludf.DUMMYFUNCTION("""COMPUTED_VALUE"""),"BLACK")</f>
        <v>BLACK</v>
      </c>
      <c r="G4690" s="20" t="str">
        <f>IFERROR(__xludf.DUMMYFUNCTION("""COMPUTED_VALUE"""),"Uncle Sams Cider (5/13/2022)")</f>
        <v>Uncle Sams Cider (5/13/2022)</v>
      </c>
      <c r="H4690" s="19"/>
    </row>
    <row r="4691">
      <c r="A4691" s="9"/>
      <c r="B4691" s="15"/>
      <c r="C4691" s="9">
        <f>IFERROR(__xludf.DUMMYFUNCTION("""COMPUTED_VALUE"""),44747.7202091319)</f>
        <v>44747.72021</v>
      </c>
      <c r="D4691" s="15">
        <f>IFERROR(__xludf.DUMMYFUNCTION("""COMPUTED_VALUE"""),1.004)</f>
        <v>1.004</v>
      </c>
      <c r="E4691" s="16">
        <f>IFERROR(__xludf.DUMMYFUNCTION("""COMPUTED_VALUE"""),66.0)</f>
        <v>66</v>
      </c>
      <c r="F4691" s="19" t="str">
        <f>IFERROR(__xludf.DUMMYFUNCTION("""COMPUTED_VALUE"""),"BLACK")</f>
        <v>BLACK</v>
      </c>
      <c r="G4691" s="20" t="str">
        <f>IFERROR(__xludf.DUMMYFUNCTION("""COMPUTED_VALUE"""),"Uncle Sams Cider (5/13/2022)")</f>
        <v>Uncle Sams Cider (5/13/2022)</v>
      </c>
      <c r="H4691" s="19"/>
    </row>
    <row r="4692">
      <c r="A4692" s="9"/>
      <c r="B4692" s="15"/>
      <c r="C4692" s="9">
        <f>IFERROR(__xludf.DUMMYFUNCTION("""COMPUTED_VALUE"""),44747.709775243)</f>
        <v>44747.70978</v>
      </c>
      <c r="D4692" s="15">
        <f>IFERROR(__xludf.DUMMYFUNCTION("""COMPUTED_VALUE"""),1.004)</f>
        <v>1.004</v>
      </c>
      <c r="E4692" s="16">
        <f>IFERROR(__xludf.DUMMYFUNCTION("""COMPUTED_VALUE"""),66.0)</f>
        <v>66</v>
      </c>
      <c r="F4692" s="19" t="str">
        <f>IFERROR(__xludf.DUMMYFUNCTION("""COMPUTED_VALUE"""),"BLACK")</f>
        <v>BLACK</v>
      </c>
      <c r="G4692" s="20" t="str">
        <f>IFERROR(__xludf.DUMMYFUNCTION("""COMPUTED_VALUE"""),"Uncle Sams Cider (5/13/2022)")</f>
        <v>Uncle Sams Cider (5/13/2022)</v>
      </c>
      <c r="H4692" s="19"/>
    </row>
    <row r="4693">
      <c r="A4693" s="9"/>
      <c r="B4693" s="15"/>
      <c r="C4693" s="9">
        <f>IFERROR(__xludf.DUMMYFUNCTION("""COMPUTED_VALUE"""),44747.6993419444)</f>
        <v>44747.69934</v>
      </c>
      <c r="D4693" s="15">
        <f>IFERROR(__xludf.DUMMYFUNCTION("""COMPUTED_VALUE"""),1.004)</f>
        <v>1.004</v>
      </c>
      <c r="E4693" s="16">
        <f>IFERROR(__xludf.DUMMYFUNCTION("""COMPUTED_VALUE"""),66.0)</f>
        <v>66</v>
      </c>
      <c r="F4693" s="19" t="str">
        <f>IFERROR(__xludf.DUMMYFUNCTION("""COMPUTED_VALUE"""),"BLACK")</f>
        <v>BLACK</v>
      </c>
      <c r="G4693" s="20" t="str">
        <f>IFERROR(__xludf.DUMMYFUNCTION("""COMPUTED_VALUE"""),"Uncle Sams Cider (5/13/2022)")</f>
        <v>Uncle Sams Cider (5/13/2022)</v>
      </c>
      <c r="H4693" s="19"/>
    </row>
    <row r="4694">
      <c r="A4694" s="9"/>
      <c r="B4694" s="15"/>
      <c r="C4694" s="9">
        <f>IFERROR(__xludf.DUMMYFUNCTION("""COMPUTED_VALUE"""),44747.6889227083)</f>
        <v>44747.68892</v>
      </c>
      <c r="D4694" s="15">
        <f>IFERROR(__xludf.DUMMYFUNCTION("""COMPUTED_VALUE"""),1.004)</f>
        <v>1.004</v>
      </c>
      <c r="E4694" s="16">
        <f>IFERROR(__xludf.DUMMYFUNCTION("""COMPUTED_VALUE"""),66.0)</f>
        <v>66</v>
      </c>
      <c r="F4694" s="19" t="str">
        <f>IFERROR(__xludf.DUMMYFUNCTION("""COMPUTED_VALUE"""),"BLACK")</f>
        <v>BLACK</v>
      </c>
      <c r="G4694" s="20" t="str">
        <f>IFERROR(__xludf.DUMMYFUNCTION("""COMPUTED_VALUE"""),"Uncle Sams Cider (5/13/2022)")</f>
        <v>Uncle Sams Cider (5/13/2022)</v>
      </c>
      <c r="H4694" s="19"/>
    </row>
    <row r="4695">
      <c r="A4695" s="9"/>
      <c r="B4695" s="15"/>
      <c r="C4695" s="9">
        <f>IFERROR(__xludf.DUMMYFUNCTION("""COMPUTED_VALUE"""),44747.6784998611)</f>
        <v>44747.6785</v>
      </c>
      <c r="D4695" s="15">
        <f>IFERROR(__xludf.DUMMYFUNCTION("""COMPUTED_VALUE"""),1.004)</f>
        <v>1.004</v>
      </c>
      <c r="E4695" s="16">
        <f>IFERROR(__xludf.DUMMYFUNCTION("""COMPUTED_VALUE"""),66.0)</f>
        <v>66</v>
      </c>
      <c r="F4695" s="19" t="str">
        <f>IFERROR(__xludf.DUMMYFUNCTION("""COMPUTED_VALUE"""),"BLACK")</f>
        <v>BLACK</v>
      </c>
      <c r="G4695" s="20" t="str">
        <f>IFERROR(__xludf.DUMMYFUNCTION("""COMPUTED_VALUE"""),"Uncle Sams Cider (5/13/2022)")</f>
        <v>Uncle Sams Cider (5/13/2022)</v>
      </c>
      <c r="H4695" s="19"/>
    </row>
    <row r="4696">
      <c r="A4696" s="9"/>
      <c r="B4696" s="15"/>
      <c r="C4696" s="9">
        <f>IFERROR(__xludf.DUMMYFUNCTION("""COMPUTED_VALUE"""),44747.6680793518)</f>
        <v>44747.66808</v>
      </c>
      <c r="D4696" s="15">
        <f>IFERROR(__xludf.DUMMYFUNCTION("""COMPUTED_VALUE"""),1.004)</f>
        <v>1.004</v>
      </c>
      <c r="E4696" s="16">
        <f>IFERROR(__xludf.DUMMYFUNCTION("""COMPUTED_VALUE"""),66.0)</f>
        <v>66</v>
      </c>
      <c r="F4696" s="19" t="str">
        <f>IFERROR(__xludf.DUMMYFUNCTION("""COMPUTED_VALUE"""),"BLACK")</f>
        <v>BLACK</v>
      </c>
      <c r="G4696" s="20" t="str">
        <f>IFERROR(__xludf.DUMMYFUNCTION("""COMPUTED_VALUE"""),"Uncle Sams Cider (5/13/2022)")</f>
        <v>Uncle Sams Cider (5/13/2022)</v>
      </c>
      <c r="H4696" s="19"/>
    </row>
    <row r="4697">
      <c r="A4697" s="9"/>
      <c r="B4697" s="15"/>
      <c r="C4697" s="9">
        <f>IFERROR(__xludf.DUMMYFUNCTION("""COMPUTED_VALUE"""),44747.657658206)</f>
        <v>44747.65766</v>
      </c>
      <c r="D4697" s="15">
        <f>IFERROR(__xludf.DUMMYFUNCTION("""COMPUTED_VALUE"""),1.004)</f>
        <v>1.004</v>
      </c>
      <c r="E4697" s="16">
        <f>IFERROR(__xludf.DUMMYFUNCTION("""COMPUTED_VALUE"""),66.0)</f>
        <v>66</v>
      </c>
      <c r="F4697" s="19" t="str">
        <f>IFERROR(__xludf.DUMMYFUNCTION("""COMPUTED_VALUE"""),"BLACK")</f>
        <v>BLACK</v>
      </c>
      <c r="G4697" s="20" t="str">
        <f>IFERROR(__xludf.DUMMYFUNCTION("""COMPUTED_VALUE"""),"Uncle Sams Cider (5/13/2022)")</f>
        <v>Uncle Sams Cider (5/13/2022)</v>
      </c>
      <c r="H4697" s="19"/>
    </row>
    <row r="4698">
      <c r="A4698" s="9"/>
      <c r="B4698" s="15"/>
      <c r="C4698" s="9">
        <f>IFERROR(__xludf.DUMMYFUNCTION("""COMPUTED_VALUE"""),44747.6472374884)</f>
        <v>44747.64724</v>
      </c>
      <c r="D4698" s="15">
        <f>IFERROR(__xludf.DUMMYFUNCTION("""COMPUTED_VALUE"""),1.004)</f>
        <v>1.004</v>
      </c>
      <c r="E4698" s="16">
        <f>IFERROR(__xludf.DUMMYFUNCTION("""COMPUTED_VALUE"""),66.0)</f>
        <v>66</v>
      </c>
      <c r="F4698" s="19" t="str">
        <f>IFERROR(__xludf.DUMMYFUNCTION("""COMPUTED_VALUE"""),"BLACK")</f>
        <v>BLACK</v>
      </c>
      <c r="G4698" s="20" t="str">
        <f>IFERROR(__xludf.DUMMYFUNCTION("""COMPUTED_VALUE"""),"Uncle Sams Cider (5/13/2022)")</f>
        <v>Uncle Sams Cider (5/13/2022)</v>
      </c>
      <c r="H4698" s="19"/>
    </row>
    <row r="4699">
      <c r="A4699" s="9"/>
      <c r="B4699" s="15"/>
      <c r="C4699" s="9">
        <f>IFERROR(__xludf.DUMMYFUNCTION("""COMPUTED_VALUE"""),44747.6368171759)</f>
        <v>44747.63682</v>
      </c>
      <c r="D4699" s="15">
        <f>IFERROR(__xludf.DUMMYFUNCTION("""COMPUTED_VALUE"""),1.005)</f>
        <v>1.005</v>
      </c>
      <c r="E4699" s="16">
        <f>IFERROR(__xludf.DUMMYFUNCTION("""COMPUTED_VALUE"""),66.0)</f>
        <v>66</v>
      </c>
      <c r="F4699" s="19" t="str">
        <f>IFERROR(__xludf.DUMMYFUNCTION("""COMPUTED_VALUE"""),"BLACK")</f>
        <v>BLACK</v>
      </c>
      <c r="G4699" s="20" t="str">
        <f>IFERROR(__xludf.DUMMYFUNCTION("""COMPUTED_VALUE"""),"Uncle Sams Cider (5/13/2022)")</f>
        <v>Uncle Sams Cider (5/13/2022)</v>
      </c>
      <c r="H4699" s="19"/>
    </row>
    <row r="4700">
      <c r="A4700" s="9"/>
      <c r="B4700" s="15"/>
      <c r="C4700" s="9">
        <f>IFERROR(__xludf.DUMMYFUNCTION("""COMPUTED_VALUE"""),44747.6263948379)</f>
        <v>44747.62639</v>
      </c>
      <c r="D4700" s="15">
        <f>IFERROR(__xludf.DUMMYFUNCTION("""COMPUTED_VALUE"""),1.004)</f>
        <v>1.004</v>
      </c>
      <c r="E4700" s="16">
        <f>IFERROR(__xludf.DUMMYFUNCTION("""COMPUTED_VALUE"""),66.0)</f>
        <v>66</v>
      </c>
      <c r="F4700" s="19" t="str">
        <f>IFERROR(__xludf.DUMMYFUNCTION("""COMPUTED_VALUE"""),"BLACK")</f>
        <v>BLACK</v>
      </c>
      <c r="G4700" s="20" t="str">
        <f>IFERROR(__xludf.DUMMYFUNCTION("""COMPUTED_VALUE"""),"Uncle Sams Cider (5/13/2022)")</f>
        <v>Uncle Sams Cider (5/13/2022)</v>
      </c>
      <c r="H4700" s="19"/>
    </row>
    <row r="4701">
      <c r="A4701" s="9"/>
      <c r="B4701" s="15"/>
      <c r="C4701" s="9">
        <f>IFERROR(__xludf.DUMMYFUNCTION("""COMPUTED_VALUE"""),44747.6159752777)</f>
        <v>44747.61598</v>
      </c>
      <c r="D4701" s="15">
        <f>IFERROR(__xludf.DUMMYFUNCTION("""COMPUTED_VALUE"""),1.004)</f>
        <v>1.004</v>
      </c>
      <c r="E4701" s="16">
        <f>IFERROR(__xludf.DUMMYFUNCTION("""COMPUTED_VALUE"""),67.0)</f>
        <v>67</v>
      </c>
      <c r="F4701" s="19" t="str">
        <f>IFERROR(__xludf.DUMMYFUNCTION("""COMPUTED_VALUE"""),"BLACK")</f>
        <v>BLACK</v>
      </c>
      <c r="G4701" s="20" t="str">
        <f>IFERROR(__xludf.DUMMYFUNCTION("""COMPUTED_VALUE"""),"Uncle Sams Cider (5/13/2022)")</f>
        <v>Uncle Sams Cider (5/13/2022)</v>
      </c>
      <c r="H4701" s="19"/>
    </row>
    <row r="4702">
      <c r="A4702" s="9"/>
      <c r="B4702" s="15"/>
      <c r="C4702" s="9">
        <f>IFERROR(__xludf.DUMMYFUNCTION("""COMPUTED_VALUE"""),44747.6055316551)</f>
        <v>44747.60553</v>
      </c>
      <c r="D4702" s="15">
        <f>IFERROR(__xludf.DUMMYFUNCTION("""COMPUTED_VALUE"""),1.004)</f>
        <v>1.004</v>
      </c>
      <c r="E4702" s="16">
        <f>IFERROR(__xludf.DUMMYFUNCTION("""COMPUTED_VALUE"""),68.0)</f>
        <v>68</v>
      </c>
      <c r="F4702" s="19" t="str">
        <f>IFERROR(__xludf.DUMMYFUNCTION("""COMPUTED_VALUE"""),"BLACK")</f>
        <v>BLACK</v>
      </c>
      <c r="G4702" s="20" t="str">
        <f>IFERROR(__xludf.DUMMYFUNCTION("""COMPUTED_VALUE"""),"Uncle Sams Cider (5/13/2022)")</f>
        <v>Uncle Sams Cider (5/13/2022)</v>
      </c>
      <c r="H4702" s="19"/>
    </row>
    <row r="4703">
      <c r="A4703" s="9"/>
      <c r="B4703" s="15"/>
      <c r="C4703" s="9">
        <f>IFERROR(__xludf.DUMMYFUNCTION("""COMPUTED_VALUE"""),44747.595112581)</f>
        <v>44747.59511</v>
      </c>
      <c r="D4703" s="15">
        <f>IFERROR(__xludf.DUMMYFUNCTION("""COMPUTED_VALUE"""),1.004)</f>
        <v>1.004</v>
      </c>
      <c r="E4703" s="16">
        <f>IFERROR(__xludf.DUMMYFUNCTION("""COMPUTED_VALUE"""),69.0)</f>
        <v>69</v>
      </c>
      <c r="F4703" s="19" t="str">
        <f>IFERROR(__xludf.DUMMYFUNCTION("""COMPUTED_VALUE"""),"BLACK")</f>
        <v>BLACK</v>
      </c>
      <c r="G4703" s="20" t="str">
        <f>IFERROR(__xludf.DUMMYFUNCTION("""COMPUTED_VALUE"""),"Uncle Sams Cider (5/13/2022)")</f>
        <v>Uncle Sams Cider (5/13/2022)</v>
      </c>
      <c r="H4703" s="19"/>
    </row>
    <row r="4704">
      <c r="A4704" s="9"/>
      <c r="B4704" s="15"/>
      <c r="C4704" s="9">
        <f>IFERROR(__xludf.DUMMYFUNCTION("""COMPUTED_VALUE"""),44747.5846904514)</f>
        <v>44747.58469</v>
      </c>
      <c r="D4704" s="15">
        <f>IFERROR(__xludf.DUMMYFUNCTION("""COMPUTED_VALUE"""),1.004)</f>
        <v>1.004</v>
      </c>
      <c r="E4704" s="16">
        <f>IFERROR(__xludf.DUMMYFUNCTION("""COMPUTED_VALUE"""),70.0)</f>
        <v>70</v>
      </c>
      <c r="F4704" s="19" t="str">
        <f>IFERROR(__xludf.DUMMYFUNCTION("""COMPUTED_VALUE"""),"BLACK")</f>
        <v>BLACK</v>
      </c>
      <c r="G4704" s="20" t="str">
        <f>IFERROR(__xludf.DUMMYFUNCTION("""COMPUTED_VALUE"""),"Uncle Sams Cider (5/13/2022)")</f>
        <v>Uncle Sams Cider (5/13/2022)</v>
      </c>
      <c r="H4704" s="19"/>
    </row>
    <row r="4705">
      <c r="A4705" s="9"/>
      <c r="B4705" s="15"/>
      <c r="C4705" s="9">
        <f>IFERROR(__xludf.DUMMYFUNCTION("""COMPUTED_VALUE"""),44747.5742687615)</f>
        <v>44747.57427</v>
      </c>
      <c r="D4705" s="15">
        <f>IFERROR(__xludf.DUMMYFUNCTION("""COMPUTED_VALUE"""),1.004)</f>
        <v>1.004</v>
      </c>
      <c r="E4705" s="16">
        <f>IFERROR(__xludf.DUMMYFUNCTION("""COMPUTED_VALUE"""),70.0)</f>
        <v>70</v>
      </c>
      <c r="F4705" s="19" t="str">
        <f>IFERROR(__xludf.DUMMYFUNCTION("""COMPUTED_VALUE"""),"BLACK")</f>
        <v>BLACK</v>
      </c>
      <c r="G4705" s="20" t="str">
        <f>IFERROR(__xludf.DUMMYFUNCTION("""COMPUTED_VALUE"""),"Uncle Sams Cider (5/13/2022)")</f>
        <v>Uncle Sams Cider (5/13/2022)</v>
      </c>
      <c r="H4705" s="19"/>
    </row>
    <row r="4706">
      <c r="A4706" s="9"/>
      <c r="B4706" s="15"/>
      <c r="C4706" s="9">
        <f>IFERROR(__xludf.DUMMYFUNCTION("""COMPUTED_VALUE"""),44747.5638471875)</f>
        <v>44747.56385</v>
      </c>
      <c r="D4706" s="15">
        <f>IFERROR(__xludf.DUMMYFUNCTION("""COMPUTED_VALUE"""),1.004)</f>
        <v>1.004</v>
      </c>
      <c r="E4706" s="16">
        <f>IFERROR(__xludf.DUMMYFUNCTION("""COMPUTED_VALUE"""),70.0)</f>
        <v>70</v>
      </c>
      <c r="F4706" s="19" t="str">
        <f>IFERROR(__xludf.DUMMYFUNCTION("""COMPUTED_VALUE"""),"BLACK")</f>
        <v>BLACK</v>
      </c>
      <c r="G4706" s="20" t="str">
        <f>IFERROR(__xludf.DUMMYFUNCTION("""COMPUTED_VALUE"""),"Uncle Sams Cider (5/13/2022)")</f>
        <v>Uncle Sams Cider (5/13/2022)</v>
      </c>
      <c r="H4706" s="19"/>
    </row>
    <row r="4707">
      <c r="A4707" s="9"/>
      <c r="B4707" s="15"/>
      <c r="C4707" s="9">
        <f>IFERROR(__xludf.DUMMYFUNCTION("""COMPUTED_VALUE"""),44747.5534136574)</f>
        <v>44747.55341</v>
      </c>
      <c r="D4707" s="15">
        <f>IFERROR(__xludf.DUMMYFUNCTION("""COMPUTED_VALUE"""),1.004)</f>
        <v>1.004</v>
      </c>
      <c r="E4707" s="16">
        <f>IFERROR(__xludf.DUMMYFUNCTION("""COMPUTED_VALUE"""),70.0)</f>
        <v>70</v>
      </c>
      <c r="F4707" s="19" t="str">
        <f>IFERROR(__xludf.DUMMYFUNCTION("""COMPUTED_VALUE"""),"BLACK")</f>
        <v>BLACK</v>
      </c>
      <c r="G4707" s="20" t="str">
        <f>IFERROR(__xludf.DUMMYFUNCTION("""COMPUTED_VALUE"""),"Uncle Sams Cider (5/13/2022)")</f>
        <v>Uncle Sams Cider (5/13/2022)</v>
      </c>
      <c r="H4707" s="19"/>
    </row>
    <row r="4708">
      <c r="A4708" s="9"/>
      <c r="B4708" s="15"/>
      <c r="C4708" s="9">
        <f>IFERROR(__xludf.DUMMYFUNCTION("""COMPUTED_VALUE"""),44747.5429820833)</f>
        <v>44747.54298</v>
      </c>
      <c r="D4708" s="15">
        <f>IFERROR(__xludf.DUMMYFUNCTION("""COMPUTED_VALUE"""),1.004)</f>
        <v>1.004</v>
      </c>
      <c r="E4708" s="16">
        <f>IFERROR(__xludf.DUMMYFUNCTION("""COMPUTED_VALUE"""),70.0)</f>
        <v>70</v>
      </c>
      <c r="F4708" s="19" t="str">
        <f>IFERROR(__xludf.DUMMYFUNCTION("""COMPUTED_VALUE"""),"BLACK")</f>
        <v>BLACK</v>
      </c>
      <c r="G4708" s="20" t="str">
        <f>IFERROR(__xludf.DUMMYFUNCTION("""COMPUTED_VALUE"""),"Uncle Sams Cider (5/13/2022)")</f>
        <v>Uncle Sams Cider (5/13/2022)</v>
      </c>
      <c r="H4708" s="19"/>
    </row>
    <row r="4709">
      <c r="A4709" s="9"/>
      <c r="B4709" s="15"/>
      <c r="C4709" s="9">
        <f>IFERROR(__xludf.DUMMYFUNCTION("""COMPUTED_VALUE"""),44747.5325609143)</f>
        <v>44747.53256</v>
      </c>
      <c r="D4709" s="15">
        <f>IFERROR(__xludf.DUMMYFUNCTION("""COMPUTED_VALUE"""),1.005)</f>
        <v>1.005</v>
      </c>
      <c r="E4709" s="16">
        <f>IFERROR(__xludf.DUMMYFUNCTION("""COMPUTED_VALUE"""),70.0)</f>
        <v>70</v>
      </c>
      <c r="F4709" s="19" t="str">
        <f>IFERROR(__xludf.DUMMYFUNCTION("""COMPUTED_VALUE"""),"BLACK")</f>
        <v>BLACK</v>
      </c>
      <c r="G4709" s="20" t="str">
        <f>IFERROR(__xludf.DUMMYFUNCTION("""COMPUTED_VALUE"""),"Uncle Sams Cider (5/13/2022)")</f>
        <v>Uncle Sams Cider (5/13/2022)</v>
      </c>
      <c r="H4709" s="19"/>
    </row>
    <row r="4710">
      <c r="A4710" s="9"/>
      <c r="B4710" s="15"/>
      <c r="C4710" s="9">
        <f>IFERROR(__xludf.DUMMYFUNCTION("""COMPUTED_VALUE"""),44747.5221416435)</f>
        <v>44747.52214</v>
      </c>
      <c r="D4710" s="15">
        <f>IFERROR(__xludf.DUMMYFUNCTION("""COMPUTED_VALUE"""),1.004)</f>
        <v>1.004</v>
      </c>
      <c r="E4710" s="16">
        <f>IFERROR(__xludf.DUMMYFUNCTION("""COMPUTED_VALUE"""),70.0)</f>
        <v>70</v>
      </c>
      <c r="F4710" s="19" t="str">
        <f>IFERROR(__xludf.DUMMYFUNCTION("""COMPUTED_VALUE"""),"BLACK")</f>
        <v>BLACK</v>
      </c>
      <c r="G4710" s="20" t="str">
        <f>IFERROR(__xludf.DUMMYFUNCTION("""COMPUTED_VALUE"""),"Uncle Sams Cider (5/13/2022)")</f>
        <v>Uncle Sams Cider (5/13/2022)</v>
      </c>
      <c r="H4710" s="19"/>
    </row>
    <row r="4711">
      <c r="A4711" s="9"/>
      <c r="B4711" s="15"/>
      <c r="C4711" s="9">
        <f>IFERROR(__xludf.DUMMYFUNCTION("""COMPUTED_VALUE"""),44747.5116961111)</f>
        <v>44747.5117</v>
      </c>
      <c r="D4711" s="15">
        <f>IFERROR(__xludf.DUMMYFUNCTION("""COMPUTED_VALUE"""),1.004)</f>
        <v>1.004</v>
      </c>
      <c r="E4711" s="16">
        <f>IFERROR(__xludf.DUMMYFUNCTION("""COMPUTED_VALUE"""),70.0)</f>
        <v>70</v>
      </c>
      <c r="F4711" s="19" t="str">
        <f>IFERROR(__xludf.DUMMYFUNCTION("""COMPUTED_VALUE"""),"BLACK")</f>
        <v>BLACK</v>
      </c>
      <c r="G4711" s="20" t="str">
        <f>IFERROR(__xludf.DUMMYFUNCTION("""COMPUTED_VALUE"""),"Uncle Sams Cider (5/13/2022)")</f>
        <v>Uncle Sams Cider (5/13/2022)</v>
      </c>
      <c r="H4711" s="19"/>
    </row>
    <row r="4712">
      <c r="A4712" s="9"/>
      <c r="B4712" s="15"/>
      <c r="C4712" s="9">
        <f>IFERROR(__xludf.DUMMYFUNCTION("""COMPUTED_VALUE"""),44747.501274537)</f>
        <v>44747.50127</v>
      </c>
      <c r="D4712" s="15">
        <f>IFERROR(__xludf.DUMMYFUNCTION("""COMPUTED_VALUE"""),1.005)</f>
        <v>1.005</v>
      </c>
      <c r="E4712" s="16">
        <f>IFERROR(__xludf.DUMMYFUNCTION("""COMPUTED_VALUE"""),70.0)</f>
        <v>70</v>
      </c>
      <c r="F4712" s="19" t="str">
        <f>IFERROR(__xludf.DUMMYFUNCTION("""COMPUTED_VALUE"""),"BLACK")</f>
        <v>BLACK</v>
      </c>
      <c r="G4712" s="20" t="str">
        <f>IFERROR(__xludf.DUMMYFUNCTION("""COMPUTED_VALUE"""),"Uncle Sams Cider (5/13/2022)")</f>
        <v>Uncle Sams Cider (5/13/2022)</v>
      </c>
      <c r="H4712" s="19"/>
    </row>
    <row r="4713">
      <c r="A4713" s="9"/>
      <c r="B4713" s="15"/>
      <c r="C4713" s="9">
        <f>IFERROR(__xludf.DUMMYFUNCTION("""COMPUTED_VALUE"""),44747.4908414236)</f>
        <v>44747.49084</v>
      </c>
      <c r="D4713" s="15">
        <f>IFERROR(__xludf.DUMMYFUNCTION("""COMPUTED_VALUE"""),1.005)</f>
        <v>1.005</v>
      </c>
      <c r="E4713" s="16">
        <f>IFERROR(__xludf.DUMMYFUNCTION("""COMPUTED_VALUE"""),70.0)</f>
        <v>70</v>
      </c>
      <c r="F4713" s="19" t="str">
        <f>IFERROR(__xludf.DUMMYFUNCTION("""COMPUTED_VALUE"""),"BLACK")</f>
        <v>BLACK</v>
      </c>
      <c r="G4713" s="20" t="str">
        <f>IFERROR(__xludf.DUMMYFUNCTION("""COMPUTED_VALUE"""),"Uncle Sams Cider (5/13/2022)")</f>
        <v>Uncle Sams Cider (5/13/2022)</v>
      </c>
      <c r="H4713" s="19"/>
    </row>
    <row r="4714">
      <c r="A4714" s="9"/>
      <c r="B4714" s="15"/>
      <c r="C4714" s="9">
        <f>IFERROR(__xludf.DUMMYFUNCTION("""COMPUTED_VALUE"""),44747.480419375)</f>
        <v>44747.48042</v>
      </c>
      <c r="D4714" s="15">
        <f>IFERROR(__xludf.DUMMYFUNCTION("""COMPUTED_VALUE"""),1.004)</f>
        <v>1.004</v>
      </c>
      <c r="E4714" s="16">
        <f>IFERROR(__xludf.DUMMYFUNCTION("""COMPUTED_VALUE"""),70.0)</f>
        <v>70</v>
      </c>
      <c r="F4714" s="19" t="str">
        <f>IFERROR(__xludf.DUMMYFUNCTION("""COMPUTED_VALUE"""),"BLACK")</f>
        <v>BLACK</v>
      </c>
      <c r="G4714" s="20" t="str">
        <f>IFERROR(__xludf.DUMMYFUNCTION("""COMPUTED_VALUE"""),"Uncle Sams Cider (5/13/2022)")</f>
        <v>Uncle Sams Cider (5/13/2022)</v>
      </c>
      <c r="H4714" s="19"/>
    </row>
    <row r="4715">
      <c r="A4715" s="9"/>
      <c r="B4715" s="15"/>
      <c r="C4715" s="9">
        <f>IFERROR(__xludf.DUMMYFUNCTION("""COMPUTED_VALUE"""),44747.4699988541)</f>
        <v>44747.47</v>
      </c>
      <c r="D4715" s="15">
        <f>IFERROR(__xludf.DUMMYFUNCTION("""COMPUTED_VALUE"""),1.004)</f>
        <v>1.004</v>
      </c>
      <c r="E4715" s="16">
        <f>IFERROR(__xludf.DUMMYFUNCTION("""COMPUTED_VALUE"""),70.0)</f>
        <v>70</v>
      </c>
      <c r="F4715" s="19" t="str">
        <f>IFERROR(__xludf.DUMMYFUNCTION("""COMPUTED_VALUE"""),"BLACK")</f>
        <v>BLACK</v>
      </c>
      <c r="G4715" s="20" t="str">
        <f>IFERROR(__xludf.DUMMYFUNCTION("""COMPUTED_VALUE"""),"Uncle Sams Cider (5/13/2022)")</f>
        <v>Uncle Sams Cider (5/13/2022)</v>
      </c>
      <c r="H4715" s="19"/>
    </row>
    <row r="4716">
      <c r="A4716" s="9"/>
      <c r="B4716" s="15"/>
      <c r="C4716" s="9">
        <f>IFERROR(__xludf.DUMMYFUNCTION("""COMPUTED_VALUE"""),44747.4595765046)</f>
        <v>44747.45958</v>
      </c>
      <c r="D4716" s="15">
        <f>IFERROR(__xludf.DUMMYFUNCTION("""COMPUTED_VALUE"""),1.005)</f>
        <v>1.005</v>
      </c>
      <c r="E4716" s="16">
        <f>IFERROR(__xludf.DUMMYFUNCTION("""COMPUTED_VALUE"""),70.0)</f>
        <v>70</v>
      </c>
      <c r="F4716" s="19" t="str">
        <f>IFERROR(__xludf.DUMMYFUNCTION("""COMPUTED_VALUE"""),"BLACK")</f>
        <v>BLACK</v>
      </c>
      <c r="G4716" s="20" t="str">
        <f>IFERROR(__xludf.DUMMYFUNCTION("""COMPUTED_VALUE"""),"Uncle Sams Cider (5/13/2022)")</f>
        <v>Uncle Sams Cider (5/13/2022)</v>
      </c>
      <c r="H4716" s="19"/>
    </row>
    <row r="4717">
      <c r="A4717" s="9"/>
      <c r="B4717" s="15"/>
      <c r="C4717" s="9">
        <f>IFERROR(__xludf.DUMMYFUNCTION("""COMPUTED_VALUE"""),44747.4491544328)</f>
        <v>44747.44915</v>
      </c>
      <c r="D4717" s="15">
        <f>IFERROR(__xludf.DUMMYFUNCTION("""COMPUTED_VALUE"""),1.004)</f>
        <v>1.004</v>
      </c>
      <c r="E4717" s="16">
        <f>IFERROR(__xludf.DUMMYFUNCTION("""COMPUTED_VALUE"""),70.0)</f>
        <v>70</v>
      </c>
      <c r="F4717" s="19" t="str">
        <f>IFERROR(__xludf.DUMMYFUNCTION("""COMPUTED_VALUE"""),"BLACK")</f>
        <v>BLACK</v>
      </c>
      <c r="G4717" s="20" t="str">
        <f>IFERROR(__xludf.DUMMYFUNCTION("""COMPUTED_VALUE"""),"Uncle Sams Cider (5/13/2022)")</f>
        <v>Uncle Sams Cider (5/13/2022)</v>
      </c>
      <c r="H4717" s="19"/>
    </row>
    <row r="4718">
      <c r="A4718" s="9"/>
      <c r="B4718" s="15"/>
      <c r="C4718" s="9">
        <f>IFERROR(__xludf.DUMMYFUNCTION("""COMPUTED_VALUE"""),44747.4387340625)</f>
        <v>44747.43873</v>
      </c>
      <c r="D4718" s="15">
        <f>IFERROR(__xludf.DUMMYFUNCTION("""COMPUTED_VALUE"""),1.004)</f>
        <v>1.004</v>
      </c>
      <c r="E4718" s="16">
        <f>IFERROR(__xludf.DUMMYFUNCTION("""COMPUTED_VALUE"""),70.0)</f>
        <v>70</v>
      </c>
      <c r="F4718" s="19" t="str">
        <f>IFERROR(__xludf.DUMMYFUNCTION("""COMPUTED_VALUE"""),"BLACK")</f>
        <v>BLACK</v>
      </c>
      <c r="G4718" s="20" t="str">
        <f>IFERROR(__xludf.DUMMYFUNCTION("""COMPUTED_VALUE"""),"Uncle Sams Cider (5/13/2022)")</f>
        <v>Uncle Sams Cider (5/13/2022)</v>
      </c>
      <c r="H4718" s="19"/>
    </row>
    <row r="4719">
      <c r="A4719" s="9"/>
      <c r="B4719" s="15"/>
      <c r="C4719" s="9">
        <f>IFERROR(__xludf.DUMMYFUNCTION("""COMPUTED_VALUE"""),44747.4283116782)</f>
        <v>44747.42831</v>
      </c>
      <c r="D4719" s="15">
        <f>IFERROR(__xludf.DUMMYFUNCTION("""COMPUTED_VALUE"""),1.004)</f>
        <v>1.004</v>
      </c>
      <c r="E4719" s="16">
        <f>IFERROR(__xludf.DUMMYFUNCTION("""COMPUTED_VALUE"""),70.0)</f>
        <v>70</v>
      </c>
      <c r="F4719" s="19" t="str">
        <f>IFERROR(__xludf.DUMMYFUNCTION("""COMPUTED_VALUE"""),"BLACK")</f>
        <v>BLACK</v>
      </c>
      <c r="G4719" s="20" t="str">
        <f>IFERROR(__xludf.DUMMYFUNCTION("""COMPUTED_VALUE"""),"Uncle Sams Cider (5/13/2022)")</f>
        <v>Uncle Sams Cider (5/13/2022)</v>
      </c>
      <c r="H4719" s="19"/>
    </row>
    <row r="4720">
      <c r="A4720" s="9"/>
      <c r="B4720" s="15"/>
      <c r="C4720" s="9">
        <f>IFERROR(__xludf.DUMMYFUNCTION("""COMPUTED_VALUE"""),44747.4178883217)</f>
        <v>44747.41789</v>
      </c>
      <c r="D4720" s="15">
        <f>IFERROR(__xludf.DUMMYFUNCTION("""COMPUTED_VALUE"""),1.004)</f>
        <v>1.004</v>
      </c>
      <c r="E4720" s="16">
        <f>IFERROR(__xludf.DUMMYFUNCTION("""COMPUTED_VALUE"""),70.0)</f>
        <v>70</v>
      </c>
      <c r="F4720" s="19" t="str">
        <f>IFERROR(__xludf.DUMMYFUNCTION("""COMPUTED_VALUE"""),"BLACK")</f>
        <v>BLACK</v>
      </c>
      <c r="G4720" s="20" t="str">
        <f>IFERROR(__xludf.DUMMYFUNCTION("""COMPUTED_VALUE"""),"Uncle Sams Cider (5/13/2022)")</f>
        <v>Uncle Sams Cider (5/13/2022)</v>
      </c>
      <c r="H4720" s="19"/>
    </row>
    <row r="4721">
      <c r="A4721" s="9"/>
      <c r="B4721" s="15"/>
      <c r="C4721" s="9">
        <f>IFERROR(__xludf.DUMMYFUNCTION("""COMPUTED_VALUE"""),44747.4074651504)</f>
        <v>44747.40747</v>
      </c>
      <c r="D4721" s="15">
        <f>IFERROR(__xludf.DUMMYFUNCTION("""COMPUTED_VALUE"""),1.004)</f>
        <v>1.004</v>
      </c>
      <c r="E4721" s="16">
        <f>IFERROR(__xludf.DUMMYFUNCTION("""COMPUTED_VALUE"""),70.0)</f>
        <v>70</v>
      </c>
      <c r="F4721" s="19" t="str">
        <f>IFERROR(__xludf.DUMMYFUNCTION("""COMPUTED_VALUE"""),"BLACK")</f>
        <v>BLACK</v>
      </c>
      <c r="G4721" s="20" t="str">
        <f>IFERROR(__xludf.DUMMYFUNCTION("""COMPUTED_VALUE"""),"Uncle Sams Cider (5/13/2022)")</f>
        <v>Uncle Sams Cider (5/13/2022)</v>
      </c>
      <c r="H4721" s="19"/>
    </row>
    <row r="4722">
      <c r="A4722" s="9"/>
      <c r="B4722" s="15"/>
      <c r="C4722" s="9">
        <f>IFERROR(__xludf.DUMMYFUNCTION("""COMPUTED_VALUE"""),44747.3970439004)</f>
        <v>44747.39704</v>
      </c>
      <c r="D4722" s="15">
        <f>IFERROR(__xludf.DUMMYFUNCTION("""COMPUTED_VALUE"""),1.004)</f>
        <v>1.004</v>
      </c>
      <c r="E4722" s="16">
        <f>IFERROR(__xludf.DUMMYFUNCTION("""COMPUTED_VALUE"""),70.0)</f>
        <v>70</v>
      </c>
      <c r="F4722" s="19" t="str">
        <f>IFERROR(__xludf.DUMMYFUNCTION("""COMPUTED_VALUE"""),"BLACK")</f>
        <v>BLACK</v>
      </c>
      <c r="G4722" s="20" t="str">
        <f>IFERROR(__xludf.DUMMYFUNCTION("""COMPUTED_VALUE"""),"Uncle Sams Cider (5/13/2022)")</f>
        <v>Uncle Sams Cider (5/13/2022)</v>
      </c>
      <c r="H4722" s="19"/>
    </row>
    <row r="4723">
      <c r="A4723" s="9"/>
      <c r="B4723" s="15"/>
      <c r="C4723" s="9">
        <f>IFERROR(__xludf.DUMMYFUNCTION("""COMPUTED_VALUE"""),44747.386623449)</f>
        <v>44747.38662</v>
      </c>
      <c r="D4723" s="15">
        <f>IFERROR(__xludf.DUMMYFUNCTION("""COMPUTED_VALUE"""),1.005)</f>
        <v>1.005</v>
      </c>
      <c r="E4723" s="16">
        <f>IFERROR(__xludf.DUMMYFUNCTION("""COMPUTED_VALUE"""),70.0)</f>
        <v>70</v>
      </c>
      <c r="F4723" s="19" t="str">
        <f>IFERROR(__xludf.DUMMYFUNCTION("""COMPUTED_VALUE"""),"BLACK")</f>
        <v>BLACK</v>
      </c>
      <c r="G4723" s="20" t="str">
        <f>IFERROR(__xludf.DUMMYFUNCTION("""COMPUTED_VALUE"""),"Uncle Sams Cider (5/13/2022)")</f>
        <v>Uncle Sams Cider (5/13/2022)</v>
      </c>
      <c r="H4723" s="19"/>
    </row>
    <row r="4724">
      <c r="A4724" s="9"/>
      <c r="B4724" s="15"/>
      <c r="C4724" s="9">
        <f>IFERROR(__xludf.DUMMYFUNCTION("""COMPUTED_VALUE"""),44747.3761911921)</f>
        <v>44747.37619</v>
      </c>
      <c r="D4724" s="15">
        <f>IFERROR(__xludf.DUMMYFUNCTION("""COMPUTED_VALUE"""),1.004)</f>
        <v>1.004</v>
      </c>
      <c r="E4724" s="16">
        <f>IFERROR(__xludf.DUMMYFUNCTION("""COMPUTED_VALUE"""),70.0)</f>
        <v>70</v>
      </c>
      <c r="F4724" s="19" t="str">
        <f>IFERROR(__xludf.DUMMYFUNCTION("""COMPUTED_VALUE"""),"BLACK")</f>
        <v>BLACK</v>
      </c>
      <c r="G4724" s="20" t="str">
        <f>IFERROR(__xludf.DUMMYFUNCTION("""COMPUTED_VALUE"""),"Uncle Sams Cider (5/13/2022)")</f>
        <v>Uncle Sams Cider (5/13/2022)</v>
      </c>
      <c r="H4724" s="19"/>
    </row>
    <row r="4725">
      <c r="A4725" s="9"/>
      <c r="B4725" s="15"/>
      <c r="C4725" s="9">
        <f>IFERROR(__xludf.DUMMYFUNCTION("""COMPUTED_VALUE"""),44747.3657708912)</f>
        <v>44747.36577</v>
      </c>
      <c r="D4725" s="15">
        <f>IFERROR(__xludf.DUMMYFUNCTION("""COMPUTED_VALUE"""),1.004)</f>
        <v>1.004</v>
      </c>
      <c r="E4725" s="16">
        <f>IFERROR(__xludf.DUMMYFUNCTION("""COMPUTED_VALUE"""),70.0)</f>
        <v>70</v>
      </c>
      <c r="F4725" s="19" t="str">
        <f>IFERROR(__xludf.DUMMYFUNCTION("""COMPUTED_VALUE"""),"BLACK")</f>
        <v>BLACK</v>
      </c>
      <c r="G4725" s="20" t="str">
        <f>IFERROR(__xludf.DUMMYFUNCTION("""COMPUTED_VALUE"""),"Uncle Sams Cider (5/13/2022)")</f>
        <v>Uncle Sams Cider (5/13/2022)</v>
      </c>
      <c r="H4725" s="19"/>
    </row>
    <row r="4726">
      <c r="A4726" s="9"/>
      <c r="B4726" s="15"/>
      <c r="C4726" s="9">
        <f>IFERROR(__xludf.DUMMYFUNCTION("""COMPUTED_VALUE"""),44747.3553403935)</f>
        <v>44747.35534</v>
      </c>
      <c r="D4726" s="15">
        <f>IFERROR(__xludf.DUMMYFUNCTION("""COMPUTED_VALUE"""),1.004)</f>
        <v>1.004</v>
      </c>
      <c r="E4726" s="16">
        <f>IFERROR(__xludf.DUMMYFUNCTION("""COMPUTED_VALUE"""),70.0)</f>
        <v>70</v>
      </c>
      <c r="F4726" s="19" t="str">
        <f>IFERROR(__xludf.DUMMYFUNCTION("""COMPUTED_VALUE"""),"BLACK")</f>
        <v>BLACK</v>
      </c>
      <c r="G4726" s="20" t="str">
        <f>IFERROR(__xludf.DUMMYFUNCTION("""COMPUTED_VALUE"""),"Uncle Sams Cider (5/13/2022)")</f>
        <v>Uncle Sams Cider (5/13/2022)</v>
      </c>
      <c r="H4726" s="19"/>
    </row>
    <row r="4727">
      <c r="A4727" s="9"/>
      <c r="B4727" s="15"/>
      <c r="C4727" s="9">
        <f>IFERROR(__xludf.DUMMYFUNCTION("""COMPUTED_VALUE"""),44747.3449176736)</f>
        <v>44747.34492</v>
      </c>
      <c r="D4727" s="15">
        <f>IFERROR(__xludf.DUMMYFUNCTION("""COMPUTED_VALUE"""),1.004)</f>
        <v>1.004</v>
      </c>
      <c r="E4727" s="16">
        <f>IFERROR(__xludf.DUMMYFUNCTION("""COMPUTED_VALUE"""),70.0)</f>
        <v>70</v>
      </c>
      <c r="F4727" s="19" t="str">
        <f>IFERROR(__xludf.DUMMYFUNCTION("""COMPUTED_VALUE"""),"BLACK")</f>
        <v>BLACK</v>
      </c>
      <c r="G4727" s="20" t="str">
        <f>IFERROR(__xludf.DUMMYFUNCTION("""COMPUTED_VALUE"""),"Uncle Sams Cider (5/13/2022)")</f>
        <v>Uncle Sams Cider (5/13/2022)</v>
      </c>
      <c r="H4727" s="19"/>
    </row>
    <row r="4728">
      <c r="A4728" s="9"/>
      <c r="B4728" s="15"/>
      <c r="C4728" s="9">
        <f>IFERROR(__xludf.DUMMYFUNCTION("""COMPUTED_VALUE"""),44747.3344974652)</f>
        <v>44747.3345</v>
      </c>
      <c r="D4728" s="15">
        <f>IFERROR(__xludf.DUMMYFUNCTION("""COMPUTED_VALUE"""),1.004)</f>
        <v>1.004</v>
      </c>
      <c r="E4728" s="16">
        <f>IFERROR(__xludf.DUMMYFUNCTION("""COMPUTED_VALUE"""),70.0)</f>
        <v>70</v>
      </c>
      <c r="F4728" s="19" t="str">
        <f>IFERROR(__xludf.DUMMYFUNCTION("""COMPUTED_VALUE"""),"BLACK")</f>
        <v>BLACK</v>
      </c>
      <c r="G4728" s="20" t="str">
        <f>IFERROR(__xludf.DUMMYFUNCTION("""COMPUTED_VALUE"""),"Uncle Sams Cider (5/13/2022)")</f>
        <v>Uncle Sams Cider (5/13/2022)</v>
      </c>
      <c r="H4728" s="19"/>
    </row>
    <row r="4729">
      <c r="A4729" s="9"/>
      <c r="B4729" s="15"/>
      <c r="C4729" s="9">
        <f>IFERROR(__xludf.DUMMYFUNCTION("""COMPUTED_VALUE"""),44747.3240754976)</f>
        <v>44747.32408</v>
      </c>
      <c r="D4729" s="15">
        <f>IFERROR(__xludf.DUMMYFUNCTION("""COMPUTED_VALUE"""),1.004)</f>
        <v>1.004</v>
      </c>
      <c r="E4729" s="16">
        <f>IFERROR(__xludf.DUMMYFUNCTION("""COMPUTED_VALUE"""),70.0)</f>
        <v>70</v>
      </c>
      <c r="F4729" s="19" t="str">
        <f>IFERROR(__xludf.DUMMYFUNCTION("""COMPUTED_VALUE"""),"BLACK")</f>
        <v>BLACK</v>
      </c>
      <c r="G4729" s="20" t="str">
        <f>IFERROR(__xludf.DUMMYFUNCTION("""COMPUTED_VALUE"""),"Uncle Sams Cider (5/13/2022)")</f>
        <v>Uncle Sams Cider (5/13/2022)</v>
      </c>
      <c r="H4729" s="19"/>
    </row>
    <row r="4730">
      <c r="A4730" s="9"/>
      <c r="B4730" s="15"/>
      <c r="C4730" s="9">
        <f>IFERROR(__xludf.DUMMYFUNCTION("""COMPUTED_VALUE"""),44747.3136552662)</f>
        <v>44747.31366</v>
      </c>
      <c r="D4730" s="15">
        <f>IFERROR(__xludf.DUMMYFUNCTION("""COMPUTED_VALUE"""),1.004)</f>
        <v>1.004</v>
      </c>
      <c r="E4730" s="16">
        <f>IFERROR(__xludf.DUMMYFUNCTION("""COMPUTED_VALUE"""),70.0)</f>
        <v>70</v>
      </c>
      <c r="F4730" s="19" t="str">
        <f>IFERROR(__xludf.DUMMYFUNCTION("""COMPUTED_VALUE"""),"BLACK")</f>
        <v>BLACK</v>
      </c>
      <c r="G4730" s="20" t="str">
        <f>IFERROR(__xludf.DUMMYFUNCTION("""COMPUTED_VALUE"""),"Uncle Sams Cider (5/13/2022)")</f>
        <v>Uncle Sams Cider (5/13/2022)</v>
      </c>
      <c r="H4730" s="19"/>
    </row>
    <row r="4731">
      <c r="A4731" s="9"/>
      <c r="B4731" s="15"/>
      <c r="C4731" s="9">
        <f>IFERROR(__xludf.DUMMYFUNCTION("""COMPUTED_VALUE"""),44747.3032323726)</f>
        <v>44747.30323</v>
      </c>
      <c r="D4731" s="15">
        <f>IFERROR(__xludf.DUMMYFUNCTION("""COMPUTED_VALUE"""),1.004)</f>
        <v>1.004</v>
      </c>
      <c r="E4731" s="16">
        <f>IFERROR(__xludf.DUMMYFUNCTION("""COMPUTED_VALUE"""),70.0)</f>
        <v>70</v>
      </c>
      <c r="F4731" s="19" t="str">
        <f>IFERROR(__xludf.DUMMYFUNCTION("""COMPUTED_VALUE"""),"BLACK")</f>
        <v>BLACK</v>
      </c>
      <c r="G4731" s="20" t="str">
        <f>IFERROR(__xludf.DUMMYFUNCTION("""COMPUTED_VALUE"""),"Uncle Sams Cider (5/13/2022)")</f>
        <v>Uncle Sams Cider (5/13/2022)</v>
      </c>
      <c r="H4731" s="19"/>
    </row>
    <row r="4732">
      <c r="A4732" s="9"/>
      <c r="B4732" s="15"/>
      <c r="C4732" s="9">
        <f>IFERROR(__xludf.DUMMYFUNCTION("""COMPUTED_VALUE"""),44747.2928115972)</f>
        <v>44747.29281</v>
      </c>
      <c r="D4732" s="15">
        <f>IFERROR(__xludf.DUMMYFUNCTION("""COMPUTED_VALUE"""),1.004)</f>
        <v>1.004</v>
      </c>
      <c r="E4732" s="16">
        <f>IFERROR(__xludf.DUMMYFUNCTION("""COMPUTED_VALUE"""),70.0)</f>
        <v>70</v>
      </c>
      <c r="F4732" s="19" t="str">
        <f>IFERROR(__xludf.DUMMYFUNCTION("""COMPUTED_VALUE"""),"BLACK")</f>
        <v>BLACK</v>
      </c>
      <c r="G4732" s="20" t="str">
        <f>IFERROR(__xludf.DUMMYFUNCTION("""COMPUTED_VALUE"""),"Uncle Sams Cider (5/13/2022)")</f>
        <v>Uncle Sams Cider (5/13/2022)</v>
      </c>
      <c r="H4732" s="19"/>
    </row>
    <row r="4733">
      <c r="A4733" s="9"/>
      <c r="B4733" s="15"/>
      <c r="C4733" s="9">
        <f>IFERROR(__xludf.DUMMYFUNCTION("""COMPUTED_VALUE"""),44747.2823905671)</f>
        <v>44747.28239</v>
      </c>
      <c r="D4733" s="15">
        <f>IFERROR(__xludf.DUMMYFUNCTION("""COMPUTED_VALUE"""),1.004)</f>
        <v>1.004</v>
      </c>
      <c r="E4733" s="16">
        <f>IFERROR(__xludf.DUMMYFUNCTION("""COMPUTED_VALUE"""),70.0)</f>
        <v>70</v>
      </c>
      <c r="F4733" s="19" t="str">
        <f>IFERROR(__xludf.DUMMYFUNCTION("""COMPUTED_VALUE"""),"BLACK")</f>
        <v>BLACK</v>
      </c>
      <c r="G4733" s="20" t="str">
        <f>IFERROR(__xludf.DUMMYFUNCTION("""COMPUTED_VALUE"""),"Uncle Sams Cider (5/13/2022)")</f>
        <v>Uncle Sams Cider (5/13/2022)</v>
      </c>
      <c r="H4733" s="19"/>
    </row>
    <row r="4734">
      <c r="A4734" s="9"/>
      <c r="B4734" s="15"/>
      <c r="C4734" s="9">
        <f>IFERROR(__xludf.DUMMYFUNCTION("""COMPUTED_VALUE"""),44747.2719702199)</f>
        <v>44747.27197</v>
      </c>
      <c r="D4734" s="15">
        <f>IFERROR(__xludf.DUMMYFUNCTION("""COMPUTED_VALUE"""),1.004)</f>
        <v>1.004</v>
      </c>
      <c r="E4734" s="16">
        <f>IFERROR(__xludf.DUMMYFUNCTION("""COMPUTED_VALUE"""),70.0)</f>
        <v>70</v>
      </c>
      <c r="F4734" s="19" t="str">
        <f>IFERROR(__xludf.DUMMYFUNCTION("""COMPUTED_VALUE"""),"BLACK")</f>
        <v>BLACK</v>
      </c>
      <c r="G4734" s="20" t="str">
        <f>IFERROR(__xludf.DUMMYFUNCTION("""COMPUTED_VALUE"""),"Uncle Sams Cider (5/13/2022)")</f>
        <v>Uncle Sams Cider (5/13/2022)</v>
      </c>
      <c r="H4734" s="19"/>
    </row>
    <row r="4735">
      <c r="A4735" s="9"/>
      <c r="B4735" s="15"/>
      <c r="C4735" s="9">
        <f>IFERROR(__xludf.DUMMYFUNCTION("""COMPUTED_VALUE"""),44747.2615504629)</f>
        <v>44747.26155</v>
      </c>
      <c r="D4735" s="15">
        <f>IFERROR(__xludf.DUMMYFUNCTION("""COMPUTED_VALUE"""),1.004)</f>
        <v>1.004</v>
      </c>
      <c r="E4735" s="16">
        <f>IFERROR(__xludf.DUMMYFUNCTION("""COMPUTED_VALUE"""),70.0)</f>
        <v>70</v>
      </c>
      <c r="F4735" s="19" t="str">
        <f>IFERROR(__xludf.DUMMYFUNCTION("""COMPUTED_VALUE"""),"BLACK")</f>
        <v>BLACK</v>
      </c>
      <c r="G4735" s="20" t="str">
        <f>IFERROR(__xludf.DUMMYFUNCTION("""COMPUTED_VALUE"""),"Uncle Sams Cider (5/13/2022)")</f>
        <v>Uncle Sams Cider (5/13/2022)</v>
      </c>
      <c r="H4735" s="19"/>
    </row>
    <row r="4736">
      <c r="A4736" s="9"/>
      <c r="B4736" s="15"/>
      <c r="C4736" s="9">
        <f>IFERROR(__xludf.DUMMYFUNCTION("""COMPUTED_VALUE"""),44747.2511281713)</f>
        <v>44747.25113</v>
      </c>
      <c r="D4736" s="15">
        <f>IFERROR(__xludf.DUMMYFUNCTION("""COMPUTED_VALUE"""),1.004)</f>
        <v>1.004</v>
      </c>
      <c r="E4736" s="16">
        <f>IFERROR(__xludf.DUMMYFUNCTION("""COMPUTED_VALUE"""),70.0)</f>
        <v>70</v>
      </c>
      <c r="F4736" s="19" t="str">
        <f>IFERROR(__xludf.DUMMYFUNCTION("""COMPUTED_VALUE"""),"BLACK")</f>
        <v>BLACK</v>
      </c>
      <c r="G4736" s="20" t="str">
        <f>IFERROR(__xludf.DUMMYFUNCTION("""COMPUTED_VALUE"""),"Uncle Sams Cider (5/13/2022)")</f>
        <v>Uncle Sams Cider (5/13/2022)</v>
      </c>
      <c r="H4736" s="19"/>
    </row>
    <row r="4737">
      <c r="A4737" s="9"/>
      <c r="B4737" s="15"/>
      <c r="C4737" s="9">
        <f>IFERROR(__xludf.DUMMYFUNCTION("""COMPUTED_VALUE"""),44747.2407064699)</f>
        <v>44747.24071</v>
      </c>
      <c r="D4737" s="15">
        <f>IFERROR(__xludf.DUMMYFUNCTION("""COMPUTED_VALUE"""),1.004)</f>
        <v>1.004</v>
      </c>
      <c r="E4737" s="16">
        <f>IFERROR(__xludf.DUMMYFUNCTION("""COMPUTED_VALUE"""),70.0)</f>
        <v>70</v>
      </c>
      <c r="F4737" s="19" t="str">
        <f>IFERROR(__xludf.DUMMYFUNCTION("""COMPUTED_VALUE"""),"BLACK")</f>
        <v>BLACK</v>
      </c>
      <c r="G4737" s="20" t="str">
        <f>IFERROR(__xludf.DUMMYFUNCTION("""COMPUTED_VALUE"""),"Uncle Sams Cider (5/13/2022)")</f>
        <v>Uncle Sams Cider (5/13/2022)</v>
      </c>
      <c r="H4737" s="19"/>
    </row>
    <row r="4738">
      <c r="A4738" s="9"/>
      <c r="B4738" s="15"/>
      <c r="C4738" s="9">
        <f>IFERROR(__xludf.DUMMYFUNCTION("""COMPUTED_VALUE"""),44747.2302859953)</f>
        <v>44747.23029</v>
      </c>
      <c r="D4738" s="15">
        <f>IFERROR(__xludf.DUMMYFUNCTION("""COMPUTED_VALUE"""),1.005)</f>
        <v>1.005</v>
      </c>
      <c r="E4738" s="16">
        <f>IFERROR(__xludf.DUMMYFUNCTION("""COMPUTED_VALUE"""),70.0)</f>
        <v>70</v>
      </c>
      <c r="F4738" s="19" t="str">
        <f>IFERROR(__xludf.DUMMYFUNCTION("""COMPUTED_VALUE"""),"BLACK")</f>
        <v>BLACK</v>
      </c>
      <c r="G4738" s="20" t="str">
        <f>IFERROR(__xludf.DUMMYFUNCTION("""COMPUTED_VALUE"""),"Uncle Sams Cider (5/13/2022)")</f>
        <v>Uncle Sams Cider (5/13/2022)</v>
      </c>
      <c r="H4738" s="19"/>
    </row>
    <row r="4739">
      <c r="A4739" s="9"/>
      <c r="B4739" s="15"/>
      <c r="C4739" s="9">
        <f>IFERROR(__xludf.DUMMYFUNCTION("""COMPUTED_VALUE"""),44747.219866412)</f>
        <v>44747.21987</v>
      </c>
      <c r="D4739" s="15">
        <f>IFERROR(__xludf.DUMMYFUNCTION("""COMPUTED_VALUE"""),1.004)</f>
        <v>1.004</v>
      </c>
      <c r="E4739" s="16">
        <f>IFERROR(__xludf.DUMMYFUNCTION("""COMPUTED_VALUE"""),70.0)</f>
        <v>70</v>
      </c>
      <c r="F4739" s="19" t="str">
        <f>IFERROR(__xludf.DUMMYFUNCTION("""COMPUTED_VALUE"""),"BLACK")</f>
        <v>BLACK</v>
      </c>
      <c r="G4739" s="20" t="str">
        <f>IFERROR(__xludf.DUMMYFUNCTION("""COMPUTED_VALUE"""),"Uncle Sams Cider (5/13/2022)")</f>
        <v>Uncle Sams Cider (5/13/2022)</v>
      </c>
      <c r="H4739" s="19"/>
    </row>
    <row r="4740">
      <c r="A4740" s="9"/>
      <c r="B4740" s="15"/>
      <c r="C4740" s="9">
        <f>IFERROR(__xludf.DUMMYFUNCTION("""COMPUTED_VALUE"""),44747.2094452083)</f>
        <v>44747.20945</v>
      </c>
      <c r="D4740" s="15">
        <f>IFERROR(__xludf.DUMMYFUNCTION("""COMPUTED_VALUE"""),1.004)</f>
        <v>1.004</v>
      </c>
      <c r="E4740" s="16">
        <f>IFERROR(__xludf.DUMMYFUNCTION("""COMPUTED_VALUE"""),70.0)</f>
        <v>70</v>
      </c>
      <c r="F4740" s="19" t="str">
        <f>IFERROR(__xludf.DUMMYFUNCTION("""COMPUTED_VALUE"""),"BLACK")</f>
        <v>BLACK</v>
      </c>
      <c r="G4740" s="20" t="str">
        <f>IFERROR(__xludf.DUMMYFUNCTION("""COMPUTED_VALUE"""),"Uncle Sams Cider (5/13/2022)")</f>
        <v>Uncle Sams Cider (5/13/2022)</v>
      </c>
      <c r="H4740" s="19"/>
    </row>
    <row r="4741">
      <c r="A4741" s="9"/>
      <c r="B4741" s="15"/>
      <c r="C4741" s="9">
        <f>IFERROR(__xludf.DUMMYFUNCTION("""COMPUTED_VALUE"""),44747.1990253935)</f>
        <v>44747.19903</v>
      </c>
      <c r="D4741" s="15">
        <f>IFERROR(__xludf.DUMMYFUNCTION("""COMPUTED_VALUE"""),1.005)</f>
        <v>1.005</v>
      </c>
      <c r="E4741" s="16">
        <f>IFERROR(__xludf.DUMMYFUNCTION("""COMPUTED_VALUE"""),70.0)</f>
        <v>70</v>
      </c>
      <c r="F4741" s="19" t="str">
        <f>IFERROR(__xludf.DUMMYFUNCTION("""COMPUTED_VALUE"""),"BLACK")</f>
        <v>BLACK</v>
      </c>
      <c r="G4741" s="20" t="str">
        <f>IFERROR(__xludf.DUMMYFUNCTION("""COMPUTED_VALUE"""),"Uncle Sams Cider (5/13/2022)")</f>
        <v>Uncle Sams Cider (5/13/2022)</v>
      </c>
      <c r="H4741" s="19"/>
    </row>
    <row r="4742">
      <c r="A4742" s="9"/>
      <c r="B4742" s="15"/>
      <c r="C4742" s="9">
        <f>IFERROR(__xludf.DUMMYFUNCTION("""COMPUTED_VALUE"""),44747.1885923032)</f>
        <v>44747.18859</v>
      </c>
      <c r="D4742" s="15">
        <f>IFERROR(__xludf.DUMMYFUNCTION("""COMPUTED_VALUE"""),1.004)</f>
        <v>1.004</v>
      </c>
      <c r="E4742" s="16">
        <f>IFERROR(__xludf.DUMMYFUNCTION("""COMPUTED_VALUE"""),70.0)</f>
        <v>70</v>
      </c>
      <c r="F4742" s="19" t="str">
        <f>IFERROR(__xludf.DUMMYFUNCTION("""COMPUTED_VALUE"""),"BLACK")</f>
        <v>BLACK</v>
      </c>
      <c r="G4742" s="20" t="str">
        <f>IFERROR(__xludf.DUMMYFUNCTION("""COMPUTED_VALUE"""),"Uncle Sams Cider (5/13/2022)")</f>
        <v>Uncle Sams Cider (5/13/2022)</v>
      </c>
      <c r="H4742" s="19"/>
    </row>
    <row r="4743">
      <c r="A4743" s="9"/>
      <c r="B4743" s="15"/>
      <c r="C4743" s="9">
        <f>IFERROR(__xludf.DUMMYFUNCTION("""COMPUTED_VALUE"""),44747.1781709606)</f>
        <v>44747.17817</v>
      </c>
      <c r="D4743" s="15">
        <f>IFERROR(__xludf.DUMMYFUNCTION("""COMPUTED_VALUE"""),1.004)</f>
        <v>1.004</v>
      </c>
      <c r="E4743" s="16">
        <f>IFERROR(__xludf.DUMMYFUNCTION("""COMPUTED_VALUE"""),70.0)</f>
        <v>70</v>
      </c>
      <c r="F4743" s="19" t="str">
        <f>IFERROR(__xludf.DUMMYFUNCTION("""COMPUTED_VALUE"""),"BLACK")</f>
        <v>BLACK</v>
      </c>
      <c r="G4743" s="20" t="str">
        <f>IFERROR(__xludf.DUMMYFUNCTION("""COMPUTED_VALUE"""),"Uncle Sams Cider (5/13/2022)")</f>
        <v>Uncle Sams Cider (5/13/2022)</v>
      </c>
      <c r="H4743" s="19"/>
    </row>
    <row r="4744">
      <c r="A4744" s="9"/>
      <c r="B4744" s="15"/>
      <c r="C4744" s="9">
        <f>IFERROR(__xludf.DUMMYFUNCTION("""COMPUTED_VALUE"""),44747.1677388078)</f>
        <v>44747.16774</v>
      </c>
      <c r="D4744" s="15">
        <f>IFERROR(__xludf.DUMMYFUNCTION("""COMPUTED_VALUE"""),1.004)</f>
        <v>1.004</v>
      </c>
      <c r="E4744" s="16">
        <f>IFERROR(__xludf.DUMMYFUNCTION("""COMPUTED_VALUE"""),70.0)</f>
        <v>70</v>
      </c>
      <c r="F4744" s="19" t="str">
        <f>IFERROR(__xludf.DUMMYFUNCTION("""COMPUTED_VALUE"""),"BLACK")</f>
        <v>BLACK</v>
      </c>
      <c r="G4744" s="20" t="str">
        <f>IFERROR(__xludf.DUMMYFUNCTION("""COMPUTED_VALUE"""),"Uncle Sams Cider (5/13/2022)")</f>
        <v>Uncle Sams Cider (5/13/2022)</v>
      </c>
      <c r="H4744" s="19"/>
    </row>
    <row r="4745">
      <c r="A4745" s="9"/>
      <c r="B4745" s="15"/>
      <c r="C4745" s="9">
        <f>IFERROR(__xludf.DUMMYFUNCTION("""COMPUTED_VALUE"""),44747.1573179513)</f>
        <v>44747.15732</v>
      </c>
      <c r="D4745" s="15">
        <f>IFERROR(__xludf.DUMMYFUNCTION("""COMPUTED_VALUE"""),1.005)</f>
        <v>1.005</v>
      </c>
      <c r="E4745" s="16">
        <f>IFERROR(__xludf.DUMMYFUNCTION("""COMPUTED_VALUE"""),70.0)</f>
        <v>70</v>
      </c>
      <c r="F4745" s="19" t="str">
        <f>IFERROR(__xludf.DUMMYFUNCTION("""COMPUTED_VALUE"""),"BLACK")</f>
        <v>BLACK</v>
      </c>
      <c r="G4745" s="20" t="str">
        <f>IFERROR(__xludf.DUMMYFUNCTION("""COMPUTED_VALUE"""),"Uncle Sams Cider (5/13/2022)")</f>
        <v>Uncle Sams Cider (5/13/2022)</v>
      </c>
      <c r="H4745" s="19"/>
    </row>
    <row r="4746">
      <c r="A4746" s="9"/>
      <c r="B4746" s="15"/>
      <c r="C4746" s="9">
        <f>IFERROR(__xludf.DUMMYFUNCTION("""COMPUTED_VALUE"""),44747.1468963541)</f>
        <v>44747.1469</v>
      </c>
      <c r="D4746" s="15">
        <f>IFERROR(__xludf.DUMMYFUNCTION("""COMPUTED_VALUE"""),1.004)</f>
        <v>1.004</v>
      </c>
      <c r="E4746" s="16">
        <f>IFERROR(__xludf.DUMMYFUNCTION("""COMPUTED_VALUE"""),70.0)</f>
        <v>70</v>
      </c>
      <c r="F4746" s="19" t="str">
        <f>IFERROR(__xludf.DUMMYFUNCTION("""COMPUTED_VALUE"""),"BLACK")</f>
        <v>BLACK</v>
      </c>
      <c r="G4746" s="20" t="str">
        <f>IFERROR(__xludf.DUMMYFUNCTION("""COMPUTED_VALUE"""),"Uncle Sams Cider (5/13/2022)")</f>
        <v>Uncle Sams Cider (5/13/2022)</v>
      </c>
      <c r="H4746" s="19"/>
    </row>
    <row r="4747">
      <c r="A4747" s="9"/>
      <c r="B4747" s="15"/>
      <c r="C4747" s="9">
        <f>IFERROR(__xludf.DUMMYFUNCTION("""COMPUTED_VALUE"""),44747.1364734259)</f>
        <v>44747.13647</v>
      </c>
      <c r="D4747" s="15">
        <f>IFERROR(__xludf.DUMMYFUNCTION("""COMPUTED_VALUE"""),1.004)</f>
        <v>1.004</v>
      </c>
      <c r="E4747" s="16">
        <f>IFERROR(__xludf.DUMMYFUNCTION("""COMPUTED_VALUE"""),70.0)</f>
        <v>70</v>
      </c>
      <c r="F4747" s="19" t="str">
        <f>IFERROR(__xludf.DUMMYFUNCTION("""COMPUTED_VALUE"""),"BLACK")</f>
        <v>BLACK</v>
      </c>
      <c r="G4747" s="20" t="str">
        <f>IFERROR(__xludf.DUMMYFUNCTION("""COMPUTED_VALUE"""),"Uncle Sams Cider (5/13/2022)")</f>
        <v>Uncle Sams Cider (5/13/2022)</v>
      </c>
      <c r="H4747" s="19"/>
    </row>
    <row r="4748">
      <c r="A4748" s="9"/>
      <c r="B4748" s="15"/>
      <c r="C4748" s="9">
        <f>IFERROR(__xludf.DUMMYFUNCTION("""COMPUTED_VALUE"""),44747.1260520717)</f>
        <v>44747.12605</v>
      </c>
      <c r="D4748" s="15">
        <f>IFERROR(__xludf.DUMMYFUNCTION("""COMPUTED_VALUE"""),1.004)</f>
        <v>1.004</v>
      </c>
      <c r="E4748" s="16">
        <f>IFERROR(__xludf.DUMMYFUNCTION("""COMPUTED_VALUE"""),69.0)</f>
        <v>69</v>
      </c>
      <c r="F4748" s="19" t="str">
        <f>IFERROR(__xludf.DUMMYFUNCTION("""COMPUTED_VALUE"""),"BLACK")</f>
        <v>BLACK</v>
      </c>
      <c r="G4748" s="20" t="str">
        <f>IFERROR(__xludf.DUMMYFUNCTION("""COMPUTED_VALUE"""),"Uncle Sams Cider (5/13/2022)")</f>
        <v>Uncle Sams Cider (5/13/2022)</v>
      </c>
      <c r="H4748" s="19"/>
    </row>
    <row r="4749">
      <c r="A4749" s="9"/>
      <c r="B4749" s="15"/>
      <c r="C4749" s="9">
        <f>IFERROR(__xludf.DUMMYFUNCTION("""COMPUTED_VALUE"""),44747.1156298726)</f>
        <v>44747.11563</v>
      </c>
      <c r="D4749" s="15">
        <f>IFERROR(__xludf.DUMMYFUNCTION("""COMPUTED_VALUE"""),1.004)</f>
        <v>1.004</v>
      </c>
      <c r="E4749" s="16">
        <f>IFERROR(__xludf.DUMMYFUNCTION("""COMPUTED_VALUE"""),70.0)</f>
        <v>70</v>
      </c>
      <c r="F4749" s="19" t="str">
        <f>IFERROR(__xludf.DUMMYFUNCTION("""COMPUTED_VALUE"""),"BLACK")</f>
        <v>BLACK</v>
      </c>
      <c r="G4749" s="20" t="str">
        <f>IFERROR(__xludf.DUMMYFUNCTION("""COMPUTED_VALUE"""),"Uncle Sams Cider (5/13/2022)")</f>
        <v>Uncle Sams Cider (5/13/2022)</v>
      </c>
      <c r="H4749" s="19"/>
    </row>
    <row r="4750">
      <c r="A4750" s="9"/>
      <c r="B4750" s="15"/>
      <c r="C4750" s="9">
        <f>IFERROR(__xludf.DUMMYFUNCTION("""COMPUTED_VALUE"""),44747.1052088888)</f>
        <v>44747.10521</v>
      </c>
      <c r="D4750" s="15">
        <f>IFERROR(__xludf.DUMMYFUNCTION("""COMPUTED_VALUE"""),1.005)</f>
        <v>1.005</v>
      </c>
      <c r="E4750" s="16">
        <f>IFERROR(__xludf.DUMMYFUNCTION("""COMPUTED_VALUE"""),69.0)</f>
        <v>69</v>
      </c>
      <c r="F4750" s="19" t="str">
        <f>IFERROR(__xludf.DUMMYFUNCTION("""COMPUTED_VALUE"""),"BLACK")</f>
        <v>BLACK</v>
      </c>
      <c r="G4750" s="20" t="str">
        <f>IFERROR(__xludf.DUMMYFUNCTION("""COMPUTED_VALUE"""),"Uncle Sams Cider (5/13/2022)")</f>
        <v>Uncle Sams Cider (5/13/2022)</v>
      </c>
      <c r="H4750" s="19"/>
    </row>
    <row r="4751">
      <c r="A4751" s="9"/>
      <c r="B4751" s="15"/>
      <c r="C4751" s="9">
        <f>IFERROR(__xludf.DUMMYFUNCTION("""COMPUTED_VALUE"""),44747.0947885995)</f>
        <v>44747.09479</v>
      </c>
      <c r="D4751" s="15">
        <f>IFERROR(__xludf.DUMMYFUNCTION("""COMPUTED_VALUE"""),1.004)</f>
        <v>1.004</v>
      </c>
      <c r="E4751" s="16">
        <f>IFERROR(__xludf.DUMMYFUNCTION("""COMPUTED_VALUE"""),69.0)</f>
        <v>69</v>
      </c>
      <c r="F4751" s="19" t="str">
        <f>IFERROR(__xludf.DUMMYFUNCTION("""COMPUTED_VALUE"""),"BLACK")</f>
        <v>BLACK</v>
      </c>
      <c r="G4751" s="20" t="str">
        <f>IFERROR(__xludf.DUMMYFUNCTION("""COMPUTED_VALUE"""),"Uncle Sams Cider (5/13/2022)")</f>
        <v>Uncle Sams Cider (5/13/2022)</v>
      </c>
      <c r="H4751" s="19"/>
    </row>
    <row r="4752">
      <c r="A4752" s="9"/>
      <c r="B4752" s="15"/>
      <c r="C4752" s="9">
        <f>IFERROR(__xludf.DUMMYFUNCTION("""COMPUTED_VALUE"""),44747.0843668634)</f>
        <v>44747.08437</v>
      </c>
      <c r="D4752" s="15">
        <f>IFERROR(__xludf.DUMMYFUNCTION("""COMPUTED_VALUE"""),1.004)</f>
        <v>1.004</v>
      </c>
      <c r="E4752" s="16">
        <f>IFERROR(__xludf.DUMMYFUNCTION("""COMPUTED_VALUE"""),69.0)</f>
        <v>69</v>
      </c>
      <c r="F4752" s="19" t="str">
        <f>IFERROR(__xludf.DUMMYFUNCTION("""COMPUTED_VALUE"""),"BLACK")</f>
        <v>BLACK</v>
      </c>
      <c r="G4752" s="20" t="str">
        <f>IFERROR(__xludf.DUMMYFUNCTION("""COMPUTED_VALUE"""),"Uncle Sams Cider (5/13/2022)")</f>
        <v>Uncle Sams Cider (5/13/2022)</v>
      </c>
      <c r="H4752" s="19"/>
    </row>
    <row r="4753">
      <c r="A4753" s="9"/>
      <c r="B4753" s="15"/>
      <c r="C4753" s="9">
        <f>IFERROR(__xludf.DUMMYFUNCTION("""COMPUTED_VALUE"""),44747.0739444907)</f>
        <v>44747.07394</v>
      </c>
      <c r="D4753" s="15">
        <f>IFERROR(__xludf.DUMMYFUNCTION("""COMPUTED_VALUE"""),1.004)</f>
        <v>1.004</v>
      </c>
      <c r="E4753" s="16">
        <f>IFERROR(__xludf.DUMMYFUNCTION("""COMPUTED_VALUE"""),69.0)</f>
        <v>69</v>
      </c>
      <c r="F4753" s="19" t="str">
        <f>IFERROR(__xludf.DUMMYFUNCTION("""COMPUTED_VALUE"""),"BLACK")</f>
        <v>BLACK</v>
      </c>
      <c r="G4753" s="20" t="str">
        <f>IFERROR(__xludf.DUMMYFUNCTION("""COMPUTED_VALUE"""),"Uncle Sams Cider (5/13/2022)")</f>
        <v>Uncle Sams Cider (5/13/2022)</v>
      </c>
      <c r="H4753" s="19"/>
    </row>
    <row r="4754">
      <c r="A4754" s="9"/>
      <c r="B4754" s="15"/>
      <c r="C4754" s="9">
        <f>IFERROR(__xludf.DUMMYFUNCTION("""COMPUTED_VALUE"""),44747.0635109375)</f>
        <v>44747.06351</v>
      </c>
      <c r="D4754" s="15">
        <f>IFERROR(__xludf.DUMMYFUNCTION("""COMPUTED_VALUE"""),1.004)</f>
        <v>1.004</v>
      </c>
      <c r="E4754" s="16">
        <f>IFERROR(__xludf.DUMMYFUNCTION("""COMPUTED_VALUE"""),69.0)</f>
        <v>69</v>
      </c>
      <c r="F4754" s="19" t="str">
        <f>IFERROR(__xludf.DUMMYFUNCTION("""COMPUTED_VALUE"""),"BLACK")</f>
        <v>BLACK</v>
      </c>
      <c r="G4754" s="20" t="str">
        <f>IFERROR(__xludf.DUMMYFUNCTION("""COMPUTED_VALUE"""),"Uncle Sams Cider (5/13/2022)")</f>
        <v>Uncle Sams Cider (5/13/2022)</v>
      </c>
      <c r="H4754" s="19"/>
    </row>
    <row r="4755">
      <c r="A4755" s="9"/>
      <c r="B4755" s="15"/>
      <c r="C4755" s="9">
        <f>IFERROR(__xludf.DUMMYFUNCTION("""COMPUTED_VALUE"""),44747.0530901851)</f>
        <v>44747.05309</v>
      </c>
      <c r="D4755" s="15">
        <f>IFERROR(__xludf.DUMMYFUNCTION("""COMPUTED_VALUE"""),1.005)</f>
        <v>1.005</v>
      </c>
      <c r="E4755" s="16">
        <f>IFERROR(__xludf.DUMMYFUNCTION("""COMPUTED_VALUE"""),69.0)</f>
        <v>69</v>
      </c>
      <c r="F4755" s="19" t="str">
        <f>IFERROR(__xludf.DUMMYFUNCTION("""COMPUTED_VALUE"""),"BLACK")</f>
        <v>BLACK</v>
      </c>
      <c r="G4755" s="20" t="str">
        <f>IFERROR(__xludf.DUMMYFUNCTION("""COMPUTED_VALUE"""),"Uncle Sams Cider (5/13/2022)")</f>
        <v>Uncle Sams Cider (5/13/2022)</v>
      </c>
      <c r="H4755" s="19"/>
    </row>
    <row r="4756">
      <c r="A4756" s="9"/>
      <c r="B4756" s="15"/>
      <c r="C4756" s="9">
        <f>IFERROR(__xludf.DUMMYFUNCTION("""COMPUTED_VALUE"""),44747.0426695833)</f>
        <v>44747.04267</v>
      </c>
      <c r="D4756" s="15">
        <f>IFERROR(__xludf.DUMMYFUNCTION("""COMPUTED_VALUE"""),1.004)</f>
        <v>1.004</v>
      </c>
      <c r="E4756" s="16">
        <f>IFERROR(__xludf.DUMMYFUNCTION("""COMPUTED_VALUE"""),69.0)</f>
        <v>69</v>
      </c>
      <c r="F4756" s="19" t="str">
        <f>IFERROR(__xludf.DUMMYFUNCTION("""COMPUTED_VALUE"""),"BLACK")</f>
        <v>BLACK</v>
      </c>
      <c r="G4756" s="20" t="str">
        <f>IFERROR(__xludf.DUMMYFUNCTION("""COMPUTED_VALUE"""),"Uncle Sams Cider (5/13/2022)")</f>
        <v>Uncle Sams Cider (5/13/2022)</v>
      </c>
      <c r="H4756" s="19"/>
    </row>
    <row r="4757">
      <c r="A4757" s="9"/>
      <c r="B4757" s="15"/>
      <c r="C4757" s="9">
        <f>IFERROR(__xludf.DUMMYFUNCTION("""COMPUTED_VALUE"""),44747.0322475925)</f>
        <v>44747.03225</v>
      </c>
      <c r="D4757" s="15">
        <f>IFERROR(__xludf.DUMMYFUNCTION("""COMPUTED_VALUE"""),1.004)</f>
        <v>1.004</v>
      </c>
      <c r="E4757" s="16">
        <f>IFERROR(__xludf.DUMMYFUNCTION("""COMPUTED_VALUE"""),69.0)</f>
        <v>69</v>
      </c>
      <c r="F4757" s="19" t="str">
        <f>IFERROR(__xludf.DUMMYFUNCTION("""COMPUTED_VALUE"""),"BLACK")</f>
        <v>BLACK</v>
      </c>
      <c r="G4757" s="20" t="str">
        <f>IFERROR(__xludf.DUMMYFUNCTION("""COMPUTED_VALUE"""),"Uncle Sams Cider (5/13/2022)")</f>
        <v>Uncle Sams Cider (5/13/2022)</v>
      </c>
      <c r="H4757" s="19"/>
    </row>
    <row r="4758">
      <c r="A4758" s="9"/>
      <c r="B4758" s="15"/>
      <c r="C4758" s="9">
        <f>IFERROR(__xludf.DUMMYFUNCTION("""COMPUTED_VALUE"""),44747.0218274305)</f>
        <v>44747.02183</v>
      </c>
      <c r="D4758" s="15">
        <f>IFERROR(__xludf.DUMMYFUNCTION("""COMPUTED_VALUE"""),1.004)</f>
        <v>1.004</v>
      </c>
      <c r="E4758" s="16">
        <f>IFERROR(__xludf.DUMMYFUNCTION("""COMPUTED_VALUE"""),69.0)</f>
        <v>69</v>
      </c>
      <c r="F4758" s="19" t="str">
        <f>IFERROR(__xludf.DUMMYFUNCTION("""COMPUTED_VALUE"""),"BLACK")</f>
        <v>BLACK</v>
      </c>
      <c r="G4758" s="20" t="str">
        <f>IFERROR(__xludf.DUMMYFUNCTION("""COMPUTED_VALUE"""),"Uncle Sams Cider (5/13/2022)")</f>
        <v>Uncle Sams Cider (5/13/2022)</v>
      </c>
      <c r="H4758" s="19"/>
    </row>
    <row r="4759">
      <c r="A4759" s="9"/>
      <c r="B4759" s="15"/>
      <c r="C4759" s="9">
        <f>IFERROR(__xludf.DUMMYFUNCTION("""COMPUTED_VALUE"""),44747.0114061805)</f>
        <v>44747.01141</v>
      </c>
      <c r="D4759" s="15">
        <f>IFERROR(__xludf.DUMMYFUNCTION("""COMPUTED_VALUE"""),1.004)</f>
        <v>1.004</v>
      </c>
      <c r="E4759" s="16">
        <f>IFERROR(__xludf.DUMMYFUNCTION("""COMPUTED_VALUE"""),69.0)</f>
        <v>69</v>
      </c>
      <c r="F4759" s="19" t="str">
        <f>IFERROR(__xludf.DUMMYFUNCTION("""COMPUTED_VALUE"""),"BLACK")</f>
        <v>BLACK</v>
      </c>
      <c r="G4759" s="20" t="str">
        <f>IFERROR(__xludf.DUMMYFUNCTION("""COMPUTED_VALUE"""),"Uncle Sams Cider (5/13/2022)")</f>
        <v>Uncle Sams Cider (5/13/2022)</v>
      </c>
      <c r="H4759" s="19"/>
    </row>
    <row r="4760">
      <c r="A4760" s="9"/>
      <c r="B4760" s="15"/>
      <c r="C4760" s="9">
        <f>IFERROR(__xludf.DUMMYFUNCTION("""COMPUTED_VALUE"""),44747.000972199)</f>
        <v>44747.00097</v>
      </c>
      <c r="D4760" s="15">
        <f>IFERROR(__xludf.DUMMYFUNCTION("""COMPUTED_VALUE"""),1.004)</f>
        <v>1.004</v>
      </c>
      <c r="E4760" s="16">
        <f>IFERROR(__xludf.DUMMYFUNCTION("""COMPUTED_VALUE"""),69.0)</f>
        <v>69</v>
      </c>
      <c r="F4760" s="19" t="str">
        <f>IFERROR(__xludf.DUMMYFUNCTION("""COMPUTED_VALUE"""),"BLACK")</f>
        <v>BLACK</v>
      </c>
      <c r="G4760" s="20" t="str">
        <f>IFERROR(__xludf.DUMMYFUNCTION("""COMPUTED_VALUE"""),"Uncle Sams Cider (5/13/2022)")</f>
        <v>Uncle Sams Cider (5/13/2022)</v>
      </c>
      <c r="H4760" s="19"/>
    </row>
    <row r="4761">
      <c r="A4761" s="9"/>
      <c r="B4761" s="15"/>
      <c r="C4761" s="9">
        <f>IFERROR(__xludf.DUMMYFUNCTION("""COMPUTED_VALUE"""),44746.990540162)</f>
        <v>44746.99054</v>
      </c>
      <c r="D4761" s="15">
        <f>IFERROR(__xludf.DUMMYFUNCTION("""COMPUTED_VALUE"""),1.004)</f>
        <v>1.004</v>
      </c>
      <c r="E4761" s="16">
        <f>IFERROR(__xludf.DUMMYFUNCTION("""COMPUTED_VALUE"""),69.0)</f>
        <v>69</v>
      </c>
      <c r="F4761" s="19" t="str">
        <f>IFERROR(__xludf.DUMMYFUNCTION("""COMPUTED_VALUE"""),"BLACK")</f>
        <v>BLACK</v>
      </c>
      <c r="G4761" s="20" t="str">
        <f>IFERROR(__xludf.DUMMYFUNCTION("""COMPUTED_VALUE"""),"Uncle Sams Cider (5/13/2022)")</f>
        <v>Uncle Sams Cider (5/13/2022)</v>
      </c>
      <c r="H4761" s="19"/>
    </row>
    <row r="4762">
      <c r="A4762" s="9"/>
      <c r="B4762" s="15"/>
      <c r="C4762" s="9">
        <f>IFERROR(__xludf.DUMMYFUNCTION("""COMPUTED_VALUE"""),44746.9801181597)</f>
        <v>44746.98012</v>
      </c>
      <c r="D4762" s="15">
        <f>IFERROR(__xludf.DUMMYFUNCTION("""COMPUTED_VALUE"""),1.004)</f>
        <v>1.004</v>
      </c>
      <c r="E4762" s="16">
        <f>IFERROR(__xludf.DUMMYFUNCTION("""COMPUTED_VALUE"""),69.0)</f>
        <v>69</v>
      </c>
      <c r="F4762" s="19" t="str">
        <f>IFERROR(__xludf.DUMMYFUNCTION("""COMPUTED_VALUE"""),"BLACK")</f>
        <v>BLACK</v>
      </c>
      <c r="G4762" s="20" t="str">
        <f>IFERROR(__xludf.DUMMYFUNCTION("""COMPUTED_VALUE"""),"Uncle Sams Cider (5/13/2022)")</f>
        <v>Uncle Sams Cider (5/13/2022)</v>
      </c>
      <c r="H4762" s="19"/>
    </row>
    <row r="4763">
      <c r="A4763" s="9"/>
      <c r="B4763" s="15"/>
      <c r="C4763" s="9">
        <f>IFERROR(__xludf.DUMMYFUNCTION("""COMPUTED_VALUE"""),44746.9696959838)</f>
        <v>44746.9697</v>
      </c>
      <c r="D4763" s="15">
        <f>IFERROR(__xludf.DUMMYFUNCTION("""COMPUTED_VALUE"""),1.005)</f>
        <v>1.005</v>
      </c>
      <c r="E4763" s="16">
        <f>IFERROR(__xludf.DUMMYFUNCTION("""COMPUTED_VALUE"""),69.0)</f>
        <v>69</v>
      </c>
      <c r="F4763" s="19" t="str">
        <f>IFERROR(__xludf.DUMMYFUNCTION("""COMPUTED_VALUE"""),"BLACK")</f>
        <v>BLACK</v>
      </c>
      <c r="G4763" s="20" t="str">
        <f>IFERROR(__xludf.DUMMYFUNCTION("""COMPUTED_VALUE"""),"Uncle Sams Cider (5/13/2022)")</f>
        <v>Uncle Sams Cider (5/13/2022)</v>
      </c>
      <c r="H4763" s="19"/>
    </row>
    <row r="4764">
      <c r="A4764" s="9"/>
      <c r="B4764" s="15"/>
      <c r="C4764" s="9">
        <f>IFERROR(__xludf.DUMMYFUNCTION("""COMPUTED_VALUE"""),44746.9592761111)</f>
        <v>44746.95928</v>
      </c>
      <c r="D4764" s="15">
        <f>IFERROR(__xludf.DUMMYFUNCTION("""COMPUTED_VALUE"""),1.004)</f>
        <v>1.004</v>
      </c>
      <c r="E4764" s="16">
        <f>IFERROR(__xludf.DUMMYFUNCTION("""COMPUTED_VALUE"""),69.0)</f>
        <v>69</v>
      </c>
      <c r="F4764" s="19" t="str">
        <f>IFERROR(__xludf.DUMMYFUNCTION("""COMPUTED_VALUE"""),"BLACK")</f>
        <v>BLACK</v>
      </c>
      <c r="G4764" s="20" t="str">
        <f>IFERROR(__xludf.DUMMYFUNCTION("""COMPUTED_VALUE"""),"Uncle Sams Cider (5/13/2022)")</f>
        <v>Uncle Sams Cider (5/13/2022)</v>
      </c>
      <c r="H4764" s="19"/>
    </row>
    <row r="4765">
      <c r="A4765" s="9"/>
      <c r="B4765" s="15"/>
      <c r="C4765" s="9">
        <f>IFERROR(__xludf.DUMMYFUNCTION("""COMPUTED_VALUE"""),44746.9488545254)</f>
        <v>44746.94885</v>
      </c>
      <c r="D4765" s="15">
        <f>IFERROR(__xludf.DUMMYFUNCTION("""COMPUTED_VALUE"""),1.004)</f>
        <v>1.004</v>
      </c>
      <c r="E4765" s="16">
        <f>IFERROR(__xludf.DUMMYFUNCTION("""COMPUTED_VALUE"""),69.0)</f>
        <v>69</v>
      </c>
      <c r="F4765" s="19" t="str">
        <f>IFERROR(__xludf.DUMMYFUNCTION("""COMPUTED_VALUE"""),"BLACK")</f>
        <v>BLACK</v>
      </c>
      <c r="G4765" s="20" t="str">
        <f>IFERROR(__xludf.DUMMYFUNCTION("""COMPUTED_VALUE"""),"Uncle Sams Cider (5/13/2022)")</f>
        <v>Uncle Sams Cider (5/13/2022)</v>
      </c>
      <c r="H4765" s="19"/>
    </row>
    <row r="4766">
      <c r="A4766" s="9"/>
      <c r="B4766" s="15"/>
      <c r="C4766" s="9">
        <f>IFERROR(__xludf.DUMMYFUNCTION("""COMPUTED_VALUE"""),44746.9384213773)</f>
        <v>44746.93842</v>
      </c>
      <c r="D4766" s="15">
        <f>IFERROR(__xludf.DUMMYFUNCTION("""COMPUTED_VALUE"""),1.005)</f>
        <v>1.005</v>
      </c>
      <c r="E4766" s="16">
        <f>IFERROR(__xludf.DUMMYFUNCTION("""COMPUTED_VALUE"""),69.0)</f>
        <v>69</v>
      </c>
      <c r="F4766" s="19" t="str">
        <f>IFERROR(__xludf.DUMMYFUNCTION("""COMPUTED_VALUE"""),"BLACK")</f>
        <v>BLACK</v>
      </c>
      <c r="G4766" s="20" t="str">
        <f>IFERROR(__xludf.DUMMYFUNCTION("""COMPUTED_VALUE"""),"Uncle Sams Cider (5/13/2022)")</f>
        <v>Uncle Sams Cider (5/13/2022)</v>
      </c>
      <c r="H4766" s="19"/>
    </row>
    <row r="4767">
      <c r="A4767" s="9"/>
      <c r="B4767" s="15"/>
      <c r="C4767" s="9">
        <f>IFERROR(__xludf.DUMMYFUNCTION("""COMPUTED_VALUE"""),44746.9279999768)</f>
        <v>44746.928</v>
      </c>
      <c r="D4767" s="15">
        <f>IFERROR(__xludf.DUMMYFUNCTION("""COMPUTED_VALUE"""),1.005)</f>
        <v>1.005</v>
      </c>
      <c r="E4767" s="16">
        <f>IFERROR(__xludf.DUMMYFUNCTION("""COMPUTED_VALUE"""),69.0)</f>
        <v>69</v>
      </c>
      <c r="F4767" s="19" t="str">
        <f>IFERROR(__xludf.DUMMYFUNCTION("""COMPUTED_VALUE"""),"BLACK")</f>
        <v>BLACK</v>
      </c>
      <c r="G4767" s="20" t="str">
        <f>IFERROR(__xludf.DUMMYFUNCTION("""COMPUTED_VALUE"""),"Uncle Sams Cider (5/13/2022)")</f>
        <v>Uncle Sams Cider (5/13/2022)</v>
      </c>
      <c r="H4767" s="19"/>
    </row>
    <row r="4768">
      <c r="A4768" s="9"/>
      <c r="B4768" s="15"/>
      <c r="C4768" s="9">
        <f>IFERROR(__xludf.DUMMYFUNCTION("""COMPUTED_VALUE"""),44746.9175787731)</f>
        <v>44746.91758</v>
      </c>
      <c r="D4768" s="15">
        <f>IFERROR(__xludf.DUMMYFUNCTION("""COMPUTED_VALUE"""),1.004)</f>
        <v>1.004</v>
      </c>
      <c r="E4768" s="16">
        <f>IFERROR(__xludf.DUMMYFUNCTION("""COMPUTED_VALUE"""),69.0)</f>
        <v>69</v>
      </c>
      <c r="F4768" s="19" t="str">
        <f>IFERROR(__xludf.DUMMYFUNCTION("""COMPUTED_VALUE"""),"BLACK")</f>
        <v>BLACK</v>
      </c>
      <c r="G4768" s="20" t="str">
        <f>IFERROR(__xludf.DUMMYFUNCTION("""COMPUTED_VALUE"""),"Uncle Sams Cider (5/13/2022)")</f>
        <v>Uncle Sams Cider (5/13/2022)</v>
      </c>
      <c r="H4768" s="19"/>
    </row>
    <row r="4769">
      <c r="A4769" s="9"/>
      <c r="B4769" s="15"/>
      <c r="C4769" s="9">
        <f>IFERROR(__xludf.DUMMYFUNCTION("""COMPUTED_VALUE"""),44746.9071458796)</f>
        <v>44746.90715</v>
      </c>
      <c r="D4769" s="15">
        <f>IFERROR(__xludf.DUMMYFUNCTION("""COMPUTED_VALUE"""),1.004)</f>
        <v>1.004</v>
      </c>
      <c r="E4769" s="16">
        <f>IFERROR(__xludf.DUMMYFUNCTION("""COMPUTED_VALUE"""),69.0)</f>
        <v>69</v>
      </c>
      <c r="F4769" s="19" t="str">
        <f>IFERROR(__xludf.DUMMYFUNCTION("""COMPUTED_VALUE"""),"BLACK")</f>
        <v>BLACK</v>
      </c>
      <c r="G4769" s="20" t="str">
        <f>IFERROR(__xludf.DUMMYFUNCTION("""COMPUTED_VALUE"""),"Uncle Sams Cider (5/13/2022)")</f>
        <v>Uncle Sams Cider (5/13/2022)</v>
      </c>
      <c r="H4769" s="19"/>
    </row>
    <row r="4770">
      <c r="A4770" s="9"/>
      <c r="B4770" s="15"/>
      <c r="C4770" s="9">
        <f>IFERROR(__xludf.DUMMYFUNCTION("""COMPUTED_VALUE"""),44746.8967253125)</f>
        <v>44746.89673</v>
      </c>
      <c r="D4770" s="15">
        <f>IFERROR(__xludf.DUMMYFUNCTION("""COMPUTED_VALUE"""),1.004)</f>
        <v>1.004</v>
      </c>
      <c r="E4770" s="16">
        <f>IFERROR(__xludf.DUMMYFUNCTION("""COMPUTED_VALUE"""),69.0)</f>
        <v>69</v>
      </c>
      <c r="F4770" s="19" t="str">
        <f>IFERROR(__xludf.DUMMYFUNCTION("""COMPUTED_VALUE"""),"BLACK")</f>
        <v>BLACK</v>
      </c>
      <c r="G4770" s="20" t="str">
        <f>IFERROR(__xludf.DUMMYFUNCTION("""COMPUTED_VALUE"""),"Uncle Sams Cider (5/13/2022)")</f>
        <v>Uncle Sams Cider (5/13/2022)</v>
      </c>
      <c r="H4770" s="19"/>
    </row>
    <row r="4771">
      <c r="A4771" s="9"/>
      <c r="B4771" s="15"/>
      <c r="C4771" s="9">
        <f>IFERROR(__xludf.DUMMYFUNCTION("""COMPUTED_VALUE"""),44746.8863026273)</f>
        <v>44746.8863</v>
      </c>
      <c r="D4771" s="15">
        <f>IFERROR(__xludf.DUMMYFUNCTION("""COMPUTED_VALUE"""),1.004)</f>
        <v>1.004</v>
      </c>
      <c r="E4771" s="16">
        <f>IFERROR(__xludf.DUMMYFUNCTION("""COMPUTED_VALUE"""),69.0)</f>
        <v>69</v>
      </c>
      <c r="F4771" s="19" t="str">
        <f>IFERROR(__xludf.DUMMYFUNCTION("""COMPUTED_VALUE"""),"BLACK")</f>
        <v>BLACK</v>
      </c>
      <c r="G4771" s="20" t="str">
        <f>IFERROR(__xludf.DUMMYFUNCTION("""COMPUTED_VALUE"""),"Uncle Sams Cider (5/13/2022)")</f>
        <v>Uncle Sams Cider (5/13/2022)</v>
      </c>
      <c r="H4771" s="19"/>
    </row>
    <row r="4772">
      <c r="A4772" s="9"/>
      <c r="B4772" s="15"/>
      <c r="C4772" s="9">
        <f>IFERROR(__xludf.DUMMYFUNCTION("""COMPUTED_VALUE"""),44746.8758812731)</f>
        <v>44746.87588</v>
      </c>
      <c r="D4772" s="15">
        <f>IFERROR(__xludf.DUMMYFUNCTION("""COMPUTED_VALUE"""),1.005)</f>
        <v>1.005</v>
      </c>
      <c r="E4772" s="16">
        <f>IFERROR(__xludf.DUMMYFUNCTION("""COMPUTED_VALUE"""),69.0)</f>
        <v>69</v>
      </c>
      <c r="F4772" s="19" t="str">
        <f>IFERROR(__xludf.DUMMYFUNCTION("""COMPUTED_VALUE"""),"BLACK")</f>
        <v>BLACK</v>
      </c>
      <c r="G4772" s="20" t="str">
        <f>IFERROR(__xludf.DUMMYFUNCTION("""COMPUTED_VALUE"""),"Uncle Sams Cider (5/13/2022)")</f>
        <v>Uncle Sams Cider (5/13/2022)</v>
      </c>
      <c r="H4772" s="19"/>
    </row>
    <row r="4773">
      <c r="A4773" s="9"/>
      <c r="B4773" s="15"/>
      <c r="C4773" s="9">
        <f>IFERROR(__xludf.DUMMYFUNCTION("""COMPUTED_VALUE"""),44746.8654596064)</f>
        <v>44746.86546</v>
      </c>
      <c r="D4773" s="15">
        <f>IFERROR(__xludf.DUMMYFUNCTION("""COMPUTED_VALUE"""),1.004)</f>
        <v>1.004</v>
      </c>
      <c r="E4773" s="16">
        <f>IFERROR(__xludf.DUMMYFUNCTION("""COMPUTED_VALUE"""),69.0)</f>
        <v>69</v>
      </c>
      <c r="F4773" s="19" t="str">
        <f>IFERROR(__xludf.DUMMYFUNCTION("""COMPUTED_VALUE"""),"BLACK")</f>
        <v>BLACK</v>
      </c>
      <c r="G4773" s="20" t="str">
        <f>IFERROR(__xludf.DUMMYFUNCTION("""COMPUTED_VALUE"""),"Uncle Sams Cider (5/13/2022)")</f>
        <v>Uncle Sams Cider (5/13/2022)</v>
      </c>
      <c r="H4773" s="19"/>
    </row>
    <row r="4774">
      <c r="A4774" s="9"/>
      <c r="B4774" s="15"/>
      <c r="C4774" s="9">
        <f>IFERROR(__xludf.DUMMYFUNCTION("""COMPUTED_VALUE"""),44746.8550390162)</f>
        <v>44746.85504</v>
      </c>
      <c r="D4774" s="15">
        <f>IFERROR(__xludf.DUMMYFUNCTION("""COMPUTED_VALUE"""),1.004)</f>
        <v>1.004</v>
      </c>
      <c r="E4774" s="16">
        <f>IFERROR(__xludf.DUMMYFUNCTION("""COMPUTED_VALUE"""),69.0)</f>
        <v>69</v>
      </c>
      <c r="F4774" s="19" t="str">
        <f>IFERROR(__xludf.DUMMYFUNCTION("""COMPUTED_VALUE"""),"BLACK")</f>
        <v>BLACK</v>
      </c>
      <c r="G4774" s="20" t="str">
        <f>IFERROR(__xludf.DUMMYFUNCTION("""COMPUTED_VALUE"""),"Uncle Sams Cider (5/13/2022)")</f>
        <v>Uncle Sams Cider (5/13/2022)</v>
      </c>
      <c r="H4774" s="19"/>
    </row>
    <row r="4775">
      <c r="A4775" s="9"/>
      <c r="B4775" s="15"/>
      <c r="C4775" s="9">
        <f>IFERROR(__xludf.DUMMYFUNCTION("""COMPUTED_VALUE"""),44746.8446156481)</f>
        <v>44746.84462</v>
      </c>
      <c r="D4775" s="15">
        <f>IFERROR(__xludf.DUMMYFUNCTION("""COMPUTED_VALUE"""),1.004)</f>
        <v>1.004</v>
      </c>
      <c r="E4775" s="16">
        <f>IFERROR(__xludf.DUMMYFUNCTION("""COMPUTED_VALUE"""),69.0)</f>
        <v>69</v>
      </c>
      <c r="F4775" s="19" t="str">
        <f>IFERROR(__xludf.DUMMYFUNCTION("""COMPUTED_VALUE"""),"BLACK")</f>
        <v>BLACK</v>
      </c>
      <c r="G4775" s="20" t="str">
        <f>IFERROR(__xludf.DUMMYFUNCTION("""COMPUTED_VALUE"""),"Uncle Sams Cider (5/13/2022)")</f>
        <v>Uncle Sams Cider (5/13/2022)</v>
      </c>
      <c r="H4775" s="19"/>
    </row>
    <row r="4776">
      <c r="A4776" s="9"/>
      <c r="B4776" s="15"/>
      <c r="C4776" s="9">
        <f>IFERROR(__xludf.DUMMYFUNCTION("""COMPUTED_VALUE"""),44746.8341948032)</f>
        <v>44746.83419</v>
      </c>
      <c r="D4776" s="15">
        <f>IFERROR(__xludf.DUMMYFUNCTION("""COMPUTED_VALUE"""),1.004)</f>
        <v>1.004</v>
      </c>
      <c r="E4776" s="16">
        <f>IFERROR(__xludf.DUMMYFUNCTION("""COMPUTED_VALUE"""),69.0)</f>
        <v>69</v>
      </c>
      <c r="F4776" s="19" t="str">
        <f>IFERROR(__xludf.DUMMYFUNCTION("""COMPUTED_VALUE"""),"BLACK")</f>
        <v>BLACK</v>
      </c>
      <c r="G4776" s="20" t="str">
        <f>IFERROR(__xludf.DUMMYFUNCTION("""COMPUTED_VALUE"""),"Uncle Sams Cider (5/13/2022)")</f>
        <v>Uncle Sams Cider (5/13/2022)</v>
      </c>
      <c r="H4776" s="19"/>
    </row>
    <row r="4777">
      <c r="A4777" s="9"/>
      <c r="B4777" s="15"/>
      <c r="C4777" s="9">
        <f>IFERROR(__xludf.DUMMYFUNCTION("""COMPUTED_VALUE"""),44746.8237731828)</f>
        <v>44746.82377</v>
      </c>
      <c r="D4777" s="15">
        <f>IFERROR(__xludf.DUMMYFUNCTION("""COMPUTED_VALUE"""),1.005)</f>
        <v>1.005</v>
      </c>
      <c r="E4777" s="16">
        <f>IFERROR(__xludf.DUMMYFUNCTION("""COMPUTED_VALUE"""),69.0)</f>
        <v>69</v>
      </c>
      <c r="F4777" s="19" t="str">
        <f>IFERROR(__xludf.DUMMYFUNCTION("""COMPUTED_VALUE"""),"BLACK")</f>
        <v>BLACK</v>
      </c>
      <c r="G4777" s="20" t="str">
        <f>IFERROR(__xludf.DUMMYFUNCTION("""COMPUTED_VALUE"""),"Uncle Sams Cider (5/13/2022)")</f>
        <v>Uncle Sams Cider (5/13/2022)</v>
      </c>
      <c r="H4777" s="19"/>
    </row>
    <row r="4778">
      <c r="A4778" s="9"/>
      <c r="B4778" s="15"/>
      <c r="C4778" s="9">
        <f>IFERROR(__xludf.DUMMYFUNCTION("""COMPUTED_VALUE"""),44746.8133391435)</f>
        <v>44746.81334</v>
      </c>
      <c r="D4778" s="15">
        <f>IFERROR(__xludf.DUMMYFUNCTION("""COMPUTED_VALUE"""),1.004)</f>
        <v>1.004</v>
      </c>
      <c r="E4778" s="16">
        <f>IFERROR(__xludf.DUMMYFUNCTION("""COMPUTED_VALUE"""),69.0)</f>
        <v>69</v>
      </c>
      <c r="F4778" s="19" t="str">
        <f>IFERROR(__xludf.DUMMYFUNCTION("""COMPUTED_VALUE"""),"BLACK")</f>
        <v>BLACK</v>
      </c>
      <c r="G4778" s="20" t="str">
        <f>IFERROR(__xludf.DUMMYFUNCTION("""COMPUTED_VALUE"""),"Uncle Sams Cider (5/13/2022)")</f>
        <v>Uncle Sams Cider (5/13/2022)</v>
      </c>
      <c r="H4778" s="19"/>
    </row>
    <row r="4779">
      <c r="A4779" s="9"/>
      <c r="B4779" s="15"/>
      <c r="C4779" s="9">
        <f>IFERROR(__xludf.DUMMYFUNCTION("""COMPUTED_VALUE"""),44746.8029165625)</f>
        <v>44746.80292</v>
      </c>
      <c r="D4779" s="15">
        <f>IFERROR(__xludf.DUMMYFUNCTION("""COMPUTED_VALUE"""),1.004)</f>
        <v>1.004</v>
      </c>
      <c r="E4779" s="16">
        <f>IFERROR(__xludf.DUMMYFUNCTION("""COMPUTED_VALUE"""),69.0)</f>
        <v>69</v>
      </c>
      <c r="F4779" s="19" t="str">
        <f>IFERROR(__xludf.DUMMYFUNCTION("""COMPUTED_VALUE"""),"BLACK")</f>
        <v>BLACK</v>
      </c>
      <c r="G4779" s="20" t="str">
        <f>IFERROR(__xludf.DUMMYFUNCTION("""COMPUTED_VALUE"""),"Uncle Sams Cider (5/13/2022)")</f>
        <v>Uncle Sams Cider (5/13/2022)</v>
      </c>
      <c r="H4779" s="19"/>
    </row>
    <row r="4780">
      <c r="A4780" s="9"/>
      <c r="B4780" s="15"/>
      <c r="C4780" s="9">
        <f>IFERROR(__xludf.DUMMYFUNCTION("""COMPUTED_VALUE"""),44746.7924943402)</f>
        <v>44746.79249</v>
      </c>
      <c r="D4780" s="15">
        <f>IFERROR(__xludf.DUMMYFUNCTION("""COMPUTED_VALUE"""),1.004)</f>
        <v>1.004</v>
      </c>
      <c r="E4780" s="16">
        <f>IFERROR(__xludf.DUMMYFUNCTION("""COMPUTED_VALUE"""),69.0)</f>
        <v>69</v>
      </c>
      <c r="F4780" s="19" t="str">
        <f>IFERROR(__xludf.DUMMYFUNCTION("""COMPUTED_VALUE"""),"BLACK")</f>
        <v>BLACK</v>
      </c>
      <c r="G4780" s="20" t="str">
        <f>IFERROR(__xludf.DUMMYFUNCTION("""COMPUTED_VALUE"""),"Uncle Sams Cider (5/13/2022)")</f>
        <v>Uncle Sams Cider (5/13/2022)</v>
      </c>
      <c r="H4780" s="19"/>
    </row>
    <row r="4781">
      <c r="A4781" s="9"/>
      <c r="B4781" s="15"/>
      <c r="C4781" s="9">
        <f>IFERROR(__xludf.DUMMYFUNCTION("""COMPUTED_VALUE"""),44746.7820735879)</f>
        <v>44746.78207</v>
      </c>
      <c r="D4781" s="15">
        <f>IFERROR(__xludf.DUMMYFUNCTION("""COMPUTED_VALUE"""),1.004)</f>
        <v>1.004</v>
      </c>
      <c r="E4781" s="16">
        <f>IFERROR(__xludf.DUMMYFUNCTION("""COMPUTED_VALUE"""),69.0)</f>
        <v>69</v>
      </c>
      <c r="F4781" s="19" t="str">
        <f>IFERROR(__xludf.DUMMYFUNCTION("""COMPUTED_VALUE"""),"BLACK")</f>
        <v>BLACK</v>
      </c>
      <c r="G4781" s="20" t="str">
        <f>IFERROR(__xludf.DUMMYFUNCTION("""COMPUTED_VALUE"""),"Uncle Sams Cider (5/13/2022)")</f>
        <v>Uncle Sams Cider (5/13/2022)</v>
      </c>
      <c r="H4781" s="19"/>
    </row>
    <row r="4782">
      <c r="A4782" s="9"/>
      <c r="B4782" s="15"/>
      <c r="C4782" s="9">
        <f>IFERROR(__xludf.DUMMYFUNCTION("""COMPUTED_VALUE"""),44746.7716522685)</f>
        <v>44746.77165</v>
      </c>
      <c r="D4782" s="15">
        <f>IFERROR(__xludf.DUMMYFUNCTION("""COMPUTED_VALUE"""),1.004)</f>
        <v>1.004</v>
      </c>
      <c r="E4782" s="16">
        <f>IFERROR(__xludf.DUMMYFUNCTION("""COMPUTED_VALUE"""),69.0)</f>
        <v>69</v>
      </c>
      <c r="F4782" s="19" t="str">
        <f>IFERROR(__xludf.DUMMYFUNCTION("""COMPUTED_VALUE"""),"BLACK")</f>
        <v>BLACK</v>
      </c>
      <c r="G4782" s="20" t="str">
        <f>IFERROR(__xludf.DUMMYFUNCTION("""COMPUTED_VALUE"""),"Uncle Sams Cider (5/13/2022)")</f>
        <v>Uncle Sams Cider (5/13/2022)</v>
      </c>
      <c r="H4782" s="19"/>
    </row>
    <row r="4783">
      <c r="A4783" s="9"/>
      <c r="B4783" s="15"/>
      <c r="C4783" s="9">
        <f>IFERROR(__xludf.DUMMYFUNCTION("""COMPUTED_VALUE"""),44746.7612292592)</f>
        <v>44746.76123</v>
      </c>
      <c r="D4783" s="15">
        <f>IFERROR(__xludf.DUMMYFUNCTION("""COMPUTED_VALUE"""),1.004)</f>
        <v>1.004</v>
      </c>
      <c r="E4783" s="16">
        <f>IFERROR(__xludf.DUMMYFUNCTION("""COMPUTED_VALUE"""),69.0)</f>
        <v>69</v>
      </c>
      <c r="F4783" s="19" t="str">
        <f>IFERROR(__xludf.DUMMYFUNCTION("""COMPUTED_VALUE"""),"BLACK")</f>
        <v>BLACK</v>
      </c>
      <c r="G4783" s="20" t="str">
        <f>IFERROR(__xludf.DUMMYFUNCTION("""COMPUTED_VALUE"""),"Uncle Sams Cider (5/13/2022)")</f>
        <v>Uncle Sams Cider (5/13/2022)</v>
      </c>
      <c r="H4783" s="19"/>
    </row>
    <row r="4784">
      <c r="A4784" s="9"/>
      <c r="B4784" s="15"/>
      <c r="C4784" s="9">
        <f>IFERROR(__xludf.DUMMYFUNCTION("""COMPUTED_VALUE"""),44746.7508073379)</f>
        <v>44746.75081</v>
      </c>
      <c r="D4784" s="15">
        <f>IFERROR(__xludf.DUMMYFUNCTION("""COMPUTED_VALUE"""),1.004)</f>
        <v>1.004</v>
      </c>
      <c r="E4784" s="16">
        <f>IFERROR(__xludf.DUMMYFUNCTION("""COMPUTED_VALUE"""),69.0)</f>
        <v>69</v>
      </c>
      <c r="F4784" s="19" t="str">
        <f>IFERROR(__xludf.DUMMYFUNCTION("""COMPUTED_VALUE"""),"BLACK")</f>
        <v>BLACK</v>
      </c>
      <c r="G4784" s="20" t="str">
        <f>IFERROR(__xludf.DUMMYFUNCTION("""COMPUTED_VALUE"""),"Uncle Sams Cider (5/13/2022)")</f>
        <v>Uncle Sams Cider (5/13/2022)</v>
      </c>
      <c r="H4784" s="19"/>
    </row>
    <row r="4785">
      <c r="A4785" s="9"/>
      <c r="B4785" s="15"/>
      <c r="C4785" s="9">
        <f>IFERROR(__xludf.DUMMYFUNCTION("""COMPUTED_VALUE"""),44746.7403865046)</f>
        <v>44746.74039</v>
      </c>
      <c r="D4785" s="15">
        <f>IFERROR(__xludf.DUMMYFUNCTION("""COMPUTED_VALUE"""),1.004)</f>
        <v>1.004</v>
      </c>
      <c r="E4785" s="16">
        <f>IFERROR(__xludf.DUMMYFUNCTION("""COMPUTED_VALUE"""),69.0)</f>
        <v>69</v>
      </c>
      <c r="F4785" s="19" t="str">
        <f>IFERROR(__xludf.DUMMYFUNCTION("""COMPUTED_VALUE"""),"BLACK")</f>
        <v>BLACK</v>
      </c>
      <c r="G4785" s="20" t="str">
        <f>IFERROR(__xludf.DUMMYFUNCTION("""COMPUTED_VALUE"""),"Uncle Sams Cider (5/13/2022)")</f>
        <v>Uncle Sams Cider (5/13/2022)</v>
      </c>
      <c r="H4785" s="19"/>
    </row>
    <row r="4786">
      <c r="A4786" s="9"/>
      <c r="B4786" s="15"/>
      <c r="C4786" s="9">
        <f>IFERROR(__xludf.DUMMYFUNCTION("""COMPUTED_VALUE"""),44746.7299633564)</f>
        <v>44746.72996</v>
      </c>
      <c r="D4786" s="15">
        <f>IFERROR(__xludf.DUMMYFUNCTION("""COMPUTED_VALUE"""),1.004)</f>
        <v>1.004</v>
      </c>
      <c r="E4786" s="16">
        <f>IFERROR(__xludf.DUMMYFUNCTION("""COMPUTED_VALUE"""),69.0)</f>
        <v>69</v>
      </c>
      <c r="F4786" s="19" t="str">
        <f>IFERROR(__xludf.DUMMYFUNCTION("""COMPUTED_VALUE"""),"BLACK")</f>
        <v>BLACK</v>
      </c>
      <c r="G4786" s="20" t="str">
        <f>IFERROR(__xludf.DUMMYFUNCTION("""COMPUTED_VALUE"""),"Uncle Sams Cider (5/13/2022)")</f>
        <v>Uncle Sams Cider (5/13/2022)</v>
      </c>
      <c r="H4786" s="19"/>
    </row>
    <row r="4787">
      <c r="A4787" s="9"/>
      <c r="B4787" s="15"/>
      <c r="C4787" s="9">
        <f>IFERROR(__xludf.DUMMYFUNCTION("""COMPUTED_VALUE"""),44746.71953125)</f>
        <v>44746.71953</v>
      </c>
      <c r="D4787" s="15">
        <f>IFERROR(__xludf.DUMMYFUNCTION("""COMPUTED_VALUE"""),1.005)</f>
        <v>1.005</v>
      </c>
      <c r="E4787" s="16">
        <f>IFERROR(__xludf.DUMMYFUNCTION("""COMPUTED_VALUE"""),69.0)</f>
        <v>69</v>
      </c>
      <c r="F4787" s="19" t="str">
        <f>IFERROR(__xludf.DUMMYFUNCTION("""COMPUTED_VALUE"""),"BLACK")</f>
        <v>BLACK</v>
      </c>
      <c r="G4787" s="20" t="str">
        <f>IFERROR(__xludf.DUMMYFUNCTION("""COMPUTED_VALUE"""),"Uncle Sams Cider (5/13/2022)")</f>
        <v>Uncle Sams Cider (5/13/2022)</v>
      </c>
      <c r="H4787" s="19"/>
    </row>
    <row r="4788">
      <c r="A4788" s="9"/>
      <c r="B4788" s="15"/>
      <c r="C4788" s="9">
        <f>IFERROR(__xludf.DUMMYFUNCTION("""COMPUTED_VALUE"""),44746.7091093634)</f>
        <v>44746.70911</v>
      </c>
      <c r="D4788" s="15">
        <f>IFERROR(__xludf.DUMMYFUNCTION("""COMPUTED_VALUE"""),1.004)</f>
        <v>1.004</v>
      </c>
      <c r="E4788" s="16">
        <f>IFERROR(__xludf.DUMMYFUNCTION("""COMPUTED_VALUE"""),69.0)</f>
        <v>69</v>
      </c>
      <c r="F4788" s="19" t="str">
        <f>IFERROR(__xludf.DUMMYFUNCTION("""COMPUTED_VALUE"""),"BLACK")</f>
        <v>BLACK</v>
      </c>
      <c r="G4788" s="20" t="str">
        <f>IFERROR(__xludf.DUMMYFUNCTION("""COMPUTED_VALUE"""),"Uncle Sams Cider (5/13/2022)")</f>
        <v>Uncle Sams Cider (5/13/2022)</v>
      </c>
      <c r="H4788" s="19"/>
    </row>
    <row r="4789">
      <c r="A4789" s="9"/>
      <c r="B4789" s="15"/>
      <c r="C4789" s="9">
        <f>IFERROR(__xludf.DUMMYFUNCTION("""COMPUTED_VALUE"""),44746.6986878588)</f>
        <v>44746.69869</v>
      </c>
      <c r="D4789" s="15">
        <f>IFERROR(__xludf.DUMMYFUNCTION("""COMPUTED_VALUE"""),1.005)</f>
        <v>1.005</v>
      </c>
      <c r="E4789" s="16">
        <f>IFERROR(__xludf.DUMMYFUNCTION("""COMPUTED_VALUE"""),69.0)</f>
        <v>69</v>
      </c>
      <c r="F4789" s="19" t="str">
        <f>IFERROR(__xludf.DUMMYFUNCTION("""COMPUTED_VALUE"""),"BLACK")</f>
        <v>BLACK</v>
      </c>
      <c r="G4789" s="20" t="str">
        <f>IFERROR(__xludf.DUMMYFUNCTION("""COMPUTED_VALUE"""),"Uncle Sams Cider (5/13/2022)")</f>
        <v>Uncle Sams Cider (5/13/2022)</v>
      </c>
      <c r="H4789" s="19"/>
    </row>
    <row r="4790">
      <c r="A4790" s="9"/>
      <c r="B4790" s="15"/>
      <c r="C4790" s="9">
        <f>IFERROR(__xludf.DUMMYFUNCTION("""COMPUTED_VALUE"""),44746.6882690972)</f>
        <v>44746.68827</v>
      </c>
      <c r="D4790" s="15">
        <f>IFERROR(__xludf.DUMMYFUNCTION("""COMPUTED_VALUE"""),1.004)</f>
        <v>1.004</v>
      </c>
      <c r="E4790" s="16">
        <f>IFERROR(__xludf.DUMMYFUNCTION("""COMPUTED_VALUE"""),69.0)</f>
        <v>69</v>
      </c>
      <c r="F4790" s="19" t="str">
        <f>IFERROR(__xludf.DUMMYFUNCTION("""COMPUTED_VALUE"""),"BLACK")</f>
        <v>BLACK</v>
      </c>
      <c r="G4790" s="20" t="str">
        <f>IFERROR(__xludf.DUMMYFUNCTION("""COMPUTED_VALUE"""),"Uncle Sams Cider (5/13/2022)")</f>
        <v>Uncle Sams Cider (5/13/2022)</v>
      </c>
      <c r="H4790" s="19"/>
    </row>
    <row r="4791">
      <c r="A4791" s="9"/>
      <c r="B4791" s="15"/>
      <c r="C4791" s="9">
        <f>IFERROR(__xludf.DUMMYFUNCTION("""COMPUTED_VALUE"""),44746.6778479166)</f>
        <v>44746.67785</v>
      </c>
      <c r="D4791" s="15">
        <f>IFERROR(__xludf.DUMMYFUNCTION("""COMPUTED_VALUE"""),1.004)</f>
        <v>1.004</v>
      </c>
      <c r="E4791" s="16">
        <f>IFERROR(__xludf.DUMMYFUNCTION("""COMPUTED_VALUE"""),69.0)</f>
        <v>69</v>
      </c>
      <c r="F4791" s="19" t="str">
        <f>IFERROR(__xludf.DUMMYFUNCTION("""COMPUTED_VALUE"""),"BLACK")</f>
        <v>BLACK</v>
      </c>
      <c r="G4791" s="20" t="str">
        <f>IFERROR(__xludf.DUMMYFUNCTION("""COMPUTED_VALUE"""),"Uncle Sams Cider (5/13/2022)")</f>
        <v>Uncle Sams Cider (5/13/2022)</v>
      </c>
      <c r="H4791" s="19"/>
    </row>
    <row r="4792">
      <c r="A4792" s="9"/>
      <c r="B4792" s="15"/>
      <c r="C4792" s="9">
        <f>IFERROR(__xludf.DUMMYFUNCTION("""COMPUTED_VALUE"""),44746.6674278472)</f>
        <v>44746.66743</v>
      </c>
      <c r="D4792" s="15">
        <f>IFERROR(__xludf.DUMMYFUNCTION("""COMPUTED_VALUE"""),1.004)</f>
        <v>1.004</v>
      </c>
      <c r="E4792" s="16">
        <f>IFERROR(__xludf.DUMMYFUNCTION("""COMPUTED_VALUE"""),69.0)</f>
        <v>69</v>
      </c>
      <c r="F4792" s="19" t="str">
        <f>IFERROR(__xludf.DUMMYFUNCTION("""COMPUTED_VALUE"""),"BLACK")</f>
        <v>BLACK</v>
      </c>
      <c r="G4792" s="20" t="str">
        <f>IFERROR(__xludf.DUMMYFUNCTION("""COMPUTED_VALUE"""),"Uncle Sams Cider (5/13/2022)")</f>
        <v>Uncle Sams Cider (5/13/2022)</v>
      </c>
      <c r="H4792" s="19"/>
    </row>
    <row r="4793">
      <c r="A4793" s="9"/>
      <c r="B4793" s="15"/>
      <c r="C4793" s="9">
        <f>IFERROR(__xludf.DUMMYFUNCTION("""COMPUTED_VALUE"""),44746.6570087963)</f>
        <v>44746.65701</v>
      </c>
      <c r="D4793" s="15">
        <f>IFERROR(__xludf.DUMMYFUNCTION("""COMPUTED_VALUE"""),1.004)</f>
        <v>1.004</v>
      </c>
      <c r="E4793" s="16">
        <f>IFERROR(__xludf.DUMMYFUNCTION("""COMPUTED_VALUE"""),69.0)</f>
        <v>69</v>
      </c>
      <c r="F4793" s="19" t="str">
        <f>IFERROR(__xludf.DUMMYFUNCTION("""COMPUTED_VALUE"""),"BLACK")</f>
        <v>BLACK</v>
      </c>
      <c r="G4793" s="20" t="str">
        <f>IFERROR(__xludf.DUMMYFUNCTION("""COMPUTED_VALUE"""),"Uncle Sams Cider (5/13/2022)")</f>
        <v>Uncle Sams Cider (5/13/2022)</v>
      </c>
      <c r="H4793" s="19"/>
    </row>
    <row r="4794">
      <c r="A4794" s="9"/>
      <c r="B4794" s="15"/>
      <c r="C4794" s="9">
        <f>IFERROR(__xludf.DUMMYFUNCTION("""COMPUTED_VALUE"""),44746.6465872106)</f>
        <v>44746.64659</v>
      </c>
      <c r="D4794" s="15">
        <f>IFERROR(__xludf.DUMMYFUNCTION("""COMPUTED_VALUE"""),1.004)</f>
        <v>1.004</v>
      </c>
      <c r="E4794" s="16">
        <f>IFERROR(__xludf.DUMMYFUNCTION("""COMPUTED_VALUE"""),69.0)</f>
        <v>69</v>
      </c>
      <c r="F4794" s="19" t="str">
        <f>IFERROR(__xludf.DUMMYFUNCTION("""COMPUTED_VALUE"""),"BLACK")</f>
        <v>BLACK</v>
      </c>
      <c r="G4794" s="20" t="str">
        <f>IFERROR(__xludf.DUMMYFUNCTION("""COMPUTED_VALUE"""),"Uncle Sams Cider (5/13/2022)")</f>
        <v>Uncle Sams Cider (5/13/2022)</v>
      </c>
      <c r="H4794" s="19"/>
    </row>
    <row r="4795">
      <c r="A4795" s="9"/>
      <c r="B4795" s="15"/>
      <c r="C4795" s="9">
        <f>IFERROR(__xludf.DUMMYFUNCTION("""COMPUTED_VALUE"""),44746.6361656944)</f>
        <v>44746.63617</v>
      </c>
      <c r="D4795" s="15">
        <f>IFERROR(__xludf.DUMMYFUNCTION("""COMPUTED_VALUE"""),1.004)</f>
        <v>1.004</v>
      </c>
      <c r="E4795" s="16">
        <f>IFERROR(__xludf.DUMMYFUNCTION("""COMPUTED_VALUE"""),69.0)</f>
        <v>69</v>
      </c>
      <c r="F4795" s="19" t="str">
        <f>IFERROR(__xludf.DUMMYFUNCTION("""COMPUTED_VALUE"""),"BLACK")</f>
        <v>BLACK</v>
      </c>
      <c r="G4795" s="20" t="str">
        <f>IFERROR(__xludf.DUMMYFUNCTION("""COMPUTED_VALUE"""),"Uncle Sams Cider (5/13/2022)")</f>
        <v>Uncle Sams Cider (5/13/2022)</v>
      </c>
      <c r="H4795" s="19"/>
    </row>
    <row r="4796">
      <c r="A4796" s="9"/>
      <c r="B4796" s="15"/>
      <c r="C4796" s="9">
        <f>IFERROR(__xludf.DUMMYFUNCTION("""COMPUTED_VALUE"""),44746.6257326504)</f>
        <v>44746.62573</v>
      </c>
      <c r="D4796" s="15">
        <f>IFERROR(__xludf.DUMMYFUNCTION("""COMPUTED_VALUE"""),1.004)</f>
        <v>1.004</v>
      </c>
      <c r="E4796" s="16">
        <f>IFERROR(__xludf.DUMMYFUNCTION("""COMPUTED_VALUE"""),69.0)</f>
        <v>69</v>
      </c>
      <c r="F4796" s="19" t="str">
        <f>IFERROR(__xludf.DUMMYFUNCTION("""COMPUTED_VALUE"""),"BLACK")</f>
        <v>BLACK</v>
      </c>
      <c r="G4796" s="20" t="str">
        <f>IFERROR(__xludf.DUMMYFUNCTION("""COMPUTED_VALUE"""),"Uncle Sams Cider (5/13/2022)")</f>
        <v>Uncle Sams Cider (5/13/2022)</v>
      </c>
      <c r="H4796" s="19"/>
    </row>
    <row r="4797">
      <c r="A4797" s="9"/>
      <c r="B4797" s="15"/>
      <c r="C4797" s="9">
        <f>IFERROR(__xludf.DUMMYFUNCTION("""COMPUTED_VALUE"""),44746.6153103703)</f>
        <v>44746.61531</v>
      </c>
      <c r="D4797" s="15">
        <f>IFERROR(__xludf.DUMMYFUNCTION("""COMPUTED_VALUE"""),1.004)</f>
        <v>1.004</v>
      </c>
      <c r="E4797" s="16">
        <f>IFERROR(__xludf.DUMMYFUNCTION("""COMPUTED_VALUE"""),69.0)</f>
        <v>69</v>
      </c>
      <c r="F4797" s="19" t="str">
        <f>IFERROR(__xludf.DUMMYFUNCTION("""COMPUTED_VALUE"""),"BLACK")</f>
        <v>BLACK</v>
      </c>
      <c r="G4797" s="20" t="str">
        <f>IFERROR(__xludf.DUMMYFUNCTION("""COMPUTED_VALUE"""),"Uncle Sams Cider (5/13/2022)")</f>
        <v>Uncle Sams Cider (5/13/2022)</v>
      </c>
      <c r="H4797" s="19"/>
    </row>
    <row r="4798">
      <c r="A4798" s="9"/>
      <c r="B4798" s="15"/>
      <c r="C4798" s="9">
        <f>IFERROR(__xludf.DUMMYFUNCTION("""COMPUTED_VALUE"""),44746.604889456)</f>
        <v>44746.60489</v>
      </c>
      <c r="D4798" s="15">
        <f>IFERROR(__xludf.DUMMYFUNCTION("""COMPUTED_VALUE"""),1.005)</f>
        <v>1.005</v>
      </c>
      <c r="E4798" s="16">
        <f>IFERROR(__xludf.DUMMYFUNCTION("""COMPUTED_VALUE"""),69.0)</f>
        <v>69</v>
      </c>
      <c r="F4798" s="19" t="str">
        <f>IFERROR(__xludf.DUMMYFUNCTION("""COMPUTED_VALUE"""),"BLACK")</f>
        <v>BLACK</v>
      </c>
      <c r="G4798" s="20" t="str">
        <f>IFERROR(__xludf.DUMMYFUNCTION("""COMPUTED_VALUE"""),"Uncle Sams Cider (5/13/2022)")</f>
        <v>Uncle Sams Cider (5/13/2022)</v>
      </c>
      <c r="H4798" s="19"/>
    </row>
    <row r="4799">
      <c r="A4799" s="9"/>
      <c r="B4799" s="15"/>
      <c r="C4799" s="9">
        <f>IFERROR(__xludf.DUMMYFUNCTION("""COMPUTED_VALUE"""),44746.5944670949)</f>
        <v>44746.59447</v>
      </c>
      <c r="D4799" s="15">
        <f>IFERROR(__xludf.DUMMYFUNCTION("""COMPUTED_VALUE"""),1.004)</f>
        <v>1.004</v>
      </c>
      <c r="E4799" s="16">
        <f>IFERROR(__xludf.DUMMYFUNCTION("""COMPUTED_VALUE"""),69.0)</f>
        <v>69</v>
      </c>
      <c r="F4799" s="19" t="str">
        <f>IFERROR(__xludf.DUMMYFUNCTION("""COMPUTED_VALUE"""),"BLACK")</f>
        <v>BLACK</v>
      </c>
      <c r="G4799" s="20" t="str">
        <f>IFERROR(__xludf.DUMMYFUNCTION("""COMPUTED_VALUE"""),"Uncle Sams Cider (5/13/2022)")</f>
        <v>Uncle Sams Cider (5/13/2022)</v>
      </c>
      <c r="H4799" s="19"/>
    </row>
    <row r="4800">
      <c r="A4800" s="9"/>
      <c r="B4800" s="15"/>
      <c r="C4800" s="9">
        <f>IFERROR(__xludf.DUMMYFUNCTION("""COMPUTED_VALUE"""),44746.5840456365)</f>
        <v>44746.58405</v>
      </c>
      <c r="D4800" s="15">
        <f>IFERROR(__xludf.DUMMYFUNCTION("""COMPUTED_VALUE"""),1.005)</f>
        <v>1.005</v>
      </c>
      <c r="E4800" s="16">
        <f>IFERROR(__xludf.DUMMYFUNCTION("""COMPUTED_VALUE"""),69.0)</f>
        <v>69</v>
      </c>
      <c r="F4800" s="19" t="str">
        <f>IFERROR(__xludf.DUMMYFUNCTION("""COMPUTED_VALUE"""),"BLACK")</f>
        <v>BLACK</v>
      </c>
      <c r="G4800" s="20" t="str">
        <f>IFERROR(__xludf.DUMMYFUNCTION("""COMPUTED_VALUE"""),"Uncle Sams Cider (5/13/2022)")</f>
        <v>Uncle Sams Cider (5/13/2022)</v>
      </c>
      <c r="H4800" s="19"/>
    </row>
    <row r="4801">
      <c r="A4801" s="9"/>
      <c r="B4801" s="15"/>
      <c r="C4801" s="9">
        <f>IFERROR(__xludf.DUMMYFUNCTION("""COMPUTED_VALUE"""),44746.5736242824)</f>
        <v>44746.57362</v>
      </c>
      <c r="D4801" s="15">
        <f>IFERROR(__xludf.DUMMYFUNCTION("""COMPUTED_VALUE"""),1.004)</f>
        <v>1.004</v>
      </c>
      <c r="E4801" s="16">
        <f>IFERROR(__xludf.DUMMYFUNCTION("""COMPUTED_VALUE"""),69.0)</f>
        <v>69</v>
      </c>
      <c r="F4801" s="19" t="str">
        <f>IFERROR(__xludf.DUMMYFUNCTION("""COMPUTED_VALUE"""),"BLACK")</f>
        <v>BLACK</v>
      </c>
      <c r="G4801" s="20" t="str">
        <f>IFERROR(__xludf.DUMMYFUNCTION("""COMPUTED_VALUE"""),"Uncle Sams Cider (5/13/2022)")</f>
        <v>Uncle Sams Cider (5/13/2022)</v>
      </c>
      <c r="H4801" s="19"/>
    </row>
    <row r="4802">
      <c r="A4802" s="9"/>
      <c r="B4802" s="15"/>
      <c r="C4802" s="9">
        <f>IFERROR(__xludf.DUMMYFUNCTION("""COMPUTED_VALUE"""),44746.5631919328)</f>
        <v>44746.56319</v>
      </c>
      <c r="D4802" s="15">
        <f>IFERROR(__xludf.DUMMYFUNCTION("""COMPUTED_VALUE"""),1.004)</f>
        <v>1.004</v>
      </c>
      <c r="E4802" s="16">
        <f>IFERROR(__xludf.DUMMYFUNCTION("""COMPUTED_VALUE"""),69.0)</f>
        <v>69</v>
      </c>
      <c r="F4802" s="19" t="str">
        <f>IFERROR(__xludf.DUMMYFUNCTION("""COMPUTED_VALUE"""),"BLACK")</f>
        <v>BLACK</v>
      </c>
      <c r="G4802" s="20" t="str">
        <f>IFERROR(__xludf.DUMMYFUNCTION("""COMPUTED_VALUE"""),"Uncle Sams Cider (5/13/2022)")</f>
        <v>Uncle Sams Cider (5/13/2022)</v>
      </c>
      <c r="H4802" s="19"/>
    </row>
    <row r="4803">
      <c r="A4803" s="9"/>
      <c r="B4803" s="15"/>
      <c r="C4803" s="9">
        <f>IFERROR(__xludf.DUMMYFUNCTION("""COMPUTED_VALUE"""),44746.5527710648)</f>
        <v>44746.55277</v>
      </c>
      <c r="D4803" s="15">
        <f>IFERROR(__xludf.DUMMYFUNCTION("""COMPUTED_VALUE"""),1.005)</f>
        <v>1.005</v>
      </c>
      <c r="E4803" s="16">
        <f>IFERROR(__xludf.DUMMYFUNCTION("""COMPUTED_VALUE"""),69.0)</f>
        <v>69</v>
      </c>
      <c r="F4803" s="19" t="str">
        <f>IFERROR(__xludf.DUMMYFUNCTION("""COMPUTED_VALUE"""),"BLACK")</f>
        <v>BLACK</v>
      </c>
      <c r="G4803" s="20" t="str">
        <f>IFERROR(__xludf.DUMMYFUNCTION("""COMPUTED_VALUE"""),"Uncle Sams Cider (5/13/2022)")</f>
        <v>Uncle Sams Cider (5/13/2022)</v>
      </c>
      <c r="H4803" s="19"/>
    </row>
    <row r="4804">
      <c r="A4804" s="9"/>
      <c r="B4804" s="15"/>
      <c r="C4804" s="9">
        <f>IFERROR(__xludf.DUMMYFUNCTION("""COMPUTED_VALUE"""),44746.5423493518)</f>
        <v>44746.54235</v>
      </c>
      <c r="D4804" s="15">
        <f>IFERROR(__xludf.DUMMYFUNCTION("""COMPUTED_VALUE"""),1.005)</f>
        <v>1.005</v>
      </c>
      <c r="E4804" s="16">
        <f>IFERROR(__xludf.DUMMYFUNCTION("""COMPUTED_VALUE"""),69.0)</f>
        <v>69</v>
      </c>
      <c r="F4804" s="19" t="str">
        <f>IFERROR(__xludf.DUMMYFUNCTION("""COMPUTED_VALUE"""),"BLACK")</f>
        <v>BLACK</v>
      </c>
      <c r="G4804" s="20" t="str">
        <f>IFERROR(__xludf.DUMMYFUNCTION("""COMPUTED_VALUE"""),"Uncle Sams Cider (5/13/2022)")</f>
        <v>Uncle Sams Cider (5/13/2022)</v>
      </c>
      <c r="H4804" s="19"/>
    </row>
    <row r="4805">
      <c r="A4805" s="9"/>
      <c r="B4805" s="15"/>
      <c r="C4805" s="9">
        <f>IFERROR(__xludf.DUMMYFUNCTION("""COMPUTED_VALUE"""),44746.531927581)</f>
        <v>44746.53193</v>
      </c>
      <c r="D4805" s="15">
        <f>IFERROR(__xludf.DUMMYFUNCTION("""COMPUTED_VALUE"""),1.005)</f>
        <v>1.005</v>
      </c>
      <c r="E4805" s="16">
        <f>IFERROR(__xludf.DUMMYFUNCTION("""COMPUTED_VALUE"""),69.0)</f>
        <v>69</v>
      </c>
      <c r="F4805" s="19" t="str">
        <f>IFERROR(__xludf.DUMMYFUNCTION("""COMPUTED_VALUE"""),"BLACK")</f>
        <v>BLACK</v>
      </c>
      <c r="G4805" s="20" t="str">
        <f>IFERROR(__xludf.DUMMYFUNCTION("""COMPUTED_VALUE"""),"Uncle Sams Cider (5/13/2022)")</f>
        <v>Uncle Sams Cider (5/13/2022)</v>
      </c>
      <c r="H4805" s="19"/>
    </row>
    <row r="4806">
      <c r="A4806" s="9"/>
      <c r="B4806" s="15"/>
      <c r="C4806" s="9">
        <f>IFERROR(__xludf.DUMMYFUNCTION("""COMPUTED_VALUE"""),44746.5215063541)</f>
        <v>44746.52151</v>
      </c>
      <c r="D4806" s="15">
        <f>IFERROR(__xludf.DUMMYFUNCTION("""COMPUTED_VALUE"""),1.005)</f>
        <v>1.005</v>
      </c>
      <c r="E4806" s="16">
        <f>IFERROR(__xludf.DUMMYFUNCTION("""COMPUTED_VALUE"""),69.0)</f>
        <v>69</v>
      </c>
      <c r="F4806" s="19" t="str">
        <f>IFERROR(__xludf.DUMMYFUNCTION("""COMPUTED_VALUE"""),"BLACK")</f>
        <v>BLACK</v>
      </c>
      <c r="G4806" s="20" t="str">
        <f>IFERROR(__xludf.DUMMYFUNCTION("""COMPUTED_VALUE"""),"Uncle Sams Cider (5/13/2022)")</f>
        <v>Uncle Sams Cider (5/13/2022)</v>
      </c>
      <c r="H4806" s="19"/>
    </row>
    <row r="4807">
      <c r="A4807" s="9"/>
      <c r="B4807" s="15"/>
      <c r="C4807" s="9">
        <f>IFERROR(__xludf.DUMMYFUNCTION("""COMPUTED_VALUE"""),44746.5110859259)</f>
        <v>44746.51109</v>
      </c>
      <c r="D4807" s="15">
        <f>IFERROR(__xludf.DUMMYFUNCTION("""COMPUTED_VALUE"""),1.004)</f>
        <v>1.004</v>
      </c>
      <c r="E4807" s="16">
        <f>IFERROR(__xludf.DUMMYFUNCTION("""COMPUTED_VALUE"""),69.0)</f>
        <v>69</v>
      </c>
      <c r="F4807" s="19" t="str">
        <f>IFERROR(__xludf.DUMMYFUNCTION("""COMPUTED_VALUE"""),"BLACK")</f>
        <v>BLACK</v>
      </c>
      <c r="G4807" s="20" t="str">
        <f>IFERROR(__xludf.DUMMYFUNCTION("""COMPUTED_VALUE"""),"Uncle Sams Cider (5/13/2022)")</f>
        <v>Uncle Sams Cider (5/13/2022)</v>
      </c>
      <c r="H4807" s="19"/>
    </row>
    <row r="4808">
      <c r="A4808" s="9"/>
      <c r="B4808" s="15"/>
      <c r="C4808" s="9">
        <f>IFERROR(__xludf.DUMMYFUNCTION("""COMPUTED_VALUE"""),44746.5006649768)</f>
        <v>44746.50066</v>
      </c>
      <c r="D4808" s="15">
        <f>IFERROR(__xludf.DUMMYFUNCTION("""COMPUTED_VALUE"""),1.004)</f>
        <v>1.004</v>
      </c>
      <c r="E4808" s="16">
        <f>IFERROR(__xludf.DUMMYFUNCTION("""COMPUTED_VALUE"""),69.0)</f>
        <v>69</v>
      </c>
      <c r="F4808" s="19" t="str">
        <f>IFERROR(__xludf.DUMMYFUNCTION("""COMPUTED_VALUE"""),"BLACK")</f>
        <v>BLACK</v>
      </c>
      <c r="G4808" s="20" t="str">
        <f>IFERROR(__xludf.DUMMYFUNCTION("""COMPUTED_VALUE"""),"Uncle Sams Cider (5/13/2022)")</f>
        <v>Uncle Sams Cider (5/13/2022)</v>
      </c>
      <c r="H4808" s="19"/>
    </row>
    <row r="4809">
      <c r="A4809" s="9"/>
      <c r="B4809" s="15"/>
      <c r="C4809" s="9">
        <f>IFERROR(__xludf.DUMMYFUNCTION("""COMPUTED_VALUE"""),44746.4902423379)</f>
        <v>44746.49024</v>
      </c>
      <c r="D4809" s="15">
        <f>IFERROR(__xludf.DUMMYFUNCTION("""COMPUTED_VALUE"""),1.004)</f>
        <v>1.004</v>
      </c>
      <c r="E4809" s="16">
        <f>IFERROR(__xludf.DUMMYFUNCTION("""COMPUTED_VALUE"""),69.0)</f>
        <v>69</v>
      </c>
      <c r="F4809" s="19" t="str">
        <f>IFERROR(__xludf.DUMMYFUNCTION("""COMPUTED_VALUE"""),"BLACK")</f>
        <v>BLACK</v>
      </c>
      <c r="G4809" s="20" t="str">
        <f>IFERROR(__xludf.DUMMYFUNCTION("""COMPUTED_VALUE"""),"Uncle Sams Cider (5/13/2022)")</f>
        <v>Uncle Sams Cider (5/13/2022)</v>
      </c>
      <c r="H4809" s="19"/>
    </row>
    <row r="4810">
      <c r="A4810" s="9"/>
      <c r="B4810" s="15"/>
      <c r="C4810" s="9">
        <f>IFERROR(__xludf.DUMMYFUNCTION("""COMPUTED_VALUE"""),44746.4798220949)</f>
        <v>44746.47982</v>
      </c>
      <c r="D4810" s="15">
        <f>IFERROR(__xludf.DUMMYFUNCTION("""COMPUTED_VALUE"""),1.005)</f>
        <v>1.005</v>
      </c>
      <c r="E4810" s="16">
        <f>IFERROR(__xludf.DUMMYFUNCTION("""COMPUTED_VALUE"""),69.0)</f>
        <v>69</v>
      </c>
      <c r="F4810" s="19" t="str">
        <f>IFERROR(__xludf.DUMMYFUNCTION("""COMPUTED_VALUE"""),"BLACK")</f>
        <v>BLACK</v>
      </c>
      <c r="G4810" s="20" t="str">
        <f>IFERROR(__xludf.DUMMYFUNCTION("""COMPUTED_VALUE"""),"Uncle Sams Cider (5/13/2022)")</f>
        <v>Uncle Sams Cider (5/13/2022)</v>
      </c>
      <c r="H4810" s="19"/>
    </row>
    <row r="4811">
      <c r="A4811" s="9"/>
      <c r="B4811" s="15"/>
      <c r="C4811" s="9">
        <f>IFERROR(__xludf.DUMMYFUNCTION("""COMPUTED_VALUE"""),44746.4693999768)</f>
        <v>44746.4694</v>
      </c>
      <c r="D4811" s="15">
        <f>IFERROR(__xludf.DUMMYFUNCTION("""COMPUTED_VALUE"""),1.005)</f>
        <v>1.005</v>
      </c>
      <c r="E4811" s="16">
        <f>IFERROR(__xludf.DUMMYFUNCTION("""COMPUTED_VALUE"""),69.0)</f>
        <v>69</v>
      </c>
      <c r="F4811" s="19" t="str">
        <f>IFERROR(__xludf.DUMMYFUNCTION("""COMPUTED_VALUE"""),"BLACK")</f>
        <v>BLACK</v>
      </c>
      <c r="G4811" s="20" t="str">
        <f>IFERROR(__xludf.DUMMYFUNCTION("""COMPUTED_VALUE"""),"Uncle Sams Cider (5/13/2022)")</f>
        <v>Uncle Sams Cider (5/13/2022)</v>
      </c>
      <c r="H4811" s="19"/>
    </row>
    <row r="4812">
      <c r="A4812" s="9"/>
      <c r="B4812" s="15"/>
      <c r="C4812" s="9">
        <f>IFERROR(__xludf.DUMMYFUNCTION("""COMPUTED_VALUE"""),44746.458978449)</f>
        <v>44746.45898</v>
      </c>
      <c r="D4812" s="15">
        <f>IFERROR(__xludf.DUMMYFUNCTION("""COMPUTED_VALUE"""),1.004)</f>
        <v>1.004</v>
      </c>
      <c r="E4812" s="16">
        <f>IFERROR(__xludf.DUMMYFUNCTION("""COMPUTED_VALUE"""),69.0)</f>
        <v>69</v>
      </c>
      <c r="F4812" s="19" t="str">
        <f>IFERROR(__xludf.DUMMYFUNCTION("""COMPUTED_VALUE"""),"BLACK")</f>
        <v>BLACK</v>
      </c>
      <c r="G4812" s="20" t="str">
        <f>IFERROR(__xludf.DUMMYFUNCTION("""COMPUTED_VALUE"""),"Uncle Sams Cider (5/13/2022)")</f>
        <v>Uncle Sams Cider (5/13/2022)</v>
      </c>
      <c r="H4812" s="19"/>
    </row>
    <row r="4813">
      <c r="A4813" s="9"/>
      <c r="B4813" s="15"/>
      <c r="C4813" s="9">
        <f>IFERROR(__xludf.DUMMYFUNCTION("""COMPUTED_VALUE"""),44746.44855478)</f>
        <v>44746.44855</v>
      </c>
      <c r="D4813" s="15">
        <f>IFERROR(__xludf.DUMMYFUNCTION("""COMPUTED_VALUE"""),1.004)</f>
        <v>1.004</v>
      </c>
      <c r="E4813" s="16">
        <f>IFERROR(__xludf.DUMMYFUNCTION("""COMPUTED_VALUE"""),69.0)</f>
        <v>69</v>
      </c>
      <c r="F4813" s="19" t="str">
        <f>IFERROR(__xludf.DUMMYFUNCTION("""COMPUTED_VALUE"""),"BLACK")</f>
        <v>BLACK</v>
      </c>
      <c r="G4813" s="20" t="str">
        <f>IFERROR(__xludf.DUMMYFUNCTION("""COMPUTED_VALUE"""),"Uncle Sams Cider (5/13/2022)")</f>
        <v>Uncle Sams Cider (5/13/2022)</v>
      </c>
      <c r="H4813" s="19"/>
    </row>
    <row r="4814">
      <c r="A4814" s="9"/>
      <c r="B4814" s="15"/>
      <c r="C4814" s="9">
        <f>IFERROR(__xludf.DUMMYFUNCTION("""COMPUTED_VALUE"""),44746.4381229513)</f>
        <v>44746.43812</v>
      </c>
      <c r="D4814" s="15">
        <f>IFERROR(__xludf.DUMMYFUNCTION("""COMPUTED_VALUE"""),1.004)</f>
        <v>1.004</v>
      </c>
      <c r="E4814" s="16">
        <f>IFERROR(__xludf.DUMMYFUNCTION("""COMPUTED_VALUE"""),69.0)</f>
        <v>69</v>
      </c>
      <c r="F4814" s="19" t="str">
        <f>IFERROR(__xludf.DUMMYFUNCTION("""COMPUTED_VALUE"""),"BLACK")</f>
        <v>BLACK</v>
      </c>
      <c r="G4814" s="20" t="str">
        <f>IFERROR(__xludf.DUMMYFUNCTION("""COMPUTED_VALUE"""),"Uncle Sams Cider (5/13/2022)")</f>
        <v>Uncle Sams Cider (5/13/2022)</v>
      </c>
      <c r="H4814" s="19"/>
    </row>
    <row r="4815">
      <c r="A4815" s="9"/>
      <c r="B4815" s="15"/>
      <c r="C4815" s="9">
        <f>IFERROR(__xludf.DUMMYFUNCTION("""COMPUTED_VALUE"""),44746.4277026041)</f>
        <v>44746.4277</v>
      </c>
      <c r="D4815" s="15">
        <f>IFERROR(__xludf.DUMMYFUNCTION("""COMPUTED_VALUE"""),1.004)</f>
        <v>1.004</v>
      </c>
      <c r="E4815" s="16">
        <f>IFERROR(__xludf.DUMMYFUNCTION("""COMPUTED_VALUE"""),69.0)</f>
        <v>69</v>
      </c>
      <c r="F4815" s="19" t="str">
        <f>IFERROR(__xludf.DUMMYFUNCTION("""COMPUTED_VALUE"""),"BLACK")</f>
        <v>BLACK</v>
      </c>
      <c r="G4815" s="20" t="str">
        <f>IFERROR(__xludf.DUMMYFUNCTION("""COMPUTED_VALUE"""),"Uncle Sams Cider (5/13/2022)")</f>
        <v>Uncle Sams Cider (5/13/2022)</v>
      </c>
      <c r="H4815" s="19"/>
    </row>
    <row r="4816">
      <c r="A4816" s="9"/>
      <c r="B4816" s="15"/>
      <c r="C4816" s="9">
        <f>IFERROR(__xludf.DUMMYFUNCTION("""COMPUTED_VALUE"""),44746.4172816782)</f>
        <v>44746.41728</v>
      </c>
      <c r="D4816" s="15">
        <f>IFERROR(__xludf.DUMMYFUNCTION("""COMPUTED_VALUE"""),1.005)</f>
        <v>1.005</v>
      </c>
      <c r="E4816" s="16">
        <f>IFERROR(__xludf.DUMMYFUNCTION("""COMPUTED_VALUE"""),69.0)</f>
        <v>69</v>
      </c>
      <c r="F4816" s="19" t="str">
        <f>IFERROR(__xludf.DUMMYFUNCTION("""COMPUTED_VALUE"""),"BLACK")</f>
        <v>BLACK</v>
      </c>
      <c r="G4816" s="20" t="str">
        <f>IFERROR(__xludf.DUMMYFUNCTION("""COMPUTED_VALUE"""),"Uncle Sams Cider (5/13/2022)")</f>
        <v>Uncle Sams Cider (5/13/2022)</v>
      </c>
      <c r="H4816" s="19"/>
    </row>
    <row r="4817">
      <c r="A4817" s="9"/>
      <c r="B4817" s="15"/>
      <c r="C4817" s="9">
        <f>IFERROR(__xludf.DUMMYFUNCTION("""COMPUTED_VALUE"""),44746.4068494097)</f>
        <v>44746.40685</v>
      </c>
      <c r="D4817" s="15">
        <f>IFERROR(__xludf.DUMMYFUNCTION("""COMPUTED_VALUE"""),1.005)</f>
        <v>1.005</v>
      </c>
      <c r="E4817" s="16">
        <f>IFERROR(__xludf.DUMMYFUNCTION("""COMPUTED_VALUE"""),69.0)</f>
        <v>69</v>
      </c>
      <c r="F4817" s="19" t="str">
        <f>IFERROR(__xludf.DUMMYFUNCTION("""COMPUTED_VALUE"""),"BLACK")</f>
        <v>BLACK</v>
      </c>
      <c r="G4817" s="20" t="str">
        <f>IFERROR(__xludf.DUMMYFUNCTION("""COMPUTED_VALUE"""),"Uncle Sams Cider (5/13/2022)")</f>
        <v>Uncle Sams Cider (5/13/2022)</v>
      </c>
      <c r="H4817" s="19"/>
    </row>
    <row r="4818">
      <c r="A4818" s="9"/>
      <c r="B4818" s="15"/>
      <c r="C4818" s="9">
        <f>IFERROR(__xludf.DUMMYFUNCTION("""COMPUTED_VALUE"""),44746.3964294097)</f>
        <v>44746.39643</v>
      </c>
      <c r="D4818" s="15">
        <f>IFERROR(__xludf.DUMMYFUNCTION("""COMPUTED_VALUE"""),1.005)</f>
        <v>1.005</v>
      </c>
      <c r="E4818" s="16">
        <f>IFERROR(__xludf.DUMMYFUNCTION("""COMPUTED_VALUE"""),69.0)</f>
        <v>69</v>
      </c>
      <c r="F4818" s="19" t="str">
        <f>IFERROR(__xludf.DUMMYFUNCTION("""COMPUTED_VALUE"""),"BLACK")</f>
        <v>BLACK</v>
      </c>
      <c r="G4818" s="20" t="str">
        <f>IFERROR(__xludf.DUMMYFUNCTION("""COMPUTED_VALUE"""),"Uncle Sams Cider (5/13/2022)")</f>
        <v>Uncle Sams Cider (5/13/2022)</v>
      </c>
      <c r="H4818" s="19"/>
    </row>
    <row r="4819">
      <c r="A4819" s="9"/>
      <c r="B4819" s="15"/>
      <c r="C4819" s="9">
        <f>IFERROR(__xludf.DUMMYFUNCTION("""COMPUTED_VALUE"""),44746.3860073495)</f>
        <v>44746.38601</v>
      </c>
      <c r="D4819" s="15">
        <f>IFERROR(__xludf.DUMMYFUNCTION("""COMPUTED_VALUE"""),1.005)</f>
        <v>1.005</v>
      </c>
      <c r="E4819" s="16">
        <f>IFERROR(__xludf.DUMMYFUNCTION("""COMPUTED_VALUE"""),69.0)</f>
        <v>69</v>
      </c>
      <c r="F4819" s="19" t="str">
        <f>IFERROR(__xludf.DUMMYFUNCTION("""COMPUTED_VALUE"""),"BLACK")</f>
        <v>BLACK</v>
      </c>
      <c r="G4819" s="20" t="str">
        <f>IFERROR(__xludf.DUMMYFUNCTION("""COMPUTED_VALUE"""),"Uncle Sams Cider (5/13/2022)")</f>
        <v>Uncle Sams Cider (5/13/2022)</v>
      </c>
      <c r="H4819" s="19"/>
    </row>
    <row r="4820">
      <c r="A4820" s="9"/>
      <c r="B4820" s="15"/>
      <c r="C4820" s="9">
        <f>IFERROR(__xludf.DUMMYFUNCTION("""COMPUTED_VALUE"""),44746.3755860416)</f>
        <v>44746.37559</v>
      </c>
      <c r="D4820" s="15">
        <f>IFERROR(__xludf.DUMMYFUNCTION("""COMPUTED_VALUE"""),1.004)</f>
        <v>1.004</v>
      </c>
      <c r="E4820" s="16">
        <f>IFERROR(__xludf.DUMMYFUNCTION("""COMPUTED_VALUE"""),69.0)</f>
        <v>69</v>
      </c>
      <c r="F4820" s="19" t="str">
        <f>IFERROR(__xludf.DUMMYFUNCTION("""COMPUTED_VALUE"""),"BLACK")</f>
        <v>BLACK</v>
      </c>
      <c r="G4820" s="20" t="str">
        <f>IFERROR(__xludf.DUMMYFUNCTION("""COMPUTED_VALUE"""),"Uncle Sams Cider (5/13/2022)")</f>
        <v>Uncle Sams Cider (5/13/2022)</v>
      </c>
      <c r="H4820" s="19"/>
    </row>
    <row r="4821">
      <c r="A4821" s="9"/>
      <c r="B4821" s="15"/>
      <c r="C4821" s="9">
        <f>IFERROR(__xludf.DUMMYFUNCTION("""COMPUTED_VALUE"""),44746.3651672222)</f>
        <v>44746.36517</v>
      </c>
      <c r="D4821" s="15">
        <f>IFERROR(__xludf.DUMMYFUNCTION("""COMPUTED_VALUE"""),1.004)</f>
        <v>1.004</v>
      </c>
      <c r="E4821" s="16">
        <f>IFERROR(__xludf.DUMMYFUNCTION("""COMPUTED_VALUE"""),69.0)</f>
        <v>69</v>
      </c>
      <c r="F4821" s="19" t="str">
        <f>IFERROR(__xludf.DUMMYFUNCTION("""COMPUTED_VALUE"""),"BLACK")</f>
        <v>BLACK</v>
      </c>
      <c r="G4821" s="20" t="str">
        <f>IFERROR(__xludf.DUMMYFUNCTION("""COMPUTED_VALUE"""),"Uncle Sams Cider (5/13/2022)")</f>
        <v>Uncle Sams Cider (5/13/2022)</v>
      </c>
      <c r="H4821" s="19"/>
    </row>
    <row r="4822">
      <c r="A4822" s="9"/>
      <c r="B4822" s="15"/>
      <c r="C4822" s="9">
        <f>IFERROR(__xludf.DUMMYFUNCTION("""COMPUTED_VALUE"""),44746.3547465509)</f>
        <v>44746.35475</v>
      </c>
      <c r="D4822" s="15">
        <f>IFERROR(__xludf.DUMMYFUNCTION("""COMPUTED_VALUE"""),1.005)</f>
        <v>1.005</v>
      </c>
      <c r="E4822" s="16">
        <f>IFERROR(__xludf.DUMMYFUNCTION("""COMPUTED_VALUE"""),69.0)</f>
        <v>69</v>
      </c>
      <c r="F4822" s="19" t="str">
        <f>IFERROR(__xludf.DUMMYFUNCTION("""COMPUTED_VALUE"""),"BLACK")</f>
        <v>BLACK</v>
      </c>
      <c r="G4822" s="20" t="str">
        <f>IFERROR(__xludf.DUMMYFUNCTION("""COMPUTED_VALUE"""),"Uncle Sams Cider (5/13/2022)")</f>
        <v>Uncle Sams Cider (5/13/2022)</v>
      </c>
      <c r="H4822" s="19"/>
    </row>
    <row r="4823">
      <c r="A4823" s="9"/>
      <c r="B4823" s="15"/>
      <c r="C4823" s="9">
        <f>IFERROR(__xludf.DUMMYFUNCTION("""COMPUTED_VALUE"""),44746.3443265046)</f>
        <v>44746.34433</v>
      </c>
      <c r="D4823" s="15">
        <f>IFERROR(__xludf.DUMMYFUNCTION("""COMPUTED_VALUE"""),1.005)</f>
        <v>1.005</v>
      </c>
      <c r="E4823" s="16">
        <f>IFERROR(__xludf.DUMMYFUNCTION("""COMPUTED_VALUE"""),68.0)</f>
        <v>68</v>
      </c>
      <c r="F4823" s="19" t="str">
        <f>IFERROR(__xludf.DUMMYFUNCTION("""COMPUTED_VALUE"""),"BLACK")</f>
        <v>BLACK</v>
      </c>
      <c r="G4823" s="20" t="str">
        <f>IFERROR(__xludf.DUMMYFUNCTION("""COMPUTED_VALUE"""),"Uncle Sams Cider (5/13/2022)")</f>
        <v>Uncle Sams Cider (5/13/2022)</v>
      </c>
      <c r="H4823" s="19"/>
    </row>
    <row r="4824">
      <c r="A4824" s="9"/>
      <c r="B4824" s="15"/>
      <c r="C4824" s="9">
        <f>IFERROR(__xludf.DUMMYFUNCTION("""COMPUTED_VALUE"""),44746.333893449)</f>
        <v>44746.33389</v>
      </c>
      <c r="D4824" s="15">
        <f>IFERROR(__xludf.DUMMYFUNCTION("""COMPUTED_VALUE"""),1.005)</f>
        <v>1.005</v>
      </c>
      <c r="E4824" s="16">
        <f>IFERROR(__xludf.DUMMYFUNCTION("""COMPUTED_VALUE"""),68.0)</f>
        <v>68</v>
      </c>
      <c r="F4824" s="19" t="str">
        <f>IFERROR(__xludf.DUMMYFUNCTION("""COMPUTED_VALUE"""),"BLACK")</f>
        <v>BLACK</v>
      </c>
      <c r="G4824" s="20" t="str">
        <f>IFERROR(__xludf.DUMMYFUNCTION("""COMPUTED_VALUE"""),"Uncle Sams Cider (5/13/2022)")</f>
        <v>Uncle Sams Cider (5/13/2022)</v>
      </c>
      <c r="H4824" s="19"/>
    </row>
    <row r="4825">
      <c r="A4825" s="9"/>
      <c r="B4825" s="15"/>
      <c r="C4825" s="9">
        <f>IFERROR(__xludf.DUMMYFUNCTION("""COMPUTED_VALUE"""),44746.3234713888)</f>
        <v>44746.32347</v>
      </c>
      <c r="D4825" s="15">
        <f>IFERROR(__xludf.DUMMYFUNCTION("""COMPUTED_VALUE"""),1.005)</f>
        <v>1.005</v>
      </c>
      <c r="E4825" s="16">
        <f>IFERROR(__xludf.DUMMYFUNCTION("""COMPUTED_VALUE"""),68.0)</f>
        <v>68</v>
      </c>
      <c r="F4825" s="19" t="str">
        <f>IFERROR(__xludf.DUMMYFUNCTION("""COMPUTED_VALUE"""),"BLACK")</f>
        <v>BLACK</v>
      </c>
      <c r="G4825" s="20" t="str">
        <f>IFERROR(__xludf.DUMMYFUNCTION("""COMPUTED_VALUE"""),"Uncle Sams Cider (5/13/2022)")</f>
        <v>Uncle Sams Cider (5/13/2022)</v>
      </c>
      <c r="H4825" s="19"/>
    </row>
    <row r="4826">
      <c r="A4826" s="9"/>
      <c r="B4826" s="15"/>
      <c r="C4826" s="9">
        <f>IFERROR(__xludf.DUMMYFUNCTION("""COMPUTED_VALUE"""),44746.3130506828)</f>
        <v>44746.31305</v>
      </c>
      <c r="D4826" s="15">
        <f>IFERROR(__xludf.DUMMYFUNCTION("""COMPUTED_VALUE"""),1.004)</f>
        <v>1.004</v>
      </c>
      <c r="E4826" s="16">
        <f>IFERROR(__xludf.DUMMYFUNCTION("""COMPUTED_VALUE"""),68.0)</f>
        <v>68</v>
      </c>
      <c r="F4826" s="19" t="str">
        <f>IFERROR(__xludf.DUMMYFUNCTION("""COMPUTED_VALUE"""),"BLACK")</f>
        <v>BLACK</v>
      </c>
      <c r="G4826" s="20" t="str">
        <f>IFERROR(__xludf.DUMMYFUNCTION("""COMPUTED_VALUE"""),"Uncle Sams Cider (5/13/2022)")</f>
        <v>Uncle Sams Cider (5/13/2022)</v>
      </c>
      <c r="H4826" s="19"/>
    </row>
    <row r="4827">
      <c r="A4827" s="9"/>
      <c r="B4827" s="15"/>
      <c r="C4827" s="9">
        <f>IFERROR(__xludf.DUMMYFUNCTION("""COMPUTED_VALUE"""),44746.3026171527)</f>
        <v>44746.30262</v>
      </c>
      <c r="D4827" s="15">
        <f>IFERROR(__xludf.DUMMYFUNCTION("""COMPUTED_VALUE"""),1.005)</f>
        <v>1.005</v>
      </c>
      <c r="E4827" s="16">
        <f>IFERROR(__xludf.DUMMYFUNCTION("""COMPUTED_VALUE"""),68.0)</f>
        <v>68</v>
      </c>
      <c r="F4827" s="19" t="str">
        <f>IFERROR(__xludf.DUMMYFUNCTION("""COMPUTED_VALUE"""),"BLACK")</f>
        <v>BLACK</v>
      </c>
      <c r="G4827" s="20" t="str">
        <f>IFERROR(__xludf.DUMMYFUNCTION("""COMPUTED_VALUE"""),"Uncle Sams Cider (5/13/2022)")</f>
        <v>Uncle Sams Cider (5/13/2022)</v>
      </c>
      <c r="H4827" s="19"/>
    </row>
    <row r="4828">
      <c r="A4828" s="9"/>
      <c r="B4828" s="15"/>
      <c r="C4828" s="9">
        <f>IFERROR(__xludf.DUMMYFUNCTION("""COMPUTED_VALUE"""),44746.2921967824)</f>
        <v>44746.2922</v>
      </c>
      <c r="D4828" s="15">
        <f>IFERROR(__xludf.DUMMYFUNCTION("""COMPUTED_VALUE"""),1.005)</f>
        <v>1.005</v>
      </c>
      <c r="E4828" s="16">
        <f>IFERROR(__xludf.DUMMYFUNCTION("""COMPUTED_VALUE"""),68.0)</f>
        <v>68</v>
      </c>
      <c r="F4828" s="19" t="str">
        <f>IFERROR(__xludf.DUMMYFUNCTION("""COMPUTED_VALUE"""),"BLACK")</f>
        <v>BLACK</v>
      </c>
      <c r="G4828" s="20" t="str">
        <f>IFERROR(__xludf.DUMMYFUNCTION("""COMPUTED_VALUE"""),"Uncle Sams Cider (5/13/2022)")</f>
        <v>Uncle Sams Cider (5/13/2022)</v>
      </c>
      <c r="H4828" s="19"/>
    </row>
    <row r="4829">
      <c r="A4829" s="9"/>
      <c r="B4829" s="15"/>
      <c r="C4829" s="9">
        <f>IFERROR(__xludf.DUMMYFUNCTION("""COMPUTED_VALUE"""),44746.2817755787)</f>
        <v>44746.28178</v>
      </c>
      <c r="D4829" s="15">
        <f>IFERROR(__xludf.DUMMYFUNCTION("""COMPUTED_VALUE"""),1.004)</f>
        <v>1.004</v>
      </c>
      <c r="E4829" s="16">
        <f>IFERROR(__xludf.DUMMYFUNCTION("""COMPUTED_VALUE"""),68.0)</f>
        <v>68</v>
      </c>
      <c r="F4829" s="19" t="str">
        <f>IFERROR(__xludf.DUMMYFUNCTION("""COMPUTED_VALUE"""),"BLACK")</f>
        <v>BLACK</v>
      </c>
      <c r="G4829" s="20" t="str">
        <f>IFERROR(__xludf.DUMMYFUNCTION("""COMPUTED_VALUE"""),"Uncle Sams Cider (5/13/2022)")</f>
        <v>Uncle Sams Cider (5/13/2022)</v>
      </c>
      <c r="H4829" s="19"/>
    </row>
    <row r="4830">
      <c r="A4830" s="9"/>
      <c r="B4830" s="15"/>
      <c r="C4830" s="9">
        <f>IFERROR(__xludf.DUMMYFUNCTION("""COMPUTED_VALUE"""),44746.2713551157)</f>
        <v>44746.27136</v>
      </c>
      <c r="D4830" s="15">
        <f>IFERROR(__xludf.DUMMYFUNCTION("""COMPUTED_VALUE"""),1.005)</f>
        <v>1.005</v>
      </c>
      <c r="E4830" s="16">
        <f>IFERROR(__xludf.DUMMYFUNCTION("""COMPUTED_VALUE"""),68.0)</f>
        <v>68</v>
      </c>
      <c r="F4830" s="19" t="str">
        <f>IFERROR(__xludf.DUMMYFUNCTION("""COMPUTED_VALUE"""),"BLACK")</f>
        <v>BLACK</v>
      </c>
      <c r="G4830" s="20" t="str">
        <f>IFERROR(__xludf.DUMMYFUNCTION("""COMPUTED_VALUE"""),"Uncle Sams Cider (5/13/2022)")</f>
        <v>Uncle Sams Cider (5/13/2022)</v>
      </c>
      <c r="H4830" s="19"/>
    </row>
    <row r="4831">
      <c r="A4831" s="9"/>
      <c r="B4831" s="15"/>
      <c r="C4831" s="9">
        <f>IFERROR(__xludf.DUMMYFUNCTION("""COMPUTED_VALUE"""),44746.2609337615)</f>
        <v>44746.26093</v>
      </c>
      <c r="D4831" s="15">
        <f>IFERROR(__xludf.DUMMYFUNCTION("""COMPUTED_VALUE"""),1.004)</f>
        <v>1.004</v>
      </c>
      <c r="E4831" s="16">
        <f>IFERROR(__xludf.DUMMYFUNCTION("""COMPUTED_VALUE"""),68.0)</f>
        <v>68</v>
      </c>
      <c r="F4831" s="19" t="str">
        <f>IFERROR(__xludf.DUMMYFUNCTION("""COMPUTED_VALUE"""),"BLACK")</f>
        <v>BLACK</v>
      </c>
      <c r="G4831" s="20" t="str">
        <f>IFERROR(__xludf.DUMMYFUNCTION("""COMPUTED_VALUE"""),"Uncle Sams Cider (5/13/2022)")</f>
        <v>Uncle Sams Cider (5/13/2022)</v>
      </c>
      <c r="H4831" s="19"/>
    </row>
    <row r="4832">
      <c r="A4832" s="9"/>
      <c r="B4832" s="15"/>
      <c r="C4832" s="9">
        <f>IFERROR(__xludf.DUMMYFUNCTION("""COMPUTED_VALUE"""),44746.2505126967)</f>
        <v>44746.25051</v>
      </c>
      <c r="D4832" s="15">
        <f>IFERROR(__xludf.DUMMYFUNCTION("""COMPUTED_VALUE"""),1.005)</f>
        <v>1.005</v>
      </c>
      <c r="E4832" s="16">
        <f>IFERROR(__xludf.DUMMYFUNCTION("""COMPUTED_VALUE"""),68.0)</f>
        <v>68</v>
      </c>
      <c r="F4832" s="19" t="str">
        <f>IFERROR(__xludf.DUMMYFUNCTION("""COMPUTED_VALUE"""),"BLACK")</f>
        <v>BLACK</v>
      </c>
      <c r="G4832" s="20" t="str">
        <f>IFERROR(__xludf.DUMMYFUNCTION("""COMPUTED_VALUE"""),"Uncle Sams Cider (5/13/2022)")</f>
        <v>Uncle Sams Cider (5/13/2022)</v>
      </c>
      <c r="H4832" s="19"/>
    </row>
    <row r="4833">
      <c r="A4833" s="9"/>
      <c r="B4833" s="15"/>
      <c r="C4833" s="9">
        <f>IFERROR(__xludf.DUMMYFUNCTION("""COMPUTED_VALUE"""),44746.240090324)</f>
        <v>44746.24009</v>
      </c>
      <c r="D4833" s="15">
        <f>IFERROR(__xludf.DUMMYFUNCTION("""COMPUTED_VALUE"""),1.005)</f>
        <v>1.005</v>
      </c>
      <c r="E4833" s="16">
        <f>IFERROR(__xludf.DUMMYFUNCTION("""COMPUTED_VALUE"""),68.0)</f>
        <v>68</v>
      </c>
      <c r="F4833" s="19" t="str">
        <f>IFERROR(__xludf.DUMMYFUNCTION("""COMPUTED_VALUE"""),"BLACK")</f>
        <v>BLACK</v>
      </c>
      <c r="G4833" s="20" t="str">
        <f>IFERROR(__xludf.DUMMYFUNCTION("""COMPUTED_VALUE"""),"Uncle Sams Cider (5/13/2022)")</f>
        <v>Uncle Sams Cider (5/13/2022)</v>
      </c>
      <c r="H4833" s="19"/>
    </row>
    <row r="4834">
      <c r="A4834" s="9"/>
      <c r="B4834" s="15"/>
      <c r="C4834" s="9">
        <f>IFERROR(__xludf.DUMMYFUNCTION("""COMPUTED_VALUE"""),44746.2296699189)</f>
        <v>44746.22967</v>
      </c>
      <c r="D4834" s="15">
        <f>IFERROR(__xludf.DUMMYFUNCTION("""COMPUTED_VALUE"""),1.005)</f>
        <v>1.005</v>
      </c>
      <c r="E4834" s="16">
        <f>IFERROR(__xludf.DUMMYFUNCTION("""COMPUTED_VALUE"""),68.0)</f>
        <v>68</v>
      </c>
      <c r="F4834" s="19" t="str">
        <f>IFERROR(__xludf.DUMMYFUNCTION("""COMPUTED_VALUE"""),"BLACK")</f>
        <v>BLACK</v>
      </c>
      <c r="G4834" s="20" t="str">
        <f>IFERROR(__xludf.DUMMYFUNCTION("""COMPUTED_VALUE"""),"Uncle Sams Cider (5/13/2022)")</f>
        <v>Uncle Sams Cider (5/13/2022)</v>
      </c>
      <c r="H4834" s="19"/>
    </row>
    <row r="4835">
      <c r="A4835" s="9"/>
      <c r="B4835" s="15"/>
      <c r="C4835" s="9">
        <f>IFERROR(__xludf.DUMMYFUNCTION("""COMPUTED_VALUE"""),44746.2192373958)</f>
        <v>44746.21924</v>
      </c>
      <c r="D4835" s="15">
        <f>IFERROR(__xludf.DUMMYFUNCTION("""COMPUTED_VALUE"""),1.005)</f>
        <v>1.005</v>
      </c>
      <c r="E4835" s="16">
        <f>IFERROR(__xludf.DUMMYFUNCTION("""COMPUTED_VALUE"""),68.0)</f>
        <v>68</v>
      </c>
      <c r="F4835" s="19" t="str">
        <f>IFERROR(__xludf.DUMMYFUNCTION("""COMPUTED_VALUE"""),"BLACK")</f>
        <v>BLACK</v>
      </c>
      <c r="G4835" s="20" t="str">
        <f>IFERROR(__xludf.DUMMYFUNCTION("""COMPUTED_VALUE"""),"Uncle Sams Cider (5/13/2022)")</f>
        <v>Uncle Sams Cider (5/13/2022)</v>
      </c>
      <c r="H4835" s="19"/>
    </row>
    <row r="4836">
      <c r="A4836" s="9"/>
      <c r="B4836" s="15"/>
      <c r="C4836" s="9">
        <f>IFERROR(__xludf.DUMMYFUNCTION("""COMPUTED_VALUE"""),44746.208814537)</f>
        <v>44746.20881</v>
      </c>
      <c r="D4836" s="15">
        <f>IFERROR(__xludf.DUMMYFUNCTION("""COMPUTED_VALUE"""),1.005)</f>
        <v>1.005</v>
      </c>
      <c r="E4836" s="16">
        <f>IFERROR(__xludf.DUMMYFUNCTION("""COMPUTED_VALUE"""),68.0)</f>
        <v>68</v>
      </c>
      <c r="F4836" s="19" t="str">
        <f>IFERROR(__xludf.DUMMYFUNCTION("""COMPUTED_VALUE"""),"BLACK")</f>
        <v>BLACK</v>
      </c>
      <c r="G4836" s="20" t="str">
        <f>IFERROR(__xludf.DUMMYFUNCTION("""COMPUTED_VALUE"""),"Uncle Sams Cider (5/13/2022)")</f>
        <v>Uncle Sams Cider (5/13/2022)</v>
      </c>
      <c r="H4836" s="19"/>
    </row>
    <row r="4837">
      <c r="A4837" s="9"/>
      <c r="B4837" s="15"/>
      <c r="C4837" s="9">
        <f>IFERROR(__xludf.DUMMYFUNCTION("""COMPUTED_VALUE"""),44746.198394537)</f>
        <v>44746.19839</v>
      </c>
      <c r="D4837" s="15">
        <f>IFERROR(__xludf.DUMMYFUNCTION("""COMPUTED_VALUE"""),1.005)</f>
        <v>1.005</v>
      </c>
      <c r="E4837" s="16">
        <f>IFERROR(__xludf.DUMMYFUNCTION("""COMPUTED_VALUE"""),68.0)</f>
        <v>68</v>
      </c>
      <c r="F4837" s="19" t="str">
        <f>IFERROR(__xludf.DUMMYFUNCTION("""COMPUTED_VALUE"""),"BLACK")</f>
        <v>BLACK</v>
      </c>
      <c r="G4837" s="20" t="str">
        <f>IFERROR(__xludf.DUMMYFUNCTION("""COMPUTED_VALUE"""),"Uncle Sams Cider (5/13/2022)")</f>
        <v>Uncle Sams Cider (5/13/2022)</v>
      </c>
      <c r="H4837" s="19"/>
    </row>
    <row r="4838">
      <c r="A4838" s="9"/>
      <c r="B4838" s="15"/>
      <c r="C4838" s="9">
        <f>IFERROR(__xludf.DUMMYFUNCTION("""COMPUTED_VALUE"""),44746.1879600694)</f>
        <v>44746.18796</v>
      </c>
      <c r="D4838" s="15">
        <f>IFERROR(__xludf.DUMMYFUNCTION("""COMPUTED_VALUE"""),1.005)</f>
        <v>1.005</v>
      </c>
      <c r="E4838" s="16">
        <f>IFERROR(__xludf.DUMMYFUNCTION("""COMPUTED_VALUE"""),68.0)</f>
        <v>68</v>
      </c>
      <c r="F4838" s="19" t="str">
        <f>IFERROR(__xludf.DUMMYFUNCTION("""COMPUTED_VALUE"""),"BLACK")</f>
        <v>BLACK</v>
      </c>
      <c r="G4838" s="20" t="str">
        <f>IFERROR(__xludf.DUMMYFUNCTION("""COMPUTED_VALUE"""),"Uncle Sams Cider (5/13/2022)")</f>
        <v>Uncle Sams Cider (5/13/2022)</v>
      </c>
      <c r="H4838" s="19"/>
    </row>
    <row r="4839">
      <c r="A4839" s="9"/>
      <c r="B4839" s="15"/>
      <c r="C4839" s="9">
        <f>IFERROR(__xludf.DUMMYFUNCTION("""COMPUTED_VALUE"""),44746.1775392245)</f>
        <v>44746.17754</v>
      </c>
      <c r="D4839" s="15">
        <f>IFERROR(__xludf.DUMMYFUNCTION("""COMPUTED_VALUE"""),1.005)</f>
        <v>1.005</v>
      </c>
      <c r="E4839" s="16">
        <f>IFERROR(__xludf.DUMMYFUNCTION("""COMPUTED_VALUE"""),68.0)</f>
        <v>68</v>
      </c>
      <c r="F4839" s="19" t="str">
        <f>IFERROR(__xludf.DUMMYFUNCTION("""COMPUTED_VALUE"""),"BLACK")</f>
        <v>BLACK</v>
      </c>
      <c r="G4839" s="20" t="str">
        <f>IFERROR(__xludf.DUMMYFUNCTION("""COMPUTED_VALUE"""),"Uncle Sams Cider (5/13/2022)")</f>
        <v>Uncle Sams Cider (5/13/2022)</v>
      </c>
      <c r="H4839" s="19"/>
    </row>
    <row r="4840">
      <c r="A4840" s="9"/>
      <c r="B4840" s="15"/>
      <c r="C4840" s="9">
        <f>IFERROR(__xludf.DUMMYFUNCTION("""COMPUTED_VALUE"""),44746.1671068518)</f>
        <v>44746.16711</v>
      </c>
      <c r="D4840" s="15">
        <f>IFERROR(__xludf.DUMMYFUNCTION("""COMPUTED_VALUE"""),1.005)</f>
        <v>1.005</v>
      </c>
      <c r="E4840" s="16">
        <f>IFERROR(__xludf.DUMMYFUNCTION("""COMPUTED_VALUE"""),68.0)</f>
        <v>68</v>
      </c>
      <c r="F4840" s="19" t="str">
        <f>IFERROR(__xludf.DUMMYFUNCTION("""COMPUTED_VALUE"""),"BLACK")</f>
        <v>BLACK</v>
      </c>
      <c r="G4840" s="20" t="str">
        <f>IFERROR(__xludf.DUMMYFUNCTION("""COMPUTED_VALUE"""),"Uncle Sams Cider (5/13/2022)")</f>
        <v>Uncle Sams Cider (5/13/2022)</v>
      </c>
      <c r="H4840" s="19"/>
    </row>
    <row r="4841">
      <c r="A4841" s="9"/>
      <c r="B4841" s="15"/>
      <c r="C4841" s="9">
        <f>IFERROR(__xludf.DUMMYFUNCTION("""COMPUTED_VALUE"""),44746.1566847685)</f>
        <v>44746.15668</v>
      </c>
      <c r="D4841" s="15">
        <f>IFERROR(__xludf.DUMMYFUNCTION("""COMPUTED_VALUE"""),1.004)</f>
        <v>1.004</v>
      </c>
      <c r="E4841" s="16">
        <f>IFERROR(__xludf.DUMMYFUNCTION("""COMPUTED_VALUE"""),68.0)</f>
        <v>68</v>
      </c>
      <c r="F4841" s="19" t="str">
        <f>IFERROR(__xludf.DUMMYFUNCTION("""COMPUTED_VALUE"""),"BLACK")</f>
        <v>BLACK</v>
      </c>
      <c r="G4841" s="20" t="str">
        <f>IFERROR(__xludf.DUMMYFUNCTION("""COMPUTED_VALUE"""),"Uncle Sams Cider (5/13/2022)")</f>
        <v>Uncle Sams Cider (5/13/2022)</v>
      </c>
      <c r="H4841" s="19"/>
    </row>
    <row r="4842">
      <c r="A4842" s="9"/>
      <c r="B4842" s="15"/>
      <c r="C4842" s="9">
        <f>IFERROR(__xludf.DUMMYFUNCTION("""COMPUTED_VALUE"""),44746.1462645023)</f>
        <v>44746.14626</v>
      </c>
      <c r="D4842" s="15">
        <f>IFERROR(__xludf.DUMMYFUNCTION("""COMPUTED_VALUE"""),1.004)</f>
        <v>1.004</v>
      </c>
      <c r="E4842" s="16">
        <f>IFERROR(__xludf.DUMMYFUNCTION("""COMPUTED_VALUE"""),68.0)</f>
        <v>68</v>
      </c>
      <c r="F4842" s="19" t="str">
        <f>IFERROR(__xludf.DUMMYFUNCTION("""COMPUTED_VALUE"""),"BLACK")</f>
        <v>BLACK</v>
      </c>
      <c r="G4842" s="20" t="str">
        <f>IFERROR(__xludf.DUMMYFUNCTION("""COMPUTED_VALUE"""),"Uncle Sams Cider (5/13/2022)")</f>
        <v>Uncle Sams Cider (5/13/2022)</v>
      </c>
      <c r="H4842" s="19"/>
    </row>
    <row r="4843">
      <c r="A4843" s="9"/>
      <c r="B4843" s="15"/>
      <c r="C4843" s="9">
        <f>IFERROR(__xludf.DUMMYFUNCTION("""COMPUTED_VALUE"""),44746.1358198148)</f>
        <v>44746.13582</v>
      </c>
      <c r="D4843" s="15">
        <f>IFERROR(__xludf.DUMMYFUNCTION("""COMPUTED_VALUE"""),1.004)</f>
        <v>1.004</v>
      </c>
      <c r="E4843" s="16">
        <f>IFERROR(__xludf.DUMMYFUNCTION("""COMPUTED_VALUE"""),68.0)</f>
        <v>68</v>
      </c>
      <c r="F4843" s="19" t="str">
        <f>IFERROR(__xludf.DUMMYFUNCTION("""COMPUTED_VALUE"""),"BLACK")</f>
        <v>BLACK</v>
      </c>
      <c r="G4843" s="20" t="str">
        <f>IFERROR(__xludf.DUMMYFUNCTION("""COMPUTED_VALUE"""),"Uncle Sams Cider (5/13/2022)")</f>
        <v>Uncle Sams Cider (5/13/2022)</v>
      </c>
      <c r="H4843" s="19"/>
    </row>
    <row r="4844">
      <c r="A4844" s="9"/>
      <c r="B4844" s="15"/>
      <c r="C4844" s="9">
        <f>IFERROR(__xludf.DUMMYFUNCTION("""COMPUTED_VALUE"""),44746.125398287)</f>
        <v>44746.1254</v>
      </c>
      <c r="D4844" s="15">
        <f>IFERROR(__xludf.DUMMYFUNCTION("""COMPUTED_VALUE"""),1.005)</f>
        <v>1.005</v>
      </c>
      <c r="E4844" s="16">
        <f>IFERROR(__xludf.DUMMYFUNCTION("""COMPUTED_VALUE"""),68.0)</f>
        <v>68</v>
      </c>
      <c r="F4844" s="19" t="str">
        <f>IFERROR(__xludf.DUMMYFUNCTION("""COMPUTED_VALUE"""),"BLACK")</f>
        <v>BLACK</v>
      </c>
      <c r="G4844" s="20" t="str">
        <f>IFERROR(__xludf.DUMMYFUNCTION("""COMPUTED_VALUE"""),"Uncle Sams Cider (5/13/2022)")</f>
        <v>Uncle Sams Cider (5/13/2022)</v>
      </c>
      <c r="H4844" s="19"/>
    </row>
    <row r="4845">
      <c r="A4845" s="9"/>
      <c r="B4845" s="15"/>
      <c r="C4845" s="9">
        <f>IFERROR(__xludf.DUMMYFUNCTION("""COMPUTED_VALUE"""),44746.1149764467)</f>
        <v>44746.11498</v>
      </c>
      <c r="D4845" s="15">
        <f>IFERROR(__xludf.DUMMYFUNCTION("""COMPUTED_VALUE"""),1.005)</f>
        <v>1.005</v>
      </c>
      <c r="E4845" s="16">
        <f>IFERROR(__xludf.DUMMYFUNCTION("""COMPUTED_VALUE"""),68.0)</f>
        <v>68</v>
      </c>
      <c r="F4845" s="19" t="str">
        <f>IFERROR(__xludf.DUMMYFUNCTION("""COMPUTED_VALUE"""),"BLACK")</f>
        <v>BLACK</v>
      </c>
      <c r="G4845" s="20" t="str">
        <f>IFERROR(__xludf.DUMMYFUNCTION("""COMPUTED_VALUE"""),"Uncle Sams Cider (5/13/2022)")</f>
        <v>Uncle Sams Cider (5/13/2022)</v>
      </c>
      <c r="H4845" s="19"/>
    </row>
    <row r="4846">
      <c r="A4846" s="9"/>
      <c r="B4846" s="15"/>
      <c r="C4846" s="9">
        <f>IFERROR(__xludf.DUMMYFUNCTION("""COMPUTED_VALUE"""),44746.1045559606)</f>
        <v>44746.10456</v>
      </c>
      <c r="D4846" s="15">
        <f>IFERROR(__xludf.DUMMYFUNCTION("""COMPUTED_VALUE"""),1.004)</f>
        <v>1.004</v>
      </c>
      <c r="E4846" s="16">
        <f>IFERROR(__xludf.DUMMYFUNCTION("""COMPUTED_VALUE"""),68.0)</f>
        <v>68</v>
      </c>
      <c r="F4846" s="19" t="str">
        <f>IFERROR(__xludf.DUMMYFUNCTION("""COMPUTED_VALUE"""),"BLACK")</f>
        <v>BLACK</v>
      </c>
      <c r="G4846" s="20" t="str">
        <f>IFERROR(__xludf.DUMMYFUNCTION("""COMPUTED_VALUE"""),"Uncle Sams Cider (5/13/2022)")</f>
        <v>Uncle Sams Cider (5/13/2022)</v>
      </c>
      <c r="H4846" s="19"/>
    </row>
    <row r="4847">
      <c r="A4847" s="9"/>
      <c r="B4847" s="15"/>
      <c r="C4847" s="9">
        <f>IFERROR(__xludf.DUMMYFUNCTION("""COMPUTED_VALUE"""),44746.0941355324)</f>
        <v>44746.09414</v>
      </c>
      <c r="D4847" s="15">
        <f>IFERROR(__xludf.DUMMYFUNCTION("""COMPUTED_VALUE"""),1.005)</f>
        <v>1.005</v>
      </c>
      <c r="E4847" s="16">
        <f>IFERROR(__xludf.DUMMYFUNCTION("""COMPUTED_VALUE"""),68.0)</f>
        <v>68</v>
      </c>
      <c r="F4847" s="19" t="str">
        <f>IFERROR(__xludf.DUMMYFUNCTION("""COMPUTED_VALUE"""),"BLACK")</f>
        <v>BLACK</v>
      </c>
      <c r="G4847" s="20" t="str">
        <f>IFERROR(__xludf.DUMMYFUNCTION("""COMPUTED_VALUE"""),"Uncle Sams Cider (5/13/2022)")</f>
        <v>Uncle Sams Cider (5/13/2022)</v>
      </c>
      <c r="H4847" s="19"/>
    </row>
    <row r="4848">
      <c r="A4848" s="9"/>
      <c r="B4848" s="15"/>
      <c r="C4848" s="9">
        <f>IFERROR(__xludf.DUMMYFUNCTION("""COMPUTED_VALUE"""),44746.0837141782)</f>
        <v>44746.08371</v>
      </c>
      <c r="D4848" s="15">
        <f>IFERROR(__xludf.DUMMYFUNCTION("""COMPUTED_VALUE"""),1.004)</f>
        <v>1.004</v>
      </c>
      <c r="E4848" s="16">
        <f>IFERROR(__xludf.DUMMYFUNCTION("""COMPUTED_VALUE"""),68.0)</f>
        <v>68</v>
      </c>
      <c r="F4848" s="19" t="str">
        <f>IFERROR(__xludf.DUMMYFUNCTION("""COMPUTED_VALUE"""),"BLACK")</f>
        <v>BLACK</v>
      </c>
      <c r="G4848" s="20" t="str">
        <f>IFERROR(__xludf.DUMMYFUNCTION("""COMPUTED_VALUE"""),"Uncle Sams Cider (5/13/2022)")</f>
        <v>Uncle Sams Cider (5/13/2022)</v>
      </c>
      <c r="H4848" s="19"/>
    </row>
    <row r="4849">
      <c r="A4849" s="9"/>
      <c r="B4849" s="15"/>
      <c r="C4849" s="9">
        <f>IFERROR(__xludf.DUMMYFUNCTION("""COMPUTED_VALUE"""),44746.0732917361)</f>
        <v>44746.07329</v>
      </c>
      <c r="D4849" s="15">
        <f>IFERROR(__xludf.DUMMYFUNCTION("""COMPUTED_VALUE"""),1.005)</f>
        <v>1.005</v>
      </c>
      <c r="E4849" s="16">
        <f>IFERROR(__xludf.DUMMYFUNCTION("""COMPUTED_VALUE"""),68.0)</f>
        <v>68</v>
      </c>
      <c r="F4849" s="19" t="str">
        <f>IFERROR(__xludf.DUMMYFUNCTION("""COMPUTED_VALUE"""),"BLACK")</f>
        <v>BLACK</v>
      </c>
      <c r="G4849" s="20" t="str">
        <f>IFERROR(__xludf.DUMMYFUNCTION("""COMPUTED_VALUE"""),"Uncle Sams Cider (5/13/2022)")</f>
        <v>Uncle Sams Cider (5/13/2022)</v>
      </c>
      <c r="H4849" s="19"/>
    </row>
    <row r="4850">
      <c r="A4850" s="9"/>
      <c r="B4850" s="15"/>
      <c r="C4850" s="9">
        <f>IFERROR(__xludf.DUMMYFUNCTION("""COMPUTED_VALUE"""),44746.062871956)</f>
        <v>44746.06287</v>
      </c>
      <c r="D4850" s="15">
        <f>IFERROR(__xludf.DUMMYFUNCTION("""COMPUTED_VALUE"""),1.004)</f>
        <v>1.004</v>
      </c>
      <c r="E4850" s="16">
        <f>IFERROR(__xludf.DUMMYFUNCTION("""COMPUTED_VALUE"""),68.0)</f>
        <v>68</v>
      </c>
      <c r="F4850" s="19" t="str">
        <f>IFERROR(__xludf.DUMMYFUNCTION("""COMPUTED_VALUE"""),"BLACK")</f>
        <v>BLACK</v>
      </c>
      <c r="G4850" s="20" t="str">
        <f>IFERROR(__xludf.DUMMYFUNCTION("""COMPUTED_VALUE"""),"Uncle Sams Cider (5/13/2022)")</f>
        <v>Uncle Sams Cider (5/13/2022)</v>
      </c>
      <c r="H4850" s="19"/>
    </row>
    <row r="4851">
      <c r="A4851" s="9"/>
      <c r="B4851" s="15"/>
      <c r="C4851" s="9">
        <f>IFERROR(__xludf.DUMMYFUNCTION("""COMPUTED_VALUE"""),44746.0524506481)</f>
        <v>44746.05245</v>
      </c>
      <c r="D4851" s="15">
        <f>IFERROR(__xludf.DUMMYFUNCTION("""COMPUTED_VALUE"""),1.004)</f>
        <v>1.004</v>
      </c>
      <c r="E4851" s="16">
        <f>IFERROR(__xludf.DUMMYFUNCTION("""COMPUTED_VALUE"""),68.0)</f>
        <v>68</v>
      </c>
      <c r="F4851" s="19" t="str">
        <f>IFERROR(__xludf.DUMMYFUNCTION("""COMPUTED_VALUE"""),"BLACK")</f>
        <v>BLACK</v>
      </c>
      <c r="G4851" s="20" t="str">
        <f>IFERROR(__xludf.DUMMYFUNCTION("""COMPUTED_VALUE"""),"Uncle Sams Cider (5/13/2022)")</f>
        <v>Uncle Sams Cider (5/13/2022)</v>
      </c>
      <c r="H4851" s="19"/>
    </row>
    <row r="4852">
      <c r="A4852" s="9"/>
      <c r="B4852" s="15"/>
      <c r="C4852" s="9">
        <f>IFERROR(__xludf.DUMMYFUNCTION("""COMPUTED_VALUE"""),44746.0419828819)</f>
        <v>44746.04198</v>
      </c>
      <c r="D4852" s="15">
        <f>IFERROR(__xludf.DUMMYFUNCTION("""COMPUTED_VALUE"""),1.005)</f>
        <v>1.005</v>
      </c>
      <c r="E4852" s="16">
        <f>IFERROR(__xludf.DUMMYFUNCTION("""COMPUTED_VALUE"""),68.0)</f>
        <v>68</v>
      </c>
      <c r="F4852" s="19" t="str">
        <f>IFERROR(__xludf.DUMMYFUNCTION("""COMPUTED_VALUE"""),"BLACK")</f>
        <v>BLACK</v>
      </c>
      <c r="G4852" s="20" t="str">
        <f>IFERROR(__xludf.DUMMYFUNCTION("""COMPUTED_VALUE"""),"Uncle Sams Cider (5/13/2022)")</f>
        <v>Uncle Sams Cider (5/13/2022)</v>
      </c>
      <c r="H4852" s="19"/>
    </row>
    <row r="4853">
      <c r="A4853" s="9"/>
      <c r="B4853" s="15"/>
      <c r="C4853" s="9">
        <f>IFERROR(__xludf.DUMMYFUNCTION("""COMPUTED_VALUE"""),44746.0315613773)</f>
        <v>44746.03156</v>
      </c>
      <c r="D4853" s="15">
        <f>IFERROR(__xludf.DUMMYFUNCTION("""COMPUTED_VALUE"""),1.004)</f>
        <v>1.004</v>
      </c>
      <c r="E4853" s="16">
        <f>IFERROR(__xludf.DUMMYFUNCTION("""COMPUTED_VALUE"""),68.0)</f>
        <v>68</v>
      </c>
      <c r="F4853" s="19" t="str">
        <f>IFERROR(__xludf.DUMMYFUNCTION("""COMPUTED_VALUE"""),"BLACK")</f>
        <v>BLACK</v>
      </c>
      <c r="G4853" s="20" t="str">
        <f>IFERROR(__xludf.DUMMYFUNCTION("""COMPUTED_VALUE"""),"Uncle Sams Cider (5/13/2022)")</f>
        <v>Uncle Sams Cider (5/13/2022)</v>
      </c>
      <c r="H4853" s="19"/>
    </row>
    <row r="4854">
      <c r="A4854" s="9"/>
      <c r="B4854" s="15"/>
      <c r="C4854" s="9">
        <f>IFERROR(__xludf.DUMMYFUNCTION("""COMPUTED_VALUE"""),44746.021141412)</f>
        <v>44746.02114</v>
      </c>
      <c r="D4854" s="15">
        <f>IFERROR(__xludf.DUMMYFUNCTION("""COMPUTED_VALUE"""),1.004)</f>
        <v>1.004</v>
      </c>
      <c r="E4854" s="16">
        <f>IFERROR(__xludf.DUMMYFUNCTION("""COMPUTED_VALUE"""),68.0)</f>
        <v>68</v>
      </c>
      <c r="F4854" s="19" t="str">
        <f>IFERROR(__xludf.DUMMYFUNCTION("""COMPUTED_VALUE"""),"BLACK")</f>
        <v>BLACK</v>
      </c>
      <c r="G4854" s="20" t="str">
        <f>IFERROR(__xludf.DUMMYFUNCTION("""COMPUTED_VALUE"""),"Uncle Sams Cider (5/13/2022)")</f>
        <v>Uncle Sams Cider (5/13/2022)</v>
      </c>
      <c r="H4854" s="19"/>
    </row>
    <row r="4855">
      <c r="A4855" s="9"/>
      <c r="B4855" s="15"/>
      <c r="C4855" s="9">
        <f>IFERROR(__xludf.DUMMYFUNCTION("""COMPUTED_VALUE"""),44746.0107200231)</f>
        <v>44746.01072</v>
      </c>
      <c r="D4855" s="15">
        <f>IFERROR(__xludf.DUMMYFUNCTION("""COMPUTED_VALUE"""),1.005)</f>
        <v>1.005</v>
      </c>
      <c r="E4855" s="16">
        <f>IFERROR(__xludf.DUMMYFUNCTION("""COMPUTED_VALUE"""),68.0)</f>
        <v>68</v>
      </c>
      <c r="F4855" s="19" t="str">
        <f>IFERROR(__xludf.DUMMYFUNCTION("""COMPUTED_VALUE"""),"BLACK")</f>
        <v>BLACK</v>
      </c>
      <c r="G4855" s="20" t="str">
        <f>IFERROR(__xludf.DUMMYFUNCTION("""COMPUTED_VALUE"""),"Uncle Sams Cider (5/13/2022)")</f>
        <v>Uncle Sams Cider (5/13/2022)</v>
      </c>
      <c r="H4855" s="19"/>
    </row>
    <row r="4856">
      <c r="A4856" s="9"/>
      <c r="B4856" s="15"/>
      <c r="C4856" s="9">
        <f>IFERROR(__xludf.DUMMYFUNCTION("""COMPUTED_VALUE"""),44746.0002989467)</f>
        <v>44746.0003</v>
      </c>
      <c r="D4856" s="15">
        <f>IFERROR(__xludf.DUMMYFUNCTION("""COMPUTED_VALUE"""),1.005)</f>
        <v>1.005</v>
      </c>
      <c r="E4856" s="16">
        <f>IFERROR(__xludf.DUMMYFUNCTION("""COMPUTED_VALUE"""),68.0)</f>
        <v>68</v>
      </c>
      <c r="F4856" s="19" t="str">
        <f>IFERROR(__xludf.DUMMYFUNCTION("""COMPUTED_VALUE"""),"BLACK")</f>
        <v>BLACK</v>
      </c>
      <c r="G4856" s="20" t="str">
        <f>IFERROR(__xludf.DUMMYFUNCTION("""COMPUTED_VALUE"""),"Uncle Sams Cider (5/13/2022)")</f>
        <v>Uncle Sams Cider (5/13/2022)</v>
      </c>
      <c r="H4856" s="19"/>
    </row>
    <row r="4857">
      <c r="A4857" s="9"/>
      <c r="B4857" s="15"/>
      <c r="C4857" s="9">
        <f>IFERROR(__xludf.DUMMYFUNCTION("""COMPUTED_VALUE"""),44745.9898661111)</f>
        <v>44745.98987</v>
      </c>
      <c r="D4857" s="15">
        <f>IFERROR(__xludf.DUMMYFUNCTION("""COMPUTED_VALUE"""),1.004)</f>
        <v>1.004</v>
      </c>
      <c r="E4857" s="16">
        <f>IFERROR(__xludf.DUMMYFUNCTION("""COMPUTED_VALUE"""),68.0)</f>
        <v>68</v>
      </c>
      <c r="F4857" s="19" t="str">
        <f>IFERROR(__xludf.DUMMYFUNCTION("""COMPUTED_VALUE"""),"BLACK")</f>
        <v>BLACK</v>
      </c>
      <c r="G4857" s="20" t="str">
        <f>IFERROR(__xludf.DUMMYFUNCTION("""COMPUTED_VALUE"""),"Uncle Sams Cider (5/13/2022)")</f>
        <v>Uncle Sams Cider (5/13/2022)</v>
      </c>
      <c r="H4857" s="19"/>
    </row>
    <row r="4858">
      <c r="A4858" s="9"/>
      <c r="B4858" s="15"/>
      <c r="C4858" s="9">
        <f>IFERROR(__xludf.DUMMYFUNCTION("""COMPUTED_VALUE"""),44745.9794458449)</f>
        <v>44745.97945</v>
      </c>
      <c r="D4858" s="15">
        <f>IFERROR(__xludf.DUMMYFUNCTION("""COMPUTED_VALUE"""),1.005)</f>
        <v>1.005</v>
      </c>
      <c r="E4858" s="16">
        <f>IFERROR(__xludf.DUMMYFUNCTION("""COMPUTED_VALUE"""),68.0)</f>
        <v>68</v>
      </c>
      <c r="F4858" s="19" t="str">
        <f>IFERROR(__xludf.DUMMYFUNCTION("""COMPUTED_VALUE"""),"BLACK")</f>
        <v>BLACK</v>
      </c>
      <c r="G4858" s="20" t="str">
        <f>IFERROR(__xludf.DUMMYFUNCTION("""COMPUTED_VALUE"""),"Uncle Sams Cider (5/13/2022)")</f>
        <v>Uncle Sams Cider (5/13/2022)</v>
      </c>
      <c r="H4858" s="19"/>
    </row>
    <row r="4859">
      <c r="A4859" s="9"/>
      <c r="B4859" s="15"/>
      <c r="C4859" s="9">
        <f>IFERROR(__xludf.DUMMYFUNCTION("""COMPUTED_VALUE"""),44745.9690269676)</f>
        <v>44745.96903</v>
      </c>
      <c r="D4859" s="15">
        <f>IFERROR(__xludf.DUMMYFUNCTION("""COMPUTED_VALUE"""),1.004)</f>
        <v>1.004</v>
      </c>
      <c r="E4859" s="16">
        <f>IFERROR(__xludf.DUMMYFUNCTION("""COMPUTED_VALUE"""),68.0)</f>
        <v>68</v>
      </c>
      <c r="F4859" s="19" t="str">
        <f>IFERROR(__xludf.DUMMYFUNCTION("""COMPUTED_VALUE"""),"BLACK")</f>
        <v>BLACK</v>
      </c>
      <c r="G4859" s="20" t="str">
        <f>IFERROR(__xludf.DUMMYFUNCTION("""COMPUTED_VALUE"""),"Uncle Sams Cider (5/13/2022)")</f>
        <v>Uncle Sams Cider (5/13/2022)</v>
      </c>
      <c r="H4859" s="19"/>
    </row>
    <row r="4860">
      <c r="A4860" s="9"/>
      <c r="B4860" s="15"/>
      <c r="C4860" s="9">
        <f>IFERROR(__xludf.DUMMYFUNCTION("""COMPUTED_VALUE"""),44745.9586058564)</f>
        <v>44745.95861</v>
      </c>
      <c r="D4860" s="15">
        <f>IFERROR(__xludf.DUMMYFUNCTION("""COMPUTED_VALUE"""),1.004)</f>
        <v>1.004</v>
      </c>
      <c r="E4860" s="16">
        <f>IFERROR(__xludf.DUMMYFUNCTION("""COMPUTED_VALUE"""),68.0)</f>
        <v>68</v>
      </c>
      <c r="F4860" s="19" t="str">
        <f>IFERROR(__xludf.DUMMYFUNCTION("""COMPUTED_VALUE"""),"BLACK")</f>
        <v>BLACK</v>
      </c>
      <c r="G4860" s="20" t="str">
        <f>IFERROR(__xludf.DUMMYFUNCTION("""COMPUTED_VALUE"""),"Uncle Sams Cider (5/13/2022)")</f>
        <v>Uncle Sams Cider (5/13/2022)</v>
      </c>
      <c r="H4860" s="19"/>
    </row>
    <row r="4861">
      <c r="A4861" s="9"/>
      <c r="B4861" s="15"/>
      <c r="C4861" s="9">
        <f>IFERROR(__xludf.DUMMYFUNCTION("""COMPUTED_VALUE"""),44745.9481855787)</f>
        <v>44745.94819</v>
      </c>
      <c r="D4861" s="15">
        <f>IFERROR(__xludf.DUMMYFUNCTION("""COMPUTED_VALUE"""),1.005)</f>
        <v>1.005</v>
      </c>
      <c r="E4861" s="16">
        <f>IFERROR(__xludf.DUMMYFUNCTION("""COMPUTED_VALUE"""),68.0)</f>
        <v>68</v>
      </c>
      <c r="F4861" s="19" t="str">
        <f>IFERROR(__xludf.DUMMYFUNCTION("""COMPUTED_VALUE"""),"BLACK")</f>
        <v>BLACK</v>
      </c>
      <c r="G4861" s="20" t="str">
        <f>IFERROR(__xludf.DUMMYFUNCTION("""COMPUTED_VALUE"""),"Uncle Sams Cider (5/13/2022)")</f>
        <v>Uncle Sams Cider (5/13/2022)</v>
      </c>
      <c r="H4861" s="19"/>
    </row>
    <row r="4862">
      <c r="A4862" s="9"/>
      <c r="B4862" s="15"/>
      <c r="C4862" s="9">
        <f>IFERROR(__xludf.DUMMYFUNCTION("""COMPUTED_VALUE"""),44745.9377654861)</f>
        <v>44745.93777</v>
      </c>
      <c r="D4862" s="15">
        <f>IFERROR(__xludf.DUMMYFUNCTION("""COMPUTED_VALUE"""),1.005)</f>
        <v>1.005</v>
      </c>
      <c r="E4862" s="16">
        <f>IFERROR(__xludf.DUMMYFUNCTION("""COMPUTED_VALUE"""),68.0)</f>
        <v>68</v>
      </c>
      <c r="F4862" s="19" t="str">
        <f>IFERROR(__xludf.DUMMYFUNCTION("""COMPUTED_VALUE"""),"BLACK")</f>
        <v>BLACK</v>
      </c>
      <c r="G4862" s="20" t="str">
        <f>IFERROR(__xludf.DUMMYFUNCTION("""COMPUTED_VALUE"""),"Uncle Sams Cider (5/13/2022)")</f>
        <v>Uncle Sams Cider (5/13/2022)</v>
      </c>
      <c r="H4862" s="19"/>
    </row>
    <row r="4863">
      <c r="A4863" s="9"/>
      <c r="B4863" s="15"/>
      <c r="C4863" s="9">
        <f>IFERROR(__xludf.DUMMYFUNCTION("""COMPUTED_VALUE"""),44745.9273324537)</f>
        <v>44745.92733</v>
      </c>
      <c r="D4863" s="15">
        <f>IFERROR(__xludf.DUMMYFUNCTION("""COMPUTED_VALUE"""),1.004)</f>
        <v>1.004</v>
      </c>
      <c r="E4863" s="16">
        <f>IFERROR(__xludf.DUMMYFUNCTION("""COMPUTED_VALUE"""),68.0)</f>
        <v>68</v>
      </c>
      <c r="F4863" s="19" t="str">
        <f>IFERROR(__xludf.DUMMYFUNCTION("""COMPUTED_VALUE"""),"BLACK")</f>
        <v>BLACK</v>
      </c>
      <c r="G4863" s="20" t="str">
        <f>IFERROR(__xludf.DUMMYFUNCTION("""COMPUTED_VALUE"""),"Uncle Sams Cider (5/13/2022)")</f>
        <v>Uncle Sams Cider (5/13/2022)</v>
      </c>
      <c r="H4863" s="19"/>
    </row>
    <row r="4864">
      <c r="A4864" s="9"/>
      <c r="B4864" s="15"/>
      <c r="C4864" s="9">
        <f>IFERROR(__xludf.DUMMYFUNCTION("""COMPUTED_VALUE"""),44745.9169104976)</f>
        <v>44745.91691</v>
      </c>
      <c r="D4864" s="15">
        <f>IFERROR(__xludf.DUMMYFUNCTION("""COMPUTED_VALUE"""),1.004)</f>
        <v>1.004</v>
      </c>
      <c r="E4864" s="16">
        <f>IFERROR(__xludf.DUMMYFUNCTION("""COMPUTED_VALUE"""),68.0)</f>
        <v>68</v>
      </c>
      <c r="F4864" s="19" t="str">
        <f>IFERROR(__xludf.DUMMYFUNCTION("""COMPUTED_VALUE"""),"BLACK")</f>
        <v>BLACK</v>
      </c>
      <c r="G4864" s="20" t="str">
        <f>IFERROR(__xludf.DUMMYFUNCTION("""COMPUTED_VALUE"""),"Uncle Sams Cider (5/13/2022)")</f>
        <v>Uncle Sams Cider (5/13/2022)</v>
      </c>
      <c r="H4864" s="19"/>
    </row>
    <row r="4865">
      <c r="A4865" s="9"/>
      <c r="B4865" s="15"/>
      <c r="C4865" s="9">
        <f>IFERROR(__xludf.DUMMYFUNCTION("""COMPUTED_VALUE"""),44745.9064899652)</f>
        <v>44745.90649</v>
      </c>
      <c r="D4865" s="15">
        <f>IFERROR(__xludf.DUMMYFUNCTION("""COMPUTED_VALUE"""),1.005)</f>
        <v>1.005</v>
      </c>
      <c r="E4865" s="16">
        <f>IFERROR(__xludf.DUMMYFUNCTION("""COMPUTED_VALUE"""),68.0)</f>
        <v>68</v>
      </c>
      <c r="F4865" s="19" t="str">
        <f>IFERROR(__xludf.DUMMYFUNCTION("""COMPUTED_VALUE"""),"BLACK")</f>
        <v>BLACK</v>
      </c>
      <c r="G4865" s="20" t="str">
        <f>IFERROR(__xludf.DUMMYFUNCTION("""COMPUTED_VALUE"""),"Uncle Sams Cider (5/13/2022)")</f>
        <v>Uncle Sams Cider (5/13/2022)</v>
      </c>
      <c r="H4865" s="19"/>
    </row>
    <row r="4866">
      <c r="A4866" s="9"/>
      <c r="B4866" s="15"/>
      <c r="C4866" s="9">
        <f>IFERROR(__xludf.DUMMYFUNCTION("""COMPUTED_VALUE"""),44745.896069537)</f>
        <v>44745.89607</v>
      </c>
      <c r="D4866" s="15">
        <f>IFERROR(__xludf.DUMMYFUNCTION("""COMPUTED_VALUE"""),1.005)</f>
        <v>1.005</v>
      </c>
      <c r="E4866" s="16">
        <f>IFERROR(__xludf.DUMMYFUNCTION("""COMPUTED_VALUE"""),68.0)</f>
        <v>68</v>
      </c>
      <c r="F4866" s="19" t="str">
        <f>IFERROR(__xludf.DUMMYFUNCTION("""COMPUTED_VALUE"""),"BLACK")</f>
        <v>BLACK</v>
      </c>
      <c r="G4866" s="20" t="str">
        <f>IFERROR(__xludf.DUMMYFUNCTION("""COMPUTED_VALUE"""),"Uncle Sams Cider (5/13/2022)")</f>
        <v>Uncle Sams Cider (5/13/2022)</v>
      </c>
      <c r="H4866" s="19"/>
    </row>
    <row r="4867">
      <c r="A4867" s="9"/>
      <c r="B4867" s="15"/>
      <c r="C4867" s="9">
        <f>IFERROR(__xludf.DUMMYFUNCTION("""COMPUTED_VALUE"""),44745.8856376273)</f>
        <v>44745.88564</v>
      </c>
      <c r="D4867" s="15">
        <f>IFERROR(__xludf.DUMMYFUNCTION("""COMPUTED_VALUE"""),1.005)</f>
        <v>1.005</v>
      </c>
      <c r="E4867" s="16">
        <f>IFERROR(__xludf.DUMMYFUNCTION("""COMPUTED_VALUE"""),68.0)</f>
        <v>68</v>
      </c>
      <c r="F4867" s="19" t="str">
        <f>IFERROR(__xludf.DUMMYFUNCTION("""COMPUTED_VALUE"""),"BLACK")</f>
        <v>BLACK</v>
      </c>
      <c r="G4867" s="20" t="str">
        <f>IFERROR(__xludf.DUMMYFUNCTION("""COMPUTED_VALUE"""),"Uncle Sams Cider (5/13/2022)")</f>
        <v>Uncle Sams Cider (5/13/2022)</v>
      </c>
      <c r="H4867" s="19"/>
    </row>
    <row r="4868">
      <c r="A4868" s="9"/>
      <c r="B4868" s="15"/>
      <c r="C4868" s="9">
        <f>IFERROR(__xludf.DUMMYFUNCTION("""COMPUTED_VALUE"""),44745.8752168402)</f>
        <v>44745.87522</v>
      </c>
      <c r="D4868" s="15">
        <f>IFERROR(__xludf.DUMMYFUNCTION("""COMPUTED_VALUE"""),1.004)</f>
        <v>1.004</v>
      </c>
      <c r="E4868" s="16">
        <f>IFERROR(__xludf.DUMMYFUNCTION("""COMPUTED_VALUE"""),68.0)</f>
        <v>68</v>
      </c>
      <c r="F4868" s="19" t="str">
        <f>IFERROR(__xludf.DUMMYFUNCTION("""COMPUTED_VALUE"""),"BLACK")</f>
        <v>BLACK</v>
      </c>
      <c r="G4868" s="20" t="str">
        <f>IFERROR(__xludf.DUMMYFUNCTION("""COMPUTED_VALUE"""),"Uncle Sams Cider (5/13/2022)")</f>
        <v>Uncle Sams Cider (5/13/2022)</v>
      </c>
      <c r="H4868" s="19"/>
    </row>
    <row r="4869">
      <c r="A4869" s="9"/>
      <c r="B4869" s="15"/>
      <c r="C4869" s="9">
        <f>IFERROR(__xludf.DUMMYFUNCTION("""COMPUTED_VALUE"""),44745.864784699)</f>
        <v>44745.86478</v>
      </c>
      <c r="D4869" s="15">
        <f>IFERROR(__xludf.DUMMYFUNCTION("""COMPUTED_VALUE"""),1.005)</f>
        <v>1.005</v>
      </c>
      <c r="E4869" s="16">
        <f>IFERROR(__xludf.DUMMYFUNCTION("""COMPUTED_VALUE"""),68.0)</f>
        <v>68</v>
      </c>
      <c r="F4869" s="19" t="str">
        <f>IFERROR(__xludf.DUMMYFUNCTION("""COMPUTED_VALUE"""),"BLACK")</f>
        <v>BLACK</v>
      </c>
      <c r="G4869" s="20" t="str">
        <f>IFERROR(__xludf.DUMMYFUNCTION("""COMPUTED_VALUE"""),"Uncle Sams Cider (5/13/2022)")</f>
        <v>Uncle Sams Cider (5/13/2022)</v>
      </c>
      <c r="H4869" s="19"/>
    </row>
    <row r="4870">
      <c r="A4870" s="9"/>
      <c r="B4870" s="15"/>
      <c r="C4870" s="9">
        <f>IFERROR(__xludf.DUMMYFUNCTION("""COMPUTED_VALUE"""),44745.8543635069)</f>
        <v>44745.85436</v>
      </c>
      <c r="D4870" s="15">
        <f>IFERROR(__xludf.DUMMYFUNCTION("""COMPUTED_VALUE"""),1.005)</f>
        <v>1.005</v>
      </c>
      <c r="E4870" s="16">
        <f>IFERROR(__xludf.DUMMYFUNCTION("""COMPUTED_VALUE"""),68.0)</f>
        <v>68</v>
      </c>
      <c r="F4870" s="19" t="str">
        <f>IFERROR(__xludf.DUMMYFUNCTION("""COMPUTED_VALUE"""),"BLACK")</f>
        <v>BLACK</v>
      </c>
      <c r="G4870" s="20" t="str">
        <f>IFERROR(__xludf.DUMMYFUNCTION("""COMPUTED_VALUE"""),"Uncle Sams Cider (5/13/2022)")</f>
        <v>Uncle Sams Cider (5/13/2022)</v>
      </c>
      <c r="H4870" s="19"/>
    </row>
    <row r="4871">
      <c r="A4871" s="9"/>
      <c r="B4871" s="15"/>
      <c r="C4871" s="9">
        <f>IFERROR(__xludf.DUMMYFUNCTION("""COMPUTED_VALUE"""),44745.8439323263)</f>
        <v>44745.84393</v>
      </c>
      <c r="D4871" s="15">
        <f>IFERROR(__xludf.DUMMYFUNCTION("""COMPUTED_VALUE"""),1.005)</f>
        <v>1.005</v>
      </c>
      <c r="E4871" s="16">
        <f>IFERROR(__xludf.DUMMYFUNCTION("""COMPUTED_VALUE"""),68.0)</f>
        <v>68</v>
      </c>
      <c r="F4871" s="19" t="str">
        <f>IFERROR(__xludf.DUMMYFUNCTION("""COMPUTED_VALUE"""),"BLACK")</f>
        <v>BLACK</v>
      </c>
      <c r="G4871" s="20" t="str">
        <f>IFERROR(__xludf.DUMMYFUNCTION("""COMPUTED_VALUE"""),"Uncle Sams Cider (5/13/2022)")</f>
        <v>Uncle Sams Cider (5/13/2022)</v>
      </c>
      <c r="H4871" s="19"/>
    </row>
    <row r="4872">
      <c r="A4872" s="9"/>
      <c r="B4872" s="15"/>
      <c r="C4872" s="9">
        <f>IFERROR(__xludf.DUMMYFUNCTION("""COMPUTED_VALUE"""),44745.8335112615)</f>
        <v>44745.83351</v>
      </c>
      <c r="D4872" s="15">
        <f>IFERROR(__xludf.DUMMYFUNCTION("""COMPUTED_VALUE"""),1.004)</f>
        <v>1.004</v>
      </c>
      <c r="E4872" s="16">
        <f>IFERROR(__xludf.DUMMYFUNCTION("""COMPUTED_VALUE"""),68.0)</f>
        <v>68</v>
      </c>
      <c r="F4872" s="19" t="str">
        <f>IFERROR(__xludf.DUMMYFUNCTION("""COMPUTED_VALUE"""),"BLACK")</f>
        <v>BLACK</v>
      </c>
      <c r="G4872" s="20" t="str">
        <f>IFERROR(__xludf.DUMMYFUNCTION("""COMPUTED_VALUE"""),"Uncle Sams Cider (5/13/2022)")</f>
        <v>Uncle Sams Cider (5/13/2022)</v>
      </c>
      <c r="H4872" s="19"/>
    </row>
    <row r="4873">
      <c r="A4873" s="9"/>
      <c r="B4873" s="15"/>
      <c r="C4873" s="9">
        <f>IFERROR(__xludf.DUMMYFUNCTION("""COMPUTED_VALUE"""),44745.8230901851)</f>
        <v>44745.82309</v>
      </c>
      <c r="D4873" s="15">
        <f>IFERROR(__xludf.DUMMYFUNCTION("""COMPUTED_VALUE"""),1.005)</f>
        <v>1.005</v>
      </c>
      <c r="E4873" s="16">
        <f>IFERROR(__xludf.DUMMYFUNCTION("""COMPUTED_VALUE"""),68.0)</f>
        <v>68</v>
      </c>
      <c r="F4873" s="19" t="str">
        <f>IFERROR(__xludf.DUMMYFUNCTION("""COMPUTED_VALUE"""),"BLACK")</f>
        <v>BLACK</v>
      </c>
      <c r="G4873" s="20" t="str">
        <f>IFERROR(__xludf.DUMMYFUNCTION("""COMPUTED_VALUE"""),"Uncle Sams Cider (5/13/2022)")</f>
        <v>Uncle Sams Cider (5/13/2022)</v>
      </c>
      <c r="H4873" s="19"/>
    </row>
    <row r="4874">
      <c r="A4874" s="9"/>
      <c r="B4874" s="15"/>
      <c r="C4874" s="9">
        <f>IFERROR(__xludf.DUMMYFUNCTION("""COMPUTED_VALUE"""),44745.8126565856)</f>
        <v>44745.81266</v>
      </c>
      <c r="D4874" s="15">
        <f>IFERROR(__xludf.DUMMYFUNCTION("""COMPUTED_VALUE"""),1.005)</f>
        <v>1.005</v>
      </c>
      <c r="E4874" s="16">
        <f>IFERROR(__xludf.DUMMYFUNCTION("""COMPUTED_VALUE"""),68.0)</f>
        <v>68</v>
      </c>
      <c r="F4874" s="19" t="str">
        <f>IFERROR(__xludf.DUMMYFUNCTION("""COMPUTED_VALUE"""),"BLACK")</f>
        <v>BLACK</v>
      </c>
      <c r="G4874" s="20" t="str">
        <f>IFERROR(__xludf.DUMMYFUNCTION("""COMPUTED_VALUE"""),"Uncle Sams Cider (5/13/2022)")</f>
        <v>Uncle Sams Cider (5/13/2022)</v>
      </c>
      <c r="H4874" s="19"/>
    </row>
    <row r="4875">
      <c r="A4875" s="9"/>
      <c r="B4875" s="15"/>
      <c r="C4875" s="9">
        <f>IFERROR(__xludf.DUMMYFUNCTION("""COMPUTED_VALUE"""),44745.802235)</f>
        <v>44745.80224</v>
      </c>
      <c r="D4875" s="15">
        <f>IFERROR(__xludf.DUMMYFUNCTION("""COMPUTED_VALUE"""),1.005)</f>
        <v>1.005</v>
      </c>
      <c r="E4875" s="16">
        <f>IFERROR(__xludf.DUMMYFUNCTION("""COMPUTED_VALUE"""),68.0)</f>
        <v>68</v>
      </c>
      <c r="F4875" s="19" t="str">
        <f>IFERROR(__xludf.DUMMYFUNCTION("""COMPUTED_VALUE"""),"BLACK")</f>
        <v>BLACK</v>
      </c>
      <c r="G4875" s="20" t="str">
        <f>IFERROR(__xludf.DUMMYFUNCTION("""COMPUTED_VALUE"""),"Uncle Sams Cider (5/13/2022)")</f>
        <v>Uncle Sams Cider (5/13/2022)</v>
      </c>
      <c r="H4875" s="19"/>
    </row>
    <row r="4876">
      <c r="A4876" s="9"/>
      <c r="B4876" s="15"/>
      <c r="C4876" s="9">
        <f>IFERROR(__xludf.DUMMYFUNCTION("""COMPUTED_VALUE"""),44745.7918140277)</f>
        <v>44745.79181</v>
      </c>
      <c r="D4876" s="15">
        <f>IFERROR(__xludf.DUMMYFUNCTION("""COMPUTED_VALUE"""),1.005)</f>
        <v>1.005</v>
      </c>
      <c r="E4876" s="16">
        <f>IFERROR(__xludf.DUMMYFUNCTION("""COMPUTED_VALUE"""),68.0)</f>
        <v>68</v>
      </c>
      <c r="F4876" s="19" t="str">
        <f>IFERROR(__xludf.DUMMYFUNCTION("""COMPUTED_VALUE"""),"BLACK")</f>
        <v>BLACK</v>
      </c>
      <c r="G4876" s="20" t="str">
        <f>IFERROR(__xludf.DUMMYFUNCTION("""COMPUTED_VALUE"""),"Uncle Sams Cider (5/13/2022)")</f>
        <v>Uncle Sams Cider (5/13/2022)</v>
      </c>
      <c r="H4876" s="19"/>
    </row>
    <row r="4877">
      <c r="A4877" s="9"/>
      <c r="B4877" s="15"/>
      <c r="C4877" s="9">
        <f>IFERROR(__xludf.DUMMYFUNCTION("""COMPUTED_VALUE"""),44745.7813700462)</f>
        <v>44745.78137</v>
      </c>
      <c r="D4877" s="15">
        <f>IFERROR(__xludf.DUMMYFUNCTION("""COMPUTED_VALUE"""),1.005)</f>
        <v>1.005</v>
      </c>
      <c r="E4877" s="16">
        <f>IFERROR(__xludf.DUMMYFUNCTION("""COMPUTED_VALUE"""),67.0)</f>
        <v>67</v>
      </c>
      <c r="F4877" s="19" t="str">
        <f>IFERROR(__xludf.DUMMYFUNCTION("""COMPUTED_VALUE"""),"BLACK")</f>
        <v>BLACK</v>
      </c>
      <c r="G4877" s="20" t="str">
        <f>IFERROR(__xludf.DUMMYFUNCTION("""COMPUTED_VALUE"""),"Uncle Sams Cider (5/13/2022)")</f>
        <v>Uncle Sams Cider (5/13/2022)</v>
      </c>
      <c r="H4877" s="19"/>
    </row>
    <row r="4878">
      <c r="A4878" s="9"/>
      <c r="B4878" s="15"/>
      <c r="C4878" s="9">
        <f>IFERROR(__xludf.DUMMYFUNCTION("""COMPUTED_VALUE"""),44745.7709480324)</f>
        <v>44745.77095</v>
      </c>
      <c r="D4878" s="15">
        <f>IFERROR(__xludf.DUMMYFUNCTION("""COMPUTED_VALUE"""),1.005)</f>
        <v>1.005</v>
      </c>
      <c r="E4878" s="16">
        <f>IFERROR(__xludf.DUMMYFUNCTION("""COMPUTED_VALUE"""),67.0)</f>
        <v>67</v>
      </c>
      <c r="F4878" s="19" t="str">
        <f>IFERROR(__xludf.DUMMYFUNCTION("""COMPUTED_VALUE"""),"BLACK")</f>
        <v>BLACK</v>
      </c>
      <c r="G4878" s="20" t="str">
        <f>IFERROR(__xludf.DUMMYFUNCTION("""COMPUTED_VALUE"""),"Uncle Sams Cider (5/13/2022)")</f>
        <v>Uncle Sams Cider (5/13/2022)</v>
      </c>
      <c r="H4878" s="19"/>
    </row>
    <row r="4879">
      <c r="A4879" s="9"/>
      <c r="B4879" s="15"/>
      <c r="C4879" s="9">
        <f>IFERROR(__xludf.DUMMYFUNCTION("""COMPUTED_VALUE"""),44745.7605278009)</f>
        <v>44745.76053</v>
      </c>
      <c r="D4879" s="15">
        <f>IFERROR(__xludf.DUMMYFUNCTION("""COMPUTED_VALUE"""),1.005)</f>
        <v>1.005</v>
      </c>
      <c r="E4879" s="16">
        <f>IFERROR(__xludf.DUMMYFUNCTION("""COMPUTED_VALUE"""),67.0)</f>
        <v>67</v>
      </c>
      <c r="F4879" s="19" t="str">
        <f>IFERROR(__xludf.DUMMYFUNCTION("""COMPUTED_VALUE"""),"BLACK")</f>
        <v>BLACK</v>
      </c>
      <c r="G4879" s="20" t="str">
        <f>IFERROR(__xludf.DUMMYFUNCTION("""COMPUTED_VALUE"""),"Uncle Sams Cider (5/13/2022)")</f>
        <v>Uncle Sams Cider (5/13/2022)</v>
      </c>
      <c r="H4879" s="19"/>
    </row>
    <row r="4880">
      <c r="A4880" s="9"/>
      <c r="B4880" s="15"/>
      <c r="C4880" s="9">
        <f>IFERROR(__xludf.DUMMYFUNCTION("""COMPUTED_VALUE"""),44745.7501056828)</f>
        <v>44745.75011</v>
      </c>
      <c r="D4880" s="15">
        <f>IFERROR(__xludf.DUMMYFUNCTION("""COMPUTED_VALUE"""),1.005)</f>
        <v>1.005</v>
      </c>
      <c r="E4880" s="16">
        <f>IFERROR(__xludf.DUMMYFUNCTION("""COMPUTED_VALUE"""),67.0)</f>
        <v>67</v>
      </c>
      <c r="F4880" s="19" t="str">
        <f>IFERROR(__xludf.DUMMYFUNCTION("""COMPUTED_VALUE"""),"BLACK")</f>
        <v>BLACK</v>
      </c>
      <c r="G4880" s="20" t="str">
        <f>IFERROR(__xludf.DUMMYFUNCTION("""COMPUTED_VALUE"""),"Uncle Sams Cider (5/13/2022)")</f>
        <v>Uncle Sams Cider (5/13/2022)</v>
      </c>
      <c r="H4880" s="19"/>
    </row>
    <row r="4881">
      <c r="A4881" s="9"/>
      <c r="B4881" s="15"/>
      <c r="C4881" s="9">
        <f>IFERROR(__xludf.DUMMYFUNCTION("""COMPUTED_VALUE"""),44745.7396856481)</f>
        <v>44745.73969</v>
      </c>
      <c r="D4881" s="15">
        <f>IFERROR(__xludf.DUMMYFUNCTION("""COMPUTED_VALUE"""),1.004)</f>
        <v>1.004</v>
      </c>
      <c r="E4881" s="16">
        <f>IFERROR(__xludf.DUMMYFUNCTION("""COMPUTED_VALUE"""),67.0)</f>
        <v>67</v>
      </c>
      <c r="F4881" s="19" t="str">
        <f>IFERROR(__xludf.DUMMYFUNCTION("""COMPUTED_VALUE"""),"BLACK")</f>
        <v>BLACK</v>
      </c>
      <c r="G4881" s="20" t="str">
        <f>IFERROR(__xludf.DUMMYFUNCTION("""COMPUTED_VALUE"""),"Uncle Sams Cider (5/13/2022)")</f>
        <v>Uncle Sams Cider (5/13/2022)</v>
      </c>
      <c r="H4881" s="19"/>
    </row>
    <row r="4882">
      <c r="A4882" s="9"/>
      <c r="B4882" s="15"/>
      <c r="C4882" s="9">
        <f>IFERROR(__xludf.DUMMYFUNCTION("""COMPUTED_VALUE"""),44745.7292658101)</f>
        <v>44745.72927</v>
      </c>
      <c r="D4882" s="15">
        <f>IFERROR(__xludf.DUMMYFUNCTION("""COMPUTED_VALUE"""),1.004)</f>
        <v>1.004</v>
      </c>
      <c r="E4882" s="16">
        <f>IFERROR(__xludf.DUMMYFUNCTION("""COMPUTED_VALUE"""),67.0)</f>
        <v>67</v>
      </c>
      <c r="F4882" s="19" t="str">
        <f>IFERROR(__xludf.DUMMYFUNCTION("""COMPUTED_VALUE"""),"BLACK")</f>
        <v>BLACK</v>
      </c>
      <c r="G4882" s="20" t="str">
        <f>IFERROR(__xludf.DUMMYFUNCTION("""COMPUTED_VALUE"""),"Uncle Sams Cider (5/13/2022)")</f>
        <v>Uncle Sams Cider (5/13/2022)</v>
      </c>
      <c r="H4882" s="19"/>
    </row>
    <row r="4883">
      <c r="A4883" s="9"/>
      <c r="B4883" s="15"/>
      <c r="C4883" s="9">
        <f>IFERROR(__xludf.DUMMYFUNCTION("""COMPUTED_VALUE"""),44745.7188443055)</f>
        <v>44745.71884</v>
      </c>
      <c r="D4883" s="15">
        <f>IFERROR(__xludf.DUMMYFUNCTION("""COMPUTED_VALUE"""),1.004)</f>
        <v>1.004</v>
      </c>
      <c r="E4883" s="16">
        <f>IFERROR(__xludf.DUMMYFUNCTION("""COMPUTED_VALUE"""),67.0)</f>
        <v>67</v>
      </c>
      <c r="F4883" s="19" t="str">
        <f>IFERROR(__xludf.DUMMYFUNCTION("""COMPUTED_VALUE"""),"BLACK")</f>
        <v>BLACK</v>
      </c>
      <c r="G4883" s="20" t="str">
        <f>IFERROR(__xludf.DUMMYFUNCTION("""COMPUTED_VALUE"""),"Uncle Sams Cider (5/13/2022)")</f>
        <v>Uncle Sams Cider (5/13/2022)</v>
      </c>
      <c r="H4883" s="19"/>
    </row>
    <row r="4884">
      <c r="A4884" s="9"/>
      <c r="B4884" s="15"/>
      <c r="C4884" s="9">
        <f>IFERROR(__xludf.DUMMYFUNCTION("""COMPUTED_VALUE"""),44745.7084232754)</f>
        <v>44745.70842</v>
      </c>
      <c r="D4884" s="15">
        <f>IFERROR(__xludf.DUMMYFUNCTION("""COMPUTED_VALUE"""),1.005)</f>
        <v>1.005</v>
      </c>
      <c r="E4884" s="16">
        <f>IFERROR(__xludf.DUMMYFUNCTION("""COMPUTED_VALUE"""),67.0)</f>
        <v>67</v>
      </c>
      <c r="F4884" s="19" t="str">
        <f>IFERROR(__xludf.DUMMYFUNCTION("""COMPUTED_VALUE"""),"BLACK")</f>
        <v>BLACK</v>
      </c>
      <c r="G4884" s="20" t="str">
        <f>IFERROR(__xludf.DUMMYFUNCTION("""COMPUTED_VALUE"""),"Uncle Sams Cider (5/13/2022)")</f>
        <v>Uncle Sams Cider (5/13/2022)</v>
      </c>
      <c r="H4884" s="19"/>
    </row>
    <row r="4885">
      <c r="A4885" s="9"/>
      <c r="B4885" s="15"/>
      <c r="C4885" s="9">
        <f>IFERROR(__xludf.DUMMYFUNCTION("""COMPUTED_VALUE"""),44745.6979890046)</f>
        <v>44745.69799</v>
      </c>
      <c r="D4885" s="15">
        <f>IFERROR(__xludf.DUMMYFUNCTION("""COMPUTED_VALUE"""),1.005)</f>
        <v>1.005</v>
      </c>
      <c r="E4885" s="16">
        <f>IFERROR(__xludf.DUMMYFUNCTION("""COMPUTED_VALUE"""),67.0)</f>
        <v>67</v>
      </c>
      <c r="F4885" s="19" t="str">
        <f>IFERROR(__xludf.DUMMYFUNCTION("""COMPUTED_VALUE"""),"BLACK")</f>
        <v>BLACK</v>
      </c>
      <c r="G4885" s="20" t="str">
        <f>IFERROR(__xludf.DUMMYFUNCTION("""COMPUTED_VALUE"""),"Uncle Sams Cider (5/13/2022)")</f>
        <v>Uncle Sams Cider (5/13/2022)</v>
      </c>
      <c r="H4885" s="19"/>
    </row>
    <row r="4886">
      <c r="A4886" s="9"/>
      <c r="B4886" s="15"/>
      <c r="C4886" s="9">
        <f>IFERROR(__xludf.DUMMYFUNCTION("""COMPUTED_VALUE"""),44745.6875472916)</f>
        <v>44745.68755</v>
      </c>
      <c r="D4886" s="15">
        <f>IFERROR(__xludf.DUMMYFUNCTION("""COMPUTED_VALUE"""),1.004)</f>
        <v>1.004</v>
      </c>
      <c r="E4886" s="16">
        <f>IFERROR(__xludf.DUMMYFUNCTION("""COMPUTED_VALUE"""),67.0)</f>
        <v>67</v>
      </c>
      <c r="F4886" s="19" t="str">
        <f>IFERROR(__xludf.DUMMYFUNCTION("""COMPUTED_VALUE"""),"BLACK")</f>
        <v>BLACK</v>
      </c>
      <c r="G4886" s="20" t="str">
        <f>IFERROR(__xludf.DUMMYFUNCTION("""COMPUTED_VALUE"""),"Uncle Sams Cider (5/13/2022)")</f>
        <v>Uncle Sams Cider (5/13/2022)</v>
      </c>
      <c r="H4886" s="19"/>
    </row>
    <row r="4887">
      <c r="A4887" s="9"/>
      <c r="B4887" s="15"/>
      <c r="C4887" s="9">
        <f>IFERROR(__xludf.DUMMYFUNCTION("""COMPUTED_VALUE"""),44745.6771247453)</f>
        <v>44745.67712</v>
      </c>
      <c r="D4887" s="15">
        <f>IFERROR(__xludf.DUMMYFUNCTION("""COMPUTED_VALUE"""),1.005)</f>
        <v>1.005</v>
      </c>
      <c r="E4887" s="16">
        <f>IFERROR(__xludf.DUMMYFUNCTION("""COMPUTED_VALUE"""),67.0)</f>
        <v>67</v>
      </c>
      <c r="F4887" s="19" t="str">
        <f>IFERROR(__xludf.DUMMYFUNCTION("""COMPUTED_VALUE"""),"BLACK")</f>
        <v>BLACK</v>
      </c>
      <c r="G4887" s="20" t="str">
        <f>IFERROR(__xludf.DUMMYFUNCTION("""COMPUTED_VALUE"""),"Uncle Sams Cider (5/13/2022)")</f>
        <v>Uncle Sams Cider (5/13/2022)</v>
      </c>
      <c r="H4887" s="19"/>
    </row>
    <row r="4888">
      <c r="A4888" s="9"/>
      <c r="B4888" s="15"/>
      <c r="C4888" s="9">
        <f>IFERROR(__xludf.DUMMYFUNCTION("""COMPUTED_VALUE"""),44745.6666912384)</f>
        <v>44745.66669</v>
      </c>
      <c r="D4888" s="15">
        <f>IFERROR(__xludf.DUMMYFUNCTION("""COMPUTED_VALUE"""),1.005)</f>
        <v>1.005</v>
      </c>
      <c r="E4888" s="16">
        <f>IFERROR(__xludf.DUMMYFUNCTION("""COMPUTED_VALUE"""),67.0)</f>
        <v>67</v>
      </c>
      <c r="F4888" s="19" t="str">
        <f>IFERROR(__xludf.DUMMYFUNCTION("""COMPUTED_VALUE"""),"BLACK")</f>
        <v>BLACK</v>
      </c>
      <c r="G4888" s="20" t="str">
        <f>IFERROR(__xludf.DUMMYFUNCTION("""COMPUTED_VALUE"""),"Uncle Sams Cider (5/13/2022)")</f>
        <v>Uncle Sams Cider (5/13/2022)</v>
      </c>
      <c r="H4888" s="19"/>
    </row>
    <row r="4889">
      <c r="A4889" s="9"/>
      <c r="B4889" s="15"/>
      <c r="C4889" s="9">
        <f>IFERROR(__xludf.DUMMYFUNCTION("""COMPUTED_VALUE"""),44745.6562679282)</f>
        <v>44745.65627</v>
      </c>
      <c r="D4889" s="15">
        <f>IFERROR(__xludf.DUMMYFUNCTION("""COMPUTED_VALUE"""),1.005)</f>
        <v>1.005</v>
      </c>
      <c r="E4889" s="16">
        <f>IFERROR(__xludf.DUMMYFUNCTION("""COMPUTED_VALUE"""),67.0)</f>
        <v>67</v>
      </c>
      <c r="F4889" s="19" t="str">
        <f>IFERROR(__xludf.DUMMYFUNCTION("""COMPUTED_VALUE"""),"BLACK")</f>
        <v>BLACK</v>
      </c>
      <c r="G4889" s="20" t="str">
        <f>IFERROR(__xludf.DUMMYFUNCTION("""COMPUTED_VALUE"""),"Uncle Sams Cider (5/13/2022)")</f>
        <v>Uncle Sams Cider (5/13/2022)</v>
      </c>
      <c r="H4889" s="19"/>
    </row>
    <row r="4890">
      <c r="A4890" s="9"/>
      <c r="B4890" s="15"/>
      <c r="C4890" s="9">
        <f>IFERROR(__xludf.DUMMYFUNCTION("""COMPUTED_VALUE"""),44745.6458474768)</f>
        <v>44745.64585</v>
      </c>
      <c r="D4890" s="15">
        <f>IFERROR(__xludf.DUMMYFUNCTION("""COMPUTED_VALUE"""),1.005)</f>
        <v>1.005</v>
      </c>
      <c r="E4890" s="16">
        <f>IFERROR(__xludf.DUMMYFUNCTION("""COMPUTED_VALUE"""),67.0)</f>
        <v>67</v>
      </c>
      <c r="F4890" s="19" t="str">
        <f>IFERROR(__xludf.DUMMYFUNCTION("""COMPUTED_VALUE"""),"BLACK")</f>
        <v>BLACK</v>
      </c>
      <c r="G4890" s="20" t="str">
        <f>IFERROR(__xludf.DUMMYFUNCTION("""COMPUTED_VALUE"""),"Uncle Sams Cider (5/13/2022)")</f>
        <v>Uncle Sams Cider (5/13/2022)</v>
      </c>
      <c r="H4890" s="19"/>
    </row>
    <row r="4891">
      <c r="A4891" s="9"/>
      <c r="B4891" s="15"/>
      <c r="C4891" s="9">
        <f>IFERROR(__xludf.DUMMYFUNCTION("""COMPUTED_VALUE"""),44745.6354254745)</f>
        <v>44745.63543</v>
      </c>
      <c r="D4891" s="15">
        <f>IFERROR(__xludf.DUMMYFUNCTION("""COMPUTED_VALUE"""),1.005)</f>
        <v>1.005</v>
      </c>
      <c r="E4891" s="16">
        <f>IFERROR(__xludf.DUMMYFUNCTION("""COMPUTED_VALUE"""),67.0)</f>
        <v>67</v>
      </c>
      <c r="F4891" s="19" t="str">
        <f>IFERROR(__xludf.DUMMYFUNCTION("""COMPUTED_VALUE"""),"BLACK")</f>
        <v>BLACK</v>
      </c>
      <c r="G4891" s="20" t="str">
        <f>IFERROR(__xludf.DUMMYFUNCTION("""COMPUTED_VALUE"""),"Uncle Sams Cider (5/13/2022)")</f>
        <v>Uncle Sams Cider (5/13/2022)</v>
      </c>
      <c r="H4891" s="19"/>
    </row>
    <row r="4892">
      <c r="A4892" s="9"/>
      <c r="B4892" s="15"/>
      <c r="C4892" s="9">
        <f>IFERROR(__xludf.DUMMYFUNCTION("""COMPUTED_VALUE"""),44745.6250037731)</f>
        <v>44745.625</v>
      </c>
      <c r="D4892" s="15">
        <f>IFERROR(__xludf.DUMMYFUNCTION("""COMPUTED_VALUE"""),1.005)</f>
        <v>1.005</v>
      </c>
      <c r="E4892" s="16">
        <f>IFERROR(__xludf.DUMMYFUNCTION("""COMPUTED_VALUE"""),67.0)</f>
        <v>67</v>
      </c>
      <c r="F4892" s="19" t="str">
        <f>IFERROR(__xludf.DUMMYFUNCTION("""COMPUTED_VALUE"""),"BLACK")</f>
        <v>BLACK</v>
      </c>
      <c r="G4892" s="20" t="str">
        <f>IFERROR(__xludf.DUMMYFUNCTION("""COMPUTED_VALUE"""),"Uncle Sams Cider (5/13/2022)")</f>
        <v>Uncle Sams Cider (5/13/2022)</v>
      </c>
      <c r="H4892" s="19"/>
    </row>
    <row r="4893">
      <c r="A4893" s="9"/>
      <c r="B4893" s="15"/>
      <c r="C4893" s="9">
        <f>IFERROR(__xludf.DUMMYFUNCTION("""COMPUTED_VALUE"""),44745.61454625)</f>
        <v>44745.61455</v>
      </c>
      <c r="D4893" s="15">
        <f>IFERROR(__xludf.DUMMYFUNCTION("""COMPUTED_VALUE"""),1.004)</f>
        <v>1.004</v>
      </c>
      <c r="E4893" s="16">
        <f>IFERROR(__xludf.DUMMYFUNCTION("""COMPUTED_VALUE"""),67.0)</f>
        <v>67</v>
      </c>
      <c r="F4893" s="19" t="str">
        <f>IFERROR(__xludf.DUMMYFUNCTION("""COMPUTED_VALUE"""),"BLACK")</f>
        <v>BLACK</v>
      </c>
      <c r="G4893" s="20" t="str">
        <f>IFERROR(__xludf.DUMMYFUNCTION("""COMPUTED_VALUE"""),"Uncle Sams Cider (5/13/2022)")</f>
        <v>Uncle Sams Cider (5/13/2022)</v>
      </c>
      <c r="H4893" s="19"/>
    </row>
    <row r="4894">
      <c r="A4894" s="9"/>
      <c r="B4894" s="15"/>
      <c r="C4894" s="9">
        <f>IFERROR(__xludf.DUMMYFUNCTION("""COMPUTED_VALUE"""),44745.6041263194)</f>
        <v>44745.60413</v>
      </c>
      <c r="D4894" s="15">
        <f>IFERROR(__xludf.DUMMYFUNCTION("""COMPUTED_VALUE"""),1.004)</f>
        <v>1.004</v>
      </c>
      <c r="E4894" s="16">
        <f>IFERROR(__xludf.DUMMYFUNCTION("""COMPUTED_VALUE"""),67.0)</f>
        <v>67</v>
      </c>
      <c r="F4894" s="19" t="str">
        <f>IFERROR(__xludf.DUMMYFUNCTION("""COMPUTED_VALUE"""),"BLACK")</f>
        <v>BLACK</v>
      </c>
      <c r="G4894" s="20" t="str">
        <f>IFERROR(__xludf.DUMMYFUNCTION("""COMPUTED_VALUE"""),"Uncle Sams Cider (5/13/2022)")</f>
        <v>Uncle Sams Cider (5/13/2022)</v>
      </c>
      <c r="H4894" s="19"/>
    </row>
    <row r="4895">
      <c r="A4895" s="9"/>
      <c r="B4895" s="15"/>
      <c r="C4895" s="9">
        <f>IFERROR(__xludf.DUMMYFUNCTION("""COMPUTED_VALUE"""),44745.5936941551)</f>
        <v>44745.59369</v>
      </c>
      <c r="D4895" s="15">
        <f>IFERROR(__xludf.DUMMYFUNCTION("""COMPUTED_VALUE"""),1.005)</f>
        <v>1.005</v>
      </c>
      <c r="E4895" s="16">
        <f>IFERROR(__xludf.DUMMYFUNCTION("""COMPUTED_VALUE"""),67.0)</f>
        <v>67</v>
      </c>
      <c r="F4895" s="19" t="str">
        <f>IFERROR(__xludf.DUMMYFUNCTION("""COMPUTED_VALUE"""),"BLACK")</f>
        <v>BLACK</v>
      </c>
      <c r="G4895" s="20" t="str">
        <f>IFERROR(__xludf.DUMMYFUNCTION("""COMPUTED_VALUE"""),"Uncle Sams Cider (5/13/2022)")</f>
        <v>Uncle Sams Cider (5/13/2022)</v>
      </c>
      <c r="H4895" s="19"/>
    </row>
    <row r="4896">
      <c r="A4896" s="9"/>
      <c r="B4896" s="15"/>
      <c r="C4896" s="9">
        <f>IFERROR(__xludf.DUMMYFUNCTION("""COMPUTED_VALUE"""),44745.5832742245)</f>
        <v>44745.58327</v>
      </c>
      <c r="D4896" s="15">
        <f>IFERROR(__xludf.DUMMYFUNCTION("""COMPUTED_VALUE"""),1.004)</f>
        <v>1.004</v>
      </c>
      <c r="E4896" s="16">
        <f>IFERROR(__xludf.DUMMYFUNCTION("""COMPUTED_VALUE"""),67.0)</f>
        <v>67</v>
      </c>
      <c r="F4896" s="19" t="str">
        <f>IFERROR(__xludf.DUMMYFUNCTION("""COMPUTED_VALUE"""),"BLACK")</f>
        <v>BLACK</v>
      </c>
      <c r="G4896" s="20" t="str">
        <f>IFERROR(__xludf.DUMMYFUNCTION("""COMPUTED_VALUE"""),"Uncle Sams Cider (5/13/2022)")</f>
        <v>Uncle Sams Cider (5/13/2022)</v>
      </c>
      <c r="H4896" s="19"/>
    </row>
    <row r="4897">
      <c r="A4897" s="9"/>
      <c r="B4897" s="15"/>
      <c r="C4897" s="9">
        <f>IFERROR(__xludf.DUMMYFUNCTION("""COMPUTED_VALUE"""),44745.5728536458)</f>
        <v>44745.57285</v>
      </c>
      <c r="D4897" s="15">
        <f>IFERROR(__xludf.DUMMYFUNCTION("""COMPUTED_VALUE"""),1.005)</f>
        <v>1.005</v>
      </c>
      <c r="E4897" s="16">
        <f>IFERROR(__xludf.DUMMYFUNCTION("""COMPUTED_VALUE"""),67.0)</f>
        <v>67</v>
      </c>
      <c r="F4897" s="19" t="str">
        <f>IFERROR(__xludf.DUMMYFUNCTION("""COMPUTED_VALUE"""),"BLACK")</f>
        <v>BLACK</v>
      </c>
      <c r="G4897" s="20" t="str">
        <f>IFERROR(__xludf.DUMMYFUNCTION("""COMPUTED_VALUE"""),"Uncle Sams Cider (5/13/2022)")</f>
        <v>Uncle Sams Cider (5/13/2022)</v>
      </c>
      <c r="H4897" s="19"/>
    </row>
    <row r="4898">
      <c r="A4898" s="9"/>
      <c r="B4898" s="15"/>
      <c r="C4898" s="9">
        <f>IFERROR(__xludf.DUMMYFUNCTION("""COMPUTED_VALUE"""),44745.5624319328)</f>
        <v>44745.56243</v>
      </c>
      <c r="D4898" s="15">
        <f>IFERROR(__xludf.DUMMYFUNCTION("""COMPUTED_VALUE"""),1.005)</f>
        <v>1.005</v>
      </c>
      <c r="E4898" s="16">
        <f>IFERROR(__xludf.DUMMYFUNCTION("""COMPUTED_VALUE"""),67.0)</f>
        <v>67</v>
      </c>
      <c r="F4898" s="19" t="str">
        <f>IFERROR(__xludf.DUMMYFUNCTION("""COMPUTED_VALUE"""),"BLACK")</f>
        <v>BLACK</v>
      </c>
      <c r="G4898" s="20" t="str">
        <f>IFERROR(__xludf.DUMMYFUNCTION("""COMPUTED_VALUE"""),"Uncle Sams Cider (5/13/2022)")</f>
        <v>Uncle Sams Cider (5/13/2022)</v>
      </c>
      <c r="H4898" s="19"/>
    </row>
    <row r="4899">
      <c r="A4899" s="9"/>
      <c r="B4899" s="15"/>
      <c r="C4899" s="9">
        <f>IFERROR(__xludf.DUMMYFUNCTION("""COMPUTED_VALUE"""),44745.5520102777)</f>
        <v>44745.55201</v>
      </c>
      <c r="D4899" s="15">
        <f>IFERROR(__xludf.DUMMYFUNCTION("""COMPUTED_VALUE"""),1.005)</f>
        <v>1.005</v>
      </c>
      <c r="E4899" s="16">
        <f>IFERROR(__xludf.DUMMYFUNCTION("""COMPUTED_VALUE"""),67.0)</f>
        <v>67</v>
      </c>
      <c r="F4899" s="19" t="str">
        <f>IFERROR(__xludf.DUMMYFUNCTION("""COMPUTED_VALUE"""),"BLACK")</f>
        <v>BLACK</v>
      </c>
      <c r="G4899" s="20" t="str">
        <f>IFERROR(__xludf.DUMMYFUNCTION("""COMPUTED_VALUE"""),"Uncle Sams Cider (5/13/2022)")</f>
        <v>Uncle Sams Cider (5/13/2022)</v>
      </c>
      <c r="H4899" s="19"/>
    </row>
    <row r="4900">
      <c r="A4900" s="9"/>
      <c r="B4900" s="15"/>
      <c r="C4900" s="9">
        <f>IFERROR(__xludf.DUMMYFUNCTION("""COMPUTED_VALUE"""),44745.5415793402)</f>
        <v>44745.54158</v>
      </c>
      <c r="D4900" s="15">
        <f>IFERROR(__xludf.DUMMYFUNCTION("""COMPUTED_VALUE"""),1.005)</f>
        <v>1.005</v>
      </c>
      <c r="E4900" s="16">
        <f>IFERROR(__xludf.DUMMYFUNCTION("""COMPUTED_VALUE"""),67.0)</f>
        <v>67</v>
      </c>
      <c r="F4900" s="19" t="str">
        <f>IFERROR(__xludf.DUMMYFUNCTION("""COMPUTED_VALUE"""),"BLACK")</f>
        <v>BLACK</v>
      </c>
      <c r="G4900" s="20" t="str">
        <f>IFERROR(__xludf.DUMMYFUNCTION("""COMPUTED_VALUE"""),"Uncle Sams Cider (5/13/2022)")</f>
        <v>Uncle Sams Cider (5/13/2022)</v>
      </c>
      <c r="H4900" s="19"/>
    </row>
    <row r="4901">
      <c r="A4901" s="9"/>
      <c r="B4901" s="15"/>
      <c r="C4901" s="9">
        <f>IFERROR(__xludf.DUMMYFUNCTION("""COMPUTED_VALUE"""),44745.5311577314)</f>
        <v>44745.53116</v>
      </c>
      <c r="D4901" s="15">
        <f>IFERROR(__xludf.DUMMYFUNCTION("""COMPUTED_VALUE"""),1.004)</f>
        <v>1.004</v>
      </c>
      <c r="E4901" s="16">
        <f>IFERROR(__xludf.DUMMYFUNCTION("""COMPUTED_VALUE"""),67.0)</f>
        <v>67</v>
      </c>
      <c r="F4901" s="19" t="str">
        <f>IFERROR(__xludf.DUMMYFUNCTION("""COMPUTED_VALUE"""),"BLACK")</f>
        <v>BLACK</v>
      </c>
      <c r="G4901" s="20" t="str">
        <f>IFERROR(__xludf.DUMMYFUNCTION("""COMPUTED_VALUE"""),"Uncle Sams Cider (5/13/2022)")</f>
        <v>Uncle Sams Cider (5/13/2022)</v>
      </c>
      <c r="H4901" s="19"/>
    </row>
    <row r="4902">
      <c r="A4902" s="9"/>
      <c r="B4902" s="15"/>
      <c r="C4902" s="9">
        <f>IFERROR(__xludf.DUMMYFUNCTION("""COMPUTED_VALUE"""),44745.520737581)</f>
        <v>44745.52074</v>
      </c>
      <c r="D4902" s="15">
        <f>IFERROR(__xludf.DUMMYFUNCTION("""COMPUTED_VALUE"""),1.005)</f>
        <v>1.005</v>
      </c>
      <c r="E4902" s="16">
        <f>IFERROR(__xludf.DUMMYFUNCTION("""COMPUTED_VALUE"""),67.0)</f>
        <v>67</v>
      </c>
      <c r="F4902" s="19" t="str">
        <f>IFERROR(__xludf.DUMMYFUNCTION("""COMPUTED_VALUE"""),"BLACK")</f>
        <v>BLACK</v>
      </c>
      <c r="G4902" s="20" t="str">
        <f>IFERROR(__xludf.DUMMYFUNCTION("""COMPUTED_VALUE"""),"Uncle Sams Cider (5/13/2022)")</f>
        <v>Uncle Sams Cider (5/13/2022)</v>
      </c>
      <c r="H4902" s="19"/>
    </row>
    <row r="4903">
      <c r="A4903" s="9"/>
      <c r="B4903" s="15"/>
      <c r="C4903" s="9">
        <f>IFERROR(__xludf.DUMMYFUNCTION("""COMPUTED_VALUE"""),44745.5103169328)</f>
        <v>44745.51032</v>
      </c>
      <c r="D4903" s="15">
        <f>IFERROR(__xludf.DUMMYFUNCTION("""COMPUTED_VALUE"""),1.004)</f>
        <v>1.004</v>
      </c>
      <c r="E4903" s="16">
        <f>IFERROR(__xludf.DUMMYFUNCTION("""COMPUTED_VALUE"""),67.0)</f>
        <v>67</v>
      </c>
      <c r="F4903" s="19" t="str">
        <f>IFERROR(__xludf.DUMMYFUNCTION("""COMPUTED_VALUE"""),"BLACK")</f>
        <v>BLACK</v>
      </c>
      <c r="G4903" s="20" t="str">
        <f>IFERROR(__xludf.DUMMYFUNCTION("""COMPUTED_VALUE"""),"Uncle Sams Cider (5/13/2022)")</f>
        <v>Uncle Sams Cider (5/13/2022)</v>
      </c>
      <c r="H4903" s="19"/>
    </row>
    <row r="4904">
      <c r="A4904" s="9"/>
      <c r="B4904" s="15"/>
      <c r="C4904" s="9">
        <f>IFERROR(__xludf.DUMMYFUNCTION("""COMPUTED_VALUE"""),44745.4998859838)</f>
        <v>44745.49989</v>
      </c>
      <c r="D4904" s="15">
        <f>IFERROR(__xludf.DUMMYFUNCTION("""COMPUTED_VALUE"""),1.005)</f>
        <v>1.005</v>
      </c>
      <c r="E4904" s="16">
        <f>IFERROR(__xludf.DUMMYFUNCTION("""COMPUTED_VALUE"""),67.0)</f>
        <v>67</v>
      </c>
      <c r="F4904" s="19" t="str">
        <f>IFERROR(__xludf.DUMMYFUNCTION("""COMPUTED_VALUE"""),"BLACK")</f>
        <v>BLACK</v>
      </c>
      <c r="G4904" s="20" t="str">
        <f>IFERROR(__xludf.DUMMYFUNCTION("""COMPUTED_VALUE"""),"Uncle Sams Cider (5/13/2022)")</f>
        <v>Uncle Sams Cider (5/13/2022)</v>
      </c>
      <c r="H4904" s="19"/>
    </row>
    <row r="4905">
      <c r="A4905" s="9"/>
      <c r="B4905" s="15"/>
      <c r="C4905" s="9">
        <f>IFERROR(__xludf.DUMMYFUNCTION("""COMPUTED_VALUE"""),44745.4894645717)</f>
        <v>44745.48946</v>
      </c>
      <c r="D4905" s="15">
        <f>IFERROR(__xludf.DUMMYFUNCTION("""COMPUTED_VALUE"""),1.005)</f>
        <v>1.005</v>
      </c>
      <c r="E4905" s="16">
        <f>IFERROR(__xludf.DUMMYFUNCTION("""COMPUTED_VALUE"""),67.0)</f>
        <v>67</v>
      </c>
      <c r="F4905" s="19" t="str">
        <f>IFERROR(__xludf.DUMMYFUNCTION("""COMPUTED_VALUE"""),"BLACK")</f>
        <v>BLACK</v>
      </c>
      <c r="G4905" s="20" t="str">
        <f>IFERROR(__xludf.DUMMYFUNCTION("""COMPUTED_VALUE"""),"Uncle Sams Cider (5/13/2022)")</f>
        <v>Uncle Sams Cider (5/13/2022)</v>
      </c>
      <c r="H4905" s="19"/>
    </row>
    <row r="4906">
      <c r="A4906" s="9"/>
      <c r="B4906" s="15"/>
      <c r="C4906" s="9">
        <f>IFERROR(__xludf.DUMMYFUNCTION("""COMPUTED_VALUE"""),44745.4790417824)</f>
        <v>44745.47904</v>
      </c>
      <c r="D4906" s="15">
        <f>IFERROR(__xludf.DUMMYFUNCTION("""COMPUTED_VALUE"""),1.004)</f>
        <v>1.004</v>
      </c>
      <c r="E4906" s="16">
        <f>IFERROR(__xludf.DUMMYFUNCTION("""COMPUTED_VALUE"""),67.0)</f>
        <v>67</v>
      </c>
      <c r="F4906" s="19" t="str">
        <f>IFERROR(__xludf.DUMMYFUNCTION("""COMPUTED_VALUE"""),"BLACK")</f>
        <v>BLACK</v>
      </c>
      <c r="G4906" s="20" t="str">
        <f>IFERROR(__xludf.DUMMYFUNCTION("""COMPUTED_VALUE"""),"Uncle Sams Cider (5/13/2022)")</f>
        <v>Uncle Sams Cider (5/13/2022)</v>
      </c>
      <c r="H4906" s="19"/>
    </row>
    <row r="4907">
      <c r="A4907" s="9"/>
      <c r="B4907" s="15"/>
      <c r="C4907" s="9">
        <f>IFERROR(__xludf.DUMMYFUNCTION("""COMPUTED_VALUE"""),44745.4686200347)</f>
        <v>44745.46862</v>
      </c>
      <c r="D4907" s="15">
        <f>IFERROR(__xludf.DUMMYFUNCTION("""COMPUTED_VALUE"""),1.005)</f>
        <v>1.005</v>
      </c>
      <c r="E4907" s="16">
        <f>IFERROR(__xludf.DUMMYFUNCTION("""COMPUTED_VALUE"""),67.0)</f>
        <v>67</v>
      </c>
      <c r="F4907" s="19" t="str">
        <f>IFERROR(__xludf.DUMMYFUNCTION("""COMPUTED_VALUE"""),"BLACK")</f>
        <v>BLACK</v>
      </c>
      <c r="G4907" s="20" t="str">
        <f>IFERROR(__xludf.DUMMYFUNCTION("""COMPUTED_VALUE"""),"Uncle Sams Cider (5/13/2022)")</f>
        <v>Uncle Sams Cider (5/13/2022)</v>
      </c>
      <c r="H4907" s="19"/>
    </row>
    <row r="4908">
      <c r="A4908" s="9"/>
      <c r="B4908" s="15"/>
      <c r="C4908" s="9">
        <f>IFERROR(__xludf.DUMMYFUNCTION("""COMPUTED_VALUE"""),44745.4582009606)</f>
        <v>44745.4582</v>
      </c>
      <c r="D4908" s="15">
        <f>IFERROR(__xludf.DUMMYFUNCTION("""COMPUTED_VALUE"""),1.005)</f>
        <v>1.005</v>
      </c>
      <c r="E4908" s="16">
        <f>IFERROR(__xludf.DUMMYFUNCTION("""COMPUTED_VALUE"""),67.0)</f>
        <v>67</v>
      </c>
      <c r="F4908" s="19" t="str">
        <f>IFERROR(__xludf.DUMMYFUNCTION("""COMPUTED_VALUE"""),"BLACK")</f>
        <v>BLACK</v>
      </c>
      <c r="G4908" s="20" t="str">
        <f>IFERROR(__xludf.DUMMYFUNCTION("""COMPUTED_VALUE"""),"Uncle Sams Cider (5/13/2022)")</f>
        <v>Uncle Sams Cider (5/13/2022)</v>
      </c>
      <c r="H4908" s="19"/>
    </row>
    <row r="4909">
      <c r="A4909" s="9"/>
      <c r="B4909" s="15"/>
      <c r="C4909" s="9">
        <f>IFERROR(__xludf.DUMMYFUNCTION("""COMPUTED_VALUE"""),44745.4477789467)</f>
        <v>44745.44778</v>
      </c>
      <c r="D4909" s="15">
        <f>IFERROR(__xludf.DUMMYFUNCTION("""COMPUTED_VALUE"""),1.005)</f>
        <v>1.005</v>
      </c>
      <c r="E4909" s="16">
        <f>IFERROR(__xludf.DUMMYFUNCTION("""COMPUTED_VALUE"""),67.0)</f>
        <v>67</v>
      </c>
      <c r="F4909" s="19" t="str">
        <f>IFERROR(__xludf.DUMMYFUNCTION("""COMPUTED_VALUE"""),"BLACK")</f>
        <v>BLACK</v>
      </c>
      <c r="G4909" s="20" t="str">
        <f>IFERROR(__xludf.DUMMYFUNCTION("""COMPUTED_VALUE"""),"Uncle Sams Cider (5/13/2022)")</f>
        <v>Uncle Sams Cider (5/13/2022)</v>
      </c>
      <c r="H4909" s="19"/>
    </row>
    <row r="4910">
      <c r="A4910" s="9"/>
      <c r="B4910" s="15"/>
      <c r="C4910" s="9">
        <f>IFERROR(__xludf.DUMMYFUNCTION("""COMPUTED_VALUE"""),44745.4373572453)</f>
        <v>44745.43736</v>
      </c>
      <c r="D4910" s="15">
        <f>IFERROR(__xludf.DUMMYFUNCTION("""COMPUTED_VALUE"""),1.005)</f>
        <v>1.005</v>
      </c>
      <c r="E4910" s="16">
        <f>IFERROR(__xludf.DUMMYFUNCTION("""COMPUTED_VALUE"""),67.0)</f>
        <v>67</v>
      </c>
      <c r="F4910" s="19" t="str">
        <f>IFERROR(__xludf.DUMMYFUNCTION("""COMPUTED_VALUE"""),"BLACK")</f>
        <v>BLACK</v>
      </c>
      <c r="G4910" s="20" t="str">
        <f>IFERROR(__xludf.DUMMYFUNCTION("""COMPUTED_VALUE"""),"Uncle Sams Cider (5/13/2022)")</f>
        <v>Uncle Sams Cider (5/13/2022)</v>
      </c>
      <c r="H4910" s="19"/>
    </row>
    <row r="4911">
      <c r="A4911" s="9"/>
      <c r="B4911" s="15"/>
      <c r="C4911" s="9">
        <f>IFERROR(__xludf.DUMMYFUNCTION("""COMPUTED_VALUE"""),44745.4269361689)</f>
        <v>44745.42694</v>
      </c>
      <c r="D4911" s="15">
        <f>IFERROR(__xludf.DUMMYFUNCTION("""COMPUTED_VALUE"""),1.005)</f>
        <v>1.005</v>
      </c>
      <c r="E4911" s="16">
        <f>IFERROR(__xludf.DUMMYFUNCTION("""COMPUTED_VALUE"""),67.0)</f>
        <v>67</v>
      </c>
      <c r="F4911" s="19" t="str">
        <f>IFERROR(__xludf.DUMMYFUNCTION("""COMPUTED_VALUE"""),"BLACK")</f>
        <v>BLACK</v>
      </c>
      <c r="G4911" s="20" t="str">
        <f>IFERROR(__xludf.DUMMYFUNCTION("""COMPUTED_VALUE"""),"Uncle Sams Cider (5/13/2022)")</f>
        <v>Uncle Sams Cider (5/13/2022)</v>
      </c>
      <c r="H4911" s="19"/>
    </row>
    <row r="4912">
      <c r="A4912" s="9"/>
      <c r="B4912" s="15"/>
      <c r="C4912" s="9">
        <f>IFERROR(__xludf.DUMMYFUNCTION("""COMPUTED_VALUE"""),44745.4165139467)</f>
        <v>44745.41651</v>
      </c>
      <c r="D4912" s="15">
        <f>IFERROR(__xludf.DUMMYFUNCTION("""COMPUTED_VALUE"""),1.004)</f>
        <v>1.004</v>
      </c>
      <c r="E4912" s="16">
        <f>IFERROR(__xludf.DUMMYFUNCTION("""COMPUTED_VALUE"""),67.0)</f>
        <v>67</v>
      </c>
      <c r="F4912" s="19" t="str">
        <f>IFERROR(__xludf.DUMMYFUNCTION("""COMPUTED_VALUE"""),"BLACK")</f>
        <v>BLACK</v>
      </c>
      <c r="G4912" s="20" t="str">
        <f>IFERROR(__xludf.DUMMYFUNCTION("""COMPUTED_VALUE"""),"Uncle Sams Cider (5/13/2022)")</f>
        <v>Uncle Sams Cider (5/13/2022)</v>
      </c>
      <c r="H4912" s="19"/>
    </row>
    <row r="4913">
      <c r="A4913" s="9"/>
      <c r="B4913" s="15"/>
      <c r="C4913" s="9">
        <f>IFERROR(__xludf.DUMMYFUNCTION("""COMPUTED_VALUE"""),44745.4060924189)</f>
        <v>44745.40609</v>
      </c>
      <c r="D4913" s="15">
        <f>IFERROR(__xludf.DUMMYFUNCTION("""COMPUTED_VALUE"""),1.004)</f>
        <v>1.004</v>
      </c>
      <c r="E4913" s="16">
        <f>IFERROR(__xludf.DUMMYFUNCTION("""COMPUTED_VALUE"""),67.0)</f>
        <v>67</v>
      </c>
      <c r="F4913" s="19" t="str">
        <f>IFERROR(__xludf.DUMMYFUNCTION("""COMPUTED_VALUE"""),"BLACK")</f>
        <v>BLACK</v>
      </c>
      <c r="G4913" s="20" t="str">
        <f>IFERROR(__xludf.DUMMYFUNCTION("""COMPUTED_VALUE"""),"Uncle Sams Cider (5/13/2022)")</f>
        <v>Uncle Sams Cider (5/13/2022)</v>
      </c>
      <c r="H4913" s="19"/>
    </row>
    <row r="4914">
      <c r="A4914" s="9"/>
      <c r="B4914" s="15"/>
      <c r="C4914" s="9">
        <f>IFERROR(__xludf.DUMMYFUNCTION("""COMPUTED_VALUE"""),44745.3956698148)</f>
        <v>44745.39567</v>
      </c>
      <c r="D4914" s="15">
        <f>IFERROR(__xludf.DUMMYFUNCTION("""COMPUTED_VALUE"""),1.004)</f>
        <v>1.004</v>
      </c>
      <c r="E4914" s="16">
        <f>IFERROR(__xludf.DUMMYFUNCTION("""COMPUTED_VALUE"""),67.0)</f>
        <v>67</v>
      </c>
      <c r="F4914" s="19" t="str">
        <f>IFERROR(__xludf.DUMMYFUNCTION("""COMPUTED_VALUE"""),"BLACK")</f>
        <v>BLACK</v>
      </c>
      <c r="G4914" s="20" t="str">
        <f>IFERROR(__xludf.DUMMYFUNCTION("""COMPUTED_VALUE"""),"Uncle Sams Cider (5/13/2022)")</f>
        <v>Uncle Sams Cider (5/13/2022)</v>
      </c>
      <c r="H4914" s="19"/>
    </row>
    <row r="4915">
      <c r="A4915" s="9"/>
      <c r="B4915" s="15"/>
      <c r="C4915" s="9">
        <f>IFERROR(__xludf.DUMMYFUNCTION("""COMPUTED_VALUE"""),44745.3852476157)</f>
        <v>44745.38525</v>
      </c>
      <c r="D4915" s="15">
        <f>IFERROR(__xludf.DUMMYFUNCTION("""COMPUTED_VALUE"""),1.005)</f>
        <v>1.005</v>
      </c>
      <c r="E4915" s="16">
        <f>IFERROR(__xludf.DUMMYFUNCTION("""COMPUTED_VALUE"""),67.0)</f>
        <v>67</v>
      </c>
      <c r="F4915" s="19" t="str">
        <f>IFERROR(__xludf.DUMMYFUNCTION("""COMPUTED_VALUE"""),"BLACK")</f>
        <v>BLACK</v>
      </c>
      <c r="G4915" s="20" t="str">
        <f>IFERROR(__xludf.DUMMYFUNCTION("""COMPUTED_VALUE"""),"Uncle Sams Cider (5/13/2022)")</f>
        <v>Uncle Sams Cider (5/13/2022)</v>
      </c>
      <c r="H4915" s="19"/>
    </row>
    <row r="4916">
      <c r="A4916" s="9"/>
      <c r="B4916" s="15"/>
      <c r="C4916" s="9">
        <f>IFERROR(__xludf.DUMMYFUNCTION("""COMPUTED_VALUE"""),44745.3748268055)</f>
        <v>44745.37483</v>
      </c>
      <c r="D4916" s="15">
        <f>IFERROR(__xludf.DUMMYFUNCTION("""COMPUTED_VALUE"""),1.005)</f>
        <v>1.005</v>
      </c>
      <c r="E4916" s="16">
        <f>IFERROR(__xludf.DUMMYFUNCTION("""COMPUTED_VALUE"""),67.0)</f>
        <v>67</v>
      </c>
      <c r="F4916" s="19" t="str">
        <f>IFERROR(__xludf.DUMMYFUNCTION("""COMPUTED_VALUE"""),"BLACK")</f>
        <v>BLACK</v>
      </c>
      <c r="G4916" s="20" t="str">
        <f>IFERROR(__xludf.DUMMYFUNCTION("""COMPUTED_VALUE"""),"Uncle Sams Cider (5/13/2022)")</f>
        <v>Uncle Sams Cider (5/13/2022)</v>
      </c>
      <c r="H4916" s="19"/>
    </row>
    <row r="4917">
      <c r="A4917" s="9"/>
      <c r="B4917" s="15"/>
      <c r="C4917" s="9">
        <f>IFERROR(__xludf.DUMMYFUNCTION("""COMPUTED_VALUE"""),44745.3644069791)</f>
        <v>44745.36441</v>
      </c>
      <c r="D4917" s="15">
        <f>IFERROR(__xludf.DUMMYFUNCTION("""COMPUTED_VALUE"""),1.005)</f>
        <v>1.005</v>
      </c>
      <c r="E4917" s="16">
        <f>IFERROR(__xludf.DUMMYFUNCTION("""COMPUTED_VALUE"""),67.0)</f>
        <v>67</v>
      </c>
      <c r="F4917" s="19" t="str">
        <f>IFERROR(__xludf.DUMMYFUNCTION("""COMPUTED_VALUE"""),"BLACK")</f>
        <v>BLACK</v>
      </c>
      <c r="G4917" s="20" t="str">
        <f>IFERROR(__xludf.DUMMYFUNCTION("""COMPUTED_VALUE"""),"Uncle Sams Cider (5/13/2022)")</f>
        <v>Uncle Sams Cider (5/13/2022)</v>
      </c>
      <c r="H4917" s="19"/>
    </row>
    <row r="4918">
      <c r="A4918" s="9"/>
      <c r="B4918" s="15"/>
      <c r="C4918" s="9">
        <f>IFERROR(__xludf.DUMMYFUNCTION("""COMPUTED_VALUE"""),44745.3539856134)</f>
        <v>44745.35399</v>
      </c>
      <c r="D4918" s="15">
        <f>IFERROR(__xludf.DUMMYFUNCTION("""COMPUTED_VALUE"""),1.005)</f>
        <v>1.005</v>
      </c>
      <c r="E4918" s="16">
        <f>IFERROR(__xludf.DUMMYFUNCTION("""COMPUTED_VALUE"""),67.0)</f>
        <v>67</v>
      </c>
      <c r="F4918" s="19" t="str">
        <f>IFERROR(__xludf.DUMMYFUNCTION("""COMPUTED_VALUE"""),"BLACK")</f>
        <v>BLACK</v>
      </c>
      <c r="G4918" s="20" t="str">
        <f>IFERROR(__xludf.DUMMYFUNCTION("""COMPUTED_VALUE"""),"Uncle Sams Cider (5/13/2022)")</f>
        <v>Uncle Sams Cider (5/13/2022)</v>
      </c>
      <c r="H4918" s="19"/>
    </row>
    <row r="4919">
      <c r="A4919" s="9"/>
      <c r="B4919" s="15"/>
      <c r="C4919" s="9">
        <f>IFERROR(__xludf.DUMMYFUNCTION("""COMPUTED_VALUE"""),44745.3435624305)</f>
        <v>44745.34356</v>
      </c>
      <c r="D4919" s="15">
        <f>IFERROR(__xludf.DUMMYFUNCTION("""COMPUTED_VALUE"""),1.005)</f>
        <v>1.005</v>
      </c>
      <c r="E4919" s="16">
        <f>IFERROR(__xludf.DUMMYFUNCTION("""COMPUTED_VALUE"""),67.0)</f>
        <v>67</v>
      </c>
      <c r="F4919" s="19" t="str">
        <f>IFERROR(__xludf.DUMMYFUNCTION("""COMPUTED_VALUE"""),"BLACK")</f>
        <v>BLACK</v>
      </c>
      <c r="G4919" s="20" t="str">
        <f>IFERROR(__xludf.DUMMYFUNCTION("""COMPUTED_VALUE"""),"Uncle Sams Cider (5/13/2022)")</f>
        <v>Uncle Sams Cider (5/13/2022)</v>
      </c>
      <c r="H4919" s="19"/>
    </row>
    <row r="4920">
      <c r="A4920" s="9"/>
      <c r="B4920" s="15"/>
      <c r="C4920" s="9">
        <f>IFERROR(__xludf.DUMMYFUNCTION("""COMPUTED_VALUE"""),44745.3331426851)</f>
        <v>44745.33314</v>
      </c>
      <c r="D4920" s="15">
        <f>IFERROR(__xludf.DUMMYFUNCTION("""COMPUTED_VALUE"""),1.004)</f>
        <v>1.004</v>
      </c>
      <c r="E4920" s="16">
        <f>IFERROR(__xludf.DUMMYFUNCTION("""COMPUTED_VALUE"""),67.0)</f>
        <v>67</v>
      </c>
      <c r="F4920" s="19" t="str">
        <f>IFERROR(__xludf.DUMMYFUNCTION("""COMPUTED_VALUE"""),"BLACK")</f>
        <v>BLACK</v>
      </c>
      <c r="G4920" s="20" t="str">
        <f>IFERROR(__xludf.DUMMYFUNCTION("""COMPUTED_VALUE"""),"Uncle Sams Cider (5/13/2022)")</f>
        <v>Uncle Sams Cider (5/13/2022)</v>
      </c>
      <c r="H4920" s="19"/>
    </row>
    <row r="4921">
      <c r="A4921" s="9"/>
      <c r="B4921" s="15"/>
      <c r="C4921" s="9">
        <f>IFERROR(__xludf.DUMMYFUNCTION("""COMPUTED_VALUE"""),44745.3227204629)</f>
        <v>44745.32272</v>
      </c>
      <c r="D4921" s="15">
        <f>IFERROR(__xludf.DUMMYFUNCTION("""COMPUTED_VALUE"""),1.004)</f>
        <v>1.004</v>
      </c>
      <c r="E4921" s="16">
        <f>IFERROR(__xludf.DUMMYFUNCTION("""COMPUTED_VALUE"""),67.0)</f>
        <v>67</v>
      </c>
      <c r="F4921" s="19" t="str">
        <f>IFERROR(__xludf.DUMMYFUNCTION("""COMPUTED_VALUE"""),"BLACK")</f>
        <v>BLACK</v>
      </c>
      <c r="G4921" s="20" t="str">
        <f>IFERROR(__xludf.DUMMYFUNCTION("""COMPUTED_VALUE"""),"Uncle Sams Cider (5/13/2022)")</f>
        <v>Uncle Sams Cider (5/13/2022)</v>
      </c>
      <c r="H4921" s="19"/>
    </row>
    <row r="4922">
      <c r="A4922" s="9"/>
      <c r="B4922" s="15"/>
      <c r="C4922" s="9">
        <f>IFERROR(__xludf.DUMMYFUNCTION("""COMPUTED_VALUE"""),44745.3122987615)</f>
        <v>44745.3123</v>
      </c>
      <c r="D4922" s="15">
        <f>IFERROR(__xludf.DUMMYFUNCTION("""COMPUTED_VALUE"""),1.005)</f>
        <v>1.005</v>
      </c>
      <c r="E4922" s="16">
        <f>IFERROR(__xludf.DUMMYFUNCTION("""COMPUTED_VALUE"""),67.0)</f>
        <v>67</v>
      </c>
      <c r="F4922" s="19" t="str">
        <f>IFERROR(__xludf.DUMMYFUNCTION("""COMPUTED_VALUE"""),"BLACK")</f>
        <v>BLACK</v>
      </c>
      <c r="G4922" s="20" t="str">
        <f>IFERROR(__xludf.DUMMYFUNCTION("""COMPUTED_VALUE"""),"Uncle Sams Cider (5/13/2022)")</f>
        <v>Uncle Sams Cider (5/13/2022)</v>
      </c>
      <c r="H4922" s="19"/>
    </row>
    <row r="4923">
      <c r="A4923" s="9"/>
      <c r="B4923" s="15"/>
      <c r="C4923" s="9">
        <f>IFERROR(__xludf.DUMMYFUNCTION("""COMPUTED_VALUE"""),44745.301865949)</f>
        <v>44745.30187</v>
      </c>
      <c r="D4923" s="15">
        <f>IFERROR(__xludf.DUMMYFUNCTION("""COMPUTED_VALUE"""),1.005)</f>
        <v>1.005</v>
      </c>
      <c r="E4923" s="16">
        <f>IFERROR(__xludf.DUMMYFUNCTION("""COMPUTED_VALUE"""),67.0)</f>
        <v>67</v>
      </c>
      <c r="F4923" s="19" t="str">
        <f>IFERROR(__xludf.DUMMYFUNCTION("""COMPUTED_VALUE"""),"BLACK")</f>
        <v>BLACK</v>
      </c>
      <c r="G4923" s="20" t="str">
        <f>IFERROR(__xludf.DUMMYFUNCTION("""COMPUTED_VALUE"""),"Uncle Sams Cider (5/13/2022)")</f>
        <v>Uncle Sams Cider (5/13/2022)</v>
      </c>
      <c r="H4923" s="19"/>
    </row>
    <row r="4924">
      <c r="A4924" s="9"/>
      <c r="B4924" s="15"/>
      <c r="C4924" s="9">
        <f>IFERROR(__xludf.DUMMYFUNCTION("""COMPUTED_VALUE"""),44745.2914319212)</f>
        <v>44745.29143</v>
      </c>
      <c r="D4924" s="15">
        <f>IFERROR(__xludf.DUMMYFUNCTION("""COMPUTED_VALUE"""),1.005)</f>
        <v>1.005</v>
      </c>
      <c r="E4924" s="16">
        <f>IFERROR(__xludf.DUMMYFUNCTION("""COMPUTED_VALUE"""),67.0)</f>
        <v>67</v>
      </c>
      <c r="F4924" s="19" t="str">
        <f>IFERROR(__xludf.DUMMYFUNCTION("""COMPUTED_VALUE"""),"BLACK")</f>
        <v>BLACK</v>
      </c>
      <c r="G4924" s="20" t="str">
        <f>IFERROR(__xludf.DUMMYFUNCTION("""COMPUTED_VALUE"""),"Uncle Sams Cider (5/13/2022)")</f>
        <v>Uncle Sams Cider (5/13/2022)</v>
      </c>
      <c r="H4924" s="19"/>
    </row>
    <row r="4925">
      <c r="A4925" s="9"/>
      <c r="B4925" s="15"/>
      <c r="C4925" s="9">
        <f>IFERROR(__xludf.DUMMYFUNCTION("""COMPUTED_VALUE"""),44745.2810124537)</f>
        <v>44745.28101</v>
      </c>
      <c r="D4925" s="15">
        <f>IFERROR(__xludf.DUMMYFUNCTION("""COMPUTED_VALUE"""),1.005)</f>
        <v>1.005</v>
      </c>
      <c r="E4925" s="16">
        <f>IFERROR(__xludf.DUMMYFUNCTION("""COMPUTED_VALUE"""),67.0)</f>
        <v>67</v>
      </c>
      <c r="F4925" s="19" t="str">
        <f>IFERROR(__xludf.DUMMYFUNCTION("""COMPUTED_VALUE"""),"BLACK")</f>
        <v>BLACK</v>
      </c>
      <c r="G4925" s="20" t="str">
        <f>IFERROR(__xludf.DUMMYFUNCTION("""COMPUTED_VALUE"""),"Uncle Sams Cider (5/13/2022)")</f>
        <v>Uncle Sams Cider (5/13/2022)</v>
      </c>
      <c r="H4925" s="19"/>
    </row>
    <row r="4926">
      <c r="A4926" s="9"/>
      <c r="B4926" s="15"/>
      <c r="C4926" s="9">
        <f>IFERROR(__xludf.DUMMYFUNCTION("""COMPUTED_VALUE"""),44745.2705916203)</f>
        <v>44745.27059</v>
      </c>
      <c r="D4926" s="15">
        <f>IFERROR(__xludf.DUMMYFUNCTION("""COMPUTED_VALUE"""),1.004)</f>
        <v>1.004</v>
      </c>
      <c r="E4926" s="16">
        <f>IFERROR(__xludf.DUMMYFUNCTION("""COMPUTED_VALUE"""),67.0)</f>
        <v>67</v>
      </c>
      <c r="F4926" s="19" t="str">
        <f>IFERROR(__xludf.DUMMYFUNCTION("""COMPUTED_VALUE"""),"BLACK")</f>
        <v>BLACK</v>
      </c>
      <c r="G4926" s="20" t="str">
        <f>IFERROR(__xludf.DUMMYFUNCTION("""COMPUTED_VALUE"""),"Uncle Sams Cider (5/13/2022)")</f>
        <v>Uncle Sams Cider (5/13/2022)</v>
      </c>
      <c r="H4926" s="19"/>
    </row>
    <row r="4927">
      <c r="A4927" s="9"/>
      <c r="B4927" s="15"/>
      <c r="C4927" s="9">
        <f>IFERROR(__xludf.DUMMYFUNCTION("""COMPUTED_VALUE"""),44745.2601706712)</f>
        <v>44745.26017</v>
      </c>
      <c r="D4927" s="15">
        <f>IFERROR(__xludf.DUMMYFUNCTION("""COMPUTED_VALUE"""),1.005)</f>
        <v>1.005</v>
      </c>
      <c r="E4927" s="16">
        <f>IFERROR(__xludf.DUMMYFUNCTION("""COMPUTED_VALUE"""),67.0)</f>
        <v>67</v>
      </c>
      <c r="F4927" s="19" t="str">
        <f>IFERROR(__xludf.DUMMYFUNCTION("""COMPUTED_VALUE"""),"BLACK")</f>
        <v>BLACK</v>
      </c>
      <c r="G4927" s="20" t="str">
        <f>IFERROR(__xludf.DUMMYFUNCTION("""COMPUTED_VALUE"""),"Uncle Sams Cider (5/13/2022)")</f>
        <v>Uncle Sams Cider (5/13/2022)</v>
      </c>
      <c r="H4927" s="19"/>
    </row>
    <row r="4928">
      <c r="A4928" s="9"/>
      <c r="B4928" s="15"/>
      <c r="C4928" s="9">
        <f>IFERROR(__xludf.DUMMYFUNCTION("""COMPUTED_VALUE"""),44745.2497497569)</f>
        <v>44745.24975</v>
      </c>
      <c r="D4928" s="15">
        <f>IFERROR(__xludf.DUMMYFUNCTION("""COMPUTED_VALUE"""),1.005)</f>
        <v>1.005</v>
      </c>
      <c r="E4928" s="16">
        <f>IFERROR(__xludf.DUMMYFUNCTION("""COMPUTED_VALUE"""),67.0)</f>
        <v>67</v>
      </c>
      <c r="F4928" s="19" t="str">
        <f>IFERROR(__xludf.DUMMYFUNCTION("""COMPUTED_VALUE"""),"BLACK")</f>
        <v>BLACK</v>
      </c>
      <c r="G4928" s="20" t="str">
        <f>IFERROR(__xludf.DUMMYFUNCTION("""COMPUTED_VALUE"""),"Uncle Sams Cider (5/13/2022)")</f>
        <v>Uncle Sams Cider (5/13/2022)</v>
      </c>
      <c r="H4928" s="19"/>
    </row>
    <row r="4929">
      <c r="A4929" s="9"/>
      <c r="B4929" s="15"/>
      <c r="C4929" s="9">
        <f>IFERROR(__xludf.DUMMYFUNCTION("""COMPUTED_VALUE"""),44745.2393177662)</f>
        <v>44745.23932</v>
      </c>
      <c r="D4929" s="15">
        <f>IFERROR(__xludf.DUMMYFUNCTION("""COMPUTED_VALUE"""),1.005)</f>
        <v>1.005</v>
      </c>
      <c r="E4929" s="16">
        <f>IFERROR(__xludf.DUMMYFUNCTION("""COMPUTED_VALUE"""),67.0)</f>
        <v>67</v>
      </c>
      <c r="F4929" s="19" t="str">
        <f>IFERROR(__xludf.DUMMYFUNCTION("""COMPUTED_VALUE"""),"BLACK")</f>
        <v>BLACK</v>
      </c>
      <c r="G4929" s="20" t="str">
        <f>IFERROR(__xludf.DUMMYFUNCTION("""COMPUTED_VALUE"""),"Uncle Sams Cider (5/13/2022)")</f>
        <v>Uncle Sams Cider (5/13/2022)</v>
      </c>
      <c r="H4929" s="19"/>
    </row>
    <row r="4930">
      <c r="A4930" s="9"/>
      <c r="B4930" s="15"/>
      <c r="C4930" s="9">
        <f>IFERROR(__xludf.DUMMYFUNCTION("""COMPUTED_VALUE"""),44745.2288870254)</f>
        <v>44745.22889</v>
      </c>
      <c r="D4930" s="15">
        <f>IFERROR(__xludf.DUMMYFUNCTION("""COMPUTED_VALUE"""),1.005)</f>
        <v>1.005</v>
      </c>
      <c r="E4930" s="16">
        <f>IFERROR(__xludf.DUMMYFUNCTION("""COMPUTED_VALUE"""),67.0)</f>
        <v>67</v>
      </c>
      <c r="F4930" s="19" t="str">
        <f>IFERROR(__xludf.DUMMYFUNCTION("""COMPUTED_VALUE"""),"BLACK")</f>
        <v>BLACK</v>
      </c>
      <c r="G4930" s="20" t="str">
        <f>IFERROR(__xludf.DUMMYFUNCTION("""COMPUTED_VALUE"""),"Uncle Sams Cider (5/13/2022)")</f>
        <v>Uncle Sams Cider (5/13/2022)</v>
      </c>
      <c r="H4930" s="19"/>
    </row>
    <row r="4931">
      <c r="A4931" s="9"/>
      <c r="B4931" s="15"/>
      <c r="C4931" s="9">
        <f>IFERROR(__xludf.DUMMYFUNCTION("""COMPUTED_VALUE"""),44745.2184674421)</f>
        <v>44745.21847</v>
      </c>
      <c r="D4931" s="15">
        <f>IFERROR(__xludf.DUMMYFUNCTION("""COMPUTED_VALUE"""),1.005)</f>
        <v>1.005</v>
      </c>
      <c r="E4931" s="16">
        <f>IFERROR(__xludf.DUMMYFUNCTION("""COMPUTED_VALUE"""),67.0)</f>
        <v>67</v>
      </c>
      <c r="F4931" s="19" t="str">
        <f>IFERROR(__xludf.DUMMYFUNCTION("""COMPUTED_VALUE"""),"BLACK")</f>
        <v>BLACK</v>
      </c>
      <c r="G4931" s="20" t="str">
        <f>IFERROR(__xludf.DUMMYFUNCTION("""COMPUTED_VALUE"""),"Uncle Sams Cider (5/13/2022)")</f>
        <v>Uncle Sams Cider (5/13/2022)</v>
      </c>
      <c r="H4931" s="19"/>
    </row>
    <row r="4932">
      <c r="A4932" s="9"/>
      <c r="B4932" s="15"/>
      <c r="C4932" s="9">
        <f>IFERROR(__xludf.DUMMYFUNCTION("""COMPUTED_VALUE"""),44745.2080220023)</f>
        <v>44745.20802</v>
      </c>
      <c r="D4932" s="15">
        <f>IFERROR(__xludf.DUMMYFUNCTION("""COMPUTED_VALUE"""),1.004)</f>
        <v>1.004</v>
      </c>
      <c r="E4932" s="16">
        <f>IFERROR(__xludf.DUMMYFUNCTION("""COMPUTED_VALUE"""),66.0)</f>
        <v>66</v>
      </c>
      <c r="F4932" s="19" t="str">
        <f>IFERROR(__xludf.DUMMYFUNCTION("""COMPUTED_VALUE"""),"BLACK")</f>
        <v>BLACK</v>
      </c>
      <c r="G4932" s="20" t="str">
        <f>IFERROR(__xludf.DUMMYFUNCTION("""COMPUTED_VALUE"""),"Uncle Sams Cider (5/13/2022)")</f>
        <v>Uncle Sams Cider (5/13/2022)</v>
      </c>
      <c r="H4932" s="19"/>
    </row>
    <row r="4933">
      <c r="A4933" s="9"/>
      <c r="B4933" s="15"/>
      <c r="C4933" s="9">
        <f>IFERROR(__xludf.DUMMYFUNCTION("""COMPUTED_VALUE"""),44745.1976013773)</f>
        <v>44745.1976</v>
      </c>
      <c r="D4933" s="15">
        <f>IFERROR(__xludf.DUMMYFUNCTION("""COMPUTED_VALUE"""),1.005)</f>
        <v>1.005</v>
      </c>
      <c r="E4933" s="16">
        <f>IFERROR(__xludf.DUMMYFUNCTION("""COMPUTED_VALUE"""),66.0)</f>
        <v>66</v>
      </c>
      <c r="F4933" s="19" t="str">
        <f>IFERROR(__xludf.DUMMYFUNCTION("""COMPUTED_VALUE"""),"BLACK")</f>
        <v>BLACK</v>
      </c>
      <c r="G4933" s="20" t="str">
        <f>IFERROR(__xludf.DUMMYFUNCTION("""COMPUTED_VALUE"""),"Uncle Sams Cider (5/13/2022)")</f>
        <v>Uncle Sams Cider (5/13/2022)</v>
      </c>
      <c r="H4933" s="19"/>
    </row>
    <row r="4934">
      <c r="A4934" s="9"/>
      <c r="B4934" s="15"/>
      <c r="C4934" s="9">
        <f>IFERROR(__xludf.DUMMYFUNCTION("""COMPUTED_VALUE"""),44745.1871678703)</f>
        <v>44745.18717</v>
      </c>
      <c r="D4934" s="15">
        <f>IFERROR(__xludf.DUMMYFUNCTION("""COMPUTED_VALUE"""),1.005)</f>
        <v>1.005</v>
      </c>
      <c r="E4934" s="16">
        <f>IFERROR(__xludf.DUMMYFUNCTION("""COMPUTED_VALUE"""),66.0)</f>
        <v>66</v>
      </c>
      <c r="F4934" s="19" t="str">
        <f>IFERROR(__xludf.DUMMYFUNCTION("""COMPUTED_VALUE"""),"BLACK")</f>
        <v>BLACK</v>
      </c>
      <c r="G4934" s="20" t="str">
        <f>IFERROR(__xludf.DUMMYFUNCTION("""COMPUTED_VALUE"""),"Uncle Sams Cider (5/13/2022)")</f>
        <v>Uncle Sams Cider (5/13/2022)</v>
      </c>
      <c r="H4934" s="19"/>
    </row>
    <row r="4935">
      <c r="A4935" s="9"/>
      <c r="B4935" s="15"/>
      <c r="C4935" s="9">
        <f>IFERROR(__xludf.DUMMYFUNCTION("""COMPUTED_VALUE"""),44745.1767454282)</f>
        <v>44745.17675</v>
      </c>
      <c r="D4935" s="15">
        <f>IFERROR(__xludf.DUMMYFUNCTION("""COMPUTED_VALUE"""),1.004)</f>
        <v>1.004</v>
      </c>
      <c r="E4935" s="16">
        <f>IFERROR(__xludf.DUMMYFUNCTION("""COMPUTED_VALUE"""),66.0)</f>
        <v>66</v>
      </c>
      <c r="F4935" s="19" t="str">
        <f>IFERROR(__xludf.DUMMYFUNCTION("""COMPUTED_VALUE"""),"BLACK")</f>
        <v>BLACK</v>
      </c>
      <c r="G4935" s="20" t="str">
        <f>IFERROR(__xludf.DUMMYFUNCTION("""COMPUTED_VALUE"""),"Uncle Sams Cider (5/13/2022)")</f>
        <v>Uncle Sams Cider (5/13/2022)</v>
      </c>
      <c r="H4935" s="19"/>
    </row>
    <row r="4936">
      <c r="A4936" s="9"/>
      <c r="B4936" s="15"/>
      <c r="C4936" s="9">
        <f>IFERROR(__xludf.DUMMYFUNCTION("""COMPUTED_VALUE"""),44745.1663242708)</f>
        <v>44745.16632</v>
      </c>
      <c r="D4936" s="15">
        <f>IFERROR(__xludf.DUMMYFUNCTION("""COMPUTED_VALUE"""),1.004)</f>
        <v>1.004</v>
      </c>
      <c r="E4936" s="16">
        <f>IFERROR(__xludf.DUMMYFUNCTION("""COMPUTED_VALUE"""),66.0)</f>
        <v>66</v>
      </c>
      <c r="F4936" s="19" t="str">
        <f>IFERROR(__xludf.DUMMYFUNCTION("""COMPUTED_VALUE"""),"BLACK")</f>
        <v>BLACK</v>
      </c>
      <c r="G4936" s="20" t="str">
        <f>IFERROR(__xludf.DUMMYFUNCTION("""COMPUTED_VALUE"""),"Uncle Sams Cider (5/13/2022)")</f>
        <v>Uncle Sams Cider (5/13/2022)</v>
      </c>
      <c r="H4936" s="19"/>
    </row>
    <row r="4937">
      <c r="A4937" s="9"/>
      <c r="B4937" s="15"/>
      <c r="C4937" s="9">
        <f>IFERROR(__xludf.DUMMYFUNCTION("""COMPUTED_VALUE"""),44745.1559024305)</f>
        <v>44745.1559</v>
      </c>
      <c r="D4937" s="15">
        <f>IFERROR(__xludf.DUMMYFUNCTION("""COMPUTED_VALUE"""),1.004)</f>
        <v>1.004</v>
      </c>
      <c r="E4937" s="16">
        <f>IFERROR(__xludf.DUMMYFUNCTION("""COMPUTED_VALUE"""),66.0)</f>
        <v>66</v>
      </c>
      <c r="F4937" s="19" t="str">
        <f>IFERROR(__xludf.DUMMYFUNCTION("""COMPUTED_VALUE"""),"BLACK")</f>
        <v>BLACK</v>
      </c>
      <c r="G4937" s="20" t="str">
        <f>IFERROR(__xludf.DUMMYFUNCTION("""COMPUTED_VALUE"""),"Uncle Sams Cider (5/13/2022)")</f>
        <v>Uncle Sams Cider (5/13/2022)</v>
      </c>
      <c r="H4937" s="19"/>
    </row>
    <row r="4938">
      <c r="A4938" s="9"/>
      <c r="B4938" s="15"/>
      <c r="C4938" s="9">
        <f>IFERROR(__xludf.DUMMYFUNCTION("""COMPUTED_VALUE"""),44745.1454814583)</f>
        <v>44745.14548</v>
      </c>
      <c r="D4938" s="15">
        <f>IFERROR(__xludf.DUMMYFUNCTION("""COMPUTED_VALUE"""),1.004)</f>
        <v>1.004</v>
      </c>
      <c r="E4938" s="16">
        <f>IFERROR(__xludf.DUMMYFUNCTION("""COMPUTED_VALUE"""),66.0)</f>
        <v>66</v>
      </c>
      <c r="F4938" s="19" t="str">
        <f>IFERROR(__xludf.DUMMYFUNCTION("""COMPUTED_VALUE"""),"BLACK")</f>
        <v>BLACK</v>
      </c>
      <c r="G4938" s="20" t="str">
        <f>IFERROR(__xludf.DUMMYFUNCTION("""COMPUTED_VALUE"""),"Uncle Sams Cider (5/13/2022)")</f>
        <v>Uncle Sams Cider (5/13/2022)</v>
      </c>
      <c r="H4938" s="19"/>
    </row>
    <row r="4939">
      <c r="A4939" s="9"/>
      <c r="B4939" s="15"/>
      <c r="C4939" s="9">
        <f>IFERROR(__xludf.DUMMYFUNCTION("""COMPUTED_VALUE"""),44745.1350597337)</f>
        <v>44745.13506</v>
      </c>
      <c r="D4939" s="15">
        <f>IFERROR(__xludf.DUMMYFUNCTION("""COMPUTED_VALUE"""),1.004)</f>
        <v>1.004</v>
      </c>
      <c r="E4939" s="16">
        <f>IFERROR(__xludf.DUMMYFUNCTION("""COMPUTED_VALUE"""),66.0)</f>
        <v>66</v>
      </c>
      <c r="F4939" s="19" t="str">
        <f>IFERROR(__xludf.DUMMYFUNCTION("""COMPUTED_VALUE"""),"BLACK")</f>
        <v>BLACK</v>
      </c>
      <c r="G4939" s="20" t="str">
        <f>IFERROR(__xludf.DUMMYFUNCTION("""COMPUTED_VALUE"""),"Uncle Sams Cider (5/13/2022)")</f>
        <v>Uncle Sams Cider (5/13/2022)</v>
      </c>
      <c r="H4939" s="19"/>
    </row>
    <row r="4940">
      <c r="A4940" s="9"/>
      <c r="B4940" s="15"/>
      <c r="C4940" s="9">
        <f>IFERROR(__xludf.DUMMYFUNCTION("""COMPUTED_VALUE"""),44745.1246389004)</f>
        <v>44745.12464</v>
      </c>
      <c r="D4940" s="15">
        <f>IFERROR(__xludf.DUMMYFUNCTION("""COMPUTED_VALUE"""),1.005)</f>
        <v>1.005</v>
      </c>
      <c r="E4940" s="16">
        <f>IFERROR(__xludf.DUMMYFUNCTION("""COMPUTED_VALUE"""),66.0)</f>
        <v>66</v>
      </c>
      <c r="F4940" s="19" t="str">
        <f>IFERROR(__xludf.DUMMYFUNCTION("""COMPUTED_VALUE"""),"BLACK")</f>
        <v>BLACK</v>
      </c>
      <c r="G4940" s="20" t="str">
        <f>IFERROR(__xludf.DUMMYFUNCTION("""COMPUTED_VALUE"""),"Uncle Sams Cider (5/13/2022)")</f>
        <v>Uncle Sams Cider (5/13/2022)</v>
      </c>
      <c r="H4940" s="19"/>
    </row>
    <row r="4941">
      <c r="A4941" s="9"/>
      <c r="B4941" s="15"/>
      <c r="C4941" s="9">
        <f>IFERROR(__xludf.DUMMYFUNCTION("""COMPUTED_VALUE"""),44745.1142063194)</f>
        <v>44745.11421</v>
      </c>
      <c r="D4941" s="15">
        <f>IFERROR(__xludf.DUMMYFUNCTION("""COMPUTED_VALUE"""),1.004)</f>
        <v>1.004</v>
      </c>
      <c r="E4941" s="16">
        <f>IFERROR(__xludf.DUMMYFUNCTION("""COMPUTED_VALUE"""),66.0)</f>
        <v>66</v>
      </c>
      <c r="F4941" s="19" t="str">
        <f>IFERROR(__xludf.DUMMYFUNCTION("""COMPUTED_VALUE"""),"BLACK")</f>
        <v>BLACK</v>
      </c>
      <c r="G4941" s="20" t="str">
        <f>IFERROR(__xludf.DUMMYFUNCTION("""COMPUTED_VALUE"""),"Uncle Sams Cider (5/13/2022)")</f>
        <v>Uncle Sams Cider (5/13/2022)</v>
      </c>
      <c r="H4941" s="19"/>
    </row>
    <row r="4942">
      <c r="A4942" s="9"/>
      <c r="B4942" s="15"/>
      <c r="C4942" s="9">
        <f>IFERROR(__xludf.DUMMYFUNCTION("""COMPUTED_VALUE"""),44745.1037858101)</f>
        <v>44745.10379</v>
      </c>
      <c r="D4942" s="15">
        <f>IFERROR(__xludf.DUMMYFUNCTION("""COMPUTED_VALUE"""),1.005)</f>
        <v>1.005</v>
      </c>
      <c r="E4942" s="16">
        <f>IFERROR(__xludf.DUMMYFUNCTION("""COMPUTED_VALUE"""),66.0)</f>
        <v>66</v>
      </c>
      <c r="F4942" s="19" t="str">
        <f>IFERROR(__xludf.DUMMYFUNCTION("""COMPUTED_VALUE"""),"BLACK")</f>
        <v>BLACK</v>
      </c>
      <c r="G4942" s="20" t="str">
        <f>IFERROR(__xludf.DUMMYFUNCTION("""COMPUTED_VALUE"""),"Uncle Sams Cider (5/13/2022)")</f>
        <v>Uncle Sams Cider (5/13/2022)</v>
      </c>
      <c r="H4942" s="19"/>
    </row>
    <row r="4943">
      <c r="A4943" s="9"/>
      <c r="B4943" s="15"/>
      <c r="C4943" s="9">
        <f>IFERROR(__xludf.DUMMYFUNCTION("""COMPUTED_VALUE"""),44745.0933636226)</f>
        <v>44745.09336</v>
      </c>
      <c r="D4943" s="15">
        <f>IFERROR(__xludf.DUMMYFUNCTION("""COMPUTED_VALUE"""),1.005)</f>
        <v>1.005</v>
      </c>
      <c r="E4943" s="16">
        <f>IFERROR(__xludf.DUMMYFUNCTION("""COMPUTED_VALUE"""),66.0)</f>
        <v>66</v>
      </c>
      <c r="F4943" s="19" t="str">
        <f>IFERROR(__xludf.DUMMYFUNCTION("""COMPUTED_VALUE"""),"BLACK")</f>
        <v>BLACK</v>
      </c>
      <c r="G4943" s="20" t="str">
        <f>IFERROR(__xludf.DUMMYFUNCTION("""COMPUTED_VALUE"""),"Uncle Sams Cider (5/13/2022)")</f>
        <v>Uncle Sams Cider (5/13/2022)</v>
      </c>
      <c r="H4943" s="19"/>
    </row>
    <row r="4944">
      <c r="A4944" s="9"/>
      <c r="B4944" s="15"/>
      <c r="C4944" s="9">
        <f>IFERROR(__xludf.DUMMYFUNCTION("""COMPUTED_VALUE"""),44745.0829291319)</f>
        <v>44745.08293</v>
      </c>
      <c r="D4944" s="15">
        <f>IFERROR(__xludf.DUMMYFUNCTION("""COMPUTED_VALUE"""),1.005)</f>
        <v>1.005</v>
      </c>
      <c r="E4944" s="16">
        <f>IFERROR(__xludf.DUMMYFUNCTION("""COMPUTED_VALUE"""),66.0)</f>
        <v>66</v>
      </c>
      <c r="F4944" s="19" t="str">
        <f>IFERROR(__xludf.DUMMYFUNCTION("""COMPUTED_VALUE"""),"BLACK")</f>
        <v>BLACK</v>
      </c>
      <c r="G4944" s="20" t="str">
        <f>IFERROR(__xludf.DUMMYFUNCTION("""COMPUTED_VALUE"""),"Uncle Sams Cider (5/13/2022)")</f>
        <v>Uncle Sams Cider (5/13/2022)</v>
      </c>
      <c r="H4944" s="19"/>
    </row>
    <row r="4945">
      <c r="A4945" s="9"/>
      <c r="B4945" s="15"/>
      <c r="C4945" s="9">
        <f>IFERROR(__xludf.DUMMYFUNCTION("""COMPUTED_VALUE"""),44745.0725088425)</f>
        <v>44745.07251</v>
      </c>
      <c r="D4945" s="15">
        <f>IFERROR(__xludf.DUMMYFUNCTION("""COMPUTED_VALUE"""),1.005)</f>
        <v>1.005</v>
      </c>
      <c r="E4945" s="16">
        <f>IFERROR(__xludf.DUMMYFUNCTION("""COMPUTED_VALUE"""),66.0)</f>
        <v>66</v>
      </c>
      <c r="F4945" s="19" t="str">
        <f>IFERROR(__xludf.DUMMYFUNCTION("""COMPUTED_VALUE"""),"BLACK")</f>
        <v>BLACK</v>
      </c>
      <c r="G4945" s="20" t="str">
        <f>IFERROR(__xludf.DUMMYFUNCTION("""COMPUTED_VALUE"""),"Uncle Sams Cider (5/13/2022)")</f>
        <v>Uncle Sams Cider (5/13/2022)</v>
      </c>
      <c r="H4945" s="19"/>
    </row>
    <row r="4946">
      <c r="A4946" s="9"/>
      <c r="B4946" s="15"/>
      <c r="C4946" s="9">
        <f>IFERROR(__xludf.DUMMYFUNCTION("""COMPUTED_VALUE"""),44745.062065405)</f>
        <v>44745.06207</v>
      </c>
      <c r="D4946" s="15">
        <f>IFERROR(__xludf.DUMMYFUNCTION("""COMPUTED_VALUE"""),1.005)</f>
        <v>1.005</v>
      </c>
      <c r="E4946" s="16">
        <f>IFERROR(__xludf.DUMMYFUNCTION("""COMPUTED_VALUE"""),66.0)</f>
        <v>66</v>
      </c>
      <c r="F4946" s="19" t="str">
        <f>IFERROR(__xludf.DUMMYFUNCTION("""COMPUTED_VALUE"""),"BLACK")</f>
        <v>BLACK</v>
      </c>
      <c r="G4946" s="20" t="str">
        <f>IFERROR(__xludf.DUMMYFUNCTION("""COMPUTED_VALUE"""),"Uncle Sams Cider (5/13/2022)")</f>
        <v>Uncle Sams Cider (5/13/2022)</v>
      </c>
      <c r="H4946" s="19"/>
    </row>
    <row r="4947">
      <c r="A4947" s="9"/>
      <c r="B4947" s="15"/>
      <c r="C4947" s="9">
        <f>IFERROR(__xludf.DUMMYFUNCTION("""COMPUTED_VALUE"""),44745.0516449189)</f>
        <v>44745.05164</v>
      </c>
      <c r="D4947" s="15">
        <f>IFERROR(__xludf.DUMMYFUNCTION("""COMPUTED_VALUE"""),1.005)</f>
        <v>1.005</v>
      </c>
      <c r="E4947" s="16">
        <f>IFERROR(__xludf.DUMMYFUNCTION("""COMPUTED_VALUE"""),66.0)</f>
        <v>66</v>
      </c>
      <c r="F4947" s="19" t="str">
        <f>IFERROR(__xludf.DUMMYFUNCTION("""COMPUTED_VALUE"""),"BLACK")</f>
        <v>BLACK</v>
      </c>
      <c r="G4947" s="20" t="str">
        <f>IFERROR(__xludf.DUMMYFUNCTION("""COMPUTED_VALUE"""),"Uncle Sams Cider (5/13/2022)")</f>
        <v>Uncle Sams Cider (5/13/2022)</v>
      </c>
      <c r="H4947" s="19"/>
    </row>
    <row r="4948">
      <c r="A4948" s="9"/>
      <c r="B4948" s="15"/>
      <c r="C4948" s="9">
        <f>IFERROR(__xludf.DUMMYFUNCTION("""COMPUTED_VALUE"""),44745.0412249652)</f>
        <v>44745.04122</v>
      </c>
      <c r="D4948" s="15">
        <f>IFERROR(__xludf.DUMMYFUNCTION("""COMPUTED_VALUE"""),1.004)</f>
        <v>1.004</v>
      </c>
      <c r="E4948" s="16">
        <f>IFERROR(__xludf.DUMMYFUNCTION("""COMPUTED_VALUE"""),66.0)</f>
        <v>66</v>
      </c>
      <c r="F4948" s="19" t="str">
        <f>IFERROR(__xludf.DUMMYFUNCTION("""COMPUTED_VALUE"""),"BLACK")</f>
        <v>BLACK</v>
      </c>
      <c r="G4948" s="20" t="str">
        <f>IFERROR(__xludf.DUMMYFUNCTION("""COMPUTED_VALUE"""),"Uncle Sams Cider (5/13/2022)")</f>
        <v>Uncle Sams Cider (5/13/2022)</v>
      </c>
      <c r="H4948" s="19"/>
    </row>
    <row r="4949">
      <c r="A4949" s="9"/>
      <c r="B4949" s="15"/>
      <c r="C4949" s="9">
        <f>IFERROR(__xludf.DUMMYFUNCTION("""COMPUTED_VALUE"""),44745.0308054513)</f>
        <v>44745.03081</v>
      </c>
      <c r="D4949" s="15">
        <f>IFERROR(__xludf.DUMMYFUNCTION("""COMPUTED_VALUE"""),1.005)</f>
        <v>1.005</v>
      </c>
      <c r="E4949" s="16">
        <f>IFERROR(__xludf.DUMMYFUNCTION("""COMPUTED_VALUE"""),66.0)</f>
        <v>66</v>
      </c>
      <c r="F4949" s="19" t="str">
        <f>IFERROR(__xludf.DUMMYFUNCTION("""COMPUTED_VALUE"""),"BLACK")</f>
        <v>BLACK</v>
      </c>
      <c r="G4949" s="20" t="str">
        <f>IFERROR(__xludf.DUMMYFUNCTION("""COMPUTED_VALUE"""),"Uncle Sams Cider (5/13/2022)")</f>
        <v>Uncle Sams Cider (5/13/2022)</v>
      </c>
      <c r="H4949" s="19"/>
    </row>
    <row r="4950">
      <c r="A4950" s="9"/>
      <c r="B4950" s="15"/>
      <c r="C4950" s="9">
        <f>IFERROR(__xludf.DUMMYFUNCTION("""COMPUTED_VALUE"""),44745.020383287)</f>
        <v>44745.02038</v>
      </c>
      <c r="D4950" s="15">
        <f>IFERROR(__xludf.DUMMYFUNCTION("""COMPUTED_VALUE"""),1.005)</f>
        <v>1.005</v>
      </c>
      <c r="E4950" s="16">
        <f>IFERROR(__xludf.DUMMYFUNCTION("""COMPUTED_VALUE"""),66.0)</f>
        <v>66</v>
      </c>
      <c r="F4950" s="19" t="str">
        <f>IFERROR(__xludf.DUMMYFUNCTION("""COMPUTED_VALUE"""),"BLACK")</f>
        <v>BLACK</v>
      </c>
      <c r="G4950" s="20" t="str">
        <f>IFERROR(__xludf.DUMMYFUNCTION("""COMPUTED_VALUE"""),"Uncle Sams Cider (5/13/2022)")</f>
        <v>Uncle Sams Cider (5/13/2022)</v>
      </c>
      <c r="H4950" s="19"/>
    </row>
    <row r="4951">
      <c r="A4951" s="9"/>
      <c r="B4951" s="15"/>
      <c r="C4951" s="9">
        <f>IFERROR(__xludf.DUMMYFUNCTION("""COMPUTED_VALUE"""),44745.0099501273)</f>
        <v>44745.00995</v>
      </c>
      <c r="D4951" s="15">
        <f>IFERROR(__xludf.DUMMYFUNCTION("""COMPUTED_VALUE"""),1.005)</f>
        <v>1.005</v>
      </c>
      <c r="E4951" s="16">
        <f>IFERROR(__xludf.DUMMYFUNCTION("""COMPUTED_VALUE"""),66.0)</f>
        <v>66</v>
      </c>
      <c r="F4951" s="19" t="str">
        <f>IFERROR(__xludf.DUMMYFUNCTION("""COMPUTED_VALUE"""),"BLACK")</f>
        <v>BLACK</v>
      </c>
      <c r="G4951" s="20" t="str">
        <f>IFERROR(__xludf.DUMMYFUNCTION("""COMPUTED_VALUE"""),"Uncle Sams Cider (5/13/2022)")</f>
        <v>Uncle Sams Cider (5/13/2022)</v>
      </c>
      <c r="H4951" s="19"/>
    </row>
    <row r="4952">
      <c r="A4952" s="9"/>
      <c r="B4952" s="15"/>
      <c r="C4952" s="9">
        <f>IFERROR(__xludf.DUMMYFUNCTION("""COMPUTED_VALUE"""),44744.999529699)</f>
        <v>44744.99953</v>
      </c>
      <c r="D4952" s="15">
        <f>IFERROR(__xludf.DUMMYFUNCTION("""COMPUTED_VALUE"""),1.004)</f>
        <v>1.004</v>
      </c>
      <c r="E4952" s="16">
        <f>IFERROR(__xludf.DUMMYFUNCTION("""COMPUTED_VALUE"""),66.0)</f>
        <v>66</v>
      </c>
      <c r="F4952" s="19" t="str">
        <f>IFERROR(__xludf.DUMMYFUNCTION("""COMPUTED_VALUE"""),"BLACK")</f>
        <v>BLACK</v>
      </c>
      <c r="G4952" s="20" t="str">
        <f>IFERROR(__xludf.DUMMYFUNCTION("""COMPUTED_VALUE"""),"Uncle Sams Cider (5/13/2022)")</f>
        <v>Uncle Sams Cider (5/13/2022)</v>
      </c>
      <c r="H4952" s="19"/>
    </row>
    <row r="4953">
      <c r="A4953" s="9"/>
      <c r="B4953" s="15"/>
      <c r="C4953" s="9">
        <f>IFERROR(__xludf.DUMMYFUNCTION("""COMPUTED_VALUE"""),44744.9891068865)</f>
        <v>44744.98911</v>
      </c>
      <c r="D4953" s="15">
        <f>IFERROR(__xludf.DUMMYFUNCTION("""COMPUTED_VALUE"""),1.004)</f>
        <v>1.004</v>
      </c>
      <c r="E4953" s="16">
        <f>IFERROR(__xludf.DUMMYFUNCTION("""COMPUTED_VALUE"""),66.0)</f>
        <v>66</v>
      </c>
      <c r="F4953" s="19" t="str">
        <f>IFERROR(__xludf.DUMMYFUNCTION("""COMPUTED_VALUE"""),"BLACK")</f>
        <v>BLACK</v>
      </c>
      <c r="G4953" s="20" t="str">
        <f>IFERROR(__xludf.DUMMYFUNCTION("""COMPUTED_VALUE"""),"Uncle Sams Cider (5/13/2022)")</f>
        <v>Uncle Sams Cider (5/13/2022)</v>
      </c>
      <c r="H4953" s="19"/>
    </row>
    <row r="4954">
      <c r="A4954" s="9"/>
      <c r="B4954" s="15"/>
      <c r="C4954" s="9">
        <f>IFERROR(__xludf.DUMMYFUNCTION("""COMPUTED_VALUE"""),44744.9786731828)</f>
        <v>44744.97867</v>
      </c>
      <c r="D4954" s="15">
        <f>IFERROR(__xludf.DUMMYFUNCTION("""COMPUTED_VALUE"""),1.005)</f>
        <v>1.005</v>
      </c>
      <c r="E4954" s="16">
        <f>IFERROR(__xludf.DUMMYFUNCTION("""COMPUTED_VALUE"""),66.0)</f>
        <v>66</v>
      </c>
      <c r="F4954" s="19" t="str">
        <f>IFERROR(__xludf.DUMMYFUNCTION("""COMPUTED_VALUE"""),"BLACK")</f>
        <v>BLACK</v>
      </c>
      <c r="G4954" s="20" t="str">
        <f>IFERROR(__xludf.DUMMYFUNCTION("""COMPUTED_VALUE"""),"Uncle Sams Cider (5/13/2022)")</f>
        <v>Uncle Sams Cider (5/13/2022)</v>
      </c>
      <c r="H4954" s="19"/>
    </row>
    <row r="4955">
      <c r="A4955" s="9"/>
      <c r="B4955" s="15"/>
      <c r="C4955" s="9">
        <f>IFERROR(__xludf.DUMMYFUNCTION("""COMPUTED_VALUE"""),44744.9682530208)</f>
        <v>44744.96825</v>
      </c>
      <c r="D4955" s="15">
        <f>IFERROR(__xludf.DUMMYFUNCTION("""COMPUTED_VALUE"""),1.005)</f>
        <v>1.005</v>
      </c>
      <c r="E4955" s="16">
        <f>IFERROR(__xludf.DUMMYFUNCTION("""COMPUTED_VALUE"""),66.0)</f>
        <v>66</v>
      </c>
      <c r="F4955" s="19" t="str">
        <f>IFERROR(__xludf.DUMMYFUNCTION("""COMPUTED_VALUE"""),"BLACK")</f>
        <v>BLACK</v>
      </c>
      <c r="G4955" s="20" t="str">
        <f>IFERROR(__xludf.DUMMYFUNCTION("""COMPUTED_VALUE"""),"Uncle Sams Cider (5/13/2022)")</f>
        <v>Uncle Sams Cider (5/13/2022)</v>
      </c>
      <c r="H4955" s="19"/>
    </row>
    <row r="4956">
      <c r="A4956" s="9"/>
      <c r="B4956" s="15"/>
      <c r="C4956" s="9">
        <f>IFERROR(__xludf.DUMMYFUNCTION("""COMPUTED_VALUE"""),44744.957832905)</f>
        <v>44744.95783</v>
      </c>
      <c r="D4956" s="15">
        <f>IFERROR(__xludf.DUMMYFUNCTION("""COMPUTED_VALUE"""),1.005)</f>
        <v>1.005</v>
      </c>
      <c r="E4956" s="16">
        <f>IFERROR(__xludf.DUMMYFUNCTION("""COMPUTED_VALUE"""),66.0)</f>
        <v>66</v>
      </c>
      <c r="F4956" s="19" t="str">
        <f>IFERROR(__xludf.DUMMYFUNCTION("""COMPUTED_VALUE"""),"BLACK")</f>
        <v>BLACK</v>
      </c>
      <c r="G4956" s="20" t="str">
        <f>IFERROR(__xludf.DUMMYFUNCTION("""COMPUTED_VALUE"""),"Uncle Sams Cider (5/13/2022)")</f>
        <v>Uncle Sams Cider (5/13/2022)</v>
      </c>
      <c r="H4956" s="19"/>
    </row>
    <row r="4957">
      <c r="A4957" s="9"/>
      <c r="B4957" s="15"/>
      <c r="C4957" s="9">
        <f>IFERROR(__xludf.DUMMYFUNCTION("""COMPUTED_VALUE"""),44744.9474107291)</f>
        <v>44744.94741</v>
      </c>
      <c r="D4957" s="15">
        <f>IFERROR(__xludf.DUMMYFUNCTION("""COMPUTED_VALUE"""),1.005)</f>
        <v>1.005</v>
      </c>
      <c r="E4957" s="16">
        <f>IFERROR(__xludf.DUMMYFUNCTION("""COMPUTED_VALUE"""),66.0)</f>
        <v>66</v>
      </c>
      <c r="F4957" s="19" t="str">
        <f>IFERROR(__xludf.DUMMYFUNCTION("""COMPUTED_VALUE"""),"BLACK")</f>
        <v>BLACK</v>
      </c>
      <c r="G4957" s="20" t="str">
        <f>IFERROR(__xludf.DUMMYFUNCTION("""COMPUTED_VALUE"""),"Uncle Sams Cider (5/13/2022)")</f>
        <v>Uncle Sams Cider (5/13/2022)</v>
      </c>
      <c r="H4957" s="19"/>
    </row>
    <row r="4958">
      <c r="A4958" s="9"/>
      <c r="B4958" s="15"/>
      <c r="C4958" s="9">
        <f>IFERROR(__xludf.DUMMYFUNCTION("""COMPUTED_VALUE"""),44744.9369893055)</f>
        <v>44744.93699</v>
      </c>
      <c r="D4958" s="15">
        <f>IFERROR(__xludf.DUMMYFUNCTION("""COMPUTED_VALUE"""),1.004)</f>
        <v>1.004</v>
      </c>
      <c r="E4958" s="16">
        <f>IFERROR(__xludf.DUMMYFUNCTION("""COMPUTED_VALUE"""),66.0)</f>
        <v>66</v>
      </c>
      <c r="F4958" s="19" t="str">
        <f>IFERROR(__xludf.DUMMYFUNCTION("""COMPUTED_VALUE"""),"BLACK")</f>
        <v>BLACK</v>
      </c>
      <c r="G4958" s="20" t="str">
        <f>IFERROR(__xludf.DUMMYFUNCTION("""COMPUTED_VALUE"""),"Uncle Sams Cider (5/13/2022)")</f>
        <v>Uncle Sams Cider (5/13/2022)</v>
      </c>
      <c r="H4958" s="19"/>
    </row>
    <row r="4959">
      <c r="A4959" s="9"/>
      <c r="B4959" s="15"/>
      <c r="C4959" s="9">
        <f>IFERROR(__xludf.DUMMYFUNCTION("""COMPUTED_VALUE"""),44744.9265681018)</f>
        <v>44744.92657</v>
      </c>
      <c r="D4959" s="15">
        <f>IFERROR(__xludf.DUMMYFUNCTION("""COMPUTED_VALUE"""),1.005)</f>
        <v>1.005</v>
      </c>
      <c r="E4959" s="16">
        <f>IFERROR(__xludf.DUMMYFUNCTION("""COMPUTED_VALUE"""),66.0)</f>
        <v>66</v>
      </c>
      <c r="F4959" s="19" t="str">
        <f>IFERROR(__xludf.DUMMYFUNCTION("""COMPUTED_VALUE"""),"BLACK")</f>
        <v>BLACK</v>
      </c>
      <c r="G4959" s="20" t="str">
        <f>IFERROR(__xludf.DUMMYFUNCTION("""COMPUTED_VALUE"""),"Uncle Sams Cider (5/13/2022)")</f>
        <v>Uncle Sams Cider (5/13/2022)</v>
      </c>
      <c r="H4959" s="19"/>
    </row>
    <row r="4960">
      <c r="A4960" s="9"/>
      <c r="B4960" s="15"/>
      <c r="C4960" s="9">
        <f>IFERROR(__xludf.DUMMYFUNCTION("""COMPUTED_VALUE"""),44744.9161480208)</f>
        <v>44744.91615</v>
      </c>
      <c r="D4960" s="15">
        <f>IFERROR(__xludf.DUMMYFUNCTION("""COMPUTED_VALUE"""),1.004)</f>
        <v>1.004</v>
      </c>
      <c r="E4960" s="16">
        <f>IFERROR(__xludf.DUMMYFUNCTION("""COMPUTED_VALUE"""),66.0)</f>
        <v>66</v>
      </c>
      <c r="F4960" s="19" t="str">
        <f>IFERROR(__xludf.DUMMYFUNCTION("""COMPUTED_VALUE"""),"BLACK")</f>
        <v>BLACK</v>
      </c>
      <c r="G4960" s="20" t="str">
        <f>IFERROR(__xludf.DUMMYFUNCTION("""COMPUTED_VALUE"""),"Uncle Sams Cider (5/13/2022)")</f>
        <v>Uncle Sams Cider (5/13/2022)</v>
      </c>
      <c r="H4960" s="19"/>
    </row>
    <row r="4961">
      <c r="A4961" s="9"/>
      <c r="B4961" s="15"/>
      <c r="C4961" s="9">
        <f>IFERROR(__xludf.DUMMYFUNCTION("""COMPUTED_VALUE"""),44744.9057268981)</f>
        <v>44744.90573</v>
      </c>
      <c r="D4961" s="15">
        <f>IFERROR(__xludf.DUMMYFUNCTION("""COMPUTED_VALUE"""),1.004)</f>
        <v>1.004</v>
      </c>
      <c r="E4961" s="16">
        <f>IFERROR(__xludf.DUMMYFUNCTION("""COMPUTED_VALUE"""),66.0)</f>
        <v>66</v>
      </c>
      <c r="F4961" s="19" t="str">
        <f>IFERROR(__xludf.DUMMYFUNCTION("""COMPUTED_VALUE"""),"BLACK")</f>
        <v>BLACK</v>
      </c>
      <c r="G4961" s="20" t="str">
        <f>IFERROR(__xludf.DUMMYFUNCTION("""COMPUTED_VALUE"""),"Uncle Sams Cider (5/13/2022)")</f>
        <v>Uncle Sams Cider (5/13/2022)</v>
      </c>
      <c r="H4961" s="19"/>
    </row>
    <row r="4962">
      <c r="A4962" s="9"/>
      <c r="B4962" s="15"/>
      <c r="C4962" s="9">
        <f>IFERROR(__xludf.DUMMYFUNCTION("""COMPUTED_VALUE"""),44744.8953064236)</f>
        <v>44744.89531</v>
      </c>
      <c r="D4962" s="15">
        <f>IFERROR(__xludf.DUMMYFUNCTION("""COMPUTED_VALUE"""),1.005)</f>
        <v>1.005</v>
      </c>
      <c r="E4962" s="16">
        <f>IFERROR(__xludf.DUMMYFUNCTION("""COMPUTED_VALUE"""),66.0)</f>
        <v>66</v>
      </c>
      <c r="F4962" s="19" t="str">
        <f>IFERROR(__xludf.DUMMYFUNCTION("""COMPUTED_VALUE"""),"BLACK")</f>
        <v>BLACK</v>
      </c>
      <c r="G4962" s="20" t="str">
        <f>IFERROR(__xludf.DUMMYFUNCTION("""COMPUTED_VALUE"""),"Uncle Sams Cider (5/13/2022)")</f>
        <v>Uncle Sams Cider (5/13/2022)</v>
      </c>
      <c r="H4962" s="19"/>
    </row>
    <row r="4963">
      <c r="A4963" s="9"/>
      <c r="B4963" s="15"/>
      <c r="C4963" s="9">
        <f>IFERROR(__xludf.DUMMYFUNCTION("""COMPUTED_VALUE"""),44744.8848740625)</f>
        <v>44744.88487</v>
      </c>
      <c r="D4963" s="15">
        <f>IFERROR(__xludf.DUMMYFUNCTION("""COMPUTED_VALUE"""),1.005)</f>
        <v>1.005</v>
      </c>
      <c r="E4963" s="16">
        <f>IFERROR(__xludf.DUMMYFUNCTION("""COMPUTED_VALUE"""),66.0)</f>
        <v>66</v>
      </c>
      <c r="F4963" s="19" t="str">
        <f>IFERROR(__xludf.DUMMYFUNCTION("""COMPUTED_VALUE"""),"BLACK")</f>
        <v>BLACK</v>
      </c>
      <c r="G4963" s="20" t="str">
        <f>IFERROR(__xludf.DUMMYFUNCTION("""COMPUTED_VALUE"""),"Uncle Sams Cider (5/13/2022)")</f>
        <v>Uncle Sams Cider (5/13/2022)</v>
      </c>
      <c r="H4963" s="19"/>
    </row>
    <row r="4964">
      <c r="A4964" s="9"/>
      <c r="B4964" s="15"/>
      <c r="C4964" s="9">
        <f>IFERROR(__xludf.DUMMYFUNCTION("""COMPUTED_VALUE"""),44744.8744420023)</f>
        <v>44744.87444</v>
      </c>
      <c r="D4964" s="15">
        <f>IFERROR(__xludf.DUMMYFUNCTION("""COMPUTED_VALUE"""),1.004)</f>
        <v>1.004</v>
      </c>
      <c r="E4964" s="16">
        <f>IFERROR(__xludf.DUMMYFUNCTION("""COMPUTED_VALUE"""),66.0)</f>
        <v>66</v>
      </c>
      <c r="F4964" s="19" t="str">
        <f>IFERROR(__xludf.DUMMYFUNCTION("""COMPUTED_VALUE"""),"BLACK")</f>
        <v>BLACK</v>
      </c>
      <c r="G4964" s="20" t="str">
        <f>IFERROR(__xludf.DUMMYFUNCTION("""COMPUTED_VALUE"""),"Uncle Sams Cider (5/13/2022)")</f>
        <v>Uncle Sams Cider (5/13/2022)</v>
      </c>
      <c r="H4964" s="19"/>
    </row>
    <row r="4965">
      <c r="A4965" s="9"/>
      <c r="B4965" s="15"/>
      <c r="C4965" s="9">
        <f>IFERROR(__xludf.DUMMYFUNCTION("""COMPUTED_VALUE"""),44744.8640200115)</f>
        <v>44744.86402</v>
      </c>
      <c r="D4965" s="15">
        <f>IFERROR(__xludf.DUMMYFUNCTION("""COMPUTED_VALUE"""),1.005)</f>
        <v>1.005</v>
      </c>
      <c r="E4965" s="16">
        <f>IFERROR(__xludf.DUMMYFUNCTION("""COMPUTED_VALUE"""),66.0)</f>
        <v>66</v>
      </c>
      <c r="F4965" s="19" t="str">
        <f>IFERROR(__xludf.DUMMYFUNCTION("""COMPUTED_VALUE"""),"BLACK")</f>
        <v>BLACK</v>
      </c>
      <c r="G4965" s="20" t="str">
        <f>IFERROR(__xludf.DUMMYFUNCTION("""COMPUTED_VALUE"""),"Uncle Sams Cider (5/13/2022)")</f>
        <v>Uncle Sams Cider (5/13/2022)</v>
      </c>
      <c r="H4965" s="19"/>
    </row>
    <row r="4966">
      <c r="A4966" s="9"/>
      <c r="B4966" s="15"/>
      <c r="C4966" s="9">
        <f>IFERROR(__xludf.DUMMYFUNCTION("""COMPUTED_VALUE"""),44744.8535996759)</f>
        <v>44744.8536</v>
      </c>
      <c r="D4966" s="15">
        <f>IFERROR(__xludf.DUMMYFUNCTION("""COMPUTED_VALUE"""),1.004)</f>
        <v>1.004</v>
      </c>
      <c r="E4966" s="16">
        <f>IFERROR(__xludf.DUMMYFUNCTION("""COMPUTED_VALUE"""),67.0)</f>
        <v>67</v>
      </c>
      <c r="F4966" s="19" t="str">
        <f>IFERROR(__xludf.DUMMYFUNCTION("""COMPUTED_VALUE"""),"BLACK")</f>
        <v>BLACK</v>
      </c>
      <c r="G4966" s="20" t="str">
        <f>IFERROR(__xludf.DUMMYFUNCTION("""COMPUTED_VALUE"""),"Uncle Sams Cider (5/13/2022)")</f>
        <v>Uncle Sams Cider (5/13/2022)</v>
      </c>
      <c r="H4966" s="19"/>
    </row>
    <row r="4967">
      <c r="A4967" s="9"/>
      <c r="B4967" s="15"/>
      <c r="C4967" s="9">
        <f>IFERROR(__xludf.DUMMYFUNCTION("""COMPUTED_VALUE"""),44744.8431767939)</f>
        <v>44744.84318</v>
      </c>
      <c r="D4967" s="15">
        <f>IFERROR(__xludf.DUMMYFUNCTION("""COMPUTED_VALUE"""),1.004)</f>
        <v>1.004</v>
      </c>
      <c r="E4967" s="16">
        <f>IFERROR(__xludf.DUMMYFUNCTION("""COMPUTED_VALUE"""),68.0)</f>
        <v>68</v>
      </c>
      <c r="F4967" s="19" t="str">
        <f>IFERROR(__xludf.DUMMYFUNCTION("""COMPUTED_VALUE"""),"BLACK")</f>
        <v>BLACK</v>
      </c>
      <c r="G4967" s="20" t="str">
        <f>IFERROR(__xludf.DUMMYFUNCTION("""COMPUTED_VALUE"""),"Uncle Sams Cider (5/13/2022)")</f>
        <v>Uncle Sams Cider (5/13/2022)</v>
      </c>
      <c r="H4967" s="19"/>
    </row>
    <row r="4968">
      <c r="A4968" s="9"/>
      <c r="B4968" s="15"/>
      <c r="C4968" s="9">
        <f>IFERROR(__xludf.DUMMYFUNCTION("""COMPUTED_VALUE"""),44744.8327565856)</f>
        <v>44744.83276</v>
      </c>
      <c r="D4968" s="15">
        <f>IFERROR(__xludf.DUMMYFUNCTION("""COMPUTED_VALUE"""),1.004)</f>
        <v>1.004</v>
      </c>
      <c r="E4968" s="16">
        <f>IFERROR(__xludf.DUMMYFUNCTION("""COMPUTED_VALUE"""),69.0)</f>
        <v>69</v>
      </c>
      <c r="F4968" s="19" t="str">
        <f>IFERROR(__xludf.DUMMYFUNCTION("""COMPUTED_VALUE"""),"BLACK")</f>
        <v>BLACK</v>
      </c>
      <c r="G4968" s="20" t="str">
        <f>IFERROR(__xludf.DUMMYFUNCTION("""COMPUTED_VALUE"""),"Uncle Sams Cider (5/13/2022)")</f>
        <v>Uncle Sams Cider (5/13/2022)</v>
      </c>
      <c r="H4968" s="19"/>
    </row>
    <row r="4969">
      <c r="A4969" s="9"/>
      <c r="B4969" s="15"/>
      <c r="C4969" s="9">
        <f>IFERROR(__xludf.DUMMYFUNCTION("""COMPUTED_VALUE"""),44744.8223348032)</f>
        <v>44744.82233</v>
      </c>
      <c r="D4969" s="15">
        <f>IFERROR(__xludf.DUMMYFUNCTION("""COMPUTED_VALUE"""),1.004)</f>
        <v>1.004</v>
      </c>
      <c r="E4969" s="16">
        <f>IFERROR(__xludf.DUMMYFUNCTION("""COMPUTED_VALUE"""),69.0)</f>
        <v>69</v>
      </c>
      <c r="F4969" s="19" t="str">
        <f>IFERROR(__xludf.DUMMYFUNCTION("""COMPUTED_VALUE"""),"BLACK")</f>
        <v>BLACK</v>
      </c>
      <c r="G4969" s="20" t="str">
        <f>IFERROR(__xludf.DUMMYFUNCTION("""COMPUTED_VALUE"""),"Uncle Sams Cider (5/13/2022)")</f>
        <v>Uncle Sams Cider (5/13/2022)</v>
      </c>
      <c r="H4969" s="19"/>
    </row>
    <row r="4970">
      <c r="A4970" s="9"/>
      <c r="B4970" s="15"/>
      <c r="C4970" s="9">
        <f>IFERROR(__xludf.DUMMYFUNCTION("""COMPUTED_VALUE"""),44744.8119148495)</f>
        <v>44744.81191</v>
      </c>
      <c r="D4970" s="15">
        <f>IFERROR(__xludf.DUMMYFUNCTION("""COMPUTED_VALUE"""),1.004)</f>
        <v>1.004</v>
      </c>
      <c r="E4970" s="16">
        <f>IFERROR(__xludf.DUMMYFUNCTION("""COMPUTED_VALUE"""),70.0)</f>
        <v>70</v>
      </c>
      <c r="F4970" s="19" t="str">
        <f>IFERROR(__xludf.DUMMYFUNCTION("""COMPUTED_VALUE"""),"BLACK")</f>
        <v>BLACK</v>
      </c>
      <c r="G4970" s="20" t="str">
        <f>IFERROR(__xludf.DUMMYFUNCTION("""COMPUTED_VALUE"""),"Uncle Sams Cider (5/13/2022)")</f>
        <v>Uncle Sams Cider (5/13/2022)</v>
      </c>
      <c r="H4970" s="19"/>
    </row>
    <row r="4971">
      <c r="A4971" s="9"/>
      <c r="B4971" s="15"/>
      <c r="C4971" s="9">
        <f>IFERROR(__xludf.DUMMYFUNCTION("""COMPUTED_VALUE"""),44744.8014936458)</f>
        <v>44744.80149</v>
      </c>
      <c r="D4971" s="15">
        <f>IFERROR(__xludf.DUMMYFUNCTION("""COMPUTED_VALUE"""),1.004)</f>
        <v>1.004</v>
      </c>
      <c r="E4971" s="16">
        <f>IFERROR(__xludf.DUMMYFUNCTION("""COMPUTED_VALUE"""),70.0)</f>
        <v>70</v>
      </c>
      <c r="F4971" s="19" t="str">
        <f>IFERROR(__xludf.DUMMYFUNCTION("""COMPUTED_VALUE"""),"BLACK")</f>
        <v>BLACK</v>
      </c>
      <c r="G4971" s="20" t="str">
        <f>IFERROR(__xludf.DUMMYFUNCTION("""COMPUTED_VALUE"""),"Uncle Sams Cider (5/13/2022)")</f>
        <v>Uncle Sams Cider (5/13/2022)</v>
      </c>
      <c r="H4971" s="19"/>
    </row>
    <row r="4972">
      <c r="A4972" s="9"/>
      <c r="B4972" s="15"/>
      <c r="C4972" s="9">
        <f>IFERROR(__xludf.DUMMYFUNCTION("""COMPUTED_VALUE"""),44744.7910725578)</f>
        <v>44744.79107</v>
      </c>
      <c r="D4972" s="15">
        <f>IFERROR(__xludf.DUMMYFUNCTION("""COMPUTED_VALUE"""),1.004)</f>
        <v>1.004</v>
      </c>
      <c r="E4972" s="16">
        <f>IFERROR(__xludf.DUMMYFUNCTION("""COMPUTED_VALUE"""),70.0)</f>
        <v>70</v>
      </c>
      <c r="F4972" s="19" t="str">
        <f>IFERROR(__xludf.DUMMYFUNCTION("""COMPUTED_VALUE"""),"BLACK")</f>
        <v>BLACK</v>
      </c>
      <c r="G4972" s="20" t="str">
        <f>IFERROR(__xludf.DUMMYFUNCTION("""COMPUTED_VALUE"""),"Uncle Sams Cider (5/13/2022)")</f>
        <v>Uncle Sams Cider (5/13/2022)</v>
      </c>
      <c r="H4972" s="19"/>
    </row>
    <row r="4973">
      <c r="A4973" s="9"/>
      <c r="B4973" s="15"/>
      <c r="C4973" s="9">
        <f>IFERROR(__xludf.DUMMYFUNCTION("""COMPUTED_VALUE"""),44744.7806522916)</f>
        <v>44744.78065</v>
      </c>
      <c r="D4973" s="15">
        <f>IFERROR(__xludf.DUMMYFUNCTION("""COMPUTED_VALUE"""),1.005)</f>
        <v>1.005</v>
      </c>
      <c r="E4973" s="16">
        <f>IFERROR(__xludf.DUMMYFUNCTION("""COMPUTED_VALUE"""),70.0)</f>
        <v>70</v>
      </c>
      <c r="F4973" s="19" t="str">
        <f>IFERROR(__xludf.DUMMYFUNCTION("""COMPUTED_VALUE"""),"BLACK")</f>
        <v>BLACK</v>
      </c>
      <c r="G4973" s="20" t="str">
        <f>IFERROR(__xludf.DUMMYFUNCTION("""COMPUTED_VALUE"""),"Uncle Sams Cider (5/13/2022)")</f>
        <v>Uncle Sams Cider (5/13/2022)</v>
      </c>
      <c r="H4973" s="19"/>
    </row>
    <row r="4974">
      <c r="A4974" s="9"/>
      <c r="B4974" s="15"/>
      <c r="C4974" s="9">
        <f>IFERROR(__xludf.DUMMYFUNCTION("""COMPUTED_VALUE"""),44744.7702304051)</f>
        <v>44744.77023</v>
      </c>
      <c r="D4974" s="15">
        <f>IFERROR(__xludf.DUMMYFUNCTION("""COMPUTED_VALUE"""),1.005)</f>
        <v>1.005</v>
      </c>
      <c r="E4974" s="16">
        <f>IFERROR(__xludf.DUMMYFUNCTION("""COMPUTED_VALUE"""),70.0)</f>
        <v>70</v>
      </c>
      <c r="F4974" s="19" t="str">
        <f>IFERROR(__xludf.DUMMYFUNCTION("""COMPUTED_VALUE"""),"BLACK")</f>
        <v>BLACK</v>
      </c>
      <c r="G4974" s="20" t="str">
        <f>IFERROR(__xludf.DUMMYFUNCTION("""COMPUTED_VALUE"""),"Uncle Sams Cider (5/13/2022)")</f>
        <v>Uncle Sams Cider (5/13/2022)</v>
      </c>
      <c r="H4974" s="19"/>
    </row>
    <row r="4975">
      <c r="A4975" s="9"/>
      <c r="B4975" s="15"/>
      <c r="C4975" s="9">
        <f>IFERROR(__xludf.DUMMYFUNCTION("""COMPUTED_VALUE"""),44744.7598080787)</f>
        <v>44744.75981</v>
      </c>
      <c r="D4975" s="15">
        <f>IFERROR(__xludf.DUMMYFUNCTION("""COMPUTED_VALUE"""),1.005)</f>
        <v>1.005</v>
      </c>
      <c r="E4975" s="16">
        <f>IFERROR(__xludf.DUMMYFUNCTION("""COMPUTED_VALUE"""),70.0)</f>
        <v>70</v>
      </c>
      <c r="F4975" s="19" t="str">
        <f>IFERROR(__xludf.DUMMYFUNCTION("""COMPUTED_VALUE"""),"BLACK")</f>
        <v>BLACK</v>
      </c>
      <c r="G4975" s="20" t="str">
        <f>IFERROR(__xludf.DUMMYFUNCTION("""COMPUTED_VALUE"""),"Uncle Sams Cider (5/13/2022)")</f>
        <v>Uncle Sams Cider (5/13/2022)</v>
      </c>
      <c r="H4975" s="19"/>
    </row>
    <row r="4976">
      <c r="A4976" s="9"/>
      <c r="B4976" s="15"/>
      <c r="C4976" s="9">
        <f>IFERROR(__xludf.DUMMYFUNCTION("""COMPUTED_VALUE"""),44744.7493859259)</f>
        <v>44744.74939</v>
      </c>
      <c r="D4976" s="15">
        <f>IFERROR(__xludf.DUMMYFUNCTION("""COMPUTED_VALUE"""),1.004)</f>
        <v>1.004</v>
      </c>
      <c r="E4976" s="16">
        <f>IFERROR(__xludf.DUMMYFUNCTION("""COMPUTED_VALUE"""),70.0)</f>
        <v>70</v>
      </c>
      <c r="F4976" s="19" t="str">
        <f>IFERROR(__xludf.DUMMYFUNCTION("""COMPUTED_VALUE"""),"BLACK")</f>
        <v>BLACK</v>
      </c>
      <c r="G4976" s="20" t="str">
        <f>IFERROR(__xludf.DUMMYFUNCTION("""COMPUTED_VALUE"""),"Uncle Sams Cider (5/13/2022)")</f>
        <v>Uncle Sams Cider (5/13/2022)</v>
      </c>
      <c r="H4976" s="19"/>
    </row>
    <row r="4977">
      <c r="A4977" s="9"/>
      <c r="B4977" s="15"/>
      <c r="C4977" s="9">
        <f>IFERROR(__xludf.DUMMYFUNCTION("""COMPUTED_VALUE"""),44744.7389632754)</f>
        <v>44744.73896</v>
      </c>
      <c r="D4977" s="15">
        <f>IFERROR(__xludf.DUMMYFUNCTION("""COMPUTED_VALUE"""),1.004)</f>
        <v>1.004</v>
      </c>
      <c r="E4977" s="16">
        <f>IFERROR(__xludf.DUMMYFUNCTION("""COMPUTED_VALUE"""),70.0)</f>
        <v>70</v>
      </c>
      <c r="F4977" s="19" t="str">
        <f>IFERROR(__xludf.DUMMYFUNCTION("""COMPUTED_VALUE"""),"BLACK")</f>
        <v>BLACK</v>
      </c>
      <c r="G4977" s="20" t="str">
        <f>IFERROR(__xludf.DUMMYFUNCTION("""COMPUTED_VALUE"""),"Uncle Sams Cider (5/13/2022)")</f>
        <v>Uncle Sams Cider (5/13/2022)</v>
      </c>
      <c r="H4977" s="19"/>
    </row>
    <row r="4978">
      <c r="A4978" s="9"/>
      <c r="B4978" s="15"/>
      <c r="C4978" s="9">
        <f>IFERROR(__xludf.DUMMYFUNCTION("""COMPUTED_VALUE"""),44744.7285441203)</f>
        <v>44744.72854</v>
      </c>
      <c r="D4978" s="15">
        <f>IFERROR(__xludf.DUMMYFUNCTION("""COMPUTED_VALUE"""),1.005)</f>
        <v>1.005</v>
      </c>
      <c r="E4978" s="16">
        <f>IFERROR(__xludf.DUMMYFUNCTION("""COMPUTED_VALUE"""),70.0)</f>
        <v>70</v>
      </c>
      <c r="F4978" s="19" t="str">
        <f>IFERROR(__xludf.DUMMYFUNCTION("""COMPUTED_VALUE"""),"BLACK")</f>
        <v>BLACK</v>
      </c>
      <c r="G4978" s="20" t="str">
        <f>IFERROR(__xludf.DUMMYFUNCTION("""COMPUTED_VALUE"""),"Uncle Sams Cider (5/13/2022)")</f>
        <v>Uncle Sams Cider (5/13/2022)</v>
      </c>
      <c r="H4978" s="19"/>
    </row>
    <row r="4979">
      <c r="A4979" s="9"/>
      <c r="B4979" s="15"/>
      <c r="C4979" s="9">
        <f>IFERROR(__xludf.DUMMYFUNCTION("""COMPUTED_VALUE"""),44744.7181233912)</f>
        <v>44744.71812</v>
      </c>
      <c r="D4979" s="15">
        <f>IFERROR(__xludf.DUMMYFUNCTION("""COMPUTED_VALUE"""),1.004)</f>
        <v>1.004</v>
      </c>
      <c r="E4979" s="16">
        <f>IFERROR(__xludf.DUMMYFUNCTION("""COMPUTED_VALUE"""),70.0)</f>
        <v>70</v>
      </c>
      <c r="F4979" s="19" t="str">
        <f>IFERROR(__xludf.DUMMYFUNCTION("""COMPUTED_VALUE"""),"BLACK")</f>
        <v>BLACK</v>
      </c>
      <c r="G4979" s="20" t="str">
        <f>IFERROR(__xludf.DUMMYFUNCTION("""COMPUTED_VALUE"""),"Uncle Sams Cider (5/13/2022)")</f>
        <v>Uncle Sams Cider (5/13/2022)</v>
      </c>
      <c r="H4979" s="19"/>
    </row>
    <row r="4980">
      <c r="A4980" s="9"/>
      <c r="B4980" s="15"/>
      <c r="C4980" s="9">
        <f>IFERROR(__xludf.DUMMYFUNCTION("""COMPUTED_VALUE"""),44744.7076914351)</f>
        <v>44744.70769</v>
      </c>
      <c r="D4980" s="15">
        <f>IFERROR(__xludf.DUMMYFUNCTION("""COMPUTED_VALUE"""),1.005)</f>
        <v>1.005</v>
      </c>
      <c r="E4980" s="16">
        <f>IFERROR(__xludf.DUMMYFUNCTION("""COMPUTED_VALUE"""),70.0)</f>
        <v>70</v>
      </c>
      <c r="F4980" s="19" t="str">
        <f>IFERROR(__xludf.DUMMYFUNCTION("""COMPUTED_VALUE"""),"BLACK")</f>
        <v>BLACK</v>
      </c>
      <c r="G4980" s="20" t="str">
        <f>IFERROR(__xludf.DUMMYFUNCTION("""COMPUTED_VALUE"""),"Uncle Sams Cider (5/13/2022)")</f>
        <v>Uncle Sams Cider (5/13/2022)</v>
      </c>
      <c r="H4980" s="19"/>
    </row>
    <row r="4981">
      <c r="A4981" s="9"/>
      <c r="B4981" s="15"/>
      <c r="C4981" s="9">
        <f>IFERROR(__xludf.DUMMYFUNCTION("""COMPUTED_VALUE"""),44744.6972700925)</f>
        <v>44744.69727</v>
      </c>
      <c r="D4981" s="15">
        <f>IFERROR(__xludf.DUMMYFUNCTION("""COMPUTED_VALUE"""),1.004)</f>
        <v>1.004</v>
      </c>
      <c r="E4981" s="16">
        <f>IFERROR(__xludf.DUMMYFUNCTION("""COMPUTED_VALUE"""),70.0)</f>
        <v>70</v>
      </c>
      <c r="F4981" s="19" t="str">
        <f>IFERROR(__xludf.DUMMYFUNCTION("""COMPUTED_VALUE"""),"BLACK")</f>
        <v>BLACK</v>
      </c>
      <c r="G4981" s="20" t="str">
        <f>IFERROR(__xludf.DUMMYFUNCTION("""COMPUTED_VALUE"""),"Uncle Sams Cider (5/13/2022)")</f>
        <v>Uncle Sams Cider (5/13/2022)</v>
      </c>
      <c r="H4981" s="19"/>
    </row>
    <row r="4982">
      <c r="A4982" s="9"/>
      <c r="B4982" s="15"/>
      <c r="C4982" s="9">
        <f>IFERROR(__xludf.DUMMYFUNCTION("""COMPUTED_VALUE"""),44744.6868371875)</f>
        <v>44744.68684</v>
      </c>
      <c r="D4982" s="15">
        <f>IFERROR(__xludf.DUMMYFUNCTION("""COMPUTED_VALUE"""),1.004)</f>
        <v>1.004</v>
      </c>
      <c r="E4982" s="16">
        <f>IFERROR(__xludf.DUMMYFUNCTION("""COMPUTED_VALUE"""),70.0)</f>
        <v>70</v>
      </c>
      <c r="F4982" s="19" t="str">
        <f>IFERROR(__xludf.DUMMYFUNCTION("""COMPUTED_VALUE"""),"BLACK")</f>
        <v>BLACK</v>
      </c>
      <c r="G4982" s="20" t="str">
        <f>IFERROR(__xludf.DUMMYFUNCTION("""COMPUTED_VALUE"""),"Uncle Sams Cider (5/13/2022)")</f>
        <v>Uncle Sams Cider (5/13/2022)</v>
      </c>
      <c r="H4982" s="19"/>
    </row>
    <row r="4983">
      <c r="A4983" s="9"/>
      <c r="B4983" s="15"/>
      <c r="C4983" s="9">
        <f>IFERROR(__xludf.DUMMYFUNCTION("""COMPUTED_VALUE"""),44744.6764167592)</f>
        <v>44744.67642</v>
      </c>
      <c r="D4983" s="15">
        <f>IFERROR(__xludf.DUMMYFUNCTION("""COMPUTED_VALUE"""),1.005)</f>
        <v>1.005</v>
      </c>
      <c r="E4983" s="16">
        <f>IFERROR(__xludf.DUMMYFUNCTION("""COMPUTED_VALUE"""),70.0)</f>
        <v>70</v>
      </c>
      <c r="F4983" s="19" t="str">
        <f>IFERROR(__xludf.DUMMYFUNCTION("""COMPUTED_VALUE"""),"BLACK")</f>
        <v>BLACK</v>
      </c>
      <c r="G4983" s="20" t="str">
        <f>IFERROR(__xludf.DUMMYFUNCTION("""COMPUTED_VALUE"""),"Uncle Sams Cider (5/13/2022)")</f>
        <v>Uncle Sams Cider (5/13/2022)</v>
      </c>
      <c r="H4983" s="19"/>
    </row>
    <row r="4984">
      <c r="A4984" s="9"/>
      <c r="B4984" s="15"/>
      <c r="C4984" s="9">
        <f>IFERROR(__xludf.DUMMYFUNCTION("""COMPUTED_VALUE"""),44744.6659944444)</f>
        <v>44744.66599</v>
      </c>
      <c r="D4984" s="15">
        <f>IFERROR(__xludf.DUMMYFUNCTION("""COMPUTED_VALUE"""),1.004)</f>
        <v>1.004</v>
      </c>
      <c r="E4984" s="16">
        <f>IFERROR(__xludf.DUMMYFUNCTION("""COMPUTED_VALUE"""),70.0)</f>
        <v>70</v>
      </c>
      <c r="F4984" s="19" t="str">
        <f>IFERROR(__xludf.DUMMYFUNCTION("""COMPUTED_VALUE"""),"BLACK")</f>
        <v>BLACK</v>
      </c>
      <c r="G4984" s="20" t="str">
        <f>IFERROR(__xludf.DUMMYFUNCTION("""COMPUTED_VALUE"""),"Uncle Sams Cider (5/13/2022)")</f>
        <v>Uncle Sams Cider (5/13/2022)</v>
      </c>
      <c r="H4984" s="19"/>
    </row>
    <row r="4985">
      <c r="A4985" s="9"/>
      <c r="B4985" s="15"/>
      <c r="C4985" s="9">
        <f>IFERROR(__xludf.DUMMYFUNCTION("""COMPUTED_VALUE"""),44744.6555730555)</f>
        <v>44744.65557</v>
      </c>
      <c r="D4985" s="15">
        <f>IFERROR(__xludf.DUMMYFUNCTION("""COMPUTED_VALUE"""),1.004)</f>
        <v>1.004</v>
      </c>
      <c r="E4985" s="16">
        <f>IFERROR(__xludf.DUMMYFUNCTION("""COMPUTED_VALUE"""),70.0)</f>
        <v>70</v>
      </c>
      <c r="F4985" s="19" t="str">
        <f>IFERROR(__xludf.DUMMYFUNCTION("""COMPUTED_VALUE"""),"BLACK")</f>
        <v>BLACK</v>
      </c>
      <c r="G4985" s="20" t="str">
        <f>IFERROR(__xludf.DUMMYFUNCTION("""COMPUTED_VALUE"""),"Uncle Sams Cider (5/13/2022)")</f>
        <v>Uncle Sams Cider (5/13/2022)</v>
      </c>
      <c r="H4985" s="19"/>
    </row>
    <row r="4986">
      <c r="A4986" s="9"/>
      <c r="B4986" s="15"/>
      <c r="C4986" s="9">
        <f>IFERROR(__xludf.DUMMYFUNCTION("""COMPUTED_VALUE"""),44744.6451531134)</f>
        <v>44744.64515</v>
      </c>
      <c r="D4986" s="15">
        <f>IFERROR(__xludf.DUMMYFUNCTION("""COMPUTED_VALUE"""),1.004)</f>
        <v>1.004</v>
      </c>
      <c r="E4986" s="16">
        <f>IFERROR(__xludf.DUMMYFUNCTION("""COMPUTED_VALUE"""),70.0)</f>
        <v>70</v>
      </c>
      <c r="F4986" s="19" t="str">
        <f>IFERROR(__xludf.DUMMYFUNCTION("""COMPUTED_VALUE"""),"BLACK")</f>
        <v>BLACK</v>
      </c>
      <c r="G4986" s="20" t="str">
        <f>IFERROR(__xludf.DUMMYFUNCTION("""COMPUTED_VALUE"""),"Uncle Sams Cider (5/13/2022)")</f>
        <v>Uncle Sams Cider (5/13/2022)</v>
      </c>
      <c r="H4986" s="19"/>
    </row>
    <row r="4987">
      <c r="A4987" s="9"/>
      <c r="B4987" s="15"/>
      <c r="C4987" s="9">
        <f>IFERROR(__xludf.DUMMYFUNCTION("""COMPUTED_VALUE"""),44744.6347329745)</f>
        <v>44744.63473</v>
      </c>
      <c r="D4987" s="15">
        <f>IFERROR(__xludf.DUMMYFUNCTION("""COMPUTED_VALUE"""),1.004)</f>
        <v>1.004</v>
      </c>
      <c r="E4987" s="16">
        <f>IFERROR(__xludf.DUMMYFUNCTION("""COMPUTED_VALUE"""),70.0)</f>
        <v>70</v>
      </c>
      <c r="F4987" s="19" t="str">
        <f>IFERROR(__xludf.DUMMYFUNCTION("""COMPUTED_VALUE"""),"BLACK")</f>
        <v>BLACK</v>
      </c>
      <c r="G4987" s="20" t="str">
        <f>IFERROR(__xludf.DUMMYFUNCTION("""COMPUTED_VALUE"""),"Uncle Sams Cider (5/13/2022)")</f>
        <v>Uncle Sams Cider (5/13/2022)</v>
      </c>
      <c r="H4987" s="19"/>
    </row>
    <row r="4988">
      <c r="A4988" s="9"/>
      <c r="B4988" s="15"/>
      <c r="C4988" s="9">
        <f>IFERROR(__xludf.DUMMYFUNCTION("""COMPUTED_VALUE"""),44744.6243104282)</f>
        <v>44744.62431</v>
      </c>
      <c r="D4988" s="15">
        <f>IFERROR(__xludf.DUMMYFUNCTION("""COMPUTED_VALUE"""),1.004)</f>
        <v>1.004</v>
      </c>
      <c r="E4988" s="16">
        <f>IFERROR(__xludf.DUMMYFUNCTION("""COMPUTED_VALUE"""),70.0)</f>
        <v>70</v>
      </c>
      <c r="F4988" s="19" t="str">
        <f>IFERROR(__xludf.DUMMYFUNCTION("""COMPUTED_VALUE"""),"BLACK")</f>
        <v>BLACK</v>
      </c>
      <c r="G4988" s="20" t="str">
        <f>IFERROR(__xludf.DUMMYFUNCTION("""COMPUTED_VALUE"""),"Uncle Sams Cider (5/13/2022)")</f>
        <v>Uncle Sams Cider (5/13/2022)</v>
      </c>
      <c r="H4988" s="19"/>
    </row>
    <row r="4989">
      <c r="A4989" s="9"/>
      <c r="B4989" s="15"/>
      <c r="C4989" s="9">
        <f>IFERROR(__xludf.DUMMYFUNCTION("""COMPUTED_VALUE"""),44744.6138899537)</f>
        <v>44744.61389</v>
      </c>
      <c r="D4989" s="15">
        <f>IFERROR(__xludf.DUMMYFUNCTION("""COMPUTED_VALUE"""),1.004)</f>
        <v>1.004</v>
      </c>
      <c r="E4989" s="16">
        <f>IFERROR(__xludf.DUMMYFUNCTION("""COMPUTED_VALUE"""),70.0)</f>
        <v>70</v>
      </c>
      <c r="F4989" s="19" t="str">
        <f>IFERROR(__xludf.DUMMYFUNCTION("""COMPUTED_VALUE"""),"BLACK")</f>
        <v>BLACK</v>
      </c>
      <c r="G4989" s="20" t="str">
        <f>IFERROR(__xludf.DUMMYFUNCTION("""COMPUTED_VALUE"""),"Uncle Sams Cider (5/13/2022)")</f>
        <v>Uncle Sams Cider (5/13/2022)</v>
      </c>
      <c r="H4989" s="19"/>
    </row>
    <row r="4990">
      <c r="A4990" s="9"/>
      <c r="B4990" s="15"/>
      <c r="C4990" s="9">
        <f>IFERROR(__xludf.DUMMYFUNCTION("""COMPUTED_VALUE"""),44744.6034692129)</f>
        <v>44744.60347</v>
      </c>
      <c r="D4990" s="15">
        <f>IFERROR(__xludf.DUMMYFUNCTION("""COMPUTED_VALUE"""),1.005)</f>
        <v>1.005</v>
      </c>
      <c r="E4990" s="16">
        <f>IFERROR(__xludf.DUMMYFUNCTION("""COMPUTED_VALUE"""),70.0)</f>
        <v>70</v>
      </c>
      <c r="F4990" s="19" t="str">
        <f>IFERROR(__xludf.DUMMYFUNCTION("""COMPUTED_VALUE"""),"BLACK")</f>
        <v>BLACK</v>
      </c>
      <c r="G4990" s="20" t="str">
        <f>IFERROR(__xludf.DUMMYFUNCTION("""COMPUTED_VALUE"""),"Uncle Sams Cider (5/13/2022)")</f>
        <v>Uncle Sams Cider (5/13/2022)</v>
      </c>
      <c r="H4990" s="19"/>
    </row>
    <row r="4991">
      <c r="A4991" s="9"/>
      <c r="B4991" s="15"/>
      <c r="C4991" s="9">
        <f>IFERROR(__xludf.DUMMYFUNCTION("""COMPUTED_VALUE"""),44744.5930252546)</f>
        <v>44744.59303</v>
      </c>
      <c r="D4991" s="15">
        <f>IFERROR(__xludf.DUMMYFUNCTION("""COMPUTED_VALUE"""),1.004)</f>
        <v>1.004</v>
      </c>
      <c r="E4991" s="16">
        <f>IFERROR(__xludf.DUMMYFUNCTION("""COMPUTED_VALUE"""),70.0)</f>
        <v>70</v>
      </c>
      <c r="F4991" s="19" t="str">
        <f>IFERROR(__xludf.DUMMYFUNCTION("""COMPUTED_VALUE"""),"BLACK")</f>
        <v>BLACK</v>
      </c>
      <c r="G4991" s="20" t="str">
        <f>IFERROR(__xludf.DUMMYFUNCTION("""COMPUTED_VALUE"""),"Uncle Sams Cider (5/13/2022)")</f>
        <v>Uncle Sams Cider (5/13/2022)</v>
      </c>
      <c r="H4991" s="19"/>
    </row>
    <row r="4992">
      <c r="A4992" s="9"/>
      <c r="B4992" s="15"/>
      <c r="C4992" s="9">
        <f>IFERROR(__xludf.DUMMYFUNCTION("""COMPUTED_VALUE"""),44744.5826051041)</f>
        <v>44744.58261</v>
      </c>
      <c r="D4992" s="15">
        <f>IFERROR(__xludf.DUMMYFUNCTION("""COMPUTED_VALUE"""),1.005)</f>
        <v>1.005</v>
      </c>
      <c r="E4992" s="16">
        <f>IFERROR(__xludf.DUMMYFUNCTION("""COMPUTED_VALUE"""),70.0)</f>
        <v>70</v>
      </c>
      <c r="F4992" s="19" t="str">
        <f>IFERROR(__xludf.DUMMYFUNCTION("""COMPUTED_VALUE"""),"BLACK")</f>
        <v>BLACK</v>
      </c>
      <c r="G4992" s="20" t="str">
        <f>IFERROR(__xludf.DUMMYFUNCTION("""COMPUTED_VALUE"""),"Uncle Sams Cider (5/13/2022)")</f>
        <v>Uncle Sams Cider (5/13/2022)</v>
      </c>
      <c r="H4992" s="19"/>
    </row>
    <row r="4993">
      <c r="A4993" s="9"/>
      <c r="B4993" s="15"/>
      <c r="C4993" s="9">
        <f>IFERROR(__xludf.DUMMYFUNCTION("""COMPUTED_VALUE"""),44744.5721845486)</f>
        <v>44744.57218</v>
      </c>
      <c r="D4993" s="15">
        <f>IFERROR(__xludf.DUMMYFUNCTION("""COMPUTED_VALUE"""),1.004)</f>
        <v>1.004</v>
      </c>
      <c r="E4993" s="16">
        <f>IFERROR(__xludf.DUMMYFUNCTION("""COMPUTED_VALUE"""),70.0)</f>
        <v>70</v>
      </c>
      <c r="F4993" s="19" t="str">
        <f>IFERROR(__xludf.DUMMYFUNCTION("""COMPUTED_VALUE"""),"BLACK")</f>
        <v>BLACK</v>
      </c>
      <c r="G4993" s="20" t="str">
        <f>IFERROR(__xludf.DUMMYFUNCTION("""COMPUTED_VALUE"""),"Uncle Sams Cider (5/13/2022)")</f>
        <v>Uncle Sams Cider (5/13/2022)</v>
      </c>
      <c r="H4993" s="19"/>
    </row>
    <row r="4994">
      <c r="A4994" s="9"/>
      <c r="B4994" s="15"/>
      <c r="C4994" s="9">
        <f>IFERROR(__xludf.DUMMYFUNCTION("""COMPUTED_VALUE"""),44744.5617629861)</f>
        <v>44744.56176</v>
      </c>
      <c r="D4994" s="15">
        <f>IFERROR(__xludf.DUMMYFUNCTION("""COMPUTED_VALUE"""),1.005)</f>
        <v>1.005</v>
      </c>
      <c r="E4994" s="16">
        <f>IFERROR(__xludf.DUMMYFUNCTION("""COMPUTED_VALUE"""),70.0)</f>
        <v>70</v>
      </c>
      <c r="F4994" s="19" t="str">
        <f>IFERROR(__xludf.DUMMYFUNCTION("""COMPUTED_VALUE"""),"BLACK")</f>
        <v>BLACK</v>
      </c>
      <c r="G4994" s="20" t="str">
        <f>IFERROR(__xludf.DUMMYFUNCTION("""COMPUTED_VALUE"""),"Uncle Sams Cider (5/13/2022)")</f>
        <v>Uncle Sams Cider (5/13/2022)</v>
      </c>
      <c r="H4994" s="19"/>
    </row>
    <row r="4995">
      <c r="A4995" s="9"/>
      <c r="B4995" s="15"/>
      <c r="C4995" s="9">
        <f>IFERROR(__xludf.DUMMYFUNCTION("""COMPUTED_VALUE"""),44744.5513397685)</f>
        <v>44744.55134</v>
      </c>
      <c r="D4995" s="15">
        <f>IFERROR(__xludf.DUMMYFUNCTION("""COMPUTED_VALUE"""),1.005)</f>
        <v>1.005</v>
      </c>
      <c r="E4995" s="16">
        <f>IFERROR(__xludf.DUMMYFUNCTION("""COMPUTED_VALUE"""),70.0)</f>
        <v>70</v>
      </c>
      <c r="F4995" s="19" t="str">
        <f>IFERROR(__xludf.DUMMYFUNCTION("""COMPUTED_VALUE"""),"BLACK")</f>
        <v>BLACK</v>
      </c>
      <c r="G4995" s="20" t="str">
        <f>IFERROR(__xludf.DUMMYFUNCTION("""COMPUTED_VALUE"""),"Uncle Sams Cider (5/13/2022)")</f>
        <v>Uncle Sams Cider (5/13/2022)</v>
      </c>
      <c r="H4995" s="19"/>
    </row>
    <row r="4996">
      <c r="A4996" s="9"/>
      <c r="B4996" s="15"/>
      <c r="C4996" s="9">
        <f>IFERROR(__xludf.DUMMYFUNCTION("""COMPUTED_VALUE"""),44744.5409185185)</f>
        <v>44744.54092</v>
      </c>
      <c r="D4996" s="15">
        <f>IFERROR(__xludf.DUMMYFUNCTION("""COMPUTED_VALUE"""),1.005)</f>
        <v>1.005</v>
      </c>
      <c r="E4996" s="16">
        <f>IFERROR(__xludf.DUMMYFUNCTION("""COMPUTED_VALUE"""),70.0)</f>
        <v>70</v>
      </c>
      <c r="F4996" s="19" t="str">
        <f>IFERROR(__xludf.DUMMYFUNCTION("""COMPUTED_VALUE"""),"BLACK")</f>
        <v>BLACK</v>
      </c>
      <c r="G4996" s="20" t="str">
        <f>IFERROR(__xludf.DUMMYFUNCTION("""COMPUTED_VALUE"""),"Uncle Sams Cider (5/13/2022)")</f>
        <v>Uncle Sams Cider (5/13/2022)</v>
      </c>
      <c r="H4996" s="19"/>
    </row>
    <row r="4997">
      <c r="A4997" s="9"/>
      <c r="B4997" s="15"/>
      <c r="C4997" s="9">
        <f>IFERROR(__xludf.DUMMYFUNCTION("""COMPUTED_VALUE"""),44744.5304963078)</f>
        <v>44744.5305</v>
      </c>
      <c r="D4997" s="15">
        <f>IFERROR(__xludf.DUMMYFUNCTION("""COMPUTED_VALUE"""),1.005)</f>
        <v>1.005</v>
      </c>
      <c r="E4997" s="16">
        <f>IFERROR(__xludf.DUMMYFUNCTION("""COMPUTED_VALUE"""),70.0)</f>
        <v>70</v>
      </c>
      <c r="F4997" s="19" t="str">
        <f>IFERROR(__xludf.DUMMYFUNCTION("""COMPUTED_VALUE"""),"BLACK")</f>
        <v>BLACK</v>
      </c>
      <c r="G4997" s="20" t="str">
        <f>IFERROR(__xludf.DUMMYFUNCTION("""COMPUTED_VALUE"""),"Uncle Sams Cider (5/13/2022)")</f>
        <v>Uncle Sams Cider (5/13/2022)</v>
      </c>
      <c r="H4997" s="19"/>
    </row>
    <row r="4998">
      <c r="A4998" s="9"/>
      <c r="B4998" s="15"/>
      <c r="C4998" s="9">
        <f>IFERROR(__xludf.DUMMYFUNCTION("""COMPUTED_VALUE"""),44744.5200753356)</f>
        <v>44744.52008</v>
      </c>
      <c r="D4998" s="15">
        <f>IFERROR(__xludf.DUMMYFUNCTION("""COMPUTED_VALUE"""),1.004)</f>
        <v>1.004</v>
      </c>
      <c r="E4998" s="16">
        <f>IFERROR(__xludf.DUMMYFUNCTION("""COMPUTED_VALUE"""),70.0)</f>
        <v>70</v>
      </c>
      <c r="F4998" s="19" t="str">
        <f>IFERROR(__xludf.DUMMYFUNCTION("""COMPUTED_VALUE"""),"BLACK")</f>
        <v>BLACK</v>
      </c>
      <c r="G4998" s="20" t="str">
        <f>IFERROR(__xludf.DUMMYFUNCTION("""COMPUTED_VALUE"""),"Uncle Sams Cider (5/13/2022)")</f>
        <v>Uncle Sams Cider (5/13/2022)</v>
      </c>
      <c r="H4998" s="19"/>
    </row>
    <row r="4999">
      <c r="A4999" s="9"/>
      <c r="B4999" s="15"/>
      <c r="C4999" s="9">
        <f>IFERROR(__xludf.DUMMYFUNCTION("""COMPUTED_VALUE"""),44744.5096525231)</f>
        <v>44744.50965</v>
      </c>
      <c r="D4999" s="15">
        <f>IFERROR(__xludf.DUMMYFUNCTION("""COMPUTED_VALUE"""),1.004)</f>
        <v>1.004</v>
      </c>
      <c r="E4999" s="16">
        <f>IFERROR(__xludf.DUMMYFUNCTION("""COMPUTED_VALUE"""),70.0)</f>
        <v>70</v>
      </c>
      <c r="F4999" s="19" t="str">
        <f>IFERROR(__xludf.DUMMYFUNCTION("""COMPUTED_VALUE"""),"BLACK")</f>
        <v>BLACK</v>
      </c>
      <c r="G4999" s="20" t="str">
        <f>IFERROR(__xludf.DUMMYFUNCTION("""COMPUTED_VALUE"""),"Uncle Sams Cider (5/13/2022)")</f>
        <v>Uncle Sams Cider (5/13/2022)</v>
      </c>
      <c r="H4999" s="19"/>
    </row>
    <row r="5000">
      <c r="A5000" s="9"/>
      <c r="B5000" s="15"/>
      <c r="C5000" s="9">
        <f>IFERROR(__xludf.DUMMYFUNCTION("""COMPUTED_VALUE"""),44744.4992313541)</f>
        <v>44744.49923</v>
      </c>
      <c r="D5000" s="15">
        <f>IFERROR(__xludf.DUMMYFUNCTION("""COMPUTED_VALUE"""),1.005)</f>
        <v>1.005</v>
      </c>
      <c r="E5000" s="16">
        <f>IFERROR(__xludf.DUMMYFUNCTION("""COMPUTED_VALUE"""),70.0)</f>
        <v>70</v>
      </c>
      <c r="F5000" s="19" t="str">
        <f>IFERROR(__xludf.DUMMYFUNCTION("""COMPUTED_VALUE"""),"BLACK")</f>
        <v>BLACK</v>
      </c>
      <c r="G5000" s="20" t="str">
        <f>IFERROR(__xludf.DUMMYFUNCTION("""COMPUTED_VALUE"""),"Uncle Sams Cider (5/13/2022)")</f>
        <v>Uncle Sams Cider (5/13/2022)</v>
      </c>
      <c r="H5000" s="19"/>
    </row>
    <row r="5001">
      <c r="A5001" s="9"/>
      <c r="B5001" s="15"/>
      <c r="C5001" s="9">
        <f>IFERROR(__xludf.DUMMYFUNCTION("""COMPUTED_VALUE"""),44744.4888116666)</f>
        <v>44744.48881</v>
      </c>
      <c r="D5001" s="15">
        <f>IFERROR(__xludf.DUMMYFUNCTION("""COMPUTED_VALUE"""),1.004)</f>
        <v>1.004</v>
      </c>
      <c r="E5001" s="16">
        <f>IFERROR(__xludf.DUMMYFUNCTION("""COMPUTED_VALUE"""),70.0)</f>
        <v>70</v>
      </c>
      <c r="F5001" s="19" t="str">
        <f>IFERROR(__xludf.DUMMYFUNCTION("""COMPUTED_VALUE"""),"BLACK")</f>
        <v>BLACK</v>
      </c>
      <c r="G5001" s="20" t="str">
        <f>IFERROR(__xludf.DUMMYFUNCTION("""COMPUTED_VALUE"""),"Uncle Sams Cider (5/13/2022)")</f>
        <v>Uncle Sams Cider (5/13/2022)</v>
      </c>
      <c r="H5001" s="19"/>
    </row>
    <row r="5002">
      <c r="A5002" s="9"/>
      <c r="B5002" s="15"/>
      <c r="C5002" s="9">
        <f>IFERROR(__xludf.DUMMYFUNCTION("""COMPUTED_VALUE"""),44744.4783682407)</f>
        <v>44744.47837</v>
      </c>
      <c r="D5002" s="15">
        <f>IFERROR(__xludf.DUMMYFUNCTION("""COMPUTED_VALUE"""),1.005)</f>
        <v>1.005</v>
      </c>
      <c r="E5002" s="16">
        <f>IFERROR(__xludf.DUMMYFUNCTION("""COMPUTED_VALUE"""),70.0)</f>
        <v>70</v>
      </c>
      <c r="F5002" s="19" t="str">
        <f>IFERROR(__xludf.DUMMYFUNCTION("""COMPUTED_VALUE"""),"BLACK")</f>
        <v>BLACK</v>
      </c>
      <c r="G5002" s="20" t="str">
        <f>IFERROR(__xludf.DUMMYFUNCTION("""COMPUTED_VALUE"""),"Uncle Sams Cider (5/13/2022)")</f>
        <v>Uncle Sams Cider (5/13/2022)</v>
      </c>
      <c r="H5002" s="19"/>
    </row>
    <row r="5003">
      <c r="A5003" s="9"/>
      <c r="B5003" s="15"/>
      <c r="C5003" s="9">
        <f>IFERROR(__xludf.DUMMYFUNCTION("""COMPUTED_VALUE"""),44744.4679464814)</f>
        <v>44744.46795</v>
      </c>
      <c r="D5003" s="15">
        <f>IFERROR(__xludf.DUMMYFUNCTION("""COMPUTED_VALUE"""),1.004)</f>
        <v>1.004</v>
      </c>
      <c r="E5003" s="16">
        <f>IFERROR(__xludf.DUMMYFUNCTION("""COMPUTED_VALUE"""),70.0)</f>
        <v>70</v>
      </c>
      <c r="F5003" s="19" t="str">
        <f>IFERROR(__xludf.DUMMYFUNCTION("""COMPUTED_VALUE"""),"BLACK")</f>
        <v>BLACK</v>
      </c>
      <c r="G5003" s="20" t="str">
        <f>IFERROR(__xludf.DUMMYFUNCTION("""COMPUTED_VALUE"""),"Uncle Sams Cider (5/13/2022)")</f>
        <v>Uncle Sams Cider (5/13/2022)</v>
      </c>
      <c r="H5003" s="19"/>
    </row>
    <row r="5004">
      <c r="A5004" s="9"/>
      <c r="B5004" s="15"/>
      <c r="C5004" s="9">
        <f>IFERROR(__xludf.DUMMYFUNCTION("""COMPUTED_VALUE"""),44744.4575241898)</f>
        <v>44744.45752</v>
      </c>
      <c r="D5004" s="15">
        <f>IFERROR(__xludf.DUMMYFUNCTION("""COMPUTED_VALUE"""),1.004)</f>
        <v>1.004</v>
      </c>
      <c r="E5004" s="16">
        <f>IFERROR(__xludf.DUMMYFUNCTION("""COMPUTED_VALUE"""),70.0)</f>
        <v>70</v>
      </c>
      <c r="F5004" s="19" t="str">
        <f>IFERROR(__xludf.DUMMYFUNCTION("""COMPUTED_VALUE"""),"BLACK")</f>
        <v>BLACK</v>
      </c>
      <c r="G5004" s="20" t="str">
        <f>IFERROR(__xludf.DUMMYFUNCTION("""COMPUTED_VALUE"""),"Uncle Sams Cider (5/13/2022)")</f>
        <v>Uncle Sams Cider (5/13/2022)</v>
      </c>
      <c r="H5004" s="19"/>
    </row>
    <row r="5005">
      <c r="A5005" s="9"/>
      <c r="B5005" s="15"/>
      <c r="C5005" s="9">
        <f>IFERROR(__xludf.DUMMYFUNCTION("""COMPUTED_VALUE"""),44744.4471030902)</f>
        <v>44744.4471</v>
      </c>
      <c r="D5005" s="15">
        <f>IFERROR(__xludf.DUMMYFUNCTION("""COMPUTED_VALUE"""),1.005)</f>
        <v>1.005</v>
      </c>
      <c r="E5005" s="16">
        <f>IFERROR(__xludf.DUMMYFUNCTION("""COMPUTED_VALUE"""),70.0)</f>
        <v>70</v>
      </c>
      <c r="F5005" s="19" t="str">
        <f>IFERROR(__xludf.DUMMYFUNCTION("""COMPUTED_VALUE"""),"BLACK")</f>
        <v>BLACK</v>
      </c>
      <c r="G5005" s="20" t="str">
        <f>IFERROR(__xludf.DUMMYFUNCTION("""COMPUTED_VALUE"""),"Uncle Sams Cider (5/13/2022)")</f>
        <v>Uncle Sams Cider (5/13/2022)</v>
      </c>
      <c r="H5005" s="19"/>
    </row>
    <row r="5006">
      <c r="A5006" s="9"/>
      <c r="B5006" s="15"/>
      <c r="C5006" s="9">
        <f>IFERROR(__xludf.DUMMYFUNCTION("""COMPUTED_VALUE"""),44744.4366805671)</f>
        <v>44744.43668</v>
      </c>
      <c r="D5006" s="15">
        <f>IFERROR(__xludf.DUMMYFUNCTION("""COMPUTED_VALUE"""),1.005)</f>
        <v>1.005</v>
      </c>
      <c r="E5006" s="16">
        <f>IFERROR(__xludf.DUMMYFUNCTION("""COMPUTED_VALUE"""),70.0)</f>
        <v>70</v>
      </c>
      <c r="F5006" s="19" t="str">
        <f>IFERROR(__xludf.DUMMYFUNCTION("""COMPUTED_VALUE"""),"BLACK")</f>
        <v>BLACK</v>
      </c>
      <c r="G5006" s="20" t="str">
        <f>IFERROR(__xludf.DUMMYFUNCTION("""COMPUTED_VALUE"""),"Uncle Sams Cider (5/13/2022)")</f>
        <v>Uncle Sams Cider (5/13/2022)</v>
      </c>
      <c r="H5006" s="19"/>
    </row>
    <row r="5007">
      <c r="A5007" s="9"/>
      <c r="B5007" s="15"/>
      <c r="C5007" s="9">
        <f>IFERROR(__xludf.DUMMYFUNCTION("""COMPUTED_VALUE"""),44744.4262603703)</f>
        <v>44744.42626</v>
      </c>
      <c r="D5007" s="15">
        <f>IFERROR(__xludf.DUMMYFUNCTION("""COMPUTED_VALUE"""),1.004)</f>
        <v>1.004</v>
      </c>
      <c r="E5007" s="16">
        <f>IFERROR(__xludf.DUMMYFUNCTION("""COMPUTED_VALUE"""),70.0)</f>
        <v>70</v>
      </c>
      <c r="F5007" s="19" t="str">
        <f>IFERROR(__xludf.DUMMYFUNCTION("""COMPUTED_VALUE"""),"BLACK")</f>
        <v>BLACK</v>
      </c>
      <c r="G5007" s="20" t="str">
        <f>IFERROR(__xludf.DUMMYFUNCTION("""COMPUTED_VALUE"""),"Uncle Sams Cider (5/13/2022)")</f>
        <v>Uncle Sams Cider (5/13/2022)</v>
      </c>
      <c r="H5007" s="19"/>
    </row>
    <row r="5008">
      <c r="A5008" s="9"/>
      <c r="B5008" s="15"/>
      <c r="C5008" s="9">
        <f>IFERROR(__xludf.DUMMYFUNCTION("""COMPUTED_VALUE"""),44744.415839074)</f>
        <v>44744.41584</v>
      </c>
      <c r="D5008" s="15">
        <f>IFERROR(__xludf.DUMMYFUNCTION("""COMPUTED_VALUE"""),1.004)</f>
        <v>1.004</v>
      </c>
      <c r="E5008" s="16">
        <f>IFERROR(__xludf.DUMMYFUNCTION("""COMPUTED_VALUE"""),70.0)</f>
        <v>70</v>
      </c>
      <c r="F5008" s="19" t="str">
        <f>IFERROR(__xludf.DUMMYFUNCTION("""COMPUTED_VALUE"""),"BLACK")</f>
        <v>BLACK</v>
      </c>
      <c r="G5008" s="20" t="str">
        <f>IFERROR(__xludf.DUMMYFUNCTION("""COMPUTED_VALUE"""),"Uncle Sams Cider (5/13/2022)")</f>
        <v>Uncle Sams Cider (5/13/2022)</v>
      </c>
      <c r="H5008" s="19"/>
    </row>
    <row r="5009">
      <c r="A5009" s="9"/>
      <c r="B5009" s="15"/>
      <c r="C5009" s="9">
        <f>IFERROR(__xludf.DUMMYFUNCTION("""COMPUTED_VALUE"""),44744.405417118)</f>
        <v>44744.40542</v>
      </c>
      <c r="D5009" s="15">
        <f>IFERROR(__xludf.DUMMYFUNCTION("""COMPUTED_VALUE"""),1.005)</f>
        <v>1.005</v>
      </c>
      <c r="E5009" s="16">
        <f>IFERROR(__xludf.DUMMYFUNCTION("""COMPUTED_VALUE"""),70.0)</f>
        <v>70</v>
      </c>
      <c r="F5009" s="19" t="str">
        <f>IFERROR(__xludf.DUMMYFUNCTION("""COMPUTED_VALUE"""),"BLACK")</f>
        <v>BLACK</v>
      </c>
      <c r="G5009" s="20" t="str">
        <f>IFERROR(__xludf.DUMMYFUNCTION("""COMPUTED_VALUE"""),"Uncle Sams Cider (5/13/2022)")</f>
        <v>Uncle Sams Cider (5/13/2022)</v>
      </c>
      <c r="H5009" s="19"/>
    </row>
    <row r="5010">
      <c r="A5010" s="9"/>
      <c r="B5010" s="15"/>
      <c r="C5010" s="9">
        <f>IFERROR(__xludf.DUMMYFUNCTION("""COMPUTED_VALUE"""),44744.3949947916)</f>
        <v>44744.39499</v>
      </c>
      <c r="D5010" s="15">
        <f>IFERROR(__xludf.DUMMYFUNCTION("""COMPUTED_VALUE"""),1.004)</f>
        <v>1.004</v>
      </c>
      <c r="E5010" s="16">
        <f>IFERROR(__xludf.DUMMYFUNCTION("""COMPUTED_VALUE"""),70.0)</f>
        <v>70</v>
      </c>
      <c r="F5010" s="19" t="str">
        <f>IFERROR(__xludf.DUMMYFUNCTION("""COMPUTED_VALUE"""),"BLACK")</f>
        <v>BLACK</v>
      </c>
      <c r="G5010" s="20" t="str">
        <f>IFERROR(__xludf.DUMMYFUNCTION("""COMPUTED_VALUE"""),"Uncle Sams Cider (5/13/2022)")</f>
        <v>Uncle Sams Cider (5/13/2022)</v>
      </c>
      <c r="H5010" s="19"/>
    </row>
    <row r="5011">
      <c r="A5011" s="9"/>
      <c r="B5011" s="15"/>
      <c r="C5011" s="9">
        <f>IFERROR(__xludf.DUMMYFUNCTION("""COMPUTED_VALUE"""),44744.3845738888)</f>
        <v>44744.38457</v>
      </c>
      <c r="D5011" s="15">
        <f>IFERROR(__xludf.DUMMYFUNCTION("""COMPUTED_VALUE"""),1.005)</f>
        <v>1.005</v>
      </c>
      <c r="E5011" s="16">
        <f>IFERROR(__xludf.DUMMYFUNCTION("""COMPUTED_VALUE"""),70.0)</f>
        <v>70</v>
      </c>
      <c r="F5011" s="19" t="str">
        <f>IFERROR(__xludf.DUMMYFUNCTION("""COMPUTED_VALUE"""),"BLACK")</f>
        <v>BLACK</v>
      </c>
      <c r="G5011" s="20" t="str">
        <f>IFERROR(__xludf.DUMMYFUNCTION("""COMPUTED_VALUE"""),"Uncle Sams Cider (5/13/2022)")</f>
        <v>Uncle Sams Cider (5/13/2022)</v>
      </c>
      <c r="H5011" s="19"/>
    </row>
    <row r="5012">
      <c r="A5012" s="9"/>
      <c r="B5012" s="15"/>
      <c r="C5012" s="9">
        <f>IFERROR(__xludf.DUMMYFUNCTION("""COMPUTED_VALUE"""),44744.3741403472)</f>
        <v>44744.37414</v>
      </c>
      <c r="D5012" s="15">
        <f>IFERROR(__xludf.DUMMYFUNCTION("""COMPUTED_VALUE"""),1.004)</f>
        <v>1.004</v>
      </c>
      <c r="E5012" s="16">
        <f>IFERROR(__xludf.DUMMYFUNCTION("""COMPUTED_VALUE"""),70.0)</f>
        <v>70</v>
      </c>
      <c r="F5012" s="19" t="str">
        <f>IFERROR(__xludf.DUMMYFUNCTION("""COMPUTED_VALUE"""),"BLACK")</f>
        <v>BLACK</v>
      </c>
      <c r="G5012" s="20" t="str">
        <f>IFERROR(__xludf.DUMMYFUNCTION("""COMPUTED_VALUE"""),"Uncle Sams Cider (5/13/2022)")</f>
        <v>Uncle Sams Cider (5/13/2022)</v>
      </c>
      <c r="H5012" s="19"/>
    </row>
    <row r="5013">
      <c r="A5013" s="9"/>
      <c r="B5013" s="15"/>
      <c r="C5013" s="9">
        <f>IFERROR(__xludf.DUMMYFUNCTION("""COMPUTED_VALUE"""),44744.3637180902)</f>
        <v>44744.36372</v>
      </c>
      <c r="D5013" s="15">
        <f>IFERROR(__xludf.DUMMYFUNCTION("""COMPUTED_VALUE"""),1.005)</f>
        <v>1.005</v>
      </c>
      <c r="E5013" s="16">
        <f>IFERROR(__xludf.DUMMYFUNCTION("""COMPUTED_VALUE"""),70.0)</f>
        <v>70</v>
      </c>
      <c r="F5013" s="19" t="str">
        <f>IFERROR(__xludf.DUMMYFUNCTION("""COMPUTED_VALUE"""),"BLACK")</f>
        <v>BLACK</v>
      </c>
      <c r="G5013" s="20" t="str">
        <f>IFERROR(__xludf.DUMMYFUNCTION("""COMPUTED_VALUE"""),"Uncle Sams Cider (5/13/2022)")</f>
        <v>Uncle Sams Cider (5/13/2022)</v>
      </c>
      <c r="H5013" s="19"/>
    </row>
    <row r="5014">
      <c r="A5014" s="9"/>
      <c r="B5014" s="15"/>
      <c r="C5014" s="9">
        <f>IFERROR(__xludf.DUMMYFUNCTION("""COMPUTED_VALUE"""),44744.3532843634)</f>
        <v>44744.35328</v>
      </c>
      <c r="D5014" s="15">
        <f>IFERROR(__xludf.DUMMYFUNCTION("""COMPUTED_VALUE"""),1.005)</f>
        <v>1.005</v>
      </c>
      <c r="E5014" s="16">
        <f>IFERROR(__xludf.DUMMYFUNCTION("""COMPUTED_VALUE"""),70.0)</f>
        <v>70</v>
      </c>
      <c r="F5014" s="19" t="str">
        <f>IFERROR(__xludf.DUMMYFUNCTION("""COMPUTED_VALUE"""),"BLACK")</f>
        <v>BLACK</v>
      </c>
      <c r="G5014" s="20" t="str">
        <f>IFERROR(__xludf.DUMMYFUNCTION("""COMPUTED_VALUE"""),"Uncle Sams Cider (5/13/2022)")</f>
        <v>Uncle Sams Cider (5/13/2022)</v>
      </c>
      <c r="H5014" s="19"/>
    </row>
    <row r="5015">
      <c r="A5015" s="9"/>
      <c r="B5015" s="15"/>
      <c r="C5015" s="9">
        <f>IFERROR(__xludf.DUMMYFUNCTION("""COMPUTED_VALUE"""),44744.342863206)</f>
        <v>44744.34286</v>
      </c>
      <c r="D5015" s="15">
        <f>IFERROR(__xludf.DUMMYFUNCTION("""COMPUTED_VALUE"""),1.004)</f>
        <v>1.004</v>
      </c>
      <c r="E5015" s="16">
        <f>IFERROR(__xludf.DUMMYFUNCTION("""COMPUTED_VALUE"""),70.0)</f>
        <v>70</v>
      </c>
      <c r="F5015" s="19" t="str">
        <f>IFERROR(__xludf.DUMMYFUNCTION("""COMPUTED_VALUE"""),"BLACK")</f>
        <v>BLACK</v>
      </c>
      <c r="G5015" s="20" t="str">
        <f>IFERROR(__xludf.DUMMYFUNCTION("""COMPUTED_VALUE"""),"Uncle Sams Cider (5/13/2022)")</f>
        <v>Uncle Sams Cider (5/13/2022)</v>
      </c>
      <c r="H5015" s="19"/>
    </row>
    <row r="5016">
      <c r="A5016" s="9"/>
      <c r="B5016" s="15"/>
      <c r="C5016" s="9">
        <f>IFERROR(__xludf.DUMMYFUNCTION("""COMPUTED_VALUE"""),44744.3324292013)</f>
        <v>44744.33243</v>
      </c>
      <c r="D5016" s="15">
        <f>IFERROR(__xludf.DUMMYFUNCTION("""COMPUTED_VALUE"""),1.005)</f>
        <v>1.005</v>
      </c>
      <c r="E5016" s="16">
        <f>IFERROR(__xludf.DUMMYFUNCTION("""COMPUTED_VALUE"""),70.0)</f>
        <v>70</v>
      </c>
      <c r="F5016" s="19" t="str">
        <f>IFERROR(__xludf.DUMMYFUNCTION("""COMPUTED_VALUE"""),"BLACK")</f>
        <v>BLACK</v>
      </c>
      <c r="G5016" s="20" t="str">
        <f>IFERROR(__xludf.DUMMYFUNCTION("""COMPUTED_VALUE"""),"Uncle Sams Cider (5/13/2022)")</f>
        <v>Uncle Sams Cider (5/13/2022)</v>
      </c>
      <c r="H5016" s="19"/>
    </row>
    <row r="5017">
      <c r="A5017" s="9"/>
      <c r="B5017" s="15"/>
      <c r="C5017" s="9">
        <f>IFERROR(__xludf.DUMMYFUNCTION("""COMPUTED_VALUE"""),44744.3219949305)</f>
        <v>44744.32199</v>
      </c>
      <c r="D5017" s="15">
        <f>IFERROR(__xludf.DUMMYFUNCTION("""COMPUTED_VALUE"""),1.004)</f>
        <v>1.004</v>
      </c>
      <c r="E5017" s="16">
        <f>IFERROR(__xludf.DUMMYFUNCTION("""COMPUTED_VALUE"""),70.0)</f>
        <v>70</v>
      </c>
      <c r="F5017" s="19" t="str">
        <f>IFERROR(__xludf.DUMMYFUNCTION("""COMPUTED_VALUE"""),"BLACK")</f>
        <v>BLACK</v>
      </c>
      <c r="G5017" s="20" t="str">
        <f>IFERROR(__xludf.DUMMYFUNCTION("""COMPUTED_VALUE"""),"Uncle Sams Cider (5/13/2022)")</f>
        <v>Uncle Sams Cider (5/13/2022)</v>
      </c>
      <c r="H5017" s="19"/>
    </row>
    <row r="5018">
      <c r="A5018" s="9"/>
      <c r="B5018" s="15"/>
      <c r="C5018" s="9">
        <f>IFERROR(__xludf.DUMMYFUNCTION("""COMPUTED_VALUE"""),44744.3115735763)</f>
        <v>44744.31157</v>
      </c>
      <c r="D5018" s="15">
        <f>IFERROR(__xludf.DUMMYFUNCTION("""COMPUTED_VALUE"""),1.004)</f>
        <v>1.004</v>
      </c>
      <c r="E5018" s="16">
        <f>IFERROR(__xludf.DUMMYFUNCTION("""COMPUTED_VALUE"""),70.0)</f>
        <v>70</v>
      </c>
      <c r="F5018" s="19" t="str">
        <f>IFERROR(__xludf.DUMMYFUNCTION("""COMPUTED_VALUE"""),"BLACK")</f>
        <v>BLACK</v>
      </c>
      <c r="G5018" s="20" t="str">
        <f>IFERROR(__xludf.DUMMYFUNCTION("""COMPUTED_VALUE"""),"Uncle Sams Cider (5/13/2022)")</f>
        <v>Uncle Sams Cider (5/13/2022)</v>
      </c>
      <c r="H5018" s="19"/>
    </row>
    <row r="5019">
      <c r="A5019" s="9"/>
      <c r="B5019" s="15"/>
      <c r="C5019" s="9">
        <f>IFERROR(__xludf.DUMMYFUNCTION("""COMPUTED_VALUE"""),44744.301152743)</f>
        <v>44744.30115</v>
      </c>
      <c r="D5019" s="15">
        <f>IFERROR(__xludf.DUMMYFUNCTION("""COMPUTED_VALUE"""),1.004)</f>
        <v>1.004</v>
      </c>
      <c r="E5019" s="16">
        <f>IFERROR(__xludf.DUMMYFUNCTION("""COMPUTED_VALUE"""),70.0)</f>
        <v>70</v>
      </c>
      <c r="F5019" s="19" t="str">
        <f>IFERROR(__xludf.DUMMYFUNCTION("""COMPUTED_VALUE"""),"BLACK")</f>
        <v>BLACK</v>
      </c>
      <c r="G5019" s="20" t="str">
        <f>IFERROR(__xludf.DUMMYFUNCTION("""COMPUTED_VALUE"""),"Uncle Sams Cider (5/13/2022)")</f>
        <v>Uncle Sams Cider (5/13/2022)</v>
      </c>
      <c r="H5019" s="19"/>
    </row>
    <row r="5020">
      <c r="A5020" s="9"/>
      <c r="B5020" s="15"/>
      <c r="C5020" s="9">
        <f>IFERROR(__xludf.DUMMYFUNCTION("""COMPUTED_VALUE"""),44744.2907316319)</f>
        <v>44744.29073</v>
      </c>
      <c r="D5020" s="15">
        <f>IFERROR(__xludf.DUMMYFUNCTION("""COMPUTED_VALUE"""),1.004)</f>
        <v>1.004</v>
      </c>
      <c r="E5020" s="16">
        <f>IFERROR(__xludf.DUMMYFUNCTION("""COMPUTED_VALUE"""),70.0)</f>
        <v>70</v>
      </c>
      <c r="F5020" s="19" t="str">
        <f>IFERROR(__xludf.DUMMYFUNCTION("""COMPUTED_VALUE"""),"BLACK")</f>
        <v>BLACK</v>
      </c>
      <c r="G5020" s="20" t="str">
        <f>IFERROR(__xludf.DUMMYFUNCTION("""COMPUTED_VALUE"""),"Uncle Sams Cider (5/13/2022)")</f>
        <v>Uncle Sams Cider (5/13/2022)</v>
      </c>
      <c r="H5020" s="19"/>
    </row>
    <row r="5021">
      <c r="A5021" s="9"/>
      <c r="B5021" s="15"/>
      <c r="C5021" s="9">
        <f>IFERROR(__xludf.DUMMYFUNCTION("""COMPUTED_VALUE"""),44744.2803110416)</f>
        <v>44744.28031</v>
      </c>
      <c r="D5021" s="15">
        <f>IFERROR(__xludf.DUMMYFUNCTION("""COMPUTED_VALUE"""),1.005)</f>
        <v>1.005</v>
      </c>
      <c r="E5021" s="16">
        <f>IFERROR(__xludf.DUMMYFUNCTION("""COMPUTED_VALUE"""),69.0)</f>
        <v>69</v>
      </c>
      <c r="F5021" s="19" t="str">
        <f>IFERROR(__xludf.DUMMYFUNCTION("""COMPUTED_VALUE"""),"BLACK")</f>
        <v>BLACK</v>
      </c>
      <c r="G5021" s="20" t="str">
        <f>IFERROR(__xludf.DUMMYFUNCTION("""COMPUTED_VALUE"""),"Uncle Sams Cider (5/13/2022)")</f>
        <v>Uncle Sams Cider (5/13/2022)</v>
      </c>
      <c r="H5021" s="19"/>
    </row>
    <row r="5022">
      <c r="A5022" s="9"/>
      <c r="B5022" s="15"/>
      <c r="C5022" s="9">
        <f>IFERROR(__xludf.DUMMYFUNCTION("""COMPUTED_VALUE"""),44744.2698790972)</f>
        <v>44744.26988</v>
      </c>
      <c r="D5022" s="15">
        <f>IFERROR(__xludf.DUMMYFUNCTION("""COMPUTED_VALUE"""),1.005)</f>
        <v>1.005</v>
      </c>
      <c r="E5022" s="16">
        <f>IFERROR(__xludf.DUMMYFUNCTION("""COMPUTED_VALUE"""),69.0)</f>
        <v>69</v>
      </c>
      <c r="F5022" s="19" t="str">
        <f>IFERROR(__xludf.DUMMYFUNCTION("""COMPUTED_VALUE"""),"BLACK")</f>
        <v>BLACK</v>
      </c>
      <c r="G5022" s="20" t="str">
        <f>IFERROR(__xludf.DUMMYFUNCTION("""COMPUTED_VALUE"""),"Uncle Sams Cider (5/13/2022)")</f>
        <v>Uncle Sams Cider (5/13/2022)</v>
      </c>
      <c r="H5022" s="19"/>
    </row>
    <row r="5023">
      <c r="A5023" s="9"/>
      <c r="B5023" s="15"/>
      <c r="C5023" s="9">
        <f>IFERROR(__xludf.DUMMYFUNCTION("""COMPUTED_VALUE"""),44744.25945875)</f>
        <v>44744.25946</v>
      </c>
      <c r="D5023" s="15">
        <f>IFERROR(__xludf.DUMMYFUNCTION("""COMPUTED_VALUE"""),1.004)</f>
        <v>1.004</v>
      </c>
      <c r="E5023" s="16">
        <f>IFERROR(__xludf.DUMMYFUNCTION("""COMPUTED_VALUE"""),70.0)</f>
        <v>70</v>
      </c>
      <c r="F5023" s="19" t="str">
        <f>IFERROR(__xludf.DUMMYFUNCTION("""COMPUTED_VALUE"""),"BLACK")</f>
        <v>BLACK</v>
      </c>
      <c r="G5023" s="20" t="str">
        <f>IFERROR(__xludf.DUMMYFUNCTION("""COMPUTED_VALUE"""),"Uncle Sams Cider (5/13/2022)")</f>
        <v>Uncle Sams Cider (5/13/2022)</v>
      </c>
      <c r="H5023" s="19"/>
    </row>
    <row r="5024">
      <c r="A5024" s="9"/>
      <c r="B5024" s="15"/>
      <c r="C5024" s="9">
        <f>IFERROR(__xludf.DUMMYFUNCTION("""COMPUTED_VALUE"""),44744.2490249421)</f>
        <v>44744.24902</v>
      </c>
      <c r="D5024" s="15">
        <f>IFERROR(__xludf.DUMMYFUNCTION("""COMPUTED_VALUE"""),1.005)</f>
        <v>1.005</v>
      </c>
      <c r="E5024" s="16">
        <f>IFERROR(__xludf.DUMMYFUNCTION("""COMPUTED_VALUE"""),69.0)</f>
        <v>69</v>
      </c>
      <c r="F5024" s="19" t="str">
        <f>IFERROR(__xludf.DUMMYFUNCTION("""COMPUTED_VALUE"""),"BLACK")</f>
        <v>BLACK</v>
      </c>
      <c r="G5024" s="20" t="str">
        <f>IFERROR(__xludf.DUMMYFUNCTION("""COMPUTED_VALUE"""),"Uncle Sams Cider (5/13/2022)")</f>
        <v>Uncle Sams Cider (5/13/2022)</v>
      </c>
      <c r="H5024" s="19"/>
    </row>
    <row r="5025">
      <c r="A5025" s="9"/>
      <c r="B5025" s="15"/>
      <c r="C5025" s="9">
        <f>IFERROR(__xludf.DUMMYFUNCTION("""COMPUTED_VALUE"""),44744.2385809837)</f>
        <v>44744.23858</v>
      </c>
      <c r="D5025" s="15">
        <f>IFERROR(__xludf.DUMMYFUNCTION("""COMPUTED_VALUE"""),1.004)</f>
        <v>1.004</v>
      </c>
      <c r="E5025" s="16">
        <f>IFERROR(__xludf.DUMMYFUNCTION("""COMPUTED_VALUE"""),69.0)</f>
        <v>69</v>
      </c>
      <c r="F5025" s="19" t="str">
        <f>IFERROR(__xludf.DUMMYFUNCTION("""COMPUTED_VALUE"""),"BLACK")</f>
        <v>BLACK</v>
      </c>
      <c r="G5025" s="20" t="str">
        <f>IFERROR(__xludf.DUMMYFUNCTION("""COMPUTED_VALUE"""),"Uncle Sams Cider (5/13/2022)")</f>
        <v>Uncle Sams Cider (5/13/2022)</v>
      </c>
      <c r="H5025" s="19"/>
    </row>
    <row r="5026">
      <c r="A5026" s="9"/>
      <c r="B5026" s="15"/>
      <c r="C5026" s="9">
        <f>IFERROR(__xludf.DUMMYFUNCTION("""COMPUTED_VALUE"""),44744.2281583449)</f>
        <v>44744.22816</v>
      </c>
      <c r="D5026" s="15">
        <f>IFERROR(__xludf.DUMMYFUNCTION("""COMPUTED_VALUE"""),1.004)</f>
        <v>1.004</v>
      </c>
      <c r="E5026" s="16">
        <f>IFERROR(__xludf.DUMMYFUNCTION("""COMPUTED_VALUE"""),69.0)</f>
        <v>69</v>
      </c>
      <c r="F5026" s="19" t="str">
        <f>IFERROR(__xludf.DUMMYFUNCTION("""COMPUTED_VALUE"""),"BLACK")</f>
        <v>BLACK</v>
      </c>
      <c r="G5026" s="20" t="str">
        <f>IFERROR(__xludf.DUMMYFUNCTION("""COMPUTED_VALUE"""),"Uncle Sams Cider (5/13/2022)")</f>
        <v>Uncle Sams Cider (5/13/2022)</v>
      </c>
      <c r="H5026" s="19"/>
    </row>
    <row r="5027">
      <c r="A5027" s="9"/>
      <c r="B5027" s="15"/>
      <c r="C5027" s="9">
        <f>IFERROR(__xludf.DUMMYFUNCTION("""COMPUTED_VALUE"""),44744.2177361805)</f>
        <v>44744.21774</v>
      </c>
      <c r="D5027" s="15">
        <f>IFERROR(__xludf.DUMMYFUNCTION("""COMPUTED_VALUE"""),1.005)</f>
        <v>1.005</v>
      </c>
      <c r="E5027" s="16">
        <f>IFERROR(__xludf.DUMMYFUNCTION("""COMPUTED_VALUE"""),69.0)</f>
        <v>69</v>
      </c>
      <c r="F5027" s="19" t="str">
        <f>IFERROR(__xludf.DUMMYFUNCTION("""COMPUTED_VALUE"""),"BLACK")</f>
        <v>BLACK</v>
      </c>
      <c r="G5027" s="20" t="str">
        <f>IFERROR(__xludf.DUMMYFUNCTION("""COMPUTED_VALUE"""),"Uncle Sams Cider (5/13/2022)")</f>
        <v>Uncle Sams Cider (5/13/2022)</v>
      </c>
      <c r="H5027" s="19"/>
    </row>
    <row r="5028">
      <c r="A5028" s="9"/>
      <c r="B5028" s="15"/>
      <c r="C5028" s="9">
        <f>IFERROR(__xludf.DUMMYFUNCTION("""COMPUTED_VALUE"""),44744.2073159606)</f>
        <v>44744.20732</v>
      </c>
      <c r="D5028" s="15">
        <f>IFERROR(__xludf.DUMMYFUNCTION("""COMPUTED_VALUE"""),1.005)</f>
        <v>1.005</v>
      </c>
      <c r="E5028" s="16">
        <f>IFERROR(__xludf.DUMMYFUNCTION("""COMPUTED_VALUE"""),69.0)</f>
        <v>69</v>
      </c>
      <c r="F5028" s="19" t="str">
        <f>IFERROR(__xludf.DUMMYFUNCTION("""COMPUTED_VALUE"""),"BLACK")</f>
        <v>BLACK</v>
      </c>
      <c r="G5028" s="20" t="str">
        <f>IFERROR(__xludf.DUMMYFUNCTION("""COMPUTED_VALUE"""),"Uncle Sams Cider (5/13/2022)")</f>
        <v>Uncle Sams Cider (5/13/2022)</v>
      </c>
      <c r="H5028" s="19"/>
    </row>
    <row r="5029">
      <c r="A5029" s="9"/>
      <c r="B5029" s="15"/>
      <c r="C5029" s="9">
        <f>IFERROR(__xludf.DUMMYFUNCTION("""COMPUTED_VALUE"""),44744.1968827314)</f>
        <v>44744.19688</v>
      </c>
      <c r="D5029" s="15">
        <f>IFERROR(__xludf.DUMMYFUNCTION("""COMPUTED_VALUE"""),1.005)</f>
        <v>1.005</v>
      </c>
      <c r="E5029" s="16">
        <f>IFERROR(__xludf.DUMMYFUNCTION("""COMPUTED_VALUE"""),69.0)</f>
        <v>69</v>
      </c>
      <c r="F5029" s="19" t="str">
        <f>IFERROR(__xludf.DUMMYFUNCTION("""COMPUTED_VALUE"""),"BLACK")</f>
        <v>BLACK</v>
      </c>
      <c r="G5029" s="20" t="str">
        <f>IFERROR(__xludf.DUMMYFUNCTION("""COMPUTED_VALUE"""),"Uncle Sams Cider (5/13/2022)")</f>
        <v>Uncle Sams Cider (5/13/2022)</v>
      </c>
      <c r="H5029" s="19"/>
    </row>
    <row r="5030">
      <c r="A5030" s="9"/>
      <c r="B5030" s="15"/>
      <c r="C5030" s="9">
        <f>IFERROR(__xludf.DUMMYFUNCTION("""COMPUTED_VALUE"""),44744.186461493)</f>
        <v>44744.18646</v>
      </c>
      <c r="D5030" s="15">
        <f>IFERROR(__xludf.DUMMYFUNCTION("""COMPUTED_VALUE"""),1.005)</f>
        <v>1.005</v>
      </c>
      <c r="E5030" s="16">
        <f>IFERROR(__xludf.DUMMYFUNCTION("""COMPUTED_VALUE"""),69.0)</f>
        <v>69</v>
      </c>
      <c r="F5030" s="19" t="str">
        <f>IFERROR(__xludf.DUMMYFUNCTION("""COMPUTED_VALUE"""),"BLACK")</f>
        <v>BLACK</v>
      </c>
      <c r="G5030" s="20" t="str">
        <f>IFERROR(__xludf.DUMMYFUNCTION("""COMPUTED_VALUE"""),"Uncle Sams Cider (5/13/2022)")</f>
        <v>Uncle Sams Cider (5/13/2022)</v>
      </c>
      <c r="H5030" s="19"/>
    </row>
    <row r="5031">
      <c r="A5031" s="9"/>
      <c r="B5031" s="15"/>
      <c r="C5031" s="9">
        <f>IFERROR(__xludf.DUMMYFUNCTION("""COMPUTED_VALUE"""),44744.1760386805)</f>
        <v>44744.17604</v>
      </c>
      <c r="D5031" s="15">
        <f>IFERROR(__xludf.DUMMYFUNCTION("""COMPUTED_VALUE"""),1.004)</f>
        <v>1.004</v>
      </c>
      <c r="E5031" s="16">
        <f>IFERROR(__xludf.DUMMYFUNCTION("""COMPUTED_VALUE"""),69.0)</f>
        <v>69</v>
      </c>
      <c r="F5031" s="19" t="str">
        <f>IFERROR(__xludf.DUMMYFUNCTION("""COMPUTED_VALUE"""),"BLACK")</f>
        <v>BLACK</v>
      </c>
      <c r="G5031" s="20" t="str">
        <f>IFERROR(__xludf.DUMMYFUNCTION("""COMPUTED_VALUE"""),"Uncle Sams Cider (5/13/2022)")</f>
        <v>Uncle Sams Cider (5/13/2022)</v>
      </c>
      <c r="H5031" s="19"/>
    </row>
    <row r="5032">
      <c r="A5032" s="9"/>
      <c r="B5032" s="15"/>
      <c r="C5032" s="9">
        <f>IFERROR(__xludf.DUMMYFUNCTION("""COMPUTED_VALUE"""),44744.1656053009)</f>
        <v>44744.16561</v>
      </c>
      <c r="D5032" s="15">
        <f>IFERROR(__xludf.DUMMYFUNCTION("""COMPUTED_VALUE"""),1.005)</f>
        <v>1.005</v>
      </c>
      <c r="E5032" s="16">
        <f>IFERROR(__xludf.DUMMYFUNCTION("""COMPUTED_VALUE"""),69.0)</f>
        <v>69</v>
      </c>
      <c r="F5032" s="19" t="str">
        <f>IFERROR(__xludf.DUMMYFUNCTION("""COMPUTED_VALUE"""),"BLACK")</f>
        <v>BLACK</v>
      </c>
      <c r="G5032" s="20" t="str">
        <f>IFERROR(__xludf.DUMMYFUNCTION("""COMPUTED_VALUE"""),"Uncle Sams Cider (5/13/2022)")</f>
        <v>Uncle Sams Cider (5/13/2022)</v>
      </c>
      <c r="H5032" s="19"/>
    </row>
    <row r="5033">
      <c r="A5033" s="9"/>
      <c r="B5033" s="15"/>
      <c r="C5033" s="9">
        <f>IFERROR(__xludf.DUMMYFUNCTION("""COMPUTED_VALUE"""),44744.1551834259)</f>
        <v>44744.15518</v>
      </c>
      <c r="D5033" s="15">
        <f>IFERROR(__xludf.DUMMYFUNCTION("""COMPUTED_VALUE"""),1.005)</f>
        <v>1.005</v>
      </c>
      <c r="E5033" s="16">
        <f>IFERROR(__xludf.DUMMYFUNCTION("""COMPUTED_VALUE"""),69.0)</f>
        <v>69</v>
      </c>
      <c r="F5033" s="19" t="str">
        <f>IFERROR(__xludf.DUMMYFUNCTION("""COMPUTED_VALUE"""),"BLACK")</f>
        <v>BLACK</v>
      </c>
      <c r="G5033" s="20" t="str">
        <f>IFERROR(__xludf.DUMMYFUNCTION("""COMPUTED_VALUE"""),"Uncle Sams Cider (5/13/2022)")</f>
        <v>Uncle Sams Cider (5/13/2022)</v>
      </c>
      <c r="H5033" s="19"/>
    </row>
    <row r="5034">
      <c r="A5034" s="9"/>
      <c r="B5034" s="15"/>
      <c r="C5034" s="9">
        <f>IFERROR(__xludf.DUMMYFUNCTION("""COMPUTED_VALUE"""),44744.1447511921)</f>
        <v>44744.14475</v>
      </c>
      <c r="D5034" s="15">
        <f>IFERROR(__xludf.DUMMYFUNCTION("""COMPUTED_VALUE"""),1.004)</f>
        <v>1.004</v>
      </c>
      <c r="E5034" s="16">
        <f>IFERROR(__xludf.DUMMYFUNCTION("""COMPUTED_VALUE"""),69.0)</f>
        <v>69</v>
      </c>
      <c r="F5034" s="19" t="str">
        <f>IFERROR(__xludf.DUMMYFUNCTION("""COMPUTED_VALUE"""),"BLACK")</f>
        <v>BLACK</v>
      </c>
      <c r="G5034" s="20" t="str">
        <f>IFERROR(__xludf.DUMMYFUNCTION("""COMPUTED_VALUE"""),"Uncle Sams Cider (5/13/2022)")</f>
        <v>Uncle Sams Cider (5/13/2022)</v>
      </c>
      <c r="H5034" s="19"/>
    </row>
    <row r="5035">
      <c r="A5035" s="9"/>
      <c r="B5035" s="15"/>
      <c r="C5035" s="9">
        <f>IFERROR(__xludf.DUMMYFUNCTION("""COMPUTED_VALUE"""),44744.1343299305)</f>
        <v>44744.13433</v>
      </c>
      <c r="D5035" s="15">
        <f>IFERROR(__xludf.DUMMYFUNCTION("""COMPUTED_VALUE"""),1.004)</f>
        <v>1.004</v>
      </c>
      <c r="E5035" s="16">
        <f>IFERROR(__xludf.DUMMYFUNCTION("""COMPUTED_VALUE"""),69.0)</f>
        <v>69</v>
      </c>
      <c r="F5035" s="19" t="str">
        <f>IFERROR(__xludf.DUMMYFUNCTION("""COMPUTED_VALUE"""),"BLACK")</f>
        <v>BLACK</v>
      </c>
      <c r="G5035" s="20" t="str">
        <f>IFERROR(__xludf.DUMMYFUNCTION("""COMPUTED_VALUE"""),"Uncle Sams Cider (5/13/2022)")</f>
        <v>Uncle Sams Cider (5/13/2022)</v>
      </c>
      <c r="H5035" s="19"/>
    </row>
    <row r="5036">
      <c r="A5036" s="9"/>
      <c r="B5036" s="15"/>
      <c r="C5036" s="9">
        <f>IFERROR(__xludf.DUMMYFUNCTION("""COMPUTED_VALUE"""),44744.1239075694)</f>
        <v>44744.12391</v>
      </c>
      <c r="D5036" s="15">
        <f>IFERROR(__xludf.DUMMYFUNCTION("""COMPUTED_VALUE"""),1.004)</f>
        <v>1.004</v>
      </c>
      <c r="E5036" s="16">
        <f>IFERROR(__xludf.DUMMYFUNCTION("""COMPUTED_VALUE"""),69.0)</f>
        <v>69</v>
      </c>
      <c r="F5036" s="19" t="str">
        <f>IFERROR(__xludf.DUMMYFUNCTION("""COMPUTED_VALUE"""),"BLACK")</f>
        <v>BLACK</v>
      </c>
      <c r="G5036" s="20" t="str">
        <f>IFERROR(__xludf.DUMMYFUNCTION("""COMPUTED_VALUE"""),"Uncle Sams Cider (5/13/2022)")</f>
        <v>Uncle Sams Cider (5/13/2022)</v>
      </c>
      <c r="H5036" s="19"/>
    </row>
    <row r="5037">
      <c r="A5037" s="9"/>
      <c r="B5037" s="15"/>
      <c r="C5037" s="9">
        <f>IFERROR(__xludf.DUMMYFUNCTION("""COMPUTED_VALUE"""),44744.1134862615)</f>
        <v>44744.11349</v>
      </c>
      <c r="D5037" s="15">
        <f>IFERROR(__xludf.DUMMYFUNCTION("""COMPUTED_VALUE"""),1.005)</f>
        <v>1.005</v>
      </c>
      <c r="E5037" s="16">
        <f>IFERROR(__xludf.DUMMYFUNCTION("""COMPUTED_VALUE"""),69.0)</f>
        <v>69</v>
      </c>
      <c r="F5037" s="19" t="str">
        <f>IFERROR(__xludf.DUMMYFUNCTION("""COMPUTED_VALUE"""),"BLACK")</f>
        <v>BLACK</v>
      </c>
      <c r="G5037" s="20" t="str">
        <f>IFERROR(__xludf.DUMMYFUNCTION("""COMPUTED_VALUE"""),"Uncle Sams Cider (5/13/2022)")</f>
        <v>Uncle Sams Cider (5/13/2022)</v>
      </c>
      <c r="H5037" s="19"/>
    </row>
    <row r="5038">
      <c r="A5038" s="9"/>
      <c r="B5038" s="15"/>
      <c r="C5038" s="9">
        <f>IFERROR(__xludf.DUMMYFUNCTION("""COMPUTED_VALUE"""),44744.1030661458)</f>
        <v>44744.10307</v>
      </c>
      <c r="D5038" s="15">
        <f>IFERROR(__xludf.DUMMYFUNCTION("""COMPUTED_VALUE"""),1.005)</f>
        <v>1.005</v>
      </c>
      <c r="E5038" s="16">
        <f>IFERROR(__xludf.DUMMYFUNCTION("""COMPUTED_VALUE"""),69.0)</f>
        <v>69</v>
      </c>
      <c r="F5038" s="19" t="str">
        <f>IFERROR(__xludf.DUMMYFUNCTION("""COMPUTED_VALUE"""),"BLACK")</f>
        <v>BLACK</v>
      </c>
      <c r="G5038" s="20" t="str">
        <f>IFERROR(__xludf.DUMMYFUNCTION("""COMPUTED_VALUE"""),"Uncle Sams Cider (5/13/2022)")</f>
        <v>Uncle Sams Cider (5/13/2022)</v>
      </c>
      <c r="H5038" s="19"/>
    </row>
    <row r="5039">
      <c r="A5039" s="9"/>
      <c r="B5039" s="15"/>
      <c r="C5039" s="9">
        <f>IFERROR(__xludf.DUMMYFUNCTION("""COMPUTED_VALUE"""),44744.0926441898)</f>
        <v>44744.09264</v>
      </c>
      <c r="D5039" s="15">
        <f>IFERROR(__xludf.DUMMYFUNCTION("""COMPUTED_VALUE"""),1.004)</f>
        <v>1.004</v>
      </c>
      <c r="E5039" s="16">
        <f>IFERROR(__xludf.DUMMYFUNCTION("""COMPUTED_VALUE"""),69.0)</f>
        <v>69</v>
      </c>
      <c r="F5039" s="19" t="str">
        <f>IFERROR(__xludf.DUMMYFUNCTION("""COMPUTED_VALUE"""),"BLACK")</f>
        <v>BLACK</v>
      </c>
      <c r="G5039" s="20" t="str">
        <f>IFERROR(__xludf.DUMMYFUNCTION("""COMPUTED_VALUE"""),"Uncle Sams Cider (5/13/2022)")</f>
        <v>Uncle Sams Cider (5/13/2022)</v>
      </c>
      <c r="H5039" s="19"/>
    </row>
    <row r="5040">
      <c r="A5040" s="9"/>
      <c r="B5040" s="15"/>
      <c r="C5040" s="9">
        <f>IFERROR(__xludf.DUMMYFUNCTION("""COMPUTED_VALUE"""),44744.0822222222)</f>
        <v>44744.08222</v>
      </c>
      <c r="D5040" s="15">
        <f>IFERROR(__xludf.DUMMYFUNCTION("""COMPUTED_VALUE"""),1.005)</f>
        <v>1.005</v>
      </c>
      <c r="E5040" s="16">
        <f>IFERROR(__xludf.DUMMYFUNCTION("""COMPUTED_VALUE"""),69.0)</f>
        <v>69</v>
      </c>
      <c r="F5040" s="19" t="str">
        <f>IFERROR(__xludf.DUMMYFUNCTION("""COMPUTED_VALUE"""),"BLACK")</f>
        <v>BLACK</v>
      </c>
      <c r="G5040" s="20" t="str">
        <f>IFERROR(__xludf.DUMMYFUNCTION("""COMPUTED_VALUE"""),"Uncle Sams Cider (5/13/2022)")</f>
        <v>Uncle Sams Cider (5/13/2022)</v>
      </c>
      <c r="H5040" s="19"/>
    </row>
    <row r="5041">
      <c r="A5041" s="9"/>
      <c r="B5041" s="15"/>
      <c r="C5041" s="9">
        <f>IFERROR(__xludf.DUMMYFUNCTION("""COMPUTED_VALUE"""),44744.0717908564)</f>
        <v>44744.07179</v>
      </c>
      <c r="D5041" s="15">
        <f>IFERROR(__xludf.DUMMYFUNCTION("""COMPUTED_VALUE"""),1.005)</f>
        <v>1.005</v>
      </c>
      <c r="E5041" s="16">
        <f>IFERROR(__xludf.DUMMYFUNCTION("""COMPUTED_VALUE"""),69.0)</f>
        <v>69</v>
      </c>
      <c r="F5041" s="19" t="str">
        <f>IFERROR(__xludf.DUMMYFUNCTION("""COMPUTED_VALUE"""),"BLACK")</f>
        <v>BLACK</v>
      </c>
      <c r="G5041" s="20" t="str">
        <f>IFERROR(__xludf.DUMMYFUNCTION("""COMPUTED_VALUE"""),"Uncle Sams Cider (5/13/2022)")</f>
        <v>Uncle Sams Cider (5/13/2022)</v>
      </c>
      <c r="H5041" s="19"/>
    </row>
    <row r="5042">
      <c r="A5042" s="9"/>
      <c r="B5042" s="15"/>
      <c r="C5042" s="9">
        <f>IFERROR(__xludf.DUMMYFUNCTION("""COMPUTED_VALUE"""),44744.0613687615)</f>
        <v>44744.06137</v>
      </c>
      <c r="D5042" s="15">
        <f>IFERROR(__xludf.DUMMYFUNCTION("""COMPUTED_VALUE"""),1.004)</f>
        <v>1.004</v>
      </c>
      <c r="E5042" s="16">
        <f>IFERROR(__xludf.DUMMYFUNCTION("""COMPUTED_VALUE"""),69.0)</f>
        <v>69</v>
      </c>
      <c r="F5042" s="19" t="str">
        <f>IFERROR(__xludf.DUMMYFUNCTION("""COMPUTED_VALUE"""),"BLACK")</f>
        <v>BLACK</v>
      </c>
      <c r="G5042" s="20" t="str">
        <f>IFERROR(__xludf.DUMMYFUNCTION("""COMPUTED_VALUE"""),"Uncle Sams Cider (5/13/2022)")</f>
        <v>Uncle Sams Cider (5/13/2022)</v>
      </c>
      <c r="H5042" s="19"/>
    </row>
    <row r="5043">
      <c r="A5043" s="9"/>
      <c r="B5043" s="15"/>
      <c r="C5043" s="9">
        <f>IFERROR(__xludf.DUMMYFUNCTION("""COMPUTED_VALUE"""),44744.0509487731)</f>
        <v>44744.05095</v>
      </c>
      <c r="D5043" s="15">
        <f>IFERROR(__xludf.DUMMYFUNCTION("""COMPUTED_VALUE"""),1.004)</f>
        <v>1.004</v>
      </c>
      <c r="E5043" s="16">
        <f>IFERROR(__xludf.DUMMYFUNCTION("""COMPUTED_VALUE"""),69.0)</f>
        <v>69</v>
      </c>
      <c r="F5043" s="19" t="str">
        <f>IFERROR(__xludf.DUMMYFUNCTION("""COMPUTED_VALUE"""),"BLACK")</f>
        <v>BLACK</v>
      </c>
      <c r="G5043" s="20" t="str">
        <f>IFERROR(__xludf.DUMMYFUNCTION("""COMPUTED_VALUE"""),"Uncle Sams Cider (5/13/2022)")</f>
        <v>Uncle Sams Cider (5/13/2022)</v>
      </c>
      <c r="H5043" s="19"/>
    </row>
    <row r="5044">
      <c r="A5044" s="9"/>
      <c r="B5044" s="15"/>
      <c r="C5044" s="9">
        <f>IFERROR(__xludf.DUMMYFUNCTION("""COMPUTED_VALUE"""),44744.0405295138)</f>
        <v>44744.04053</v>
      </c>
      <c r="D5044" s="15">
        <f>IFERROR(__xludf.DUMMYFUNCTION("""COMPUTED_VALUE"""),1.005)</f>
        <v>1.005</v>
      </c>
      <c r="E5044" s="16">
        <f>IFERROR(__xludf.DUMMYFUNCTION("""COMPUTED_VALUE"""),69.0)</f>
        <v>69</v>
      </c>
      <c r="F5044" s="19" t="str">
        <f>IFERROR(__xludf.DUMMYFUNCTION("""COMPUTED_VALUE"""),"BLACK")</f>
        <v>BLACK</v>
      </c>
      <c r="G5044" s="20" t="str">
        <f>IFERROR(__xludf.DUMMYFUNCTION("""COMPUTED_VALUE"""),"Uncle Sams Cider (5/13/2022)")</f>
        <v>Uncle Sams Cider (5/13/2022)</v>
      </c>
      <c r="H5044" s="19"/>
    </row>
    <row r="5045">
      <c r="A5045" s="9"/>
      <c r="B5045" s="15"/>
      <c r="C5045" s="9">
        <f>IFERROR(__xludf.DUMMYFUNCTION("""COMPUTED_VALUE"""),44744.0300967592)</f>
        <v>44744.0301</v>
      </c>
      <c r="D5045" s="15">
        <f>IFERROR(__xludf.DUMMYFUNCTION("""COMPUTED_VALUE"""),1.005)</f>
        <v>1.005</v>
      </c>
      <c r="E5045" s="16">
        <f>IFERROR(__xludf.DUMMYFUNCTION("""COMPUTED_VALUE"""),69.0)</f>
        <v>69</v>
      </c>
      <c r="F5045" s="19" t="str">
        <f>IFERROR(__xludf.DUMMYFUNCTION("""COMPUTED_VALUE"""),"BLACK")</f>
        <v>BLACK</v>
      </c>
      <c r="G5045" s="20" t="str">
        <f>IFERROR(__xludf.DUMMYFUNCTION("""COMPUTED_VALUE"""),"Uncle Sams Cider (5/13/2022)")</f>
        <v>Uncle Sams Cider (5/13/2022)</v>
      </c>
      <c r="H5045" s="19"/>
    </row>
    <row r="5046">
      <c r="A5046" s="9"/>
      <c r="B5046" s="15"/>
      <c r="C5046" s="9">
        <f>IFERROR(__xludf.DUMMYFUNCTION("""COMPUTED_VALUE"""),44744.0196757407)</f>
        <v>44744.01968</v>
      </c>
      <c r="D5046" s="15">
        <f>IFERROR(__xludf.DUMMYFUNCTION("""COMPUTED_VALUE"""),1.004)</f>
        <v>1.004</v>
      </c>
      <c r="E5046" s="16">
        <f>IFERROR(__xludf.DUMMYFUNCTION("""COMPUTED_VALUE"""),69.0)</f>
        <v>69</v>
      </c>
      <c r="F5046" s="19" t="str">
        <f>IFERROR(__xludf.DUMMYFUNCTION("""COMPUTED_VALUE"""),"BLACK")</f>
        <v>BLACK</v>
      </c>
      <c r="G5046" s="20" t="str">
        <f>IFERROR(__xludf.DUMMYFUNCTION("""COMPUTED_VALUE"""),"Uncle Sams Cider (5/13/2022)")</f>
        <v>Uncle Sams Cider (5/13/2022)</v>
      </c>
      <c r="H5046" s="19"/>
    </row>
    <row r="5047">
      <c r="A5047" s="9"/>
      <c r="B5047" s="15"/>
      <c r="C5047" s="9">
        <f>IFERROR(__xludf.DUMMYFUNCTION("""COMPUTED_VALUE"""),44744.009254074)</f>
        <v>44744.00925</v>
      </c>
      <c r="D5047" s="15">
        <f>IFERROR(__xludf.DUMMYFUNCTION("""COMPUTED_VALUE"""),1.005)</f>
        <v>1.005</v>
      </c>
      <c r="E5047" s="16">
        <f>IFERROR(__xludf.DUMMYFUNCTION("""COMPUTED_VALUE"""),69.0)</f>
        <v>69</v>
      </c>
      <c r="F5047" s="19" t="str">
        <f>IFERROR(__xludf.DUMMYFUNCTION("""COMPUTED_VALUE"""),"BLACK")</f>
        <v>BLACK</v>
      </c>
      <c r="G5047" s="20" t="str">
        <f>IFERROR(__xludf.DUMMYFUNCTION("""COMPUTED_VALUE"""),"Uncle Sams Cider (5/13/2022)")</f>
        <v>Uncle Sams Cider (5/13/2022)</v>
      </c>
      <c r="H5047" s="19"/>
    </row>
    <row r="5048">
      <c r="A5048" s="9"/>
      <c r="B5048" s="15"/>
      <c r="C5048" s="9">
        <f>IFERROR(__xludf.DUMMYFUNCTION("""COMPUTED_VALUE"""),44743.9988332175)</f>
        <v>44743.99883</v>
      </c>
      <c r="D5048" s="15">
        <f>IFERROR(__xludf.DUMMYFUNCTION("""COMPUTED_VALUE"""),1.005)</f>
        <v>1.005</v>
      </c>
      <c r="E5048" s="16">
        <f>IFERROR(__xludf.DUMMYFUNCTION("""COMPUTED_VALUE"""),69.0)</f>
        <v>69</v>
      </c>
      <c r="F5048" s="19" t="str">
        <f>IFERROR(__xludf.DUMMYFUNCTION("""COMPUTED_VALUE"""),"BLACK")</f>
        <v>BLACK</v>
      </c>
      <c r="G5048" s="20" t="str">
        <f>IFERROR(__xludf.DUMMYFUNCTION("""COMPUTED_VALUE"""),"Uncle Sams Cider (5/13/2022)")</f>
        <v>Uncle Sams Cider (5/13/2022)</v>
      </c>
      <c r="H5048" s="19"/>
    </row>
    <row r="5049">
      <c r="A5049" s="9"/>
      <c r="B5049" s="15"/>
      <c r="C5049" s="9">
        <f>IFERROR(__xludf.DUMMYFUNCTION("""COMPUTED_VALUE"""),44743.9884111458)</f>
        <v>44743.98841</v>
      </c>
      <c r="D5049" s="15">
        <f>IFERROR(__xludf.DUMMYFUNCTION("""COMPUTED_VALUE"""),1.004)</f>
        <v>1.004</v>
      </c>
      <c r="E5049" s="16">
        <f>IFERROR(__xludf.DUMMYFUNCTION("""COMPUTED_VALUE"""),69.0)</f>
        <v>69</v>
      </c>
      <c r="F5049" s="19" t="str">
        <f>IFERROR(__xludf.DUMMYFUNCTION("""COMPUTED_VALUE"""),"BLACK")</f>
        <v>BLACK</v>
      </c>
      <c r="G5049" s="20" t="str">
        <f>IFERROR(__xludf.DUMMYFUNCTION("""COMPUTED_VALUE"""),"Uncle Sams Cider (5/13/2022)")</f>
        <v>Uncle Sams Cider (5/13/2022)</v>
      </c>
      <c r="H5049" s="19"/>
    </row>
    <row r="5050">
      <c r="A5050" s="9"/>
      <c r="B5050" s="15"/>
      <c r="C5050" s="9">
        <f>IFERROR(__xludf.DUMMYFUNCTION("""COMPUTED_VALUE"""),44743.9779904976)</f>
        <v>44743.97799</v>
      </c>
      <c r="D5050" s="15">
        <f>IFERROR(__xludf.DUMMYFUNCTION("""COMPUTED_VALUE"""),1.005)</f>
        <v>1.005</v>
      </c>
      <c r="E5050" s="16">
        <f>IFERROR(__xludf.DUMMYFUNCTION("""COMPUTED_VALUE"""),69.0)</f>
        <v>69</v>
      </c>
      <c r="F5050" s="19" t="str">
        <f>IFERROR(__xludf.DUMMYFUNCTION("""COMPUTED_VALUE"""),"BLACK")</f>
        <v>BLACK</v>
      </c>
      <c r="G5050" s="20" t="str">
        <f>IFERROR(__xludf.DUMMYFUNCTION("""COMPUTED_VALUE"""),"Uncle Sams Cider (5/13/2022)")</f>
        <v>Uncle Sams Cider (5/13/2022)</v>
      </c>
      <c r="H5050" s="19"/>
    </row>
    <row r="5051">
      <c r="A5051" s="9"/>
      <c r="B5051" s="15"/>
      <c r="C5051" s="9">
        <f>IFERROR(__xludf.DUMMYFUNCTION("""COMPUTED_VALUE"""),44743.967568287)</f>
        <v>44743.96757</v>
      </c>
      <c r="D5051" s="15">
        <f>IFERROR(__xludf.DUMMYFUNCTION("""COMPUTED_VALUE"""),1.005)</f>
        <v>1.005</v>
      </c>
      <c r="E5051" s="16">
        <f>IFERROR(__xludf.DUMMYFUNCTION("""COMPUTED_VALUE"""),69.0)</f>
        <v>69</v>
      </c>
      <c r="F5051" s="19" t="str">
        <f>IFERROR(__xludf.DUMMYFUNCTION("""COMPUTED_VALUE"""),"BLACK")</f>
        <v>BLACK</v>
      </c>
      <c r="G5051" s="20" t="str">
        <f>IFERROR(__xludf.DUMMYFUNCTION("""COMPUTED_VALUE"""),"Uncle Sams Cider (5/13/2022)")</f>
        <v>Uncle Sams Cider (5/13/2022)</v>
      </c>
      <c r="H5051" s="19"/>
    </row>
    <row r="5052">
      <c r="A5052" s="9"/>
      <c r="B5052" s="15"/>
      <c r="C5052" s="9">
        <f>IFERROR(__xludf.DUMMYFUNCTION("""COMPUTED_VALUE"""),44743.9571458564)</f>
        <v>44743.95715</v>
      </c>
      <c r="D5052" s="15">
        <f>IFERROR(__xludf.DUMMYFUNCTION("""COMPUTED_VALUE"""),1.005)</f>
        <v>1.005</v>
      </c>
      <c r="E5052" s="16">
        <f>IFERROR(__xludf.DUMMYFUNCTION("""COMPUTED_VALUE"""),69.0)</f>
        <v>69</v>
      </c>
      <c r="F5052" s="19" t="str">
        <f>IFERROR(__xludf.DUMMYFUNCTION("""COMPUTED_VALUE"""),"BLACK")</f>
        <v>BLACK</v>
      </c>
      <c r="G5052" s="20" t="str">
        <f>IFERROR(__xludf.DUMMYFUNCTION("""COMPUTED_VALUE"""),"Uncle Sams Cider (5/13/2022)")</f>
        <v>Uncle Sams Cider (5/13/2022)</v>
      </c>
      <c r="H5052" s="19"/>
    </row>
    <row r="5053">
      <c r="A5053" s="9"/>
      <c r="B5053" s="15"/>
      <c r="C5053" s="9">
        <f>IFERROR(__xludf.DUMMYFUNCTION("""COMPUTED_VALUE"""),44743.9467245023)</f>
        <v>44743.94672</v>
      </c>
      <c r="D5053" s="15">
        <f>IFERROR(__xludf.DUMMYFUNCTION("""COMPUTED_VALUE"""),1.005)</f>
        <v>1.005</v>
      </c>
      <c r="E5053" s="16">
        <f>IFERROR(__xludf.DUMMYFUNCTION("""COMPUTED_VALUE"""),69.0)</f>
        <v>69</v>
      </c>
      <c r="F5053" s="19" t="str">
        <f>IFERROR(__xludf.DUMMYFUNCTION("""COMPUTED_VALUE"""),"BLACK")</f>
        <v>BLACK</v>
      </c>
      <c r="G5053" s="20" t="str">
        <f>IFERROR(__xludf.DUMMYFUNCTION("""COMPUTED_VALUE"""),"Uncle Sams Cider (5/13/2022)")</f>
        <v>Uncle Sams Cider (5/13/2022)</v>
      </c>
      <c r="H5053" s="19"/>
    </row>
    <row r="5054">
      <c r="A5054" s="9"/>
      <c r="B5054" s="15"/>
      <c r="C5054" s="9">
        <f>IFERROR(__xludf.DUMMYFUNCTION("""COMPUTED_VALUE"""),44743.9363033796)</f>
        <v>44743.9363</v>
      </c>
      <c r="D5054" s="15">
        <f>IFERROR(__xludf.DUMMYFUNCTION("""COMPUTED_VALUE"""),1.005)</f>
        <v>1.005</v>
      </c>
      <c r="E5054" s="16">
        <f>IFERROR(__xludf.DUMMYFUNCTION("""COMPUTED_VALUE"""),69.0)</f>
        <v>69</v>
      </c>
      <c r="F5054" s="19" t="str">
        <f>IFERROR(__xludf.DUMMYFUNCTION("""COMPUTED_VALUE"""),"BLACK")</f>
        <v>BLACK</v>
      </c>
      <c r="G5054" s="20" t="str">
        <f>IFERROR(__xludf.DUMMYFUNCTION("""COMPUTED_VALUE"""),"Uncle Sams Cider (5/13/2022)")</f>
        <v>Uncle Sams Cider (5/13/2022)</v>
      </c>
      <c r="H5054" s="19"/>
    </row>
    <row r="5055">
      <c r="A5055" s="9"/>
      <c r="B5055" s="15"/>
      <c r="C5055" s="9">
        <f>IFERROR(__xludf.DUMMYFUNCTION("""COMPUTED_VALUE"""),44743.925881574)</f>
        <v>44743.92588</v>
      </c>
      <c r="D5055" s="15">
        <f>IFERROR(__xludf.DUMMYFUNCTION("""COMPUTED_VALUE"""),1.004)</f>
        <v>1.004</v>
      </c>
      <c r="E5055" s="16">
        <f>IFERROR(__xludf.DUMMYFUNCTION("""COMPUTED_VALUE"""),69.0)</f>
        <v>69</v>
      </c>
      <c r="F5055" s="19" t="str">
        <f>IFERROR(__xludf.DUMMYFUNCTION("""COMPUTED_VALUE"""),"BLACK")</f>
        <v>BLACK</v>
      </c>
      <c r="G5055" s="20" t="str">
        <f>IFERROR(__xludf.DUMMYFUNCTION("""COMPUTED_VALUE"""),"Uncle Sams Cider (5/13/2022)")</f>
        <v>Uncle Sams Cider (5/13/2022)</v>
      </c>
      <c r="H5055" s="19"/>
    </row>
    <row r="5056">
      <c r="A5056" s="9"/>
      <c r="B5056" s="15"/>
      <c r="C5056" s="9">
        <f>IFERROR(__xludf.DUMMYFUNCTION("""COMPUTED_VALUE"""),44743.9154608449)</f>
        <v>44743.91546</v>
      </c>
      <c r="D5056" s="15">
        <f>IFERROR(__xludf.DUMMYFUNCTION("""COMPUTED_VALUE"""),1.005)</f>
        <v>1.005</v>
      </c>
      <c r="E5056" s="16">
        <f>IFERROR(__xludf.DUMMYFUNCTION("""COMPUTED_VALUE"""),69.0)</f>
        <v>69</v>
      </c>
      <c r="F5056" s="19" t="str">
        <f>IFERROR(__xludf.DUMMYFUNCTION("""COMPUTED_VALUE"""),"BLACK")</f>
        <v>BLACK</v>
      </c>
      <c r="G5056" s="20" t="str">
        <f>IFERROR(__xludf.DUMMYFUNCTION("""COMPUTED_VALUE"""),"Uncle Sams Cider (5/13/2022)")</f>
        <v>Uncle Sams Cider (5/13/2022)</v>
      </c>
      <c r="H5056" s="19"/>
    </row>
    <row r="5057">
      <c r="A5057" s="9"/>
      <c r="B5057" s="15"/>
      <c r="C5057" s="9">
        <f>IFERROR(__xludf.DUMMYFUNCTION("""COMPUTED_VALUE"""),44743.9050385648)</f>
        <v>44743.90504</v>
      </c>
      <c r="D5057" s="15">
        <f>IFERROR(__xludf.DUMMYFUNCTION("""COMPUTED_VALUE"""),1.005)</f>
        <v>1.005</v>
      </c>
      <c r="E5057" s="16">
        <f>IFERROR(__xludf.DUMMYFUNCTION("""COMPUTED_VALUE"""),69.0)</f>
        <v>69</v>
      </c>
      <c r="F5057" s="19" t="str">
        <f>IFERROR(__xludf.DUMMYFUNCTION("""COMPUTED_VALUE"""),"BLACK")</f>
        <v>BLACK</v>
      </c>
      <c r="G5057" s="20" t="str">
        <f>IFERROR(__xludf.DUMMYFUNCTION("""COMPUTED_VALUE"""),"Uncle Sams Cider (5/13/2022)")</f>
        <v>Uncle Sams Cider (5/13/2022)</v>
      </c>
      <c r="H5057" s="19"/>
    </row>
    <row r="5058">
      <c r="A5058" s="9"/>
      <c r="B5058" s="15"/>
      <c r="C5058" s="9">
        <f>IFERROR(__xludf.DUMMYFUNCTION("""COMPUTED_VALUE"""),44743.8946173611)</f>
        <v>44743.89462</v>
      </c>
      <c r="D5058" s="15">
        <f>IFERROR(__xludf.DUMMYFUNCTION("""COMPUTED_VALUE"""),1.004)</f>
        <v>1.004</v>
      </c>
      <c r="E5058" s="16">
        <f>IFERROR(__xludf.DUMMYFUNCTION("""COMPUTED_VALUE"""),69.0)</f>
        <v>69</v>
      </c>
      <c r="F5058" s="19" t="str">
        <f>IFERROR(__xludf.DUMMYFUNCTION("""COMPUTED_VALUE"""),"BLACK")</f>
        <v>BLACK</v>
      </c>
      <c r="G5058" s="20" t="str">
        <f>IFERROR(__xludf.DUMMYFUNCTION("""COMPUTED_VALUE"""),"Uncle Sams Cider (5/13/2022)")</f>
        <v>Uncle Sams Cider (5/13/2022)</v>
      </c>
      <c r="H5058" s="19"/>
    </row>
    <row r="5059">
      <c r="A5059" s="9"/>
      <c r="B5059" s="15"/>
      <c r="C5059" s="9">
        <f>IFERROR(__xludf.DUMMYFUNCTION("""COMPUTED_VALUE"""),44743.8841942708)</f>
        <v>44743.88419</v>
      </c>
      <c r="D5059" s="15">
        <f>IFERROR(__xludf.DUMMYFUNCTION("""COMPUTED_VALUE"""),1.005)</f>
        <v>1.005</v>
      </c>
      <c r="E5059" s="16">
        <f>IFERROR(__xludf.DUMMYFUNCTION("""COMPUTED_VALUE"""),69.0)</f>
        <v>69</v>
      </c>
      <c r="F5059" s="19" t="str">
        <f>IFERROR(__xludf.DUMMYFUNCTION("""COMPUTED_VALUE"""),"BLACK")</f>
        <v>BLACK</v>
      </c>
      <c r="G5059" s="20" t="str">
        <f>IFERROR(__xludf.DUMMYFUNCTION("""COMPUTED_VALUE"""),"Uncle Sams Cider (5/13/2022)")</f>
        <v>Uncle Sams Cider (5/13/2022)</v>
      </c>
      <c r="H5059" s="19"/>
    </row>
    <row r="5060">
      <c r="A5060" s="9"/>
      <c r="B5060" s="15"/>
      <c r="C5060" s="9">
        <f>IFERROR(__xludf.DUMMYFUNCTION("""COMPUTED_VALUE"""),44743.8737732407)</f>
        <v>44743.87377</v>
      </c>
      <c r="D5060" s="15">
        <f>IFERROR(__xludf.DUMMYFUNCTION("""COMPUTED_VALUE"""),1.005)</f>
        <v>1.005</v>
      </c>
      <c r="E5060" s="16">
        <f>IFERROR(__xludf.DUMMYFUNCTION("""COMPUTED_VALUE"""),69.0)</f>
        <v>69</v>
      </c>
      <c r="F5060" s="19" t="str">
        <f>IFERROR(__xludf.DUMMYFUNCTION("""COMPUTED_VALUE"""),"BLACK")</f>
        <v>BLACK</v>
      </c>
      <c r="G5060" s="20" t="str">
        <f>IFERROR(__xludf.DUMMYFUNCTION("""COMPUTED_VALUE"""),"Uncle Sams Cider (5/13/2022)")</f>
        <v>Uncle Sams Cider (5/13/2022)</v>
      </c>
      <c r="H5060" s="19"/>
    </row>
    <row r="5061">
      <c r="A5061" s="9"/>
      <c r="B5061" s="15"/>
      <c r="C5061" s="9">
        <f>IFERROR(__xludf.DUMMYFUNCTION("""COMPUTED_VALUE"""),44743.8633409606)</f>
        <v>44743.86334</v>
      </c>
      <c r="D5061" s="15">
        <f>IFERROR(__xludf.DUMMYFUNCTION("""COMPUTED_VALUE"""),1.004)</f>
        <v>1.004</v>
      </c>
      <c r="E5061" s="16">
        <f>IFERROR(__xludf.DUMMYFUNCTION("""COMPUTED_VALUE"""),69.0)</f>
        <v>69</v>
      </c>
      <c r="F5061" s="19" t="str">
        <f>IFERROR(__xludf.DUMMYFUNCTION("""COMPUTED_VALUE"""),"BLACK")</f>
        <v>BLACK</v>
      </c>
      <c r="G5061" s="20" t="str">
        <f>IFERROR(__xludf.DUMMYFUNCTION("""COMPUTED_VALUE"""),"Uncle Sams Cider (5/13/2022)")</f>
        <v>Uncle Sams Cider (5/13/2022)</v>
      </c>
      <c r="H5061" s="19"/>
    </row>
    <row r="5062">
      <c r="A5062" s="9"/>
      <c r="B5062" s="15"/>
      <c r="C5062" s="9">
        <f>IFERROR(__xludf.DUMMYFUNCTION("""COMPUTED_VALUE"""),44743.8529185648)</f>
        <v>44743.85292</v>
      </c>
      <c r="D5062" s="15">
        <f>IFERROR(__xludf.DUMMYFUNCTION("""COMPUTED_VALUE"""),1.005)</f>
        <v>1.005</v>
      </c>
      <c r="E5062" s="16">
        <f>IFERROR(__xludf.DUMMYFUNCTION("""COMPUTED_VALUE"""),69.0)</f>
        <v>69</v>
      </c>
      <c r="F5062" s="19" t="str">
        <f>IFERROR(__xludf.DUMMYFUNCTION("""COMPUTED_VALUE"""),"BLACK")</f>
        <v>BLACK</v>
      </c>
      <c r="G5062" s="20" t="str">
        <f>IFERROR(__xludf.DUMMYFUNCTION("""COMPUTED_VALUE"""),"Uncle Sams Cider (5/13/2022)")</f>
        <v>Uncle Sams Cider (5/13/2022)</v>
      </c>
      <c r="H5062" s="19"/>
    </row>
    <row r="5063">
      <c r="A5063" s="9"/>
      <c r="B5063" s="15"/>
      <c r="C5063" s="9">
        <f>IFERROR(__xludf.DUMMYFUNCTION("""COMPUTED_VALUE"""),44743.8424976273)</f>
        <v>44743.8425</v>
      </c>
      <c r="D5063" s="15">
        <f>IFERROR(__xludf.DUMMYFUNCTION("""COMPUTED_VALUE"""),1.004)</f>
        <v>1.004</v>
      </c>
      <c r="E5063" s="16">
        <f>IFERROR(__xludf.DUMMYFUNCTION("""COMPUTED_VALUE"""),69.0)</f>
        <v>69</v>
      </c>
      <c r="F5063" s="19" t="str">
        <f>IFERROR(__xludf.DUMMYFUNCTION("""COMPUTED_VALUE"""),"BLACK")</f>
        <v>BLACK</v>
      </c>
      <c r="G5063" s="20" t="str">
        <f>IFERROR(__xludf.DUMMYFUNCTION("""COMPUTED_VALUE"""),"Uncle Sams Cider (5/13/2022)")</f>
        <v>Uncle Sams Cider (5/13/2022)</v>
      </c>
      <c r="H5063" s="19"/>
    </row>
    <row r="5064">
      <c r="A5064" s="9"/>
      <c r="B5064" s="15"/>
      <c r="C5064" s="9">
        <f>IFERROR(__xludf.DUMMYFUNCTION("""COMPUTED_VALUE"""),44743.8320762963)</f>
        <v>44743.83208</v>
      </c>
      <c r="D5064" s="15">
        <f>IFERROR(__xludf.DUMMYFUNCTION("""COMPUTED_VALUE"""),1.004)</f>
        <v>1.004</v>
      </c>
      <c r="E5064" s="16">
        <f>IFERROR(__xludf.DUMMYFUNCTION("""COMPUTED_VALUE"""),69.0)</f>
        <v>69</v>
      </c>
      <c r="F5064" s="19" t="str">
        <f>IFERROR(__xludf.DUMMYFUNCTION("""COMPUTED_VALUE"""),"BLACK")</f>
        <v>BLACK</v>
      </c>
      <c r="G5064" s="20" t="str">
        <f>IFERROR(__xludf.DUMMYFUNCTION("""COMPUTED_VALUE"""),"Uncle Sams Cider (5/13/2022)")</f>
        <v>Uncle Sams Cider (5/13/2022)</v>
      </c>
      <c r="H5064" s="19"/>
    </row>
    <row r="5065">
      <c r="A5065" s="9"/>
      <c r="B5065" s="15"/>
      <c r="C5065" s="9">
        <f>IFERROR(__xludf.DUMMYFUNCTION("""COMPUTED_VALUE"""),44743.8216558796)</f>
        <v>44743.82166</v>
      </c>
      <c r="D5065" s="15">
        <f>IFERROR(__xludf.DUMMYFUNCTION("""COMPUTED_VALUE"""),1.004)</f>
        <v>1.004</v>
      </c>
      <c r="E5065" s="16">
        <f>IFERROR(__xludf.DUMMYFUNCTION("""COMPUTED_VALUE"""),69.0)</f>
        <v>69</v>
      </c>
      <c r="F5065" s="19" t="str">
        <f>IFERROR(__xludf.DUMMYFUNCTION("""COMPUTED_VALUE"""),"BLACK")</f>
        <v>BLACK</v>
      </c>
      <c r="G5065" s="20" t="str">
        <f>IFERROR(__xludf.DUMMYFUNCTION("""COMPUTED_VALUE"""),"Uncle Sams Cider (5/13/2022)")</f>
        <v>Uncle Sams Cider (5/13/2022)</v>
      </c>
      <c r="H5065" s="19"/>
    </row>
    <row r="5066">
      <c r="A5066" s="9"/>
      <c r="B5066" s="15"/>
      <c r="C5066" s="9">
        <f>IFERROR(__xludf.DUMMYFUNCTION("""COMPUTED_VALUE"""),44743.8112337963)</f>
        <v>44743.81123</v>
      </c>
      <c r="D5066" s="15">
        <f>IFERROR(__xludf.DUMMYFUNCTION("""COMPUTED_VALUE"""),1.004)</f>
        <v>1.004</v>
      </c>
      <c r="E5066" s="16">
        <f>IFERROR(__xludf.DUMMYFUNCTION("""COMPUTED_VALUE"""),69.0)</f>
        <v>69</v>
      </c>
      <c r="F5066" s="19" t="str">
        <f>IFERROR(__xludf.DUMMYFUNCTION("""COMPUTED_VALUE"""),"BLACK")</f>
        <v>BLACK</v>
      </c>
      <c r="G5066" s="20" t="str">
        <f>IFERROR(__xludf.DUMMYFUNCTION("""COMPUTED_VALUE"""),"Uncle Sams Cider (5/13/2022)")</f>
        <v>Uncle Sams Cider (5/13/2022)</v>
      </c>
      <c r="H5066" s="19"/>
    </row>
    <row r="5067">
      <c r="A5067" s="9"/>
      <c r="B5067" s="15"/>
      <c r="C5067" s="9">
        <f>IFERROR(__xludf.DUMMYFUNCTION("""COMPUTED_VALUE"""),44743.8008123379)</f>
        <v>44743.80081</v>
      </c>
      <c r="D5067" s="15">
        <f>IFERROR(__xludf.DUMMYFUNCTION("""COMPUTED_VALUE"""),1.005)</f>
        <v>1.005</v>
      </c>
      <c r="E5067" s="16">
        <f>IFERROR(__xludf.DUMMYFUNCTION("""COMPUTED_VALUE"""),69.0)</f>
        <v>69</v>
      </c>
      <c r="F5067" s="19" t="str">
        <f>IFERROR(__xludf.DUMMYFUNCTION("""COMPUTED_VALUE"""),"BLACK")</f>
        <v>BLACK</v>
      </c>
      <c r="G5067" s="20" t="str">
        <f>IFERROR(__xludf.DUMMYFUNCTION("""COMPUTED_VALUE"""),"Uncle Sams Cider (5/13/2022)")</f>
        <v>Uncle Sams Cider (5/13/2022)</v>
      </c>
      <c r="H5067" s="19"/>
    </row>
    <row r="5068">
      <c r="A5068" s="9"/>
      <c r="B5068" s="15"/>
      <c r="C5068" s="9">
        <f>IFERROR(__xludf.DUMMYFUNCTION("""COMPUTED_VALUE"""),44743.7903905555)</f>
        <v>44743.79039</v>
      </c>
      <c r="D5068" s="15">
        <f>IFERROR(__xludf.DUMMYFUNCTION("""COMPUTED_VALUE"""),1.004)</f>
        <v>1.004</v>
      </c>
      <c r="E5068" s="16">
        <f>IFERROR(__xludf.DUMMYFUNCTION("""COMPUTED_VALUE"""),69.0)</f>
        <v>69</v>
      </c>
      <c r="F5068" s="19" t="str">
        <f>IFERROR(__xludf.DUMMYFUNCTION("""COMPUTED_VALUE"""),"BLACK")</f>
        <v>BLACK</v>
      </c>
      <c r="G5068" s="20" t="str">
        <f>IFERROR(__xludf.DUMMYFUNCTION("""COMPUTED_VALUE"""),"Uncle Sams Cider (5/13/2022)")</f>
        <v>Uncle Sams Cider (5/13/2022)</v>
      </c>
      <c r="H5068" s="19"/>
    </row>
    <row r="5069">
      <c r="A5069" s="9"/>
      <c r="B5069" s="15"/>
      <c r="C5069" s="9">
        <f>IFERROR(__xludf.DUMMYFUNCTION("""COMPUTED_VALUE"""),44743.7799688773)</f>
        <v>44743.77997</v>
      </c>
      <c r="D5069" s="15">
        <f>IFERROR(__xludf.DUMMYFUNCTION("""COMPUTED_VALUE"""),1.005)</f>
        <v>1.005</v>
      </c>
      <c r="E5069" s="16">
        <f>IFERROR(__xludf.DUMMYFUNCTION("""COMPUTED_VALUE"""),69.0)</f>
        <v>69</v>
      </c>
      <c r="F5069" s="19" t="str">
        <f>IFERROR(__xludf.DUMMYFUNCTION("""COMPUTED_VALUE"""),"BLACK")</f>
        <v>BLACK</v>
      </c>
      <c r="G5069" s="20" t="str">
        <f>IFERROR(__xludf.DUMMYFUNCTION("""COMPUTED_VALUE"""),"Uncle Sams Cider (5/13/2022)")</f>
        <v>Uncle Sams Cider (5/13/2022)</v>
      </c>
      <c r="H5069" s="19"/>
    </row>
    <row r="5070">
      <c r="A5070" s="9"/>
      <c r="B5070" s="15"/>
      <c r="C5070" s="9">
        <f>IFERROR(__xludf.DUMMYFUNCTION("""COMPUTED_VALUE"""),44743.7695469675)</f>
        <v>44743.76955</v>
      </c>
      <c r="D5070" s="15">
        <f>IFERROR(__xludf.DUMMYFUNCTION("""COMPUTED_VALUE"""),1.005)</f>
        <v>1.005</v>
      </c>
      <c r="E5070" s="16">
        <f>IFERROR(__xludf.DUMMYFUNCTION("""COMPUTED_VALUE"""),69.0)</f>
        <v>69</v>
      </c>
      <c r="F5070" s="19" t="str">
        <f>IFERROR(__xludf.DUMMYFUNCTION("""COMPUTED_VALUE"""),"BLACK")</f>
        <v>BLACK</v>
      </c>
      <c r="G5070" s="20" t="str">
        <f>IFERROR(__xludf.DUMMYFUNCTION("""COMPUTED_VALUE"""),"Uncle Sams Cider (5/13/2022)")</f>
        <v>Uncle Sams Cider (5/13/2022)</v>
      </c>
      <c r="H5070" s="19"/>
    </row>
    <row r="5071">
      <c r="A5071" s="9"/>
      <c r="B5071" s="15"/>
      <c r="C5071" s="9">
        <f>IFERROR(__xludf.DUMMYFUNCTION("""COMPUTED_VALUE"""),44743.7591262152)</f>
        <v>44743.75913</v>
      </c>
      <c r="D5071" s="15">
        <f>IFERROR(__xludf.DUMMYFUNCTION("""COMPUTED_VALUE"""),1.005)</f>
        <v>1.005</v>
      </c>
      <c r="E5071" s="16">
        <f>IFERROR(__xludf.DUMMYFUNCTION("""COMPUTED_VALUE"""),69.0)</f>
        <v>69</v>
      </c>
      <c r="F5071" s="19" t="str">
        <f>IFERROR(__xludf.DUMMYFUNCTION("""COMPUTED_VALUE"""),"BLACK")</f>
        <v>BLACK</v>
      </c>
      <c r="G5071" s="20" t="str">
        <f>IFERROR(__xludf.DUMMYFUNCTION("""COMPUTED_VALUE"""),"Uncle Sams Cider (5/13/2022)")</f>
        <v>Uncle Sams Cider (5/13/2022)</v>
      </c>
      <c r="H5071" s="19"/>
    </row>
    <row r="5072">
      <c r="A5072" s="9"/>
      <c r="B5072" s="15"/>
      <c r="C5072" s="9">
        <f>IFERROR(__xludf.DUMMYFUNCTION("""COMPUTED_VALUE"""),44743.7487038773)</f>
        <v>44743.7487</v>
      </c>
      <c r="D5072" s="15">
        <f>IFERROR(__xludf.DUMMYFUNCTION("""COMPUTED_VALUE"""),1.005)</f>
        <v>1.005</v>
      </c>
      <c r="E5072" s="16">
        <f>IFERROR(__xludf.DUMMYFUNCTION("""COMPUTED_VALUE"""),69.0)</f>
        <v>69</v>
      </c>
      <c r="F5072" s="19" t="str">
        <f>IFERROR(__xludf.DUMMYFUNCTION("""COMPUTED_VALUE"""),"BLACK")</f>
        <v>BLACK</v>
      </c>
      <c r="G5072" s="20" t="str">
        <f>IFERROR(__xludf.DUMMYFUNCTION("""COMPUTED_VALUE"""),"Uncle Sams Cider (5/13/2022)")</f>
        <v>Uncle Sams Cider (5/13/2022)</v>
      </c>
      <c r="H5072" s="19"/>
    </row>
    <row r="5073">
      <c r="A5073" s="9"/>
      <c r="B5073" s="15"/>
      <c r="C5073" s="9">
        <f>IFERROR(__xludf.DUMMYFUNCTION("""COMPUTED_VALUE"""),44743.7382823842)</f>
        <v>44743.73828</v>
      </c>
      <c r="D5073" s="15">
        <f>IFERROR(__xludf.DUMMYFUNCTION("""COMPUTED_VALUE"""),1.005)</f>
        <v>1.005</v>
      </c>
      <c r="E5073" s="16">
        <f>IFERROR(__xludf.DUMMYFUNCTION("""COMPUTED_VALUE"""),69.0)</f>
        <v>69</v>
      </c>
      <c r="F5073" s="19" t="str">
        <f>IFERROR(__xludf.DUMMYFUNCTION("""COMPUTED_VALUE"""),"BLACK")</f>
        <v>BLACK</v>
      </c>
      <c r="G5073" s="20" t="str">
        <f>IFERROR(__xludf.DUMMYFUNCTION("""COMPUTED_VALUE"""),"Uncle Sams Cider (5/13/2022)")</f>
        <v>Uncle Sams Cider (5/13/2022)</v>
      </c>
      <c r="H5073" s="19"/>
    </row>
    <row r="5074">
      <c r="A5074" s="9"/>
      <c r="B5074" s="15"/>
      <c r="C5074" s="9">
        <f>IFERROR(__xludf.DUMMYFUNCTION("""COMPUTED_VALUE"""),44743.7278617361)</f>
        <v>44743.72786</v>
      </c>
      <c r="D5074" s="15">
        <f>IFERROR(__xludf.DUMMYFUNCTION("""COMPUTED_VALUE"""),1.005)</f>
        <v>1.005</v>
      </c>
      <c r="E5074" s="16">
        <f>IFERROR(__xludf.DUMMYFUNCTION("""COMPUTED_VALUE"""),69.0)</f>
        <v>69</v>
      </c>
      <c r="F5074" s="19" t="str">
        <f>IFERROR(__xludf.DUMMYFUNCTION("""COMPUTED_VALUE"""),"BLACK")</f>
        <v>BLACK</v>
      </c>
      <c r="G5074" s="20" t="str">
        <f>IFERROR(__xludf.DUMMYFUNCTION("""COMPUTED_VALUE"""),"Uncle Sams Cider (5/13/2022)")</f>
        <v>Uncle Sams Cider (5/13/2022)</v>
      </c>
      <c r="H5074" s="19"/>
    </row>
    <row r="5075">
      <c r="A5075" s="9"/>
      <c r="B5075" s="15"/>
      <c r="C5075" s="9">
        <f>IFERROR(__xludf.DUMMYFUNCTION("""COMPUTED_VALUE"""),44743.7174392824)</f>
        <v>44743.71744</v>
      </c>
      <c r="D5075" s="15">
        <f>IFERROR(__xludf.DUMMYFUNCTION("""COMPUTED_VALUE"""),1.005)</f>
        <v>1.005</v>
      </c>
      <c r="E5075" s="16">
        <f>IFERROR(__xludf.DUMMYFUNCTION("""COMPUTED_VALUE"""),69.0)</f>
        <v>69</v>
      </c>
      <c r="F5075" s="19" t="str">
        <f>IFERROR(__xludf.DUMMYFUNCTION("""COMPUTED_VALUE"""),"BLACK")</f>
        <v>BLACK</v>
      </c>
      <c r="G5075" s="20" t="str">
        <f>IFERROR(__xludf.DUMMYFUNCTION("""COMPUTED_VALUE"""),"Uncle Sams Cider (5/13/2022)")</f>
        <v>Uncle Sams Cider (5/13/2022)</v>
      </c>
      <c r="H5075" s="19"/>
    </row>
    <row r="5076">
      <c r="A5076" s="9"/>
      <c r="B5076" s="15"/>
      <c r="C5076" s="9">
        <f>IFERROR(__xludf.DUMMYFUNCTION("""COMPUTED_VALUE"""),44743.7070064236)</f>
        <v>44743.70701</v>
      </c>
      <c r="D5076" s="15">
        <f>IFERROR(__xludf.DUMMYFUNCTION("""COMPUTED_VALUE"""),1.005)</f>
        <v>1.005</v>
      </c>
      <c r="E5076" s="16">
        <f>IFERROR(__xludf.DUMMYFUNCTION("""COMPUTED_VALUE"""),69.0)</f>
        <v>69</v>
      </c>
      <c r="F5076" s="19" t="str">
        <f>IFERROR(__xludf.DUMMYFUNCTION("""COMPUTED_VALUE"""),"BLACK")</f>
        <v>BLACK</v>
      </c>
      <c r="G5076" s="20" t="str">
        <f>IFERROR(__xludf.DUMMYFUNCTION("""COMPUTED_VALUE"""),"Uncle Sams Cider (5/13/2022)")</f>
        <v>Uncle Sams Cider (5/13/2022)</v>
      </c>
      <c r="H5076" s="19"/>
    </row>
    <row r="5077">
      <c r="A5077" s="9"/>
      <c r="B5077" s="15"/>
      <c r="C5077" s="9">
        <f>IFERROR(__xludf.DUMMYFUNCTION("""COMPUTED_VALUE"""),44743.6965732986)</f>
        <v>44743.69657</v>
      </c>
      <c r="D5077" s="15">
        <f>IFERROR(__xludf.DUMMYFUNCTION("""COMPUTED_VALUE"""),1.005)</f>
        <v>1.005</v>
      </c>
      <c r="E5077" s="16">
        <f>IFERROR(__xludf.DUMMYFUNCTION("""COMPUTED_VALUE"""),69.0)</f>
        <v>69</v>
      </c>
      <c r="F5077" s="19" t="str">
        <f>IFERROR(__xludf.DUMMYFUNCTION("""COMPUTED_VALUE"""),"BLACK")</f>
        <v>BLACK</v>
      </c>
      <c r="G5077" s="20" t="str">
        <f>IFERROR(__xludf.DUMMYFUNCTION("""COMPUTED_VALUE"""),"Uncle Sams Cider (5/13/2022)")</f>
        <v>Uncle Sams Cider (5/13/2022)</v>
      </c>
      <c r="H5077" s="19"/>
    </row>
    <row r="5078">
      <c r="A5078" s="9"/>
      <c r="B5078" s="15"/>
      <c r="C5078" s="9">
        <f>IFERROR(__xludf.DUMMYFUNCTION("""COMPUTED_VALUE"""),44743.6861531713)</f>
        <v>44743.68615</v>
      </c>
      <c r="D5078" s="15">
        <f>IFERROR(__xludf.DUMMYFUNCTION("""COMPUTED_VALUE"""),1.005)</f>
        <v>1.005</v>
      </c>
      <c r="E5078" s="16">
        <f>IFERROR(__xludf.DUMMYFUNCTION("""COMPUTED_VALUE"""),69.0)</f>
        <v>69</v>
      </c>
      <c r="F5078" s="19" t="str">
        <f>IFERROR(__xludf.DUMMYFUNCTION("""COMPUTED_VALUE"""),"BLACK")</f>
        <v>BLACK</v>
      </c>
      <c r="G5078" s="20" t="str">
        <f>IFERROR(__xludf.DUMMYFUNCTION("""COMPUTED_VALUE"""),"Uncle Sams Cider (5/13/2022)")</f>
        <v>Uncle Sams Cider (5/13/2022)</v>
      </c>
      <c r="H5078" s="19"/>
    </row>
    <row r="5079">
      <c r="A5079" s="9"/>
      <c r="B5079" s="15"/>
      <c r="C5079" s="9">
        <f>IFERROR(__xludf.DUMMYFUNCTION("""COMPUTED_VALUE"""),44743.6757322685)</f>
        <v>44743.67573</v>
      </c>
      <c r="D5079" s="15">
        <f>IFERROR(__xludf.DUMMYFUNCTION("""COMPUTED_VALUE"""),1.005)</f>
        <v>1.005</v>
      </c>
      <c r="E5079" s="16">
        <f>IFERROR(__xludf.DUMMYFUNCTION("""COMPUTED_VALUE"""),69.0)</f>
        <v>69</v>
      </c>
      <c r="F5079" s="19" t="str">
        <f>IFERROR(__xludf.DUMMYFUNCTION("""COMPUTED_VALUE"""),"BLACK")</f>
        <v>BLACK</v>
      </c>
      <c r="G5079" s="20" t="str">
        <f>IFERROR(__xludf.DUMMYFUNCTION("""COMPUTED_VALUE"""),"Uncle Sams Cider (5/13/2022)")</f>
        <v>Uncle Sams Cider (5/13/2022)</v>
      </c>
      <c r="H5079" s="19"/>
    </row>
    <row r="5080">
      <c r="A5080" s="9"/>
      <c r="B5080" s="15"/>
      <c r="C5080" s="9">
        <f>IFERROR(__xludf.DUMMYFUNCTION("""COMPUTED_VALUE"""),44743.6653118634)</f>
        <v>44743.66531</v>
      </c>
      <c r="D5080" s="15">
        <f>IFERROR(__xludf.DUMMYFUNCTION("""COMPUTED_VALUE"""),1.005)</f>
        <v>1.005</v>
      </c>
      <c r="E5080" s="16">
        <f>IFERROR(__xludf.DUMMYFUNCTION("""COMPUTED_VALUE"""),69.0)</f>
        <v>69</v>
      </c>
      <c r="F5080" s="19" t="str">
        <f>IFERROR(__xludf.DUMMYFUNCTION("""COMPUTED_VALUE"""),"BLACK")</f>
        <v>BLACK</v>
      </c>
      <c r="G5080" s="20" t="str">
        <f>IFERROR(__xludf.DUMMYFUNCTION("""COMPUTED_VALUE"""),"Uncle Sams Cider (5/13/2022)")</f>
        <v>Uncle Sams Cider (5/13/2022)</v>
      </c>
      <c r="H5080" s="19"/>
    </row>
    <row r="5081">
      <c r="A5081" s="9"/>
      <c r="B5081" s="15"/>
      <c r="C5081" s="9">
        <f>IFERROR(__xludf.DUMMYFUNCTION("""COMPUTED_VALUE"""),44743.6548906944)</f>
        <v>44743.65489</v>
      </c>
      <c r="D5081" s="15">
        <f>IFERROR(__xludf.DUMMYFUNCTION("""COMPUTED_VALUE"""),1.005)</f>
        <v>1.005</v>
      </c>
      <c r="E5081" s="16">
        <f>IFERROR(__xludf.DUMMYFUNCTION("""COMPUTED_VALUE"""),69.0)</f>
        <v>69</v>
      </c>
      <c r="F5081" s="19" t="str">
        <f>IFERROR(__xludf.DUMMYFUNCTION("""COMPUTED_VALUE"""),"BLACK")</f>
        <v>BLACK</v>
      </c>
      <c r="G5081" s="20" t="str">
        <f>IFERROR(__xludf.DUMMYFUNCTION("""COMPUTED_VALUE"""),"Uncle Sams Cider (5/13/2022)")</f>
        <v>Uncle Sams Cider (5/13/2022)</v>
      </c>
      <c r="H5081" s="19"/>
    </row>
    <row r="5082">
      <c r="A5082" s="9"/>
      <c r="B5082" s="15"/>
      <c r="C5082" s="9">
        <f>IFERROR(__xludf.DUMMYFUNCTION("""COMPUTED_VALUE"""),44743.6444693287)</f>
        <v>44743.64447</v>
      </c>
      <c r="D5082" s="15">
        <f>IFERROR(__xludf.DUMMYFUNCTION("""COMPUTED_VALUE"""),1.005)</f>
        <v>1.005</v>
      </c>
      <c r="E5082" s="16">
        <f>IFERROR(__xludf.DUMMYFUNCTION("""COMPUTED_VALUE"""),69.0)</f>
        <v>69</v>
      </c>
      <c r="F5082" s="19" t="str">
        <f>IFERROR(__xludf.DUMMYFUNCTION("""COMPUTED_VALUE"""),"BLACK")</f>
        <v>BLACK</v>
      </c>
      <c r="G5082" s="20" t="str">
        <f>IFERROR(__xludf.DUMMYFUNCTION("""COMPUTED_VALUE"""),"Uncle Sams Cider (5/13/2022)")</f>
        <v>Uncle Sams Cider (5/13/2022)</v>
      </c>
      <c r="H5082" s="19"/>
    </row>
    <row r="5083">
      <c r="A5083" s="9"/>
      <c r="B5083" s="15"/>
      <c r="C5083" s="9">
        <f>IFERROR(__xludf.DUMMYFUNCTION("""COMPUTED_VALUE"""),44743.6340464467)</f>
        <v>44743.63405</v>
      </c>
      <c r="D5083" s="15">
        <f>IFERROR(__xludf.DUMMYFUNCTION("""COMPUTED_VALUE"""),1.005)</f>
        <v>1.005</v>
      </c>
      <c r="E5083" s="16">
        <f>IFERROR(__xludf.DUMMYFUNCTION("""COMPUTED_VALUE"""),69.0)</f>
        <v>69</v>
      </c>
      <c r="F5083" s="19" t="str">
        <f>IFERROR(__xludf.DUMMYFUNCTION("""COMPUTED_VALUE"""),"BLACK")</f>
        <v>BLACK</v>
      </c>
      <c r="G5083" s="20" t="str">
        <f>IFERROR(__xludf.DUMMYFUNCTION("""COMPUTED_VALUE"""),"Uncle Sams Cider (5/13/2022)")</f>
        <v>Uncle Sams Cider (5/13/2022)</v>
      </c>
      <c r="H5083" s="19"/>
    </row>
    <row r="5084">
      <c r="A5084" s="9"/>
      <c r="B5084" s="15"/>
      <c r="C5084" s="9">
        <f>IFERROR(__xludf.DUMMYFUNCTION("""COMPUTED_VALUE"""),44743.6236251157)</f>
        <v>44743.62363</v>
      </c>
      <c r="D5084" s="15">
        <f>IFERROR(__xludf.DUMMYFUNCTION("""COMPUTED_VALUE"""),1.005)</f>
        <v>1.005</v>
      </c>
      <c r="E5084" s="16">
        <f>IFERROR(__xludf.DUMMYFUNCTION("""COMPUTED_VALUE"""),69.0)</f>
        <v>69</v>
      </c>
      <c r="F5084" s="19" t="str">
        <f>IFERROR(__xludf.DUMMYFUNCTION("""COMPUTED_VALUE"""),"BLACK")</f>
        <v>BLACK</v>
      </c>
      <c r="G5084" s="20" t="str">
        <f>IFERROR(__xludf.DUMMYFUNCTION("""COMPUTED_VALUE"""),"Uncle Sams Cider (5/13/2022)")</f>
        <v>Uncle Sams Cider (5/13/2022)</v>
      </c>
      <c r="H5084" s="19"/>
    </row>
    <row r="5085">
      <c r="A5085" s="9"/>
      <c r="B5085" s="15"/>
      <c r="C5085" s="9">
        <f>IFERROR(__xludf.DUMMYFUNCTION("""COMPUTED_VALUE"""),44743.6132051041)</f>
        <v>44743.61321</v>
      </c>
      <c r="D5085" s="15">
        <f>IFERROR(__xludf.DUMMYFUNCTION("""COMPUTED_VALUE"""),1.004)</f>
        <v>1.004</v>
      </c>
      <c r="E5085" s="16">
        <f>IFERROR(__xludf.DUMMYFUNCTION("""COMPUTED_VALUE"""),69.0)</f>
        <v>69</v>
      </c>
      <c r="F5085" s="19" t="str">
        <f>IFERROR(__xludf.DUMMYFUNCTION("""COMPUTED_VALUE"""),"BLACK")</f>
        <v>BLACK</v>
      </c>
      <c r="G5085" s="20" t="str">
        <f>IFERROR(__xludf.DUMMYFUNCTION("""COMPUTED_VALUE"""),"Uncle Sams Cider (5/13/2022)")</f>
        <v>Uncle Sams Cider (5/13/2022)</v>
      </c>
      <c r="H5085" s="19"/>
    </row>
    <row r="5086">
      <c r="A5086" s="9"/>
      <c r="B5086" s="15"/>
      <c r="C5086" s="9">
        <f>IFERROR(__xludf.DUMMYFUNCTION("""COMPUTED_VALUE"""),44743.602784618)</f>
        <v>44743.60278</v>
      </c>
      <c r="D5086" s="15">
        <f>IFERROR(__xludf.DUMMYFUNCTION("""COMPUTED_VALUE"""),1.005)</f>
        <v>1.005</v>
      </c>
      <c r="E5086" s="16">
        <f>IFERROR(__xludf.DUMMYFUNCTION("""COMPUTED_VALUE"""),69.0)</f>
        <v>69</v>
      </c>
      <c r="F5086" s="19" t="str">
        <f>IFERROR(__xludf.DUMMYFUNCTION("""COMPUTED_VALUE"""),"BLACK")</f>
        <v>BLACK</v>
      </c>
      <c r="G5086" s="20" t="str">
        <f>IFERROR(__xludf.DUMMYFUNCTION("""COMPUTED_VALUE"""),"Uncle Sams Cider (5/13/2022)")</f>
        <v>Uncle Sams Cider (5/13/2022)</v>
      </c>
      <c r="H5086" s="19"/>
    </row>
    <row r="5087">
      <c r="A5087" s="9"/>
      <c r="B5087" s="15"/>
      <c r="C5087" s="9">
        <f>IFERROR(__xludf.DUMMYFUNCTION("""COMPUTED_VALUE"""),44743.5923634375)</f>
        <v>44743.59236</v>
      </c>
      <c r="D5087" s="15">
        <f>IFERROR(__xludf.DUMMYFUNCTION("""COMPUTED_VALUE"""),1.005)</f>
        <v>1.005</v>
      </c>
      <c r="E5087" s="16">
        <f>IFERROR(__xludf.DUMMYFUNCTION("""COMPUTED_VALUE"""),69.0)</f>
        <v>69</v>
      </c>
      <c r="F5087" s="19" t="str">
        <f>IFERROR(__xludf.DUMMYFUNCTION("""COMPUTED_VALUE"""),"BLACK")</f>
        <v>BLACK</v>
      </c>
      <c r="G5087" s="20" t="str">
        <f>IFERROR(__xludf.DUMMYFUNCTION("""COMPUTED_VALUE"""),"Uncle Sams Cider (5/13/2022)")</f>
        <v>Uncle Sams Cider (5/13/2022)</v>
      </c>
      <c r="H5087" s="19"/>
    </row>
    <row r="5088">
      <c r="A5088" s="9"/>
      <c r="B5088" s="15"/>
      <c r="C5088" s="9">
        <f>IFERROR(__xludf.DUMMYFUNCTION("""COMPUTED_VALUE"""),44743.5819427777)</f>
        <v>44743.58194</v>
      </c>
      <c r="D5088" s="15">
        <f>IFERROR(__xludf.DUMMYFUNCTION("""COMPUTED_VALUE"""),1.005)</f>
        <v>1.005</v>
      </c>
      <c r="E5088" s="16">
        <f>IFERROR(__xludf.DUMMYFUNCTION("""COMPUTED_VALUE"""),69.0)</f>
        <v>69</v>
      </c>
      <c r="F5088" s="19" t="str">
        <f>IFERROR(__xludf.DUMMYFUNCTION("""COMPUTED_VALUE"""),"BLACK")</f>
        <v>BLACK</v>
      </c>
      <c r="G5088" s="20" t="str">
        <f>IFERROR(__xludf.DUMMYFUNCTION("""COMPUTED_VALUE"""),"Uncle Sams Cider (5/13/2022)")</f>
        <v>Uncle Sams Cider (5/13/2022)</v>
      </c>
      <c r="H5088" s="19"/>
    </row>
    <row r="5089">
      <c r="A5089" s="9"/>
      <c r="B5089" s="15"/>
      <c r="C5089" s="9">
        <f>IFERROR(__xludf.DUMMYFUNCTION("""COMPUTED_VALUE"""),44743.5714992824)</f>
        <v>44743.5715</v>
      </c>
      <c r="D5089" s="15">
        <f>IFERROR(__xludf.DUMMYFUNCTION("""COMPUTED_VALUE"""),1.005)</f>
        <v>1.005</v>
      </c>
      <c r="E5089" s="16">
        <f>IFERROR(__xludf.DUMMYFUNCTION("""COMPUTED_VALUE"""),69.0)</f>
        <v>69</v>
      </c>
      <c r="F5089" s="19" t="str">
        <f>IFERROR(__xludf.DUMMYFUNCTION("""COMPUTED_VALUE"""),"BLACK")</f>
        <v>BLACK</v>
      </c>
      <c r="G5089" s="20" t="str">
        <f>IFERROR(__xludf.DUMMYFUNCTION("""COMPUTED_VALUE"""),"Uncle Sams Cider (5/13/2022)")</f>
        <v>Uncle Sams Cider (5/13/2022)</v>
      </c>
      <c r="H5089" s="19"/>
    </row>
    <row r="5090">
      <c r="A5090" s="9"/>
      <c r="B5090" s="15"/>
      <c r="C5090" s="9">
        <f>IFERROR(__xludf.DUMMYFUNCTION("""COMPUTED_VALUE"""),44743.5610782175)</f>
        <v>44743.56108</v>
      </c>
      <c r="D5090" s="15">
        <f>IFERROR(__xludf.DUMMYFUNCTION("""COMPUTED_VALUE"""),1.005)</f>
        <v>1.005</v>
      </c>
      <c r="E5090" s="16">
        <f>IFERROR(__xludf.DUMMYFUNCTION("""COMPUTED_VALUE"""),69.0)</f>
        <v>69</v>
      </c>
      <c r="F5090" s="19" t="str">
        <f>IFERROR(__xludf.DUMMYFUNCTION("""COMPUTED_VALUE"""),"BLACK")</f>
        <v>BLACK</v>
      </c>
      <c r="G5090" s="20" t="str">
        <f>IFERROR(__xludf.DUMMYFUNCTION("""COMPUTED_VALUE"""),"Uncle Sams Cider (5/13/2022)")</f>
        <v>Uncle Sams Cider (5/13/2022)</v>
      </c>
      <c r="H5090" s="19"/>
    </row>
    <row r="5091">
      <c r="A5091" s="9"/>
      <c r="B5091" s="15"/>
      <c r="C5091" s="9">
        <f>IFERROR(__xludf.DUMMYFUNCTION("""COMPUTED_VALUE"""),44743.5506570138)</f>
        <v>44743.55066</v>
      </c>
      <c r="D5091" s="15">
        <f>IFERROR(__xludf.DUMMYFUNCTION("""COMPUTED_VALUE"""),1.005)</f>
        <v>1.005</v>
      </c>
      <c r="E5091" s="16">
        <f>IFERROR(__xludf.DUMMYFUNCTION("""COMPUTED_VALUE"""),69.0)</f>
        <v>69</v>
      </c>
      <c r="F5091" s="19" t="str">
        <f>IFERROR(__xludf.DUMMYFUNCTION("""COMPUTED_VALUE"""),"BLACK")</f>
        <v>BLACK</v>
      </c>
      <c r="G5091" s="20" t="str">
        <f>IFERROR(__xludf.DUMMYFUNCTION("""COMPUTED_VALUE"""),"Uncle Sams Cider (5/13/2022)")</f>
        <v>Uncle Sams Cider (5/13/2022)</v>
      </c>
      <c r="H5091" s="19"/>
    </row>
    <row r="5092">
      <c r="A5092" s="9"/>
      <c r="B5092" s="15"/>
      <c r="C5092" s="9">
        <f>IFERROR(__xludf.DUMMYFUNCTION("""COMPUTED_VALUE"""),44743.5402135416)</f>
        <v>44743.54021</v>
      </c>
      <c r="D5092" s="15">
        <f>IFERROR(__xludf.DUMMYFUNCTION("""COMPUTED_VALUE"""),1.005)</f>
        <v>1.005</v>
      </c>
      <c r="E5092" s="16">
        <f>IFERROR(__xludf.DUMMYFUNCTION("""COMPUTED_VALUE"""),69.0)</f>
        <v>69</v>
      </c>
      <c r="F5092" s="19" t="str">
        <f>IFERROR(__xludf.DUMMYFUNCTION("""COMPUTED_VALUE"""),"BLACK")</f>
        <v>BLACK</v>
      </c>
      <c r="G5092" s="20" t="str">
        <f>IFERROR(__xludf.DUMMYFUNCTION("""COMPUTED_VALUE"""),"Uncle Sams Cider (5/13/2022)")</f>
        <v>Uncle Sams Cider (5/13/2022)</v>
      </c>
      <c r="H5092" s="19"/>
    </row>
    <row r="5093">
      <c r="A5093" s="9"/>
      <c r="B5093" s="15"/>
      <c r="C5093" s="9">
        <f>IFERROR(__xludf.DUMMYFUNCTION("""COMPUTED_VALUE"""),44743.5297926851)</f>
        <v>44743.52979</v>
      </c>
      <c r="D5093" s="15">
        <f>IFERROR(__xludf.DUMMYFUNCTION("""COMPUTED_VALUE"""),1.005)</f>
        <v>1.005</v>
      </c>
      <c r="E5093" s="16">
        <f>IFERROR(__xludf.DUMMYFUNCTION("""COMPUTED_VALUE"""),68.0)</f>
        <v>68</v>
      </c>
      <c r="F5093" s="19" t="str">
        <f>IFERROR(__xludf.DUMMYFUNCTION("""COMPUTED_VALUE"""),"BLACK")</f>
        <v>BLACK</v>
      </c>
      <c r="G5093" s="20" t="str">
        <f>IFERROR(__xludf.DUMMYFUNCTION("""COMPUTED_VALUE"""),"Uncle Sams Cider (5/13/2022)")</f>
        <v>Uncle Sams Cider (5/13/2022)</v>
      </c>
      <c r="H5093" s="19"/>
    </row>
    <row r="5094">
      <c r="A5094" s="9"/>
      <c r="B5094" s="15"/>
      <c r="C5094" s="9">
        <f>IFERROR(__xludf.DUMMYFUNCTION("""COMPUTED_VALUE"""),44743.5193731481)</f>
        <v>44743.51937</v>
      </c>
      <c r="D5094" s="15">
        <f>IFERROR(__xludf.DUMMYFUNCTION("""COMPUTED_VALUE"""),1.005)</f>
        <v>1.005</v>
      </c>
      <c r="E5094" s="16">
        <f>IFERROR(__xludf.DUMMYFUNCTION("""COMPUTED_VALUE"""),68.0)</f>
        <v>68</v>
      </c>
      <c r="F5094" s="19" t="str">
        <f>IFERROR(__xludf.DUMMYFUNCTION("""COMPUTED_VALUE"""),"BLACK")</f>
        <v>BLACK</v>
      </c>
      <c r="G5094" s="20" t="str">
        <f>IFERROR(__xludf.DUMMYFUNCTION("""COMPUTED_VALUE"""),"Uncle Sams Cider (5/13/2022)")</f>
        <v>Uncle Sams Cider (5/13/2022)</v>
      </c>
      <c r="H5094" s="19"/>
    </row>
    <row r="5095">
      <c r="A5095" s="9"/>
      <c r="B5095" s="15"/>
      <c r="C5095" s="9">
        <f>IFERROR(__xludf.DUMMYFUNCTION("""COMPUTED_VALUE"""),44743.508939155)</f>
        <v>44743.50894</v>
      </c>
      <c r="D5095" s="15">
        <f>IFERROR(__xludf.DUMMYFUNCTION("""COMPUTED_VALUE"""),1.005)</f>
        <v>1.005</v>
      </c>
      <c r="E5095" s="16">
        <f>IFERROR(__xludf.DUMMYFUNCTION("""COMPUTED_VALUE"""),68.0)</f>
        <v>68</v>
      </c>
      <c r="F5095" s="19" t="str">
        <f>IFERROR(__xludf.DUMMYFUNCTION("""COMPUTED_VALUE"""),"BLACK")</f>
        <v>BLACK</v>
      </c>
      <c r="G5095" s="20" t="str">
        <f>IFERROR(__xludf.DUMMYFUNCTION("""COMPUTED_VALUE"""),"Uncle Sams Cider (5/13/2022)")</f>
        <v>Uncle Sams Cider (5/13/2022)</v>
      </c>
      <c r="H5095" s="19"/>
    </row>
    <row r="5096">
      <c r="A5096" s="9"/>
      <c r="B5096" s="15"/>
      <c r="C5096" s="9">
        <f>IFERROR(__xludf.DUMMYFUNCTION("""COMPUTED_VALUE"""),44743.4985070023)</f>
        <v>44743.49851</v>
      </c>
      <c r="D5096" s="15">
        <f>IFERROR(__xludf.DUMMYFUNCTION("""COMPUTED_VALUE"""),1.005)</f>
        <v>1.005</v>
      </c>
      <c r="E5096" s="16">
        <f>IFERROR(__xludf.DUMMYFUNCTION("""COMPUTED_VALUE"""),68.0)</f>
        <v>68</v>
      </c>
      <c r="F5096" s="19" t="str">
        <f>IFERROR(__xludf.DUMMYFUNCTION("""COMPUTED_VALUE"""),"BLACK")</f>
        <v>BLACK</v>
      </c>
      <c r="G5096" s="20" t="str">
        <f>IFERROR(__xludf.DUMMYFUNCTION("""COMPUTED_VALUE"""),"Uncle Sams Cider (5/13/2022)")</f>
        <v>Uncle Sams Cider (5/13/2022)</v>
      </c>
      <c r="H5096" s="19"/>
    </row>
    <row r="5097">
      <c r="A5097" s="9"/>
      <c r="B5097" s="15"/>
      <c r="C5097" s="9">
        <f>IFERROR(__xludf.DUMMYFUNCTION("""COMPUTED_VALUE"""),44743.4880751273)</f>
        <v>44743.48808</v>
      </c>
      <c r="D5097" s="15">
        <f>IFERROR(__xludf.DUMMYFUNCTION("""COMPUTED_VALUE"""),1.005)</f>
        <v>1.005</v>
      </c>
      <c r="E5097" s="16">
        <f>IFERROR(__xludf.DUMMYFUNCTION("""COMPUTED_VALUE"""),68.0)</f>
        <v>68</v>
      </c>
      <c r="F5097" s="19" t="str">
        <f>IFERROR(__xludf.DUMMYFUNCTION("""COMPUTED_VALUE"""),"BLACK")</f>
        <v>BLACK</v>
      </c>
      <c r="G5097" s="20" t="str">
        <f>IFERROR(__xludf.DUMMYFUNCTION("""COMPUTED_VALUE"""),"Uncle Sams Cider (5/13/2022)")</f>
        <v>Uncle Sams Cider (5/13/2022)</v>
      </c>
      <c r="H5097" s="19"/>
    </row>
    <row r="5098">
      <c r="A5098" s="9"/>
      <c r="B5098" s="15"/>
      <c r="C5098" s="9">
        <f>IFERROR(__xludf.DUMMYFUNCTION("""COMPUTED_VALUE"""),44743.4776419676)</f>
        <v>44743.47764</v>
      </c>
      <c r="D5098" s="15">
        <f>IFERROR(__xludf.DUMMYFUNCTION("""COMPUTED_VALUE"""),1.005)</f>
        <v>1.005</v>
      </c>
      <c r="E5098" s="16">
        <f>IFERROR(__xludf.DUMMYFUNCTION("""COMPUTED_VALUE"""),68.0)</f>
        <v>68</v>
      </c>
      <c r="F5098" s="19" t="str">
        <f>IFERROR(__xludf.DUMMYFUNCTION("""COMPUTED_VALUE"""),"BLACK")</f>
        <v>BLACK</v>
      </c>
      <c r="G5098" s="20" t="str">
        <f>IFERROR(__xludf.DUMMYFUNCTION("""COMPUTED_VALUE"""),"Uncle Sams Cider (5/13/2022)")</f>
        <v>Uncle Sams Cider (5/13/2022)</v>
      </c>
      <c r="H5098" s="19"/>
    </row>
    <row r="5099">
      <c r="A5099" s="9"/>
      <c r="B5099" s="15"/>
      <c r="C5099" s="9">
        <f>IFERROR(__xludf.DUMMYFUNCTION("""COMPUTED_VALUE"""),44743.4672204513)</f>
        <v>44743.46722</v>
      </c>
      <c r="D5099" s="15">
        <f>IFERROR(__xludf.DUMMYFUNCTION("""COMPUTED_VALUE"""),1.005)</f>
        <v>1.005</v>
      </c>
      <c r="E5099" s="16">
        <f>IFERROR(__xludf.DUMMYFUNCTION("""COMPUTED_VALUE"""),68.0)</f>
        <v>68</v>
      </c>
      <c r="F5099" s="19" t="str">
        <f>IFERROR(__xludf.DUMMYFUNCTION("""COMPUTED_VALUE"""),"BLACK")</f>
        <v>BLACK</v>
      </c>
      <c r="G5099" s="20" t="str">
        <f>IFERROR(__xludf.DUMMYFUNCTION("""COMPUTED_VALUE"""),"Uncle Sams Cider (5/13/2022)")</f>
        <v>Uncle Sams Cider (5/13/2022)</v>
      </c>
      <c r="H5099" s="19"/>
    </row>
    <row r="5100">
      <c r="A5100" s="9"/>
      <c r="B5100" s="15"/>
      <c r="C5100" s="9">
        <f>IFERROR(__xludf.DUMMYFUNCTION("""COMPUTED_VALUE"""),44743.4567991203)</f>
        <v>44743.4568</v>
      </c>
      <c r="D5100" s="15">
        <f>IFERROR(__xludf.DUMMYFUNCTION("""COMPUTED_VALUE"""),1.005)</f>
        <v>1.005</v>
      </c>
      <c r="E5100" s="16">
        <f>IFERROR(__xludf.DUMMYFUNCTION("""COMPUTED_VALUE"""),68.0)</f>
        <v>68</v>
      </c>
      <c r="F5100" s="19" t="str">
        <f>IFERROR(__xludf.DUMMYFUNCTION("""COMPUTED_VALUE"""),"BLACK")</f>
        <v>BLACK</v>
      </c>
      <c r="G5100" s="20" t="str">
        <f>IFERROR(__xludf.DUMMYFUNCTION("""COMPUTED_VALUE"""),"Uncle Sams Cider (5/13/2022)")</f>
        <v>Uncle Sams Cider (5/13/2022)</v>
      </c>
      <c r="H5100" s="19"/>
    </row>
    <row r="5101">
      <c r="A5101" s="9"/>
      <c r="B5101" s="15"/>
      <c r="C5101" s="9">
        <f>IFERROR(__xludf.DUMMYFUNCTION("""COMPUTED_VALUE"""),44743.4463758449)</f>
        <v>44743.44638</v>
      </c>
      <c r="D5101" s="15">
        <f>IFERROR(__xludf.DUMMYFUNCTION("""COMPUTED_VALUE"""),1.005)</f>
        <v>1.005</v>
      </c>
      <c r="E5101" s="16">
        <f>IFERROR(__xludf.DUMMYFUNCTION("""COMPUTED_VALUE"""),68.0)</f>
        <v>68</v>
      </c>
      <c r="F5101" s="19" t="str">
        <f>IFERROR(__xludf.DUMMYFUNCTION("""COMPUTED_VALUE"""),"BLACK")</f>
        <v>BLACK</v>
      </c>
      <c r="G5101" s="20" t="str">
        <f>IFERROR(__xludf.DUMMYFUNCTION("""COMPUTED_VALUE"""),"Uncle Sams Cider (5/13/2022)")</f>
        <v>Uncle Sams Cider (5/13/2022)</v>
      </c>
      <c r="H5101" s="19"/>
    </row>
    <row r="5102">
      <c r="A5102" s="9"/>
      <c r="B5102" s="15"/>
      <c r="C5102" s="9">
        <f>IFERROR(__xludf.DUMMYFUNCTION("""COMPUTED_VALUE"""),44743.435954699)</f>
        <v>44743.43595</v>
      </c>
      <c r="D5102" s="15">
        <f>IFERROR(__xludf.DUMMYFUNCTION("""COMPUTED_VALUE"""),1.005)</f>
        <v>1.005</v>
      </c>
      <c r="E5102" s="16">
        <f>IFERROR(__xludf.DUMMYFUNCTION("""COMPUTED_VALUE"""),68.0)</f>
        <v>68</v>
      </c>
      <c r="F5102" s="19" t="str">
        <f>IFERROR(__xludf.DUMMYFUNCTION("""COMPUTED_VALUE"""),"BLACK")</f>
        <v>BLACK</v>
      </c>
      <c r="G5102" s="20" t="str">
        <f>IFERROR(__xludf.DUMMYFUNCTION("""COMPUTED_VALUE"""),"Uncle Sams Cider (5/13/2022)")</f>
        <v>Uncle Sams Cider (5/13/2022)</v>
      </c>
      <c r="H5102" s="19"/>
    </row>
    <row r="5103">
      <c r="A5103" s="9"/>
      <c r="B5103" s="15"/>
      <c r="C5103" s="9">
        <f>IFERROR(__xludf.DUMMYFUNCTION("""COMPUTED_VALUE"""),44743.4255320717)</f>
        <v>44743.42553</v>
      </c>
      <c r="D5103" s="15">
        <f>IFERROR(__xludf.DUMMYFUNCTION("""COMPUTED_VALUE"""),1.005)</f>
        <v>1.005</v>
      </c>
      <c r="E5103" s="16">
        <f>IFERROR(__xludf.DUMMYFUNCTION("""COMPUTED_VALUE"""),68.0)</f>
        <v>68</v>
      </c>
      <c r="F5103" s="19" t="str">
        <f>IFERROR(__xludf.DUMMYFUNCTION("""COMPUTED_VALUE"""),"BLACK")</f>
        <v>BLACK</v>
      </c>
      <c r="G5103" s="20" t="str">
        <f>IFERROR(__xludf.DUMMYFUNCTION("""COMPUTED_VALUE"""),"Uncle Sams Cider (5/13/2022)")</f>
        <v>Uncle Sams Cider (5/13/2022)</v>
      </c>
      <c r="H5103" s="19"/>
    </row>
    <row r="5104">
      <c r="A5104" s="9"/>
      <c r="B5104" s="15"/>
      <c r="C5104" s="9">
        <f>IFERROR(__xludf.DUMMYFUNCTION("""COMPUTED_VALUE"""),44743.4151102199)</f>
        <v>44743.41511</v>
      </c>
      <c r="D5104" s="15">
        <f>IFERROR(__xludf.DUMMYFUNCTION("""COMPUTED_VALUE"""),1.005)</f>
        <v>1.005</v>
      </c>
      <c r="E5104" s="16">
        <f>IFERROR(__xludf.DUMMYFUNCTION("""COMPUTED_VALUE"""),68.0)</f>
        <v>68</v>
      </c>
      <c r="F5104" s="19" t="str">
        <f>IFERROR(__xludf.DUMMYFUNCTION("""COMPUTED_VALUE"""),"BLACK")</f>
        <v>BLACK</v>
      </c>
      <c r="G5104" s="20" t="str">
        <f>IFERROR(__xludf.DUMMYFUNCTION("""COMPUTED_VALUE"""),"Uncle Sams Cider (5/13/2022)")</f>
        <v>Uncle Sams Cider (5/13/2022)</v>
      </c>
      <c r="H5104" s="19"/>
    </row>
    <row r="5105">
      <c r="A5105" s="9"/>
      <c r="B5105" s="15"/>
      <c r="C5105" s="9">
        <f>IFERROR(__xludf.DUMMYFUNCTION("""COMPUTED_VALUE"""),44743.4046774305)</f>
        <v>44743.40468</v>
      </c>
      <c r="D5105" s="15">
        <f>IFERROR(__xludf.DUMMYFUNCTION("""COMPUTED_VALUE"""),1.005)</f>
        <v>1.005</v>
      </c>
      <c r="E5105" s="16">
        <f>IFERROR(__xludf.DUMMYFUNCTION("""COMPUTED_VALUE"""),68.0)</f>
        <v>68</v>
      </c>
      <c r="F5105" s="19" t="str">
        <f>IFERROR(__xludf.DUMMYFUNCTION("""COMPUTED_VALUE"""),"BLACK")</f>
        <v>BLACK</v>
      </c>
      <c r="G5105" s="20" t="str">
        <f>IFERROR(__xludf.DUMMYFUNCTION("""COMPUTED_VALUE"""),"Uncle Sams Cider (5/13/2022)")</f>
        <v>Uncle Sams Cider (5/13/2022)</v>
      </c>
      <c r="H5105" s="19"/>
    </row>
    <row r="5106">
      <c r="A5106" s="9"/>
      <c r="B5106" s="15"/>
      <c r="C5106" s="9">
        <f>IFERROR(__xludf.DUMMYFUNCTION("""COMPUTED_VALUE"""),44743.3942548379)</f>
        <v>44743.39425</v>
      </c>
      <c r="D5106" s="15">
        <f>IFERROR(__xludf.DUMMYFUNCTION("""COMPUTED_VALUE"""),1.005)</f>
        <v>1.005</v>
      </c>
      <c r="E5106" s="16">
        <f>IFERROR(__xludf.DUMMYFUNCTION("""COMPUTED_VALUE"""),68.0)</f>
        <v>68</v>
      </c>
      <c r="F5106" s="19" t="str">
        <f>IFERROR(__xludf.DUMMYFUNCTION("""COMPUTED_VALUE"""),"BLACK")</f>
        <v>BLACK</v>
      </c>
      <c r="G5106" s="20" t="str">
        <f>IFERROR(__xludf.DUMMYFUNCTION("""COMPUTED_VALUE"""),"Uncle Sams Cider (5/13/2022)")</f>
        <v>Uncle Sams Cider (5/13/2022)</v>
      </c>
      <c r="H5106" s="19"/>
    </row>
    <row r="5107">
      <c r="A5107" s="9"/>
      <c r="B5107" s="15"/>
      <c r="C5107" s="9">
        <f>IFERROR(__xludf.DUMMYFUNCTION("""COMPUTED_VALUE"""),44743.3838332407)</f>
        <v>44743.38383</v>
      </c>
      <c r="D5107" s="15">
        <f>IFERROR(__xludf.DUMMYFUNCTION("""COMPUTED_VALUE"""),1.005)</f>
        <v>1.005</v>
      </c>
      <c r="E5107" s="16">
        <f>IFERROR(__xludf.DUMMYFUNCTION("""COMPUTED_VALUE"""),68.0)</f>
        <v>68</v>
      </c>
      <c r="F5107" s="19" t="str">
        <f>IFERROR(__xludf.DUMMYFUNCTION("""COMPUTED_VALUE"""),"BLACK")</f>
        <v>BLACK</v>
      </c>
      <c r="G5107" s="20" t="str">
        <f>IFERROR(__xludf.DUMMYFUNCTION("""COMPUTED_VALUE"""),"Uncle Sams Cider (5/13/2022)")</f>
        <v>Uncle Sams Cider (5/13/2022)</v>
      </c>
      <c r="H5107" s="19"/>
    </row>
    <row r="5108">
      <c r="A5108" s="9"/>
      <c r="B5108" s="15"/>
      <c r="C5108" s="9">
        <f>IFERROR(__xludf.DUMMYFUNCTION("""COMPUTED_VALUE"""),44743.3734115393)</f>
        <v>44743.37341</v>
      </c>
      <c r="D5108" s="15">
        <f>IFERROR(__xludf.DUMMYFUNCTION("""COMPUTED_VALUE"""),1.005)</f>
        <v>1.005</v>
      </c>
      <c r="E5108" s="16">
        <f>IFERROR(__xludf.DUMMYFUNCTION("""COMPUTED_VALUE"""),68.0)</f>
        <v>68</v>
      </c>
      <c r="F5108" s="19" t="str">
        <f>IFERROR(__xludf.DUMMYFUNCTION("""COMPUTED_VALUE"""),"BLACK")</f>
        <v>BLACK</v>
      </c>
      <c r="G5108" s="20" t="str">
        <f>IFERROR(__xludf.DUMMYFUNCTION("""COMPUTED_VALUE"""),"Uncle Sams Cider (5/13/2022)")</f>
        <v>Uncle Sams Cider (5/13/2022)</v>
      </c>
      <c r="H5108" s="19"/>
    </row>
    <row r="5109">
      <c r="A5109" s="9"/>
      <c r="B5109" s="15"/>
      <c r="C5109" s="9">
        <f>IFERROR(__xludf.DUMMYFUNCTION("""COMPUTED_VALUE"""),44743.362989375)</f>
        <v>44743.36299</v>
      </c>
      <c r="D5109" s="15">
        <f>IFERROR(__xludf.DUMMYFUNCTION("""COMPUTED_VALUE"""),1.005)</f>
        <v>1.005</v>
      </c>
      <c r="E5109" s="16">
        <f>IFERROR(__xludf.DUMMYFUNCTION("""COMPUTED_VALUE"""),68.0)</f>
        <v>68</v>
      </c>
      <c r="F5109" s="19" t="str">
        <f>IFERROR(__xludf.DUMMYFUNCTION("""COMPUTED_VALUE"""),"BLACK")</f>
        <v>BLACK</v>
      </c>
      <c r="G5109" s="20" t="str">
        <f>IFERROR(__xludf.DUMMYFUNCTION("""COMPUTED_VALUE"""),"Uncle Sams Cider (5/13/2022)")</f>
        <v>Uncle Sams Cider (5/13/2022)</v>
      </c>
      <c r="H5109" s="19"/>
    </row>
    <row r="5110">
      <c r="A5110" s="9"/>
      <c r="B5110" s="15"/>
      <c r="C5110" s="9">
        <f>IFERROR(__xludf.DUMMYFUNCTION("""COMPUTED_VALUE"""),44743.3525696643)</f>
        <v>44743.35257</v>
      </c>
      <c r="D5110" s="15">
        <f>IFERROR(__xludf.DUMMYFUNCTION("""COMPUTED_VALUE"""),1.005)</f>
        <v>1.005</v>
      </c>
      <c r="E5110" s="16">
        <f>IFERROR(__xludf.DUMMYFUNCTION("""COMPUTED_VALUE"""),68.0)</f>
        <v>68</v>
      </c>
      <c r="F5110" s="19" t="str">
        <f>IFERROR(__xludf.DUMMYFUNCTION("""COMPUTED_VALUE"""),"BLACK")</f>
        <v>BLACK</v>
      </c>
      <c r="G5110" s="20" t="str">
        <f>IFERROR(__xludf.DUMMYFUNCTION("""COMPUTED_VALUE"""),"Uncle Sams Cider (5/13/2022)")</f>
        <v>Uncle Sams Cider (5/13/2022)</v>
      </c>
      <c r="H5110" s="19"/>
    </row>
    <row r="5111">
      <c r="A5111" s="9"/>
      <c r="B5111" s="15"/>
      <c r="C5111" s="9">
        <f>IFERROR(__xludf.DUMMYFUNCTION("""COMPUTED_VALUE"""),44743.3421490277)</f>
        <v>44743.34215</v>
      </c>
      <c r="D5111" s="15">
        <f>IFERROR(__xludf.DUMMYFUNCTION("""COMPUTED_VALUE"""),1.005)</f>
        <v>1.005</v>
      </c>
      <c r="E5111" s="16">
        <f>IFERROR(__xludf.DUMMYFUNCTION("""COMPUTED_VALUE"""),68.0)</f>
        <v>68</v>
      </c>
      <c r="F5111" s="19" t="str">
        <f>IFERROR(__xludf.DUMMYFUNCTION("""COMPUTED_VALUE"""),"BLACK")</f>
        <v>BLACK</v>
      </c>
      <c r="G5111" s="20" t="str">
        <f>IFERROR(__xludf.DUMMYFUNCTION("""COMPUTED_VALUE"""),"Uncle Sams Cider (5/13/2022)")</f>
        <v>Uncle Sams Cider (5/13/2022)</v>
      </c>
      <c r="H5111" s="19"/>
    </row>
    <row r="5112">
      <c r="A5112" s="9"/>
      <c r="B5112" s="15"/>
      <c r="C5112" s="9">
        <f>IFERROR(__xludf.DUMMYFUNCTION("""COMPUTED_VALUE"""),44743.3317163425)</f>
        <v>44743.33172</v>
      </c>
      <c r="D5112" s="15">
        <f>IFERROR(__xludf.DUMMYFUNCTION("""COMPUTED_VALUE"""),1.005)</f>
        <v>1.005</v>
      </c>
      <c r="E5112" s="16">
        <f>IFERROR(__xludf.DUMMYFUNCTION("""COMPUTED_VALUE"""),68.0)</f>
        <v>68</v>
      </c>
      <c r="F5112" s="19" t="str">
        <f>IFERROR(__xludf.DUMMYFUNCTION("""COMPUTED_VALUE"""),"BLACK")</f>
        <v>BLACK</v>
      </c>
      <c r="G5112" s="20" t="str">
        <f>IFERROR(__xludf.DUMMYFUNCTION("""COMPUTED_VALUE"""),"Uncle Sams Cider (5/13/2022)")</f>
        <v>Uncle Sams Cider (5/13/2022)</v>
      </c>
      <c r="H5112" s="19"/>
    </row>
    <row r="5113">
      <c r="A5113" s="9"/>
      <c r="B5113" s="15"/>
      <c r="C5113" s="9">
        <f>IFERROR(__xludf.DUMMYFUNCTION("""COMPUTED_VALUE"""),44743.3212933912)</f>
        <v>44743.32129</v>
      </c>
      <c r="D5113" s="15">
        <f>IFERROR(__xludf.DUMMYFUNCTION("""COMPUTED_VALUE"""),1.005)</f>
        <v>1.005</v>
      </c>
      <c r="E5113" s="16">
        <f>IFERROR(__xludf.DUMMYFUNCTION("""COMPUTED_VALUE"""),68.0)</f>
        <v>68</v>
      </c>
      <c r="F5113" s="19" t="str">
        <f>IFERROR(__xludf.DUMMYFUNCTION("""COMPUTED_VALUE"""),"BLACK")</f>
        <v>BLACK</v>
      </c>
      <c r="G5113" s="20" t="str">
        <f>IFERROR(__xludf.DUMMYFUNCTION("""COMPUTED_VALUE"""),"Uncle Sams Cider (5/13/2022)")</f>
        <v>Uncle Sams Cider (5/13/2022)</v>
      </c>
      <c r="H5113" s="19"/>
    </row>
    <row r="5114">
      <c r="A5114" s="9"/>
      <c r="B5114" s="15"/>
      <c r="C5114" s="9">
        <f>IFERROR(__xludf.DUMMYFUNCTION("""COMPUTED_VALUE"""),44743.3108614004)</f>
        <v>44743.31086</v>
      </c>
      <c r="D5114" s="15">
        <f>IFERROR(__xludf.DUMMYFUNCTION("""COMPUTED_VALUE"""),1.005)</f>
        <v>1.005</v>
      </c>
      <c r="E5114" s="16">
        <f>IFERROR(__xludf.DUMMYFUNCTION("""COMPUTED_VALUE"""),68.0)</f>
        <v>68</v>
      </c>
      <c r="F5114" s="19" t="str">
        <f>IFERROR(__xludf.DUMMYFUNCTION("""COMPUTED_VALUE"""),"BLACK")</f>
        <v>BLACK</v>
      </c>
      <c r="G5114" s="20" t="str">
        <f>IFERROR(__xludf.DUMMYFUNCTION("""COMPUTED_VALUE"""),"Uncle Sams Cider (5/13/2022)")</f>
        <v>Uncle Sams Cider (5/13/2022)</v>
      </c>
      <c r="H5114" s="19"/>
    </row>
    <row r="5115">
      <c r="A5115" s="9"/>
      <c r="B5115" s="15"/>
      <c r="C5115" s="9">
        <f>IFERROR(__xludf.DUMMYFUNCTION("""COMPUTED_VALUE"""),44743.3004393634)</f>
        <v>44743.30044</v>
      </c>
      <c r="D5115" s="15">
        <f>IFERROR(__xludf.DUMMYFUNCTION("""COMPUTED_VALUE"""),1.005)</f>
        <v>1.005</v>
      </c>
      <c r="E5115" s="16">
        <f>IFERROR(__xludf.DUMMYFUNCTION("""COMPUTED_VALUE"""),68.0)</f>
        <v>68</v>
      </c>
      <c r="F5115" s="19" t="str">
        <f>IFERROR(__xludf.DUMMYFUNCTION("""COMPUTED_VALUE"""),"BLACK")</f>
        <v>BLACK</v>
      </c>
      <c r="G5115" s="20" t="str">
        <f>IFERROR(__xludf.DUMMYFUNCTION("""COMPUTED_VALUE"""),"Uncle Sams Cider (5/13/2022)")</f>
        <v>Uncle Sams Cider (5/13/2022)</v>
      </c>
      <c r="H5115" s="19"/>
    </row>
    <row r="5116">
      <c r="A5116" s="9"/>
      <c r="B5116" s="15"/>
      <c r="C5116" s="9">
        <f>IFERROR(__xludf.DUMMYFUNCTION("""COMPUTED_VALUE"""),44743.2900198032)</f>
        <v>44743.29002</v>
      </c>
      <c r="D5116" s="15">
        <f>IFERROR(__xludf.DUMMYFUNCTION("""COMPUTED_VALUE"""),1.005)</f>
        <v>1.005</v>
      </c>
      <c r="E5116" s="16">
        <f>IFERROR(__xludf.DUMMYFUNCTION("""COMPUTED_VALUE"""),68.0)</f>
        <v>68</v>
      </c>
      <c r="F5116" s="19" t="str">
        <f>IFERROR(__xludf.DUMMYFUNCTION("""COMPUTED_VALUE"""),"BLACK")</f>
        <v>BLACK</v>
      </c>
      <c r="G5116" s="20" t="str">
        <f>IFERROR(__xludf.DUMMYFUNCTION("""COMPUTED_VALUE"""),"Uncle Sams Cider (5/13/2022)")</f>
        <v>Uncle Sams Cider (5/13/2022)</v>
      </c>
      <c r="H5116" s="19"/>
    </row>
    <row r="5117">
      <c r="A5117" s="9"/>
      <c r="B5117" s="15"/>
      <c r="C5117" s="9">
        <f>IFERROR(__xludf.DUMMYFUNCTION("""COMPUTED_VALUE"""),44743.2795862152)</f>
        <v>44743.27959</v>
      </c>
      <c r="D5117" s="15">
        <f>IFERROR(__xludf.DUMMYFUNCTION("""COMPUTED_VALUE"""),1.005)</f>
        <v>1.005</v>
      </c>
      <c r="E5117" s="16">
        <f>IFERROR(__xludf.DUMMYFUNCTION("""COMPUTED_VALUE"""),68.0)</f>
        <v>68</v>
      </c>
      <c r="F5117" s="19" t="str">
        <f>IFERROR(__xludf.DUMMYFUNCTION("""COMPUTED_VALUE"""),"BLACK")</f>
        <v>BLACK</v>
      </c>
      <c r="G5117" s="20" t="str">
        <f>IFERROR(__xludf.DUMMYFUNCTION("""COMPUTED_VALUE"""),"Uncle Sams Cider (5/13/2022)")</f>
        <v>Uncle Sams Cider (5/13/2022)</v>
      </c>
      <c r="H5117" s="19"/>
    </row>
    <row r="5118">
      <c r="A5118" s="9"/>
      <c r="B5118" s="15"/>
      <c r="C5118" s="9">
        <f>IFERROR(__xludf.DUMMYFUNCTION("""COMPUTED_VALUE"""),44743.2691663888)</f>
        <v>44743.26917</v>
      </c>
      <c r="D5118" s="15">
        <f>IFERROR(__xludf.DUMMYFUNCTION("""COMPUTED_VALUE"""),1.005)</f>
        <v>1.005</v>
      </c>
      <c r="E5118" s="16">
        <f>IFERROR(__xludf.DUMMYFUNCTION("""COMPUTED_VALUE"""),68.0)</f>
        <v>68</v>
      </c>
      <c r="F5118" s="19" t="str">
        <f>IFERROR(__xludf.DUMMYFUNCTION("""COMPUTED_VALUE"""),"BLACK")</f>
        <v>BLACK</v>
      </c>
      <c r="G5118" s="20" t="str">
        <f>IFERROR(__xludf.DUMMYFUNCTION("""COMPUTED_VALUE"""),"Uncle Sams Cider (5/13/2022)")</f>
        <v>Uncle Sams Cider (5/13/2022)</v>
      </c>
      <c r="H5118" s="19"/>
    </row>
    <row r="5119">
      <c r="A5119" s="9"/>
      <c r="B5119" s="15"/>
      <c r="C5119" s="9">
        <f>IFERROR(__xludf.DUMMYFUNCTION("""COMPUTED_VALUE"""),44743.258734375)</f>
        <v>44743.25873</v>
      </c>
      <c r="D5119" s="15">
        <f>IFERROR(__xludf.DUMMYFUNCTION("""COMPUTED_VALUE"""),1.005)</f>
        <v>1.005</v>
      </c>
      <c r="E5119" s="16">
        <f>IFERROR(__xludf.DUMMYFUNCTION("""COMPUTED_VALUE"""),68.0)</f>
        <v>68</v>
      </c>
      <c r="F5119" s="19" t="str">
        <f>IFERROR(__xludf.DUMMYFUNCTION("""COMPUTED_VALUE"""),"BLACK")</f>
        <v>BLACK</v>
      </c>
      <c r="G5119" s="20" t="str">
        <f>IFERROR(__xludf.DUMMYFUNCTION("""COMPUTED_VALUE"""),"Uncle Sams Cider (5/13/2022)")</f>
        <v>Uncle Sams Cider (5/13/2022)</v>
      </c>
      <c r="H5119" s="19"/>
    </row>
    <row r="5120">
      <c r="A5120" s="9"/>
      <c r="B5120" s="15"/>
      <c r="C5120" s="9">
        <f>IFERROR(__xludf.DUMMYFUNCTION("""COMPUTED_VALUE"""),44743.2483135069)</f>
        <v>44743.24831</v>
      </c>
      <c r="D5120" s="15">
        <f>IFERROR(__xludf.DUMMYFUNCTION("""COMPUTED_VALUE"""),1.005)</f>
        <v>1.005</v>
      </c>
      <c r="E5120" s="16">
        <f>IFERROR(__xludf.DUMMYFUNCTION("""COMPUTED_VALUE"""),68.0)</f>
        <v>68</v>
      </c>
      <c r="F5120" s="19" t="str">
        <f>IFERROR(__xludf.DUMMYFUNCTION("""COMPUTED_VALUE"""),"BLACK")</f>
        <v>BLACK</v>
      </c>
      <c r="G5120" s="20" t="str">
        <f>IFERROR(__xludf.DUMMYFUNCTION("""COMPUTED_VALUE"""),"Uncle Sams Cider (5/13/2022)")</f>
        <v>Uncle Sams Cider (5/13/2022)</v>
      </c>
      <c r="H5120" s="19"/>
    </row>
    <row r="5121">
      <c r="A5121" s="9"/>
      <c r="B5121" s="15"/>
      <c r="C5121" s="9">
        <f>IFERROR(__xludf.DUMMYFUNCTION("""COMPUTED_VALUE"""),44743.2378907986)</f>
        <v>44743.23789</v>
      </c>
      <c r="D5121" s="15">
        <f>IFERROR(__xludf.DUMMYFUNCTION("""COMPUTED_VALUE"""),1.005)</f>
        <v>1.005</v>
      </c>
      <c r="E5121" s="16">
        <f>IFERROR(__xludf.DUMMYFUNCTION("""COMPUTED_VALUE"""),68.0)</f>
        <v>68</v>
      </c>
      <c r="F5121" s="19" t="str">
        <f>IFERROR(__xludf.DUMMYFUNCTION("""COMPUTED_VALUE"""),"BLACK")</f>
        <v>BLACK</v>
      </c>
      <c r="G5121" s="20" t="str">
        <f>IFERROR(__xludf.DUMMYFUNCTION("""COMPUTED_VALUE"""),"Uncle Sams Cider (5/13/2022)")</f>
        <v>Uncle Sams Cider (5/13/2022)</v>
      </c>
      <c r="H5121" s="19"/>
    </row>
    <row r="5122">
      <c r="A5122" s="9"/>
      <c r="B5122" s="15"/>
      <c r="C5122" s="9">
        <f>IFERROR(__xludf.DUMMYFUNCTION("""COMPUTED_VALUE"""),44743.2274694907)</f>
        <v>44743.22747</v>
      </c>
      <c r="D5122" s="15">
        <f>IFERROR(__xludf.DUMMYFUNCTION("""COMPUTED_VALUE"""),1.005)</f>
        <v>1.005</v>
      </c>
      <c r="E5122" s="16">
        <f>IFERROR(__xludf.DUMMYFUNCTION("""COMPUTED_VALUE"""),68.0)</f>
        <v>68</v>
      </c>
      <c r="F5122" s="19" t="str">
        <f>IFERROR(__xludf.DUMMYFUNCTION("""COMPUTED_VALUE"""),"BLACK")</f>
        <v>BLACK</v>
      </c>
      <c r="G5122" s="20" t="str">
        <f>IFERROR(__xludf.DUMMYFUNCTION("""COMPUTED_VALUE"""),"Uncle Sams Cider (5/13/2022)")</f>
        <v>Uncle Sams Cider (5/13/2022)</v>
      </c>
      <c r="H5122" s="19"/>
    </row>
    <row r="5123">
      <c r="A5123" s="9"/>
      <c r="B5123" s="15"/>
      <c r="C5123" s="9">
        <f>IFERROR(__xludf.DUMMYFUNCTION("""COMPUTED_VALUE"""),44743.2170481944)</f>
        <v>44743.21705</v>
      </c>
      <c r="D5123" s="15">
        <f>IFERROR(__xludf.DUMMYFUNCTION("""COMPUTED_VALUE"""),1.005)</f>
        <v>1.005</v>
      </c>
      <c r="E5123" s="16">
        <f>IFERROR(__xludf.DUMMYFUNCTION("""COMPUTED_VALUE"""),68.0)</f>
        <v>68</v>
      </c>
      <c r="F5123" s="19" t="str">
        <f>IFERROR(__xludf.DUMMYFUNCTION("""COMPUTED_VALUE"""),"BLACK")</f>
        <v>BLACK</v>
      </c>
      <c r="G5123" s="20" t="str">
        <f>IFERROR(__xludf.DUMMYFUNCTION("""COMPUTED_VALUE"""),"Uncle Sams Cider (5/13/2022)")</f>
        <v>Uncle Sams Cider (5/13/2022)</v>
      </c>
      <c r="H5123" s="19"/>
    </row>
    <row r="5124">
      <c r="A5124" s="9"/>
      <c r="B5124" s="15"/>
      <c r="C5124" s="9">
        <f>IFERROR(__xludf.DUMMYFUNCTION("""COMPUTED_VALUE"""),44743.20661625)</f>
        <v>44743.20662</v>
      </c>
      <c r="D5124" s="15">
        <f>IFERROR(__xludf.DUMMYFUNCTION("""COMPUTED_VALUE"""),1.005)</f>
        <v>1.005</v>
      </c>
      <c r="E5124" s="16">
        <f>IFERROR(__xludf.DUMMYFUNCTION("""COMPUTED_VALUE"""),68.0)</f>
        <v>68</v>
      </c>
      <c r="F5124" s="19" t="str">
        <f>IFERROR(__xludf.DUMMYFUNCTION("""COMPUTED_VALUE"""),"BLACK")</f>
        <v>BLACK</v>
      </c>
      <c r="G5124" s="20" t="str">
        <f>IFERROR(__xludf.DUMMYFUNCTION("""COMPUTED_VALUE"""),"Uncle Sams Cider (5/13/2022)")</f>
        <v>Uncle Sams Cider (5/13/2022)</v>
      </c>
      <c r="H5124" s="19"/>
    </row>
    <row r="5125">
      <c r="A5125" s="9"/>
      <c r="B5125" s="15"/>
      <c r="C5125" s="9">
        <f>IFERROR(__xludf.DUMMYFUNCTION("""COMPUTED_VALUE"""),44743.1961957523)</f>
        <v>44743.1962</v>
      </c>
      <c r="D5125" s="15">
        <f>IFERROR(__xludf.DUMMYFUNCTION("""COMPUTED_VALUE"""),1.005)</f>
        <v>1.005</v>
      </c>
      <c r="E5125" s="16">
        <f>IFERROR(__xludf.DUMMYFUNCTION("""COMPUTED_VALUE"""),68.0)</f>
        <v>68</v>
      </c>
      <c r="F5125" s="19" t="str">
        <f>IFERROR(__xludf.DUMMYFUNCTION("""COMPUTED_VALUE"""),"BLACK")</f>
        <v>BLACK</v>
      </c>
      <c r="G5125" s="20" t="str">
        <f>IFERROR(__xludf.DUMMYFUNCTION("""COMPUTED_VALUE"""),"Uncle Sams Cider (5/13/2022)")</f>
        <v>Uncle Sams Cider (5/13/2022)</v>
      </c>
      <c r="H5125" s="19"/>
    </row>
    <row r="5126">
      <c r="A5126" s="9"/>
      <c r="B5126" s="15"/>
      <c r="C5126" s="9">
        <f>IFERROR(__xludf.DUMMYFUNCTION("""COMPUTED_VALUE"""),44743.1857639814)</f>
        <v>44743.18576</v>
      </c>
      <c r="D5126" s="15">
        <f>IFERROR(__xludf.DUMMYFUNCTION("""COMPUTED_VALUE"""),1.005)</f>
        <v>1.005</v>
      </c>
      <c r="E5126" s="16">
        <f>IFERROR(__xludf.DUMMYFUNCTION("""COMPUTED_VALUE"""),68.0)</f>
        <v>68</v>
      </c>
      <c r="F5126" s="19" t="str">
        <f>IFERROR(__xludf.DUMMYFUNCTION("""COMPUTED_VALUE"""),"BLACK")</f>
        <v>BLACK</v>
      </c>
      <c r="G5126" s="20" t="str">
        <f>IFERROR(__xludf.DUMMYFUNCTION("""COMPUTED_VALUE"""),"Uncle Sams Cider (5/13/2022)")</f>
        <v>Uncle Sams Cider (5/13/2022)</v>
      </c>
      <c r="H5126" s="19"/>
    </row>
    <row r="5127">
      <c r="A5127" s="9"/>
      <c r="B5127" s="15"/>
      <c r="C5127" s="9">
        <f>IFERROR(__xludf.DUMMYFUNCTION("""COMPUTED_VALUE"""),44743.1753430671)</f>
        <v>44743.17534</v>
      </c>
      <c r="D5127" s="15">
        <f>IFERROR(__xludf.DUMMYFUNCTION("""COMPUTED_VALUE"""),1.005)</f>
        <v>1.005</v>
      </c>
      <c r="E5127" s="16">
        <f>IFERROR(__xludf.DUMMYFUNCTION("""COMPUTED_VALUE"""),68.0)</f>
        <v>68</v>
      </c>
      <c r="F5127" s="19" t="str">
        <f>IFERROR(__xludf.DUMMYFUNCTION("""COMPUTED_VALUE"""),"BLACK")</f>
        <v>BLACK</v>
      </c>
      <c r="G5127" s="20" t="str">
        <f>IFERROR(__xludf.DUMMYFUNCTION("""COMPUTED_VALUE"""),"Uncle Sams Cider (5/13/2022)")</f>
        <v>Uncle Sams Cider (5/13/2022)</v>
      </c>
      <c r="H5127" s="19"/>
    </row>
    <row r="5128">
      <c r="A5128" s="9"/>
      <c r="B5128" s="15"/>
      <c r="C5128" s="9">
        <f>IFERROR(__xludf.DUMMYFUNCTION("""COMPUTED_VALUE"""),44743.1649220949)</f>
        <v>44743.16492</v>
      </c>
      <c r="D5128" s="15">
        <f>IFERROR(__xludf.DUMMYFUNCTION("""COMPUTED_VALUE"""),1.005)</f>
        <v>1.005</v>
      </c>
      <c r="E5128" s="16">
        <f>IFERROR(__xludf.DUMMYFUNCTION("""COMPUTED_VALUE"""),68.0)</f>
        <v>68</v>
      </c>
      <c r="F5128" s="19" t="str">
        <f>IFERROR(__xludf.DUMMYFUNCTION("""COMPUTED_VALUE"""),"BLACK")</f>
        <v>BLACK</v>
      </c>
      <c r="G5128" s="20" t="str">
        <f>IFERROR(__xludf.DUMMYFUNCTION("""COMPUTED_VALUE"""),"Uncle Sams Cider (5/13/2022)")</f>
        <v>Uncle Sams Cider (5/13/2022)</v>
      </c>
      <c r="H5128" s="19"/>
    </row>
    <row r="5129">
      <c r="A5129" s="9"/>
      <c r="B5129" s="15"/>
      <c r="C5129" s="9">
        <f>IFERROR(__xludf.DUMMYFUNCTION("""COMPUTED_VALUE"""),44743.1545012731)</f>
        <v>44743.1545</v>
      </c>
      <c r="D5129" s="15">
        <f>IFERROR(__xludf.DUMMYFUNCTION("""COMPUTED_VALUE"""),1.005)</f>
        <v>1.005</v>
      </c>
      <c r="E5129" s="16">
        <f>IFERROR(__xludf.DUMMYFUNCTION("""COMPUTED_VALUE"""),68.0)</f>
        <v>68</v>
      </c>
      <c r="F5129" s="19" t="str">
        <f>IFERROR(__xludf.DUMMYFUNCTION("""COMPUTED_VALUE"""),"BLACK")</f>
        <v>BLACK</v>
      </c>
      <c r="G5129" s="20" t="str">
        <f>IFERROR(__xludf.DUMMYFUNCTION("""COMPUTED_VALUE"""),"Uncle Sams Cider (5/13/2022)")</f>
        <v>Uncle Sams Cider (5/13/2022)</v>
      </c>
      <c r="H5129" s="19"/>
    </row>
    <row r="5130">
      <c r="A5130" s="9"/>
      <c r="B5130" s="15"/>
      <c r="C5130" s="9">
        <f>IFERROR(__xludf.DUMMYFUNCTION("""COMPUTED_VALUE"""),44743.1440675231)</f>
        <v>44743.14407</v>
      </c>
      <c r="D5130" s="15">
        <f>IFERROR(__xludf.DUMMYFUNCTION("""COMPUTED_VALUE"""),1.005)</f>
        <v>1.005</v>
      </c>
      <c r="E5130" s="16">
        <f>IFERROR(__xludf.DUMMYFUNCTION("""COMPUTED_VALUE"""),68.0)</f>
        <v>68</v>
      </c>
      <c r="F5130" s="19" t="str">
        <f>IFERROR(__xludf.DUMMYFUNCTION("""COMPUTED_VALUE"""),"BLACK")</f>
        <v>BLACK</v>
      </c>
      <c r="G5130" s="20" t="str">
        <f>IFERROR(__xludf.DUMMYFUNCTION("""COMPUTED_VALUE"""),"Uncle Sams Cider (5/13/2022)")</f>
        <v>Uncle Sams Cider (5/13/2022)</v>
      </c>
      <c r="H5130" s="19"/>
    </row>
    <row r="5131">
      <c r="A5131" s="9"/>
      <c r="B5131" s="15"/>
      <c r="C5131" s="9">
        <f>IFERROR(__xludf.DUMMYFUNCTION("""COMPUTED_VALUE"""),44743.1336465046)</f>
        <v>44743.13365</v>
      </c>
      <c r="D5131" s="15">
        <f>IFERROR(__xludf.DUMMYFUNCTION("""COMPUTED_VALUE"""),1.005)</f>
        <v>1.005</v>
      </c>
      <c r="E5131" s="16">
        <f>IFERROR(__xludf.DUMMYFUNCTION("""COMPUTED_VALUE"""),68.0)</f>
        <v>68</v>
      </c>
      <c r="F5131" s="19" t="str">
        <f>IFERROR(__xludf.DUMMYFUNCTION("""COMPUTED_VALUE"""),"BLACK")</f>
        <v>BLACK</v>
      </c>
      <c r="G5131" s="20" t="str">
        <f>IFERROR(__xludf.DUMMYFUNCTION("""COMPUTED_VALUE"""),"Uncle Sams Cider (5/13/2022)")</f>
        <v>Uncle Sams Cider (5/13/2022)</v>
      </c>
      <c r="H5131" s="19"/>
    </row>
    <row r="5132">
      <c r="A5132" s="9"/>
      <c r="B5132" s="15"/>
      <c r="C5132" s="9">
        <f>IFERROR(__xludf.DUMMYFUNCTION("""COMPUTED_VALUE"""),44743.123224618)</f>
        <v>44743.12322</v>
      </c>
      <c r="D5132" s="15">
        <f>IFERROR(__xludf.DUMMYFUNCTION("""COMPUTED_VALUE"""),1.005)</f>
        <v>1.005</v>
      </c>
      <c r="E5132" s="16">
        <f>IFERROR(__xludf.DUMMYFUNCTION("""COMPUTED_VALUE"""),68.0)</f>
        <v>68</v>
      </c>
      <c r="F5132" s="19" t="str">
        <f>IFERROR(__xludf.DUMMYFUNCTION("""COMPUTED_VALUE"""),"BLACK")</f>
        <v>BLACK</v>
      </c>
      <c r="G5132" s="20" t="str">
        <f>IFERROR(__xludf.DUMMYFUNCTION("""COMPUTED_VALUE"""),"Uncle Sams Cider (5/13/2022)")</f>
        <v>Uncle Sams Cider (5/13/2022)</v>
      </c>
      <c r="H5132" s="19"/>
    </row>
    <row r="5133">
      <c r="A5133" s="9"/>
      <c r="B5133" s="15"/>
      <c r="C5133" s="9">
        <f>IFERROR(__xludf.DUMMYFUNCTION("""COMPUTED_VALUE"""),44743.1128032407)</f>
        <v>44743.1128</v>
      </c>
      <c r="D5133" s="15">
        <f>IFERROR(__xludf.DUMMYFUNCTION("""COMPUTED_VALUE"""),1.005)</f>
        <v>1.005</v>
      </c>
      <c r="E5133" s="16">
        <f>IFERROR(__xludf.DUMMYFUNCTION("""COMPUTED_VALUE"""),68.0)</f>
        <v>68</v>
      </c>
      <c r="F5133" s="19" t="str">
        <f>IFERROR(__xludf.DUMMYFUNCTION("""COMPUTED_VALUE"""),"BLACK")</f>
        <v>BLACK</v>
      </c>
      <c r="G5133" s="20" t="str">
        <f>IFERROR(__xludf.DUMMYFUNCTION("""COMPUTED_VALUE"""),"Uncle Sams Cider (5/13/2022)")</f>
        <v>Uncle Sams Cider (5/13/2022)</v>
      </c>
      <c r="H5133" s="19"/>
    </row>
    <row r="5134">
      <c r="A5134" s="9"/>
      <c r="B5134" s="15"/>
      <c r="C5134" s="9">
        <f>IFERROR(__xludf.DUMMYFUNCTION("""COMPUTED_VALUE"""),44743.1023831828)</f>
        <v>44743.10238</v>
      </c>
      <c r="D5134" s="15">
        <f>IFERROR(__xludf.DUMMYFUNCTION("""COMPUTED_VALUE"""),1.005)</f>
        <v>1.005</v>
      </c>
      <c r="E5134" s="16">
        <f>IFERROR(__xludf.DUMMYFUNCTION("""COMPUTED_VALUE"""),68.0)</f>
        <v>68</v>
      </c>
      <c r="F5134" s="19" t="str">
        <f>IFERROR(__xludf.DUMMYFUNCTION("""COMPUTED_VALUE"""),"BLACK")</f>
        <v>BLACK</v>
      </c>
      <c r="G5134" s="20" t="str">
        <f>IFERROR(__xludf.DUMMYFUNCTION("""COMPUTED_VALUE"""),"Uncle Sams Cider (5/13/2022)")</f>
        <v>Uncle Sams Cider (5/13/2022)</v>
      </c>
      <c r="H5134" s="19"/>
    </row>
    <row r="5135">
      <c r="A5135" s="9"/>
      <c r="B5135" s="15"/>
      <c r="C5135" s="9">
        <f>IFERROR(__xludf.DUMMYFUNCTION("""COMPUTED_VALUE"""),44743.0919630092)</f>
        <v>44743.09196</v>
      </c>
      <c r="D5135" s="15">
        <f>IFERROR(__xludf.DUMMYFUNCTION("""COMPUTED_VALUE"""),1.005)</f>
        <v>1.005</v>
      </c>
      <c r="E5135" s="16">
        <f>IFERROR(__xludf.DUMMYFUNCTION("""COMPUTED_VALUE"""),68.0)</f>
        <v>68</v>
      </c>
      <c r="F5135" s="19" t="str">
        <f>IFERROR(__xludf.DUMMYFUNCTION("""COMPUTED_VALUE"""),"BLACK")</f>
        <v>BLACK</v>
      </c>
      <c r="G5135" s="20" t="str">
        <f>IFERROR(__xludf.DUMMYFUNCTION("""COMPUTED_VALUE"""),"Uncle Sams Cider (5/13/2022)")</f>
        <v>Uncle Sams Cider (5/13/2022)</v>
      </c>
      <c r="H5135" s="19"/>
    </row>
    <row r="5136">
      <c r="A5136" s="9"/>
      <c r="B5136" s="15"/>
      <c r="C5136" s="9">
        <f>IFERROR(__xludf.DUMMYFUNCTION("""COMPUTED_VALUE"""),44743.081540706)</f>
        <v>44743.08154</v>
      </c>
      <c r="D5136" s="15">
        <f>IFERROR(__xludf.DUMMYFUNCTION("""COMPUTED_VALUE"""),1.004)</f>
        <v>1.004</v>
      </c>
      <c r="E5136" s="16">
        <f>IFERROR(__xludf.DUMMYFUNCTION("""COMPUTED_VALUE"""),68.0)</f>
        <v>68</v>
      </c>
      <c r="F5136" s="19" t="str">
        <f>IFERROR(__xludf.DUMMYFUNCTION("""COMPUTED_VALUE"""),"BLACK")</f>
        <v>BLACK</v>
      </c>
      <c r="G5136" s="20" t="str">
        <f>IFERROR(__xludf.DUMMYFUNCTION("""COMPUTED_VALUE"""),"Uncle Sams Cider (5/13/2022)")</f>
        <v>Uncle Sams Cider (5/13/2022)</v>
      </c>
      <c r="H5136" s="19"/>
    </row>
    <row r="5137">
      <c r="A5137" s="9"/>
      <c r="B5137" s="15"/>
      <c r="C5137" s="9">
        <f>IFERROR(__xludf.DUMMYFUNCTION("""COMPUTED_VALUE"""),44743.0711190625)</f>
        <v>44743.07112</v>
      </c>
      <c r="D5137" s="15">
        <f>IFERROR(__xludf.DUMMYFUNCTION("""COMPUTED_VALUE"""),1.005)</f>
        <v>1.005</v>
      </c>
      <c r="E5137" s="16">
        <f>IFERROR(__xludf.DUMMYFUNCTION("""COMPUTED_VALUE"""),68.0)</f>
        <v>68</v>
      </c>
      <c r="F5137" s="19" t="str">
        <f>IFERROR(__xludf.DUMMYFUNCTION("""COMPUTED_VALUE"""),"BLACK")</f>
        <v>BLACK</v>
      </c>
      <c r="G5137" s="20" t="str">
        <f>IFERROR(__xludf.DUMMYFUNCTION("""COMPUTED_VALUE"""),"Uncle Sams Cider (5/13/2022)")</f>
        <v>Uncle Sams Cider (5/13/2022)</v>
      </c>
      <c r="H5137" s="19"/>
    </row>
    <row r="5138">
      <c r="A5138" s="9"/>
      <c r="B5138" s="15"/>
      <c r="C5138" s="9">
        <f>IFERROR(__xludf.DUMMYFUNCTION("""COMPUTED_VALUE"""),44743.060697662)</f>
        <v>44743.0607</v>
      </c>
      <c r="D5138" s="15">
        <f>IFERROR(__xludf.DUMMYFUNCTION("""COMPUTED_VALUE"""),1.005)</f>
        <v>1.005</v>
      </c>
      <c r="E5138" s="16">
        <f>IFERROR(__xludf.DUMMYFUNCTION("""COMPUTED_VALUE"""),68.0)</f>
        <v>68</v>
      </c>
      <c r="F5138" s="19" t="str">
        <f>IFERROR(__xludf.DUMMYFUNCTION("""COMPUTED_VALUE"""),"BLACK")</f>
        <v>BLACK</v>
      </c>
      <c r="G5138" s="20" t="str">
        <f>IFERROR(__xludf.DUMMYFUNCTION("""COMPUTED_VALUE"""),"Uncle Sams Cider (5/13/2022)")</f>
        <v>Uncle Sams Cider (5/13/2022)</v>
      </c>
      <c r="H5138" s="19"/>
    </row>
    <row r="5139">
      <c r="A5139" s="9"/>
      <c r="B5139" s="15"/>
      <c r="C5139" s="9">
        <f>IFERROR(__xludf.DUMMYFUNCTION("""COMPUTED_VALUE"""),44743.050275868)</f>
        <v>44743.05028</v>
      </c>
      <c r="D5139" s="15">
        <f>IFERROR(__xludf.DUMMYFUNCTION("""COMPUTED_VALUE"""),1.005)</f>
        <v>1.005</v>
      </c>
      <c r="E5139" s="16">
        <f>IFERROR(__xludf.DUMMYFUNCTION("""COMPUTED_VALUE"""),68.0)</f>
        <v>68</v>
      </c>
      <c r="F5139" s="19" t="str">
        <f>IFERROR(__xludf.DUMMYFUNCTION("""COMPUTED_VALUE"""),"BLACK")</f>
        <v>BLACK</v>
      </c>
      <c r="G5139" s="20" t="str">
        <f>IFERROR(__xludf.DUMMYFUNCTION("""COMPUTED_VALUE"""),"Uncle Sams Cider (5/13/2022)")</f>
        <v>Uncle Sams Cider (5/13/2022)</v>
      </c>
      <c r="H5139" s="19"/>
    </row>
    <row r="5140">
      <c r="A5140" s="9"/>
      <c r="B5140" s="15"/>
      <c r="C5140" s="9">
        <f>IFERROR(__xludf.DUMMYFUNCTION("""COMPUTED_VALUE"""),44743.0398433449)</f>
        <v>44743.03984</v>
      </c>
      <c r="D5140" s="15">
        <f>IFERROR(__xludf.DUMMYFUNCTION("""COMPUTED_VALUE"""),1.005)</f>
        <v>1.005</v>
      </c>
      <c r="E5140" s="16">
        <f>IFERROR(__xludf.DUMMYFUNCTION("""COMPUTED_VALUE"""),68.0)</f>
        <v>68</v>
      </c>
      <c r="F5140" s="19" t="str">
        <f>IFERROR(__xludf.DUMMYFUNCTION("""COMPUTED_VALUE"""),"BLACK")</f>
        <v>BLACK</v>
      </c>
      <c r="G5140" s="20" t="str">
        <f>IFERROR(__xludf.DUMMYFUNCTION("""COMPUTED_VALUE"""),"Uncle Sams Cider (5/13/2022)")</f>
        <v>Uncle Sams Cider (5/13/2022)</v>
      </c>
      <c r="H5140" s="19"/>
    </row>
    <row r="5141">
      <c r="A5141" s="9"/>
      <c r="B5141" s="15"/>
      <c r="C5141" s="9">
        <f>IFERROR(__xludf.DUMMYFUNCTION("""COMPUTED_VALUE"""),44743.0294101157)</f>
        <v>44743.02941</v>
      </c>
      <c r="D5141" s="15">
        <f>IFERROR(__xludf.DUMMYFUNCTION("""COMPUTED_VALUE"""),1.005)</f>
        <v>1.005</v>
      </c>
      <c r="E5141" s="16">
        <f>IFERROR(__xludf.DUMMYFUNCTION("""COMPUTED_VALUE"""),68.0)</f>
        <v>68</v>
      </c>
      <c r="F5141" s="19" t="str">
        <f>IFERROR(__xludf.DUMMYFUNCTION("""COMPUTED_VALUE"""),"BLACK")</f>
        <v>BLACK</v>
      </c>
      <c r="G5141" s="20" t="str">
        <f>IFERROR(__xludf.DUMMYFUNCTION("""COMPUTED_VALUE"""),"Uncle Sams Cider (5/13/2022)")</f>
        <v>Uncle Sams Cider (5/13/2022)</v>
      </c>
      <c r="H5141" s="19"/>
    </row>
    <row r="5142">
      <c r="A5142" s="9"/>
      <c r="B5142" s="15"/>
      <c r="C5142" s="9">
        <f>IFERROR(__xludf.DUMMYFUNCTION("""COMPUTED_VALUE"""),44743.0189890393)</f>
        <v>44743.01899</v>
      </c>
      <c r="D5142" s="15">
        <f>IFERROR(__xludf.DUMMYFUNCTION("""COMPUTED_VALUE"""),1.005)</f>
        <v>1.005</v>
      </c>
      <c r="E5142" s="16">
        <f>IFERROR(__xludf.DUMMYFUNCTION("""COMPUTED_VALUE"""),68.0)</f>
        <v>68</v>
      </c>
      <c r="F5142" s="19" t="str">
        <f>IFERROR(__xludf.DUMMYFUNCTION("""COMPUTED_VALUE"""),"BLACK")</f>
        <v>BLACK</v>
      </c>
      <c r="G5142" s="20" t="str">
        <f>IFERROR(__xludf.DUMMYFUNCTION("""COMPUTED_VALUE"""),"Uncle Sams Cider (5/13/2022)")</f>
        <v>Uncle Sams Cider (5/13/2022)</v>
      </c>
      <c r="H5142" s="19"/>
    </row>
    <row r="5143">
      <c r="A5143" s="9"/>
      <c r="B5143" s="15"/>
      <c r="C5143" s="9">
        <f>IFERROR(__xludf.DUMMYFUNCTION("""COMPUTED_VALUE"""),44743.0085690162)</f>
        <v>44743.00857</v>
      </c>
      <c r="D5143" s="15">
        <f>IFERROR(__xludf.DUMMYFUNCTION("""COMPUTED_VALUE"""),1.005)</f>
        <v>1.005</v>
      </c>
      <c r="E5143" s="16">
        <f>IFERROR(__xludf.DUMMYFUNCTION("""COMPUTED_VALUE"""),68.0)</f>
        <v>68</v>
      </c>
      <c r="F5143" s="19" t="str">
        <f>IFERROR(__xludf.DUMMYFUNCTION("""COMPUTED_VALUE"""),"BLACK")</f>
        <v>BLACK</v>
      </c>
      <c r="G5143" s="20" t="str">
        <f>IFERROR(__xludf.DUMMYFUNCTION("""COMPUTED_VALUE"""),"Uncle Sams Cider (5/13/2022)")</f>
        <v>Uncle Sams Cider (5/13/2022)</v>
      </c>
      <c r="H5143" s="19"/>
    </row>
    <row r="5144">
      <c r="A5144" s="9"/>
      <c r="B5144" s="15"/>
      <c r="C5144" s="9">
        <f>IFERROR(__xludf.DUMMYFUNCTION("""COMPUTED_VALUE"""),44742.9981478587)</f>
        <v>44742.99815</v>
      </c>
      <c r="D5144" s="15">
        <f>IFERROR(__xludf.DUMMYFUNCTION("""COMPUTED_VALUE"""),1.005)</f>
        <v>1.005</v>
      </c>
      <c r="E5144" s="16">
        <f>IFERROR(__xludf.DUMMYFUNCTION("""COMPUTED_VALUE"""),68.0)</f>
        <v>68</v>
      </c>
      <c r="F5144" s="19" t="str">
        <f>IFERROR(__xludf.DUMMYFUNCTION("""COMPUTED_VALUE"""),"BLACK")</f>
        <v>BLACK</v>
      </c>
      <c r="G5144" s="20" t="str">
        <f>IFERROR(__xludf.DUMMYFUNCTION("""COMPUTED_VALUE"""),"Uncle Sams Cider (5/13/2022)")</f>
        <v>Uncle Sams Cider (5/13/2022)</v>
      </c>
      <c r="H5144" s="19"/>
    </row>
    <row r="5145">
      <c r="A5145" s="9"/>
      <c r="B5145" s="15"/>
      <c r="C5145" s="9">
        <f>IFERROR(__xludf.DUMMYFUNCTION("""COMPUTED_VALUE"""),44742.9877271064)</f>
        <v>44742.98773</v>
      </c>
      <c r="D5145" s="15">
        <f>IFERROR(__xludf.DUMMYFUNCTION("""COMPUTED_VALUE"""),1.005)</f>
        <v>1.005</v>
      </c>
      <c r="E5145" s="16">
        <f>IFERROR(__xludf.DUMMYFUNCTION("""COMPUTED_VALUE"""),68.0)</f>
        <v>68</v>
      </c>
      <c r="F5145" s="19" t="str">
        <f>IFERROR(__xludf.DUMMYFUNCTION("""COMPUTED_VALUE"""),"BLACK")</f>
        <v>BLACK</v>
      </c>
      <c r="G5145" s="20" t="str">
        <f>IFERROR(__xludf.DUMMYFUNCTION("""COMPUTED_VALUE"""),"Uncle Sams Cider (5/13/2022)")</f>
        <v>Uncle Sams Cider (5/13/2022)</v>
      </c>
      <c r="H5145" s="19"/>
    </row>
    <row r="5146">
      <c r="A5146" s="9"/>
      <c r="B5146" s="15"/>
      <c r="C5146" s="9">
        <f>IFERROR(__xludf.DUMMYFUNCTION("""COMPUTED_VALUE"""),44742.9773058912)</f>
        <v>44742.97731</v>
      </c>
      <c r="D5146" s="15">
        <f>IFERROR(__xludf.DUMMYFUNCTION("""COMPUTED_VALUE"""),1.005)</f>
        <v>1.005</v>
      </c>
      <c r="E5146" s="16">
        <f>IFERROR(__xludf.DUMMYFUNCTION("""COMPUTED_VALUE"""),68.0)</f>
        <v>68</v>
      </c>
      <c r="F5146" s="19" t="str">
        <f>IFERROR(__xludf.DUMMYFUNCTION("""COMPUTED_VALUE"""),"BLACK")</f>
        <v>BLACK</v>
      </c>
      <c r="G5146" s="20" t="str">
        <f>IFERROR(__xludf.DUMMYFUNCTION("""COMPUTED_VALUE"""),"Uncle Sams Cider (5/13/2022)")</f>
        <v>Uncle Sams Cider (5/13/2022)</v>
      </c>
      <c r="H5146" s="19"/>
    </row>
    <row r="5147">
      <c r="A5147" s="9"/>
      <c r="B5147" s="15"/>
      <c r="C5147" s="9">
        <f>IFERROR(__xludf.DUMMYFUNCTION("""COMPUTED_VALUE"""),44742.966873912)</f>
        <v>44742.96687</v>
      </c>
      <c r="D5147" s="15">
        <f>IFERROR(__xludf.DUMMYFUNCTION("""COMPUTED_VALUE"""),1.005)</f>
        <v>1.005</v>
      </c>
      <c r="E5147" s="16">
        <f>IFERROR(__xludf.DUMMYFUNCTION("""COMPUTED_VALUE"""),68.0)</f>
        <v>68</v>
      </c>
      <c r="F5147" s="19" t="str">
        <f>IFERROR(__xludf.DUMMYFUNCTION("""COMPUTED_VALUE"""),"BLACK")</f>
        <v>BLACK</v>
      </c>
      <c r="G5147" s="20" t="str">
        <f>IFERROR(__xludf.DUMMYFUNCTION("""COMPUTED_VALUE"""),"Uncle Sams Cider (5/13/2022)")</f>
        <v>Uncle Sams Cider (5/13/2022)</v>
      </c>
      <c r="H5147" s="19"/>
    </row>
    <row r="5148">
      <c r="A5148" s="9"/>
      <c r="B5148" s="15"/>
      <c r="C5148" s="9">
        <f>IFERROR(__xludf.DUMMYFUNCTION("""COMPUTED_VALUE"""),44742.9564522106)</f>
        <v>44742.95645</v>
      </c>
      <c r="D5148" s="15">
        <f>IFERROR(__xludf.DUMMYFUNCTION("""COMPUTED_VALUE"""),1.005)</f>
        <v>1.005</v>
      </c>
      <c r="E5148" s="16">
        <f>IFERROR(__xludf.DUMMYFUNCTION("""COMPUTED_VALUE"""),68.0)</f>
        <v>68</v>
      </c>
      <c r="F5148" s="19" t="str">
        <f>IFERROR(__xludf.DUMMYFUNCTION("""COMPUTED_VALUE"""),"BLACK")</f>
        <v>BLACK</v>
      </c>
      <c r="G5148" s="20" t="str">
        <f>IFERROR(__xludf.DUMMYFUNCTION("""COMPUTED_VALUE"""),"Uncle Sams Cider (5/13/2022)")</f>
        <v>Uncle Sams Cider (5/13/2022)</v>
      </c>
      <c r="H5148" s="19"/>
    </row>
    <row r="5149">
      <c r="A5149" s="9"/>
      <c r="B5149" s="15"/>
      <c r="C5149" s="9">
        <f>IFERROR(__xludf.DUMMYFUNCTION("""COMPUTED_VALUE"""),44742.9460334606)</f>
        <v>44742.94603</v>
      </c>
      <c r="D5149" s="15">
        <f>IFERROR(__xludf.DUMMYFUNCTION("""COMPUTED_VALUE"""),1.005)</f>
        <v>1.005</v>
      </c>
      <c r="E5149" s="16">
        <f>IFERROR(__xludf.DUMMYFUNCTION("""COMPUTED_VALUE"""),68.0)</f>
        <v>68</v>
      </c>
      <c r="F5149" s="19" t="str">
        <f>IFERROR(__xludf.DUMMYFUNCTION("""COMPUTED_VALUE"""),"BLACK")</f>
        <v>BLACK</v>
      </c>
      <c r="G5149" s="20" t="str">
        <f>IFERROR(__xludf.DUMMYFUNCTION("""COMPUTED_VALUE"""),"Uncle Sams Cider (5/13/2022)")</f>
        <v>Uncle Sams Cider (5/13/2022)</v>
      </c>
      <c r="H5149" s="19"/>
    </row>
    <row r="5150">
      <c r="A5150" s="9"/>
      <c r="B5150" s="15"/>
      <c r="C5150" s="9">
        <f>IFERROR(__xludf.DUMMYFUNCTION("""COMPUTED_VALUE"""),44742.9356115162)</f>
        <v>44742.93561</v>
      </c>
      <c r="D5150" s="15">
        <f>IFERROR(__xludf.DUMMYFUNCTION("""COMPUTED_VALUE"""),1.005)</f>
        <v>1.005</v>
      </c>
      <c r="E5150" s="16">
        <f>IFERROR(__xludf.DUMMYFUNCTION("""COMPUTED_VALUE"""),67.0)</f>
        <v>67</v>
      </c>
      <c r="F5150" s="19" t="str">
        <f>IFERROR(__xludf.DUMMYFUNCTION("""COMPUTED_VALUE"""),"BLACK")</f>
        <v>BLACK</v>
      </c>
      <c r="G5150" s="20" t="str">
        <f>IFERROR(__xludf.DUMMYFUNCTION("""COMPUTED_VALUE"""),"Uncle Sams Cider (5/13/2022)")</f>
        <v>Uncle Sams Cider (5/13/2022)</v>
      </c>
      <c r="H5150" s="19"/>
    </row>
    <row r="5151">
      <c r="A5151" s="9"/>
      <c r="B5151" s="15"/>
      <c r="C5151" s="9">
        <f>IFERROR(__xludf.DUMMYFUNCTION("""COMPUTED_VALUE"""),44742.9251915277)</f>
        <v>44742.92519</v>
      </c>
      <c r="D5151" s="15">
        <f>IFERROR(__xludf.DUMMYFUNCTION("""COMPUTED_VALUE"""),1.005)</f>
        <v>1.005</v>
      </c>
      <c r="E5151" s="16">
        <f>IFERROR(__xludf.DUMMYFUNCTION("""COMPUTED_VALUE"""),67.0)</f>
        <v>67</v>
      </c>
      <c r="F5151" s="19" t="str">
        <f>IFERROR(__xludf.DUMMYFUNCTION("""COMPUTED_VALUE"""),"BLACK")</f>
        <v>BLACK</v>
      </c>
      <c r="G5151" s="20" t="str">
        <f>IFERROR(__xludf.DUMMYFUNCTION("""COMPUTED_VALUE"""),"Uncle Sams Cider (5/13/2022)")</f>
        <v>Uncle Sams Cider (5/13/2022)</v>
      </c>
      <c r="H5151" s="19"/>
    </row>
    <row r="5152">
      <c r="A5152" s="9"/>
      <c r="B5152" s="15"/>
      <c r="C5152" s="9">
        <f>IFERROR(__xludf.DUMMYFUNCTION("""COMPUTED_VALUE"""),44742.9147688541)</f>
        <v>44742.91477</v>
      </c>
      <c r="D5152" s="15">
        <f>IFERROR(__xludf.DUMMYFUNCTION("""COMPUTED_VALUE"""),1.005)</f>
        <v>1.005</v>
      </c>
      <c r="E5152" s="16">
        <f>IFERROR(__xludf.DUMMYFUNCTION("""COMPUTED_VALUE"""),67.0)</f>
        <v>67</v>
      </c>
      <c r="F5152" s="19" t="str">
        <f>IFERROR(__xludf.DUMMYFUNCTION("""COMPUTED_VALUE"""),"BLACK")</f>
        <v>BLACK</v>
      </c>
      <c r="G5152" s="20" t="str">
        <f>IFERROR(__xludf.DUMMYFUNCTION("""COMPUTED_VALUE"""),"Uncle Sams Cider (5/13/2022)")</f>
        <v>Uncle Sams Cider (5/13/2022)</v>
      </c>
      <c r="H5152" s="19"/>
    </row>
    <row r="5153">
      <c r="A5153" s="9"/>
      <c r="B5153" s="15"/>
      <c r="C5153" s="9">
        <f>IFERROR(__xludf.DUMMYFUNCTION("""COMPUTED_VALUE"""),44742.904348449)</f>
        <v>44742.90435</v>
      </c>
      <c r="D5153" s="15">
        <f>IFERROR(__xludf.DUMMYFUNCTION("""COMPUTED_VALUE"""),1.005)</f>
        <v>1.005</v>
      </c>
      <c r="E5153" s="16">
        <f>IFERROR(__xludf.DUMMYFUNCTION("""COMPUTED_VALUE"""),67.0)</f>
        <v>67</v>
      </c>
      <c r="F5153" s="19" t="str">
        <f>IFERROR(__xludf.DUMMYFUNCTION("""COMPUTED_VALUE"""),"BLACK")</f>
        <v>BLACK</v>
      </c>
      <c r="G5153" s="20" t="str">
        <f>IFERROR(__xludf.DUMMYFUNCTION("""COMPUTED_VALUE"""),"Uncle Sams Cider (5/13/2022)")</f>
        <v>Uncle Sams Cider (5/13/2022)</v>
      </c>
      <c r="H5153" s="19"/>
    </row>
    <row r="5154">
      <c r="A5154" s="9"/>
      <c r="B5154" s="15"/>
      <c r="C5154" s="9">
        <f>IFERROR(__xludf.DUMMYFUNCTION("""COMPUTED_VALUE"""),44742.8939288888)</f>
        <v>44742.89393</v>
      </c>
      <c r="D5154" s="15">
        <f>IFERROR(__xludf.DUMMYFUNCTION("""COMPUTED_VALUE"""),1.005)</f>
        <v>1.005</v>
      </c>
      <c r="E5154" s="16">
        <f>IFERROR(__xludf.DUMMYFUNCTION("""COMPUTED_VALUE"""),67.0)</f>
        <v>67</v>
      </c>
      <c r="F5154" s="19" t="str">
        <f>IFERROR(__xludf.DUMMYFUNCTION("""COMPUTED_VALUE"""),"BLACK")</f>
        <v>BLACK</v>
      </c>
      <c r="G5154" s="20" t="str">
        <f>IFERROR(__xludf.DUMMYFUNCTION("""COMPUTED_VALUE"""),"Uncle Sams Cider (5/13/2022)")</f>
        <v>Uncle Sams Cider (5/13/2022)</v>
      </c>
      <c r="H5154" s="19"/>
    </row>
    <row r="5155">
      <c r="A5155" s="9"/>
      <c r="B5155" s="15"/>
      <c r="C5155" s="9">
        <f>IFERROR(__xludf.DUMMYFUNCTION("""COMPUTED_VALUE"""),44742.8835096412)</f>
        <v>44742.88351</v>
      </c>
      <c r="D5155" s="15">
        <f>IFERROR(__xludf.DUMMYFUNCTION("""COMPUTED_VALUE"""),1.005)</f>
        <v>1.005</v>
      </c>
      <c r="E5155" s="16">
        <f>IFERROR(__xludf.DUMMYFUNCTION("""COMPUTED_VALUE"""),67.0)</f>
        <v>67</v>
      </c>
      <c r="F5155" s="19" t="str">
        <f>IFERROR(__xludf.DUMMYFUNCTION("""COMPUTED_VALUE"""),"BLACK")</f>
        <v>BLACK</v>
      </c>
      <c r="G5155" s="20" t="str">
        <f>IFERROR(__xludf.DUMMYFUNCTION("""COMPUTED_VALUE"""),"Uncle Sams Cider (5/13/2022)")</f>
        <v>Uncle Sams Cider (5/13/2022)</v>
      </c>
      <c r="H5155" s="19"/>
    </row>
    <row r="5156">
      <c r="A5156" s="9"/>
      <c r="B5156" s="15"/>
      <c r="C5156" s="9">
        <f>IFERROR(__xludf.DUMMYFUNCTION("""COMPUTED_VALUE"""),44742.8730875578)</f>
        <v>44742.87309</v>
      </c>
      <c r="D5156" s="15">
        <f>IFERROR(__xludf.DUMMYFUNCTION("""COMPUTED_VALUE"""),1.005)</f>
        <v>1.005</v>
      </c>
      <c r="E5156" s="16">
        <f>IFERROR(__xludf.DUMMYFUNCTION("""COMPUTED_VALUE"""),67.0)</f>
        <v>67</v>
      </c>
      <c r="F5156" s="19" t="str">
        <f>IFERROR(__xludf.DUMMYFUNCTION("""COMPUTED_VALUE"""),"BLACK")</f>
        <v>BLACK</v>
      </c>
      <c r="G5156" s="20" t="str">
        <f>IFERROR(__xludf.DUMMYFUNCTION("""COMPUTED_VALUE"""),"Uncle Sams Cider (5/13/2022)")</f>
        <v>Uncle Sams Cider (5/13/2022)</v>
      </c>
      <c r="H5156" s="19"/>
    </row>
    <row r="5157">
      <c r="A5157" s="9"/>
      <c r="B5157" s="15"/>
      <c r="C5157" s="9">
        <f>IFERROR(__xludf.DUMMYFUNCTION("""COMPUTED_VALUE"""),44742.8626667592)</f>
        <v>44742.86267</v>
      </c>
      <c r="D5157" s="15">
        <f>IFERROR(__xludf.DUMMYFUNCTION("""COMPUTED_VALUE"""),1.005)</f>
        <v>1.005</v>
      </c>
      <c r="E5157" s="16">
        <f>IFERROR(__xludf.DUMMYFUNCTION("""COMPUTED_VALUE"""),67.0)</f>
        <v>67</v>
      </c>
      <c r="F5157" s="19" t="str">
        <f>IFERROR(__xludf.DUMMYFUNCTION("""COMPUTED_VALUE"""),"BLACK")</f>
        <v>BLACK</v>
      </c>
      <c r="G5157" s="20" t="str">
        <f>IFERROR(__xludf.DUMMYFUNCTION("""COMPUTED_VALUE"""),"Uncle Sams Cider (5/13/2022)")</f>
        <v>Uncle Sams Cider (5/13/2022)</v>
      </c>
      <c r="H5157" s="19"/>
    </row>
    <row r="5158">
      <c r="A5158" s="9"/>
      <c r="B5158" s="15"/>
      <c r="C5158" s="9">
        <f>IFERROR(__xludf.DUMMYFUNCTION("""COMPUTED_VALUE"""),44742.8522443171)</f>
        <v>44742.85224</v>
      </c>
      <c r="D5158" s="15">
        <f>IFERROR(__xludf.DUMMYFUNCTION("""COMPUTED_VALUE"""),1.005)</f>
        <v>1.005</v>
      </c>
      <c r="E5158" s="16">
        <f>IFERROR(__xludf.DUMMYFUNCTION("""COMPUTED_VALUE"""),67.0)</f>
        <v>67</v>
      </c>
      <c r="F5158" s="19" t="str">
        <f>IFERROR(__xludf.DUMMYFUNCTION("""COMPUTED_VALUE"""),"BLACK")</f>
        <v>BLACK</v>
      </c>
      <c r="G5158" s="20" t="str">
        <f>IFERROR(__xludf.DUMMYFUNCTION("""COMPUTED_VALUE"""),"Uncle Sams Cider (5/13/2022)")</f>
        <v>Uncle Sams Cider (5/13/2022)</v>
      </c>
      <c r="H5158" s="19"/>
    </row>
    <row r="5159">
      <c r="A5159" s="9"/>
      <c r="B5159" s="15"/>
      <c r="C5159" s="9">
        <f>IFERROR(__xludf.DUMMYFUNCTION("""COMPUTED_VALUE"""),44742.8418242245)</f>
        <v>44742.84182</v>
      </c>
      <c r="D5159" s="15">
        <f>IFERROR(__xludf.DUMMYFUNCTION("""COMPUTED_VALUE"""),1.005)</f>
        <v>1.005</v>
      </c>
      <c r="E5159" s="16">
        <f>IFERROR(__xludf.DUMMYFUNCTION("""COMPUTED_VALUE"""),67.0)</f>
        <v>67</v>
      </c>
      <c r="F5159" s="19" t="str">
        <f>IFERROR(__xludf.DUMMYFUNCTION("""COMPUTED_VALUE"""),"BLACK")</f>
        <v>BLACK</v>
      </c>
      <c r="G5159" s="20" t="str">
        <f>IFERROR(__xludf.DUMMYFUNCTION("""COMPUTED_VALUE"""),"Uncle Sams Cider (5/13/2022)")</f>
        <v>Uncle Sams Cider (5/13/2022)</v>
      </c>
      <c r="H5159" s="19"/>
    </row>
    <row r="5160">
      <c r="A5160" s="9"/>
      <c r="B5160" s="15"/>
      <c r="C5160" s="9">
        <f>IFERROR(__xludf.DUMMYFUNCTION("""COMPUTED_VALUE"""),44742.8314032986)</f>
        <v>44742.8314</v>
      </c>
      <c r="D5160" s="15">
        <f>IFERROR(__xludf.DUMMYFUNCTION("""COMPUTED_VALUE"""),1.005)</f>
        <v>1.005</v>
      </c>
      <c r="E5160" s="16">
        <f>IFERROR(__xludf.DUMMYFUNCTION("""COMPUTED_VALUE"""),67.0)</f>
        <v>67</v>
      </c>
      <c r="F5160" s="19" t="str">
        <f>IFERROR(__xludf.DUMMYFUNCTION("""COMPUTED_VALUE"""),"BLACK")</f>
        <v>BLACK</v>
      </c>
      <c r="G5160" s="20" t="str">
        <f>IFERROR(__xludf.DUMMYFUNCTION("""COMPUTED_VALUE"""),"Uncle Sams Cider (5/13/2022)")</f>
        <v>Uncle Sams Cider (5/13/2022)</v>
      </c>
      <c r="H5160" s="19"/>
    </row>
    <row r="5161">
      <c r="A5161" s="9"/>
      <c r="B5161" s="15"/>
      <c r="C5161" s="9">
        <f>IFERROR(__xludf.DUMMYFUNCTION("""COMPUTED_VALUE"""),44742.8209818634)</f>
        <v>44742.82098</v>
      </c>
      <c r="D5161" s="15">
        <f>IFERROR(__xludf.DUMMYFUNCTION("""COMPUTED_VALUE"""),1.005)</f>
        <v>1.005</v>
      </c>
      <c r="E5161" s="16">
        <f>IFERROR(__xludf.DUMMYFUNCTION("""COMPUTED_VALUE"""),67.0)</f>
        <v>67</v>
      </c>
      <c r="F5161" s="19" t="str">
        <f>IFERROR(__xludf.DUMMYFUNCTION("""COMPUTED_VALUE"""),"BLACK")</f>
        <v>BLACK</v>
      </c>
      <c r="G5161" s="20" t="str">
        <f>IFERROR(__xludf.DUMMYFUNCTION("""COMPUTED_VALUE"""),"Uncle Sams Cider (5/13/2022)")</f>
        <v>Uncle Sams Cider (5/13/2022)</v>
      </c>
      <c r="H5161" s="19"/>
    </row>
    <row r="5162">
      <c r="A5162" s="9"/>
      <c r="B5162" s="15"/>
      <c r="C5162" s="9">
        <f>IFERROR(__xludf.DUMMYFUNCTION("""COMPUTED_VALUE"""),44742.8105605208)</f>
        <v>44742.81056</v>
      </c>
      <c r="D5162" s="15">
        <f>IFERROR(__xludf.DUMMYFUNCTION("""COMPUTED_VALUE"""),1.005)</f>
        <v>1.005</v>
      </c>
      <c r="E5162" s="16">
        <f>IFERROR(__xludf.DUMMYFUNCTION("""COMPUTED_VALUE"""),67.0)</f>
        <v>67</v>
      </c>
      <c r="F5162" s="19" t="str">
        <f>IFERROR(__xludf.DUMMYFUNCTION("""COMPUTED_VALUE"""),"BLACK")</f>
        <v>BLACK</v>
      </c>
      <c r="G5162" s="20" t="str">
        <f>IFERROR(__xludf.DUMMYFUNCTION("""COMPUTED_VALUE"""),"Uncle Sams Cider (5/13/2022)")</f>
        <v>Uncle Sams Cider (5/13/2022)</v>
      </c>
      <c r="H5162" s="19"/>
    </row>
    <row r="5163">
      <c r="A5163" s="9"/>
      <c r="B5163" s="15"/>
      <c r="C5163" s="9">
        <f>IFERROR(__xludf.DUMMYFUNCTION("""COMPUTED_VALUE"""),44742.800138449)</f>
        <v>44742.80014</v>
      </c>
      <c r="D5163" s="15">
        <f>IFERROR(__xludf.DUMMYFUNCTION("""COMPUTED_VALUE"""),1.005)</f>
        <v>1.005</v>
      </c>
      <c r="E5163" s="16">
        <f>IFERROR(__xludf.DUMMYFUNCTION("""COMPUTED_VALUE"""),67.0)</f>
        <v>67</v>
      </c>
      <c r="F5163" s="19" t="str">
        <f>IFERROR(__xludf.DUMMYFUNCTION("""COMPUTED_VALUE"""),"BLACK")</f>
        <v>BLACK</v>
      </c>
      <c r="G5163" s="20" t="str">
        <f>IFERROR(__xludf.DUMMYFUNCTION("""COMPUTED_VALUE"""),"Uncle Sams Cider (5/13/2022)")</f>
        <v>Uncle Sams Cider (5/13/2022)</v>
      </c>
      <c r="H5163" s="19"/>
    </row>
    <row r="5164">
      <c r="A5164" s="9"/>
      <c r="B5164" s="15"/>
      <c r="C5164" s="9">
        <f>IFERROR(__xludf.DUMMYFUNCTION("""COMPUTED_VALUE"""),44742.7897169097)</f>
        <v>44742.78972</v>
      </c>
      <c r="D5164" s="15">
        <f>IFERROR(__xludf.DUMMYFUNCTION("""COMPUTED_VALUE"""),1.005)</f>
        <v>1.005</v>
      </c>
      <c r="E5164" s="16">
        <f>IFERROR(__xludf.DUMMYFUNCTION("""COMPUTED_VALUE"""),67.0)</f>
        <v>67</v>
      </c>
      <c r="F5164" s="19" t="str">
        <f>IFERROR(__xludf.DUMMYFUNCTION("""COMPUTED_VALUE"""),"BLACK")</f>
        <v>BLACK</v>
      </c>
      <c r="G5164" s="20" t="str">
        <f>IFERROR(__xludf.DUMMYFUNCTION("""COMPUTED_VALUE"""),"Uncle Sams Cider (5/13/2022)")</f>
        <v>Uncle Sams Cider (5/13/2022)</v>
      </c>
      <c r="H5164" s="19"/>
    </row>
    <row r="5165">
      <c r="A5165" s="9"/>
      <c r="B5165" s="15"/>
      <c r="C5165" s="9">
        <f>IFERROR(__xludf.DUMMYFUNCTION("""COMPUTED_VALUE"""),44742.7792839467)</f>
        <v>44742.77928</v>
      </c>
      <c r="D5165" s="15">
        <f>IFERROR(__xludf.DUMMYFUNCTION("""COMPUTED_VALUE"""),1.005)</f>
        <v>1.005</v>
      </c>
      <c r="E5165" s="16">
        <f>IFERROR(__xludf.DUMMYFUNCTION("""COMPUTED_VALUE"""),67.0)</f>
        <v>67</v>
      </c>
      <c r="F5165" s="19" t="str">
        <f>IFERROR(__xludf.DUMMYFUNCTION("""COMPUTED_VALUE"""),"BLACK")</f>
        <v>BLACK</v>
      </c>
      <c r="G5165" s="20" t="str">
        <f>IFERROR(__xludf.DUMMYFUNCTION("""COMPUTED_VALUE"""),"Uncle Sams Cider (5/13/2022)")</f>
        <v>Uncle Sams Cider (5/13/2022)</v>
      </c>
      <c r="H5165" s="19"/>
    </row>
    <row r="5166">
      <c r="A5166" s="9"/>
      <c r="B5166" s="15"/>
      <c r="C5166" s="9">
        <f>IFERROR(__xludf.DUMMYFUNCTION("""COMPUTED_VALUE"""),44742.7688649189)</f>
        <v>44742.76886</v>
      </c>
      <c r="D5166" s="15">
        <f>IFERROR(__xludf.DUMMYFUNCTION("""COMPUTED_VALUE"""),1.005)</f>
        <v>1.005</v>
      </c>
      <c r="E5166" s="16">
        <f>IFERROR(__xludf.DUMMYFUNCTION("""COMPUTED_VALUE"""),67.0)</f>
        <v>67</v>
      </c>
      <c r="F5166" s="19" t="str">
        <f>IFERROR(__xludf.DUMMYFUNCTION("""COMPUTED_VALUE"""),"BLACK")</f>
        <v>BLACK</v>
      </c>
      <c r="G5166" s="20" t="str">
        <f>IFERROR(__xludf.DUMMYFUNCTION("""COMPUTED_VALUE"""),"Uncle Sams Cider (5/13/2022)")</f>
        <v>Uncle Sams Cider (5/13/2022)</v>
      </c>
      <c r="H5166" s="19"/>
    </row>
    <row r="5167">
      <c r="A5167" s="9"/>
      <c r="B5167" s="15"/>
      <c r="C5167" s="9">
        <f>IFERROR(__xludf.DUMMYFUNCTION("""COMPUTED_VALUE"""),44742.7584436921)</f>
        <v>44742.75844</v>
      </c>
      <c r="D5167" s="15">
        <f>IFERROR(__xludf.DUMMYFUNCTION("""COMPUTED_VALUE"""),1.005)</f>
        <v>1.005</v>
      </c>
      <c r="E5167" s="16">
        <f>IFERROR(__xludf.DUMMYFUNCTION("""COMPUTED_VALUE"""),67.0)</f>
        <v>67</v>
      </c>
      <c r="F5167" s="19" t="str">
        <f>IFERROR(__xludf.DUMMYFUNCTION("""COMPUTED_VALUE"""),"BLACK")</f>
        <v>BLACK</v>
      </c>
      <c r="G5167" s="20" t="str">
        <f>IFERROR(__xludf.DUMMYFUNCTION("""COMPUTED_VALUE"""),"Uncle Sams Cider (5/13/2022)")</f>
        <v>Uncle Sams Cider (5/13/2022)</v>
      </c>
      <c r="H5167" s="19"/>
    </row>
    <row r="5168">
      <c r="A5168" s="9"/>
      <c r="B5168" s="15"/>
      <c r="C5168" s="9">
        <f>IFERROR(__xludf.DUMMYFUNCTION("""COMPUTED_VALUE"""),44742.7480098495)</f>
        <v>44742.74801</v>
      </c>
      <c r="D5168" s="15">
        <f>IFERROR(__xludf.DUMMYFUNCTION("""COMPUTED_VALUE"""),1.005)</f>
        <v>1.005</v>
      </c>
      <c r="E5168" s="16">
        <f>IFERROR(__xludf.DUMMYFUNCTION("""COMPUTED_VALUE"""),67.0)</f>
        <v>67</v>
      </c>
      <c r="F5168" s="19" t="str">
        <f>IFERROR(__xludf.DUMMYFUNCTION("""COMPUTED_VALUE"""),"BLACK")</f>
        <v>BLACK</v>
      </c>
      <c r="G5168" s="20" t="str">
        <f>IFERROR(__xludf.DUMMYFUNCTION("""COMPUTED_VALUE"""),"Uncle Sams Cider (5/13/2022)")</f>
        <v>Uncle Sams Cider (5/13/2022)</v>
      </c>
      <c r="H5168" s="19"/>
    </row>
    <row r="5169">
      <c r="A5169" s="9"/>
      <c r="B5169" s="15"/>
      <c r="C5169" s="9">
        <f>IFERROR(__xludf.DUMMYFUNCTION("""COMPUTED_VALUE"""),44742.7375906134)</f>
        <v>44742.73759</v>
      </c>
      <c r="D5169" s="15">
        <f>IFERROR(__xludf.DUMMYFUNCTION("""COMPUTED_VALUE"""),1.005)</f>
        <v>1.005</v>
      </c>
      <c r="E5169" s="16">
        <f>IFERROR(__xludf.DUMMYFUNCTION("""COMPUTED_VALUE"""),67.0)</f>
        <v>67</v>
      </c>
      <c r="F5169" s="19" t="str">
        <f>IFERROR(__xludf.DUMMYFUNCTION("""COMPUTED_VALUE"""),"BLACK")</f>
        <v>BLACK</v>
      </c>
      <c r="G5169" s="20" t="str">
        <f>IFERROR(__xludf.DUMMYFUNCTION("""COMPUTED_VALUE"""),"Uncle Sams Cider (5/13/2022)")</f>
        <v>Uncle Sams Cider (5/13/2022)</v>
      </c>
      <c r="H5169" s="19"/>
    </row>
    <row r="5170">
      <c r="A5170" s="9"/>
      <c r="B5170" s="15"/>
      <c r="C5170" s="9">
        <f>IFERROR(__xludf.DUMMYFUNCTION("""COMPUTED_VALUE"""),44742.7271706481)</f>
        <v>44742.72717</v>
      </c>
      <c r="D5170" s="15">
        <f>IFERROR(__xludf.DUMMYFUNCTION("""COMPUTED_VALUE"""),1.005)</f>
        <v>1.005</v>
      </c>
      <c r="E5170" s="16">
        <f>IFERROR(__xludf.DUMMYFUNCTION("""COMPUTED_VALUE"""),67.0)</f>
        <v>67</v>
      </c>
      <c r="F5170" s="19" t="str">
        <f>IFERROR(__xludf.DUMMYFUNCTION("""COMPUTED_VALUE"""),"BLACK")</f>
        <v>BLACK</v>
      </c>
      <c r="G5170" s="20" t="str">
        <f>IFERROR(__xludf.DUMMYFUNCTION("""COMPUTED_VALUE"""),"Uncle Sams Cider (5/13/2022)")</f>
        <v>Uncle Sams Cider (5/13/2022)</v>
      </c>
      <c r="H5170" s="19"/>
    </row>
    <row r="5171">
      <c r="A5171" s="9"/>
      <c r="B5171" s="15"/>
      <c r="C5171" s="9">
        <f>IFERROR(__xludf.DUMMYFUNCTION("""COMPUTED_VALUE"""),44742.7167515972)</f>
        <v>44742.71675</v>
      </c>
      <c r="D5171" s="15">
        <f>IFERROR(__xludf.DUMMYFUNCTION("""COMPUTED_VALUE"""),1.005)</f>
        <v>1.005</v>
      </c>
      <c r="E5171" s="16">
        <f>IFERROR(__xludf.DUMMYFUNCTION("""COMPUTED_VALUE"""),67.0)</f>
        <v>67</v>
      </c>
      <c r="F5171" s="19" t="str">
        <f>IFERROR(__xludf.DUMMYFUNCTION("""COMPUTED_VALUE"""),"BLACK")</f>
        <v>BLACK</v>
      </c>
      <c r="G5171" s="20" t="str">
        <f>IFERROR(__xludf.DUMMYFUNCTION("""COMPUTED_VALUE"""),"Uncle Sams Cider (5/13/2022)")</f>
        <v>Uncle Sams Cider (5/13/2022)</v>
      </c>
      <c r="H5171" s="19"/>
    </row>
    <row r="5172">
      <c r="A5172" s="9"/>
      <c r="B5172" s="15"/>
      <c r="C5172" s="9">
        <f>IFERROR(__xludf.DUMMYFUNCTION("""COMPUTED_VALUE"""),44742.7063306018)</f>
        <v>44742.70633</v>
      </c>
      <c r="D5172" s="15">
        <f>IFERROR(__xludf.DUMMYFUNCTION("""COMPUTED_VALUE"""),1.005)</f>
        <v>1.005</v>
      </c>
      <c r="E5172" s="16">
        <f>IFERROR(__xludf.DUMMYFUNCTION("""COMPUTED_VALUE"""),67.0)</f>
        <v>67</v>
      </c>
      <c r="F5172" s="19" t="str">
        <f>IFERROR(__xludf.DUMMYFUNCTION("""COMPUTED_VALUE"""),"BLACK")</f>
        <v>BLACK</v>
      </c>
      <c r="G5172" s="20" t="str">
        <f>IFERROR(__xludf.DUMMYFUNCTION("""COMPUTED_VALUE"""),"Uncle Sams Cider (5/13/2022)")</f>
        <v>Uncle Sams Cider (5/13/2022)</v>
      </c>
      <c r="H5172" s="19"/>
    </row>
    <row r="5173">
      <c r="A5173" s="9"/>
      <c r="B5173" s="15"/>
      <c r="C5173" s="9">
        <f>IFERROR(__xludf.DUMMYFUNCTION("""COMPUTED_VALUE"""),44742.695898831)</f>
        <v>44742.6959</v>
      </c>
      <c r="D5173" s="15">
        <f>IFERROR(__xludf.DUMMYFUNCTION("""COMPUTED_VALUE"""),1.005)</f>
        <v>1.005</v>
      </c>
      <c r="E5173" s="16">
        <f>IFERROR(__xludf.DUMMYFUNCTION("""COMPUTED_VALUE"""),67.0)</f>
        <v>67</v>
      </c>
      <c r="F5173" s="19" t="str">
        <f>IFERROR(__xludf.DUMMYFUNCTION("""COMPUTED_VALUE"""),"BLACK")</f>
        <v>BLACK</v>
      </c>
      <c r="G5173" s="20" t="str">
        <f>IFERROR(__xludf.DUMMYFUNCTION("""COMPUTED_VALUE"""),"Uncle Sams Cider (5/13/2022)")</f>
        <v>Uncle Sams Cider (5/13/2022)</v>
      </c>
      <c r="H5173" s="19"/>
    </row>
    <row r="5174">
      <c r="A5174" s="9"/>
      <c r="B5174" s="15"/>
      <c r="C5174" s="9">
        <f>IFERROR(__xludf.DUMMYFUNCTION("""COMPUTED_VALUE"""),44742.6854781597)</f>
        <v>44742.68548</v>
      </c>
      <c r="D5174" s="15">
        <f>IFERROR(__xludf.DUMMYFUNCTION("""COMPUTED_VALUE"""),1.005)</f>
        <v>1.005</v>
      </c>
      <c r="E5174" s="16">
        <f>IFERROR(__xludf.DUMMYFUNCTION("""COMPUTED_VALUE"""),67.0)</f>
        <v>67</v>
      </c>
      <c r="F5174" s="19" t="str">
        <f>IFERROR(__xludf.DUMMYFUNCTION("""COMPUTED_VALUE"""),"BLACK")</f>
        <v>BLACK</v>
      </c>
      <c r="G5174" s="20" t="str">
        <f>IFERROR(__xludf.DUMMYFUNCTION("""COMPUTED_VALUE"""),"Uncle Sams Cider (5/13/2022)")</f>
        <v>Uncle Sams Cider (5/13/2022)</v>
      </c>
      <c r="H5174" s="19"/>
    </row>
    <row r="5175">
      <c r="A5175" s="9"/>
      <c r="B5175" s="15"/>
      <c r="C5175" s="9">
        <f>IFERROR(__xludf.DUMMYFUNCTION("""COMPUTED_VALUE"""),44742.6750573495)</f>
        <v>44742.67506</v>
      </c>
      <c r="D5175" s="15">
        <f>IFERROR(__xludf.DUMMYFUNCTION("""COMPUTED_VALUE"""),1.005)</f>
        <v>1.005</v>
      </c>
      <c r="E5175" s="16">
        <f>IFERROR(__xludf.DUMMYFUNCTION("""COMPUTED_VALUE"""),67.0)</f>
        <v>67</v>
      </c>
      <c r="F5175" s="19" t="str">
        <f>IFERROR(__xludf.DUMMYFUNCTION("""COMPUTED_VALUE"""),"BLACK")</f>
        <v>BLACK</v>
      </c>
      <c r="G5175" s="20" t="str">
        <f>IFERROR(__xludf.DUMMYFUNCTION("""COMPUTED_VALUE"""),"Uncle Sams Cider (5/13/2022)")</f>
        <v>Uncle Sams Cider (5/13/2022)</v>
      </c>
      <c r="H5175" s="19"/>
    </row>
    <row r="5176">
      <c r="A5176" s="9"/>
      <c r="B5176" s="15"/>
      <c r="C5176" s="9">
        <f>IFERROR(__xludf.DUMMYFUNCTION("""COMPUTED_VALUE"""),44742.664634699)</f>
        <v>44742.66463</v>
      </c>
      <c r="D5176" s="15">
        <f>IFERROR(__xludf.DUMMYFUNCTION("""COMPUTED_VALUE"""),1.005)</f>
        <v>1.005</v>
      </c>
      <c r="E5176" s="16">
        <f>IFERROR(__xludf.DUMMYFUNCTION("""COMPUTED_VALUE"""),67.0)</f>
        <v>67</v>
      </c>
      <c r="F5176" s="19" t="str">
        <f>IFERROR(__xludf.DUMMYFUNCTION("""COMPUTED_VALUE"""),"BLACK")</f>
        <v>BLACK</v>
      </c>
      <c r="G5176" s="20" t="str">
        <f>IFERROR(__xludf.DUMMYFUNCTION("""COMPUTED_VALUE"""),"Uncle Sams Cider (5/13/2022)")</f>
        <v>Uncle Sams Cider (5/13/2022)</v>
      </c>
      <c r="H5176" s="19"/>
    </row>
    <row r="5177">
      <c r="A5177" s="9"/>
      <c r="B5177" s="15"/>
      <c r="C5177" s="9">
        <f>IFERROR(__xludf.DUMMYFUNCTION("""COMPUTED_VALUE"""),44742.6542142361)</f>
        <v>44742.65421</v>
      </c>
      <c r="D5177" s="15">
        <f>IFERROR(__xludf.DUMMYFUNCTION("""COMPUTED_VALUE"""),1.005)</f>
        <v>1.005</v>
      </c>
      <c r="E5177" s="16">
        <f>IFERROR(__xludf.DUMMYFUNCTION("""COMPUTED_VALUE"""),67.0)</f>
        <v>67</v>
      </c>
      <c r="F5177" s="19" t="str">
        <f>IFERROR(__xludf.DUMMYFUNCTION("""COMPUTED_VALUE"""),"BLACK")</f>
        <v>BLACK</v>
      </c>
      <c r="G5177" s="20" t="str">
        <f>IFERROR(__xludf.DUMMYFUNCTION("""COMPUTED_VALUE"""),"Uncle Sams Cider (5/13/2022)")</f>
        <v>Uncle Sams Cider (5/13/2022)</v>
      </c>
      <c r="H5177" s="19"/>
    </row>
    <row r="5178">
      <c r="A5178" s="9"/>
      <c r="B5178" s="15"/>
      <c r="C5178" s="9">
        <f>IFERROR(__xludf.DUMMYFUNCTION("""COMPUTED_VALUE"""),44742.643792743)</f>
        <v>44742.64379</v>
      </c>
      <c r="D5178" s="15">
        <f>IFERROR(__xludf.DUMMYFUNCTION("""COMPUTED_VALUE"""),1.005)</f>
        <v>1.005</v>
      </c>
      <c r="E5178" s="16">
        <f>IFERROR(__xludf.DUMMYFUNCTION("""COMPUTED_VALUE"""),67.0)</f>
        <v>67</v>
      </c>
      <c r="F5178" s="19" t="str">
        <f>IFERROR(__xludf.DUMMYFUNCTION("""COMPUTED_VALUE"""),"BLACK")</f>
        <v>BLACK</v>
      </c>
      <c r="G5178" s="20" t="str">
        <f>IFERROR(__xludf.DUMMYFUNCTION("""COMPUTED_VALUE"""),"Uncle Sams Cider (5/13/2022)")</f>
        <v>Uncle Sams Cider (5/13/2022)</v>
      </c>
      <c r="H5178" s="19"/>
    </row>
    <row r="5179">
      <c r="A5179" s="9"/>
      <c r="B5179" s="15"/>
      <c r="C5179" s="9">
        <f>IFERROR(__xludf.DUMMYFUNCTION("""COMPUTED_VALUE"""),44742.6333722569)</f>
        <v>44742.63337</v>
      </c>
      <c r="D5179" s="15">
        <f>IFERROR(__xludf.DUMMYFUNCTION("""COMPUTED_VALUE"""),1.005)</f>
        <v>1.005</v>
      </c>
      <c r="E5179" s="16">
        <f>IFERROR(__xludf.DUMMYFUNCTION("""COMPUTED_VALUE"""),67.0)</f>
        <v>67</v>
      </c>
      <c r="F5179" s="19" t="str">
        <f>IFERROR(__xludf.DUMMYFUNCTION("""COMPUTED_VALUE"""),"BLACK")</f>
        <v>BLACK</v>
      </c>
      <c r="G5179" s="20" t="str">
        <f>IFERROR(__xludf.DUMMYFUNCTION("""COMPUTED_VALUE"""),"Uncle Sams Cider (5/13/2022)")</f>
        <v>Uncle Sams Cider (5/13/2022)</v>
      </c>
      <c r="H5179" s="19"/>
    </row>
    <row r="5180">
      <c r="A5180" s="9"/>
      <c r="B5180" s="15"/>
      <c r="C5180" s="9">
        <f>IFERROR(__xludf.DUMMYFUNCTION("""COMPUTED_VALUE"""),44742.6229403703)</f>
        <v>44742.62294</v>
      </c>
      <c r="D5180" s="15">
        <f>IFERROR(__xludf.DUMMYFUNCTION("""COMPUTED_VALUE"""),1.005)</f>
        <v>1.005</v>
      </c>
      <c r="E5180" s="16">
        <f>IFERROR(__xludf.DUMMYFUNCTION("""COMPUTED_VALUE"""),67.0)</f>
        <v>67</v>
      </c>
      <c r="F5180" s="19" t="str">
        <f>IFERROR(__xludf.DUMMYFUNCTION("""COMPUTED_VALUE"""),"BLACK")</f>
        <v>BLACK</v>
      </c>
      <c r="G5180" s="20" t="str">
        <f>IFERROR(__xludf.DUMMYFUNCTION("""COMPUTED_VALUE"""),"Uncle Sams Cider (5/13/2022)")</f>
        <v>Uncle Sams Cider (5/13/2022)</v>
      </c>
      <c r="H5180" s="19"/>
    </row>
    <row r="5181">
      <c r="A5181" s="9"/>
      <c r="B5181" s="15"/>
      <c r="C5181" s="9">
        <f>IFERROR(__xludf.DUMMYFUNCTION("""COMPUTED_VALUE"""),44742.6125087268)</f>
        <v>44742.61251</v>
      </c>
      <c r="D5181" s="15">
        <f>IFERROR(__xludf.DUMMYFUNCTION("""COMPUTED_VALUE"""),1.005)</f>
        <v>1.005</v>
      </c>
      <c r="E5181" s="16">
        <f>IFERROR(__xludf.DUMMYFUNCTION("""COMPUTED_VALUE"""),67.0)</f>
        <v>67</v>
      </c>
      <c r="F5181" s="19" t="str">
        <f>IFERROR(__xludf.DUMMYFUNCTION("""COMPUTED_VALUE"""),"BLACK")</f>
        <v>BLACK</v>
      </c>
      <c r="G5181" s="20" t="str">
        <f>IFERROR(__xludf.DUMMYFUNCTION("""COMPUTED_VALUE"""),"Uncle Sams Cider (5/13/2022)")</f>
        <v>Uncle Sams Cider (5/13/2022)</v>
      </c>
      <c r="H5181" s="19"/>
    </row>
    <row r="5182">
      <c r="A5182" s="9"/>
      <c r="B5182" s="15"/>
      <c r="C5182" s="9">
        <f>IFERROR(__xludf.DUMMYFUNCTION("""COMPUTED_VALUE"""),44742.6020853125)</f>
        <v>44742.60209</v>
      </c>
      <c r="D5182" s="15">
        <f>IFERROR(__xludf.DUMMYFUNCTION("""COMPUTED_VALUE"""),1.005)</f>
        <v>1.005</v>
      </c>
      <c r="E5182" s="16">
        <f>IFERROR(__xludf.DUMMYFUNCTION("""COMPUTED_VALUE"""),67.0)</f>
        <v>67</v>
      </c>
      <c r="F5182" s="19" t="str">
        <f>IFERROR(__xludf.DUMMYFUNCTION("""COMPUTED_VALUE"""),"BLACK")</f>
        <v>BLACK</v>
      </c>
      <c r="G5182" s="20" t="str">
        <f>IFERROR(__xludf.DUMMYFUNCTION("""COMPUTED_VALUE"""),"Uncle Sams Cider (5/13/2022)")</f>
        <v>Uncle Sams Cider (5/13/2022)</v>
      </c>
      <c r="H5182" s="19"/>
    </row>
    <row r="5183">
      <c r="A5183" s="9"/>
      <c r="B5183" s="15"/>
      <c r="C5183" s="9">
        <f>IFERROR(__xludf.DUMMYFUNCTION("""COMPUTED_VALUE"""),44742.5916522106)</f>
        <v>44742.59165</v>
      </c>
      <c r="D5183" s="15">
        <f>IFERROR(__xludf.DUMMYFUNCTION("""COMPUTED_VALUE"""),1.005)</f>
        <v>1.005</v>
      </c>
      <c r="E5183" s="16">
        <f>IFERROR(__xludf.DUMMYFUNCTION("""COMPUTED_VALUE"""),67.0)</f>
        <v>67</v>
      </c>
      <c r="F5183" s="19" t="str">
        <f>IFERROR(__xludf.DUMMYFUNCTION("""COMPUTED_VALUE"""),"BLACK")</f>
        <v>BLACK</v>
      </c>
      <c r="G5183" s="20" t="str">
        <f>IFERROR(__xludf.DUMMYFUNCTION("""COMPUTED_VALUE"""),"Uncle Sams Cider (5/13/2022)")</f>
        <v>Uncle Sams Cider (5/13/2022)</v>
      </c>
      <c r="H5183" s="19"/>
    </row>
    <row r="5184">
      <c r="A5184" s="9"/>
      <c r="B5184" s="15"/>
      <c r="C5184" s="9">
        <f>IFERROR(__xludf.DUMMYFUNCTION("""COMPUTED_VALUE"""),44742.5812197222)</f>
        <v>44742.58122</v>
      </c>
      <c r="D5184" s="15">
        <f>IFERROR(__xludf.DUMMYFUNCTION("""COMPUTED_VALUE"""),1.005)</f>
        <v>1.005</v>
      </c>
      <c r="E5184" s="16">
        <f>IFERROR(__xludf.DUMMYFUNCTION("""COMPUTED_VALUE"""),67.0)</f>
        <v>67</v>
      </c>
      <c r="F5184" s="19" t="str">
        <f>IFERROR(__xludf.DUMMYFUNCTION("""COMPUTED_VALUE"""),"BLACK")</f>
        <v>BLACK</v>
      </c>
      <c r="G5184" s="20" t="str">
        <f>IFERROR(__xludf.DUMMYFUNCTION("""COMPUTED_VALUE"""),"Uncle Sams Cider (5/13/2022)")</f>
        <v>Uncle Sams Cider (5/13/2022)</v>
      </c>
      <c r="H5184" s="19"/>
    </row>
    <row r="5185">
      <c r="A5185" s="9"/>
      <c r="B5185" s="15"/>
      <c r="C5185" s="9">
        <f>IFERROR(__xludf.DUMMYFUNCTION("""COMPUTED_VALUE"""),44742.5707979398)</f>
        <v>44742.5708</v>
      </c>
      <c r="D5185" s="15">
        <f>IFERROR(__xludf.DUMMYFUNCTION("""COMPUTED_VALUE"""),1.005)</f>
        <v>1.005</v>
      </c>
      <c r="E5185" s="16">
        <f>IFERROR(__xludf.DUMMYFUNCTION("""COMPUTED_VALUE"""),67.0)</f>
        <v>67</v>
      </c>
      <c r="F5185" s="19" t="str">
        <f>IFERROR(__xludf.DUMMYFUNCTION("""COMPUTED_VALUE"""),"BLACK")</f>
        <v>BLACK</v>
      </c>
      <c r="G5185" s="20" t="str">
        <f>IFERROR(__xludf.DUMMYFUNCTION("""COMPUTED_VALUE"""),"Uncle Sams Cider (5/13/2022)")</f>
        <v>Uncle Sams Cider (5/13/2022)</v>
      </c>
      <c r="H5185" s="19"/>
    </row>
    <row r="5186">
      <c r="A5186" s="9"/>
      <c r="B5186" s="15"/>
      <c r="C5186" s="9">
        <f>IFERROR(__xludf.DUMMYFUNCTION("""COMPUTED_VALUE"""),44742.5603790162)</f>
        <v>44742.56038</v>
      </c>
      <c r="D5186" s="15">
        <f>IFERROR(__xludf.DUMMYFUNCTION("""COMPUTED_VALUE"""),1.005)</f>
        <v>1.005</v>
      </c>
      <c r="E5186" s="16">
        <f>IFERROR(__xludf.DUMMYFUNCTION("""COMPUTED_VALUE"""),67.0)</f>
        <v>67</v>
      </c>
      <c r="F5186" s="19" t="str">
        <f>IFERROR(__xludf.DUMMYFUNCTION("""COMPUTED_VALUE"""),"BLACK")</f>
        <v>BLACK</v>
      </c>
      <c r="G5186" s="20" t="str">
        <f>IFERROR(__xludf.DUMMYFUNCTION("""COMPUTED_VALUE"""),"Uncle Sams Cider (5/13/2022)")</f>
        <v>Uncle Sams Cider (5/13/2022)</v>
      </c>
      <c r="H5186" s="19"/>
    </row>
    <row r="5187">
      <c r="A5187" s="9"/>
      <c r="B5187" s="15"/>
      <c r="C5187" s="9">
        <f>IFERROR(__xludf.DUMMYFUNCTION("""COMPUTED_VALUE"""),44742.5499579166)</f>
        <v>44742.54996</v>
      </c>
      <c r="D5187" s="15">
        <f>IFERROR(__xludf.DUMMYFUNCTION("""COMPUTED_VALUE"""),1.005)</f>
        <v>1.005</v>
      </c>
      <c r="E5187" s="16">
        <f>IFERROR(__xludf.DUMMYFUNCTION("""COMPUTED_VALUE"""),67.0)</f>
        <v>67</v>
      </c>
      <c r="F5187" s="19" t="str">
        <f>IFERROR(__xludf.DUMMYFUNCTION("""COMPUTED_VALUE"""),"BLACK")</f>
        <v>BLACK</v>
      </c>
      <c r="G5187" s="20" t="str">
        <f>IFERROR(__xludf.DUMMYFUNCTION("""COMPUTED_VALUE"""),"Uncle Sams Cider (5/13/2022)")</f>
        <v>Uncle Sams Cider (5/13/2022)</v>
      </c>
      <c r="H5187" s="19"/>
    </row>
    <row r="5188">
      <c r="A5188" s="9"/>
      <c r="B5188" s="15"/>
      <c r="C5188" s="9">
        <f>IFERROR(__xludf.DUMMYFUNCTION("""COMPUTED_VALUE"""),44742.5395383564)</f>
        <v>44742.53954</v>
      </c>
      <c r="D5188" s="15">
        <f>IFERROR(__xludf.DUMMYFUNCTION("""COMPUTED_VALUE"""),1.005)</f>
        <v>1.005</v>
      </c>
      <c r="E5188" s="16">
        <f>IFERROR(__xludf.DUMMYFUNCTION("""COMPUTED_VALUE"""),67.0)</f>
        <v>67</v>
      </c>
      <c r="F5188" s="19" t="str">
        <f>IFERROR(__xludf.DUMMYFUNCTION("""COMPUTED_VALUE"""),"BLACK")</f>
        <v>BLACK</v>
      </c>
      <c r="G5188" s="20" t="str">
        <f>IFERROR(__xludf.DUMMYFUNCTION("""COMPUTED_VALUE"""),"Uncle Sams Cider (5/13/2022)")</f>
        <v>Uncle Sams Cider (5/13/2022)</v>
      </c>
      <c r="H5188" s="19"/>
    </row>
    <row r="5189">
      <c r="A5189" s="9"/>
      <c r="B5189" s="15"/>
      <c r="C5189" s="9">
        <f>IFERROR(__xludf.DUMMYFUNCTION("""COMPUTED_VALUE"""),44742.5291188541)</f>
        <v>44742.52912</v>
      </c>
      <c r="D5189" s="15">
        <f>IFERROR(__xludf.DUMMYFUNCTION("""COMPUTED_VALUE"""),1.005)</f>
        <v>1.005</v>
      </c>
      <c r="E5189" s="16">
        <f>IFERROR(__xludf.DUMMYFUNCTION("""COMPUTED_VALUE"""),67.0)</f>
        <v>67</v>
      </c>
      <c r="F5189" s="19" t="str">
        <f>IFERROR(__xludf.DUMMYFUNCTION("""COMPUTED_VALUE"""),"BLACK")</f>
        <v>BLACK</v>
      </c>
      <c r="G5189" s="20" t="str">
        <f>IFERROR(__xludf.DUMMYFUNCTION("""COMPUTED_VALUE"""),"Uncle Sams Cider (5/13/2022)")</f>
        <v>Uncle Sams Cider (5/13/2022)</v>
      </c>
      <c r="H5189" s="19"/>
    </row>
    <row r="5190">
      <c r="A5190" s="9"/>
      <c r="B5190" s="15"/>
      <c r="C5190" s="9">
        <f>IFERROR(__xludf.DUMMYFUNCTION("""COMPUTED_VALUE"""),44742.5186954282)</f>
        <v>44742.5187</v>
      </c>
      <c r="D5190" s="15">
        <f>IFERROR(__xludf.DUMMYFUNCTION("""COMPUTED_VALUE"""),1.005)</f>
        <v>1.005</v>
      </c>
      <c r="E5190" s="16">
        <f>IFERROR(__xludf.DUMMYFUNCTION("""COMPUTED_VALUE"""),67.0)</f>
        <v>67</v>
      </c>
      <c r="F5190" s="19" t="str">
        <f>IFERROR(__xludf.DUMMYFUNCTION("""COMPUTED_VALUE"""),"BLACK")</f>
        <v>BLACK</v>
      </c>
      <c r="G5190" s="20" t="str">
        <f>IFERROR(__xludf.DUMMYFUNCTION("""COMPUTED_VALUE"""),"Uncle Sams Cider (5/13/2022)")</f>
        <v>Uncle Sams Cider (5/13/2022)</v>
      </c>
      <c r="H5190" s="19"/>
    </row>
    <row r="5191">
      <c r="A5191" s="9"/>
      <c r="B5191" s="15"/>
      <c r="C5191" s="9">
        <f>IFERROR(__xludf.DUMMYFUNCTION("""COMPUTED_VALUE"""),44742.5082729976)</f>
        <v>44742.50827</v>
      </c>
      <c r="D5191" s="15">
        <f>IFERROR(__xludf.DUMMYFUNCTION("""COMPUTED_VALUE"""),1.005)</f>
        <v>1.005</v>
      </c>
      <c r="E5191" s="16">
        <f>IFERROR(__xludf.DUMMYFUNCTION("""COMPUTED_VALUE"""),67.0)</f>
        <v>67</v>
      </c>
      <c r="F5191" s="19" t="str">
        <f>IFERROR(__xludf.DUMMYFUNCTION("""COMPUTED_VALUE"""),"BLACK")</f>
        <v>BLACK</v>
      </c>
      <c r="G5191" s="20" t="str">
        <f>IFERROR(__xludf.DUMMYFUNCTION("""COMPUTED_VALUE"""),"Uncle Sams Cider (5/13/2022)")</f>
        <v>Uncle Sams Cider (5/13/2022)</v>
      </c>
      <c r="H5191" s="19"/>
    </row>
    <row r="5192">
      <c r="A5192" s="9"/>
      <c r="B5192" s="15"/>
      <c r="C5192" s="9">
        <f>IFERROR(__xludf.DUMMYFUNCTION("""COMPUTED_VALUE"""),44742.4978528472)</f>
        <v>44742.49785</v>
      </c>
      <c r="D5192" s="15">
        <f>IFERROR(__xludf.DUMMYFUNCTION("""COMPUTED_VALUE"""),1.005)</f>
        <v>1.005</v>
      </c>
      <c r="E5192" s="16">
        <f>IFERROR(__xludf.DUMMYFUNCTION("""COMPUTED_VALUE"""),67.0)</f>
        <v>67</v>
      </c>
      <c r="F5192" s="19" t="str">
        <f>IFERROR(__xludf.DUMMYFUNCTION("""COMPUTED_VALUE"""),"BLACK")</f>
        <v>BLACK</v>
      </c>
      <c r="G5192" s="20" t="str">
        <f>IFERROR(__xludf.DUMMYFUNCTION("""COMPUTED_VALUE"""),"Uncle Sams Cider (5/13/2022)")</f>
        <v>Uncle Sams Cider (5/13/2022)</v>
      </c>
      <c r="H5192" s="19"/>
    </row>
    <row r="5193">
      <c r="A5193" s="9"/>
      <c r="B5193" s="15"/>
      <c r="C5193" s="9">
        <f>IFERROR(__xludf.DUMMYFUNCTION("""COMPUTED_VALUE"""),44742.4874316898)</f>
        <v>44742.48743</v>
      </c>
      <c r="D5193" s="15">
        <f>IFERROR(__xludf.DUMMYFUNCTION("""COMPUTED_VALUE"""),1.005)</f>
        <v>1.005</v>
      </c>
      <c r="E5193" s="16">
        <f>IFERROR(__xludf.DUMMYFUNCTION("""COMPUTED_VALUE"""),67.0)</f>
        <v>67</v>
      </c>
      <c r="F5193" s="19" t="str">
        <f>IFERROR(__xludf.DUMMYFUNCTION("""COMPUTED_VALUE"""),"BLACK")</f>
        <v>BLACK</v>
      </c>
      <c r="G5193" s="20" t="str">
        <f>IFERROR(__xludf.DUMMYFUNCTION("""COMPUTED_VALUE"""),"Uncle Sams Cider (5/13/2022)")</f>
        <v>Uncle Sams Cider (5/13/2022)</v>
      </c>
      <c r="H5193" s="19"/>
    </row>
    <row r="5194">
      <c r="A5194" s="9"/>
      <c r="B5194" s="15"/>
      <c r="C5194" s="9">
        <f>IFERROR(__xludf.DUMMYFUNCTION("""COMPUTED_VALUE"""),44742.4770121527)</f>
        <v>44742.47701</v>
      </c>
      <c r="D5194" s="15">
        <f>IFERROR(__xludf.DUMMYFUNCTION("""COMPUTED_VALUE"""),1.004)</f>
        <v>1.004</v>
      </c>
      <c r="E5194" s="16">
        <f>IFERROR(__xludf.DUMMYFUNCTION("""COMPUTED_VALUE"""),67.0)</f>
        <v>67</v>
      </c>
      <c r="F5194" s="19" t="str">
        <f>IFERROR(__xludf.DUMMYFUNCTION("""COMPUTED_VALUE"""),"BLACK")</f>
        <v>BLACK</v>
      </c>
      <c r="G5194" s="20" t="str">
        <f>IFERROR(__xludf.DUMMYFUNCTION("""COMPUTED_VALUE"""),"Uncle Sams Cider (5/13/2022)")</f>
        <v>Uncle Sams Cider (5/13/2022)</v>
      </c>
      <c r="H5194" s="19"/>
    </row>
    <row r="5195">
      <c r="A5195" s="9"/>
      <c r="B5195" s="15"/>
      <c r="C5195" s="9">
        <f>IFERROR(__xludf.DUMMYFUNCTION("""COMPUTED_VALUE"""),44742.4665891435)</f>
        <v>44742.46659</v>
      </c>
      <c r="D5195" s="15">
        <f>IFERROR(__xludf.DUMMYFUNCTION("""COMPUTED_VALUE"""),1.005)</f>
        <v>1.005</v>
      </c>
      <c r="E5195" s="16">
        <f>IFERROR(__xludf.DUMMYFUNCTION("""COMPUTED_VALUE"""),67.0)</f>
        <v>67</v>
      </c>
      <c r="F5195" s="19" t="str">
        <f>IFERROR(__xludf.DUMMYFUNCTION("""COMPUTED_VALUE"""),"BLACK")</f>
        <v>BLACK</v>
      </c>
      <c r="G5195" s="20" t="str">
        <f>IFERROR(__xludf.DUMMYFUNCTION("""COMPUTED_VALUE"""),"Uncle Sams Cider (5/13/2022)")</f>
        <v>Uncle Sams Cider (5/13/2022)</v>
      </c>
      <c r="H5195" s="19"/>
    </row>
    <row r="5196">
      <c r="A5196" s="9"/>
      <c r="B5196" s="15"/>
      <c r="C5196" s="9">
        <f>IFERROR(__xludf.DUMMYFUNCTION("""COMPUTED_VALUE"""),44742.4561555208)</f>
        <v>44742.45616</v>
      </c>
      <c r="D5196" s="15">
        <f>IFERROR(__xludf.DUMMYFUNCTION("""COMPUTED_VALUE"""),1.005)</f>
        <v>1.005</v>
      </c>
      <c r="E5196" s="16">
        <f>IFERROR(__xludf.DUMMYFUNCTION("""COMPUTED_VALUE"""),67.0)</f>
        <v>67</v>
      </c>
      <c r="F5196" s="19" t="str">
        <f>IFERROR(__xludf.DUMMYFUNCTION("""COMPUTED_VALUE"""),"BLACK")</f>
        <v>BLACK</v>
      </c>
      <c r="G5196" s="20" t="str">
        <f>IFERROR(__xludf.DUMMYFUNCTION("""COMPUTED_VALUE"""),"Uncle Sams Cider (5/13/2022)")</f>
        <v>Uncle Sams Cider (5/13/2022)</v>
      </c>
      <c r="H5196" s="19"/>
    </row>
    <row r="5197">
      <c r="A5197" s="9"/>
      <c r="B5197" s="15"/>
      <c r="C5197" s="9">
        <f>IFERROR(__xludf.DUMMYFUNCTION("""COMPUTED_VALUE"""),44742.4457346875)</f>
        <v>44742.44573</v>
      </c>
      <c r="D5197" s="15">
        <f>IFERROR(__xludf.DUMMYFUNCTION("""COMPUTED_VALUE"""),1.005)</f>
        <v>1.005</v>
      </c>
      <c r="E5197" s="16">
        <f>IFERROR(__xludf.DUMMYFUNCTION("""COMPUTED_VALUE"""),67.0)</f>
        <v>67</v>
      </c>
      <c r="F5197" s="19" t="str">
        <f>IFERROR(__xludf.DUMMYFUNCTION("""COMPUTED_VALUE"""),"BLACK")</f>
        <v>BLACK</v>
      </c>
      <c r="G5197" s="20" t="str">
        <f>IFERROR(__xludf.DUMMYFUNCTION("""COMPUTED_VALUE"""),"Uncle Sams Cider (5/13/2022)")</f>
        <v>Uncle Sams Cider (5/13/2022)</v>
      </c>
      <c r="H5197" s="19"/>
    </row>
    <row r="5198">
      <c r="A5198" s="9"/>
      <c r="B5198" s="15"/>
      <c r="C5198" s="9">
        <f>IFERROR(__xludf.DUMMYFUNCTION("""COMPUTED_VALUE"""),44742.4353156597)</f>
        <v>44742.43532</v>
      </c>
      <c r="D5198" s="15">
        <f>IFERROR(__xludf.DUMMYFUNCTION("""COMPUTED_VALUE"""),1.004)</f>
        <v>1.004</v>
      </c>
      <c r="E5198" s="16">
        <f>IFERROR(__xludf.DUMMYFUNCTION("""COMPUTED_VALUE"""),67.0)</f>
        <v>67</v>
      </c>
      <c r="F5198" s="19" t="str">
        <f>IFERROR(__xludf.DUMMYFUNCTION("""COMPUTED_VALUE"""),"BLACK")</f>
        <v>BLACK</v>
      </c>
      <c r="G5198" s="20" t="str">
        <f>IFERROR(__xludf.DUMMYFUNCTION("""COMPUTED_VALUE"""),"Uncle Sams Cider (5/13/2022)")</f>
        <v>Uncle Sams Cider (5/13/2022)</v>
      </c>
      <c r="H5198" s="19"/>
    </row>
    <row r="5199">
      <c r="A5199" s="9"/>
      <c r="B5199" s="15"/>
      <c r="C5199" s="9">
        <f>IFERROR(__xludf.DUMMYFUNCTION("""COMPUTED_VALUE"""),44742.4248948726)</f>
        <v>44742.42489</v>
      </c>
      <c r="D5199" s="15">
        <f>IFERROR(__xludf.DUMMYFUNCTION("""COMPUTED_VALUE"""),1.005)</f>
        <v>1.005</v>
      </c>
      <c r="E5199" s="16">
        <f>IFERROR(__xludf.DUMMYFUNCTION("""COMPUTED_VALUE"""),67.0)</f>
        <v>67</v>
      </c>
      <c r="F5199" s="19" t="str">
        <f>IFERROR(__xludf.DUMMYFUNCTION("""COMPUTED_VALUE"""),"BLACK")</f>
        <v>BLACK</v>
      </c>
      <c r="G5199" s="20" t="str">
        <f>IFERROR(__xludf.DUMMYFUNCTION("""COMPUTED_VALUE"""),"Uncle Sams Cider (5/13/2022)")</f>
        <v>Uncle Sams Cider (5/13/2022)</v>
      </c>
      <c r="H5199" s="19"/>
    </row>
    <row r="5200">
      <c r="A5200" s="9"/>
      <c r="B5200" s="15"/>
      <c r="C5200" s="9">
        <f>IFERROR(__xludf.DUMMYFUNCTION("""COMPUTED_VALUE"""),44742.4144619213)</f>
        <v>44742.41446</v>
      </c>
      <c r="D5200" s="15">
        <f>IFERROR(__xludf.DUMMYFUNCTION("""COMPUTED_VALUE"""),1.005)</f>
        <v>1.005</v>
      </c>
      <c r="E5200" s="16">
        <f>IFERROR(__xludf.DUMMYFUNCTION("""COMPUTED_VALUE"""),66.0)</f>
        <v>66</v>
      </c>
      <c r="F5200" s="19" t="str">
        <f>IFERROR(__xludf.DUMMYFUNCTION("""COMPUTED_VALUE"""),"BLACK")</f>
        <v>BLACK</v>
      </c>
      <c r="G5200" s="20" t="str">
        <f>IFERROR(__xludf.DUMMYFUNCTION("""COMPUTED_VALUE"""),"Uncle Sams Cider (5/13/2022)")</f>
        <v>Uncle Sams Cider (5/13/2022)</v>
      </c>
      <c r="H5200" s="19"/>
    </row>
    <row r="5201">
      <c r="A5201" s="9"/>
      <c r="B5201" s="15"/>
      <c r="C5201" s="9">
        <f>IFERROR(__xludf.DUMMYFUNCTION("""COMPUTED_VALUE"""),44742.4040417824)</f>
        <v>44742.40404</v>
      </c>
      <c r="D5201" s="15">
        <f>IFERROR(__xludf.DUMMYFUNCTION("""COMPUTED_VALUE"""),1.005)</f>
        <v>1.005</v>
      </c>
      <c r="E5201" s="16">
        <f>IFERROR(__xludf.DUMMYFUNCTION("""COMPUTED_VALUE"""),67.0)</f>
        <v>67</v>
      </c>
      <c r="F5201" s="19" t="str">
        <f>IFERROR(__xludf.DUMMYFUNCTION("""COMPUTED_VALUE"""),"BLACK")</f>
        <v>BLACK</v>
      </c>
      <c r="G5201" s="20" t="str">
        <f>IFERROR(__xludf.DUMMYFUNCTION("""COMPUTED_VALUE"""),"Uncle Sams Cider (5/13/2022)")</f>
        <v>Uncle Sams Cider (5/13/2022)</v>
      </c>
      <c r="H5201" s="19"/>
    </row>
    <row r="5202">
      <c r="A5202" s="9"/>
      <c r="B5202" s="15"/>
      <c r="C5202" s="9">
        <f>IFERROR(__xludf.DUMMYFUNCTION("""COMPUTED_VALUE"""),44742.3936214583)</f>
        <v>44742.39362</v>
      </c>
      <c r="D5202" s="15">
        <f>IFERROR(__xludf.DUMMYFUNCTION("""COMPUTED_VALUE"""),1.005)</f>
        <v>1.005</v>
      </c>
      <c r="E5202" s="16">
        <f>IFERROR(__xludf.DUMMYFUNCTION("""COMPUTED_VALUE"""),67.0)</f>
        <v>67</v>
      </c>
      <c r="F5202" s="19" t="str">
        <f>IFERROR(__xludf.DUMMYFUNCTION("""COMPUTED_VALUE"""),"BLACK")</f>
        <v>BLACK</v>
      </c>
      <c r="G5202" s="20" t="str">
        <f>IFERROR(__xludf.DUMMYFUNCTION("""COMPUTED_VALUE"""),"Uncle Sams Cider (5/13/2022)")</f>
        <v>Uncle Sams Cider (5/13/2022)</v>
      </c>
      <c r="H5202" s="19"/>
    </row>
    <row r="5203">
      <c r="A5203" s="9"/>
      <c r="B5203" s="15"/>
      <c r="C5203" s="9">
        <f>IFERROR(__xludf.DUMMYFUNCTION("""COMPUTED_VALUE"""),44742.383199537)</f>
        <v>44742.3832</v>
      </c>
      <c r="D5203" s="15">
        <f>IFERROR(__xludf.DUMMYFUNCTION("""COMPUTED_VALUE"""),1.005)</f>
        <v>1.005</v>
      </c>
      <c r="E5203" s="16">
        <f>IFERROR(__xludf.DUMMYFUNCTION("""COMPUTED_VALUE"""),66.0)</f>
        <v>66</v>
      </c>
      <c r="F5203" s="19" t="str">
        <f>IFERROR(__xludf.DUMMYFUNCTION("""COMPUTED_VALUE"""),"BLACK")</f>
        <v>BLACK</v>
      </c>
      <c r="G5203" s="20" t="str">
        <f>IFERROR(__xludf.DUMMYFUNCTION("""COMPUTED_VALUE"""),"Uncle Sams Cider (5/13/2022)")</f>
        <v>Uncle Sams Cider (5/13/2022)</v>
      </c>
      <c r="H5203" s="19"/>
    </row>
    <row r="5204">
      <c r="A5204" s="9"/>
      <c r="B5204" s="15"/>
      <c r="C5204" s="9">
        <f>IFERROR(__xludf.DUMMYFUNCTION("""COMPUTED_VALUE"""),44742.3727559027)</f>
        <v>44742.37276</v>
      </c>
      <c r="D5204" s="15">
        <f>IFERROR(__xludf.DUMMYFUNCTION("""COMPUTED_VALUE"""),1.005)</f>
        <v>1.005</v>
      </c>
      <c r="E5204" s="16">
        <f>IFERROR(__xludf.DUMMYFUNCTION("""COMPUTED_VALUE"""),66.0)</f>
        <v>66</v>
      </c>
      <c r="F5204" s="19" t="str">
        <f>IFERROR(__xludf.DUMMYFUNCTION("""COMPUTED_VALUE"""),"BLACK")</f>
        <v>BLACK</v>
      </c>
      <c r="G5204" s="20" t="str">
        <f>IFERROR(__xludf.DUMMYFUNCTION("""COMPUTED_VALUE"""),"Uncle Sams Cider (5/13/2022)")</f>
        <v>Uncle Sams Cider (5/13/2022)</v>
      </c>
      <c r="H5204" s="19"/>
    </row>
    <row r="5205">
      <c r="A5205" s="9"/>
      <c r="B5205" s="15"/>
      <c r="C5205" s="9">
        <f>IFERROR(__xludf.DUMMYFUNCTION("""COMPUTED_VALUE"""),44742.362335162)</f>
        <v>44742.36234</v>
      </c>
      <c r="D5205" s="15">
        <f>IFERROR(__xludf.DUMMYFUNCTION("""COMPUTED_VALUE"""),1.005)</f>
        <v>1.005</v>
      </c>
      <c r="E5205" s="16">
        <f>IFERROR(__xludf.DUMMYFUNCTION("""COMPUTED_VALUE"""),66.0)</f>
        <v>66</v>
      </c>
      <c r="F5205" s="19" t="str">
        <f>IFERROR(__xludf.DUMMYFUNCTION("""COMPUTED_VALUE"""),"BLACK")</f>
        <v>BLACK</v>
      </c>
      <c r="G5205" s="20" t="str">
        <f>IFERROR(__xludf.DUMMYFUNCTION("""COMPUTED_VALUE"""),"Uncle Sams Cider (5/13/2022)")</f>
        <v>Uncle Sams Cider (5/13/2022)</v>
      </c>
      <c r="H5205" s="19"/>
    </row>
    <row r="5206">
      <c r="A5206" s="9"/>
      <c r="B5206" s="15"/>
      <c r="C5206" s="9">
        <f>IFERROR(__xludf.DUMMYFUNCTION("""COMPUTED_VALUE"""),44742.3519137268)</f>
        <v>44742.35191</v>
      </c>
      <c r="D5206" s="15">
        <f>IFERROR(__xludf.DUMMYFUNCTION("""COMPUTED_VALUE"""),1.005)</f>
        <v>1.005</v>
      </c>
      <c r="E5206" s="16">
        <f>IFERROR(__xludf.DUMMYFUNCTION("""COMPUTED_VALUE"""),66.0)</f>
        <v>66</v>
      </c>
      <c r="F5206" s="19" t="str">
        <f>IFERROR(__xludf.DUMMYFUNCTION("""COMPUTED_VALUE"""),"BLACK")</f>
        <v>BLACK</v>
      </c>
      <c r="G5206" s="20" t="str">
        <f>IFERROR(__xludf.DUMMYFUNCTION("""COMPUTED_VALUE"""),"Uncle Sams Cider (5/13/2022)")</f>
        <v>Uncle Sams Cider (5/13/2022)</v>
      </c>
      <c r="H5206" s="19"/>
    </row>
    <row r="5207">
      <c r="A5207" s="9"/>
      <c r="B5207" s="15"/>
      <c r="C5207" s="9">
        <f>IFERROR(__xludf.DUMMYFUNCTION("""COMPUTED_VALUE"""),44742.3414928935)</f>
        <v>44742.34149</v>
      </c>
      <c r="D5207" s="15">
        <f>IFERROR(__xludf.DUMMYFUNCTION("""COMPUTED_VALUE"""),1.005)</f>
        <v>1.005</v>
      </c>
      <c r="E5207" s="16">
        <f>IFERROR(__xludf.DUMMYFUNCTION("""COMPUTED_VALUE"""),66.0)</f>
        <v>66</v>
      </c>
      <c r="F5207" s="19" t="str">
        <f>IFERROR(__xludf.DUMMYFUNCTION("""COMPUTED_VALUE"""),"BLACK")</f>
        <v>BLACK</v>
      </c>
      <c r="G5207" s="20" t="str">
        <f>IFERROR(__xludf.DUMMYFUNCTION("""COMPUTED_VALUE"""),"Uncle Sams Cider (5/13/2022)")</f>
        <v>Uncle Sams Cider (5/13/2022)</v>
      </c>
      <c r="H5207" s="19"/>
    </row>
    <row r="5208">
      <c r="A5208" s="9"/>
      <c r="B5208" s="15"/>
      <c r="C5208" s="9">
        <f>IFERROR(__xludf.DUMMYFUNCTION("""COMPUTED_VALUE"""),44742.3310724074)</f>
        <v>44742.33107</v>
      </c>
      <c r="D5208" s="15">
        <f>IFERROR(__xludf.DUMMYFUNCTION("""COMPUTED_VALUE"""),1.005)</f>
        <v>1.005</v>
      </c>
      <c r="E5208" s="16">
        <f>IFERROR(__xludf.DUMMYFUNCTION("""COMPUTED_VALUE"""),66.0)</f>
        <v>66</v>
      </c>
      <c r="F5208" s="19" t="str">
        <f>IFERROR(__xludf.DUMMYFUNCTION("""COMPUTED_VALUE"""),"BLACK")</f>
        <v>BLACK</v>
      </c>
      <c r="G5208" s="20" t="str">
        <f>IFERROR(__xludf.DUMMYFUNCTION("""COMPUTED_VALUE"""),"Uncle Sams Cider (5/13/2022)")</f>
        <v>Uncle Sams Cider (5/13/2022)</v>
      </c>
      <c r="H5208" s="19"/>
    </row>
    <row r="5209">
      <c r="A5209" s="9"/>
      <c r="B5209" s="15"/>
      <c r="C5209" s="9">
        <f>IFERROR(__xludf.DUMMYFUNCTION("""COMPUTED_VALUE"""),44742.3206506944)</f>
        <v>44742.32065</v>
      </c>
      <c r="D5209" s="15">
        <f>IFERROR(__xludf.DUMMYFUNCTION("""COMPUTED_VALUE"""),1.005)</f>
        <v>1.005</v>
      </c>
      <c r="E5209" s="16">
        <f>IFERROR(__xludf.DUMMYFUNCTION("""COMPUTED_VALUE"""),66.0)</f>
        <v>66</v>
      </c>
      <c r="F5209" s="19" t="str">
        <f>IFERROR(__xludf.DUMMYFUNCTION("""COMPUTED_VALUE"""),"BLACK")</f>
        <v>BLACK</v>
      </c>
      <c r="G5209" s="20" t="str">
        <f>IFERROR(__xludf.DUMMYFUNCTION("""COMPUTED_VALUE"""),"Uncle Sams Cider (5/13/2022)")</f>
        <v>Uncle Sams Cider (5/13/2022)</v>
      </c>
      <c r="H5209" s="19"/>
    </row>
    <row r="5210">
      <c r="A5210" s="9"/>
      <c r="B5210" s="15"/>
      <c r="C5210" s="9">
        <f>IFERROR(__xludf.DUMMYFUNCTION("""COMPUTED_VALUE"""),44742.3102287037)</f>
        <v>44742.31023</v>
      </c>
      <c r="D5210" s="15">
        <f>IFERROR(__xludf.DUMMYFUNCTION("""COMPUTED_VALUE"""),1.004)</f>
        <v>1.004</v>
      </c>
      <c r="E5210" s="16">
        <f>IFERROR(__xludf.DUMMYFUNCTION("""COMPUTED_VALUE"""),66.0)</f>
        <v>66</v>
      </c>
      <c r="F5210" s="19" t="str">
        <f>IFERROR(__xludf.DUMMYFUNCTION("""COMPUTED_VALUE"""),"BLACK")</f>
        <v>BLACK</v>
      </c>
      <c r="G5210" s="20" t="str">
        <f>IFERROR(__xludf.DUMMYFUNCTION("""COMPUTED_VALUE"""),"Uncle Sams Cider (5/13/2022)")</f>
        <v>Uncle Sams Cider (5/13/2022)</v>
      </c>
      <c r="H5210" s="19"/>
    </row>
    <row r="5211">
      <c r="A5211" s="9"/>
      <c r="B5211" s="15"/>
      <c r="C5211" s="9">
        <f>IFERROR(__xludf.DUMMYFUNCTION("""COMPUTED_VALUE"""),44742.299806412)</f>
        <v>44742.29981</v>
      </c>
      <c r="D5211" s="15">
        <f>IFERROR(__xludf.DUMMYFUNCTION("""COMPUTED_VALUE"""),1.005)</f>
        <v>1.005</v>
      </c>
      <c r="E5211" s="16">
        <f>IFERROR(__xludf.DUMMYFUNCTION("""COMPUTED_VALUE"""),66.0)</f>
        <v>66</v>
      </c>
      <c r="F5211" s="19" t="str">
        <f>IFERROR(__xludf.DUMMYFUNCTION("""COMPUTED_VALUE"""),"BLACK")</f>
        <v>BLACK</v>
      </c>
      <c r="G5211" s="20" t="str">
        <f>IFERROR(__xludf.DUMMYFUNCTION("""COMPUTED_VALUE"""),"Uncle Sams Cider (5/13/2022)")</f>
        <v>Uncle Sams Cider (5/13/2022)</v>
      </c>
      <c r="H5211" s="19"/>
    </row>
    <row r="5212">
      <c r="A5212" s="9"/>
      <c r="B5212" s="15"/>
      <c r="C5212" s="9">
        <f>IFERROR(__xludf.DUMMYFUNCTION("""COMPUTED_VALUE"""),44742.289385)</f>
        <v>44742.28939</v>
      </c>
      <c r="D5212" s="15">
        <f>IFERROR(__xludf.DUMMYFUNCTION("""COMPUTED_VALUE"""),1.005)</f>
        <v>1.005</v>
      </c>
      <c r="E5212" s="16">
        <f>IFERROR(__xludf.DUMMYFUNCTION("""COMPUTED_VALUE"""),66.0)</f>
        <v>66</v>
      </c>
      <c r="F5212" s="19" t="str">
        <f>IFERROR(__xludf.DUMMYFUNCTION("""COMPUTED_VALUE"""),"BLACK")</f>
        <v>BLACK</v>
      </c>
      <c r="G5212" s="20" t="str">
        <f>IFERROR(__xludf.DUMMYFUNCTION("""COMPUTED_VALUE"""),"Uncle Sams Cider (5/13/2022)")</f>
        <v>Uncle Sams Cider (5/13/2022)</v>
      </c>
      <c r="H5212" s="19"/>
    </row>
    <row r="5213">
      <c r="A5213" s="9"/>
      <c r="B5213" s="15"/>
      <c r="C5213" s="9">
        <f>IFERROR(__xludf.DUMMYFUNCTION("""COMPUTED_VALUE"""),44742.2789528356)</f>
        <v>44742.27895</v>
      </c>
      <c r="D5213" s="15">
        <f>IFERROR(__xludf.DUMMYFUNCTION("""COMPUTED_VALUE"""),1.005)</f>
        <v>1.005</v>
      </c>
      <c r="E5213" s="16">
        <f>IFERROR(__xludf.DUMMYFUNCTION("""COMPUTED_VALUE"""),66.0)</f>
        <v>66</v>
      </c>
      <c r="F5213" s="19" t="str">
        <f>IFERROR(__xludf.DUMMYFUNCTION("""COMPUTED_VALUE"""),"BLACK")</f>
        <v>BLACK</v>
      </c>
      <c r="G5213" s="20" t="str">
        <f>IFERROR(__xludf.DUMMYFUNCTION("""COMPUTED_VALUE"""),"Uncle Sams Cider (5/13/2022)")</f>
        <v>Uncle Sams Cider (5/13/2022)</v>
      </c>
      <c r="H5213" s="19"/>
    </row>
    <row r="5214">
      <c r="A5214" s="9"/>
      <c r="B5214" s="15"/>
      <c r="C5214" s="9">
        <f>IFERROR(__xludf.DUMMYFUNCTION("""COMPUTED_VALUE"""),44742.2685310879)</f>
        <v>44742.26853</v>
      </c>
      <c r="D5214" s="15">
        <f>IFERROR(__xludf.DUMMYFUNCTION("""COMPUTED_VALUE"""),1.005)</f>
        <v>1.005</v>
      </c>
      <c r="E5214" s="16">
        <f>IFERROR(__xludf.DUMMYFUNCTION("""COMPUTED_VALUE"""),66.0)</f>
        <v>66</v>
      </c>
      <c r="F5214" s="19" t="str">
        <f>IFERROR(__xludf.DUMMYFUNCTION("""COMPUTED_VALUE"""),"BLACK")</f>
        <v>BLACK</v>
      </c>
      <c r="G5214" s="20" t="str">
        <f>IFERROR(__xludf.DUMMYFUNCTION("""COMPUTED_VALUE"""),"Uncle Sams Cider (5/13/2022)")</f>
        <v>Uncle Sams Cider (5/13/2022)</v>
      </c>
      <c r="H5214" s="19"/>
    </row>
    <row r="5215">
      <c r="A5215" s="9"/>
      <c r="B5215" s="15"/>
      <c r="C5215" s="9">
        <f>IFERROR(__xludf.DUMMYFUNCTION("""COMPUTED_VALUE"""),44742.2581092824)</f>
        <v>44742.25811</v>
      </c>
      <c r="D5215" s="15">
        <f>IFERROR(__xludf.DUMMYFUNCTION("""COMPUTED_VALUE"""),1.005)</f>
        <v>1.005</v>
      </c>
      <c r="E5215" s="16">
        <f>IFERROR(__xludf.DUMMYFUNCTION("""COMPUTED_VALUE"""),66.0)</f>
        <v>66</v>
      </c>
      <c r="F5215" s="19" t="str">
        <f>IFERROR(__xludf.DUMMYFUNCTION("""COMPUTED_VALUE"""),"BLACK")</f>
        <v>BLACK</v>
      </c>
      <c r="G5215" s="20" t="str">
        <f>IFERROR(__xludf.DUMMYFUNCTION("""COMPUTED_VALUE"""),"Uncle Sams Cider (5/13/2022)")</f>
        <v>Uncle Sams Cider (5/13/2022)</v>
      </c>
      <c r="H5215" s="19"/>
    </row>
    <row r="5216">
      <c r="A5216" s="9"/>
      <c r="B5216" s="15"/>
      <c r="C5216" s="9">
        <f>IFERROR(__xludf.DUMMYFUNCTION("""COMPUTED_VALUE"""),44742.2476892245)</f>
        <v>44742.24769</v>
      </c>
      <c r="D5216" s="15">
        <f>IFERROR(__xludf.DUMMYFUNCTION("""COMPUTED_VALUE"""),1.005)</f>
        <v>1.005</v>
      </c>
      <c r="E5216" s="16">
        <f>IFERROR(__xludf.DUMMYFUNCTION("""COMPUTED_VALUE"""),66.0)</f>
        <v>66</v>
      </c>
      <c r="F5216" s="19" t="str">
        <f>IFERROR(__xludf.DUMMYFUNCTION("""COMPUTED_VALUE"""),"BLACK")</f>
        <v>BLACK</v>
      </c>
      <c r="G5216" s="20" t="str">
        <f>IFERROR(__xludf.DUMMYFUNCTION("""COMPUTED_VALUE"""),"Uncle Sams Cider (5/13/2022)")</f>
        <v>Uncle Sams Cider (5/13/2022)</v>
      </c>
      <c r="H5216" s="19"/>
    </row>
    <row r="5217">
      <c r="A5217" s="9"/>
      <c r="B5217" s="15"/>
      <c r="C5217" s="9">
        <f>IFERROR(__xludf.DUMMYFUNCTION("""COMPUTED_VALUE"""),44742.2372678819)</f>
        <v>44742.23727</v>
      </c>
      <c r="D5217" s="15">
        <f>IFERROR(__xludf.DUMMYFUNCTION("""COMPUTED_VALUE"""),1.005)</f>
        <v>1.005</v>
      </c>
      <c r="E5217" s="16">
        <f>IFERROR(__xludf.DUMMYFUNCTION("""COMPUTED_VALUE"""),66.0)</f>
        <v>66</v>
      </c>
      <c r="F5217" s="19" t="str">
        <f>IFERROR(__xludf.DUMMYFUNCTION("""COMPUTED_VALUE"""),"BLACK")</f>
        <v>BLACK</v>
      </c>
      <c r="G5217" s="20" t="str">
        <f>IFERROR(__xludf.DUMMYFUNCTION("""COMPUTED_VALUE"""),"Uncle Sams Cider (5/13/2022)")</f>
        <v>Uncle Sams Cider (5/13/2022)</v>
      </c>
      <c r="H5217" s="19"/>
    </row>
    <row r="5218">
      <c r="A5218" s="9"/>
      <c r="B5218" s="15"/>
      <c r="C5218" s="9">
        <f>IFERROR(__xludf.DUMMYFUNCTION("""COMPUTED_VALUE"""),44742.226846655)</f>
        <v>44742.22685</v>
      </c>
      <c r="D5218" s="15">
        <f>IFERROR(__xludf.DUMMYFUNCTION("""COMPUTED_VALUE"""),1.005)</f>
        <v>1.005</v>
      </c>
      <c r="E5218" s="16">
        <f>IFERROR(__xludf.DUMMYFUNCTION("""COMPUTED_VALUE"""),66.0)</f>
        <v>66</v>
      </c>
      <c r="F5218" s="19" t="str">
        <f>IFERROR(__xludf.DUMMYFUNCTION("""COMPUTED_VALUE"""),"BLACK")</f>
        <v>BLACK</v>
      </c>
      <c r="G5218" s="20" t="str">
        <f>IFERROR(__xludf.DUMMYFUNCTION("""COMPUTED_VALUE"""),"Uncle Sams Cider (5/13/2022)")</f>
        <v>Uncle Sams Cider (5/13/2022)</v>
      </c>
      <c r="H5218" s="19"/>
    </row>
    <row r="5219">
      <c r="A5219" s="9"/>
      <c r="B5219" s="15"/>
      <c r="C5219" s="9">
        <f>IFERROR(__xludf.DUMMYFUNCTION("""COMPUTED_VALUE"""),44742.2164251967)</f>
        <v>44742.21643</v>
      </c>
      <c r="D5219" s="15">
        <f>IFERROR(__xludf.DUMMYFUNCTION("""COMPUTED_VALUE"""),1.005)</f>
        <v>1.005</v>
      </c>
      <c r="E5219" s="16">
        <f>IFERROR(__xludf.DUMMYFUNCTION("""COMPUTED_VALUE"""),66.0)</f>
        <v>66</v>
      </c>
      <c r="F5219" s="19" t="str">
        <f>IFERROR(__xludf.DUMMYFUNCTION("""COMPUTED_VALUE"""),"BLACK")</f>
        <v>BLACK</v>
      </c>
      <c r="G5219" s="20" t="str">
        <f>IFERROR(__xludf.DUMMYFUNCTION("""COMPUTED_VALUE"""),"Uncle Sams Cider (5/13/2022)")</f>
        <v>Uncle Sams Cider (5/13/2022)</v>
      </c>
      <c r="H5219" s="19"/>
    </row>
    <row r="5220">
      <c r="A5220" s="9"/>
      <c r="B5220" s="15"/>
      <c r="C5220" s="9">
        <f>IFERROR(__xludf.DUMMYFUNCTION("""COMPUTED_VALUE"""),44742.2060040625)</f>
        <v>44742.206</v>
      </c>
      <c r="D5220" s="15">
        <f>IFERROR(__xludf.DUMMYFUNCTION("""COMPUTED_VALUE"""),1.005)</f>
        <v>1.005</v>
      </c>
      <c r="E5220" s="16">
        <f>IFERROR(__xludf.DUMMYFUNCTION("""COMPUTED_VALUE"""),66.0)</f>
        <v>66</v>
      </c>
      <c r="F5220" s="19" t="str">
        <f>IFERROR(__xludf.DUMMYFUNCTION("""COMPUTED_VALUE"""),"BLACK")</f>
        <v>BLACK</v>
      </c>
      <c r="G5220" s="20" t="str">
        <f>IFERROR(__xludf.DUMMYFUNCTION("""COMPUTED_VALUE"""),"Uncle Sams Cider (5/13/2022)")</f>
        <v>Uncle Sams Cider (5/13/2022)</v>
      </c>
      <c r="H5220" s="19"/>
    </row>
    <row r="5221">
      <c r="A5221" s="9"/>
      <c r="B5221" s="15"/>
      <c r="C5221" s="9">
        <f>IFERROR(__xludf.DUMMYFUNCTION("""COMPUTED_VALUE"""),44742.1955702199)</f>
        <v>44742.19557</v>
      </c>
      <c r="D5221" s="15">
        <f>IFERROR(__xludf.DUMMYFUNCTION("""COMPUTED_VALUE"""),1.005)</f>
        <v>1.005</v>
      </c>
      <c r="E5221" s="16">
        <f>IFERROR(__xludf.DUMMYFUNCTION("""COMPUTED_VALUE"""),66.0)</f>
        <v>66</v>
      </c>
      <c r="F5221" s="19" t="str">
        <f>IFERROR(__xludf.DUMMYFUNCTION("""COMPUTED_VALUE"""),"BLACK")</f>
        <v>BLACK</v>
      </c>
      <c r="G5221" s="20" t="str">
        <f>IFERROR(__xludf.DUMMYFUNCTION("""COMPUTED_VALUE"""),"Uncle Sams Cider (5/13/2022)")</f>
        <v>Uncle Sams Cider (5/13/2022)</v>
      </c>
      <c r="H5221" s="19"/>
    </row>
    <row r="5222">
      <c r="A5222" s="9"/>
      <c r="B5222" s="15"/>
      <c r="C5222" s="9">
        <f>IFERROR(__xludf.DUMMYFUNCTION("""COMPUTED_VALUE"""),44742.1851478125)</f>
        <v>44742.18515</v>
      </c>
      <c r="D5222" s="15">
        <f>IFERROR(__xludf.DUMMYFUNCTION("""COMPUTED_VALUE"""),1.005)</f>
        <v>1.005</v>
      </c>
      <c r="E5222" s="16">
        <f>IFERROR(__xludf.DUMMYFUNCTION("""COMPUTED_VALUE"""),66.0)</f>
        <v>66</v>
      </c>
      <c r="F5222" s="19" t="str">
        <f>IFERROR(__xludf.DUMMYFUNCTION("""COMPUTED_VALUE"""),"BLACK")</f>
        <v>BLACK</v>
      </c>
      <c r="G5222" s="20" t="str">
        <f>IFERROR(__xludf.DUMMYFUNCTION("""COMPUTED_VALUE"""),"Uncle Sams Cider (5/13/2022)")</f>
        <v>Uncle Sams Cider (5/13/2022)</v>
      </c>
      <c r="H5222" s="19"/>
    </row>
    <row r="5223">
      <c r="A5223" s="9"/>
      <c r="B5223" s="15"/>
      <c r="C5223" s="9">
        <f>IFERROR(__xludf.DUMMYFUNCTION("""COMPUTED_VALUE"""),44742.174725787)</f>
        <v>44742.17473</v>
      </c>
      <c r="D5223" s="15">
        <f>IFERROR(__xludf.DUMMYFUNCTION("""COMPUTED_VALUE"""),1.005)</f>
        <v>1.005</v>
      </c>
      <c r="E5223" s="16">
        <f>IFERROR(__xludf.DUMMYFUNCTION("""COMPUTED_VALUE"""),66.0)</f>
        <v>66</v>
      </c>
      <c r="F5223" s="19" t="str">
        <f>IFERROR(__xludf.DUMMYFUNCTION("""COMPUTED_VALUE"""),"BLACK")</f>
        <v>BLACK</v>
      </c>
      <c r="G5223" s="20" t="str">
        <f>IFERROR(__xludf.DUMMYFUNCTION("""COMPUTED_VALUE"""),"Uncle Sams Cider (5/13/2022)")</f>
        <v>Uncle Sams Cider (5/13/2022)</v>
      </c>
      <c r="H5223" s="19"/>
    </row>
    <row r="5224">
      <c r="A5224" s="9"/>
      <c r="B5224" s="15"/>
      <c r="C5224" s="9">
        <f>IFERROR(__xludf.DUMMYFUNCTION("""COMPUTED_VALUE"""),44742.1643063425)</f>
        <v>44742.16431</v>
      </c>
      <c r="D5224" s="15">
        <f>IFERROR(__xludf.DUMMYFUNCTION("""COMPUTED_VALUE"""),1.005)</f>
        <v>1.005</v>
      </c>
      <c r="E5224" s="16">
        <f>IFERROR(__xludf.DUMMYFUNCTION("""COMPUTED_VALUE"""),66.0)</f>
        <v>66</v>
      </c>
      <c r="F5224" s="19" t="str">
        <f>IFERROR(__xludf.DUMMYFUNCTION("""COMPUTED_VALUE"""),"BLACK")</f>
        <v>BLACK</v>
      </c>
      <c r="G5224" s="20" t="str">
        <f>IFERROR(__xludf.DUMMYFUNCTION("""COMPUTED_VALUE"""),"Uncle Sams Cider (5/13/2022)")</f>
        <v>Uncle Sams Cider (5/13/2022)</v>
      </c>
      <c r="H5224" s="19"/>
    </row>
    <row r="5225">
      <c r="A5225" s="9"/>
      <c r="B5225" s="15"/>
      <c r="C5225" s="9">
        <f>IFERROR(__xludf.DUMMYFUNCTION("""COMPUTED_VALUE"""),44742.1538849074)</f>
        <v>44742.15388</v>
      </c>
      <c r="D5225" s="15">
        <f>IFERROR(__xludf.DUMMYFUNCTION("""COMPUTED_VALUE"""),1.005)</f>
        <v>1.005</v>
      </c>
      <c r="E5225" s="16">
        <f>IFERROR(__xludf.DUMMYFUNCTION("""COMPUTED_VALUE"""),66.0)</f>
        <v>66</v>
      </c>
      <c r="F5225" s="19" t="str">
        <f>IFERROR(__xludf.DUMMYFUNCTION("""COMPUTED_VALUE"""),"BLACK")</f>
        <v>BLACK</v>
      </c>
      <c r="G5225" s="20" t="str">
        <f>IFERROR(__xludf.DUMMYFUNCTION("""COMPUTED_VALUE"""),"Uncle Sams Cider (5/13/2022)")</f>
        <v>Uncle Sams Cider (5/13/2022)</v>
      </c>
      <c r="H5225" s="19"/>
    </row>
    <row r="5226">
      <c r="A5226" s="9"/>
      <c r="B5226" s="15"/>
      <c r="C5226" s="9">
        <f>IFERROR(__xludf.DUMMYFUNCTION("""COMPUTED_VALUE"""),44742.1434632638)</f>
        <v>44742.14346</v>
      </c>
      <c r="D5226" s="15">
        <f>IFERROR(__xludf.DUMMYFUNCTION("""COMPUTED_VALUE"""),1.005)</f>
        <v>1.005</v>
      </c>
      <c r="E5226" s="16">
        <f>IFERROR(__xludf.DUMMYFUNCTION("""COMPUTED_VALUE"""),66.0)</f>
        <v>66</v>
      </c>
      <c r="F5226" s="19" t="str">
        <f>IFERROR(__xludf.DUMMYFUNCTION("""COMPUTED_VALUE"""),"BLACK")</f>
        <v>BLACK</v>
      </c>
      <c r="G5226" s="20" t="str">
        <f>IFERROR(__xludf.DUMMYFUNCTION("""COMPUTED_VALUE"""),"Uncle Sams Cider (5/13/2022)")</f>
        <v>Uncle Sams Cider (5/13/2022)</v>
      </c>
      <c r="H5226" s="19"/>
    </row>
    <row r="5227">
      <c r="A5227" s="9"/>
      <c r="B5227" s="15"/>
      <c r="C5227" s="9">
        <f>IFERROR(__xludf.DUMMYFUNCTION("""COMPUTED_VALUE"""),44742.1330420601)</f>
        <v>44742.13304</v>
      </c>
      <c r="D5227" s="15">
        <f>IFERROR(__xludf.DUMMYFUNCTION("""COMPUTED_VALUE"""),1.005)</f>
        <v>1.005</v>
      </c>
      <c r="E5227" s="16">
        <f>IFERROR(__xludf.DUMMYFUNCTION("""COMPUTED_VALUE"""),66.0)</f>
        <v>66</v>
      </c>
      <c r="F5227" s="19" t="str">
        <f>IFERROR(__xludf.DUMMYFUNCTION("""COMPUTED_VALUE"""),"BLACK")</f>
        <v>BLACK</v>
      </c>
      <c r="G5227" s="20" t="str">
        <f>IFERROR(__xludf.DUMMYFUNCTION("""COMPUTED_VALUE"""),"Uncle Sams Cider (5/13/2022)")</f>
        <v>Uncle Sams Cider (5/13/2022)</v>
      </c>
      <c r="H5227" s="19"/>
    </row>
    <row r="5228">
      <c r="A5228" s="9"/>
      <c r="B5228" s="15"/>
      <c r="C5228" s="9">
        <f>IFERROR(__xludf.DUMMYFUNCTION("""COMPUTED_VALUE"""),44742.1226196064)</f>
        <v>44742.12262</v>
      </c>
      <c r="D5228" s="15">
        <f>IFERROR(__xludf.DUMMYFUNCTION("""COMPUTED_VALUE"""),1.005)</f>
        <v>1.005</v>
      </c>
      <c r="E5228" s="16">
        <f>IFERROR(__xludf.DUMMYFUNCTION("""COMPUTED_VALUE"""),66.0)</f>
        <v>66</v>
      </c>
      <c r="F5228" s="19" t="str">
        <f>IFERROR(__xludf.DUMMYFUNCTION("""COMPUTED_VALUE"""),"BLACK")</f>
        <v>BLACK</v>
      </c>
      <c r="G5228" s="20" t="str">
        <f>IFERROR(__xludf.DUMMYFUNCTION("""COMPUTED_VALUE"""),"Uncle Sams Cider (5/13/2022)")</f>
        <v>Uncle Sams Cider (5/13/2022)</v>
      </c>
      <c r="H5228" s="19"/>
    </row>
    <row r="5229">
      <c r="A5229" s="9"/>
      <c r="B5229" s="15"/>
      <c r="C5229" s="9">
        <f>IFERROR(__xludf.DUMMYFUNCTION("""COMPUTED_VALUE"""),44742.1121865046)</f>
        <v>44742.11219</v>
      </c>
      <c r="D5229" s="15">
        <f>IFERROR(__xludf.DUMMYFUNCTION("""COMPUTED_VALUE"""),1.004)</f>
        <v>1.004</v>
      </c>
      <c r="E5229" s="16">
        <f>IFERROR(__xludf.DUMMYFUNCTION("""COMPUTED_VALUE"""),66.0)</f>
        <v>66</v>
      </c>
      <c r="F5229" s="19" t="str">
        <f>IFERROR(__xludf.DUMMYFUNCTION("""COMPUTED_VALUE"""),"BLACK")</f>
        <v>BLACK</v>
      </c>
      <c r="G5229" s="20" t="str">
        <f>IFERROR(__xludf.DUMMYFUNCTION("""COMPUTED_VALUE"""),"Uncle Sams Cider (5/13/2022)")</f>
        <v>Uncle Sams Cider (5/13/2022)</v>
      </c>
      <c r="H5229" s="19"/>
    </row>
    <row r="5230">
      <c r="A5230" s="9"/>
      <c r="B5230" s="15"/>
      <c r="C5230" s="9">
        <f>IFERROR(__xludf.DUMMYFUNCTION("""COMPUTED_VALUE"""),44742.1017649768)</f>
        <v>44742.10176</v>
      </c>
      <c r="D5230" s="15">
        <f>IFERROR(__xludf.DUMMYFUNCTION("""COMPUTED_VALUE"""),1.005)</f>
        <v>1.005</v>
      </c>
      <c r="E5230" s="16">
        <f>IFERROR(__xludf.DUMMYFUNCTION("""COMPUTED_VALUE"""),66.0)</f>
        <v>66</v>
      </c>
      <c r="F5230" s="19" t="str">
        <f>IFERROR(__xludf.DUMMYFUNCTION("""COMPUTED_VALUE"""),"BLACK")</f>
        <v>BLACK</v>
      </c>
      <c r="G5230" s="20" t="str">
        <f>IFERROR(__xludf.DUMMYFUNCTION("""COMPUTED_VALUE"""),"Uncle Sams Cider (5/13/2022)")</f>
        <v>Uncle Sams Cider (5/13/2022)</v>
      </c>
      <c r="H5230" s="19"/>
    </row>
    <row r="5231">
      <c r="A5231" s="9"/>
      <c r="B5231" s="15"/>
      <c r="C5231" s="9">
        <f>IFERROR(__xludf.DUMMYFUNCTION("""COMPUTED_VALUE"""),44742.091342743)</f>
        <v>44742.09134</v>
      </c>
      <c r="D5231" s="15">
        <f>IFERROR(__xludf.DUMMYFUNCTION("""COMPUTED_VALUE"""),1.005)</f>
        <v>1.005</v>
      </c>
      <c r="E5231" s="16">
        <f>IFERROR(__xludf.DUMMYFUNCTION("""COMPUTED_VALUE"""),66.0)</f>
        <v>66</v>
      </c>
      <c r="F5231" s="19" t="str">
        <f>IFERROR(__xludf.DUMMYFUNCTION("""COMPUTED_VALUE"""),"BLACK")</f>
        <v>BLACK</v>
      </c>
      <c r="G5231" s="20" t="str">
        <f>IFERROR(__xludf.DUMMYFUNCTION("""COMPUTED_VALUE"""),"Uncle Sams Cider (5/13/2022)")</f>
        <v>Uncle Sams Cider (5/13/2022)</v>
      </c>
      <c r="H5231" s="19"/>
    </row>
    <row r="5232">
      <c r="A5232" s="9"/>
      <c r="B5232" s="15"/>
      <c r="C5232" s="9">
        <f>IFERROR(__xludf.DUMMYFUNCTION("""COMPUTED_VALUE"""),44742.0808989699)</f>
        <v>44742.0809</v>
      </c>
      <c r="D5232" s="15">
        <f>IFERROR(__xludf.DUMMYFUNCTION("""COMPUTED_VALUE"""),1.005)</f>
        <v>1.005</v>
      </c>
      <c r="E5232" s="16">
        <f>IFERROR(__xludf.DUMMYFUNCTION("""COMPUTED_VALUE"""),66.0)</f>
        <v>66</v>
      </c>
      <c r="F5232" s="19" t="str">
        <f>IFERROR(__xludf.DUMMYFUNCTION("""COMPUTED_VALUE"""),"BLACK")</f>
        <v>BLACK</v>
      </c>
      <c r="G5232" s="20" t="str">
        <f>IFERROR(__xludf.DUMMYFUNCTION("""COMPUTED_VALUE"""),"Uncle Sams Cider (5/13/2022)")</f>
        <v>Uncle Sams Cider (5/13/2022)</v>
      </c>
      <c r="H5232" s="19"/>
    </row>
    <row r="5233">
      <c r="A5233" s="9"/>
      <c r="B5233" s="15"/>
      <c r="C5233" s="9">
        <f>IFERROR(__xludf.DUMMYFUNCTION("""COMPUTED_VALUE"""),44742.0704767245)</f>
        <v>44742.07048</v>
      </c>
      <c r="D5233" s="15">
        <f>IFERROR(__xludf.DUMMYFUNCTION("""COMPUTED_VALUE"""),1.005)</f>
        <v>1.005</v>
      </c>
      <c r="E5233" s="16">
        <f>IFERROR(__xludf.DUMMYFUNCTION("""COMPUTED_VALUE"""),66.0)</f>
        <v>66</v>
      </c>
      <c r="F5233" s="19" t="str">
        <f>IFERROR(__xludf.DUMMYFUNCTION("""COMPUTED_VALUE"""),"BLACK")</f>
        <v>BLACK</v>
      </c>
      <c r="G5233" s="20" t="str">
        <f>IFERROR(__xludf.DUMMYFUNCTION("""COMPUTED_VALUE"""),"Uncle Sams Cider (5/13/2022)")</f>
        <v>Uncle Sams Cider (5/13/2022)</v>
      </c>
      <c r="H5233" s="19"/>
    </row>
    <row r="5234">
      <c r="A5234" s="9"/>
      <c r="B5234" s="15"/>
      <c r="C5234" s="9">
        <f>IFERROR(__xludf.DUMMYFUNCTION("""COMPUTED_VALUE"""),44742.0600425)</f>
        <v>44742.06004</v>
      </c>
      <c r="D5234" s="15">
        <f>IFERROR(__xludf.DUMMYFUNCTION("""COMPUTED_VALUE"""),1.005)</f>
        <v>1.005</v>
      </c>
      <c r="E5234" s="16">
        <f>IFERROR(__xludf.DUMMYFUNCTION("""COMPUTED_VALUE"""),66.0)</f>
        <v>66</v>
      </c>
      <c r="F5234" s="19" t="str">
        <f>IFERROR(__xludf.DUMMYFUNCTION("""COMPUTED_VALUE"""),"BLACK")</f>
        <v>BLACK</v>
      </c>
      <c r="G5234" s="20" t="str">
        <f>IFERROR(__xludf.DUMMYFUNCTION("""COMPUTED_VALUE"""),"Uncle Sams Cider (5/13/2022)")</f>
        <v>Uncle Sams Cider (5/13/2022)</v>
      </c>
      <c r="H5234" s="19"/>
    </row>
    <row r="5235">
      <c r="A5235" s="9"/>
      <c r="B5235" s="15"/>
      <c r="C5235" s="9">
        <f>IFERROR(__xludf.DUMMYFUNCTION("""COMPUTED_VALUE"""),44742.0496193402)</f>
        <v>44742.04962</v>
      </c>
      <c r="D5235" s="15">
        <f>IFERROR(__xludf.DUMMYFUNCTION("""COMPUTED_VALUE"""),1.005)</f>
        <v>1.005</v>
      </c>
      <c r="E5235" s="16">
        <f>IFERROR(__xludf.DUMMYFUNCTION("""COMPUTED_VALUE"""),66.0)</f>
        <v>66</v>
      </c>
      <c r="F5235" s="19" t="str">
        <f>IFERROR(__xludf.DUMMYFUNCTION("""COMPUTED_VALUE"""),"BLACK")</f>
        <v>BLACK</v>
      </c>
      <c r="G5235" s="20" t="str">
        <f>IFERROR(__xludf.DUMMYFUNCTION("""COMPUTED_VALUE"""),"Uncle Sams Cider (5/13/2022)")</f>
        <v>Uncle Sams Cider (5/13/2022)</v>
      </c>
      <c r="H5235" s="19"/>
    </row>
    <row r="5236">
      <c r="A5236" s="9"/>
      <c r="B5236" s="15"/>
      <c r="C5236" s="9">
        <f>IFERROR(__xludf.DUMMYFUNCTION("""COMPUTED_VALUE"""),44742.0391990972)</f>
        <v>44742.0392</v>
      </c>
      <c r="D5236" s="15">
        <f>IFERROR(__xludf.DUMMYFUNCTION("""COMPUTED_VALUE"""),1.005)</f>
        <v>1.005</v>
      </c>
      <c r="E5236" s="16">
        <f>IFERROR(__xludf.DUMMYFUNCTION("""COMPUTED_VALUE"""),66.0)</f>
        <v>66</v>
      </c>
      <c r="F5236" s="19" t="str">
        <f>IFERROR(__xludf.DUMMYFUNCTION("""COMPUTED_VALUE"""),"BLACK")</f>
        <v>BLACK</v>
      </c>
      <c r="G5236" s="20" t="str">
        <f>IFERROR(__xludf.DUMMYFUNCTION("""COMPUTED_VALUE"""),"Uncle Sams Cider (5/13/2022)")</f>
        <v>Uncle Sams Cider (5/13/2022)</v>
      </c>
      <c r="H5236" s="19"/>
    </row>
    <row r="5237">
      <c r="A5237" s="9"/>
      <c r="B5237" s="15"/>
      <c r="C5237" s="9">
        <f>IFERROR(__xludf.DUMMYFUNCTION("""COMPUTED_VALUE"""),44742.0287787037)</f>
        <v>44742.02878</v>
      </c>
      <c r="D5237" s="15">
        <f>IFERROR(__xludf.DUMMYFUNCTION("""COMPUTED_VALUE"""),1.005)</f>
        <v>1.005</v>
      </c>
      <c r="E5237" s="16">
        <f>IFERROR(__xludf.DUMMYFUNCTION("""COMPUTED_VALUE"""),66.0)</f>
        <v>66</v>
      </c>
      <c r="F5237" s="19" t="str">
        <f>IFERROR(__xludf.DUMMYFUNCTION("""COMPUTED_VALUE"""),"BLACK")</f>
        <v>BLACK</v>
      </c>
      <c r="G5237" s="20" t="str">
        <f>IFERROR(__xludf.DUMMYFUNCTION("""COMPUTED_VALUE"""),"Uncle Sams Cider (5/13/2022)")</f>
        <v>Uncle Sams Cider (5/13/2022)</v>
      </c>
      <c r="H5237" s="19"/>
    </row>
    <row r="5238">
      <c r="A5238" s="9"/>
      <c r="B5238" s="15"/>
      <c r="C5238" s="9">
        <f>IFERROR(__xludf.DUMMYFUNCTION("""COMPUTED_VALUE"""),44742.0183452199)</f>
        <v>44742.01835</v>
      </c>
      <c r="D5238" s="15">
        <f>IFERROR(__xludf.DUMMYFUNCTION("""COMPUTED_VALUE"""),1.005)</f>
        <v>1.005</v>
      </c>
      <c r="E5238" s="16">
        <f>IFERROR(__xludf.DUMMYFUNCTION("""COMPUTED_VALUE"""),66.0)</f>
        <v>66</v>
      </c>
      <c r="F5238" s="19" t="str">
        <f>IFERROR(__xludf.DUMMYFUNCTION("""COMPUTED_VALUE"""),"BLACK")</f>
        <v>BLACK</v>
      </c>
      <c r="G5238" s="20" t="str">
        <f>IFERROR(__xludf.DUMMYFUNCTION("""COMPUTED_VALUE"""),"Uncle Sams Cider (5/13/2022)")</f>
        <v>Uncle Sams Cider (5/13/2022)</v>
      </c>
      <c r="H5238" s="19"/>
    </row>
    <row r="5239">
      <c r="A5239" s="9"/>
      <c r="B5239" s="15"/>
      <c r="C5239" s="9">
        <f>IFERROR(__xludf.DUMMYFUNCTION("""COMPUTED_VALUE"""),44742.0079240509)</f>
        <v>44742.00792</v>
      </c>
      <c r="D5239" s="15">
        <f>IFERROR(__xludf.DUMMYFUNCTION("""COMPUTED_VALUE"""),1.004)</f>
        <v>1.004</v>
      </c>
      <c r="E5239" s="16">
        <f>IFERROR(__xludf.DUMMYFUNCTION("""COMPUTED_VALUE"""),67.0)</f>
        <v>67</v>
      </c>
      <c r="F5239" s="19" t="str">
        <f>IFERROR(__xludf.DUMMYFUNCTION("""COMPUTED_VALUE"""),"BLACK")</f>
        <v>BLACK</v>
      </c>
      <c r="G5239" s="20" t="str">
        <f>IFERROR(__xludf.DUMMYFUNCTION("""COMPUTED_VALUE"""),"Uncle Sams Cider (5/13/2022)")</f>
        <v>Uncle Sams Cider (5/13/2022)</v>
      </c>
      <c r="H5239" s="19"/>
    </row>
    <row r="5240">
      <c r="A5240" s="9"/>
      <c r="B5240" s="15"/>
      <c r="C5240" s="9">
        <f>IFERROR(__xludf.DUMMYFUNCTION("""COMPUTED_VALUE"""),44741.9975020717)</f>
        <v>44741.9975</v>
      </c>
      <c r="D5240" s="15">
        <f>IFERROR(__xludf.DUMMYFUNCTION("""COMPUTED_VALUE"""),1.005)</f>
        <v>1.005</v>
      </c>
      <c r="E5240" s="16">
        <f>IFERROR(__xludf.DUMMYFUNCTION("""COMPUTED_VALUE"""),67.0)</f>
        <v>67</v>
      </c>
      <c r="F5240" s="19" t="str">
        <f>IFERROR(__xludf.DUMMYFUNCTION("""COMPUTED_VALUE"""),"BLACK")</f>
        <v>BLACK</v>
      </c>
      <c r="G5240" s="20" t="str">
        <f>IFERROR(__xludf.DUMMYFUNCTION("""COMPUTED_VALUE"""),"Uncle Sams Cider (5/13/2022)")</f>
        <v>Uncle Sams Cider (5/13/2022)</v>
      </c>
      <c r="H5240" s="19"/>
    </row>
    <row r="5241">
      <c r="A5241" s="9"/>
      <c r="B5241" s="15"/>
      <c r="C5241" s="9">
        <f>IFERROR(__xludf.DUMMYFUNCTION("""COMPUTED_VALUE"""),44741.9870824652)</f>
        <v>44741.98708</v>
      </c>
      <c r="D5241" s="15">
        <f>IFERROR(__xludf.DUMMYFUNCTION("""COMPUTED_VALUE"""),1.005)</f>
        <v>1.005</v>
      </c>
      <c r="E5241" s="16">
        <f>IFERROR(__xludf.DUMMYFUNCTION("""COMPUTED_VALUE"""),68.0)</f>
        <v>68</v>
      </c>
      <c r="F5241" s="19" t="str">
        <f>IFERROR(__xludf.DUMMYFUNCTION("""COMPUTED_VALUE"""),"BLACK")</f>
        <v>BLACK</v>
      </c>
      <c r="G5241" s="20" t="str">
        <f>IFERROR(__xludf.DUMMYFUNCTION("""COMPUTED_VALUE"""),"Uncle Sams Cider (5/13/2022)")</f>
        <v>Uncle Sams Cider (5/13/2022)</v>
      </c>
      <c r="H5241" s="19"/>
    </row>
    <row r="5242">
      <c r="A5242" s="9"/>
      <c r="B5242" s="15"/>
      <c r="C5242" s="9">
        <f>IFERROR(__xludf.DUMMYFUNCTION("""COMPUTED_VALUE"""),44741.9766629745)</f>
        <v>44741.97666</v>
      </c>
      <c r="D5242" s="15">
        <f>IFERROR(__xludf.DUMMYFUNCTION("""COMPUTED_VALUE"""),1.004)</f>
        <v>1.004</v>
      </c>
      <c r="E5242" s="16">
        <f>IFERROR(__xludf.DUMMYFUNCTION("""COMPUTED_VALUE"""),69.0)</f>
        <v>69</v>
      </c>
      <c r="F5242" s="19" t="str">
        <f>IFERROR(__xludf.DUMMYFUNCTION("""COMPUTED_VALUE"""),"BLACK")</f>
        <v>BLACK</v>
      </c>
      <c r="G5242" s="20" t="str">
        <f>IFERROR(__xludf.DUMMYFUNCTION("""COMPUTED_VALUE"""),"Uncle Sams Cider (5/13/2022)")</f>
        <v>Uncle Sams Cider (5/13/2022)</v>
      </c>
      <c r="H5242" s="19"/>
    </row>
    <row r="5243">
      <c r="A5243" s="9"/>
      <c r="B5243" s="15"/>
      <c r="C5243" s="9">
        <f>IFERROR(__xludf.DUMMYFUNCTION("""COMPUTED_VALUE"""),44741.9662313657)</f>
        <v>44741.96623</v>
      </c>
      <c r="D5243" s="15">
        <f>IFERROR(__xludf.DUMMYFUNCTION("""COMPUTED_VALUE"""),1.004)</f>
        <v>1.004</v>
      </c>
      <c r="E5243" s="16">
        <f>IFERROR(__xludf.DUMMYFUNCTION("""COMPUTED_VALUE"""),69.0)</f>
        <v>69</v>
      </c>
      <c r="F5243" s="19" t="str">
        <f>IFERROR(__xludf.DUMMYFUNCTION("""COMPUTED_VALUE"""),"BLACK")</f>
        <v>BLACK</v>
      </c>
      <c r="G5243" s="20" t="str">
        <f>IFERROR(__xludf.DUMMYFUNCTION("""COMPUTED_VALUE"""),"Uncle Sams Cider (5/13/2022)")</f>
        <v>Uncle Sams Cider (5/13/2022)</v>
      </c>
      <c r="H5243" s="19"/>
    </row>
    <row r="5244">
      <c r="A5244" s="9"/>
      <c r="B5244" s="15"/>
      <c r="C5244" s="9">
        <f>IFERROR(__xludf.DUMMYFUNCTION("""COMPUTED_VALUE"""),44741.9558110185)</f>
        <v>44741.95581</v>
      </c>
      <c r="D5244" s="15">
        <f>IFERROR(__xludf.DUMMYFUNCTION("""COMPUTED_VALUE"""),1.004)</f>
        <v>1.004</v>
      </c>
      <c r="E5244" s="16">
        <f>IFERROR(__xludf.DUMMYFUNCTION("""COMPUTED_VALUE"""),70.0)</f>
        <v>70</v>
      </c>
      <c r="F5244" s="19" t="str">
        <f>IFERROR(__xludf.DUMMYFUNCTION("""COMPUTED_VALUE"""),"BLACK")</f>
        <v>BLACK</v>
      </c>
      <c r="G5244" s="20" t="str">
        <f>IFERROR(__xludf.DUMMYFUNCTION("""COMPUTED_VALUE"""),"Uncle Sams Cider (5/13/2022)")</f>
        <v>Uncle Sams Cider (5/13/2022)</v>
      </c>
      <c r="H5244" s="19"/>
    </row>
    <row r="5245">
      <c r="A5245" s="9"/>
      <c r="B5245" s="15"/>
      <c r="C5245" s="9">
        <f>IFERROR(__xludf.DUMMYFUNCTION("""COMPUTED_VALUE"""),44741.9453895833)</f>
        <v>44741.94539</v>
      </c>
      <c r="D5245" s="15">
        <f>IFERROR(__xludf.DUMMYFUNCTION("""COMPUTED_VALUE"""),1.004)</f>
        <v>1.004</v>
      </c>
      <c r="E5245" s="16">
        <f>IFERROR(__xludf.DUMMYFUNCTION("""COMPUTED_VALUE"""),70.0)</f>
        <v>70</v>
      </c>
      <c r="F5245" s="19" t="str">
        <f>IFERROR(__xludf.DUMMYFUNCTION("""COMPUTED_VALUE"""),"BLACK")</f>
        <v>BLACK</v>
      </c>
      <c r="G5245" s="20" t="str">
        <f>IFERROR(__xludf.DUMMYFUNCTION("""COMPUTED_VALUE"""),"Uncle Sams Cider (5/13/2022)")</f>
        <v>Uncle Sams Cider (5/13/2022)</v>
      </c>
      <c r="H5245" s="19"/>
    </row>
    <row r="5246">
      <c r="A5246" s="9"/>
      <c r="B5246" s="15"/>
      <c r="C5246" s="9">
        <f>IFERROR(__xludf.DUMMYFUNCTION("""COMPUTED_VALUE"""),44741.9349700231)</f>
        <v>44741.93497</v>
      </c>
      <c r="D5246" s="15">
        <f>IFERROR(__xludf.DUMMYFUNCTION("""COMPUTED_VALUE"""),1.005)</f>
        <v>1.005</v>
      </c>
      <c r="E5246" s="16">
        <f>IFERROR(__xludf.DUMMYFUNCTION("""COMPUTED_VALUE"""),70.0)</f>
        <v>70</v>
      </c>
      <c r="F5246" s="19" t="str">
        <f>IFERROR(__xludf.DUMMYFUNCTION("""COMPUTED_VALUE"""),"BLACK")</f>
        <v>BLACK</v>
      </c>
      <c r="G5246" s="20" t="str">
        <f>IFERROR(__xludf.DUMMYFUNCTION("""COMPUTED_VALUE"""),"Uncle Sams Cider (5/13/2022)")</f>
        <v>Uncle Sams Cider (5/13/2022)</v>
      </c>
      <c r="H5246" s="19"/>
    </row>
    <row r="5247">
      <c r="A5247" s="9"/>
      <c r="B5247" s="15"/>
      <c r="C5247" s="9">
        <f>IFERROR(__xludf.DUMMYFUNCTION("""COMPUTED_VALUE"""),44741.9245501967)</f>
        <v>44741.92455</v>
      </c>
      <c r="D5247" s="15">
        <f>IFERROR(__xludf.DUMMYFUNCTION("""COMPUTED_VALUE"""),1.004)</f>
        <v>1.004</v>
      </c>
      <c r="E5247" s="16">
        <f>IFERROR(__xludf.DUMMYFUNCTION("""COMPUTED_VALUE"""),70.0)</f>
        <v>70</v>
      </c>
      <c r="F5247" s="19" t="str">
        <f>IFERROR(__xludf.DUMMYFUNCTION("""COMPUTED_VALUE"""),"BLACK")</f>
        <v>BLACK</v>
      </c>
      <c r="G5247" s="20" t="str">
        <f>IFERROR(__xludf.DUMMYFUNCTION("""COMPUTED_VALUE"""),"Uncle Sams Cider (5/13/2022)")</f>
        <v>Uncle Sams Cider (5/13/2022)</v>
      </c>
      <c r="H5247" s="19"/>
    </row>
    <row r="5248">
      <c r="A5248" s="9"/>
      <c r="B5248" s="15"/>
      <c r="C5248" s="9">
        <f>IFERROR(__xludf.DUMMYFUNCTION("""COMPUTED_VALUE"""),44741.9141162615)</f>
        <v>44741.91412</v>
      </c>
      <c r="D5248" s="15">
        <f>IFERROR(__xludf.DUMMYFUNCTION("""COMPUTED_VALUE"""),1.005)</f>
        <v>1.005</v>
      </c>
      <c r="E5248" s="16">
        <f>IFERROR(__xludf.DUMMYFUNCTION("""COMPUTED_VALUE"""),70.0)</f>
        <v>70</v>
      </c>
      <c r="F5248" s="19" t="str">
        <f>IFERROR(__xludf.DUMMYFUNCTION("""COMPUTED_VALUE"""),"BLACK")</f>
        <v>BLACK</v>
      </c>
      <c r="G5248" s="20" t="str">
        <f>IFERROR(__xludf.DUMMYFUNCTION("""COMPUTED_VALUE"""),"Uncle Sams Cider (5/13/2022)")</f>
        <v>Uncle Sams Cider (5/13/2022)</v>
      </c>
      <c r="H5248" s="19"/>
    </row>
    <row r="5249">
      <c r="A5249" s="9"/>
      <c r="B5249" s="15"/>
      <c r="C5249" s="9">
        <f>IFERROR(__xludf.DUMMYFUNCTION("""COMPUTED_VALUE"""),44741.9036955324)</f>
        <v>44741.9037</v>
      </c>
      <c r="D5249" s="15">
        <f>IFERROR(__xludf.DUMMYFUNCTION("""COMPUTED_VALUE"""),1.005)</f>
        <v>1.005</v>
      </c>
      <c r="E5249" s="16">
        <f>IFERROR(__xludf.DUMMYFUNCTION("""COMPUTED_VALUE"""),70.0)</f>
        <v>70</v>
      </c>
      <c r="F5249" s="19" t="str">
        <f>IFERROR(__xludf.DUMMYFUNCTION("""COMPUTED_VALUE"""),"BLACK")</f>
        <v>BLACK</v>
      </c>
      <c r="G5249" s="20" t="str">
        <f>IFERROR(__xludf.DUMMYFUNCTION("""COMPUTED_VALUE"""),"Uncle Sams Cider (5/13/2022)")</f>
        <v>Uncle Sams Cider (5/13/2022)</v>
      </c>
      <c r="H5249" s="19"/>
    </row>
    <row r="5250">
      <c r="A5250" s="9"/>
      <c r="B5250" s="15"/>
      <c r="C5250" s="9">
        <f>IFERROR(__xludf.DUMMYFUNCTION("""COMPUTED_VALUE"""),44741.8932745254)</f>
        <v>44741.89327</v>
      </c>
      <c r="D5250" s="15">
        <f>IFERROR(__xludf.DUMMYFUNCTION("""COMPUTED_VALUE"""),1.004)</f>
        <v>1.004</v>
      </c>
      <c r="E5250" s="16">
        <f>IFERROR(__xludf.DUMMYFUNCTION("""COMPUTED_VALUE"""),70.0)</f>
        <v>70</v>
      </c>
      <c r="F5250" s="19" t="str">
        <f>IFERROR(__xludf.DUMMYFUNCTION("""COMPUTED_VALUE"""),"BLACK")</f>
        <v>BLACK</v>
      </c>
      <c r="G5250" s="20" t="str">
        <f>IFERROR(__xludf.DUMMYFUNCTION("""COMPUTED_VALUE"""),"Uncle Sams Cider (5/13/2022)")</f>
        <v>Uncle Sams Cider (5/13/2022)</v>
      </c>
      <c r="H5250" s="19"/>
    </row>
    <row r="5251">
      <c r="A5251" s="9"/>
      <c r="B5251" s="15"/>
      <c r="C5251" s="9">
        <f>IFERROR(__xludf.DUMMYFUNCTION("""COMPUTED_VALUE"""),44741.882841493)</f>
        <v>44741.88284</v>
      </c>
      <c r="D5251" s="15">
        <f>IFERROR(__xludf.DUMMYFUNCTION("""COMPUTED_VALUE"""),1.005)</f>
        <v>1.005</v>
      </c>
      <c r="E5251" s="16">
        <f>IFERROR(__xludf.DUMMYFUNCTION("""COMPUTED_VALUE"""),70.0)</f>
        <v>70</v>
      </c>
      <c r="F5251" s="19" t="str">
        <f>IFERROR(__xludf.DUMMYFUNCTION("""COMPUTED_VALUE"""),"BLACK")</f>
        <v>BLACK</v>
      </c>
      <c r="G5251" s="20" t="str">
        <f>IFERROR(__xludf.DUMMYFUNCTION("""COMPUTED_VALUE"""),"Uncle Sams Cider (5/13/2022)")</f>
        <v>Uncle Sams Cider (5/13/2022)</v>
      </c>
      <c r="H5251" s="19"/>
    </row>
    <row r="5252">
      <c r="A5252" s="9"/>
      <c r="B5252" s="15"/>
      <c r="C5252" s="9">
        <f>IFERROR(__xludf.DUMMYFUNCTION("""COMPUTED_VALUE"""),44741.8724194907)</f>
        <v>44741.87242</v>
      </c>
      <c r="D5252" s="15">
        <f>IFERROR(__xludf.DUMMYFUNCTION("""COMPUTED_VALUE"""),1.004)</f>
        <v>1.004</v>
      </c>
      <c r="E5252" s="16">
        <f>IFERROR(__xludf.DUMMYFUNCTION("""COMPUTED_VALUE"""),70.0)</f>
        <v>70</v>
      </c>
      <c r="F5252" s="19" t="str">
        <f>IFERROR(__xludf.DUMMYFUNCTION("""COMPUTED_VALUE"""),"BLACK")</f>
        <v>BLACK</v>
      </c>
      <c r="G5252" s="20" t="str">
        <f>IFERROR(__xludf.DUMMYFUNCTION("""COMPUTED_VALUE"""),"Uncle Sams Cider (5/13/2022)")</f>
        <v>Uncle Sams Cider (5/13/2022)</v>
      </c>
      <c r="H5252" s="19"/>
    </row>
    <row r="5253">
      <c r="A5253" s="9"/>
      <c r="B5253" s="15"/>
      <c r="C5253" s="9">
        <f>IFERROR(__xludf.DUMMYFUNCTION("""COMPUTED_VALUE"""),44741.8619987731)</f>
        <v>44741.862</v>
      </c>
      <c r="D5253" s="15">
        <f>IFERROR(__xludf.DUMMYFUNCTION("""COMPUTED_VALUE"""),1.005)</f>
        <v>1.005</v>
      </c>
      <c r="E5253" s="16">
        <f>IFERROR(__xludf.DUMMYFUNCTION("""COMPUTED_VALUE"""),70.0)</f>
        <v>70</v>
      </c>
      <c r="F5253" s="19" t="str">
        <f>IFERROR(__xludf.DUMMYFUNCTION("""COMPUTED_VALUE"""),"BLACK")</f>
        <v>BLACK</v>
      </c>
      <c r="G5253" s="20" t="str">
        <f>IFERROR(__xludf.DUMMYFUNCTION("""COMPUTED_VALUE"""),"Uncle Sams Cider (5/13/2022)")</f>
        <v>Uncle Sams Cider (5/13/2022)</v>
      </c>
      <c r="H5253" s="19"/>
    </row>
    <row r="5254">
      <c r="A5254" s="9"/>
      <c r="B5254" s="15"/>
      <c r="C5254" s="9">
        <f>IFERROR(__xludf.DUMMYFUNCTION("""COMPUTED_VALUE"""),44741.8515668171)</f>
        <v>44741.85157</v>
      </c>
      <c r="D5254" s="15">
        <f>IFERROR(__xludf.DUMMYFUNCTION("""COMPUTED_VALUE"""),1.005)</f>
        <v>1.005</v>
      </c>
      <c r="E5254" s="16">
        <f>IFERROR(__xludf.DUMMYFUNCTION("""COMPUTED_VALUE"""),70.0)</f>
        <v>70</v>
      </c>
      <c r="F5254" s="19" t="str">
        <f>IFERROR(__xludf.DUMMYFUNCTION("""COMPUTED_VALUE"""),"BLACK")</f>
        <v>BLACK</v>
      </c>
      <c r="G5254" s="20" t="str">
        <f>IFERROR(__xludf.DUMMYFUNCTION("""COMPUTED_VALUE"""),"Uncle Sams Cider (5/13/2022)")</f>
        <v>Uncle Sams Cider (5/13/2022)</v>
      </c>
      <c r="H5254" s="19"/>
    </row>
    <row r="5255">
      <c r="A5255" s="9"/>
      <c r="B5255" s="15"/>
      <c r="C5255" s="9">
        <f>IFERROR(__xludf.DUMMYFUNCTION("""COMPUTED_VALUE"""),44741.841132905)</f>
        <v>44741.84113</v>
      </c>
      <c r="D5255" s="15">
        <f>IFERROR(__xludf.DUMMYFUNCTION("""COMPUTED_VALUE"""),1.004)</f>
        <v>1.004</v>
      </c>
      <c r="E5255" s="16">
        <f>IFERROR(__xludf.DUMMYFUNCTION("""COMPUTED_VALUE"""),70.0)</f>
        <v>70</v>
      </c>
      <c r="F5255" s="19" t="str">
        <f>IFERROR(__xludf.DUMMYFUNCTION("""COMPUTED_VALUE"""),"BLACK")</f>
        <v>BLACK</v>
      </c>
      <c r="G5255" s="20" t="str">
        <f>IFERROR(__xludf.DUMMYFUNCTION("""COMPUTED_VALUE"""),"Uncle Sams Cider (5/13/2022)")</f>
        <v>Uncle Sams Cider (5/13/2022)</v>
      </c>
      <c r="H5255" s="19"/>
    </row>
    <row r="5256">
      <c r="A5256" s="9"/>
      <c r="B5256" s="15"/>
      <c r="C5256" s="9">
        <f>IFERROR(__xludf.DUMMYFUNCTION("""COMPUTED_VALUE"""),44741.8307125694)</f>
        <v>44741.83071</v>
      </c>
      <c r="D5256" s="15">
        <f>IFERROR(__xludf.DUMMYFUNCTION("""COMPUTED_VALUE"""),1.004)</f>
        <v>1.004</v>
      </c>
      <c r="E5256" s="16">
        <f>IFERROR(__xludf.DUMMYFUNCTION("""COMPUTED_VALUE"""),70.0)</f>
        <v>70</v>
      </c>
      <c r="F5256" s="19" t="str">
        <f>IFERROR(__xludf.DUMMYFUNCTION("""COMPUTED_VALUE"""),"BLACK")</f>
        <v>BLACK</v>
      </c>
      <c r="G5256" s="20" t="str">
        <f>IFERROR(__xludf.DUMMYFUNCTION("""COMPUTED_VALUE"""),"Uncle Sams Cider (5/13/2022)")</f>
        <v>Uncle Sams Cider (5/13/2022)</v>
      </c>
      <c r="H5256" s="19"/>
    </row>
    <row r="5257">
      <c r="A5257" s="9"/>
      <c r="B5257" s="15"/>
      <c r="C5257" s="9">
        <f>IFERROR(__xludf.DUMMYFUNCTION("""COMPUTED_VALUE"""),44741.8202908449)</f>
        <v>44741.82029</v>
      </c>
      <c r="D5257" s="15">
        <f>IFERROR(__xludf.DUMMYFUNCTION("""COMPUTED_VALUE"""),1.004)</f>
        <v>1.004</v>
      </c>
      <c r="E5257" s="16">
        <f>IFERROR(__xludf.DUMMYFUNCTION("""COMPUTED_VALUE"""),70.0)</f>
        <v>70</v>
      </c>
      <c r="F5257" s="19" t="str">
        <f>IFERROR(__xludf.DUMMYFUNCTION("""COMPUTED_VALUE"""),"BLACK")</f>
        <v>BLACK</v>
      </c>
      <c r="G5257" s="20" t="str">
        <f>IFERROR(__xludf.DUMMYFUNCTION("""COMPUTED_VALUE"""),"Uncle Sams Cider (5/13/2022)")</f>
        <v>Uncle Sams Cider (5/13/2022)</v>
      </c>
      <c r="H5257" s="19"/>
    </row>
    <row r="5258">
      <c r="A5258" s="9"/>
      <c r="B5258" s="15"/>
      <c r="C5258" s="9">
        <f>IFERROR(__xludf.DUMMYFUNCTION("""COMPUTED_VALUE"""),44741.8098692939)</f>
        <v>44741.80987</v>
      </c>
      <c r="D5258" s="15">
        <f>IFERROR(__xludf.DUMMYFUNCTION("""COMPUTED_VALUE"""),1.004)</f>
        <v>1.004</v>
      </c>
      <c r="E5258" s="16">
        <f>IFERROR(__xludf.DUMMYFUNCTION("""COMPUTED_VALUE"""),70.0)</f>
        <v>70</v>
      </c>
      <c r="F5258" s="19" t="str">
        <f>IFERROR(__xludf.DUMMYFUNCTION("""COMPUTED_VALUE"""),"BLACK")</f>
        <v>BLACK</v>
      </c>
      <c r="G5258" s="20" t="str">
        <f>IFERROR(__xludf.DUMMYFUNCTION("""COMPUTED_VALUE"""),"Uncle Sams Cider (5/13/2022)")</f>
        <v>Uncle Sams Cider (5/13/2022)</v>
      </c>
      <c r="H5258" s="19"/>
    </row>
    <row r="5259">
      <c r="A5259" s="9"/>
      <c r="B5259" s="15"/>
      <c r="C5259" s="9">
        <f>IFERROR(__xludf.DUMMYFUNCTION("""COMPUTED_VALUE"""),44741.79945)</f>
        <v>44741.79945</v>
      </c>
      <c r="D5259" s="15">
        <f>IFERROR(__xludf.DUMMYFUNCTION("""COMPUTED_VALUE"""),1.004)</f>
        <v>1.004</v>
      </c>
      <c r="E5259" s="16">
        <f>IFERROR(__xludf.DUMMYFUNCTION("""COMPUTED_VALUE"""),70.0)</f>
        <v>70</v>
      </c>
      <c r="F5259" s="19" t="str">
        <f>IFERROR(__xludf.DUMMYFUNCTION("""COMPUTED_VALUE"""),"BLACK")</f>
        <v>BLACK</v>
      </c>
      <c r="G5259" s="20" t="str">
        <f>IFERROR(__xludf.DUMMYFUNCTION("""COMPUTED_VALUE"""),"Uncle Sams Cider (5/13/2022)")</f>
        <v>Uncle Sams Cider (5/13/2022)</v>
      </c>
      <c r="H5259" s="19"/>
    </row>
    <row r="5260">
      <c r="A5260" s="9"/>
      <c r="B5260" s="15"/>
      <c r="C5260" s="9">
        <f>IFERROR(__xludf.DUMMYFUNCTION("""COMPUTED_VALUE"""),44741.789029074)</f>
        <v>44741.78903</v>
      </c>
      <c r="D5260" s="15">
        <f>IFERROR(__xludf.DUMMYFUNCTION("""COMPUTED_VALUE"""),1.005)</f>
        <v>1.005</v>
      </c>
      <c r="E5260" s="16">
        <f>IFERROR(__xludf.DUMMYFUNCTION("""COMPUTED_VALUE"""),70.0)</f>
        <v>70</v>
      </c>
      <c r="F5260" s="19" t="str">
        <f>IFERROR(__xludf.DUMMYFUNCTION("""COMPUTED_VALUE"""),"BLACK")</f>
        <v>BLACK</v>
      </c>
      <c r="G5260" s="20" t="str">
        <f>IFERROR(__xludf.DUMMYFUNCTION("""COMPUTED_VALUE"""),"Uncle Sams Cider (5/13/2022)")</f>
        <v>Uncle Sams Cider (5/13/2022)</v>
      </c>
      <c r="H5260" s="19"/>
    </row>
    <row r="5261">
      <c r="A5261" s="9"/>
      <c r="B5261" s="15"/>
      <c r="C5261" s="9">
        <f>IFERROR(__xludf.DUMMYFUNCTION("""COMPUTED_VALUE"""),44741.7785967939)</f>
        <v>44741.7786</v>
      </c>
      <c r="D5261" s="15">
        <f>IFERROR(__xludf.DUMMYFUNCTION("""COMPUTED_VALUE"""),1.004)</f>
        <v>1.004</v>
      </c>
      <c r="E5261" s="16">
        <f>IFERROR(__xludf.DUMMYFUNCTION("""COMPUTED_VALUE"""),70.0)</f>
        <v>70</v>
      </c>
      <c r="F5261" s="19" t="str">
        <f>IFERROR(__xludf.DUMMYFUNCTION("""COMPUTED_VALUE"""),"BLACK")</f>
        <v>BLACK</v>
      </c>
      <c r="G5261" s="20" t="str">
        <f>IFERROR(__xludf.DUMMYFUNCTION("""COMPUTED_VALUE"""),"Uncle Sams Cider (5/13/2022)")</f>
        <v>Uncle Sams Cider (5/13/2022)</v>
      </c>
      <c r="H5261" s="19"/>
    </row>
    <row r="5262">
      <c r="A5262" s="9"/>
      <c r="B5262" s="15"/>
      <c r="C5262" s="9">
        <f>IFERROR(__xludf.DUMMYFUNCTION("""COMPUTED_VALUE"""),44741.7681646064)</f>
        <v>44741.76816</v>
      </c>
      <c r="D5262" s="15">
        <f>IFERROR(__xludf.DUMMYFUNCTION("""COMPUTED_VALUE"""),1.004)</f>
        <v>1.004</v>
      </c>
      <c r="E5262" s="16">
        <f>IFERROR(__xludf.DUMMYFUNCTION("""COMPUTED_VALUE"""),70.0)</f>
        <v>70</v>
      </c>
      <c r="F5262" s="19" t="str">
        <f>IFERROR(__xludf.DUMMYFUNCTION("""COMPUTED_VALUE"""),"BLACK")</f>
        <v>BLACK</v>
      </c>
      <c r="G5262" s="20" t="str">
        <f>IFERROR(__xludf.DUMMYFUNCTION("""COMPUTED_VALUE"""),"Uncle Sams Cider (5/13/2022)")</f>
        <v>Uncle Sams Cider (5/13/2022)</v>
      </c>
      <c r="H5262" s="19"/>
    </row>
    <row r="5263">
      <c r="A5263" s="9"/>
      <c r="B5263" s="15"/>
      <c r="C5263" s="9">
        <f>IFERROR(__xludf.DUMMYFUNCTION("""COMPUTED_VALUE"""),44741.7577443171)</f>
        <v>44741.75774</v>
      </c>
      <c r="D5263" s="15">
        <f>IFERROR(__xludf.DUMMYFUNCTION("""COMPUTED_VALUE"""),1.005)</f>
        <v>1.005</v>
      </c>
      <c r="E5263" s="16">
        <f>IFERROR(__xludf.DUMMYFUNCTION("""COMPUTED_VALUE"""),70.0)</f>
        <v>70</v>
      </c>
      <c r="F5263" s="19" t="str">
        <f>IFERROR(__xludf.DUMMYFUNCTION("""COMPUTED_VALUE"""),"BLACK")</f>
        <v>BLACK</v>
      </c>
      <c r="G5263" s="20" t="str">
        <f>IFERROR(__xludf.DUMMYFUNCTION("""COMPUTED_VALUE"""),"Uncle Sams Cider (5/13/2022)")</f>
        <v>Uncle Sams Cider (5/13/2022)</v>
      </c>
      <c r="H5263" s="19"/>
    </row>
    <row r="5264">
      <c r="A5264" s="9"/>
      <c r="B5264" s="15"/>
      <c r="C5264" s="9">
        <f>IFERROR(__xludf.DUMMYFUNCTION("""COMPUTED_VALUE"""),44741.7473226157)</f>
        <v>44741.74732</v>
      </c>
      <c r="D5264" s="15">
        <f>IFERROR(__xludf.DUMMYFUNCTION("""COMPUTED_VALUE"""),1.005)</f>
        <v>1.005</v>
      </c>
      <c r="E5264" s="16">
        <f>IFERROR(__xludf.DUMMYFUNCTION("""COMPUTED_VALUE"""),70.0)</f>
        <v>70</v>
      </c>
      <c r="F5264" s="19" t="str">
        <f>IFERROR(__xludf.DUMMYFUNCTION("""COMPUTED_VALUE"""),"BLACK")</f>
        <v>BLACK</v>
      </c>
      <c r="G5264" s="20" t="str">
        <f>IFERROR(__xludf.DUMMYFUNCTION("""COMPUTED_VALUE"""),"Uncle Sams Cider (5/13/2022)")</f>
        <v>Uncle Sams Cider (5/13/2022)</v>
      </c>
      <c r="H5264" s="19"/>
    </row>
    <row r="5265">
      <c r="A5265" s="9"/>
      <c r="B5265" s="15"/>
      <c r="C5265" s="9">
        <f>IFERROR(__xludf.DUMMYFUNCTION("""COMPUTED_VALUE"""),44741.736902581)</f>
        <v>44741.7369</v>
      </c>
      <c r="D5265" s="15">
        <f>IFERROR(__xludf.DUMMYFUNCTION("""COMPUTED_VALUE"""),1.005)</f>
        <v>1.005</v>
      </c>
      <c r="E5265" s="16">
        <f>IFERROR(__xludf.DUMMYFUNCTION("""COMPUTED_VALUE"""),70.0)</f>
        <v>70</v>
      </c>
      <c r="F5265" s="19" t="str">
        <f>IFERROR(__xludf.DUMMYFUNCTION("""COMPUTED_VALUE"""),"BLACK")</f>
        <v>BLACK</v>
      </c>
      <c r="G5265" s="20" t="str">
        <f>IFERROR(__xludf.DUMMYFUNCTION("""COMPUTED_VALUE"""),"Uncle Sams Cider (5/13/2022)")</f>
        <v>Uncle Sams Cider (5/13/2022)</v>
      </c>
      <c r="H5265" s="19"/>
    </row>
    <row r="5266">
      <c r="A5266" s="9"/>
      <c r="B5266" s="15"/>
      <c r="C5266" s="9">
        <f>IFERROR(__xludf.DUMMYFUNCTION("""COMPUTED_VALUE"""),44741.7264825578)</f>
        <v>44741.72648</v>
      </c>
      <c r="D5266" s="15">
        <f>IFERROR(__xludf.DUMMYFUNCTION("""COMPUTED_VALUE"""),1.005)</f>
        <v>1.005</v>
      </c>
      <c r="E5266" s="16">
        <f>IFERROR(__xludf.DUMMYFUNCTION("""COMPUTED_VALUE"""),70.0)</f>
        <v>70</v>
      </c>
      <c r="F5266" s="19" t="str">
        <f>IFERROR(__xludf.DUMMYFUNCTION("""COMPUTED_VALUE"""),"BLACK")</f>
        <v>BLACK</v>
      </c>
      <c r="G5266" s="20" t="str">
        <f>IFERROR(__xludf.DUMMYFUNCTION("""COMPUTED_VALUE"""),"Uncle Sams Cider (5/13/2022)")</f>
        <v>Uncle Sams Cider (5/13/2022)</v>
      </c>
      <c r="H5266" s="19"/>
    </row>
    <row r="5267">
      <c r="A5267" s="9"/>
      <c r="B5267" s="15"/>
      <c r="C5267" s="9">
        <f>IFERROR(__xludf.DUMMYFUNCTION("""COMPUTED_VALUE"""),44741.7160615509)</f>
        <v>44741.71606</v>
      </c>
      <c r="D5267" s="15">
        <f>IFERROR(__xludf.DUMMYFUNCTION("""COMPUTED_VALUE"""),1.005)</f>
        <v>1.005</v>
      </c>
      <c r="E5267" s="16">
        <f>IFERROR(__xludf.DUMMYFUNCTION("""COMPUTED_VALUE"""),70.0)</f>
        <v>70</v>
      </c>
      <c r="F5267" s="19" t="str">
        <f>IFERROR(__xludf.DUMMYFUNCTION("""COMPUTED_VALUE"""),"BLACK")</f>
        <v>BLACK</v>
      </c>
      <c r="G5267" s="20" t="str">
        <f>IFERROR(__xludf.DUMMYFUNCTION("""COMPUTED_VALUE"""),"Uncle Sams Cider (5/13/2022)")</f>
        <v>Uncle Sams Cider (5/13/2022)</v>
      </c>
      <c r="H5267" s="19"/>
    </row>
    <row r="5268">
      <c r="A5268" s="9"/>
      <c r="B5268" s="15"/>
      <c r="C5268" s="9">
        <f>IFERROR(__xludf.DUMMYFUNCTION("""COMPUTED_VALUE"""),44741.7056408333)</f>
        <v>44741.70564</v>
      </c>
      <c r="D5268" s="15">
        <f>IFERROR(__xludf.DUMMYFUNCTION("""COMPUTED_VALUE"""),1.005)</f>
        <v>1.005</v>
      </c>
      <c r="E5268" s="16">
        <f>IFERROR(__xludf.DUMMYFUNCTION("""COMPUTED_VALUE"""),70.0)</f>
        <v>70</v>
      </c>
      <c r="F5268" s="19" t="str">
        <f>IFERROR(__xludf.DUMMYFUNCTION("""COMPUTED_VALUE"""),"BLACK")</f>
        <v>BLACK</v>
      </c>
      <c r="G5268" s="20" t="str">
        <f>IFERROR(__xludf.DUMMYFUNCTION("""COMPUTED_VALUE"""),"Uncle Sams Cider (5/13/2022)")</f>
        <v>Uncle Sams Cider (5/13/2022)</v>
      </c>
      <c r="H5268" s="19"/>
    </row>
    <row r="5269">
      <c r="A5269" s="9"/>
      <c r="B5269" s="15"/>
      <c r="C5269" s="9">
        <f>IFERROR(__xludf.DUMMYFUNCTION("""COMPUTED_VALUE"""),44741.6952186921)</f>
        <v>44741.69522</v>
      </c>
      <c r="D5269" s="15">
        <f>IFERROR(__xludf.DUMMYFUNCTION("""COMPUTED_VALUE"""),1.005)</f>
        <v>1.005</v>
      </c>
      <c r="E5269" s="16">
        <f>IFERROR(__xludf.DUMMYFUNCTION("""COMPUTED_VALUE"""),70.0)</f>
        <v>70</v>
      </c>
      <c r="F5269" s="19" t="str">
        <f>IFERROR(__xludf.DUMMYFUNCTION("""COMPUTED_VALUE"""),"BLACK")</f>
        <v>BLACK</v>
      </c>
      <c r="G5269" s="20" t="str">
        <f>IFERROR(__xludf.DUMMYFUNCTION("""COMPUTED_VALUE"""),"Uncle Sams Cider (5/13/2022)")</f>
        <v>Uncle Sams Cider (5/13/2022)</v>
      </c>
      <c r="H5269" s="19"/>
    </row>
    <row r="5270">
      <c r="A5270" s="9"/>
      <c r="B5270" s="15"/>
      <c r="C5270" s="9">
        <f>IFERROR(__xludf.DUMMYFUNCTION("""COMPUTED_VALUE"""),44741.6847994212)</f>
        <v>44741.6848</v>
      </c>
      <c r="D5270" s="15">
        <f>IFERROR(__xludf.DUMMYFUNCTION("""COMPUTED_VALUE"""),1.005)</f>
        <v>1.005</v>
      </c>
      <c r="E5270" s="16">
        <f>IFERROR(__xludf.DUMMYFUNCTION("""COMPUTED_VALUE"""),69.0)</f>
        <v>69</v>
      </c>
      <c r="F5270" s="19" t="str">
        <f>IFERROR(__xludf.DUMMYFUNCTION("""COMPUTED_VALUE"""),"BLACK")</f>
        <v>BLACK</v>
      </c>
      <c r="G5270" s="20" t="str">
        <f>IFERROR(__xludf.DUMMYFUNCTION("""COMPUTED_VALUE"""),"Uncle Sams Cider (5/13/2022)")</f>
        <v>Uncle Sams Cider (5/13/2022)</v>
      </c>
      <c r="H5270" s="19"/>
    </row>
    <row r="5271">
      <c r="A5271" s="9"/>
      <c r="B5271" s="15"/>
      <c r="C5271" s="9">
        <f>IFERROR(__xludf.DUMMYFUNCTION("""COMPUTED_VALUE"""),44741.674378993)</f>
        <v>44741.67438</v>
      </c>
      <c r="D5271" s="15">
        <f>IFERROR(__xludf.DUMMYFUNCTION("""COMPUTED_VALUE"""),1.005)</f>
        <v>1.005</v>
      </c>
      <c r="E5271" s="16">
        <f>IFERROR(__xludf.DUMMYFUNCTION("""COMPUTED_VALUE"""),70.0)</f>
        <v>70</v>
      </c>
      <c r="F5271" s="19" t="str">
        <f>IFERROR(__xludf.DUMMYFUNCTION("""COMPUTED_VALUE"""),"BLACK")</f>
        <v>BLACK</v>
      </c>
      <c r="G5271" s="20" t="str">
        <f>IFERROR(__xludf.DUMMYFUNCTION("""COMPUTED_VALUE"""),"Uncle Sams Cider (5/13/2022)")</f>
        <v>Uncle Sams Cider (5/13/2022)</v>
      </c>
      <c r="H5271" s="19"/>
    </row>
    <row r="5272">
      <c r="A5272" s="9"/>
      <c r="B5272" s="15"/>
      <c r="C5272" s="9">
        <f>IFERROR(__xludf.DUMMYFUNCTION("""COMPUTED_VALUE"""),44741.6639592824)</f>
        <v>44741.66396</v>
      </c>
      <c r="D5272" s="15">
        <f>IFERROR(__xludf.DUMMYFUNCTION("""COMPUTED_VALUE"""),1.005)</f>
        <v>1.005</v>
      </c>
      <c r="E5272" s="16">
        <f>IFERROR(__xludf.DUMMYFUNCTION("""COMPUTED_VALUE"""),70.0)</f>
        <v>70</v>
      </c>
      <c r="F5272" s="19" t="str">
        <f>IFERROR(__xludf.DUMMYFUNCTION("""COMPUTED_VALUE"""),"BLACK")</f>
        <v>BLACK</v>
      </c>
      <c r="G5272" s="20" t="str">
        <f>IFERROR(__xludf.DUMMYFUNCTION("""COMPUTED_VALUE"""),"Uncle Sams Cider (5/13/2022)")</f>
        <v>Uncle Sams Cider (5/13/2022)</v>
      </c>
      <c r="H5272" s="19"/>
    </row>
    <row r="5273">
      <c r="A5273" s="9"/>
      <c r="B5273" s="15"/>
      <c r="C5273" s="9">
        <f>IFERROR(__xludf.DUMMYFUNCTION("""COMPUTED_VALUE"""),44741.6535370717)</f>
        <v>44741.65354</v>
      </c>
      <c r="D5273" s="15">
        <f>IFERROR(__xludf.DUMMYFUNCTION("""COMPUTED_VALUE"""),1.005)</f>
        <v>1.005</v>
      </c>
      <c r="E5273" s="16">
        <f>IFERROR(__xludf.DUMMYFUNCTION("""COMPUTED_VALUE"""),70.0)</f>
        <v>70</v>
      </c>
      <c r="F5273" s="19" t="str">
        <f>IFERROR(__xludf.DUMMYFUNCTION("""COMPUTED_VALUE"""),"BLACK")</f>
        <v>BLACK</v>
      </c>
      <c r="G5273" s="20" t="str">
        <f>IFERROR(__xludf.DUMMYFUNCTION("""COMPUTED_VALUE"""),"Uncle Sams Cider (5/13/2022)")</f>
        <v>Uncle Sams Cider (5/13/2022)</v>
      </c>
      <c r="H5273" s="19"/>
    </row>
    <row r="5274">
      <c r="A5274" s="9"/>
      <c r="B5274" s="15"/>
      <c r="C5274" s="9">
        <f>IFERROR(__xludf.DUMMYFUNCTION("""COMPUTED_VALUE"""),44741.6431151273)</f>
        <v>44741.64312</v>
      </c>
      <c r="D5274" s="15">
        <f>IFERROR(__xludf.DUMMYFUNCTION("""COMPUTED_VALUE"""),1.005)</f>
        <v>1.005</v>
      </c>
      <c r="E5274" s="16">
        <f>IFERROR(__xludf.DUMMYFUNCTION("""COMPUTED_VALUE"""),70.0)</f>
        <v>70</v>
      </c>
      <c r="F5274" s="19" t="str">
        <f>IFERROR(__xludf.DUMMYFUNCTION("""COMPUTED_VALUE"""),"BLACK")</f>
        <v>BLACK</v>
      </c>
      <c r="G5274" s="20" t="str">
        <f>IFERROR(__xludf.DUMMYFUNCTION("""COMPUTED_VALUE"""),"Uncle Sams Cider (5/13/2022)")</f>
        <v>Uncle Sams Cider (5/13/2022)</v>
      </c>
      <c r="H5274" s="19"/>
    </row>
    <row r="5275">
      <c r="A5275" s="9"/>
      <c r="B5275" s="15"/>
      <c r="C5275" s="9">
        <f>IFERROR(__xludf.DUMMYFUNCTION("""COMPUTED_VALUE"""),44741.6326949421)</f>
        <v>44741.63269</v>
      </c>
      <c r="D5275" s="15">
        <f>IFERROR(__xludf.DUMMYFUNCTION("""COMPUTED_VALUE"""),1.005)</f>
        <v>1.005</v>
      </c>
      <c r="E5275" s="16">
        <f>IFERROR(__xludf.DUMMYFUNCTION("""COMPUTED_VALUE"""),70.0)</f>
        <v>70</v>
      </c>
      <c r="F5275" s="19" t="str">
        <f>IFERROR(__xludf.DUMMYFUNCTION("""COMPUTED_VALUE"""),"BLACK")</f>
        <v>BLACK</v>
      </c>
      <c r="G5275" s="20" t="str">
        <f>IFERROR(__xludf.DUMMYFUNCTION("""COMPUTED_VALUE"""),"Uncle Sams Cider (5/13/2022)")</f>
        <v>Uncle Sams Cider (5/13/2022)</v>
      </c>
      <c r="H5275" s="19"/>
    </row>
    <row r="5276">
      <c r="A5276" s="9"/>
      <c r="B5276" s="15"/>
      <c r="C5276" s="9">
        <f>IFERROR(__xludf.DUMMYFUNCTION("""COMPUTED_VALUE"""),44741.6222730439)</f>
        <v>44741.62227</v>
      </c>
      <c r="D5276" s="15">
        <f>IFERROR(__xludf.DUMMYFUNCTION("""COMPUTED_VALUE"""),1.005)</f>
        <v>1.005</v>
      </c>
      <c r="E5276" s="16">
        <f>IFERROR(__xludf.DUMMYFUNCTION("""COMPUTED_VALUE"""),70.0)</f>
        <v>70</v>
      </c>
      <c r="F5276" s="19" t="str">
        <f>IFERROR(__xludf.DUMMYFUNCTION("""COMPUTED_VALUE"""),"BLACK")</f>
        <v>BLACK</v>
      </c>
      <c r="G5276" s="20" t="str">
        <f>IFERROR(__xludf.DUMMYFUNCTION("""COMPUTED_VALUE"""),"Uncle Sams Cider (5/13/2022)")</f>
        <v>Uncle Sams Cider (5/13/2022)</v>
      </c>
      <c r="H5276" s="19"/>
    </row>
    <row r="5277">
      <c r="A5277" s="9"/>
      <c r="B5277" s="15"/>
      <c r="C5277" s="9">
        <f>IFERROR(__xludf.DUMMYFUNCTION("""COMPUTED_VALUE"""),44741.6118512268)</f>
        <v>44741.61185</v>
      </c>
      <c r="D5277" s="15">
        <f>IFERROR(__xludf.DUMMYFUNCTION("""COMPUTED_VALUE"""),1.004)</f>
        <v>1.004</v>
      </c>
      <c r="E5277" s="16">
        <f>IFERROR(__xludf.DUMMYFUNCTION("""COMPUTED_VALUE"""),70.0)</f>
        <v>70</v>
      </c>
      <c r="F5277" s="19" t="str">
        <f>IFERROR(__xludf.DUMMYFUNCTION("""COMPUTED_VALUE"""),"BLACK")</f>
        <v>BLACK</v>
      </c>
      <c r="G5277" s="20" t="str">
        <f>IFERROR(__xludf.DUMMYFUNCTION("""COMPUTED_VALUE"""),"Uncle Sams Cider (5/13/2022)")</f>
        <v>Uncle Sams Cider (5/13/2022)</v>
      </c>
      <c r="H5277" s="19"/>
    </row>
    <row r="5278">
      <c r="A5278" s="9"/>
      <c r="B5278" s="15"/>
      <c r="C5278" s="9">
        <f>IFERROR(__xludf.DUMMYFUNCTION("""COMPUTED_VALUE"""),44741.6014303125)</f>
        <v>44741.60143</v>
      </c>
      <c r="D5278" s="15">
        <f>IFERROR(__xludf.DUMMYFUNCTION("""COMPUTED_VALUE"""),1.005)</f>
        <v>1.005</v>
      </c>
      <c r="E5278" s="16">
        <f>IFERROR(__xludf.DUMMYFUNCTION("""COMPUTED_VALUE"""),69.0)</f>
        <v>69</v>
      </c>
      <c r="F5278" s="19" t="str">
        <f>IFERROR(__xludf.DUMMYFUNCTION("""COMPUTED_VALUE"""),"BLACK")</f>
        <v>BLACK</v>
      </c>
      <c r="G5278" s="20" t="str">
        <f>IFERROR(__xludf.DUMMYFUNCTION("""COMPUTED_VALUE"""),"Uncle Sams Cider (5/13/2022)")</f>
        <v>Uncle Sams Cider (5/13/2022)</v>
      </c>
      <c r="H5278" s="19"/>
    </row>
    <row r="5279">
      <c r="A5279" s="9"/>
      <c r="B5279" s="15"/>
      <c r="C5279" s="9">
        <f>IFERROR(__xludf.DUMMYFUNCTION("""COMPUTED_VALUE"""),44741.5909981018)</f>
        <v>44741.591</v>
      </c>
      <c r="D5279" s="15">
        <f>IFERROR(__xludf.DUMMYFUNCTION("""COMPUTED_VALUE"""),1.004)</f>
        <v>1.004</v>
      </c>
      <c r="E5279" s="16">
        <f>IFERROR(__xludf.DUMMYFUNCTION("""COMPUTED_VALUE"""),70.0)</f>
        <v>70</v>
      </c>
      <c r="F5279" s="19" t="str">
        <f>IFERROR(__xludf.DUMMYFUNCTION("""COMPUTED_VALUE"""),"BLACK")</f>
        <v>BLACK</v>
      </c>
      <c r="G5279" s="20" t="str">
        <f>IFERROR(__xludf.DUMMYFUNCTION("""COMPUTED_VALUE"""),"Uncle Sams Cider (5/13/2022)")</f>
        <v>Uncle Sams Cider (5/13/2022)</v>
      </c>
      <c r="H5279" s="19"/>
    </row>
    <row r="5280">
      <c r="A5280" s="9"/>
      <c r="B5280" s="15"/>
      <c r="C5280" s="9">
        <f>IFERROR(__xludf.DUMMYFUNCTION("""COMPUTED_VALUE"""),44741.5805757638)</f>
        <v>44741.58058</v>
      </c>
      <c r="D5280" s="15">
        <f>IFERROR(__xludf.DUMMYFUNCTION("""COMPUTED_VALUE"""),1.005)</f>
        <v>1.005</v>
      </c>
      <c r="E5280" s="16">
        <f>IFERROR(__xludf.DUMMYFUNCTION("""COMPUTED_VALUE"""),69.0)</f>
        <v>69</v>
      </c>
      <c r="F5280" s="19" t="str">
        <f>IFERROR(__xludf.DUMMYFUNCTION("""COMPUTED_VALUE"""),"BLACK")</f>
        <v>BLACK</v>
      </c>
      <c r="G5280" s="20" t="str">
        <f>IFERROR(__xludf.DUMMYFUNCTION("""COMPUTED_VALUE"""),"Uncle Sams Cider (5/13/2022)")</f>
        <v>Uncle Sams Cider (5/13/2022)</v>
      </c>
      <c r="H5280" s="19"/>
    </row>
    <row r="5281">
      <c r="A5281" s="9"/>
      <c r="B5281" s="15"/>
      <c r="C5281" s="9">
        <f>IFERROR(__xludf.DUMMYFUNCTION("""COMPUTED_VALUE"""),44741.570155)</f>
        <v>44741.57016</v>
      </c>
      <c r="D5281" s="15">
        <f>IFERROR(__xludf.DUMMYFUNCTION("""COMPUTED_VALUE"""),1.005)</f>
        <v>1.005</v>
      </c>
      <c r="E5281" s="16">
        <f>IFERROR(__xludf.DUMMYFUNCTION("""COMPUTED_VALUE"""),69.0)</f>
        <v>69</v>
      </c>
      <c r="F5281" s="19" t="str">
        <f>IFERROR(__xludf.DUMMYFUNCTION("""COMPUTED_VALUE"""),"BLACK")</f>
        <v>BLACK</v>
      </c>
      <c r="G5281" s="20" t="str">
        <f>IFERROR(__xludf.DUMMYFUNCTION("""COMPUTED_VALUE"""),"Uncle Sams Cider (5/13/2022)")</f>
        <v>Uncle Sams Cider (5/13/2022)</v>
      </c>
      <c r="H5281" s="19"/>
    </row>
    <row r="5282">
      <c r="A5282" s="9"/>
      <c r="B5282" s="15"/>
      <c r="C5282" s="9">
        <f>IFERROR(__xludf.DUMMYFUNCTION("""COMPUTED_VALUE"""),44741.5597343981)</f>
        <v>44741.55973</v>
      </c>
      <c r="D5282" s="15">
        <f>IFERROR(__xludf.DUMMYFUNCTION("""COMPUTED_VALUE"""),1.004)</f>
        <v>1.004</v>
      </c>
      <c r="E5282" s="16">
        <f>IFERROR(__xludf.DUMMYFUNCTION("""COMPUTED_VALUE"""),69.0)</f>
        <v>69</v>
      </c>
      <c r="F5282" s="19" t="str">
        <f>IFERROR(__xludf.DUMMYFUNCTION("""COMPUTED_VALUE"""),"BLACK")</f>
        <v>BLACK</v>
      </c>
      <c r="G5282" s="20" t="str">
        <f>IFERROR(__xludf.DUMMYFUNCTION("""COMPUTED_VALUE"""),"Uncle Sams Cider (5/13/2022)")</f>
        <v>Uncle Sams Cider (5/13/2022)</v>
      </c>
      <c r="H5282" s="19"/>
    </row>
    <row r="5283">
      <c r="A5283" s="9"/>
      <c r="B5283" s="15"/>
      <c r="C5283" s="9">
        <f>IFERROR(__xludf.DUMMYFUNCTION("""COMPUTED_VALUE"""),44741.5493121296)</f>
        <v>44741.54931</v>
      </c>
      <c r="D5283" s="15">
        <f>IFERROR(__xludf.DUMMYFUNCTION("""COMPUTED_VALUE"""),1.004)</f>
        <v>1.004</v>
      </c>
      <c r="E5283" s="16">
        <f>IFERROR(__xludf.DUMMYFUNCTION("""COMPUTED_VALUE"""),69.0)</f>
        <v>69</v>
      </c>
      <c r="F5283" s="19" t="str">
        <f>IFERROR(__xludf.DUMMYFUNCTION("""COMPUTED_VALUE"""),"BLACK")</f>
        <v>BLACK</v>
      </c>
      <c r="G5283" s="20" t="str">
        <f>IFERROR(__xludf.DUMMYFUNCTION("""COMPUTED_VALUE"""),"Uncle Sams Cider (5/13/2022)")</f>
        <v>Uncle Sams Cider (5/13/2022)</v>
      </c>
      <c r="H5283" s="19"/>
    </row>
    <row r="5284">
      <c r="A5284" s="9"/>
      <c r="B5284" s="15"/>
      <c r="C5284" s="9">
        <f>IFERROR(__xludf.DUMMYFUNCTION("""COMPUTED_VALUE"""),44741.5388818402)</f>
        <v>44741.53888</v>
      </c>
      <c r="D5284" s="15">
        <f>IFERROR(__xludf.DUMMYFUNCTION("""COMPUTED_VALUE"""),1.005)</f>
        <v>1.005</v>
      </c>
      <c r="E5284" s="16">
        <f>IFERROR(__xludf.DUMMYFUNCTION("""COMPUTED_VALUE"""),69.0)</f>
        <v>69</v>
      </c>
      <c r="F5284" s="19" t="str">
        <f>IFERROR(__xludf.DUMMYFUNCTION("""COMPUTED_VALUE"""),"BLACK")</f>
        <v>BLACK</v>
      </c>
      <c r="G5284" s="20" t="str">
        <f>IFERROR(__xludf.DUMMYFUNCTION("""COMPUTED_VALUE"""),"Uncle Sams Cider (5/13/2022)")</f>
        <v>Uncle Sams Cider (5/13/2022)</v>
      </c>
      <c r="H5284" s="19"/>
    </row>
    <row r="5285">
      <c r="A5285" s="9"/>
      <c r="B5285" s="15"/>
      <c r="C5285" s="9">
        <f>IFERROR(__xludf.DUMMYFUNCTION("""COMPUTED_VALUE"""),44741.5284583912)</f>
        <v>44741.52846</v>
      </c>
      <c r="D5285" s="15">
        <f>IFERROR(__xludf.DUMMYFUNCTION("""COMPUTED_VALUE"""),1.005)</f>
        <v>1.005</v>
      </c>
      <c r="E5285" s="16">
        <f>IFERROR(__xludf.DUMMYFUNCTION("""COMPUTED_VALUE"""),69.0)</f>
        <v>69</v>
      </c>
      <c r="F5285" s="19" t="str">
        <f>IFERROR(__xludf.DUMMYFUNCTION("""COMPUTED_VALUE"""),"BLACK")</f>
        <v>BLACK</v>
      </c>
      <c r="G5285" s="20" t="str">
        <f>IFERROR(__xludf.DUMMYFUNCTION("""COMPUTED_VALUE"""),"Uncle Sams Cider (5/13/2022)")</f>
        <v>Uncle Sams Cider (5/13/2022)</v>
      </c>
      <c r="H5285" s="19"/>
    </row>
    <row r="5286">
      <c r="A5286" s="9"/>
      <c r="B5286" s="15"/>
      <c r="C5286" s="9">
        <f>IFERROR(__xludf.DUMMYFUNCTION("""COMPUTED_VALUE"""),44741.5180366435)</f>
        <v>44741.51804</v>
      </c>
      <c r="D5286" s="15">
        <f>IFERROR(__xludf.DUMMYFUNCTION("""COMPUTED_VALUE"""),1.004)</f>
        <v>1.004</v>
      </c>
      <c r="E5286" s="16">
        <f>IFERROR(__xludf.DUMMYFUNCTION("""COMPUTED_VALUE"""),69.0)</f>
        <v>69</v>
      </c>
      <c r="F5286" s="19" t="str">
        <f>IFERROR(__xludf.DUMMYFUNCTION("""COMPUTED_VALUE"""),"BLACK")</f>
        <v>BLACK</v>
      </c>
      <c r="G5286" s="20" t="str">
        <f>IFERROR(__xludf.DUMMYFUNCTION("""COMPUTED_VALUE"""),"Uncle Sams Cider (5/13/2022)")</f>
        <v>Uncle Sams Cider (5/13/2022)</v>
      </c>
      <c r="H5286" s="19"/>
    </row>
    <row r="5287">
      <c r="A5287" s="9"/>
      <c r="B5287" s="15"/>
      <c r="C5287" s="9">
        <f>IFERROR(__xludf.DUMMYFUNCTION("""COMPUTED_VALUE"""),44741.507615868)</f>
        <v>44741.50762</v>
      </c>
      <c r="D5287" s="15">
        <f>IFERROR(__xludf.DUMMYFUNCTION("""COMPUTED_VALUE"""),1.005)</f>
        <v>1.005</v>
      </c>
      <c r="E5287" s="16">
        <f>IFERROR(__xludf.DUMMYFUNCTION("""COMPUTED_VALUE"""),69.0)</f>
        <v>69</v>
      </c>
      <c r="F5287" s="19" t="str">
        <f>IFERROR(__xludf.DUMMYFUNCTION("""COMPUTED_VALUE"""),"BLACK")</f>
        <v>BLACK</v>
      </c>
      <c r="G5287" s="20" t="str">
        <f>IFERROR(__xludf.DUMMYFUNCTION("""COMPUTED_VALUE"""),"Uncle Sams Cider (5/13/2022)")</f>
        <v>Uncle Sams Cider (5/13/2022)</v>
      </c>
      <c r="H5287" s="19"/>
    </row>
    <row r="5288">
      <c r="A5288" s="9"/>
      <c r="B5288" s="15"/>
      <c r="C5288" s="9">
        <f>IFERROR(__xludf.DUMMYFUNCTION("""COMPUTED_VALUE"""),44741.4971931828)</f>
        <v>44741.49719</v>
      </c>
      <c r="D5288" s="15">
        <f>IFERROR(__xludf.DUMMYFUNCTION("""COMPUTED_VALUE"""),1.004)</f>
        <v>1.004</v>
      </c>
      <c r="E5288" s="16">
        <f>IFERROR(__xludf.DUMMYFUNCTION("""COMPUTED_VALUE"""),69.0)</f>
        <v>69</v>
      </c>
      <c r="F5288" s="19" t="str">
        <f>IFERROR(__xludf.DUMMYFUNCTION("""COMPUTED_VALUE"""),"BLACK")</f>
        <v>BLACK</v>
      </c>
      <c r="G5288" s="20" t="str">
        <f>IFERROR(__xludf.DUMMYFUNCTION("""COMPUTED_VALUE"""),"Uncle Sams Cider (5/13/2022)")</f>
        <v>Uncle Sams Cider (5/13/2022)</v>
      </c>
      <c r="H5288" s="19"/>
    </row>
    <row r="5289">
      <c r="A5289" s="9"/>
      <c r="B5289" s="15"/>
      <c r="C5289" s="9">
        <f>IFERROR(__xludf.DUMMYFUNCTION("""COMPUTED_VALUE"""),44741.4867733912)</f>
        <v>44741.48677</v>
      </c>
      <c r="D5289" s="15">
        <f>IFERROR(__xludf.DUMMYFUNCTION("""COMPUTED_VALUE"""),1.004)</f>
        <v>1.004</v>
      </c>
      <c r="E5289" s="16">
        <f>IFERROR(__xludf.DUMMYFUNCTION("""COMPUTED_VALUE"""),69.0)</f>
        <v>69</v>
      </c>
      <c r="F5289" s="19" t="str">
        <f>IFERROR(__xludf.DUMMYFUNCTION("""COMPUTED_VALUE"""),"BLACK")</f>
        <v>BLACK</v>
      </c>
      <c r="G5289" s="20" t="str">
        <f>IFERROR(__xludf.DUMMYFUNCTION("""COMPUTED_VALUE"""),"Uncle Sams Cider (5/13/2022)")</f>
        <v>Uncle Sams Cider (5/13/2022)</v>
      </c>
      <c r="H5289" s="19"/>
    </row>
    <row r="5290">
      <c r="A5290" s="9"/>
      <c r="B5290" s="15"/>
      <c r="C5290" s="9">
        <f>IFERROR(__xludf.DUMMYFUNCTION("""COMPUTED_VALUE"""),44741.4763519444)</f>
        <v>44741.47635</v>
      </c>
      <c r="D5290" s="15">
        <f>IFERROR(__xludf.DUMMYFUNCTION("""COMPUTED_VALUE"""),1.004)</f>
        <v>1.004</v>
      </c>
      <c r="E5290" s="16">
        <f>IFERROR(__xludf.DUMMYFUNCTION("""COMPUTED_VALUE"""),69.0)</f>
        <v>69</v>
      </c>
      <c r="F5290" s="19" t="str">
        <f>IFERROR(__xludf.DUMMYFUNCTION("""COMPUTED_VALUE"""),"BLACK")</f>
        <v>BLACK</v>
      </c>
      <c r="G5290" s="20" t="str">
        <f>IFERROR(__xludf.DUMMYFUNCTION("""COMPUTED_VALUE"""),"Uncle Sams Cider (5/13/2022)")</f>
        <v>Uncle Sams Cider (5/13/2022)</v>
      </c>
      <c r="H5290" s="19"/>
    </row>
    <row r="5291">
      <c r="A5291" s="9"/>
      <c r="B5291" s="15"/>
      <c r="C5291" s="9">
        <f>IFERROR(__xludf.DUMMYFUNCTION("""COMPUTED_VALUE"""),44741.4659324074)</f>
        <v>44741.46593</v>
      </c>
      <c r="D5291" s="15">
        <f>IFERROR(__xludf.DUMMYFUNCTION("""COMPUTED_VALUE"""),1.005)</f>
        <v>1.005</v>
      </c>
      <c r="E5291" s="16">
        <f>IFERROR(__xludf.DUMMYFUNCTION("""COMPUTED_VALUE"""),69.0)</f>
        <v>69</v>
      </c>
      <c r="F5291" s="19" t="str">
        <f>IFERROR(__xludf.DUMMYFUNCTION("""COMPUTED_VALUE"""),"BLACK")</f>
        <v>BLACK</v>
      </c>
      <c r="G5291" s="20" t="str">
        <f>IFERROR(__xludf.DUMMYFUNCTION("""COMPUTED_VALUE"""),"Uncle Sams Cider (5/13/2022)")</f>
        <v>Uncle Sams Cider (5/13/2022)</v>
      </c>
      <c r="H5291" s="19"/>
    </row>
    <row r="5292">
      <c r="A5292" s="9"/>
      <c r="B5292" s="15"/>
      <c r="C5292" s="9">
        <f>IFERROR(__xludf.DUMMYFUNCTION("""COMPUTED_VALUE"""),44741.4555123958)</f>
        <v>44741.45551</v>
      </c>
      <c r="D5292" s="15">
        <f>IFERROR(__xludf.DUMMYFUNCTION("""COMPUTED_VALUE"""),1.005)</f>
        <v>1.005</v>
      </c>
      <c r="E5292" s="16">
        <f>IFERROR(__xludf.DUMMYFUNCTION("""COMPUTED_VALUE"""),69.0)</f>
        <v>69</v>
      </c>
      <c r="F5292" s="19" t="str">
        <f>IFERROR(__xludf.DUMMYFUNCTION("""COMPUTED_VALUE"""),"BLACK")</f>
        <v>BLACK</v>
      </c>
      <c r="G5292" s="20" t="str">
        <f>IFERROR(__xludf.DUMMYFUNCTION("""COMPUTED_VALUE"""),"Uncle Sams Cider (5/13/2022)")</f>
        <v>Uncle Sams Cider (5/13/2022)</v>
      </c>
      <c r="H5292" s="19"/>
    </row>
    <row r="5293">
      <c r="A5293" s="9"/>
      <c r="B5293" s="15"/>
      <c r="C5293" s="9">
        <f>IFERROR(__xludf.DUMMYFUNCTION("""COMPUTED_VALUE"""),44741.4450916203)</f>
        <v>44741.44509</v>
      </c>
      <c r="D5293" s="15">
        <f>IFERROR(__xludf.DUMMYFUNCTION("""COMPUTED_VALUE"""),1.004)</f>
        <v>1.004</v>
      </c>
      <c r="E5293" s="16">
        <f>IFERROR(__xludf.DUMMYFUNCTION("""COMPUTED_VALUE"""),69.0)</f>
        <v>69</v>
      </c>
      <c r="F5293" s="19" t="str">
        <f>IFERROR(__xludf.DUMMYFUNCTION("""COMPUTED_VALUE"""),"BLACK")</f>
        <v>BLACK</v>
      </c>
      <c r="G5293" s="20" t="str">
        <f>IFERROR(__xludf.DUMMYFUNCTION("""COMPUTED_VALUE"""),"Uncle Sams Cider (5/13/2022)")</f>
        <v>Uncle Sams Cider (5/13/2022)</v>
      </c>
      <c r="H5293" s="19"/>
    </row>
    <row r="5294">
      <c r="A5294" s="9"/>
      <c r="B5294" s="15"/>
      <c r="C5294" s="9">
        <f>IFERROR(__xludf.DUMMYFUNCTION("""COMPUTED_VALUE"""),44741.4346691203)</f>
        <v>44741.43467</v>
      </c>
      <c r="D5294" s="15">
        <f>IFERROR(__xludf.DUMMYFUNCTION("""COMPUTED_VALUE"""),1.005)</f>
        <v>1.005</v>
      </c>
      <c r="E5294" s="16">
        <f>IFERROR(__xludf.DUMMYFUNCTION("""COMPUTED_VALUE"""),69.0)</f>
        <v>69</v>
      </c>
      <c r="F5294" s="19" t="str">
        <f>IFERROR(__xludf.DUMMYFUNCTION("""COMPUTED_VALUE"""),"BLACK")</f>
        <v>BLACK</v>
      </c>
      <c r="G5294" s="20" t="str">
        <f>IFERROR(__xludf.DUMMYFUNCTION("""COMPUTED_VALUE"""),"Uncle Sams Cider (5/13/2022)")</f>
        <v>Uncle Sams Cider (5/13/2022)</v>
      </c>
      <c r="H5294" s="19"/>
    </row>
    <row r="5295">
      <c r="A5295" s="9"/>
      <c r="B5295" s="15"/>
      <c r="C5295" s="9">
        <f>IFERROR(__xludf.DUMMYFUNCTION("""COMPUTED_VALUE"""),44741.4242448958)</f>
        <v>44741.42424</v>
      </c>
      <c r="D5295" s="15">
        <f>IFERROR(__xludf.DUMMYFUNCTION("""COMPUTED_VALUE"""),1.005)</f>
        <v>1.005</v>
      </c>
      <c r="E5295" s="16">
        <f>IFERROR(__xludf.DUMMYFUNCTION("""COMPUTED_VALUE"""),69.0)</f>
        <v>69</v>
      </c>
      <c r="F5295" s="19" t="str">
        <f>IFERROR(__xludf.DUMMYFUNCTION("""COMPUTED_VALUE"""),"BLACK")</f>
        <v>BLACK</v>
      </c>
      <c r="G5295" s="20" t="str">
        <f>IFERROR(__xludf.DUMMYFUNCTION("""COMPUTED_VALUE"""),"Uncle Sams Cider (5/13/2022)")</f>
        <v>Uncle Sams Cider (5/13/2022)</v>
      </c>
      <c r="H5295" s="19"/>
    </row>
    <row r="5296">
      <c r="A5296" s="9"/>
      <c r="B5296" s="15"/>
      <c r="C5296" s="9">
        <f>IFERROR(__xludf.DUMMYFUNCTION("""COMPUTED_VALUE"""),44741.4138249305)</f>
        <v>44741.41382</v>
      </c>
      <c r="D5296" s="15">
        <f>IFERROR(__xludf.DUMMYFUNCTION("""COMPUTED_VALUE"""),1.005)</f>
        <v>1.005</v>
      </c>
      <c r="E5296" s="16">
        <f>IFERROR(__xludf.DUMMYFUNCTION("""COMPUTED_VALUE"""),69.0)</f>
        <v>69</v>
      </c>
      <c r="F5296" s="19" t="str">
        <f>IFERROR(__xludf.DUMMYFUNCTION("""COMPUTED_VALUE"""),"BLACK")</f>
        <v>BLACK</v>
      </c>
      <c r="G5296" s="20" t="str">
        <f>IFERROR(__xludf.DUMMYFUNCTION("""COMPUTED_VALUE"""),"Uncle Sams Cider (5/13/2022)")</f>
        <v>Uncle Sams Cider (5/13/2022)</v>
      </c>
      <c r="H5296" s="19"/>
    </row>
    <row r="5297">
      <c r="A5297" s="9"/>
      <c r="B5297" s="15"/>
      <c r="C5297" s="9">
        <f>IFERROR(__xludf.DUMMYFUNCTION("""COMPUTED_VALUE"""),44741.4034041203)</f>
        <v>44741.4034</v>
      </c>
      <c r="D5297" s="15">
        <f>IFERROR(__xludf.DUMMYFUNCTION("""COMPUTED_VALUE"""),1.005)</f>
        <v>1.005</v>
      </c>
      <c r="E5297" s="16">
        <f>IFERROR(__xludf.DUMMYFUNCTION("""COMPUTED_VALUE"""),69.0)</f>
        <v>69</v>
      </c>
      <c r="F5297" s="19" t="str">
        <f>IFERROR(__xludf.DUMMYFUNCTION("""COMPUTED_VALUE"""),"BLACK")</f>
        <v>BLACK</v>
      </c>
      <c r="G5297" s="20" t="str">
        <f>IFERROR(__xludf.DUMMYFUNCTION("""COMPUTED_VALUE"""),"Uncle Sams Cider (5/13/2022)")</f>
        <v>Uncle Sams Cider (5/13/2022)</v>
      </c>
      <c r="H5297" s="19"/>
    </row>
    <row r="5298">
      <c r="A5298" s="9"/>
      <c r="B5298" s="15"/>
      <c r="C5298" s="9">
        <f>IFERROR(__xludf.DUMMYFUNCTION("""COMPUTED_VALUE"""),44741.3929836805)</f>
        <v>44741.39298</v>
      </c>
      <c r="D5298" s="15">
        <f>IFERROR(__xludf.DUMMYFUNCTION("""COMPUTED_VALUE"""),1.004)</f>
        <v>1.004</v>
      </c>
      <c r="E5298" s="16">
        <f>IFERROR(__xludf.DUMMYFUNCTION("""COMPUTED_VALUE"""),69.0)</f>
        <v>69</v>
      </c>
      <c r="F5298" s="19" t="str">
        <f>IFERROR(__xludf.DUMMYFUNCTION("""COMPUTED_VALUE"""),"BLACK")</f>
        <v>BLACK</v>
      </c>
      <c r="G5298" s="20" t="str">
        <f>IFERROR(__xludf.DUMMYFUNCTION("""COMPUTED_VALUE"""),"Uncle Sams Cider (5/13/2022)")</f>
        <v>Uncle Sams Cider (5/13/2022)</v>
      </c>
      <c r="H5298" s="19"/>
    </row>
    <row r="5299">
      <c r="A5299" s="9"/>
      <c r="B5299" s="15"/>
      <c r="C5299" s="9">
        <f>IFERROR(__xludf.DUMMYFUNCTION("""COMPUTED_VALUE"""),44741.3825632175)</f>
        <v>44741.38256</v>
      </c>
      <c r="D5299" s="15">
        <f>IFERROR(__xludf.DUMMYFUNCTION("""COMPUTED_VALUE"""),1.004)</f>
        <v>1.004</v>
      </c>
      <c r="E5299" s="16">
        <f>IFERROR(__xludf.DUMMYFUNCTION("""COMPUTED_VALUE"""),69.0)</f>
        <v>69</v>
      </c>
      <c r="F5299" s="19" t="str">
        <f>IFERROR(__xludf.DUMMYFUNCTION("""COMPUTED_VALUE"""),"BLACK")</f>
        <v>BLACK</v>
      </c>
      <c r="G5299" s="20" t="str">
        <f>IFERROR(__xludf.DUMMYFUNCTION("""COMPUTED_VALUE"""),"Uncle Sams Cider (5/13/2022)")</f>
        <v>Uncle Sams Cider (5/13/2022)</v>
      </c>
      <c r="H5299" s="19"/>
    </row>
    <row r="5300">
      <c r="A5300" s="9"/>
      <c r="B5300" s="15"/>
      <c r="C5300" s="9">
        <f>IFERROR(__xludf.DUMMYFUNCTION("""COMPUTED_VALUE"""),44741.3721422685)</f>
        <v>44741.37214</v>
      </c>
      <c r="D5300" s="15">
        <f>IFERROR(__xludf.DUMMYFUNCTION("""COMPUTED_VALUE"""),1.005)</f>
        <v>1.005</v>
      </c>
      <c r="E5300" s="16">
        <f>IFERROR(__xludf.DUMMYFUNCTION("""COMPUTED_VALUE"""),69.0)</f>
        <v>69</v>
      </c>
      <c r="F5300" s="19" t="str">
        <f>IFERROR(__xludf.DUMMYFUNCTION("""COMPUTED_VALUE"""),"BLACK")</f>
        <v>BLACK</v>
      </c>
      <c r="G5300" s="20" t="str">
        <f>IFERROR(__xludf.DUMMYFUNCTION("""COMPUTED_VALUE"""),"Uncle Sams Cider (5/13/2022)")</f>
        <v>Uncle Sams Cider (5/13/2022)</v>
      </c>
      <c r="H5300" s="19"/>
    </row>
    <row r="5301">
      <c r="A5301" s="9"/>
      <c r="B5301" s="15"/>
      <c r="C5301" s="9">
        <f>IFERROR(__xludf.DUMMYFUNCTION("""COMPUTED_VALUE"""),44741.3617202314)</f>
        <v>44741.36172</v>
      </c>
      <c r="D5301" s="15">
        <f>IFERROR(__xludf.DUMMYFUNCTION("""COMPUTED_VALUE"""),1.004)</f>
        <v>1.004</v>
      </c>
      <c r="E5301" s="16">
        <f>IFERROR(__xludf.DUMMYFUNCTION("""COMPUTED_VALUE"""),69.0)</f>
        <v>69</v>
      </c>
      <c r="F5301" s="19" t="str">
        <f>IFERROR(__xludf.DUMMYFUNCTION("""COMPUTED_VALUE"""),"BLACK")</f>
        <v>BLACK</v>
      </c>
      <c r="G5301" s="20" t="str">
        <f>IFERROR(__xludf.DUMMYFUNCTION("""COMPUTED_VALUE"""),"Uncle Sams Cider (5/13/2022)")</f>
        <v>Uncle Sams Cider (5/13/2022)</v>
      </c>
      <c r="H5301" s="19"/>
    </row>
    <row r="5302">
      <c r="A5302" s="9"/>
      <c r="B5302" s="15"/>
      <c r="C5302" s="9">
        <f>IFERROR(__xludf.DUMMYFUNCTION("""COMPUTED_VALUE"""),44741.3512982291)</f>
        <v>44741.3513</v>
      </c>
      <c r="D5302" s="15">
        <f>IFERROR(__xludf.DUMMYFUNCTION("""COMPUTED_VALUE"""),1.005)</f>
        <v>1.005</v>
      </c>
      <c r="E5302" s="16">
        <f>IFERROR(__xludf.DUMMYFUNCTION("""COMPUTED_VALUE"""),69.0)</f>
        <v>69</v>
      </c>
      <c r="F5302" s="19" t="str">
        <f>IFERROR(__xludf.DUMMYFUNCTION("""COMPUTED_VALUE"""),"BLACK")</f>
        <v>BLACK</v>
      </c>
      <c r="G5302" s="20" t="str">
        <f>IFERROR(__xludf.DUMMYFUNCTION("""COMPUTED_VALUE"""),"Uncle Sams Cider (5/13/2022)")</f>
        <v>Uncle Sams Cider (5/13/2022)</v>
      </c>
      <c r="H5302" s="19"/>
    </row>
    <row r="5303">
      <c r="A5303" s="9"/>
      <c r="B5303" s="15"/>
      <c r="C5303" s="9">
        <f>IFERROR(__xludf.DUMMYFUNCTION("""COMPUTED_VALUE"""),44741.3408765277)</f>
        <v>44741.34088</v>
      </c>
      <c r="D5303" s="15">
        <f>IFERROR(__xludf.DUMMYFUNCTION("""COMPUTED_VALUE"""),1.005)</f>
        <v>1.005</v>
      </c>
      <c r="E5303" s="16">
        <f>IFERROR(__xludf.DUMMYFUNCTION("""COMPUTED_VALUE"""),69.0)</f>
        <v>69</v>
      </c>
      <c r="F5303" s="19" t="str">
        <f>IFERROR(__xludf.DUMMYFUNCTION("""COMPUTED_VALUE"""),"BLACK")</f>
        <v>BLACK</v>
      </c>
      <c r="G5303" s="20" t="str">
        <f>IFERROR(__xludf.DUMMYFUNCTION("""COMPUTED_VALUE"""),"Uncle Sams Cider (5/13/2022)")</f>
        <v>Uncle Sams Cider (5/13/2022)</v>
      </c>
      <c r="H5303" s="19"/>
    </row>
    <row r="5304">
      <c r="A5304" s="9"/>
      <c r="B5304" s="15"/>
      <c r="C5304" s="9">
        <f>IFERROR(__xludf.DUMMYFUNCTION("""COMPUTED_VALUE"""),44741.3304548958)</f>
        <v>44741.33045</v>
      </c>
      <c r="D5304" s="15">
        <f>IFERROR(__xludf.DUMMYFUNCTION("""COMPUTED_VALUE"""),1.005)</f>
        <v>1.005</v>
      </c>
      <c r="E5304" s="16">
        <f>IFERROR(__xludf.DUMMYFUNCTION("""COMPUTED_VALUE"""),69.0)</f>
        <v>69</v>
      </c>
      <c r="F5304" s="19" t="str">
        <f>IFERROR(__xludf.DUMMYFUNCTION("""COMPUTED_VALUE"""),"BLACK")</f>
        <v>BLACK</v>
      </c>
      <c r="G5304" s="20" t="str">
        <f>IFERROR(__xludf.DUMMYFUNCTION("""COMPUTED_VALUE"""),"Uncle Sams Cider (5/13/2022)")</f>
        <v>Uncle Sams Cider (5/13/2022)</v>
      </c>
      <c r="H5304" s="19"/>
    </row>
    <row r="5305">
      <c r="A5305" s="9"/>
      <c r="B5305" s="15"/>
      <c r="C5305" s="9">
        <f>IFERROR(__xludf.DUMMYFUNCTION("""COMPUTED_VALUE"""),44741.3200214351)</f>
        <v>44741.32002</v>
      </c>
      <c r="D5305" s="15">
        <f>IFERROR(__xludf.DUMMYFUNCTION("""COMPUTED_VALUE"""),1.005)</f>
        <v>1.005</v>
      </c>
      <c r="E5305" s="16">
        <f>IFERROR(__xludf.DUMMYFUNCTION("""COMPUTED_VALUE"""),69.0)</f>
        <v>69</v>
      </c>
      <c r="F5305" s="19" t="str">
        <f>IFERROR(__xludf.DUMMYFUNCTION("""COMPUTED_VALUE"""),"BLACK")</f>
        <v>BLACK</v>
      </c>
      <c r="G5305" s="20" t="str">
        <f>IFERROR(__xludf.DUMMYFUNCTION("""COMPUTED_VALUE"""),"Uncle Sams Cider (5/13/2022)")</f>
        <v>Uncle Sams Cider (5/13/2022)</v>
      </c>
      <c r="H5305" s="19"/>
    </row>
    <row r="5306">
      <c r="A5306" s="9"/>
      <c r="B5306" s="15"/>
      <c r="C5306" s="9">
        <f>IFERROR(__xludf.DUMMYFUNCTION("""COMPUTED_VALUE"""),44741.3096007176)</f>
        <v>44741.3096</v>
      </c>
      <c r="D5306" s="15">
        <f>IFERROR(__xludf.DUMMYFUNCTION("""COMPUTED_VALUE"""),1.005)</f>
        <v>1.005</v>
      </c>
      <c r="E5306" s="16">
        <f>IFERROR(__xludf.DUMMYFUNCTION("""COMPUTED_VALUE"""),69.0)</f>
        <v>69</v>
      </c>
      <c r="F5306" s="19" t="str">
        <f>IFERROR(__xludf.DUMMYFUNCTION("""COMPUTED_VALUE"""),"BLACK")</f>
        <v>BLACK</v>
      </c>
      <c r="G5306" s="20" t="str">
        <f>IFERROR(__xludf.DUMMYFUNCTION("""COMPUTED_VALUE"""),"Uncle Sams Cider (5/13/2022)")</f>
        <v>Uncle Sams Cider (5/13/2022)</v>
      </c>
      <c r="H5306" s="19"/>
    </row>
    <row r="5307">
      <c r="A5307" s="9"/>
      <c r="B5307" s="15"/>
      <c r="C5307" s="9">
        <f>IFERROR(__xludf.DUMMYFUNCTION("""COMPUTED_VALUE"""),44741.2991802083)</f>
        <v>44741.29918</v>
      </c>
      <c r="D5307" s="15">
        <f>IFERROR(__xludf.DUMMYFUNCTION("""COMPUTED_VALUE"""),1.005)</f>
        <v>1.005</v>
      </c>
      <c r="E5307" s="16">
        <f>IFERROR(__xludf.DUMMYFUNCTION("""COMPUTED_VALUE"""),69.0)</f>
        <v>69</v>
      </c>
      <c r="F5307" s="19" t="str">
        <f>IFERROR(__xludf.DUMMYFUNCTION("""COMPUTED_VALUE"""),"BLACK")</f>
        <v>BLACK</v>
      </c>
      <c r="G5307" s="20" t="str">
        <f>IFERROR(__xludf.DUMMYFUNCTION("""COMPUTED_VALUE"""),"Uncle Sams Cider (5/13/2022)")</f>
        <v>Uncle Sams Cider (5/13/2022)</v>
      </c>
      <c r="H5307" s="19"/>
    </row>
    <row r="5308">
      <c r="A5308" s="9"/>
      <c r="B5308" s="15"/>
      <c r="C5308" s="9">
        <f>IFERROR(__xludf.DUMMYFUNCTION("""COMPUTED_VALUE"""),44741.2887597338)</f>
        <v>44741.28876</v>
      </c>
      <c r="D5308" s="15">
        <f>IFERROR(__xludf.DUMMYFUNCTION("""COMPUTED_VALUE"""),1.005)</f>
        <v>1.005</v>
      </c>
      <c r="E5308" s="16">
        <f>IFERROR(__xludf.DUMMYFUNCTION("""COMPUTED_VALUE"""),69.0)</f>
        <v>69</v>
      </c>
      <c r="F5308" s="19" t="str">
        <f>IFERROR(__xludf.DUMMYFUNCTION("""COMPUTED_VALUE"""),"BLACK")</f>
        <v>BLACK</v>
      </c>
      <c r="G5308" s="20" t="str">
        <f>IFERROR(__xludf.DUMMYFUNCTION("""COMPUTED_VALUE"""),"Uncle Sams Cider (5/13/2022)")</f>
        <v>Uncle Sams Cider (5/13/2022)</v>
      </c>
      <c r="H5308" s="19"/>
    </row>
    <row r="5309">
      <c r="A5309" s="9"/>
      <c r="B5309" s="15"/>
      <c r="C5309" s="9">
        <f>IFERROR(__xludf.DUMMYFUNCTION("""COMPUTED_VALUE"""),44741.2783381713)</f>
        <v>44741.27834</v>
      </c>
      <c r="D5309" s="15">
        <f>IFERROR(__xludf.DUMMYFUNCTION("""COMPUTED_VALUE"""),1.004)</f>
        <v>1.004</v>
      </c>
      <c r="E5309" s="16">
        <f>IFERROR(__xludf.DUMMYFUNCTION("""COMPUTED_VALUE"""),69.0)</f>
        <v>69</v>
      </c>
      <c r="F5309" s="19" t="str">
        <f>IFERROR(__xludf.DUMMYFUNCTION("""COMPUTED_VALUE"""),"BLACK")</f>
        <v>BLACK</v>
      </c>
      <c r="G5309" s="20" t="str">
        <f>IFERROR(__xludf.DUMMYFUNCTION("""COMPUTED_VALUE"""),"Uncle Sams Cider (5/13/2022)")</f>
        <v>Uncle Sams Cider (5/13/2022)</v>
      </c>
      <c r="H5309" s="19"/>
    </row>
    <row r="5310">
      <c r="A5310" s="9"/>
      <c r="B5310" s="15"/>
      <c r="C5310" s="9">
        <f>IFERROR(__xludf.DUMMYFUNCTION("""COMPUTED_VALUE"""),44741.2679164004)</f>
        <v>44741.26792</v>
      </c>
      <c r="D5310" s="15">
        <f>IFERROR(__xludf.DUMMYFUNCTION("""COMPUTED_VALUE"""),1.004)</f>
        <v>1.004</v>
      </c>
      <c r="E5310" s="16">
        <f>IFERROR(__xludf.DUMMYFUNCTION("""COMPUTED_VALUE"""),69.0)</f>
        <v>69</v>
      </c>
      <c r="F5310" s="19" t="str">
        <f>IFERROR(__xludf.DUMMYFUNCTION("""COMPUTED_VALUE"""),"BLACK")</f>
        <v>BLACK</v>
      </c>
      <c r="G5310" s="20" t="str">
        <f>IFERROR(__xludf.DUMMYFUNCTION("""COMPUTED_VALUE"""),"Uncle Sams Cider (5/13/2022)")</f>
        <v>Uncle Sams Cider (5/13/2022)</v>
      </c>
      <c r="H5310" s="19"/>
    </row>
    <row r="5311">
      <c r="A5311" s="9"/>
      <c r="B5311" s="15"/>
      <c r="C5311" s="9">
        <f>IFERROR(__xludf.DUMMYFUNCTION("""COMPUTED_VALUE"""),44741.2574943171)</f>
        <v>44741.25749</v>
      </c>
      <c r="D5311" s="15">
        <f>IFERROR(__xludf.DUMMYFUNCTION("""COMPUTED_VALUE"""),1.005)</f>
        <v>1.005</v>
      </c>
      <c r="E5311" s="16">
        <f>IFERROR(__xludf.DUMMYFUNCTION("""COMPUTED_VALUE"""),69.0)</f>
        <v>69</v>
      </c>
      <c r="F5311" s="19" t="str">
        <f>IFERROR(__xludf.DUMMYFUNCTION("""COMPUTED_VALUE"""),"BLACK")</f>
        <v>BLACK</v>
      </c>
      <c r="G5311" s="20" t="str">
        <f>IFERROR(__xludf.DUMMYFUNCTION("""COMPUTED_VALUE"""),"Uncle Sams Cider (5/13/2022)")</f>
        <v>Uncle Sams Cider (5/13/2022)</v>
      </c>
      <c r="H5311" s="19"/>
    </row>
    <row r="5312">
      <c r="A5312" s="9"/>
      <c r="B5312" s="15"/>
      <c r="C5312" s="9">
        <f>IFERROR(__xludf.DUMMYFUNCTION("""COMPUTED_VALUE"""),44741.2470745949)</f>
        <v>44741.24707</v>
      </c>
      <c r="D5312" s="15">
        <f>IFERROR(__xludf.DUMMYFUNCTION("""COMPUTED_VALUE"""),1.005)</f>
        <v>1.005</v>
      </c>
      <c r="E5312" s="16">
        <f>IFERROR(__xludf.DUMMYFUNCTION("""COMPUTED_VALUE"""),69.0)</f>
        <v>69</v>
      </c>
      <c r="F5312" s="19" t="str">
        <f>IFERROR(__xludf.DUMMYFUNCTION("""COMPUTED_VALUE"""),"BLACK")</f>
        <v>BLACK</v>
      </c>
      <c r="G5312" s="20" t="str">
        <f>IFERROR(__xludf.DUMMYFUNCTION("""COMPUTED_VALUE"""),"Uncle Sams Cider (5/13/2022)")</f>
        <v>Uncle Sams Cider (5/13/2022)</v>
      </c>
      <c r="H5312" s="19"/>
    </row>
    <row r="5313">
      <c r="A5313" s="9"/>
      <c r="B5313" s="15"/>
      <c r="C5313" s="9">
        <f>IFERROR(__xludf.DUMMYFUNCTION("""COMPUTED_VALUE"""),44741.2366529629)</f>
        <v>44741.23665</v>
      </c>
      <c r="D5313" s="15">
        <f>IFERROR(__xludf.DUMMYFUNCTION("""COMPUTED_VALUE"""),1.005)</f>
        <v>1.005</v>
      </c>
      <c r="E5313" s="16">
        <f>IFERROR(__xludf.DUMMYFUNCTION("""COMPUTED_VALUE"""),69.0)</f>
        <v>69</v>
      </c>
      <c r="F5313" s="19" t="str">
        <f>IFERROR(__xludf.DUMMYFUNCTION("""COMPUTED_VALUE"""),"BLACK")</f>
        <v>BLACK</v>
      </c>
      <c r="G5313" s="20" t="str">
        <f>IFERROR(__xludf.DUMMYFUNCTION("""COMPUTED_VALUE"""),"Uncle Sams Cider (5/13/2022)")</f>
        <v>Uncle Sams Cider (5/13/2022)</v>
      </c>
      <c r="H5313" s="19"/>
    </row>
    <row r="5314">
      <c r="A5314" s="9"/>
      <c r="B5314" s="15"/>
      <c r="C5314" s="9">
        <f>IFERROR(__xludf.DUMMYFUNCTION("""COMPUTED_VALUE"""),44741.2262326967)</f>
        <v>44741.22623</v>
      </c>
      <c r="D5314" s="15">
        <f>IFERROR(__xludf.DUMMYFUNCTION("""COMPUTED_VALUE"""),1.005)</f>
        <v>1.005</v>
      </c>
      <c r="E5314" s="16">
        <f>IFERROR(__xludf.DUMMYFUNCTION("""COMPUTED_VALUE"""),69.0)</f>
        <v>69</v>
      </c>
      <c r="F5314" s="19" t="str">
        <f>IFERROR(__xludf.DUMMYFUNCTION("""COMPUTED_VALUE"""),"BLACK")</f>
        <v>BLACK</v>
      </c>
      <c r="G5314" s="20" t="str">
        <f>IFERROR(__xludf.DUMMYFUNCTION("""COMPUTED_VALUE"""),"Uncle Sams Cider (5/13/2022)")</f>
        <v>Uncle Sams Cider (5/13/2022)</v>
      </c>
      <c r="H5314" s="19"/>
    </row>
    <row r="5315">
      <c r="A5315" s="9"/>
      <c r="B5315" s="15"/>
      <c r="C5315" s="9">
        <f>IFERROR(__xludf.DUMMYFUNCTION("""COMPUTED_VALUE"""),44741.2157898032)</f>
        <v>44741.21579</v>
      </c>
      <c r="D5315" s="15">
        <f>IFERROR(__xludf.DUMMYFUNCTION("""COMPUTED_VALUE"""),1.005)</f>
        <v>1.005</v>
      </c>
      <c r="E5315" s="16">
        <f>IFERROR(__xludf.DUMMYFUNCTION("""COMPUTED_VALUE"""),69.0)</f>
        <v>69</v>
      </c>
      <c r="F5315" s="19" t="str">
        <f>IFERROR(__xludf.DUMMYFUNCTION("""COMPUTED_VALUE"""),"BLACK")</f>
        <v>BLACK</v>
      </c>
      <c r="G5315" s="20" t="str">
        <f>IFERROR(__xludf.DUMMYFUNCTION("""COMPUTED_VALUE"""),"Uncle Sams Cider (5/13/2022)")</f>
        <v>Uncle Sams Cider (5/13/2022)</v>
      </c>
      <c r="H5315" s="19"/>
    </row>
    <row r="5316">
      <c r="A5316" s="9"/>
      <c r="B5316" s="15"/>
      <c r="C5316" s="9">
        <f>IFERROR(__xludf.DUMMYFUNCTION("""COMPUTED_VALUE"""),44741.2053569791)</f>
        <v>44741.20536</v>
      </c>
      <c r="D5316" s="15">
        <f>IFERROR(__xludf.DUMMYFUNCTION("""COMPUTED_VALUE"""),1.005)</f>
        <v>1.005</v>
      </c>
      <c r="E5316" s="16">
        <f>IFERROR(__xludf.DUMMYFUNCTION("""COMPUTED_VALUE"""),69.0)</f>
        <v>69</v>
      </c>
      <c r="F5316" s="19" t="str">
        <f>IFERROR(__xludf.DUMMYFUNCTION("""COMPUTED_VALUE"""),"BLACK")</f>
        <v>BLACK</v>
      </c>
      <c r="G5316" s="20" t="str">
        <f>IFERROR(__xludf.DUMMYFUNCTION("""COMPUTED_VALUE"""),"Uncle Sams Cider (5/13/2022)")</f>
        <v>Uncle Sams Cider (5/13/2022)</v>
      </c>
      <c r="H5316" s="19"/>
    </row>
    <row r="5317">
      <c r="A5317" s="9"/>
      <c r="B5317" s="15"/>
      <c r="C5317" s="9">
        <f>IFERROR(__xludf.DUMMYFUNCTION("""COMPUTED_VALUE"""),44741.1949361226)</f>
        <v>44741.19494</v>
      </c>
      <c r="D5317" s="15">
        <f>IFERROR(__xludf.DUMMYFUNCTION("""COMPUTED_VALUE"""),1.005)</f>
        <v>1.005</v>
      </c>
      <c r="E5317" s="16">
        <f>IFERROR(__xludf.DUMMYFUNCTION("""COMPUTED_VALUE"""),69.0)</f>
        <v>69</v>
      </c>
      <c r="F5317" s="19" t="str">
        <f>IFERROR(__xludf.DUMMYFUNCTION("""COMPUTED_VALUE"""),"BLACK")</f>
        <v>BLACK</v>
      </c>
      <c r="G5317" s="20" t="str">
        <f>IFERROR(__xludf.DUMMYFUNCTION("""COMPUTED_VALUE"""),"Uncle Sams Cider (5/13/2022)")</f>
        <v>Uncle Sams Cider (5/13/2022)</v>
      </c>
      <c r="H5317" s="19"/>
    </row>
    <row r="5318">
      <c r="A5318" s="9"/>
      <c r="B5318" s="15"/>
      <c r="C5318" s="9">
        <f>IFERROR(__xludf.DUMMYFUNCTION("""COMPUTED_VALUE"""),44741.1845128935)</f>
        <v>44741.18451</v>
      </c>
      <c r="D5318" s="15">
        <f>IFERROR(__xludf.DUMMYFUNCTION("""COMPUTED_VALUE"""),1.005)</f>
        <v>1.005</v>
      </c>
      <c r="E5318" s="16">
        <f>IFERROR(__xludf.DUMMYFUNCTION("""COMPUTED_VALUE"""),69.0)</f>
        <v>69</v>
      </c>
      <c r="F5318" s="19" t="str">
        <f>IFERROR(__xludf.DUMMYFUNCTION("""COMPUTED_VALUE"""),"BLACK")</f>
        <v>BLACK</v>
      </c>
      <c r="G5318" s="20" t="str">
        <f>IFERROR(__xludf.DUMMYFUNCTION("""COMPUTED_VALUE"""),"Uncle Sams Cider (5/13/2022)")</f>
        <v>Uncle Sams Cider (5/13/2022)</v>
      </c>
      <c r="H5318" s="19"/>
    </row>
    <row r="5319">
      <c r="A5319" s="9"/>
      <c r="B5319" s="15"/>
      <c r="C5319" s="9">
        <f>IFERROR(__xludf.DUMMYFUNCTION("""COMPUTED_VALUE"""),44741.1740921759)</f>
        <v>44741.17409</v>
      </c>
      <c r="D5319" s="15">
        <f>IFERROR(__xludf.DUMMYFUNCTION("""COMPUTED_VALUE"""),1.005)</f>
        <v>1.005</v>
      </c>
      <c r="E5319" s="16">
        <f>IFERROR(__xludf.DUMMYFUNCTION("""COMPUTED_VALUE"""),69.0)</f>
        <v>69</v>
      </c>
      <c r="F5319" s="19" t="str">
        <f>IFERROR(__xludf.DUMMYFUNCTION("""COMPUTED_VALUE"""),"BLACK")</f>
        <v>BLACK</v>
      </c>
      <c r="G5319" s="20" t="str">
        <f>IFERROR(__xludf.DUMMYFUNCTION("""COMPUTED_VALUE"""),"Uncle Sams Cider (5/13/2022)")</f>
        <v>Uncle Sams Cider (5/13/2022)</v>
      </c>
      <c r="H5319" s="19"/>
    </row>
    <row r="5320">
      <c r="A5320" s="9"/>
      <c r="B5320" s="15"/>
      <c r="C5320" s="9">
        <f>IFERROR(__xludf.DUMMYFUNCTION("""COMPUTED_VALUE"""),44741.1636707638)</f>
        <v>44741.16367</v>
      </c>
      <c r="D5320" s="15">
        <f>IFERROR(__xludf.DUMMYFUNCTION("""COMPUTED_VALUE"""),1.004)</f>
        <v>1.004</v>
      </c>
      <c r="E5320" s="16">
        <f>IFERROR(__xludf.DUMMYFUNCTION("""COMPUTED_VALUE"""),69.0)</f>
        <v>69</v>
      </c>
      <c r="F5320" s="19" t="str">
        <f>IFERROR(__xludf.DUMMYFUNCTION("""COMPUTED_VALUE"""),"BLACK")</f>
        <v>BLACK</v>
      </c>
      <c r="G5320" s="20" t="str">
        <f>IFERROR(__xludf.DUMMYFUNCTION("""COMPUTED_VALUE"""),"Uncle Sams Cider (5/13/2022)")</f>
        <v>Uncle Sams Cider (5/13/2022)</v>
      </c>
      <c r="H5320" s="19"/>
    </row>
    <row r="5321">
      <c r="A5321" s="9"/>
      <c r="B5321" s="15"/>
      <c r="C5321" s="9">
        <f>IFERROR(__xludf.DUMMYFUNCTION("""COMPUTED_VALUE"""),44741.1532472569)</f>
        <v>44741.15325</v>
      </c>
      <c r="D5321" s="15">
        <f>IFERROR(__xludf.DUMMYFUNCTION("""COMPUTED_VALUE"""),1.005)</f>
        <v>1.005</v>
      </c>
      <c r="E5321" s="16">
        <f>IFERROR(__xludf.DUMMYFUNCTION("""COMPUTED_VALUE"""),69.0)</f>
        <v>69</v>
      </c>
      <c r="F5321" s="19" t="str">
        <f>IFERROR(__xludf.DUMMYFUNCTION("""COMPUTED_VALUE"""),"BLACK")</f>
        <v>BLACK</v>
      </c>
      <c r="G5321" s="20" t="str">
        <f>IFERROR(__xludf.DUMMYFUNCTION("""COMPUTED_VALUE"""),"Uncle Sams Cider (5/13/2022)")</f>
        <v>Uncle Sams Cider (5/13/2022)</v>
      </c>
      <c r="H5321" s="19"/>
    </row>
    <row r="5322">
      <c r="A5322" s="9"/>
      <c r="B5322" s="15"/>
      <c r="C5322" s="9">
        <f>IFERROR(__xludf.DUMMYFUNCTION("""COMPUTED_VALUE"""),44741.1428266666)</f>
        <v>44741.14283</v>
      </c>
      <c r="D5322" s="15">
        <f>IFERROR(__xludf.DUMMYFUNCTION("""COMPUTED_VALUE"""),1.005)</f>
        <v>1.005</v>
      </c>
      <c r="E5322" s="16">
        <f>IFERROR(__xludf.DUMMYFUNCTION("""COMPUTED_VALUE"""),69.0)</f>
        <v>69</v>
      </c>
      <c r="F5322" s="19" t="str">
        <f>IFERROR(__xludf.DUMMYFUNCTION("""COMPUTED_VALUE"""),"BLACK")</f>
        <v>BLACK</v>
      </c>
      <c r="G5322" s="20" t="str">
        <f>IFERROR(__xludf.DUMMYFUNCTION("""COMPUTED_VALUE"""),"Uncle Sams Cider (5/13/2022)")</f>
        <v>Uncle Sams Cider (5/13/2022)</v>
      </c>
      <c r="H5322" s="19"/>
    </row>
    <row r="5323">
      <c r="A5323" s="9"/>
      <c r="B5323" s="15"/>
      <c r="C5323" s="9">
        <f>IFERROR(__xludf.DUMMYFUNCTION("""COMPUTED_VALUE"""),44741.1323930555)</f>
        <v>44741.13239</v>
      </c>
      <c r="D5323" s="15">
        <f>IFERROR(__xludf.DUMMYFUNCTION("""COMPUTED_VALUE"""),1.005)</f>
        <v>1.005</v>
      </c>
      <c r="E5323" s="16">
        <f>IFERROR(__xludf.DUMMYFUNCTION("""COMPUTED_VALUE"""),69.0)</f>
        <v>69</v>
      </c>
      <c r="F5323" s="19" t="str">
        <f>IFERROR(__xludf.DUMMYFUNCTION("""COMPUTED_VALUE"""),"BLACK")</f>
        <v>BLACK</v>
      </c>
      <c r="G5323" s="20" t="str">
        <f>IFERROR(__xludf.DUMMYFUNCTION("""COMPUTED_VALUE"""),"Uncle Sams Cider (5/13/2022)")</f>
        <v>Uncle Sams Cider (5/13/2022)</v>
      </c>
      <c r="H5323" s="19"/>
    </row>
    <row r="5324">
      <c r="A5324" s="9"/>
      <c r="B5324" s="15"/>
      <c r="C5324" s="9">
        <f>IFERROR(__xludf.DUMMYFUNCTION("""COMPUTED_VALUE"""),44741.1219481944)</f>
        <v>44741.12195</v>
      </c>
      <c r="D5324" s="15">
        <f>IFERROR(__xludf.DUMMYFUNCTION("""COMPUTED_VALUE"""),1.005)</f>
        <v>1.005</v>
      </c>
      <c r="E5324" s="16">
        <f>IFERROR(__xludf.DUMMYFUNCTION("""COMPUTED_VALUE"""),69.0)</f>
        <v>69</v>
      </c>
      <c r="F5324" s="19" t="str">
        <f>IFERROR(__xludf.DUMMYFUNCTION("""COMPUTED_VALUE"""),"BLACK")</f>
        <v>BLACK</v>
      </c>
      <c r="G5324" s="20" t="str">
        <f>IFERROR(__xludf.DUMMYFUNCTION("""COMPUTED_VALUE"""),"Uncle Sams Cider (5/13/2022)")</f>
        <v>Uncle Sams Cider (5/13/2022)</v>
      </c>
      <c r="H5324" s="19"/>
    </row>
    <row r="5325">
      <c r="A5325" s="9"/>
      <c r="B5325" s="15"/>
      <c r="C5325" s="9">
        <f>IFERROR(__xludf.DUMMYFUNCTION("""COMPUTED_VALUE"""),44741.111526956)</f>
        <v>44741.11153</v>
      </c>
      <c r="D5325" s="15">
        <f>IFERROR(__xludf.DUMMYFUNCTION("""COMPUTED_VALUE"""),1.004)</f>
        <v>1.004</v>
      </c>
      <c r="E5325" s="16">
        <f>IFERROR(__xludf.DUMMYFUNCTION("""COMPUTED_VALUE"""),69.0)</f>
        <v>69</v>
      </c>
      <c r="F5325" s="19" t="str">
        <f>IFERROR(__xludf.DUMMYFUNCTION("""COMPUTED_VALUE"""),"BLACK")</f>
        <v>BLACK</v>
      </c>
      <c r="G5325" s="20" t="str">
        <f>IFERROR(__xludf.DUMMYFUNCTION("""COMPUTED_VALUE"""),"Uncle Sams Cider (5/13/2022)")</f>
        <v>Uncle Sams Cider (5/13/2022)</v>
      </c>
      <c r="H5325" s="19"/>
    </row>
    <row r="5326">
      <c r="A5326" s="9"/>
      <c r="B5326" s="15"/>
      <c r="C5326" s="9">
        <f>IFERROR(__xludf.DUMMYFUNCTION("""COMPUTED_VALUE"""),44741.1010942824)</f>
        <v>44741.10109</v>
      </c>
      <c r="D5326" s="15">
        <f>IFERROR(__xludf.DUMMYFUNCTION("""COMPUTED_VALUE"""),1.005)</f>
        <v>1.005</v>
      </c>
      <c r="E5326" s="16">
        <f>IFERROR(__xludf.DUMMYFUNCTION("""COMPUTED_VALUE"""),69.0)</f>
        <v>69</v>
      </c>
      <c r="F5326" s="19" t="str">
        <f>IFERROR(__xludf.DUMMYFUNCTION("""COMPUTED_VALUE"""),"BLACK")</f>
        <v>BLACK</v>
      </c>
      <c r="G5326" s="20" t="str">
        <f>IFERROR(__xludf.DUMMYFUNCTION("""COMPUTED_VALUE"""),"Uncle Sams Cider (5/13/2022)")</f>
        <v>Uncle Sams Cider (5/13/2022)</v>
      </c>
      <c r="H5326" s="19"/>
    </row>
    <row r="5327">
      <c r="A5327" s="9"/>
      <c r="B5327" s="15"/>
      <c r="C5327" s="9">
        <f>IFERROR(__xludf.DUMMYFUNCTION("""COMPUTED_VALUE"""),44741.0906738657)</f>
        <v>44741.09067</v>
      </c>
      <c r="D5327" s="15">
        <f>IFERROR(__xludf.DUMMYFUNCTION("""COMPUTED_VALUE"""),1.005)</f>
        <v>1.005</v>
      </c>
      <c r="E5327" s="16">
        <f>IFERROR(__xludf.DUMMYFUNCTION("""COMPUTED_VALUE"""),69.0)</f>
        <v>69</v>
      </c>
      <c r="F5327" s="19" t="str">
        <f>IFERROR(__xludf.DUMMYFUNCTION("""COMPUTED_VALUE"""),"BLACK")</f>
        <v>BLACK</v>
      </c>
      <c r="G5327" s="20" t="str">
        <f>IFERROR(__xludf.DUMMYFUNCTION("""COMPUTED_VALUE"""),"Uncle Sams Cider (5/13/2022)")</f>
        <v>Uncle Sams Cider (5/13/2022)</v>
      </c>
      <c r="H5327" s="19"/>
    </row>
    <row r="5328">
      <c r="A5328" s="9"/>
      <c r="B5328" s="15"/>
      <c r="C5328" s="9">
        <f>IFERROR(__xludf.DUMMYFUNCTION("""COMPUTED_VALUE"""),44741.0802514583)</f>
        <v>44741.08025</v>
      </c>
      <c r="D5328" s="15">
        <f>IFERROR(__xludf.DUMMYFUNCTION("""COMPUTED_VALUE"""),1.005)</f>
        <v>1.005</v>
      </c>
      <c r="E5328" s="16">
        <f>IFERROR(__xludf.DUMMYFUNCTION("""COMPUTED_VALUE"""),69.0)</f>
        <v>69</v>
      </c>
      <c r="F5328" s="19" t="str">
        <f>IFERROR(__xludf.DUMMYFUNCTION("""COMPUTED_VALUE"""),"BLACK")</f>
        <v>BLACK</v>
      </c>
      <c r="G5328" s="20" t="str">
        <f>IFERROR(__xludf.DUMMYFUNCTION("""COMPUTED_VALUE"""),"Uncle Sams Cider (5/13/2022)")</f>
        <v>Uncle Sams Cider (5/13/2022)</v>
      </c>
      <c r="H5328" s="19"/>
    </row>
    <row r="5329">
      <c r="A5329" s="9"/>
      <c r="B5329" s="15"/>
      <c r="C5329" s="9">
        <f>IFERROR(__xludf.DUMMYFUNCTION("""COMPUTED_VALUE"""),44741.069828125)</f>
        <v>44741.06983</v>
      </c>
      <c r="D5329" s="15">
        <f>IFERROR(__xludf.DUMMYFUNCTION("""COMPUTED_VALUE"""),1.005)</f>
        <v>1.005</v>
      </c>
      <c r="E5329" s="16">
        <f>IFERROR(__xludf.DUMMYFUNCTION("""COMPUTED_VALUE"""),69.0)</f>
        <v>69</v>
      </c>
      <c r="F5329" s="19" t="str">
        <f>IFERROR(__xludf.DUMMYFUNCTION("""COMPUTED_VALUE"""),"BLACK")</f>
        <v>BLACK</v>
      </c>
      <c r="G5329" s="20" t="str">
        <f>IFERROR(__xludf.DUMMYFUNCTION("""COMPUTED_VALUE"""),"Uncle Sams Cider (5/13/2022)")</f>
        <v>Uncle Sams Cider (5/13/2022)</v>
      </c>
      <c r="H5329" s="19"/>
    </row>
    <row r="5330">
      <c r="A5330" s="9"/>
      <c r="B5330" s="15"/>
      <c r="C5330" s="9">
        <f>IFERROR(__xludf.DUMMYFUNCTION("""COMPUTED_VALUE"""),44741.0594072106)</f>
        <v>44741.05941</v>
      </c>
      <c r="D5330" s="15">
        <f>IFERROR(__xludf.DUMMYFUNCTION("""COMPUTED_VALUE"""),1.005)</f>
        <v>1.005</v>
      </c>
      <c r="E5330" s="16">
        <f>IFERROR(__xludf.DUMMYFUNCTION("""COMPUTED_VALUE"""),69.0)</f>
        <v>69</v>
      </c>
      <c r="F5330" s="19" t="str">
        <f>IFERROR(__xludf.DUMMYFUNCTION("""COMPUTED_VALUE"""),"BLACK")</f>
        <v>BLACK</v>
      </c>
      <c r="G5330" s="20" t="str">
        <f>IFERROR(__xludf.DUMMYFUNCTION("""COMPUTED_VALUE"""),"Uncle Sams Cider (5/13/2022)")</f>
        <v>Uncle Sams Cider (5/13/2022)</v>
      </c>
      <c r="H5330" s="19"/>
    </row>
    <row r="5331">
      <c r="A5331" s="9"/>
      <c r="B5331" s="15"/>
      <c r="C5331" s="9">
        <f>IFERROR(__xludf.DUMMYFUNCTION("""COMPUTED_VALUE"""),44741.048987199)</f>
        <v>44741.04899</v>
      </c>
      <c r="D5331" s="15">
        <f>IFERROR(__xludf.DUMMYFUNCTION("""COMPUTED_VALUE"""),1.005)</f>
        <v>1.005</v>
      </c>
      <c r="E5331" s="16">
        <f>IFERROR(__xludf.DUMMYFUNCTION("""COMPUTED_VALUE"""),69.0)</f>
        <v>69</v>
      </c>
      <c r="F5331" s="19" t="str">
        <f>IFERROR(__xludf.DUMMYFUNCTION("""COMPUTED_VALUE"""),"BLACK")</f>
        <v>BLACK</v>
      </c>
      <c r="G5331" s="20" t="str">
        <f>IFERROR(__xludf.DUMMYFUNCTION("""COMPUTED_VALUE"""),"Uncle Sams Cider (5/13/2022)")</f>
        <v>Uncle Sams Cider (5/13/2022)</v>
      </c>
      <c r="H5331" s="19"/>
    </row>
    <row r="5332">
      <c r="A5332" s="9"/>
      <c r="B5332" s="15"/>
      <c r="C5332" s="9">
        <f>IFERROR(__xludf.DUMMYFUNCTION("""COMPUTED_VALUE"""),44741.0385652199)</f>
        <v>44741.03857</v>
      </c>
      <c r="D5332" s="15">
        <f>IFERROR(__xludf.DUMMYFUNCTION("""COMPUTED_VALUE"""),1.005)</f>
        <v>1.005</v>
      </c>
      <c r="E5332" s="16">
        <f>IFERROR(__xludf.DUMMYFUNCTION("""COMPUTED_VALUE"""),69.0)</f>
        <v>69</v>
      </c>
      <c r="F5332" s="19" t="str">
        <f>IFERROR(__xludf.DUMMYFUNCTION("""COMPUTED_VALUE"""),"BLACK")</f>
        <v>BLACK</v>
      </c>
      <c r="G5332" s="20" t="str">
        <f>IFERROR(__xludf.DUMMYFUNCTION("""COMPUTED_VALUE"""),"Uncle Sams Cider (5/13/2022)")</f>
        <v>Uncle Sams Cider (5/13/2022)</v>
      </c>
      <c r="H5332" s="19"/>
    </row>
    <row r="5333">
      <c r="A5333" s="9"/>
      <c r="B5333" s="15"/>
      <c r="C5333" s="9">
        <f>IFERROR(__xludf.DUMMYFUNCTION("""COMPUTED_VALUE"""),44741.0281445601)</f>
        <v>44741.02814</v>
      </c>
      <c r="D5333" s="15">
        <f>IFERROR(__xludf.DUMMYFUNCTION("""COMPUTED_VALUE"""),1.005)</f>
        <v>1.005</v>
      </c>
      <c r="E5333" s="16">
        <f>IFERROR(__xludf.DUMMYFUNCTION("""COMPUTED_VALUE"""),69.0)</f>
        <v>69</v>
      </c>
      <c r="F5333" s="19" t="str">
        <f>IFERROR(__xludf.DUMMYFUNCTION("""COMPUTED_VALUE"""),"BLACK")</f>
        <v>BLACK</v>
      </c>
      <c r="G5333" s="20" t="str">
        <f>IFERROR(__xludf.DUMMYFUNCTION("""COMPUTED_VALUE"""),"Uncle Sams Cider (5/13/2022)")</f>
        <v>Uncle Sams Cider (5/13/2022)</v>
      </c>
      <c r="H5333" s="19"/>
    </row>
    <row r="5334">
      <c r="A5334" s="9"/>
      <c r="B5334" s="15"/>
      <c r="C5334" s="9">
        <f>IFERROR(__xludf.DUMMYFUNCTION("""COMPUTED_VALUE"""),44741.017721574)</f>
        <v>44741.01772</v>
      </c>
      <c r="D5334" s="15">
        <f>IFERROR(__xludf.DUMMYFUNCTION("""COMPUTED_VALUE"""),1.005)</f>
        <v>1.005</v>
      </c>
      <c r="E5334" s="16">
        <f>IFERROR(__xludf.DUMMYFUNCTION("""COMPUTED_VALUE"""),69.0)</f>
        <v>69</v>
      </c>
      <c r="F5334" s="19" t="str">
        <f>IFERROR(__xludf.DUMMYFUNCTION("""COMPUTED_VALUE"""),"BLACK")</f>
        <v>BLACK</v>
      </c>
      <c r="G5334" s="20" t="str">
        <f>IFERROR(__xludf.DUMMYFUNCTION("""COMPUTED_VALUE"""),"Uncle Sams Cider (5/13/2022)")</f>
        <v>Uncle Sams Cider (5/13/2022)</v>
      </c>
      <c r="H5334" s="19"/>
    </row>
    <row r="5335">
      <c r="A5335" s="9"/>
      <c r="B5335" s="15"/>
      <c r="C5335" s="9">
        <f>IFERROR(__xludf.DUMMYFUNCTION("""COMPUTED_VALUE"""),44741.0072882638)</f>
        <v>44741.00729</v>
      </c>
      <c r="D5335" s="15">
        <f>IFERROR(__xludf.DUMMYFUNCTION("""COMPUTED_VALUE"""),1.004)</f>
        <v>1.004</v>
      </c>
      <c r="E5335" s="16">
        <f>IFERROR(__xludf.DUMMYFUNCTION("""COMPUTED_VALUE"""),69.0)</f>
        <v>69</v>
      </c>
      <c r="F5335" s="19" t="str">
        <f>IFERROR(__xludf.DUMMYFUNCTION("""COMPUTED_VALUE"""),"BLACK")</f>
        <v>BLACK</v>
      </c>
      <c r="G5335" s="20" t="str">
        <f>IFERROR(__xludf.DUMMYFUNCTION("""COMPUTED_VALUE"""),"Uncle Sams Cider (5/13/2022)")</f>
        <v>Uncle Sams Cider (5/13/2022)</v>
      </c>
      <c r="H5335" s="19"/>
    </row>
    <row r="5336">
      <c r="A5336" s="9"/>
      <c r="B5336" s="15"/>
      <c r="C5336" s="9">
        <f>IFERROR(__xludf.DUMMYFUNCTION("""COMPUTED_VALUE"""),44740.9968672453)</f>
        <v>44740.99687</v>
      </c>
      <c r="D5336" s="15">
        <f>IFERROR(__xludf.DUMMYFUNCTION("""COMPUTED_VALUE"""),1.005)</f>
        <v>1.005</v>
      </c>
      <c r="E5336" s="16">
        <f>IFERROR(__xludf.DUMMYFUNCTION("""COMPUTED_VALUE"""),69.0)</f>
        <v>69</v>
      </c>
      <c r="F5336" s="19" t="str">
        <f>IFERROR(__xludf.DUMMYFUNCTION("""COMPUTED_VALUE"""),"BLACK")</f>
        <v>BLACK</v>
      </c>
      <c r="G5336" s="20" t="str">
        <f>IFERROR(__xludf.DUMMYFUNCTION("""COMPUTED_VALUE"""),"Uncle Sams Cider (5/13/2022)")</f>
        <v>Uncle Sams Cider (5/13/2022)</v>
      </c>
      <c r="H5336" s="19"/>
    </row>
    <row r="5337">
      <c r="A5337" s="9"/>
      <c r="B5337" s="15"/>
      <c r="C5337" s="9">
        <f>IFERROR(__xludf.DUMMYFUNCTION("""COMPUTED_VALUE"""),44740.98644603)</f>
        <v>44740.98645</v>
      </c>
      <c r="D5337" s="15">
        <f>IFERROR(__xludf.DUMMYFUNCTION("""COMPUTED_VALUE"""),1.005)</f>
        <v>1.005</v>
      </c>
      <c r="E5337" s="16">
        <f>IFERROR(__xludf.DUMMYFUNCTION("""COMPUTED_VALUE"""),69.0)</f>
        <v>69</v>
      </c>
      <c r="F5337" s="19" t="str">
        <f>IFERROR(__xludf.DUMMYFUNCTION("""COMPUTED_VALUE"""),"BLACK")</f>
        <v>BLACK</v>
      </c>
      <c r="G5337" s="20" t="str">
        <f>IFERROR(__xludf.DUMMYFUNCTION("""COMPUTED_VALUE"""),"Uncle Sams Cider (5/13/2022)")</f>
        <v>Uncle Sams Cider (5/13/2022)</v>
      </c>
      <c r="H5337" s="19"/>
    </row>
    <row r="5338">
      <c r="A5338" s="9"/>
      <c r="B5338" s="15"/>
      <c r="C5338" s="9">
        <f>IFERROR(__xludf.DUMMYFUNCTION("""COMPUTED_VALUE"""),44740.9760110532)</f>
        <v>44740.97601</v>
      </c>
      <c r="D5338" s="15">
        <f>IFERROR(__xludf.DUMMYFUNCTION("""COMPUTED_VALUE"""),1.004)</f>
        <v>1.004</v>
      </c>
      <c r="E5338" s="16">
        <f>IFERROR(__xludf.DUMMYFUNCTION("""COMPUTED_VALUE"""),69.0)</f>
        <v>69</v>
      </c>
      <c r="F5338" s="19" t="str">
        <f>IFERROR(__xludf.DUMMYFUNCTION("""COMPUTED_VALUE"""),"BLACK")</f>
        <v>BLACK</v>
      </c>
      <c r="G5338" s="20" t="str">
        <f>IFERROR(__xludf.DUMMYFUNCTION("""COMPUTED_VALUE"""),"Uncle Sams Cider (5/13/2022)")</f>
        <v>Uncle Sams Cider (5/13/2022)</v>
      </c>
      <c r="H5338" s="19"/>
    </row>
    <row r="5339">
      <c r="A5339" s="9"/>
      <c r="B5339" s="15"/>
      <c r="C5339" s="9">
        <f>IFERROR(__xludf.DUMMYFUNCTION("""COMPUTED_VALUE"""),44740.9655917245)</f>
        <v>44740.96559</v>
      </c>
      <c r="D5339" s="15">
        <f>IFERROR(__xludf.DUMMYFUNCTION("""COMPUTED_VALUE"""),1.005)</f>
        <v>1.005</v>
      </c>
      <c r="E5339" s="16">
        <f>IFERROR(__xludf.DUMMYFUNCTION("""COMPUTED_VALUE"""),69.0)</f>
        <v>69</v>
      </c>
      <c r="F5339" s="19" t="str">
        <f>IFERROR(__xludf.DUMMYFUNCTION("""COMPUTED_VALUE"""),"BLACK")</f>
        <v>BLACK</v>
      </c>
      <c r="G5339" s="20" t="str">
        <f>IFERROR(__xludf.DUMMYFUNCTION("""COMPUTED_VALUE"""),"Uncle Sams Cider (5/13/2022)")</f>
        <v>Uncle Sams Cider (5/13/2022)</v>
      </c>
      <c r="H5339" s="19"/>
    </row>
    <row r="5340">
      <c r="A5340" s="9"/>
      <c r="B5340" s="15"/>
      <c r="C5340" s="9">
        <f>IFERROR(__xludf.DUMMYFUNCTION("""COMPUTED_VALUE"""),44740.9551697569)</f>
        <v>44740.95517</v>
      </c>
      <c r="D5340" s="15">
        <f>IFERROR(__xludf.DUMMYFUNCTION("""COMPUTED_VALUE"""),1.005)</f>
        <v>1.005</v>
      </c>
      <c r="E5340" s="16">
        <f>IFERROR(__xludf.DUMMYFUNCTION("""COMPUTED_VALUE"""),69.0)</f>
        <v>69</v>
      </c>
      <c r="F5340" s="19" t="str">
        <f>IFERROR(__xludf.DUMMYFUNCTION("""COMPUTED_VALUE"""),"BLACK")</f>
        <v>BLACK</v>
      </c>
      <c r="G5340" s="20" t="str">
        <f>IFERROR(__xludf.DUMMYFUNCTION("""COMPUTED_VALUE"""),"Uncle Sams Cider (5/13/2022)")</f>
        <v>Uncle Sams Cider (5/13/2022)</v>
      </c>
      <c r="H5340" s="19"/>
    </row>
    <row r="5341">
      <c r="A5341" s="9"/>
      <c r="B5341" s="15"/>
      <c r="C5341" s="9">
        <f>IFERROR(__xludf.DUMMYFUNCTION("""COMPUTED_VALUE"""),44740.9447480787)</f>
        <v>44740.94475</v>
      </c>
      <c r="D5341" s="15">
        <f>IFERROR(__xludf.DUMMYFUNCTION("""COMPUTED_VALUE"""),1.005)</f>
        <v>1.005</v>
      </c>
      <c r="E5341" s="16">
        <f>IFERROR(__xludf.DUMMYFUNCTION("""COMPUTED_VALUE"""),69.0)</f>
        <v>69</v>
      </c>
      <c r="F5341" s="19" t="str">
        <f>IFERROR(__xludf.DUMMYFUNCTION("""COMPUTED_VALUE"""),"BLACK")</f>
        <v>BLACK</v>
      </c>
      <c r="G5341" s="20" t="str">
        <f>IFERROR(__xludf.DUMMYFUNCTION("""COMPUTED_VALUE"""),"Uncle Sams Cider (5/13/2022)")</f>
        <v>Uncle Sams Cider (5/13/2022)</v>
      </c>
      <c r="H5341" s="19"/>
    </row>
    <row r="5342">
      <c r="A5342" s="9"/>
      <c r="B5342" s="15"/>
      <c r="C5342" s="9">
        <f>IFERROR(__xludf.DUMMYFUNCTION("""COMPUTED_VALUE"""),44740.9343282175)</f>
        <v>44740.93433</v>
      </c>
      <c r="D5342" s="15">
        <f>IFERROR(__xludf.DUMMYFUNCTION("""COMPUTED_VALUE"""),1.005)</f>
        <v>1.005</v>
      </c>
      <c r="E5342" s="16">
        <f>IFERROR(__xludf.DUMMYFUNCTION("""COMPUTED_VALUE"""),69.0)</f>
        <v>69</v>
      </c>
      <c r="F5342" s="19" t="str">
        <f>IFERROR(__xludf.DUMMYFUNCTION("""COMPUTED_VALUE"""),"BLACK")</f>
        <v>BLACK</v>
      </c>
      <c r="G5342" s="20" t="str">
        <f>IFERROR(__xludf.DUMMYFUNCTION("""COMPUTED_VALUE"""),"Uncle Sams Cider (5/13/2022)")</f>
        <v>Uncle Sams Cider (5/13/2022)</v>
      </c>
      <c r="H5342" s="19"/>
    </row>
    <row r="5343">
      <c r="A5343" s="9"/>
      <c r="B5343" s="15"/>
      <c r="C5343" s="9">
        <f>IFERROR(__xludf.DUMMYFUNCTION("""COMPUTED_VALUE"""),44740.9238939583)</f>
        <v>44740.92389</v>
      </c>
      <c r="D5343" s="15">
        <f>IFERROR(__xludf.DUMMYFUNCTION("""COMPUTED_VALUE"""),1.005)</f>
        <v>1.005</v>
      </c>
      <c r="E5343" s="16">
        <f>IFERROR(__xludf.DUMMYFUNCTION("""COMPUTED_VALUE"""),69.0)</f>
        <v>69</v>
      </c>
      <c r="F5343" s="19" t="str">
        <f>IFERROR(__xludf.DUMMYFUNCTION("""COMPUTED_VALUE"""),"BLACK")</f>
        <v>BLACK</v>
      </c>
      <c r="G5343" s="20" t="str">
        <f>IFERROR(__xludf.DUMMYFUNCTION("""COMPUTED_VALUE"""),"Uncle Sams Cider (5/13/2022)")</f>
        <v>Uncle Sams Cider (5/13/2022)</v>
      </c>
      <c r="H5343" s="19"/>
    </row>
    <row r="5344">
      <c r="A5344" s="9"/>
      <c r="B5344" s="15"/>
      <c r="C5344" s="9">
        <f>IFERROR(__xludf.DUMMYFUNCTION("""COMPUTED_VALUE"""),44740.9134732986)</f>
        <v>44740.91347</v>
      </c>
      <c r="D5344" s="15">
        <f>IFERROR(__xludf.DUMMYFUNCTION("""COMPUTED_VALUE"""),1.004)</f>
        <v>1.004</v>
      </c>
      <c r="E5344" s="16">
        <f>IFERROR(__xludf.DUMMYFUNCTION("""COMPUTED_VALUE"""),69.0)</f>
        <v>69</v>
      </c>
      <c r="F5344" s="19" t="str">
        <f>IFERROR(__xludf.DUMMYFUNCTION("""COMPUTED_VALUE"""),"BLACK")</f>
        <v>BLACK</v>
      </c>
      <c r="G5344" s="20" t="str">
        <f>IFERROR(__xludf.DUMMYFUNCTION("""COMPUTED_VALUE"""),"Uncle Sams Cider (5/13/2022)")</f>
        <v>Uncle Sams Cider (5/13/2022)</v>
      </c>
      <c r="H5344" s="19"/>
    </row>
    <row r="5345">
      <c r="A5345" s="9"/>
      <c r="B5345" s="15"/>
      <c r="C5345" s="9">
        <f>IFERROR(__xludf.DUMMYFUNCTION("""COMPUTED_VALUE"""),44740.903052199)</f>
        <v>44740.90305</v>
      </c>
      <c r="D5345" s="15">
        <f>IFERROR(__xludf.DUMMYFUNCTION("""COMPUTED_VALUE"""),1.005)</f>
        <v>1.005</v>
      </c>
      <c r="E5345" s="16">
        <f>IFERROR(__xludf.DUMMYFUNCTION("""COMPUTED_VALUE"""),69.0)</f>
        <v>69</v>
      </c>
      <c r="F5345" s="19" t="str">
        <f>IFERROR(__xludf.DUMMYFUNCTION("""COMPUTED_VALUE"""),"BLACK")</f>
        <v>BLACK</v>
      </c>
      <c r="G5345" s="20" t="str">
        <f>IFERROR(__xludf.DUMMYFUNCTION("""COMPUTED_VALUE"""),"Uncle Sams Cider (5/13/2022)")</f>
        <v>Uncle Sams Cider (5/13/2022)</v>
      </c>
      <c r="H5345" s="19"/>
    </row>
    <row r="5346">
      <c r="A5346" s="9"/>
      <c r="B5346" s="15"/>
      <c r="C5346" s="9">
        <f>IFERROR(__xludf.DUMMYFUNCTION("""COMPUTED_VALUE"""),44740.8926309027)</f>
        <v>44740.89263</v>
      </c>
      <c r="D5346" s="15">
        <f>IFERROR(__xludf.DUMMYFUNCTION("""COMPUTED_VALUE"""),1.005)</f>
        <v>1.005</v>
      </c>
      <c r="E5346" s="16">
        <f>IFERROR(__xludf.DUMMYFUNCTION("""COMPUTED_VALUE"""),69.0)</f>
        <v>69</v>
      </c>
      <c r="F5346" s="19" t="str">
        <f>IFERROR(__xludf.DUMMYFUNCTION("""COMPUTED_VALUE"""),"BLACK")</f>
        <v>BLACK</v>
      </c>
      <c r="G5346" s="20" t="str">
        <f>IFERROR(__xludf.DUMMYFUNCTION("""COMPUTED_VALUE"""),"Uncle Sams Cider (5/13/2022)")</f>
        <v>Uncle Sams Cider (5/13/2022)</v>
      </c>
      <c r="H5346" s="19"/>
    </row>
    <row r="5347">
      <c r="A5347" s="9"/>
      <c r="B5347" s="15"/>
      <c r="C5347" s="9">
        <f>IFERROR(__xludf.DUMMYFUNCTION("""COMPUTED_VALUE"""),44740.882210868)</f>
        <v>44740.88221</v>
      </c>
      <c r="D5347" s="15">
        <f>IFERROR(__xludf.DUMMYFUNCTION("""COMPUTED_VALUE"""),1.005)</f>
        <v>1.005</v>
      </c>
      <c r="E5347" s="16">
        <f>IFERROR(__xludf.DUMMYFUNCTION("""COMPUTED_VALUE"""),69.0)</f>
        <v>69</v>
      </c>
      <c r="F5347" s="19" t="str">
        <f>IFERROR(__xludf.DUMMYFUNCTION("""COMPUTED_VALUE"""),"BLACK")</f>
        <v>BLACK</v>
      </c>
      <c r="G5347" s="20" t="str">
        <f>IFERROR(__xludf.DUMMYFUNCTION("""COMPUTED_VALUE"""),"Uncle Sams Cider (5/13/2022)")</f>
        <v>Uncle Sams Cider (5/13/2022)</v>
      </c>
      <c r="H5347" s="19"/>
    </row>
    <row r="5348">
      <c r="A5348" s="9"/>
      <c r="B5348" s="15"/>
      <c r="C5348" s="9">
        <f>IFERROR(__xludf.DUMMYFUNCTION("""COMPUTED_VALUE"""),44740.8717897338)</f>
        <v>44740.87179</v>
      </c>
      <c r="D5348" s="15">
        <f>IFERROR(__xludf.DUMMYFUNCTION("""COMPUTED_VALUE"""),1.005)</f>
        <v>1.005</v>
      </c>
      <c r="E5348" s="16">
        <f>IFERROR(__xludf.DUMMYFUNCTION("""COMPUTED_VALUE"""),69.0)</f>
        <v>69</v>
      </c>
      <c r="F5348" s="19" t="str">
        <f>IFERROR(__xludf.DUMMYFUNCTION("""COMPUTED_VALUE"""),"BLACK")</f>
        <v>BLACK</v>
      </c>
      <c r="G5348" s="20" t="str">
        <f>IFERROR(__xludf.DUMMYFUNCTION("""COMPUTED_VALUE"""),"Uncle Sams Cider (5/13/2022)")</f>
        <v>Uncle Sams Cider (5/13/2022)</v>
      </c>
      <c r="H5348" s="19"/>
    </row>
    <row r="5349">
      <c r="A5349" s="9"/>
      <c r="B5349" s="15"/>
      <c r="C5349" s="9">
        <f>IFERROR(__xludf.DUMMYFUNCTION("""COMPUTED_VALUE"""),44740.861368368)</f>
        <v>44740.86137</v>
      </c>
      <c r="D5349" s="15">
        <f>IFERROR(__xludf.DUMMYFUNCTION("""COMPUTED_VALUE"""),1.004)</f>
        <v>1.004</v>
      </c>
      <c r="E5349" s="16">
        <f>IFERROR(__xludf.DUMMYFUNCTION("""COMPUTED_VALUE"""),69.0)</f>
        <v>69</v>
      </c>
      <c r="F5349" s="19" t="str">
        <f>IFERROR(__xludf.DUMMYFUNCTION("""COMPUTED_VALUE"""),"BLACK")</f>
        <v>BLACK</v>
      </c>
      <c r="G5349" s="20" t="str">
        <f>IFERROR(__xludf.DUMMYFUNCTION("""COMPUTED_VALUE"""),"Uncle Sams Cider (5/13/2022)")</f>
        <v>Uncle Sams Cider (5/13/2022)</v>
      </c>
      <c r="H5349" s="19"/>
    </row>
    <row r="5350">
      <c r="A5350" s="9"/>
      <c r="B5350" s="15"/>
      <c r="C5350" s="9">
        <f>IFERROR(__xludf.DUMMYFUNCTION("""COMPUTED_VALUE"""),44740.8509476273)</f>
        <v>44740.85095</v>
      </c>
      <c r="D5350" s="15">
        <f>IFERROR(__xludf.DUMMYFUNCTION("""COMPUTED_VALUE"""),1.005)</f>
        <v>1.005</v>
      </c>
      <c r="E5350" s="16">
        <f>IFERROR(__xludf.DUMMYFUNCTION("""COMPUTED_VALUE"""),69.0)</f>
        <v>69</v>
      </c>
      <c r="F5350" s="19" t="str">
        <f>IFERROR(__xludf.DUMMYFUNCTION("""COMPUTED_VALUE"""),"BLACK")</f>
        <v>BLACK</v>
      </c>
      <c r="G5350" s="20" t="str">
        <f>IFERROR(__xludf.DUMMYFUNCTION("""COMPUTED_VALUE"""),"Uncle Sams Cider (5/13/2022)")</f>
        <v>Uncle Sams Cider (5/13/2022)</v>
      </c>
      <c r="H5350" s="19"/>
    </row>
    <row r="5351">
      <c r="A5351" s="9"/>
      <c r="B5351" s="15"/>
      <c r="C5351" s="9">
        <f>IFERROR(__xludf.DUMMYFUNCTION("""COMPUTED_VALUE"""),44740.8405255324)</f>
        <v>44740.84053</v>
      </c>
      <c r="D5351" s="15">
        <f>IFERROR(__xludf.DUMMYFUNCTION("""COMPUTED_VALUE"""),1.005)</f>
        <v>1.005</v>
      </c>
      <c r="E5351" s="16">
        <f>IFERROR(__xludf.DUMMYFUNCTION("""COMPUTED_VALUE"""),69.0)</f>
        <v>69</v>
      </c>
      <c r="F5351" s="19" t="str">
        <f>IFERROR(__xludf.DUMMYFUNCTION("""COMPUTED_VALUE"""),"BLACK")</f>
        <v>BLACK</v>
      </c>
      <c r="G5351" s="20" t="str">
        <f>IFERROR(__xludf.DUMMYFUNCTION("""COMPUTED_VALUE"""),"Uncle Sams Cider (5/13/2022)")</f>
        <v>Uncle Sams Cider (5/13/2022)</v>
      </c>
      <c r="H5351" s="19"/>
    </row>
    <row r="5352">
      <c r="A5352" s="9"/>
      <c r="B5352" s="15"/>
      <c r="C5352" s="9">
        <f>IFERROR(__xludf.DUMMYFUNCTION("""COMPUTED_VALUE"""),44740.8301048148)</f>
        <v>44740.8301</v>
      </c>
      <c r="D5352" s="15">
        <f>IFERROR(__xludf.DUMMYFUNCTION("""COMPUTED_VALUE"""),1.005)</f>
        <v>1.005</v>
      </c>
      <c r="E5352" s="16">
        <f>IFERROR(__xludf.DUMMYFUNCTION("""COMPUTED_VALUE"""),69.0)</f>
        <v>69</v>
      </c>
      <c r="F5352" s="19" t="str">
        <f>IFERROR(__xludf.DUMMYFUNCTION("""COMPUTED_VALUE"""),"BLACK")</f>
        <v>BLACK</v>
      </c>
      <c r="G5352" s="20" t="str">
        <f>IFERROR(__xludf.DUMMYFUNCTION("""COMPUTED_VALUE"""),"Uncle Sams Cider (5/13/2022)")</f>
        <v>Uncle Sams Cider (5/13/2022)</v>
      </c>
      <c r="H5352" s="19"/>
    </row>
    <row r="5353">
      <c r="A5353" s="9"/>
      <c r="B5353" s="15"/>
      <c r="C5353" s="9">
        <f>IFERROR(__xludf.DUMMYFUNCTION("""COMPUTED_VALUE"""),44740.8196843171)</f>
        <v>44740.81968</v>
      </c>
      <c r="D5353" s="15">
        <f>IFERROR(__xludf.DUMMYFUNCTION("""COMPUTED_VALUE"""),1.005)</f>
        <v>1.005</v>
      </c>
      <c r="E5353" s="16">
        <f>IFERROR(__xludf.DUMMYFUNCTION("""COMPUTED_VALUE"""),69.0)</f>
        <v>69</v>
      </c>
      <c r="F5353" s="19" t="str">
        <f>IFERROR(__xludf.DUMMYFUNCTION("""COMPUTED_VALUE"""),"BLACK")</f>
        <v>BLACK</v>
      </c>
      <c r="G5353" s="20" t="str">
        <f>IFERROR(__xludf.DUMMYFUNCTION("""COMPUTED_VALUE"""),"Uncle Sams Cider (5/13/2022)")</f>
        <v>Uncle Sams Cider (5/13/2022)</v>
      </c>
      <c r="H5353" s="19"/>
    </row>
    <row r="5354">
      <c r="A5354" s="9"/>
      <c r="B5354" s="15"/>
      <c r="C5354" s="9">
        <f>IFERROR(__xludf.DUMMYFUNCTION("""COMPUTED_VALUE"""),44740.8092533449)</f>
        <v>44740.80925</v>
      </c>
      <c r="D5354" s="15">
        <f>IFERROR(__xludf.DUMMYFUNCTION("""COMPUTED_VALUE"""),1.004)</f>
        <v>1.004</v>
      </c>
      <c r="E5354" s="16">
        <f>IFERROR(__xludf.DUMMYFUNCTION("""COMPUTED_VALUE"""),69.0)</f>
        <v>69</v>
      </c>
      <c r="F5354" s="19" t="str">
        <f>IFERROR(__xludf.DUMMYFUNCTION("""COMPUTED_VALUE"""),"BLACK")</f>
        <v>BLACK</v>
      </c>
      <c r="G5354" s="20" t="str">
        <f>IFERROR(__xludf.DUMMYFUNCTION("""COMPUTED_VALUE"""),"Uncle Sams Cider (5/13/2022)")</f>
        <v>Uncle Sams Cider (5/13/2022)</v>
      </c>
      <c r="H5354" s="19"/>
    </row>
    <row r="5355">
      <c r="A5355" s="9"/>
      <c r="B5355" s="15"/>
      <c r="C5355" s="9">
        <f>IFERROR(__xludf.DUMMYFUNCTION("""COMPUTED_VALUE"""),44740.7988320833)</f>
        <v>44740.79883</v>
      </c>
      <c r="D5355" s="15">
        <f>IFERROR(__xludf.DUMMYFUNCTION("""COMPUTED_VALUE"""),1.005)</f>
        <v>1.005</v>
      </c>
      <c r="E5355" s="16">
        <f>IFERROR(__xludf.DUMMYFUNCTION("""COMPUTED_VALUE"""),69.0)</f>
        <v>69</v>
      </c>
      <c r="F5355" s="19" t="str">
        <f>IFERROR(__xludf.DUMMYFUNCTION("""COMPUTED_VALUE"""),"BLACK")</f>
        <v>BLACK</v>
      </c>
      <c r="G5355" s="20" t="str">
        <f>IFERROR(__xludf.DUMMYFUNCTION("""COMPUTED_VALUE"""),"Uncle Sams Cider (5/13/2022)")</f>
        <v>Uncle Sams Cider (5/13/2022)</v>
      </c>
      <c r="H5355" s="19"/>
    </row>
    <row r="5356">
      <c r="A5356" s="9"/>
      <c r="B5356" s="15"/>
      <c r="C5356" s="9">
        <f>IFERROR(__xludf.DUMMYFUNCTION("""COMPUTED_VALUE"""),44740.7883979282)</f>
        <v>44740.7884</v>
      </c>
      <c r="D5356" s="15">
        <f>IFERROR(__xludf.DUMMYFUNCTION("""COMPUTED_VALUE"""),1.005)</f>
        <v>1.005</v>
      </c>
      <c r="E5356" s="16">
        <f>IFERROR(__xludf.DUMMYFUNCTION("""COMPUTED_VALUE"""),69.0)</f>
        <v>69</v>
      </c>
      <c r="F5356" s="19" t="str">
        <f>IFERROR(__xludf.DUMMYFUNCTION("""COMPUTED_VALUE"""),"BLACK")</f>
        <v>BLACK</v>
      </c>
      <c r="G5356" s="20" t="str">
        <f>IFERROR(__xludf.DUMMYFUNCTION("""COMPUTED_VALUE"""),"Uncle Sams Cider (5/13/2022)")</f>
        <v>Uncle Sams Cider (5/13/2022)</v>
      </c>
      <c r="H5356" s="19"/>
    </row>
    <row r="5357">
      <c r="A5357" s="9"/>
      <c r="B5357" s="15"/>
      <c r="C5357" s="9">
        <f>IFERROR(__xludf.DUMMYFUNCTION("""COMPUTED_VALUE"""),44740.7779764699)</f>
        <v>44740.77798</v>
      </c>
      <c r="D5357" s="15">
        <f>IFERROR(__xludf.DUMMYFUNCTION("""COMPUTED_VALUE"""),1.005)</f>
        <v>1.005</v>
      </c>
      <c r="E5357" s="16">
        <f>IFERROR(__xludf.DUMMYFUNCTION("""COMPUTED_VALUE"""),69.0)</f>
        <v>69</v>
      </c>
      <c r="F5357" s="19" t="str">
        <f>IFERROR(__xludf.DUMMYFUNCTION("""COMPUTED_VALUE"""),"BLACK")</f>
        <v>BLACK</v>
      </c>
      <c r="G5357" s="20" t="str">
        <f>IFERROR(__xludf.DUMMYFUNCTION("""COMPUTED_VALUE"""),"Uncle Sams Cider (5/13/2022)")</f>
        <v>Uncle Sams Cider (5/13/2022)</v>
      </c>
      <c r="H5357" s="19"/>
    </row>
    <row r="5358">
      <c r="A5358" s="9"/>
      <c r="B5358" s="15"/>
      <c r="C5358" s="9">
        <f>IFERROR(__xludf.DUMMYFUNCTION("""COMPUTED_VALUE"""),44740.7675438426)</f>
        <v>44740.76754</v>
      </c>
      <c r="D5358" s="15">
        <f>IFERROR(__xludf.DUMMYFUNCTION("""COMPUTED_VALUE"""),1.004)</f>
        <v>1.004</v>
      </c>
      <c r="E5358" s="16">
        <f>IFERROR(__xludf.DUMMYFUNCTION("""COMPUTED_VALUE"""),69.0)</f>
        <v>69</v>
      </c>
      <c r="F5358" s="19" t="str">
        <f>IFERROR(__xludf.DUMMYFUNCTION("""COMPUTED_VALUE"""),"BLACK")</f>
        <v>BLACK</v>
      </c>
      <c r="G5358" s="20" t="str">
        <f>IFERROR(__xludf.DUMMYFUNCTION("""COMPUTED_VALUE"""),"Uncle Sams Cider (5/13/2022)")</f>
        <v>Uncle Sams Cider (5/13/2022)</v>
      </c>
      <c r="H5358" s="19"/>
    </row>
    <row r="5359">
      <c r="A5359" s="9"/>
      <c r="B5359" s="15"/>
      <c r="C5359" s="9">
        <f>IFERROR(__xludf.DUMMYFUNCTION("""COMPUTED_VALUE"""),44740.7571228588)</f>
        <v>44740.75712</v>
      </c>
      <c r="D5359" s="15">
        <f>IFERROR(__xludf.DUMMYFUNCTION("""COMPUTED_VALUE"""),1.005)</f>
        <v>1.005</v>
      </c>
      <c r="E5359" s="16">
        <f>IFERROR(__xludf.DUMMYFUNCTION("""COMPUTED_VALUE"""),69.0)</f>
        <v>69</v>
      </c>
      <c r="F5359" s="19" t="str">
        <f>IFERROR(__xludf.DUMMYFUNCTION("""COMPUTED_VALUE"""),"BLACK")</f>
        <v>BLACK</v>
      </c>
      <c r="G5359" s="20" t="str">
        <f>IFERROR(__xludf.DUMMYFUNCTION("""COMPUTED_VALUE"""),"Uncle Sams Cider (5/13/2022)")</f>
        <v>Uncle Sams Cider (5/13/2022)</v>
      </c>
      <c r="H5359" s="19"/>
    </row>
    <row r="5360">
      <c r="A5360" s="9"/>
      <c r="B5360" s="15"/>
      <c r="C5360" s="9">
        <f>IFERROR(__xludf.DUMMYFUNCTION("""COMPUTED_VALUE"""),44740.7467014814)</f>
        <v>44740.7467</v>
      </c>
      <c r="D5360" s="15">
        <f>IFERROR(__xludf.DUMMYFUNCTION("""COMPUTED_VALUE"""),1.005)</f>
        <v>1.005</v>
      </c>
      <c r="E5360" s="16">
        <f>IFERROR(__xludf.DUMMYFUNCTION("""COMPUTED_VALUE"""),69.0)</f>
        <v>69</v>
      </c>
      <c r="F5360" s="19" t="str">
        <f>IFERROR(__xludf.DUMMYFUNCTION("""COMPUTED_VALUE"""),"BLACK")</f>
        <v>BLACK</v>
      </c>
      <c r="G5360" s="20" t="str">
        <f>IFERROR(__xludf.DUMMYFUNCTION("""COMPUTED_VALUE"""),"Uncle Sams Cider (5/13/2022)")</f>
        <v>Uncle Sams Cider (5/13/2022)</v>
      </c>
      <c r="H5360" s="19"/>
    </row>
    <row r="5361">
      <c r="A5361" s="9"/>
      <c r="B5361" s="15"/>
      <c r="C5361" s="9">
        <f>IFERROR(__xludf.DUMMYFUNCTION("""COMPUTED_VALUE"""),44740.7362687962)</f>
        <v>44740.73627</v>
      </c>
      <c r="D5361" s="15">
        <f>IFERROR(__xludf.DUMMYFUNCTION("""COMPUTED_VALUE"""),1.005)</f>
        <v>1.005</v>
      </c>
      <c r="E5361" s="16">
        <f>IFERROR(__xludf.DUMMYFUNCTION("""COMPUTED_VALUE"""),69.0)</f>
        <v>69</v>
      </c>
      <c r="F5361" s="19" t="str">
        <f>IFERROR(__xludf.DUMMYFUNCTION("""COMPUTED_VALUE"""),"BLACK")</f>
        <v>BLACK</v>
      </c>
      <c r="G5361" s="20" t="str">
        <f>IFERROR(__xludf.DUMMYFUNCTION("""COMPUTED_VALUE"""),"Uncle Sams Cider (5/13/2022)")</f>
        <v>Uncle Sams Cider (5/13/2022)</v>
      </c>
      <c r="H5361" s="19"/>
    </row>
    <row r="5362">
      <c r="A5362" s="9"/>
      <c r="B5362" s="15"/>
      <c r="C5362" s="9">
        <f>IFERROR(__xludf.DUMMYFUNCTION("""COMPUTED_VALUE"""),44740.7258477314)</f>
        <v>44740.72585</v>
      </c>
      <c r="D5362" s="15">
        <f>IFERROR(__xludf.DUMMYFUNCTION("""COMPUTED_VALUE"""),1.005)</f>
        <v>1.005</v>
      </c>
      <c r="E5362" s="16">
        <f>IFERROR(__xludf.DUMMYFUNCTION("""COMPUTED_VALUE"""),69.0)</f>
        <v>69</v>
      </c>
      <c r="F5362" s="19" t="str">
        <f>IFERROR(__xludf.DUMMYFUNCTION("""COMPUTED_VALUE"""),"BLACK")</f>
        <v>BLACK</v>
      </c>
      <c r="G5362" s="20" t="str">
        <f>IFERROR(__xludf.DUMMYFUNCTION("""COMPUTED_VALUE"""),"Uncle Sams Cider (5/13/2022)")</f>
        <v>Uncle Sams Cider (5/13/2022)</v>
      </c>
      <c r="H5362" s="19"/>
    </row>
    <row r="5363">
      <c r="A5363" s="9"/>
      <c r="B5363" s="15"/>
      <c r="C5363" s="9">
        <f>IFERROR(__xludf.DUMMYFUNCTION("""COMPUTED_VALUE"""),44740.7154275578)</f>
        <v>44740.71543</v>
      </c>
      <c r="D5363" s="15">
        <f>IFERROR(__xludf.DUMMYFUNCTION("""COMPUTED_VALUE"""),1.004)</f>
        <v>1.004</v>
      </c>
      <c r="E5363" s="16">
        <f>IFERROR(__xludf.DUMMYFUNCTION("""COMPUTED_VALUE"""),69.0)</f>
        <v>69</v>
      </c>
      <c r="F5363" s="19" t="str">
        <f>IFERROR(__xludf.DUMMYFUNCTION("""COMPUTED_VALUE"""),"BLACK")</f>
        <v>BLACK</v>
      </c>
      <c r="G5363" s="20" t="str">
        <f>IFERROR(__xludf.DUMMYFUNCTION("""COMPUTED_VALUE"""),"Uncle Sams Cider (5/13/2022)")</f>
        <v>Uncle Sams Cider (5/13/2022)</v>
      </c>
      <c r="H5363" s="19"/>
    </row>
    <row r="5364">
      <c r="A5364" s="9"/>
      <c r="B5364" s="15"/>
      <c r="C5364" s="9">
        <f>IFERROR(__xludf.DUMMYFUNCTION("""COMPUTED_VALUE"""),44740.7050070949)</f>
        <v>44740.70501</v>
      </c>
      <c r="D5364" s="15">
        <f>IFERROR(__xludf.DUMMYFUNCTION("""COMPUTED_VALUE"""),1.005)</f>
        <v>1.005</v>
      </c>
      <c r="E5364" s="16">
        <f>IFERROR(__xludf.DUMMYFUNCTION("""COMPUTED_VALUE"""),69.0)</f>
        <v>69</v>
      </c>
      <c r="F5364" s="19" t="str">
        <f>IFERROR(__xludf.DUMMYFUNCTION("""COMPUTED_VALUE"""),"BLACK")</f>
        <v>BLACK</v>
      </c>
      <c r="G5364" s="20" t="str">
        <f>IFERROR(__xludf.DUMMYFUNCTION("""COMPUTED_VALUE"""),"Uncle Sams Cider (5/13/2022)")</f>
        <v>Uncle Sams Cider (5/13/2022)</v>
      </c>
      <c r="H5364" s="19"/>
    </row>
    <row r="5365">
      <c r="A5365" s="9"/>
      <c r="B5365" s="15"/>
      <c r="C5365" s="9">
        <f>IFERROR(__xludf.DUMMYFUNCTION("""COMPUTED_VALUE"""),44740.6945848958)</f>
        <v>44740.69458</v>
      </c>
      <c r="D5365" s="15">
        <f>IFERROR(__xludf.DUMMYFUNCTION("""COMPUTED_VALUE"""),1.005)</f>
        <v>1.005</v>
      </c>
      <c r="E5365" s="16">
        <f>IFERROR(__xludf.DUMMYFUNCTION("""COMPUTED_VALUE"""),69.0)</f>
        <v>69</v>
      </c>
      <c r="F5365" s="19" t="str">
        <f>IFERROR(__xludf.DUMMYFUNCTION("""COMPUTED_VALUE"""),"BLACK")</f>
        <v>BLACK</v>
      </c>
      <c r="G5365" s="20" t="str">
        <f>IFERROR(__xludf.DUMMYFUNCTION("""COMPUTED_VALUE"""),"Uncle Sams Cider (5/13/2022)")</f>
        <v>Uncle Sams Cider (5/13/2022)</v>
      </c>
      <c r="H5365" s="19"/>
    </row>
    <row r="5366">
      <c r="A5366" s="9"/>
      <c r="B5366" s="15"/>
      <c r="C5366" s="9">
        <f>IFERROR(__xludf.DUMMYFUNCTION("""COMPUTED_VALUE"""),44740.6841636921)</f>
        <v>44740.68416</v>
      </c>
      <c r="D5366" s="15">
        <f>IFERROR(__xludf.DUMMYFUNCTION("""COMPUTED_VALUE"""),1.005)</f>
        <v>1.005</v>
      </c>
      <c r="E5366" s="16">
        <f>IFERROR(__xludf.DUMMYFUNCTION("""COMPUTED_VALUE"""),69.0)</f>
        <v>69</v>
      </c>
      <c r="F5366" s="19" t="str">
        <f>IFERROR(__xludf.DUMMYFUNCTION("""COMPUTED_VALUE"""),"BLACK")</f>
        <v>BLACK</v>
      </c>
      <c r="G5366" s="20" t="str">
        <f>IFERROR(__xludf.DUMMYFUNCTION("""COMPUTED_VALUE"""),"Uncle Sams Cider (5/13/2022)")</f>
        <v>Uncle Sams Cider (5/13/2022)</v>
      </c>
      <c r="H5366" s="19"/>
    </row>
    <row r="5367">
      <c r="A5367" s="9"/>
      <c r="B5367" s="15"/>
      <c r="C5367" s="9">
        <f>IFERROR(__xludf.DUMMYFUNCTION("""COMPUTED_VALUE"""),44740.6737419212)</f>
        <v>44740.67374</v>
      </c>
      <c r="D5367" s="15">
        <f>IFERROR(__xludf.DUMMYFUNCTION("""COMPUTED_VALUE"""),1.005)</f>
        <v>1.005</v>
      </c>
      <c r="E5367" s="16">
        <f>IFERROR(__xludf.DUMMYFUNCTION("""COMPUTED_VALUE"""),69.0)</f>
        <v>69</v>
      </c>
      <c r="F5367" s="19" t="str">
        <f>IFERROR(__xludf.DUMMYFUNCTION("""COMPUTED_VALUE"""),"BLACK")</f>
        <v>BLACK</v>
      </c>
      <c r="G5367" s="20" t="str">
        <f>IFERROR(__xludf.DUMMYFUNCTION("""COMPUTED_VALUE"""),"Uncle Sams Cider (5/13/2022)")</f>
        <v>Uncle Sams Cider (5/13/2022)</v>
      </c>
      <c r="H5367" s="19"/>
    </row>
    <row r="5368">
      <c r="A5368" s="9"/>
      <c r="B5368" s="15"/>
      <c r="C5368" s="9">
        <f>IFERROR(__xludf.DUMMYFUNCTION("""COMPUTED_VALUE"""),44740.6633213541)</f>
        <v>44740.66332</v>
      </c>
      <c r="D5368" s="15">
        <f>IFERROR(__xludf.DUMMYFUNCTION("""COMPUTED_VALUE"""),1.005)</f>
        <v>1.005</v>
      </c>
      <c r="E5368" s="16">
        <f>IFERROR(__xludf.DUMMYFUNCTION("""COMPUTED_VALUE"""),69.0)</f>
        <v>69</v>
      </c>
      <c r="F5368" s="19" t="str">
        <f>IFERROR(__xludf.DUMMYFUNCTION("""COMPUTED_VALUE"""),"BLACK")</f>
        <v>BLACK</v>
      </c>
      <c r="G5368" s="20" t="str">
        <f>IFERROR(__xludf.DUMMYFUNCTION("""COMPUTED_VALUE"""),"Uncle Sams Cider (5/13/2022)")</f>
        <v>Uncle Sams Cider (5/13/2022)</v>
      </c>
      <c r="H5368" s="19"/>
    </row>
    <row r="5369">
      <c r="A5369" s="9"/>
      <c r="B5369" s="15"/>
      <c r="C5369" s="9">
        <f>IFERROR(__xludf.DUMMYFUNCTION("""COMPUTED_VALUE"""),44740.6529013078)</f>
        <v>44740.6529</v>
      </c>
      <c r="D5369" s="15">
        <f>IFERROR(__xludf.DUMMYFUNCTION("""COMPUTED_VALUE"""),1.005)</f>
        <v>1.005</v>
      </c>
      <c r="E5369" s="16">
        <f>IFERROR(__xludf.DUMMYFUNCTION("""COMPUTED_VALUE"""),69.0)</f>
        <v>69</v>
      </c>
      <c r="F5369" s="19" t="str">
        <f>IFERROR(__xludf.DUMMYFUNCTION("""COMPUTED_VALUE"""),"BLACK")</f>
        <v>BLACK</v>
      </c>
      <c r="G5369" s="20" t="str">
        <f>IFERROR(__xludf.DUMMYFUNCTION("""COMPUTED_VALUE"""),"Uncle Sams Cider (5/13/2022)")</f>
        <v>Uncle Sams Cider (5/13/2022)</v>
      </c>
      <c r="H5369" s="19"/>
    </row>
    <row r="5370">
      <c r="A5370" s="9"/>
      <c r="B5370" s="15"/>
      <c r="C5370" s="9">
        <f>IFERROR(__xludf.DUMMYFUNCTION("""COMPUTED_VALUE"""),44740.6424794213)</f>
        <v>44740.64248</v>
      </c>
      <c r="D5370" s="15">
        <f>IFERROR(__xludf.DUMMYFUNCTION("""COMPUTED_VALUE"""),1.005)</f>
        <v>1.005</v>
      </c>
      <c r="E5370" s="16">
        <f>IFERROR(__xludf.DUMMYFUNCTION("""COMPUTED_VALUE"""),69.0)</f>
        <v>69</v>
      </c>
      <c r="F5370" s="19" t="str">
        <f>IFERROR(__xludf.DUMMYFUNCTION("""COMPUTED_VALUE"""),"BLACK")</f>
        <v>BLACK</v>
      </c>
      <c r="G5370" s="20" t="str">
        <f>IFERROR(__xludf.DUMMYFUNCTION("""COMPUTED_VALUE"""),"Uncle Sams Cider (5/13/2022)")</f>
        <v>Uncle Sams Cider (5/13/2022)</v>
      </c>
      <c r="H5370" s="19"/>
    </row>
    <row r="5371">
      <c r="A5371" s="9"/>
      <c r="B5371" s="15"/>
      <c r="C5371" s="9">
        <f>IFERROR(__xludf.DUMMYFUNCTION("""COMPUTED_VALUE"""),44740.6320448148)</f>
        <v>44740.63204</v>
      </c>
      <c r="D5371" s="15">
        <f>IFERROR(__xludf.DUMMYFUNCTION("""COMPUTED_VALUE"""),1.005)</f>
        <v>1.005</v>
      </c>
      <c r="E5371" s="16">
        <f>IFERROR(__xludf.DUMMYFUNCTION("""COMPUTED_VALUE"""),69.0)</f>
        <v>69</v>
      </c>
      <c r="F5371" s="19" t="str">
        <f>IFERROR(__xludf.DUMMYFUNCTION("""COMPUTED_VALUE"""),"BLACK")</f>
        <v>BLACK</v>
      </c>
      <c r="G5371" s="20" t="str">
        <f>IFERROR(__xludf.DUMMYFUNCTION("""COMPUTED_VALUE"""),"Uncle Sams Cider (5/13/2022)")</f>
        <v>Uncle Sams Cider (5/13/2022)</v>
      </c>
      <c r="H5371" s="19"/>
    </row>
    <row r="5372">
      <c r="A5372" s="9"/>
      <c r="B5372" s="15"/>
      <c r="C5372" s="9">
        <f>IFERROR(__xludf.DUMMYFUNCTION("""COMPUTED_VALUE"""),44740.6216113426)</f>
        <v>44740.62161</v>
      </c>
      <c r="D5372" s="15">
        <f>IFERROR(__xludf.DUMMYFUNCTION("""COMPUTED_VALUE"""),1.005)</f>
        <v>1.005</v>
      </c>
      <c r="E5372" s="16">
        <f>IFERROR(__xludf.DUMMYFUNCTION("""COMPUTED_VALUE"""),69.0)</f>
        <v>69</v>
      </c>
      <c r="F5372" s="19" t="str">
        <f>IFERROR(__xludf.DUMMYFUNCTION("""COMPUTED_VALUE"""),"BLACK")</f>
        <v>BLACK</v>
      </c>
      <c r="G5372" s="20" t="str">
        <f>IFERROR(__xludf.DUMMYFUNCTION("""COMPUTED_VALUE"""),"Uncle Sams Cider (5/13/2022)")</f>
        <v>Uncle Sams Cider (5/13/2022)</v>
      </c>
      <c r="H5372" s="19"/>
    </row>
    <row r="5373">
      <c r="A5373" s="9"/>
      <c r="B5373" s="15"/>
      <c r="C5373" s="9">
        <f>IFERROR(__xludf.DUMMYFUNCTION("""COMPUTED_VALUE"""),44740.6111895601)</f>
        <v>44740.61119</v>
      </c>
      <c r="D5373" s="15">
        <f>IFERROR(__xludf.DUMMYFUNCTION("""COMPUTED_VALUE"""),1.005)</f>
        <v>1.005</v>
      </c>
      <c r="E5373" s="16">
        <f>IFERROR(__xludf.DUMMYFUNCTION("""COMPUTED_VALUE"""),69.0)</f>
        <v>69</v>
      </c>
      <c r="F5373" s="19" t="str">
        <f>IFERROR(__xludf.DUMMYFUNCTION("""COMPUTED_VALUE"""),"BLACK")</f>
        <v>BLACK</v>
      </c>
      <c r="G5373" s="20" t="str">
        <f>IFERROR(__xludf.DUMMYFUNCTION("""COMPUTED_VALUE"""),"Uncle Sams Cider (5/13/2022)")</f>
        <v>Uncle Sams Cider (5/13/2022)</v>
      </c>
      <c r="H5373" s="19"/>
    </row>
    <row r="5374">
      <c r="A5374" s="9"/>
      <c r="B5374" s="15"/>
      <c r="C5374" s="9">
        <f>IFERROR(__xludf.DUMMYFUNCTION("""COMPUTED_VALUE"""),44740.6007691666)</f>
        <v>44740.60077</v>
      </c>
      <c r="D5374" s="15">
        <f>IFERROR(__xludf.DUMMYFUNCTION("""COMPUTED_VALUE"""),1.005)</f>
        <v>1.005</v>
      </c>
      <c r="E5374" s="16">
        <f>IFERROR(__xludf.DUMMYFUNCTION("""COMPUTED_VALUE"""),69.0)</f>
        <v>69</v>
      </c>
      <c r="F5374" s="19" t="str">
        <f>IFERROR(__xludf.DUMMYFUNCTION("""COMPUTED_VALUE"""),"BLACK")</f>
        <v>BLACK</v>
      </c>
      <c r="G5374" s="20" t="str">
        <f>IFERROR(__xludf.DUMMYFUNCTION("""COMPUTED_VALUE"""),"Uncle Sams Cider (5/13/2022)")</f>
        <v>Uncle Sams Cider (5/13/2022)</v>
      </c>
      <c r="H5374" s="19"/>
    </row>
    <row r="5375">
      <c r="A5375" s="9"/>
      <c r="B5375" s="15"/>
      <c r="C5375" s="9">
        <f>IFERROR(__xludf.DUMMYFUNCTION("""COMPUTED_VALUE"""),44740.5903492824)</f>
        <v>44740.59035</v>
      </c>
      <c r="D5375" s="15">
        <f>IFERROR(__xludf.DUMMYFUNCTION("""COMPUTED_VALUE"""),1.005)</f>
        <v>1.005</v>
      </c>
      <c r="E5375" s="16">
        <f>IFERROR(__xludf.DUMMYFUNCTION("""COMPUTED_VALUE"""),69.0)</f>
        <v>69</v>
      </c>
      <c r="F5375" s="19" t="str">
        <f>IFERROR(__xludf.DUMMYFUNCTION("""COMPUTED_VALUE"""),"BLACK")</f>
        <v>BLACK</v>
      </c>
      <c r="G5375" s="20" t="str">
        <f>IFERROR(__xludf.DUMMYFUNCTION("""COMPUTED_VALUE"""),"Uncle Sams Cider (5/13/2022)")</f>
        <v>Uncle Sams Cider (5/13/2022)</v>
      </c>
      <c r="H5375" s="19"/>
    </row>
    <row r="5376">
      <c r="A5376" s="9"/>
      <c r="B5376" s="15"/>
      <c r="C5376" s="9">
        <f>IFERROR(__xludf.DUMMYFUNCTION("""COMPUTED_VALUE"""),44740.5799158101)</f>
        <v>44740.57992</v>
      </c>
      <c r="D5376" s="15">
        <f>IFERROR(__xludf.DUMMYFUNCTION("""COMPUTED_VALUE"""),1.005)</f>
        <v>1.005</v>
      </c>
      <c r="E5376" s="16">
        <f>IFERROR(__xludf.DUMMYFUNCTION("""COMPUTED_VALUE"""),69.0)</f>
        <v>69</v>
      </c>
      <c r="F5376" s="19" t="str">
        <f>IFERROR(__xludf.DUMMYFUNCTION("""COMPUTED_VALUE"""),"BLACK")</f>
        <v>BLACK</v>
      </c>
      <c r="G5376" s="20" t="str">
        <f>IFERROR(__xludf.DUMMYFUNCTION("""COMPUTED_VALUE"""),"Uncle Sams Cider (5/13/2022)")</f>
        <v>Uncle Sams Cider (5/13/2022)</v>
      </c>
      <c r="H5376" s="19"/>
    </row>
    <row r="5377">
      <c r="A5377" s="9"/>
      <c r="B5377" s="15"/>
      <c r="C5377" s="9">
        <f>IFERROR(__xludf.DUMMYFUNCTION("""COMPUTED_VALUE"""),44740.5694824189)</f>
        <v>44740.56948</v>
      </c>
      <c r="D5377" s="15">
        <f>IFERROR(__xludf.DUMMYFUNCTION("""COMPUTED_VALUE"""),1.005)</f>
        <v>1.005</v>
      </c>
      <c r="E5377" s="16">
        <f>IFERROR(__xludf.DUMMYFUNCTION("""COMPUTED_VALUE"""),69.0)</f>
        <v>69</v>
      </c>
      <c r="F5377" s="19" t="str">
        <f>IFERROR(__xludf.DUMMYFUNCTION("""COMPUTED_VALUE"""),"BLACK")</f>
        <v>BLACK</v>
      </c>
      <c r="G5377" s="20" t="str">
        <f>IFERROR(__xludf.DUMMYFUNCTION("""COMPUTED_VALUE"""),"Uncle Sams Cider (5/13/2022)")</f>
        <v>Uncle Sams Cider (5/13/2022)</v>
      </c>
      <c r="H5377" s="19"/>
    </row>
    <row r="5378">
      <c r="A5378" s="9"/>
      <c r="B5378" s="15"/>
      <c r="C5378" s="9">
        <f>IFERROR(__xludf.DUMMYFUNCTION("""COMPUTED_VALUE"""),44740.5590593402)</f>
        <v>44740.55906</v>
      </c>
      <c r="D5378" s="15">
        <f>IFERROR(__xludf.DUMMYFUNCTION("""COMPUTED_VALUE"""),1.005)</f>
        <v>1.005</v>
      </c>
      <c r="E5378" s="16">
        <f>IFERROR(__xludf.DUMMYFUNCTION("""COMPUTED_VALUE"""),69.0)</f>
        <v>69</v>
      </c>
      <c r="F5378" s="19" t="str">
        <f>IFERROR(__xludf.DUMMYFUNCTION("""COMPUTED_VALUE"""),"BLACK")</f>
        <v>BLACK</v>
      </c>
      <c r="G5378" s="20" t="str">
        <f>IFERROR(__xludf.DUMMYFUNCTION("""COMPUTED_VALUE"""),"Uncle Sams Cider (5/13/2022)")</f>
        <v>Uncle Sams Cider (5/13/2022)</v>
      </c>
      <c r="H5378" s="19"/>
    </row>
    <row r="5379">
      <c r="A5379" s="9"/>
      <c r="B5379" s="15"/>
      <c r="C5379" s="9">
        <f>IFERROR(__xludf.DUMMYFUNCTION("""COMPUTED_VALUE"""),44740.5486260185)</f>
        <v>44740.54863</v>
      </c>
      <c r="D5379" s="15">
        <f>IFERROR(__xludf.DUMMYFUNCTION("""COMPUTED_VALUE"""),1.005)</f>
        <v>1.005</v>
      </c>
      <c r="E5379" s="16">
        <f>IFERROR(__xludf.DUMMYFUNCTION("""COMPUTED_VALUE"""),69.0)</f>
        <v>69</v>
      </c>
      <c r="F5379" s="19" t="str">
        <f>IFERROR(__xludf.DUMMYFUNCTION("""COMPUTED_VALUE"""),"BLACK")</f>
        <v>BLACK</v>
      </c>
      <c r="G5379" s="20" t="str">
        <f>IFERROR(__xludf.DUMMYFUNCTION("""COMPUTED_VALUE"""),"Uncle Sams Cider (5/13/2022)")</f>
        <v>Uncle Sams Cider (5/13/2022)</v>
      </c>
      <c r="H5379" s="19"/>
    </row>
    <row r="5380">
      <c r="A5380" s="9"/>
      <c r="B5380" s="15"/>
      <c r="C5380" s="9">
        <f>IFERROR(__xludf.DUMMYFUNCTION("""COMPUTED_VALUE"""),44740.5382056713)</f>
        <v>44740.53821</v>
      </c>
      <c r="D5380" s="15">
        <f>IFERROR(__xludf.DUMMYFUNCTION("""COMPUTED_VALUE"""),1.005)</f>
        <v>1.005</v>
      </c>
      <c r="E5380" s="16">
        <f>IFERROR(__xludf.DUMMYFUNCTION("""COMPUTED_VALUE"""),69.0)</f>
        <v>69</v>
      </c>
      <c r="F5380" s="19" t="str">
        <f>IFERROR(__xludf.DUMMYFUNCTION("""COMPUTED_VALUE"""),"BLACK")</f>
        <v>BLACK</v>
      </c>
      <c r="G5380" s="20" t="str">
        <f>IFERROR(__xludf.DUMMYFUNCTION("""COMPUTED_VALUE"""),"Uncle Sams Cider (5/13/2022)")</f>
        <v>Uncle Sams Cider (5/13/2022)</v>
      </c>
      <c r="H5380" s="19"/>
    </row>
    <row r="5381">
      <c r="A5381" s="9"/>
      <c r="B5381" s="15"/>
      <c r="C5381" s="9">
        <f>IFERROR(__xludf.DUMMYFUNCTION("""COMPUTED_VALUE"""),44740.5277713541)</f>
        <v>44740.52777</v>
      </c>
      <c r="D5381" s="15">
        <f>IFERROR(__xludf.DUMMYFUNCTION("""COMPUTED_VALUE"""),1.005)</f>
        <v>1.005</v>
      </c>
      <c r="E5381" s="16">
        <f>IFERROR(__xludf.DUMMYFUNCTION("""COMPUTED_VALUE"""),69.0)</f>
        <v>69</v>
      </c>
      <c r="F5381" s="19" t="str">
        <f>IFERROR(__xludf.DUMMYFUNCTION("""COMPUTED_VALUE"""),"BLACK")</f>
        <v>BLACK</v>
      </c>
      <c r="G5381" s="20" t="str">
        <f>IFERROR(__xludf.DUMMYFUNCTION("""COMPUTED_VALUE"""),"Uncle Sams Cider (5/13/2022)")</f>
        <v>Uncle Sams Cider (5/13/2022)</v>
      </c>
      <c r="H5381" s="19"/>
    </row>
    <row r="5382">
      <c r="A5382" s="9"/>
      <c r="B5382" s="15"/>
      <c r="C5382" s="9">
        <f>IFERROR(__xludf.DUMMYFUNCTION("""COMPUTED_VALUE"""),44740.5173512731)</f>
        <v>44740.51735</v>
      </c>
      <c r="D5382" s="15">
        <f>IFERROR(__xludf.DUMMYFUNCTION("""COMPUTED_VALUE"""),1.005)</f>
        <v>1.005</v>
      </c>
      <c r="E5382" s="16">
        <f>IFERROR(__xludf.DUMMYFUNCTION("""COMPUTED_VALUE"""),69.0)</f>
        <v>69</v>
      </c>
      <c r="F5382" s="19" t="str">
        <f>IFERROR(__xludf.DUMMYFUNCTION("""COMPUTED_VALUE"""),"BLACK")</f>
        <v>BLACK</v>
      </c>
      <c r="G5382" s="20" t="str">
        <f>IFERROR(__xludf.DUMMYFUNCTION("""COMPUTED_VALUE"""),"Uncle Sams Cider (5/13/2022)")</f>
        <v>Uncle Sams Cider (5/13/2022)</v>
      </c>
      <c r="H5382" s="19"/>
    </row>
    <row r="5383">
      <c r="A5383" s="9"/>
      <c r="B5383" s="15"/>
      <c r="C5383" s="9">
        <f>IFERROR(__xludf.DUMMYFUNCTION("""COMPUTED_VALUE"""),44740.5069292939)</f>
        <v>44740.50693</v>
      </c>
      <c r="D5383" s="15">
        <f>IFERROR(__xludf.DUMMYFUNCTION("""COMPUTED_VALUE"""),1.005)</f>
        <v>1.005</v>
      </c>
      <c r="E5383" s="16">
        <f>IFERROR(__xludf.DUMMYFUNCTION("""COMPUTED_VALUE"""),69.0)</f>
        <v>69</v>
      </c>
      <c r="F5383" s="19" t="str">
        <f>IFERROR(__xludf.DUMMYFUNCTION("""COMPUTED_VALUE"""),"BLACK")</f>
        <v>BLACK</v>
      </c>
      <c r="G5383" s="20" t="str">
        <f>IFERROR(__xludf.DUMMYFUNCTION("""COMPUTED_VALUE"""),"Uncle Sams Cider (5/13/2022)")</f>
        <v>Uncle Sams Cider (5/13/2022)</v>
      </c>
      <c r="H5383" s="19"/>
    </row>
    <row r="5384">
      <c r="A5384" s="9"/>
      <c r="B5384" s="15"/>
      <c r="C5384" s="9">
        <f>IFERROR(__xludf.DUMMYFUNCTION("""COMPUTED_VALUE"""),44740.4964962847)</f>
        <v>44740.4965</v>
      </c>
      <c r="D5384" s="15">
        <f>IFERROR(__xludf.DUMMYFUNCTION("""COMPUTED_VALUE"""),1.005)</f>
        <v>1.005</v>
      </c>
      <c r="E5384" s="16">
        <f>IFERROR(__xludf.DUMMYFUNCTION("""COMPUTED_VALUE"""),69.0)</f>
        <v>69</v>
      </c>
      <c r="F5384" s="19" t="str">
        <f>IFERROR(__xludf.DUMMYFUNCTION("""COMPUTED_VALUE"""),"BLACK")</f>
        <v>BLACK</v>
      </c>
      <c r="G5384" s="20" t="str">
        <f>IFERROR(__xludf.DUMMYFUNCTION("""COMPUTED_VALUE"""),"Uncle Sams Cider (5/13/2022)")</f>
        <v>Uncle Sams Cider (5/13/2022)</v>
      </c>
      <c r="H5384" s="19"/>
    </row>
    <row r="5385">
      <c r="A5385" s="9"/>
      <c r="B5385" s="15"/>
      <c r="C5385" s="9">
        <f>IFERROR(__xludf.DUMMYFUNCTION("""COMPUTED_VALUE"""),44740.4860759143)</f>
        <v>44740.48608</v>
      </c>
      <c r="D5385" s="15">
        <f>IFERROR(__xludf.DUMMYFUNCTION("""COMPUTED_VALUE"""),1.004)</f>
        <v>1.004</v>
      </c>
      <c r="E5385" s="16">
        <f>IFERROR(__xludf.DUMMYFUNCTION("""COMPUTED_VALUE"""),69.0)</f>
        <v>69</v>
      </c>
      <c r="F5385" s="19" t="str">
        <f>IFERROR(__xludf.DUMMYFUNCTION("""COMPUTED_VALUE"""),"BLACK")</f>
        <v>BLACK</v>
      </c>
      <c r="G5385" s="20" t="str">
        <f>IFERROR(__xludf.DUMMYFUNCTION("""COMPUTED_VALUE"""),"Uncle Sams Cider (5/13/2022)")</f>
        <v>Uncle Sams Cider (5/13/2022)</v>
      </c>
      <c r="H5385" s="19"/>
    </row>
    <row r="5386">
      <c r="A5386" s="9"/>
      <c r="B5386" s="15"/>
      <c r="C5386" s="9">
        <f>IFERROR(__xludf.DUMMYFUNCTION("""COMPUTED_VALUE"""),44740.475642581)</f>
        <v>44740.47564</v>
      </c>
      <c r="D5386" s="15">
        <f>IFERROR(__xludf.DUMMYFUNCTION("""COMPUTED_VALUE"""),1.005)</f>
        <v>1.005</v>
      </c>
      <c r="E5386" s="16">
        <f>IFERROR(__xludf.DUMMYFUNCTION("""COMPUTED_VALUE"""),69.0)</f>
        <v>69</v>
      </c>
      <c r="F5386" s="19" t="str">
        <f>IFERROR(__xludf.DUMMYFUNCTION("""COMPUTED_VALUE"""),"BLACK")</f>
        <v>BLACK</v>
      </c>
      <c r="G5386" s="20" t="str">
        <f>IFERROR(__xludf.DUMMYFUNCTION("""COMPUTED_VALUE"""),"Uncle Sams Cider (5/13/2022)")</f>
        <v>Uncle Sams Cider (5/13/2022)</v>
      </c>
      <c r="H5386" s="19"/>
    </row>
    <row r="5387">
      <c r="A5387" s="9"/>
      <c r="B5387" s="15"/>
      <c r="C5387" s="9">
        <f>IFERROR(__xludf.DUMMYFUNCTION("""COMPUTED_VALUE"""),44740.465221331)</f>
        <v>44740.46522</v>
      </c>
      <c r="D5387" s="15">
        <f>IFERROR(__xludf.DUMMYFUNCTION("""COMPUTED_VALUE"""),1.005)</f>
        <v>1.005</v>
      </c>
      <c r="E5387" s="16">
        <f>IFERROR(__xludf.DUMMYFUNCTION("""COMPUTED_VALUE"""),69.0)</f>
        <v>69</v>
      </c>
      <c r="F5387" s="19" t="str">
        <f>IFERROR(__xludf.DUMMYFUNCTION("""COMPUTED_VALUE"""),"BLACK")</f>
        <v>BLACK</v>
      </c>
      <c r="G5387" s="20" t="str">
        <f>IFERROR(__xludf.DUMMYFUNCTION("""COMPUTED_VALUE"""),"Uncle Sams Cider (5/13/2022)")</f>
        <v>Uncle Sams Cider (5/13/2022)</v>
      </c>
      <c r="H5387" s="19"/>
    </row>
    <row r="5388">
      <c r="A5388" s="9"/>
      <c r="B5388" s="15"/>
      <c r="C5388" s="9">
        <f>IFERROR(__xludf.DUMMYFUNCTION("""COMPUTED_VALUE"""),44740.4548000231)</f>
        <v>44740.4548</v>
      </c>
      <c r="D5388" s="15">
        <f>IFERROR(__xludf.DUMMYFUNCTION("""COMPUTED_VALUE"""),1.005)</f>
        <v>1.005</v>
      </c>
      <c r="E5388" s="16">
        <f>IFERROR(__xludf.DUMMYFUNCTION("""COMPUTED_VALUE"""),69.0)</f>
        <v>69</v>
      </c>
      <c r="F5388" s="19" t="str">
        <f>IFERROR(__xludf.DUMMYFUNCTION("""COMPUTED_VALUE"""),"BLACK")</f>
        <v>BLACK</v>
      </c>
      <c r="G5388" s="20" t="str">
        <f>IFERROR(__xludf.DUMMYFUNCTION("""COMPUTED_VALUE"""),"Uncle Sams Cider (5/13/2022)")</f>
        <v>Uncle Sams Cider (5/13/2022)</v>
      </c>
      <c r="H5388" s="19"/>
    </row>
    <row r="5389">
      <c r="A5389" s="9"/>
      <c r="B5389" s="15"/>
      <c r="C5389" s="9">
        <f>IFERROR(__xludf.DUMMYFUNCTION("""COMPUTED_VALUE"""),44740.4443792129)</f>
        <v>44740.44438</v>
      </c>
      <c r="D5389" s="15">
        <f>IFERROR(__xludf.DUMMYFUNCTION("""COMPUTED_VALUE"""),1.005)</f>
        <v>1.005</v>
      </c>
      <c r="E5389" s="16">
        <f>IFERROR(__xludf.DUMMYFUNCTION("""COMPUTED_VALUE"""),69.0)</f>
        <v>69</v>
      </c>
      <c r="F5389" s="19" t="str">
        <f>IFERROR(__xludf.DUMMYFUNCTION("""COMPUTED_VALUE"""),"BLACK")</f>
        <v>BLACK</v>
      </c>
      <c r="G5389" s="20" t="str">
        <f>IFERROR(__xludf.DUMMYFUNCTION("""COMPUTED_VALUE"""),"Uncle Sams Cider (5/13/2022)")</f>
        <v>Uncle Sams Cider (5/13/2022)</v>
      </c>
      <c r="H5389" s="19"/>
    </row>
    <row r="5390">
      <c r="A5390" s="9"/>
      <c r="B5390" s="15"/>
      <c r="C5390" s="9">
        <f>IFERROR(__xludf.DUMMYFUNCTION("""COMPUTED_VALUE"""),44740.433961331)</f>
        <v>44740.43396</v>
      </c>
      <c r="D5390" s="15">
        <f>IFERROR(__xludf.DUMMYFUNCTION("""COMPUTED_VALUE"""),1.005)</f>
        <v>1.005</v>
      </c>
      <c r="E5390" s="16">
        <f>IFERROR(__xludf.DUMMYFUNCTION("""COMPUTED_VALUE"""),69.0)</f>
        <v>69</v>
      </c>
      <c r="F5390" s="19" t="str">
        <f>IFERROR(__xludf.DUMMYFUNCTION("""COMPUTED_VALUE"""),"BLACK")</f>
        <v>BLACK</v>
      </c>
      <c r="G5390" s="20" t="str">
        <f>IFERROR(__xludf.DUMMYFUNCTION("""COMPUTED_VALUE"""),"Uncle Sams Cider (5/13/2022)")</f>
        <v>Uncle Sams Cider (5/13/2022)</v>
      </c>
      <c r="H5390" s="19"/>
    </row>
    <row r="5391">
      <c r="A5391" s="9"/>
      <c r="B5391" s="15"/>
      <c r="C5391" s="9">
        <f>IFERROR(__xludf.DUMMYFUNCTION("""COMPUTED_VALUE"""),44740.4235405324)</f>
        <v>44740.42354</v>
      </c>
      <c r="D5391" s="15">
        <f>IFERROR(__xludf.DUMMYFUNCTION("""COMPUTED_VALUE"""),1.005)</f>
        <v>1.005</v>
      </c>
      <c r="E5391" s="16">
        <f>IFERROR(__xludf.DUMMYFUNCTION("""COMPUTED_VALUE"""),69.0)</f>
        <v>69</v>
      </c>
      <c r="F5391" s="19" t="str">
        <f>IFERROR(__xludf.DUMMYFUNCTION("""COMPUTED_VALUE"""),"BLACK")</f>
        <v>BLACK</v>
      </c>
      <c r="G5391" s="20" t="str">
        <f>IFERROR(__xludf.DUMMYFUNCTION("""COMPUTED_VALUE"""),"Uncle Sams Cider (5/13/2022)")</f>
        <v>Uncle Sams Cider (5/13/2022)</v>
      </c>
      <c r="H5391" s="19"/>
    </row>
    <row r="5392">
      <c r="A5392" s="9"/>
      <c r="B5392" s="15"/>
      <c r="C5392" s="9">
        <f>IFERROR(__xludf.DUMMYFUNCTION("""COMPUTED_VALUE"""),44740.4131067129)</f>
        <v>44740.41311</v>
      </c>
      <c r="D5392" s="15">
        <f>IFERROR(__xludf.DUMMYFUNCTION("""COMPUTED_VALUE"""),1.005)</f>
        <v>1.005</v>
      </c>
      <c r="E5392" s="16">
        <f>IFERROR(__xludf.DUMMYFUNCTION("""COMPUTED_VALUE"""),69.0)</f>
        <v>69</v>
      </c>
      <c r="F5392" s="19" t="str">
        <f>IFERROR(__xludf.DUMMYFUNCTION("""COMPUTED_VALUE"""),"BLACK")</f>
        <v>BLACK</v>
      </c>
      <c r="G5392" s="20" t="str">
        <f>IFERROR(__xludf.DUMMYFUNCTION("""COMPUTED_VALUE"""),"Uncle Sams Cider (5/13/2022)")</f>
        <v>Uncle Sams Cider (5/13/2022)</v>
      </c>
      <c r="H5392" s="19"/>
    </row>
    <row r="5393">
      <c r="A5393" s="9"/>
      <c r="B5393" s="15"/>
      <c r="C5393" s="9">
        <f>IFERROR(__xludf.DUMMYFUNCTION("""COMPUTED_VALUE"""),44740.4026852893)</f>
        <v>44740.40269</v>
      </c>
      <c r="D5393" s="15">
        <f>IFERROR(__xludf.DUMMYFUNCTION("""COMPUTED_VALUE"""),1.005)</f>
        <v>1.005</v>
      </c>
      <c r="E5393" s="16">
        <f>IFERROR(__xludf.DUMMYFUNCTION("""COMPUTED_VALUE"""),69.0)</f>
        <v>69</v>
      </c>
      <c r="F5393" s="19" t="str">
        <f>IFERROR(__xludf.DUMMYFUNCTION("""COMPUTED_VALUE"""),"BLACK")</f>
        <v>BLACK</v>
      </c>
      <c r="G5393" s="20" t="str">
        <f>IFERROR(__xludf.DUMMYFUNCTION("""COMPUTED_VALUE"""),"Uncle Sams Cider (5/13/2022)")</f>
        <v>Uncle Sams Cider (5/13/2022)</v>
      </c>
      <c r="H5393" s="19"/>
    </row>
    <row r="5394">
      <c r="A5394" s="9"/>
      <c r="B5394" s="15"/>
      <c r="C5394" s="9">
        <f>IFERROR(__xludf.DUMMYFUNCTION("""COMPUTED_VALUE"""),44740.3922521643)</f>
        <v>44740.39225</v>
      </c>
      <c r="D5394" s="15">
        <f>IFERROR(__xludf.DUMMYFUNCTION("""COMPUTED_VALUE"""),1.005)</f>
        <v>1.005</v>
      </c>
      <c r="E5394" s="16">
        <f>IFERROR(__xludf.DUMMYFUNCTION("""COMPUTED_VALUE"""),69.0)</f>
        <v>69</v>
      </c>
      <c r="F5394" s="19" t="str">
        <f>IFERROR(__xludf.DUMMYFUNCTION("""COMPUTED_VALUE"""),"BLACK")</f>
        <v>BLACK</v>
      </c>
      <c r="G5394" s="20" t="str">
        <f>IFERROR(__xludf.DUMMYFUNCTION("""COMPUTED_VALUE"""),"Uncle Sams Cider (5/13/2022)")</f>
        <v>Uncle Sams Cider (5/13/2022)</v>
      </c>
      <c r="H5394" s="19"/>
    </row>
    <row r="5395">
      <c r="A5395" s="9"/>
      <c r="B5395" s="15"/>
      <c r="C5395" s="9">
        <f>IFERROR(__xludf.DUMMYFUNCTION("""COMPUTED_VALUE"""),44740.3818299768)</f>
        <v>44740.38183</v>
      </c>
      <c r="D5395" s="15">
        <f>IFERROR(__xludf.DUMMYFUNCTION("""COMPUTED_VALUE"""),1.005)</f>
        <v>1.005</v>
      </c>
      <c r="E5395" s="16">
        <f>IFERROR(__xludf.DUMMYFUNCTION("""COMPUTED_VALUE"""),69.0)</f>
        <v>69</v>
      </c>
      <c r="F5395" s="19" t="str">
        <f>IFERROR(__xludf.DUMMYFUNCTION("""COMPUTED_VALUE"""),"BLACK")</f>
        <v>BLACK</v>
      </c>
      <c r="G5395" s="20" t="str">
        <f>IFERROR(__xludf.DUMMYFUNCTION("""COMPUTED_VALUE"""),"Uncle Sams Cider (5/13/2022)")</f>
        <v>Uncle Sams Cider (5/13/2022)</v>
      </c>
      <c r="H5395" s="19"/>
    </row>
    <row r="5396">
      <c r="A5396" s="9"/>
      <c r="B5396" s="15"/>
      <c r="C5396" s="9">
        <f>IFERROR(__xludf.DUMMYFUNCTION("""COMPUTED_VALUE"""),44740.371409155)</f>
        <v>44740.37141</v>
      </c>
      <c r="D5396" s="15">
        <f>IFERROR(__xludf.DUMMYFUNCTION("""COMPUTED_VALUE"""),1.005)</f>
        <v>1.005</v>
      </c>
      <c r="E5396" s="16">
        <f>IFERROR(__xludf.DUMMYFUNCTION("""COMPUTED_VALUE"""),68.0)</f>
        <v>68</v>
      </c>
      <c r="F5396" s="19" t="str">
        <f>IFERROR(__xludf.DUMMYFUNCTION("""COMPUTED_VALUE"""),"BLACK")</f>
        <v>BLACK</v>
      </c>
      <c r="G5396" s="20" t="str">
        <f>IFERROR(__xludf.DUMMYFUNCTION("""COMPUTED_VALUE"""),"Uncle Sams Cider (5/13/2022)")</f>
        <v>Uncle Sams Cider (5/13/2022)</v>
      </c>
      <c r="H5396" s="19"/>
    </row>
    <row r="5397">
      <c r="A5397" s="9"/>
      <c r="B5397" s="15"/>
      <c r="C5397" s="9">
        <f>IFERROR(__xludf.DUMMYFUNCTION("""COMPUTED_VALUE"""),44740.3609880902)</f>
        <v>44740.36099</v>
      </c>
      <c r="D5397" s="15">
        <f>IFERROR(__xludf.DUMMYFUNCTION("""COMPUTED_VALUE"""),1.005)</f>
        <v>1.005</v>
      </c>
      <c r="E5397" s="16">
        <f>IFERROR(__xludf.DUMMYFUNCTION("""COMPUTED_VALUE"""),69.0)</f>
        <v>69</v>
      </c>
      <c r="F5397" s="19" t="str">
        <f>IFERROR(__xludf.DUMMYFUNCTION("""COMPUTED_VALUE"""),"BLACK")</f>
        <v>BLACK</v>
      </c>
      <c r="G5397" s="20" t="str">
        <f>IFERROR(__xludf.DUMMYFUNCTION("""COMPUTED_VALUE"""),"Uncle Sams Cider (5/13/2022)")</f>
        <v>Uncle Sams Cider (5/13/2022)</v>
      </c>
      <c r="H5397" s="19"/>
    </row>
    <row r="5398">
      <c r="A5398" s="9"/>
      <c r="B5398" s="15"/>
      <c r="C5398" s="9">
        <f>IFERROR(__xludf.DUMMYFUNCTION("""COMPUTED_VALUE"""),44740.3505675)</f>
        <v>44740.35057</v>
      </c>
      <c r="D5398" s="15">
        <f>IFERROR(__xludf.DUMMYFUNCTION("""COMPUTED_VALUE"""),1.005)</f>
        <v>1.005</v>
      </c>
      <c r="E5398" s="16">
        <f>IFERROR(__xludf.DUMMYFUNCTION("""COMPUTED_VALUE"""),69.0)</f>
        <v>69</v>
      </c>
      <c r="F5398" s="19" t="str">
        <f>IFERROR(__xludf.DUMMYFUNCTION("""COMPUTED_VALUE"""),"BLACK")</f>
        <v>BLACK</v>
      </c>
      <c r="G5398" s="20" t="str">
        <f>IFERROR(__xludf.DUMMYFUNCTION("""COMPUTED_VALUE"""),"Uncle Sams Cider (5/13/2022)")</f>
        <v>Uncle Sams Cider (5/13/2022)</v>
      </c>
      <c r="H5398" s="19"/>
    </row>
    <row r="5399">
      <c r="A5399" s="9"/>
      <c r="B5399" s="15"/>
      <c r="C5399" s="9">
        <f>IFERROR(__xludf.DUMMYFUNCTION("""COMPUTED_VALUE"""),44740.3401455439)</f>
        <v>44740.34015</v>
      </c>
      <c r="D5399" s="15">
        <f>IFERROR(__xludf.DUMMYFUNCTION("""COMPUTED_VALUE"""),1.005)</f>
        <v>1.005</v>
      </c>
      <c r="E5399" s="16">
        <f>IFERROR(__xludf.DUMMYFUNCTION("""COMPUTED_VALUE"""),68.0)</f>
        <v>68</v>
      </c>
      <c r="F5399" s="19" t="str">
        <f>IFERROR(__xludf.DUMMYFUNCTION("""COMPUTED_VALUE"""),"BLACK")</f>
        <v>BLACK</v>
      </c>
      <c r="G5399" s="20" t="str">
        <f>IFERROR(__xludf.DUMMYFUNCTION("""COMPUTED_VALUE"""),"Uncle Sams Cider (5/13/2022)")</f>
        <v>Uncle Sams Cider (5/13/2022)</v>
      </c>
      <c r="H5399" s="19"/>
    </row>
    <row r="5400">
      <c r="A5400" s="9"/>
      <c r="B5400" s="15"/>
      <c r="C5400" s="9">
        <f>IFERROR(__xludf.DUMMYFUNCTION("""COMPUTED_VALUE"""),44740.3297122453)</f>
        <v>44740.32971</v>
      </c>
      <c r="D5400" s="15">
        <f>IFERROR(__xludf.DUMMYFUNCTION("""COMPUTED_VALUE"""),1.005)</f>
        <v>1.005</v>
      </c>
      <c r="E5400" s="16">
        <f>IFERROR(__xludf.DUMMYFUNCTION("""COMPUTED_VALUE"""),68.0)</f>
        <v>68</v>
      </c>
      <c r="F5400" s="19" t="str">
        <f>IFERROR(__xludf.DUMMYFUNCTION("""COMPUTED_VALUE"""),"BLACK")</f>
        <v>BLACK</v>
      </c>
      <c r="G5400" s="20" t="str">
        <f>IFERROR(__xludf.DUMMYFUNCTION("""COMPUTED_VALUE"""),"Uncle Sams Cider (5/13/2022)")</f>
        <v>Uncle Sams Cider (5/13/2022)</v>
      </c>
      <c r="H5400" s="19"/>
    </row>
    <row r="5401">
      <c r="A5401" s="9"/>
      <c r="B5401" s="15"/>
      <c r="C5401" s="9">
        <f>IFERROR(__xludf.DUMMYFUNCTION("""COMPUTED_VALUE"""),44740.3192892245)</f>
        <v>44740.31929</v>
      </c>
      <c r="D5401" s="15">
        <f>IFERROR(__xludf.DUMMYFUNCTION("""COMPUTED_VALUE"""),1.005)</f>
        <v>1.005</v>
      </c>
      <c r="E5401" s="16">
        <f>IFERROR(__xludf.DUMMYFUNCTION("""COMPUTED_VALUE"""),68.0)</f>
        <v>68</v>
      </c>
      <c r="F5401" s="19" t="str">
        <f>IFERROR(__xludf.DUMMYFUNCTION("""COMPUTED_VALUE"""),"BLACK")</f>
        <v>BLACK</v>
      </c>
      <c r="G5401" s="20" t="str">
        <f>IFERROR(__xludf.DUMMYFUNCTION("""COMPUTED_VALUE"""),"Uncle Sams Cider (5/13/2022)")</f>
        <v>Uncle Sams Cider (5/13/2022)</v>
      </c>
      <c r="H5401" s="19"/>
    </row>
    <row r="5402">
      <c r="A5402" s="9"/>
      <c r="B5402" s="15"/>
      <c r="C5402" s="9">
        <f>IFERROR(__xludf.DUMMYFUNCTION("""COMPUTED_VALUE"""),44740.3088694097)</f>
        <v>44740.30887</v>
      </c>
      <c r="D5402" s="15">
        <f>IFERROR(__xludf.DUMMYFUNCTION("""COMPUTED_VALUE"""),1.005)</f>
        <v>1.005</v>
      </c>
      <c r="E5402" s="16">
        <f>IFERROR(__xludf.DUMMYFUNCTION("""COMPUTED_VALUE"""),68.0)</f>
        <v>68</v>
      </c>
      <c r="F5402" s="19" t="str">
        <f>IFERROR(__xludf.DUMMYFUNCTION("""COMPUTED_VALUE"""),"BLACK")</f>
        <v>BLACK</v>
      </c>
      <c r="G5402" s="20" t="str">
        <f>IFERROR(__xludf.DUMMYFUNCTION("""COMPUTED_VALUE"""),"Uncle Sams Cider (5/13/2022)")</f>
        <v>Uncle Sams Cider (5/13/2022)</v>
      </c>
      <c r="H5402" s="19"/>
    </row>
    <row r="5403">
      <c r="A5403" s="9"/>
      <c r="B5403" s="15"/>
      <c r="C5403" s="9">
        <f>IFERROR(__xludf.DUMMYFUNCTION("""COMPUTED_VALUE"""),44740.2984487268)</f>
        <v>44740.29845</v>
      </c>
      <c r="D5403" s="15">
        <f>IFERROR(__xludf.DUMMYFUNCTION("""COMPUTED_VALUE"""),1.004)</f>
        <v>1.004</v>
      </c>
      <c r="E5403" s="16">
        <f>IFERROR(__xludf.DUMMYFUNCTION("""COMPUTED_VALUE"""),68.0)</f>
        <v>68</v>
      </c>
      <c r="F5403" s="19" t="str">
        <f>IFERROR(__xludf.DUMMYFUNCTION("""COMPUTED_VALUE"""),"BLACK")</f>
        <v>BLACK</v>
      </c>
      <c r="G5403" s="20" t="str">
        <f>IFERROR(__xludf.DUMMYFUNCTION("""COMPUTED_VALUE"""),"Uncle Sams Cider (5/13/2022)")</f>
        <v>Uncle Sams Cider (5/13/2022)</v>
      </c>
      <c r="H5403" s="19"/>
    </row>
    <row r="5404">
      <c r="A5404" s="9"/>
      <c r="B5404" s="15"/>
      <c r="C5404" s="9">
        <f>IFERROR(__xludf.DUMMYFUNCTION("""COMPUTED_VALUE"""),44740.2880275578)</f>
        <v>44740.28803</v>
      </c>
      <c r="D5404" s="15">
        <f>IFERROR(__xludf.DUMMYFUNCTION("""COMPUTED_VALUE"""),1.005)</f>
        <v>1.005</v>
      </c>
      <c r="E5404" s="16">
        <f>IFERROR(__xludf.DUMMYFUNCTION("""COMPUTED_VALUE"""),68.0)</f>
        <v>68</v>
      </c>
      <c r="F5404" s="19" t="str">
        <f>IFERROR(__xludf.DUMMYFUNCTION("""COMPUTED_VALUE"""),"BLACK")</f>
        <v>BLACK</v>
      </c>
      <c r="G5404" s="20" t="str">
        <f>IFERROR(__xludf.DUMMYFUNCTION("""COMPUTED_VALUE"""),"Uncle Sams Cider (5/13/2022)")</f>
        <v>Uncle Sams Cider (5/13/2022)</v>
      </c>
      <c r="H5404" s="19"/>
    </row>
    <row r="5405">
      <c r="A5405" s="9"/>
      <c r="B5405" s="15"/>
      <c r="C5405" s="9">
        <f>IFERROR(__xludf.DUMMYFUNCTION("""COMPUTED_VALUE"""),44740.2776074421)</f>
        <v>44740.27761</v>
      </c>
      <c r="D5405" s="15">
        <f>IFERROR(__xludf.DUMMYFUNCTION("""COMPUTED_VALUE"""),1.005)</f>
        <v>1.005</v>
      </c>
      <c r="E5405" s="16">
        <f>IFERROR(__xludf.DUMMYFUNCTION("""COMPUTED_VALUE"""),68.0)</f>
        <v>68</v>
      </c>
      <c r="F5405" s="19" t="str">
        <f>IFERROR(__xludf.DUMMYFUNCTION("""COMPUTED_VALUE"""),"BLACK")</f>
        <v>BLACK</v>
      </c>
      <c r="G5405" s="20" t="str">
        <f>IFERROR(__xludf.DUMMYFUNCTION("""COMPUTED_VALUE"""),"Uncle Sams Cider (5/13/2022)")</f>
        <v>Uncle Sams Cider (5/13/2022)</v>
      </c>
      <c r="H5405" s="19"/>
    </row>
    <row r="5406">
      <c r="A5406" s="9"/>
      <c r="B5406" s="15"/>
      <c r="C5406" s="9">
        <f>IFERROR(__xludf.DUMMYFUNCTION("""COMPUTED_VALUE"""),44740.2671855787)</f>
        <v>44740.26719</v>
      </c>
      <c r="D5406" s="15">
        <f>IFERROR(__xludf.DUMMYFUNCTION("""COMPUTED_VALUE"""),1.005)</f>
        <v>1.005</v>
      </c>
      <c r="E5406" s="16">
        <f>IFERROR(__xludf.DUMMYFUNCTION("""COMPUTED_VALUE"""),68.0)</f>
        <v>68</v>
      </c>
      <c r="F5406" s="19" t="str">
        <f>IFERROR(__xludf.DUMMYFUNCTION("""COMPUTED_VALUE"""),"BLACK")</f>
        <v>BLACK</v>
      </c>
      <c r="G5406" s="20" t="str">
        <f>IFERROR(__xludf.DUMMYFUNCTION("""COMPUTED_VALUE"""),"Uncle Sams Cider (5/13/2022)")</f>
        <v>Uncle Sams Cider (5/13/2022)</v>
      </c>
      <c r="H5406" s="19"/>
    </row>
    <row r="5407">
      <c r="A5407" s="9"/>
      <c r="B5407" s="15"/>
      <c r="C5407" s="9">
        <f>IFERROR(__xludf.DUMMYFUNCTION("""COMPUTED_VALUE"""),44740.2567637615)</f>
        <v>44740.25676</v>
      </c>
      <c r="D5407" s="15">
        <f>IFERROR(__xludf.DUMMYFUNCTION("""COMPUTED_VALUE"""),1.005)</f>
        <v>1.005</v>
      </c>
      <c r="E5407" s="16">
        <f>IFERROR(__xludf.DUMMYFUNCTION("""COMPUTED_VALUE"""),68.0)</f>
        <v>68</v>
      </c>
      <c r="F5407" s="19" t="str">
        <f>IFERROR(__xludf.DUMMYFUNCTION("""COMPUTED_VALUE"""),"BLACK")</f>
        <v>BLACK</v>
      </c>
      <c r="G5407" s="20" t="str">
        <f>IFERROR(__xludf.DUMMYFUNCTION("""COMPUTED_VALUE"""),"Uncle Sams Cider (5/13/2022)")</f>
        <v>Uncle Sams Cider (5/13/2022)</v>
      </c>
      <c r="H5407" s="19"/>
    </row>
    <row r="5408">
      <c r="A5408" s="9"/>
      <c r="B5408" s="15"/>
      <c r="C5408" s="9">
        <f>IFERROR(__xludf.DUMMYFUNCTION("""COMPUTED_VALUE"""),44740.2463425)</f>
        <v>44740.24634</v>
      </c>
      <c r="D5408" s="15">
        <f>IFERROR(__xludf.DUMMYFUNCTION("""COMPUTED_VALUE"""),1.005)</f>
        <v>1.005</v>
      </c>
      <c r="E5408" s="16">
        <f>IFERROR(__xludf.DUMMYFUNCTION("""COMPUTED_VALUE"""),68.0)</f>
        <v>68</v>
      </c>
      <c r="F5408" s="19" t="str">
        <f>IFERROR(__xludf.DUMMYFUNCTION("""COMPUTED_VALUE"""),"BLACK")</f>
        <v>BLACK</v>
      </c>
      <c r="G5408" s="20" t="str">
        <f>IFERROR(__xludf.DUMMYFUNCTION("""COMPUTED_VALUE"""),"Uncle Sams Cider (5/13/2022)")</f>
        <v>Uncle Sams Cider (5/13/2022)</v>
      </c>
      <c r="H5408" s="19"/>
    </row>
    <row r="5409">
      <c r="A5409" s="9"/>
      <c r="B5409" s="15"/>
      <c r="C5409" s="9">
        <f>IFERROR(__xludf.DUMMYFUNCTION("""COMPUTED_VALUE"""),44740.23592125)</f>
        <v>44740.23592</v>
      </c>
      <c r="D5409" s="15">
        <f>IFERROR(__xludf.DUMMYFUNCTION("""COMPUTED_VALUE"""),1.005)</f>
        <v>1.005</v>
      </c>
      <c r="E5409" s="16">
        <f>IFERROR(__xludf.DUMMYFUNCTION("""COMPUTED_VALUE"""),68.0)</f>
        <v>68</v>
      </c>
      <c r="F5409" s="19" t="str">
        <f>IFERROR(__xludf.DUMMYFUNCTION("""COMPUTED_VALUE"""),"BLACK")</f>
        <v>BLACK</v>
      </c>
      <c r="G5409" s="20" t="str">
        <f>IFERROR(__xludf.DUMMYFUNCTION("""COMPUTED_VALUE"""),"Uncle Sams Cider (5/13/2022)")</f>
        <v>Uncle Sams Cider (5/13/2022)</v>
      </c>
      <c r="H5409" s="19"/>
    </row>
    <row r="5410">
      <c r="A5410" s="9"/>
      <c r="B5410" s="15"/>
      <c r="C5410" s="9">
        <f>IFERROR(__xludf.DUMMYFUNCTION("""COMPUTED_VALUE"""),44740.2255006134)</f>
        <v>44740.2255</v>
      </c>
      <c r="D5410" s="15">
        <f>IFERROR(__xludf.DUMMYFUNCTION("""COMPUTED_VALUE"""),1.005)</f>
        <v>1.005</v>
      </c>
      <c r="E5410" s="16">
        <f>IFERROR(__xludf.DUMMYFUNCTION("""COMPUTED_VALUE"""),68.0)</f>
        <v>68</v>
      </c>
      <c r="F5410" s="19" t="str">
        <f>IFERROR(__xludf.DUMMYFUNCTION("""COMPUTED_VALUE"""),"BLACK")</f>
        <v>BLACK</v>
      </c>
      <c r="G5410" s="20" t="str">
        <f>IFERROR(__xludf.DUMMYFUNCTION("""COMPUTED_VALUE"""),"Uncle Sams Cider (5/13/2022)")</f>
        <v>Uncle Sams Cider (5/13/2022)</v>
      </c>
      <c r="H5410" s="19"/>
    </row>
    <row r="5411">
      <c r="A5411" s="9"/>
      <c r="B5411" s="15"/>
      <c r="C5411" s="9">
        <f>IFERROR(__xludf.DUMMYFUNCTION("""COMPUTED_VALUE"""),44740.2150791666)</f>
        <v>44740.21508</v>
      </c>
      <c r="D5411" s="15">
        <f>IFERROR(__xludf.DUMMYFUNCTION("""COMPUTED_VALUE"""),1.005)</f>
        <v>1.005</v>
      </c>
      <c r="E5411" s="16">
        <f>IFERROR(__xludf.DUMMYFUNCTION("""COMPUTED_VALUE"""),68.0)</f>
        <v>68</v>
      </c>
      <c r="F5411" s="19" t="str">
        <f>IFERROR(__xludf.DUMMYFUNCTION("""COMPUTED_VALUE"""),"BLACK")</f>
        <v>BLACK</v>
      </c>
      <c r="G5411" s="20" t="str">
        <f>IFERROR(__xludf.DUMMYFUNCTION("""COMPUTED_VALUE"""),"Uncle Sams Cider (5/13/2022)")</f>
        <v>Uncle Sams Cider (5/13/2022)</v>
      </c>
      <c r="H5411" s="19"/>
    </row>
    <row r="5412">
      <c r="A5412" s="9"/>
      <c r="B5412" s="15"/>
      <c r="C5412" s="9">
        <f>IFERROR(__xludf.DUMMYFUNCTION("""COMPUTED_VALUE"""),44740.2046582754)</f>
        <v>44740.20466</v>
      </c>
      <c r="D5412" s="15">
        <f>IFERROR(__xludf.DUMMYFUNCTION("""COMPUTED_VALUE"""),1.005)</f>
        <v>1.005</v>
      </c>
      <c r="E5412" s="16">
        <f>IFERROR(__xludf.DUMMYFUNCTION("""COMPUTED_VALUE"""),68.0)</f>
        <v>68</v>
      </c>
      <c r="F5412" s="19" t="str">
        <f>IFERROR(__xludf.DUMMYFUNCTION("""COMPUTED_VALUE"""),"BLACK")</f>
        <v>BLACK</v>
      </c>
      <c r="G5412" s="20" t="str">
        <f>IFERROR(__xludf.DUMMYFUNCTION("""COMPUTED_VALUE"""),"Uncle Sams Cider (5/13/2022)")</f>
        <v>Uncle Sams Cider (5/13/2022)</v>
      </c>
      <c r="H5412" s="19"/>
    </row>
    <row r="5413">
      <c r="A5413" s="9"/>
      <c r="B5413" s="15"/>
      <c r="C5413" s="9">
        <f>IFERROR(__xludf.DUMMYFUNCTION("""COMPUTED_VALUE"""),44740.1942260069)</f>
        <v>44740.19423</v>
      </c>
      <c r="D5413" s="15">
        <f>IFERROR(__xludf.DUMMYFUNCTION("""COMPUTED_VALUE"""),1.005)</f>
        <v>1.005</v>
      </c>
      <c r="E5413" s="16">
        <f>IFERROR(__xludf.DUMMYFUNCTION("""COMPUTED_VALUE"""),68.0)</f>
        <v>68</v>
      </c>
      <c r="F5413" s="19" t="str">
        <f>IFERROR(__xludf.DUMMYFUNCTION("""COMPUTED_VALUE"""),"BLACK")</f>
        <v>BLACK</v>
      </c>
      <c r="G5413" s="20" t="str">
        <f>IFERROR(__xludf.DUMMYFUNCTION("""COMPUTED_VALUE"""),"Uncle Sams Cider (5/13/2022)")</f>
        <v>Uncle Sams Cider (5/13/2022)</v>
      </c>
      <c r="H5413" s="19"/>
    </row>
    <row r="5414">
      <c r="A5414" s="9"/>
      <c r="B5414" s="15"/>
      <c r="C5414" s="9">
        <f>IFERROR(__xludf.DUMMYFUNCTION("""COMPUTED_VALUE"""),44740.1838063541)</f>
        <v>44740.18381</v>
      </c>
      <c r="D5414" s="15">
        <f>IFERROR(__xludf.DUMMYFUNCTION("""COMPUTED_VALUE"""),1.005)</f>
        <v>1.005</v>
      </c>
      <c r="E5414" s="16">
        <f>IFERROR(__xludf.DUMMYFUNCTION("""COMPUTED_VALUE"""),68.0)</f>
        <v>68</v>
      </c>
      <c r="F5414" s="19" t="str">
        <f>IFERROR(__xludf.DUMMYFUNCTION("""COMPUTED_VALUE"""),"BLACK")</f>
        <v>BLACK</v>
      </c>
      <c r="G5414" s="20" t="str">
        <f>IFERROR(__xludf.DUMMYFUNCTION("""COMPUTED_VALUE"""),"Uncle Sams Cider (5/13/2022)")</f>
        <v>Uncle Sams Cider (5/13/2022)</v>
      </c>
      <c r="H5414" s="19"/>
    </row>
    <row r="5415">
      <c r="A5415" s="9"/>
      <c r="B5415" s="15"/>
      <c r="C5415" s="9">
        <f>IFERROR(__xludf.DUMMYFUNCTION("""COMPUTED_VALUE"""),44740.1733853356)</f>
        <v>44740.17339</v>
      </c>
      <c r="D5415" s="15">
        <f>IFERROR(__xludf.DUMMYFUNCTION("""COMPUTED_VALUE"""),1.005)</f>
        <v>1.005</v>
      </c>
      <c r="E5415" s="16">
        <f>IFERROR(__xludf.DUMMYFUNCTION("""COMPUTED_VALUE"""),68.0)</f>
        <v>68</v>
      </c>
      <c r="F5415" s="19" t="str">
        <f>IFERROR(__xludf.DUMMYFUNCTION("""COMPUTED_VALUE"""),"BLACK")</f>
        <v>BLACK</v>
      </c>
      <c r="G5415" s="20" t="str">
        <f>IFERROR(__xludf.DUMMYFUNCTION("""COMPUTED_VALUE"""),"Uncle Sams Cider (5/13/2022)")</f>
        <v>Uncle Sams Cider (5/13/2022)</v>
      </c>
      <c r="H5415" s="19"/>
    </row>
    <row r="5416">
      <c r="A5416" s="9"/>
      <c r="B5416" s="15"/>
      <c r="C5416" s="9">
        <f>IFERROR(__xludf.DUMMYFUNCTION("""COMPUTED_VALUE"""),44740.1629655902)</f>
        <v>44740.16297</v>
      </c>
      <c r="D5416" s="15">
        <f>IFERROR(__xludf.DUMMYFUNCTION("""COMPUTED_VALUE"""),1.005)</f>
        <v>1.005</v>
      </c>
      <c r="E5416" s="16">
        <f>IFERROR(__xludf.DUMMYFUNCTION("""COMPUTED_VALUE"""),68.0)</f>
        <v>68</v>
      </c>
      <c r="F5416" s="19" t="str">
        <f>IFERROR(__xludf.DUMMYFUNCTION("""COMPUTED_VALUE"""),"BLACK")</f>
        <v>BLACK</v>
      </c>
      <c r="G5416" s="20" t="str">
        <f>IFERROR(__xludf.DUMMYFUNCTION("""COMPUTED_VALUE"""),"Uncle Sams Cider (5/13/2022)")</f>
        <v>Uncle Sams Cider (5/13/2022)</v>
      </c>
      <c r="H5416" s="19"/>
    </row>
    <row r="5417">
      <c r="A5417" s="9"/>
      <c r="B5417" s="15"/>
      <c r="C5417" s="9">
        <f>IFERROR(__xludf.DUMMYFUNCTION("""COMPUTED_VALUE"""),44740.152544456)</f>
        <v>44740.15254</v>
      </c>
      <c r="D5417" s="15">
        <f>IFERROR(__xludf.DUMMYFUNCTION("""COMPUTED_VALUE"""),1.005)</f>
        <v>1.005</v>
      </c>
      <c r="E5417" s="16">
        <f>IFERROR(__xludf.DUMMYFUNCTION("""COMPUTED_VALUE"""),68.0)</f>
        <v>68</v>
      </c>
      <c r="F5417" s="19" t="str">
        <f>IFERROR(__xludf.DUMMYFUNCTION("""COMPUTED_VALUE"""),"BLACK")</f>
        <v>BLACK</v>
      </c>
      <c r="G5417" s="20" t="str">
        <f>IFERROR(__xludf.DUMMYFUNCTION("""COMPUTED_VALUE"""),"Uncle Sams Cider (5/13/2022)")</f>
        <v>Uncle Sams Cider (5/13/2022)</v>
      </c>
      <c r="H5417" s="19"/>
    </row>
    <row r="5418">
      <c r="A5418" s="9"/>
      <c r="B5418" s="15"/>
      <c r="C5418" s="9">
        <f>IFERROR(__xludf.DUMMYFUNCTION("""COMPUTED_VALUE"""),44740.1421223379)</f>
        <v>44740.14212</v>
      </c>
      <c r="D5418" s="15">
        <f>IFERROR(__xludf.DUMMYFUNCTION("""COMPUTED_VALUE"""),1.005)</f>
        <v>1.005</v>
      </c>
      <c r="E5418" s="16">
        <f>IFERROR(__xludf.DUMMYFUNCTION("""COMPUTED_VALUE"""),68.0)</f>
        <v>68</v>
      </c>
      <c r="F5418" s="19" t="str">
        <f>IFERROR(__xludf.DUMMYFUNCTION("""COMPUTED_VALUE"""),"BLACK")</f>
        <v>BLACK</v>
      </c>
      <c r="G5418" s="20" t="str">
        <f>IFERROR(__xludf.DUMMYFUNCTION("""COMPUTED_VALUE"""),"Uncle Sams Cider (5/13/2022)")</f>
        <v>Uncle Sams Cider (5/13/2022)</v>
      </c>
      <c r="H5418" s="19"/>
    </row>
    <row r="5419">
      <c r="A5419" s="9"/>
      <c r="B5419" s="15"/>
      <c r="C5419" s="9">
        <f>IFERROR(__xludf.DUMMYFUNCTION("""COMPUTED_VALUE"""),44740.1317008217)</f>
        <v>44740.1317</v>
      </c>
      <c r="D5419" s="15">
        <f>IFERROR(__xludf.DUMMYFUNCTION("""COMPUTED_VALUE"""),1.005)</f>
        <v>1.005</v>
      </c>
      <c r="E5419" s="16">
        <f>IFERROR(__xludf.DUMMYFUNCTION("""COMPUTED_VALUE"""),68.0)</f>
        <v>68</v>
      </c>
      <c r="F5419" s="19" t="str">
        <f>IFERROR(__xludf.DUMMYFUNCTION("""COMPUTED_VALUE"""),"BLACK")</f>
        <v>BLACK</v>
      </c>
      <c r="G5419" s="20" t="str">
        <f>IFERROR(__xludf.DUMMYFUNCTION("""COMPUTED_VALUE"""),"Uncle Sams Cider (5/13/2022)")</f>
        <v>Uncle Sams Cider (5/13/2022)</v>
      </c>
      <c r="H5419" s="19"/>
    </row>
    <row r="5420">
      <c r="A5420" s="9"/>
      <c r="B5420" s="15"/>
      <c r="C5420" s="9">
        <f>IFERROR(__xludf.DUMMYFUNCTION("""COMPUTED_VALUE"""),44740.1212789583)</f>
        <v>44740.12128</v>
      </c>
      <c r="D5420" s="15">
        <f>IFERROR(__xludf.DUMMYFUNCTION("""COMPUTED_VALUE"""),1.005)</f>
        <v>1.005</v>
      </c>
      <c r="E5420" s="16">
        <f>IFERROR(__xludf.DUMMYFUNCTION("""COMPUTED_VALUE"""),68.0)</f>
        <v>68</v>
      </c>
      <c r="F5420" s="19" t="str">
        <f>IFERROR(__xludf.DUMMYFUNCTION("""COMPUTED_VALUE"""),"BLACK")</f>
        <v>BLACK</v>
      </c>
      <c r="G5420" s="20" t="str">
        <f>IFERROR(__xludf.DUMMYFUNCTION("""COMPUTED_VALUE"""),"Uncle Sams Cider (5/13/2022)")</f>
        <v>Uncle Sams Cider (5/13/2022)</v>
      </c>
      <c r="H5420" s="19"/>
    </row>
    <row r="5421">
      <c r="A5421" s="9"/>
      <c r="B5421" s="15"/>
      <c r="C5421" s="9">
        <f>IFERROR(__xludf.DUMMYFUNCTION("""COMPUTED_VALUE"""),44740.1108334027)</f>
        <v>44740.11083</v>
      </c>
      <c r="D5421" s="15">
        <f>IFERROR(__xludf.DUMMYFUNCTION("""COMPUTED_VALUE"""),1.005)</f>
        <v>1.005</v>
      </c>
      <c r="E5421" s="16">
        <f>IFERROR(__xludf.DUMMYFUNCTION("""COMPUTED_VALUE"""),68.0)</f>
        <v>68</v>
      </c>
      <c r="F5421" s="19" t="str">
        <f>IFERROR(__xludf.DUMMYFUNCTION("""COMPUTED_VALUE"""),"BLACK")</f>
        <v>BLACK</v>
      </c>
      <c r="G5421" s="20" t="str">
        <f>IFERROR(__xludf.DUMMYFUNCTION("""COMPUTED_VALUE"""),"Uncle Sams Cider (5/13/2022)")</f>
        <v>Uncle Sams Cider (5/13/2022)</v>
      </c>
      <c r="H5421" s="19"/>
    </row>
    <row r="5422">
      <c r="A5422" s="9"/>
      <c r="B5422" s="15"/>
      <c r="C5422" s="9">
        <f>IFERROR(__xludf.DUMMYFUNCTION("""COMPUTED_VALUE"""),44740.1004108449)</f>
        <v>44740.10041</v>
      </c>
      <c r="D5422" s="15">
        <f>IFERROR(__xludf.DUMMYFUNCTION("""COMPUTED_VALUE"""),1.005)</f>
        <v>1.005</v>
      </c>
      <c r="E5422" s="16">
        <f>IFERROR(__xludf.DUMMYFUNCTION("""COMPUTED_VALUE"""),68.0)</f>
        <v>68</v>
      </c>
      <c r="F5422" s="19" t="str">
        <f>IFERROR(__xludf.DUMMYFUNCTION("""COMPUTED_VALUE"""),"BLACK")</f>
        <v>BLACK</v>
      </c>
      <c r="G5422" s="20" t="str">
        <f>IFERROR(__xludf.DUMMYFUNCTION("""COMPUTED_VALUE"""),"Uncle Sams Cider (5/13/2022)")</f>
        <v>Uncle Sams Cider (5/13/2022)</v>
      </c>
      <c r="H5422" s="19"/>
    </row>
    <row r="5423">
      <c r="A5423" s="9"/>
      <c r="B5423" s="15"/>
      <c r="C5423" s="9">
        <f>IFERROR(__xludf.DUMMYFUNCTION("""COMPUTED_VALUE"""),44740.0899904282)</f>
        <v>44740.08999</v>
      </c>
      <c r="D5423" s="15">
        <f>IFERROR(__xludf.DUMMYFUNCTION("""COMPUTED_VALUE"""),1.005)</f>
        <v>1.005</v>
      </c>
      <c r="E5423" s="16">
        <f>IFERROR(__xludf.DUMMYFUNCTION("""COMPUTED_VALUE"""),68.0)</f>
        <v>68</v>
      </c>
      <c r="F5423" s="19" t="str">
        <f>IFERROR(__xludf.DUMMYFUNCTION("""COMPUTED_VALUE"""),"BLACK")</f>
        <v>BLACK</v>
      </c>
      <c r="G5423" s="20" t="str">
        <f>IFERROR(__xludf.DUMMYFUNCTION("""COMPUTED_VALUE"""),"Uncle Sams Cider (5/13/2022)")</f>
        <v>Uncle Sams Cider (5/13/2022)</v>
      </c>
      <c r="H5423" s="19"/>
    </row>
    <row r="5424">
      <c r="A5424" s="9"/>
      <c r="B5424" s="15"/>
      <c r="C5424" s="9">
        <f>IFERROR(__xludf.DUMMYFUNCTION("""COMPUTED_VALUE"""),44740.0795693402)</f>
        <v>44740.07957</v>
      </c>
      <c r="D5424" s="15">
        <f>IFERROR(__xludf.DUMMYFUNCTION("""COMPUTED_VALUE"""),1.005)</f>
        <v>1.005</v>
      </c>
      <c r="E5424" s="16">
        <f>IFERROR(__xludf.DUMMYFUNCTION("""COMPUTED_VALUE"""),68.0)</f>
        <v>68</v>
      </c>
      <c r="F5424" s="19" t="str">
        <f>IFERROR(__xludf.DUMMYFUNCTION("""COMPUTED_VALUE"""),"BLACK")</f>
        <v>BLACK</v>
      </c>
      <c r="G5424" s="20" t="str">
        <f>IFERROR(__xludf.DUMMYFUNCTION("""COMPUTED_VALUE"""),"Uncle Sams Cider (5/13/2022)")</f>
        <v>Uncle Sams Cider (5/13/2022)</v>
      </c>
      <c r="H5424" s="19"/>
    </row>
    <row r="5425">
      <c r="A5425" s="9"/>
      <c r="B5425" s="15"/>
      <c r="C5425" s="9">
        <f>IFERROR(__xludf.DUMMYFUNCTION("""COMPUTED_VALUE"""),44740.0691356828)</f>
        <v>44740.06914</v>
      </c>
      <c r="D5425" s="15">
        <f>IFERROR(__xludf.DUMMYFUNCTION("""COMPUTED_VALUE"""),1.005)</f>
        <v>1.005</v>
      </c>
      <c r="E5425" s="16">
        <f>IFERROR(__xludf.DUMMYFUNCTION("""COMPUTED_VALUE"""),68.0)</f>
        <v>68</v>
      </c>
      <c r="F5425" s="19" t="str">
        <f>IFERROR(__xludf.DUMMYFUNCTION("""COMPUTED_VALUE"""),"BLACK")</f>
        <v>BLACK</v>
      </c>
      <c r="G5425" s="20" t="str">
        <f>IFERROR(__xludf.DUMMYFUNCTION("""COMPUTED_VALUE"""),"Uncle Sams Cider (5/13/2022)")</f>
        <v>Uncle Sams Cider (5/13/2022)</v>
      </c>
      <c r="H5425" s="19"/>
    </row>
    <row r="5426">
      <c r="A5426" s="9"/>
      <c r="B5426" s="15"/>
      <c r="C5426" s="9">
        <f>IFERROR(__xludf.DUMMYFUNCTION("""COMPUTED_VALUE"""),44740.0587013888)</f>
        <v>44740.0587</v>
      </c>
      <c r="D5426" s="15">
        <f>IFERROR(__xludf.DUMMYFUNCTION("""COMPUTED_VALUE"""),1.005)</f>
        <v>1.005</v>
      </c>
      <c r="E5426" s="16">
        <f>IFERROR(__xludf.DUMMYFUNCTION("""COMPUTED_VALUE"""),68.0)</f>
        <v>68</v>
      </c>
      <c r="F5426" s="19" t="str">
        <f>IFERROR(__xludf.DUMMYFUNCTION("""COMPUTED_VALUE"""),"BLACK")</f>
        <v>BLACK</v>
      </c>
      <c r="G5426" s="20" t="str">
        <f>IFERROR(__xludf.DUMMYFUNCTION("""COMPUTED_VALUE"""),"Uncle Sams Cider (5/13/2022)")</f>
        <v>Uncle Sams Cider (5/13/2022)</v>
      </c>
      <c r="H5426" s="19"/>
    </row>
    <row r="5427">
      <c r="A5427" s="9"/>
      <c r="B5427" s="15"/>
      <c r="C5427" s="9">
        <f>IFERROR(__xludf.DUMMYFUNCTION("""COMPUTED_VALUE"""),44740.0482806365)</f>
        <v>44740.04828</v>
      </c>
      <c r="D5427" s="15">
        <f>IFERROR(__xludf.DUMMYFUNCTION("""COMPUTED_VALUE"""),1.005)</f>
        <v>1.005</v>
      </c>
      <c r="E5427" s="16">
        <f>IFERROR(__xludf.DUMMYFUNCTION("""COMPUTED_VALUE"""),68.0)</f>
        <v>68</v>
      </c>
      <c r="F5427" s="19" t="str">
        <f>IFERROR(__xludf.DUMMYFUNCTION("""COMPUTED_VALUE"""),"BLACK")</f>
        <v>BLACK</v>
      </c>
      <c r="G5427" s="20" t="str">
        <f>IFERROR(__xludf.DUMMYFUNCTION("""COMPUTED_VALUE"""),"Uncle Sams Cider (5/13/2022)")</f>
        <v>Uncle Sams Cider (5/13/2022)</v>
      </c>
      <c r="H5427" s="19"/>
    </row>
    <row r="5428">
      <c r="A5428" s="9"/>
      <c r="B5428" s="15"/>
      <c r="C5428" s="9">
        <f>IFERROR(__xludf.DUMMYFUNCTION("""COMPUTED_VALUE"""),44740.0378616898)</f>
        <v>44740.03786</v>
      </c>
      <c r="D5428" s="15">
        <f>IFERROR(__xludf.DUMMYFUNCTION("""COMPUTED_VALUE"""),1.005)</f>
        <v>1.005</v>
      </c>
      <c r="E5428" s="16">
        <f>IFERROR(__xludf.DUMMYFUNCTION("""COMPUTED_VALUE"""),68.0)</f>
        <v>68</v>
      </c>
      <c r="F5428" s="19" t="str">
        <f>IFERROR(__xludf.DUMMYFUNCTION("""COMPUTED_VALUE"""),"BLACK")</f>
        <v>BLACK</v>
      </c>
      <c r="G5428" s="20" t="str">
        <f>IFERROR(__xludf.DUMMYFUNCTION("""COMPUTED_VALUE"""),"Uncle Sams Cider (5/13/2022)")</f>
        <v>Uncle Sams Cider (5/13/2022)</v>
      </c>
      <c r="H5428" s="19"/>
    </row>
    <row r="5429">
      <c r="A5429" s="9"/>
      <c r="B5429" s="15"/>
      <c r="C5429" s="9">
        <f>IFERROR(__xludf.DUMMYFUNCTION("""COMPUTED_VALUE"""),44740.0274412615)</f>
        <v>44740.02744</v>
      </c>
      <c r="D5429" s="15">
        <f>IFERROR(__xludf.DUMMYFUNCTION("""COMPUTED_VALUE"""),1.005)</f>
        <v>1.005</v>
      </c>
      <c r="E5429" s="16">
        <f>IFERROR(__xludf.DUMMYFUNCTION("""COMPUTED_VALUE"""),68.0)</f>
        <v>68</v>
      </c>
      <c r="F5429" s="19" t="str">
        <f>IFERROR(__xludf.DUMMYFUNCTION("""COMPUTED_VALUE"""),"BLACK")</f>
        <v>BLACK</v>
      </c>
      <c r="G5429" s="20" t="str">
        <f>IFERROR(__xludf.DUMMYFUNCTION("""COMPUTED_VALUE"""),"Uncle Sams Cider (5/13/2022)")</f>
        <v>Uncle Sams Cider (5/13/2022)</v>
      </c>
      <c r="H5429" s="19"/>
    </row>
    <row r="5430">
      <c r="A5430" s="9"/>
      <c r="B5430" s="15"/>
      <c r="C5430" s="9">
        <f>IFERROR(__xludf.DUMMYFUNCTION("""COMPUTED_VALUE"""),44740.0170202314)</f>
        <v>44740.01702</v>
      </c>
      <c r="D5430" s="15">
        <f>IFERROR(__xludf.DUMMYFUNCTION("""COMPUTED_VALUE"""),1.005)</f>
        <v>1.005</v>
      </c>
      <c r="E5430" s="16">
        <f>IFERROR(__xludf.DUMMYFUNCTION("""COMPUTED_VALUE"""),68.0)</f>
        <v>68</v>
      </c>
      <c r="F5430" s="19" t="str">
        <f>IFERROR(__xludf.DUMMYFUNCTION("""COMPUTED_VALUE"""),"BLACK")</f>
        <v>BLACK</v>
      </c>
      <c r="G5430" s="20" t="str">
        <f>IFERROR(__xludf.DUMMYFUNCTION("""COMPUTED_VALUE"""),"Uncle Sams Cider (5/13/2022)")</f>
        <v>Uncle Sams Cider (5/13/2022)</v>
      </c>
      <c r="H5430" s="19"/>
    </row>
    <row r="5431">
      <c r="A5431" s="9"/>
      <c r="B5431" s="15"/>
      <c r="C5431" s="9">
        <f>IFERROR(__xludf.DUMMYFUNCTION("""COMPUTED_VALUE"""),44740.0065978588)</f>
        <v>44740.0066</v>
      </c>
      <c r="D5431" s="15">
        <f>IFERROR(__xludf.DUMMYFUNCTION("""COMPUTED_VALUE"""),1.005)</f>
        <v>1.005</v>
      </c>
      <c r="E5431" s="16">
        <f>IFERROR(__xludf.DUMMYFUNCTION("""COMPUTED_VALUE"""),68.0)</f>
        <v>68</v>
      </c>
      <c r="F5431" s="19" t="str">
        <f>IFERROR(__xludf.DUMMYFUNCTION("""COMPUTED_VALUE"""),"BLACK")</f>
        <v>BLACK</v>
      </c>
      <c r="G5431" s="20" t="str">
        <f>IFERROR(__xludf.DUMMYFUNCTION("""COMPUTED_VALUE"""),"Uncle Sams Cider (5/13/2022)")</f>
        <v>Uncle Sams Cider (5/13/2022)</v>
      </c>
      <c r="H5431" s="19"/>
    </row>
    <row r="5432">
      <c r="A5432" s="9"/>
      <c r="B5432" s="15"/>
      <c r="C5432" s="9">
        <f>IFERROR(__xludf.DUMMYFUNCTION("""COMPUTED_VALUE"""),44739.9961770833)</f>
        <v>44739.99618</v>
      </c>
      <c r="D5432" s="15">
        <f>IFERROR(__xludf.DUMMYFUNCTION("""COMPUTED_VALUE"""),1.005)</f>
        <v>1.005</v>
      </c>
      <c r="E5432" s="16">
        <f>IFERROR(__xludf.DUMMYFUNCTION("""COMPUTED_VALUE"""),68.0)</f>
        <v>68</v>
      </c>
      <c r="F5432" s="19" t="str">
        <f>IFERROR(__xludf.DUMMYFUNCTION("""COMPUTED_VALUE"""),"BLACK")</f>
        <v>BLACK</v>
      </c>
      <c r="G5432" s="20" t="str">
        <f>IFERROR(__xludf.DUMMYFUNCTION("""COMPUTED_VALUE"""),"Uncle Sams Cider (5/13/2022)")</f>
        <v>Uncle Sams Cider (5/13/2022)</v>
      </c>
      <c r="H5432" s="19"/>
    </row>
    <row r="5433">
      <c r="A5433" s="9"/>
      <c r="B5433" s="15"/>
      <c r="C5433" s="9">
        <f>IFERROR(__xludf.DUMMYFUNCTION("""COMPUTED_VALUE"""),44739.9857571296)</f>
        <v>44739.98576</v>
      </c>
      <c r="D5433" s="15">
        <f>IFERROR(__xludf.DUMMYFUNCTION("""COMPUTED_VALUE"""),1.005)</f>
        <v>1.005</v>
      </c>
      <c r="E5433" s="16">
        <f>IFERROR(__xludf.DUMMYFUNCTION("""COMPUTED_VALUE"""),68.0)</f>
        <v>68</v>
      </c>
      <c r="F5433" s="19" t="str">
        <f>IFERROR(__xludf.DUMMYFUNCTION("""COMPUTED_VALUE"""),"BLACK")</f>
        <v>BLACK</v>
      </c>
      <c r="G5433" s="20" t="str">
        <f>IFERROR(__xludf.DUMMYFUNCTION("""COMPUTED_VALUE"""),"Uncle Sams Cider (5/13/2022)")</f>
        <v>Uncle Sams Cider (5/13/2022)</v>
      </c>
      <c r="H5433" s="19"/>
    </row>
    <row r="5434">
      <c r="A5434" s="9"/>
      <c r="B5434" s="15"/>
      <c r="C5434" s="9">
        <f>IFERROR(__xludf.DUMMYFUNCTION("""COMPUTED_VALUE"""),44739.9753351157)</f>
        <v>44739.97534</v>
      </c>
      <c r="D5434" s="15">
        <f>IFERROR(__xludf.DUMMYFUNCTION("""COMPUTED_VALUE"""),1.005)</f>
        <v>1.005</v>
      </c>
      <c r="E5434" s="16">
        <f>IFERROR(__xludf.DUMMYFUNCTION("""COMPUTED_VALUE"""),68.0)</f>
        <v>68</v>
      </c>
      <c r="F5434" s="19" t="str">
        <f>IFERROR(__xludf.DUMMYFUNCTION("""COMPUTED_VALUE"""),"BLACK")</f>
        <v>BLACK</v>
      </c>
      <c r="G5434" s="20" t="str">
        <f>IFERROR(__xludf.DUMMYFUNCTION("""COMPUTED_VALUE"""),"Uncle Sams Cider (5/13/2022)")</f>
        <v>Uncle Sams Cider (5/13/2022)</v>
      </c>
      <c r="H5434" s="19"/>
    </row>
    <row r="5435">
      <c r="A5435" s="9"/>
      <c r="B5435" s="15"/>
      <c r="C5435" s="9">
        <f>IFERROR(__xludf.DUMMYFUNCTION("""COMPUTED_VALUE"""),44739.964915)</f>
        <v>44739.96492</v>
      </c>
      <c r="D5435" s="15">
        <f>IFERROR(__xludf.DUMMYFUNCTION("""COMPUTED_VALUE"""),1.005)</f>
        <v>1.005</v>
      </c>
      <c r="E5435" s="16">
        <f>IFERROR(__xludf.DUMMYFUNCTION("""COMPUTED_VALUE"""),68.0)</f>
        <v>68</v>
      </c>
      <c r="F5435" s="19" t="str">
        <f>IFERROR(__xludf.DUMMYFUNCTION("""COMPUTED_VALUE"""),"BLACK")</f>
        <v>BLACK</v>
      </c>
      <c r="G5435" s="20" t="str">
        <f>IFERROR(__xludf.DUMMYFUNCTION("""COMPUTED_VALUE"""),"Uncle Sams Cider (5/13/2022)")</f>
        <v>Uncle Sams Cider (5/13/2022)</v>
      </c>
      <c r="H5435" s="19"/>
    </row>
    <row r="5436">
      <c r="A5436" s="9"/>
      <c r="B5436" s="15"/>
      <c r="C5436" s="9">
        <f>IFERROR(__xludf.DUMMYFUNCTION("""COMPUTED_VALUE"""),44739.9544934838)</f>
        <v>44739.95449</v>
      </c>
      <c r="D5436" s="15">
        <f>IFERROR(__xludf.DUMMYFUNCTION("""COMPUTED_VALUE"""),1.005)</f>
        <v>1.005</v>
      </c>
      <c r="E5436" s="16">
        <f>IFERROR(__xludf.DUMMYFUNCTION("""COMPUTED_VALUE"""),68.0)</f>
        <v>68</v>
      </c>
      <c r="F5436" s="19" t="str">
        <f>IFERROR(__xludf.DUMMYFUNCTION("""COMPUTED_VALUE"""),"BLACK")</f>
        <v>BLACK</v>
      </c>
      <c r="G5436" s="20" t="str">
        <f>IFERROR(__xludf.DUMMYFUNCTION("""COMPUTED_VALUE"""),"Uncle Sams Cider (5/13/2022)")</f>
        <v>Uncle Sams Cider (5/13/2022)</v>
      </c>
      <c r="H5436" s="19"/>
    </row>
    <row r="5437">
      <c r="A5437" s="9"/>
      <c r="B5437" s="15"/>
      <c r="C5437" s="9">
        <f>IFERROR(__xludf.DUMMYFUNCTION("""COMPUTED_VALUE"""),44739.9440722106)</f>
        <v>44739.94407</v>
      </c>
      <c r="D5437" s="15">
        <f>IFERROR(__xludf.DUMMYFUNCTION("""COMPUTED_VALUE"""),1.005)</f>
        <v>1.005</v>
      </c>
      <c r="E5437" s="16">
        <f>IFERROR(__xludf.DUMMYFUNCTION("""COMPUTED_VALUE"""),68.0)</f>
        <v>68</v>
      </c>
      <c r="F5437" s="19" t="str">
        <f>IFERROR(__xludf.DUMMYFUNCTION("""COMPUTED_VALUE"""),"BLACK")</f>
        <v>BLACK</v>
      </c>
      <c r="G5437" s="20" t="str">
        <f>IFERROR(__xludf.DUMMYFUNCTION("""COMPUTED_VALUE"""),"Uncle Sams Cider (5/13/2022)")</f>
        <v>Uncle Sams Cider (5/13/2022)</v>
      </c>
      <c r="H5437" s="19"/>
    </row>
    <row r="5438">
      <c r="A5438" s="9"/>
      <c r="B5438" s="15"/>
      <c r="C5438" s="9">
        <f>IFERROR(__xludf.DUMMYFUNCTION("""COMPUTED_VALUE"""),44739.9336527777)</f>
        <v>44739.93365</v>
      </c>
      <c r="D5438" s="15">
        <f>IFERROR(__xludf.DUMMYFUNCTION("""COMPUTED_VALUE"""),1.005)</f>
        <v>1.005</v>
      </c>
      <c r="E5438" s="16">
        <f>IFERROR(__xludf.DUMMYFUNCTION("""COMPUTED_VALUE"""),68.0)</f>
        <v>68</v>
      </c>
      <c r="F5438" s="19" t="str">
        <f>IFERROR(__xludf.DUMMYFUNCTION("""COMPUTED_VALUE"""),"BLACK")</f>
        <v>BLACK</v>
      </c>
      <c r="G5438" s="20" t="str">
        <f>IFERROR(__xludf.DUMMYFUNCTION("""COMPUTED_VALUE"""),"Uncle Sams Cider (5/13/2022)")</f>
        <v>Uncle Sams Cider (5/13/2022)</v>
      </c>
      <c r="H5438" s="19"/>
    </row>
    <row r="5439">
      <c r="A5439" s="9"/>
      <c r="B5439" s="15"/>
      <c r="C5439" s="9">
        <f>IFERROR(__xludf.DUMMYFUNCTION("""COMPUTED_VALUE"""),44739.9232318055)</f>
        <v>44739.92323</v>
      </c>
      <c r="D5439" s="15">
        <f>IFERROR(__xludf.DUMMYFUNCTION("""COMPUTED_VALUE"""),1.005)</f>
        <v>1.005</v>
      </c>
      <c r="E5439" s="16">
        <f>IFERROR(__xludf.DUMMYFUNCTION("""COMPUTED_VALUE"""),68.0)</f>
        <v>68</v>
      </c>
      <c r="F5439" s="19" t="str">
        <f>IFERROR(__xludf.DUMMYFUNCTION("""COMPUTED_VALUE"""),"BLACK")</f>
        <v>BLACK</v>
      </c>
      <c r="G5439" s="20" t="str">
        <f>IFERROR(__xludf.DUMMYFUNCTION("""COMPUTED_VALUE"""),"Uncle Sams Cider (5/13/2022)")</f>
        <v>Uncle Sams Cider (5/13/2022)</v>
      </c>
      <c r="H5439" s="19"/>
    </row>
    <row r="5440">
      <c r="A5440" s="9"/>
      <c r="B5440" s="15"/>
      <c r="C5440" s="9">
        <f>IFERROR(__xludf.DUMMYFUNCTION("""COMPUTED_VALUE"""),44739.9128093055)</f>
        <v>44739.91281</v>
      </c>
      <c r="D5440" s="15">
        <f>IFERROR(__xludf.DUMMYFUNCTION("""COMPUTED_VALUE"""),1.005)</f>
        <v>1.005</v>
      </c>
      <c r="E5440" s="16">
        <f>IFERROR(__xludf.DUMMYFUNCTION("""COMPUTED_VALUE"""),68.0)</f>
        <v>68</v>
      </c>
      <c r="F5440" s="19" t="str">
        <f>IFERROR(__xludf.DUMMYFUNCTION("""COMPUTED_VALUE"""),"BLACK")</f>
        <v>BLACK</v>
      </c>
      <c r="G5440" s="20" t="str">
        <f>IFERROR(__xludf.DUMMYFUNCTION("""COMPUTED_VALUE"""),"Uncle Sams Cider (5/13/2022)")</f>
        <v>Uncle Sams Cider (5/13/2022)</v>
      </c>
      <c r="H5440" s="19"/>
    </row>
    <row r="5441">
      <c r="A5441" s="9"/>
      <c r="B5441" s="15"/>
      <c r="C5441" s="9">
        <f>IFERROR(__xludf.DUMMYFUNCTION("""COMPUTED_VALUE"""),44739.9023873726)</f>
        <v>44739.90239</v>
      </c>
      <c r="D5441" s="15">
        <f>IFERROR(__xludf.DUMMYFUNCTION("""COMPUTED_VALUE"""),1.005)</f>
        <v>1.005</v>
      </c>
      <c r="E5441" s="16">
        <f>IFERROR(__xludf.DUMMYFUNCTION("""COMPUTED_VALUE"""),68.0)</f>
        <v>68</v>
      </c>
      <c r="F5441" s="19" t="str">
        <f>IFERROR(__xludf.DUMMYFUNCTION("""COMPUTED_VALUE"""),"BLACK")</f>
        <v>BLACK</v>
      </c>
      <c r="G5441" s="20" t="str">
        <f>IFERROR(__xludf.DUMMYFUNCTION("""COMPUTED_VALUE"""),"Uncle Sams Cider (5/13/2022)")</f>
        <v>Uncle Sams Cider (5/13/2022)</v>
      </c>
      <c r="H5441" s="19"/>
    </row>
    <row r="5442">
      <c r="A5442" s="9"/>
      <c r="B5442" s="15"/>
      <c r="C5442" s="9">
        <f>IFERROR(__xludf.DUMMYFUNCTION("""COMPUTED_VALUE"""),44739.8919672106)</f>
        <v>44739.89197</v>
      </c>
      <c r="D5442" s="15">
        <f>IFERROR(__xludf.DUMMYFUNCTION("""COMPUTED_VALUE"""),1.005)</f>
        <v>1.005</v>
      </c>
      <c r="E5442" s="16">
        <f>IFERROR(__xludf.DUMMYFUNCTION("""COMPUTED_VALUE"""),68.0)</f>
        <v>68</v>
      </c>
      <c r="F5442" s="19" t="str">
        <f>IFERROR(__xludf.DUMMYFUNCTION("""COMPUTED_VALUE"""),"BLACK")</f>
        <v>BLACK</v>
      </c>
      <c r="G5442" s="20" t="str">
        <f>IFERROR(__xludf.DUMMYFUNCTION("""COMPUTED_VALUE"""),"Uncle Sams Cider (5/13/2022)")</f>
        <v>Uncle Sams Cider (5/13/2022)</v>
      </c>
      <c r="H5442" s="19"/>
    </row>
    <row r="5443">
      <c r="A5443" s="9"/>
      <c r="B5443" s="15"/>
      <c r="C5443" s="9">
        <f>IFERROR(__xludf.DUMMYFUNCTION("""COMPUTED_VALUE"""),44739.8815121643)</f>
        <v>44739.88151</v>
      </c>
      <c r="D5443" s="15">
        <f>IFERROR(__xludf.DUMMYFUNCTION("""COMPUTED_VALUE"""),1.005)</f>
        <v>1.005</v>
      </c>
      <c r="E5443" s="16">
        <f>IFERROR(__xludf.DUMMYFUNCTION("""COMPUTED_VALUE"""),68.0)</f>
        <v>68</v>
      </c>
      <c r="F5443" s="19" t="str">
        <f>IFERROR(__xludf.DUMMYFUNCTION("""COMPUTED_VALUE"""),"BLACK")</f>
        <v>BLACK</v>
      </c>
      <c r="G5443" s="20" t="str">
        <f>IFERROR(__xludf.DUMMYFUNCTION("""COMPUTED_VALUE"""),"Uncle Sams Cider (5/13/2022)")</f>
        <v>Uncle Sams Cider (5/13/2022)</v>
      </c>
      <c r="H5443" s="19"/>
    </row>
    <row r="5444">
      <c r="A5444" s="9"/>
      <c r="B5444" s="15"/>
      <c r="C5444" s="9">
        <f>IFERROR(__xludf.DUMMYFUNCTION("""COMPUTED_VALUE"""),44739.8710901273)</f>
        <v>44739.87109</v>
      </c>
      <c r="D5444" s="15">
        <f>IFERROR(__xludf.DUMMYFUNCTION("""COMPUTED_VALUE"""),1.005)</f>
        <v>1.005</v>
      </c>
      <c r="E5444" s="16">
        <f>IFERROR(__xludf.DUMMYFUNCTION("""COMPUTED_VALUE"""),68.0)</f>
        <v>68</v>
      </c>
      <c r="F5444" s="19" t="str">
        <f>IFERROR(__xludf.DUMMYFUNCTION("""COMPUTED_VALUE"""),"BLACK")</f>
        <v>BLACK</v>
      </c>
      <c r="G5444" s="20" t="str">
        <f>IFERROR(__xludf.DUMMYFUNCTION("""COMPUTED_VALUE"""),"Uncle Sams Cider (5/13/2022)")</f>
        <v>Uncle Sams Cider (5/13/2022)</v>
      </c>
      <c r="H5444" s="19"/>
    </row>
    <row r="5445">
      <c r="A5445" s="9"/>
      <c r="B5445" s="15"/>
      <c r="C5445" s="9">
        <f>IFERROR(__xludf.DUMMYFUNCTION("""COMPUTED_VALUE"""),44739.8606687384)</f>
        <v>44739.86067</v>
      </c>
      <c r="D5445" s="15">
        <f>IFERROR(__xludf.DUMMYFUNCTION("""COMPUTED_VALUE"""),1.005)</f>
        <v>1.005</v>
      </c>
      <c r="E5445" s="16">
        <f>IFERROR(__xludf.DUMMYFUNCTION("""COMPUTED_VALUE"""),68.0)</f>
        <v>68</v>
      </c>
      <c r="F5445" s="19" t="str">
        <f>IFERROR(__xludf.DUMMYFUNCTION("""COMPUTED_VALUE"""),"BLACK")</f>
        <v>BLACK</v>
      </c>
      <c r="G5445" s="20" t="str">
        <f>IFERROR(__xludf.DUMMYFUNCTION("""COMPUTED_VALUE"""),"Uncle Sams Cider (5/13/2022)")</f>
        <v>Uncle Sams Cider (5/13/2022)</v>
      </c>
      <c r="H5445" s="19"/>
    </row>
    <row r="5446">
      <c r="A5446" s="9"/>
      <c r="B5446" s="15"/>
      <c r="C5446" s="9">
        <f>IFERROR(__xludf.DUMMYFUNCTION("""COMPUTED_VALUE"""),44739.8502480439)</f>
        <v>44739.85025</v>
      </c>
      <c r="D5446" s="15">
        <f>IFERROR(__xludf.DUMMYFUNCTION("""COMPUTED_VALUE"""),1.005)</f>
        <v>1.005</v>
      </c>
      <c r="E5446" s="16">
        <f>IFERROR(__xludf.DUMMYFUNCTION("""COMPUTED_VALUE"""),68.0)</f>
        <v>68</v>
      </c>
      <c r="F5446" s="19" t="str">
        <f>IFERROR(__xludf.DUMMYFUNCTION("""COMPUTED_VALUE"""),"BLACK")</f>
        <v>BLACK</v>
      </c>
      <c r="G5446" s="20" t="str">
        <f>IFERROR(__xludf.DUMMYFUNCTION("""COMPUTED_VALUE"""),"Uncle Sams Cider (5/13/2022)")</f>
        <v>Uncle Sams Cider (5/13/2022)</v>
      </c>
      <c r="H5446" s="19"/>
    </row>
    <row r="5447">
      <c r="A5447" s="9"/>
      <c r="B5447" s="15"/>
      <c r="C5447" s="9">
        <f>IFERROR(__xludf.DUMMYFUNCTION("""COMPUTED_VALUE"""),44739.8398278009)</f>
        <v>44739.83983</v>
      </c>
      <c r="D5447" s="15">
        <f>IFERROR(__xludf.DUMMYFUNCTION("""COMPUTED_VALUE"""),1.005)</f>
        <v>1.005</v>
      </c>
      <c r="E5447" s="16">
        <f>IFERROR(__xludf.DUMMYFUNCTION("""COMPUTED_VALUE"""),68.0)</f>
        <v>68</v>
      </c>
      <c r="F5447" s="19" t="str">
        <f>IFERROR(__xludf.DUMMYFUNCTION("""COMPUTED_VALUE"""),"BLACK")</f>
        <v>BLACK</v>
      </c>
      <c r="G5447" s="20" t="str">
        <f>IFERROR(__xludf.DUMMYFUNCTION("""COMPUTED_VALUE"""),"Uncle Sams Cider (5/13/2022)")</f>
        <v>Uncle Sams Cider (5/13/2022)</v>
      </c>
      <c r="H5447" s="19"/>
    </row>
    <row r="5448">
      <c r="A5448" s="9"/>
      <c r="B5448" s="15"/>
      <c r="C5448" s="9">
        <f>IFERROR(__xludf.DUMMYFUNCTION("""COMPUTED_VALUE"""),44739.8294073611)</f>
        <v>44739.82941</v>
      </c>
      <c r="D5448" s="15">
        <f>IFERROR(__xludf.DUMMYFUNCTION("""COMPUTED_VALUE"""),1.005)</f>
        <v>1.005</v>
      </c>
      <c r="E5448" s="16">
        <f>IFERROR(__xludf.DUMMYFUNCTION("""COMPUTED_VALUE"""),68.0)</f>
        <v>68</v>
      </c>
      <c r="F5448" s="19" t="str">
        <f>IFERROR(__xludf.DUMMYFUNCTION("""COMPUTED_VALUE"""),"BLACK")</f>
        <v>BLACK</v>
      </c>
      <c r="G5448" s="20" t="str">
        <f>IFERROR(__xludf.DUMMYFUNCTION("""COMPUTED_VALUE"""),"Uncle Sams Cider (5/13/2022)")</f>
        <v>Uncle Sams Cider (5/13/2022)</v>
      </c>
      <c r="H5448" s="19"/>
    </row>
    <row r="5449">
      <c r="A5449" s="9"/>
      <c r="B5449" s="15"/>
      <c r="C5449" s="9">
        <f>IFERROR(__xludf.DUMMYFUNCTION("""COMPUTED_VALUE"""),44739.8189860995)</f>
        <v>44739.81899</v>
      </c>
      <c r="D5449" s="15">
        <f>IFERROR(__xludf.DUMMYFUNCTION("""COMPUTED_VALUE"""),1.005)</f>
        <v>1.005</v>
      </c>
      <c r="E5449" s="16">
        <f>IFERROR(__xludf.DUMMYFUNCTION("""COMPUTED_VALUE"""),68.0)</f>
        <v>68</v>
      </c>
      <c r="F5449" s="19" t="str">
        <f>IFERROR(__xludf.DUMMYFUNCTION("""COMPUTED_VALUE"""),"BLACK")</f>
        <v>BLACK</v>
      </c>
      <c r="G5449" s="20" t="str">
        <f>IFERROR(__xludf.DUMMYFUNCTION("""COMPUTED_VALUE"""),"Uncle Sams Cider (5/13/2022)")</f>
        <v>Uncle Sams Cider (5/13/2022)</v>
      </c>
      <c r="H5449" s="19"/>
    </row>
    <row r="5450">
      <c r="A5450" s="9"/>
      <c r="B5450" s="15"/>
      <c r="C5450" s="9">
        <f>IFERROR(__xludf.DUMMYFUNCTION("""COMPUTED_VALUE"""),44739.8085654976)</f>
        <v>44739.80857</v>
      </c>
      <c r="D5450" s="15">
        <f>IFERROR(__xludf.DUMMYFUNCTION("""COMPUTED_VALUE"""),1.005)</f>
        <v>1.005</v>
      </c>
      <c r="E5450" s="16">
        <f>IFERROR(__xludf.DUMMYFUNCTION("""COMPUTED_VALUE"""),68.0)</f>
        <v>68</v>
      </c>
      <c r="F5450" s="19" t="str">
        <f>IFERROR(__xludf.DUMMYFUNCTION("""COMPUTED_VALUE"""),"BLACK")</f>
        <v>BLACK</v>
      </c>
      <c r="G5450" s="20" t="str">
        <f>IFERROR(__xludf.DUMMYFUNCTION("""COMPUTED_VALUE"""),"Uncle Sams Cider (5/13/2022)")</f>
        <v>Uncle Sams Cider (5/13/2022)</v>
      </c>
      <c r="H5450" s="19"/>
    </row>
    <row r="5451">
      <c r="A5451" s="9"/>
      <c r="B5451" s="15"/>
      <c r="C5451" s="9">
        <f>IFERROR(__xludf.DUMMYFUNCTION("""COMPUTED_VALUE"""),44739.7981431713)</f>
        <v>44739.79814</v>
      </c>
      <c r="D5451" s="15">
        <f>IFERROR(__xludf.DUMMYFUNCTION("""COMPUTED_VALUE"""),1.005)</f>
        <v>1.005</v>
      </c>
      <c r="E5451" s="16">
        <f>IFERROR(__xludf.DUMMYFUNCTION("""COMPUTED_VALUE"""),68.0)</f>
        <v>68</v>
      </c>
      <c r="F5451" s="19" t="str">
        <f>IFERROR(__xludf.DUMMYFUNCTION("""COMPUTED_VALUE"""),"BLACK")</f>
        <v>BLACK</v>
      </c>
      <c r="G5451" s="20" t="str">
        <f>IFERROR(__xludf.DUMMYFUNCTION("""COMPUTED_VALUE"""),"Uncle Sams Cider (5/13/2022)")</f>
        <v>Uncle Sams Cider (5/13/2022)</v>
      </c>
      <c r="H5451" s="19"/>
    </row>
    <row r="5452">
      <c r="A5452" s="9"/>
      <c r="B5452" s="15"/>
      <c r="C5452" s="9">
        <f>IFERROR(__xludf.DUMMYFUNCTION("""COMPUTED_VALUE"""),44739.787709375)</f>
        <v>44739.78771</v>
      </c>
      <c r="D5452" s="15">
        <f>IFERROR(__xludf.DUMMYFUNCTION("""COMPUTED_VALUE"""),1.005)</f>
        <v>1.005</v>
      </c>
      <c r="E5452" s="16">
        <f>IFERROR(__xludf.DUMMYFUNCTION("""COMPUTED_VALUE"""),67.0)</f>
        <v>67</v>
      </c>
      <c r="F5452" s="19" t="str">
        <f>IFERROR(__xludf.DUMMYFUNCTION("""COMPUTED_VALUE"""),"BLACK")</f>
        <v>BLACK</v>
      </c>
      <c r="G5452" s="20" t="str">
        <f>IFERROR(__xludf.DUMMYFUNCTION("""COMPUTED_VALUE"""),"Uncle Sams Cider (5/13/2022)")</f>
        <v>Uncle Sams Cider (5/13/2022)</v>
      </c>
      <c r="H5452" s="19"/>
    </row>
    <row r="5453">
      <c r="A5453" s="9"/>
      <c r="B5453" s="15"/>
      <c r="C5453" s="9">
        <f>IFERROR(__xludf.DUMMYFUNCTION("""COMPUTED_VALUE"""),44739.7772892824)</f>
        <v>44739.77729</v>
      </c>
      <c r="D5453" s="15">
        <f>IFERROR(__xludf.DUMMYFUNCTION("""COMPUTED_VALUE"""),1.005)</f>
        <v>1.005</v>
      </c>
      <c r="E5453" s="16">
        <f>IFERROR(__xludf.DUMMYFUNCTION("""COMPUTED_VALUE"""),67.0)</f>
        <v>67</v>
      </c>
      <c r="F5453" s="19" t="str">
        <f>IFERROR(__xludf.DUMMYFUNCTION("""COMPUTED_VALUE"""),"BLACK")</f>
        <v>BLACK</v>
      </c>
      <c r="G5453" s="20" t="str">
        <f>IFERROR(__xludf.DUMMYFUNCTION("""COMPUTED_VALUE"""),"Uncle Sams Cider (5/13/2022)")</f>
        <v>Uncle Sams Cider (5/13/2022)</v>
      </c>
      <c r="H5453" s="19"/>
    </row>
    <row r="5454">
      <c r="A5454" s="9"/>
      <c r="B5454" s="15"/>
      <c r="C5454" s="9">
        <f>IFERROR(__xludf.DUMMYFUNCTION("""COMPUTED_VALUE"""),44739.7668688657)</f>
        <v>44739.76687</v>
      </c>
      <c r="D5454" s="15">
        <f>IFERROR(__xludf.DUMMYFUNCTION("""COMPUTED_VALUE"""),1.005)</f>
        <v>1.005</v>
      </c>
      <c r="E5454" s="16">
        <f>IFERROR(__xludf.DUMMYFUNCTION("""COMPUTED_VALUE"""),68.0)</f>
        <v>68</v>
      </c>
      <c r="F5454" s="19" t="str">
        <f>IFERROR(__xludf.DUMMYFUNCTION("""COMPUTED_VALUE"""),"BLACK")</f>
        <v>BLACK</v>
      </c>
      <c r="G5454" s="20" t="str">
        <f>IFERROR(__xludf.DUMMYFUNCTION("""COMPUTED_VALUE"""),"Uncle Sams Cider (5/13/2022)")</f>
        <v>Uncle Sams Cider (5/13/2022)</v>
      </c>
      <c r="H5454" s="19"/>
    </row>
    <row r="5455">
      <c r="A5455" s="9"/>
      <c r="B5455" s="15"/>
      <c r="C5455" s="9">
        <f>IFERROR(__xludf.DUMMYFUNCTION("""COMPUTED_VALUE"""),44739.7564486111)</f>
        <v>44739.75645</v>
      </c>
      <c r="D5455" s="15">
        <f>IFERROR(__xludf.DUMMYFUNCTION("""COMPUTED_VALUE"""),1.005)</f>
        <v>1.005</v>
      </c>
      <c r="E5455" s="16">
        <f>IFERROR(__xludf.DUMMYFUNCTION("""COMPUTED_VALUE"""),67.0)</f>
        <v>67</v>
      </c>
      <c r="F5455" s="19" t="str">
        <f>IFERROR(__xludf.DUMMYFUNCTION("""COMPUTED_VALUE"""),"BLACK")</f>
        <v>BLACK</v>
      </c>
      <c r="G5455" s="20" t="str">
        <f>IFERROR(__xludf.DUMMYFUNCTION("""COMPUTED_VALUE"""),"Uncle Sams Cider (5/13/2022)")</f>
        <v>Uncle Sams Cider (5/13/2022)</v>
      </c>
      <c r="H5455" s="19"/>
    </row>
    <row r="5456">
      <c r="A5456" s="9"/>
      <c r="B5456" s="15"/>
      <c r="C5456" s="9">
        <f>IFERROR(__xludf.DUMMYFUNCTION("""COMPUTED_VALUE"""),44739.7460170833)</f>
        <v>44739.74602</v>
      </c>
      <c r="D5456" s="15">
        <f>IFERROR(__xludf.DUMMYFUNCTION("""COMPUTED_VALUE"""),1.005)</f>
        <v>1.005</v>
      </c>
      <c r="E5456" s="16">
        <f>IFERROR(__xludf.DUMMYFUNCTION("""COMPUTED_VALUE"""),67.0)</f>
        <v>67</v>
      </c>
      <c r="F5456" s="19" t="str">
        <f>IFERROR(__xludf.DUMMYFUNCTION("""COMPUTED_VALUE"""),"BLACK")</f>
        <v>BLACK</v>
      </c>
      <c r="G5456" s="20" t="str">
        <f>IFERROR(__xludf.DUMMYFUNCTION("""COMPUTED_VALUE"""),"Uncle Sams Cider (5/13/2022)")</f>
        <v>Uncle Sams Cider (5/13/2022)</v>
      </c>
      <c r="H5456" s="19"/>
    </row>
    <row r="5457">
      <c r="A5457" s="9"/>
      <c r="B5457" s="15"/>
      <c r="C5457" s="9">
        <f>IFERROR(__xludf.DUMMYFUNCTION("""COMPUTED_VALUE"""),44739.735582118)</f>
        <v>44739.73558</v>
      </c>
      <c r="D5457" s="15">
        <f>IFERROR(__xludf.DUMMYFUNCTION("""COMPUTED_VALUE"""),1.005)</f>
        <v>1.005</v>
      </c>
      <c r="E5457" s="16">
        <f>IFERROR(__xludf.DUMMYFUNCTION("""COMPUTED_VALUE"""),67.0)</f>
        <v>67</v>
      </c>
      <c r="F5457" s="19" t="str">
        <f>IFERROR(__xludf.DUMMYFUNCTION("""COMPUTED_VALUE"""),"BLACK")</f>
        <v>BLACK</v>
      </c>
      <c r="G5457" s="20" t="str">
        <f>IFERROR(__xludf.DUMMYFUNCTION("""COMPUTED_VALUE"""),"Uncle Sams Cider (5/13/2022)")</f>
        <v>Uncle Sams Cider (5/13/2022)</v>
      </c>
      <c r="H5457" s="19"/>
    </row>
    <row r="5458">
      <c r="A5458" s="9"/>
      <c r="B5458" s="15"/>
      <c r="C5458" s="9">
        <f>IFERROR(__xludf.DUMMYFUNCTION("""COMPUTED_VALUE"""),44739.7251378703)</f>
        <v>44739.72514</v>
      </c>
      <c r="D5458" s="15">
        <f>IFERROR(__xludf.DUMMYFUNCTION("""COMPUTED_VALUE"""),1.005)</f>
        <v>1.005</v>
      </c>
      <c r="E5458" s="16">
        <f>IFERROR(__xludf.DUMMYFUNCTION("""COMPUTED_VALUE"""),67.0)</f>
        <v>67</v>
      </c>
      <c r="F5458" s="19" t="str">
        <f>IFERROR(__xludf.DUMMYFUNCTION("""COMPUTED_VALUE"""),"BLACK")</f>
        <v>BLACK</v>
      </c>
      <c r="G5458" s="20" t="str">
        <f>IFERROR(__xludf.DUMMYFUNCTION("""COMPUTED_VALUE"""),"Uncle Sams Cider (5/13/2022)")</f>
        <v>Uncle Sams Cider (5/13/2022)</v>
      </c>
      <c r="H5458" s="19"/>
    </row>
    <row r="5459">
      <c r="A5459" s="9"/>
      <c r="B5459" s="15"/>
      <c r="C5459" s="9">
        <f>IFERROR(__xludf.DUMMYFUNCTION("""COMPUTED_VALUE"""),44739.7147048842)</f>
        <v>44739.7147</v>
      </c>
      <c r="D5459" s="15">
        <f>IFERROR(__xludf.DUMMYFUNCTION("""COMPUTED_VALUE"""),1.005)</f>
        <v>1.005</v>
      </c>
      <c r="E5459" s="16">
        <f>IFERROR(__xludf.DUMMYFUNCTION("""COMPUTED_VALUE"""),67.0)</f>
        <v>67</v>
      </c>
      <c r="F5459" s="19" t="str">
        <f>IFERROR(__xludf.DUMMYFUNCTION("""COMPUTED_VALUE"""),"BLACK")</f>
        <v>BLACK</v>
      </c>
      <c r="G5459" s="20" t="str">
        <f>IFERROR(__xludf.DUMMYFUNCTION("""COMPUTED_VALUE"""),"Uncle Sams Cider (5/13/2022)")</f>
        <v>Uncle Sams Cider (5/13/2022)</v>
      </c>
      <c r="H5459" s="19"/>
    </row>
    <row r="5460">
      <c r="A5460" s="9"/>
      <c r="B5460" s="15"/>
      <c r="C5460" s="9">
        <f>IFERROR(__xludf.DUMMYFUNCTION("""COMPUTED_VALUE"""),44739.7042714583)</f>
        <v>44739.70427</v>
      </c>
      <c r="D5460" s="15">
        <f>IFERROR(__xludf.DUMMYFUNCTION("""COMPUTED_VALUE"""),1.005)</f>
        <v>1.005</v>
      </c>
      <c r="E5460" s="16">
        <f>IFERROR(__xludf.DUMMYFUNCTION("""COMPUTED_VALUE"""),67.0)</f>
        <v>67</v>
      </c>
      <c r="F5460" s="19" t="str">
        <f>IFERROR(__xludf.DUMMYFUNCTION("""COMPUTED_VALUE"""),"BLACK")</f>
        <v>BLACK</v>
      </c>
      <c r="G5460" s="20" t="str">
        <f>IFERROR(__xludf.DUMMYFUNCTION("""COMPUTED_VALUE"""),"Uncle Sams Cider (5/13/2022)")</f>
        <v>Uncle Sams Cider (5/13/2022)</v>
      </c>
      <c r="H5460" s="19"/>
    </row>
    <row r="5461">
      <c r="A5461" s="9"/>
      <c r="B5461" s="15"/>
      <c r="C5461" s="9">
        <f>IFERROR(__xludf.DUMMYFUNCTION("""COMPUTED_VALUE"""),44739.6938502546)</f>
        <v>44739.69385</v>
      </c>
      <c r="D5461" s="15">
        <f>IFERROR(__xludf.DUMMYFUNCTION("""COMPUTED_VALUE"""),1.005)</f>
        <v>1.005</v>
      </c>
      <c r="E5461" s="16">
        <f>IFERROR(__xludf.DUMMYFUNCTION("""COMPUTED_VALUE"""),67.0)</f>
        <v>67</v>
      </c>
      <c r="F5461" s="19" t="str">
        <f>IFERROR(__xludf.DUMMYFUNCTION("""COMPUTED_VALUE"""),"BLACK")</f>
        <v>BLACK</v>
      </c>
      <c r="G5461" s="20" t="str">
        <f>IFERROR(__xludf.DUMMYFUNCTION("""COMPUTED_VALUE"""),"Uncle Sams Cider (5/13/2022)")</f>
        <v>Uncle Sams Cider (5/13/2022)</v>
      </c>
      <c r="H5461" s="19"/>
    </row>
    <row r="5462">
      <c r="A5462" s="9"/>
      <c r="B5462" s="15"/>
      <c r="C5462" s="9">
        <f>IFERROR(__xludf.DUMMYFUNCTION("""COMPUTED_VALUE"""),44739.6834308333)</f>
        <v>44739.68343</v>
      </c>
      <c r="D5462" s="15">
        <f>IFERROR(__xludf.DUMMYFUNCTION("""COMPUTED_VALUE"""),1.005)</f>
        <v>1.005</v>
      </c>
      <c r="E5462" s="16">
        <f>IFERROR(__xludf.DUMMYFUNCTION("""COMPUTED_VALUE"""),67.0)</f>
        <v>67</v>
      </c>
      <c r="F5462" s="19" t="str">
        <f>IFERROR(__xludf.DUMMYFUNCTION("""COMPUTED_VALUE"""),"BLACK")</f>
        <v>BLACK</v>
      </c>
      <c r="G5462" s="20" t="str">
        <f>IFERROR(__xludf.DUMMYFUNCTION("""COMPUTED_VALUE"""),"Uncle Sams Cider (5/13/2022)")</f>
        <v>Uncle Sams Cider (5/13/2022)</v>
      </c>
      <c r="H5462" s="19"/>
    </row>
    <row r="5463">
      <c r="A5463" s="9"/>
      <c r="B5463" s="15"/>
      <c r="C5463" s="9">
        <f>IFERROR(__xludf.DUMMYFUNCTION("""COMPUTED_VALUE"""),44739.6730110532)</f>
        <v>44739.67301</v>
      </c>
      <c r="D5463" s="15">
        <f>IFERROR(__xludf.DUMMYFUNCTION("""COMPUTED_VALUE"""),1.005)</f>
        <v>1.005</v>
      </c>
      <c r="E5463" s="16">
        <f>IFERROR(__xludf.DUMMYFUNCTION("""COMPUTED_VALUE"""),67.0)</f>
        <v>67</v>
      </c>
      <c r="F5463" s="19" t="str">
        <f>IFERROR(__xludf.DUMMYFUNCTION("""COMPUTED_VALUE"""),"BLACK")</f>
        <v>BLACK</v>
      </c>
      <c r="G5463" s="20" t="str">
        <f>IFERROR(__xludf.DUMMYFUNCTION("""COMPUTED_VALUE"""),"Uncle Sams Cider (5/13/2022)")</f>
        <v>Uncle Sams Cider (5/13/2022)</v>
      </c>
      <c r="H5463" s="19"/>
    </row>
    <row r="5464">
      <c r="A5464" s="9"/>
      <c r="B5464" s="15"/>
      <c r="C5464" s="9">
        <f>IFERROR(__xludf.DUMMYFUNCTION("""COMPUTED_VALUE"""),44739.6625779398)</f>
        <v>44739.66258</v>
      </c>
      <c r="D5464" s="15">
        <f>IFERROR(__xludf.DUMMYFUNCTION("""COMPUTED_VALUE"""),1.005)</f>
        <v>1.005</v>
      </c>
      <c r="E5464" s="16">
        <f>IFERROR(__xludf.DUMMYFUNCTION("""COMPUTED_VALUE"""),67.0)</f>
        <v>67</v>
      </c>
      <c r="F5464" s="19" t="str">
        <f>IFERROR(__xludf.DUMMYFUNCTION("""COMPUTED_VALUE"""),"BLACK")</f>
        <v>BLACK</v>
      </c>
      <c r="G5464" s="20" t="str">
        <f>IFERROR(__xludf.DUMMYFUNCTION("""COMPUTED_VALUE"""),"Uncle Sams Cider (5/13/2022)")</f>
        <v>Uncle Sams Cider (5/13/2022)</v>
      </c>
      <c r="H5464" s="19"/>
    </row>
    <row r="5465">
      <c r="A5465" s="9"/>
      <c r="B5465" s="15"/>
      <c r="C5465" s="9">
        <f>IFERROR(__xludf.DUMMYFUNCTION("""COMPUTED_VALUE"""),44739.6521468171)</f>
        <v>44739.65215</v>
      </c>
      <c r="D5465" s="15">
        <f>IFERROR(__xludf.DUMMYFUNCTION("""COMPUTED_VALUE"""),1.005)</f>
        <v>1.005</v>
      </c>
      <c r="E5465" s="16">
        <f>IFERROR(__xludf.DUMMYFUNCTION("""COMPUTED_VALUE"""),67.0)</f>
        <v>67</v>
      </c>
      <c r="F5465" s="19" t="str">
        <f>IFERROR(__xludf.DUMMYFUNCTION("""COMPUTED_VALUE"""),"BLACK")</f>
        <v>BLACK</v>
      </c>
      <c r="G5465" s="20" t="str">
        <f>IFERROR(__xludf.DUMMYFUNCTION("""COMPUTED_VALUE"""),"Uncle Sams Cider (5/13/2022)")</f>
        <v>Uncle Sams Cider (5/13/2022)</v>
      </c>
      <c r="H5465" s="19"/>
    </row>
    <row r="5466">
      <c r="A5466" s="9"/>
      <c r="B5466" s="15"/>
      <c r="C5466" s="9">
        <f>IFERROR(__xludf.DUMMYFUNCTION("""COMPUTED_VALUE"""),44739.6417256134)</f>
        <v>44739.64173</v>
      </c>
      <c r="D5466" s="15">
        <f>IFERROR(__xludf.DUMMYFUNCTION("""COMPUTED_VALUE"""),1.005)</f>
        <v>1.005</v>
      </c>
      <c r="E5466" s="16">
        <f>IFERROR(__xludf.DUMMYFUNCTION("""COMPUTED_VALUE"""),67.0)</f>
        <v>67</v>
      </c>
      <c r="F5466" s="19" t="str">
        <f>IFERROR(__xludf.DUMMYFUNCTION("""COMPUTED_VALUE"""),"BLACK")</f>
        <v>BLACK</v>
      </c>
      <c r="G5466" s="20" t="str">
        <f>IFERROR(__xludf.DUMMYFUNCTION("""COMPUTED_VALUE"""),"Uncle Sams Cider (5/13/2022)")</f>
        <v>Uncle Sams Cider (5/13/2022)</v>
      </c>
      <c r="H5466" s="19"/>
    </row>
    <row r="5467">
      <c r="A5467" s="9"/>
      <c r="B5467" s="15"/>
      <c r="C5467" s="9">
        <f>IFERROR(__xludf.DUMMYFUNCTION("""COMPUTED_VALUE"""),44739.6313045486)</f>
        <v>44739.6313</v>
      </c>
      <c r="D5467" s="15">
        <f>IFERROR(__xludf.DUMMYFUNCTION("""COMPUTED_VALUE"""),1.005)</f>
        <v>1.005</v>
      </c>
      <c r="E5467" s="16">
        <f>IFERROR(__xludf.DUMMYFUNCTION("""COMPUTED_VALUE"""),67.0)</f>
        <v>67</v>
      </c>
      <c r="F5467" s="19" t="str">
        <f>IFERROR(__xludf.DUMMYFUNCTION("""COMPUTED_VALUE"""),"BLACK")</f>
        <v>BLACK</v>
      </c>
      <c r="G5467" s="20" t="str">
        <f>IFERROR(__xludf.DUMMYFUNCTION("""COMPUTED_VALUE"""),"Uncle Sams Cider (5/13/2022)")</f>
        <v>Uncle Sams Cider (5/13/2022)</v>
      </c>
      <c r="H5467" s="19"/>
    </row>
    <row r="5468">
      <c r="A5468" s="9"/>
      <c r="B5468" s="15"/>
      <c r="C5468" s="9">
        <f>IFERROR(__xludf.DUMMYFUNCTION("""COMPUTED_VALUE"""),44739.6208728703)</f>
        <v>44739.62087</v>
      </c>
      <c r="D5468" s="15">
        <f>IFERROR(__xludf.DUMMYFUNCTION("""COMPUTED_VALUE"""),1.005)</f>
        <v>1.005</v>
      </c>
      <c r="E5468" s="16">
        <f>IFERROR(__xludf.DUMMYFUNCTION("""COMPUTED_VALUE"""),67.0)</f>
        <v>67</v>
      </c>
      <c r="F5468" s="19" t="str">
        <f>IFERROR(__xludf.DUMMYFUNCTION("""COMPUTED_VALUE"""),"BLACK")</f>
        <v>BLACK</v>
      </c>
      <c r="G5468" s="20" t="str">
        <f>IFERROR(__xludf.DUMMYFUNCTION("""COMPUTED_VALUE"""),"Uncle Sams Cider (5/13/2022)")</f>
        <v>Uncle Sams Cider (5/13/2022)</v>
      </c>
      <c r="H5468" s="19"/>
    </row>
    <row r="5469">
      <c r="A5469" s="9"/>
      <c r="B5469" s="15"/>
      <c r="C5469" s="9">
        <f>IFERROR(__xludf.DUMMYFUNCTION("""COMPUTED_VALUE"""),44739.610452581)</f>
        <v>44739.61045</v>
      </c>
      <c r="D5469" s="15">
        <f>IFERROR(__xludf.DUMMYFUNCTION("""COMPUTED_VALUE"""),1.005)</f>
        <v>1.005</v>
      </c>
      <c r="E5469" s="16">
        <f>IFERROR(__xludf.DUMMYFUNCTION("""COMPUTED_VALUE"""),67.0)</f>
        <v>67</v>
      </c>
      <c r="F5469" s="19" t="str">
        <f>IFERROR(__xludf.DUMMYFUNCTION("""COMPUTED_VALUE"""),"BLACK")</f>
        <v>BLACK</v>
      </c>
      <c r="G5469" s="20" t="str">
        <f>IFERROR(__xludf.DUMMYFUNCTION("""COMPUTED_VALUE"""),"Uncle Sams Cider (5/13/2022)")</f>
        <v>Uncle Sams Cider (5/13/2022)</v>
      </c>
      <c r="H5469" s="19"/>
    </row>
    <row r="5470">
      <c r="A5470" s="9"/>
      <c r="B5470" s="15"/>
      <c r="C5470" s="9">
        <f>IFERROR(__xludf.DUMMYFUNCTION("""COMPUTED_VALUE"""),44739.600028993)</f>
        <v>44739.60003</v>
      </c>
      <c r="D5470" s="15">
        <f>IFERROR(__xludf.DUMMYFUNCTION("""COMPUTED_VALUE"""),1.005)</f>
        <v>1.005</v>
      </c>
      <c r="E5470" s="16">
        <f>IFERROR(__xludf.DUMMYFUNCTION("""COMPUTED_VALUE"""),67.0)</f>
        <v>67</v>
      </c>
      <c r="F5470" s="19" t="str">
        <f>IFERROR(__xludf.DUMMYFUNCTION("""COMPUTED_VALUE"""),"BLACK")</f>
        <v>BLACK</v>
      </c>
      <c r="G5470" s="20" t="str">
        <f>IFERROR(__xludf.DUMMYFUNCTION("""COMPUTED_VALUE"""),"Uncle Sams Cider (5/13/2022)")</f>
        <v>Uncle Sams Cider (5/13/2022)</v>
      </c>
      <c r="H5470" s="19"/>
    </row>
    <row r="5471">
      <c r="A5471" s="9"/>
      <c r="B5471" s="15"/>
      <c r="C5471" s="9">
        <f>IFERROR(__xludf.DUMMYFUNCTION("""COMPUTED_VALUE"""),44739.589606574)</f>
        <v>44739.58961</v>
      </c>
      <c r="D5471" s="15">
        <f>IFERROR(__xludf.DUMMYFUNCTION("""COMPUTED_VALUE"""),1.005)</f>
        <v>1.005</v>
      </c>
      <c r="E5471" s="16">
        <f>IFERROR(__xludf.DUMMYFUNCTION("""COMPUTED_VALUE"""),67.0)</f>
        <v>67</v>
      </c>
      <c r="F5471" s="19" t="str">
        <f>IFERROR(__xludf.DUMMYFUNCTION("""COMPUTED_VALUE"""),"BLACK")</f>
        <v>BLACK</v>
      </c>
      <c r="G5471" s="20" t="str">
        <f>IFERROR(__xludf.DUMMYFUNCTION("""COMPUTED_VALUE"""),"Uncle Sams Cider (5/13/2022)")</f>
        <v>Uncle Sams Cider (5/13/2022)</v>
      </c>
      <c r="H5471" s="19"/>
    </row>
    <row r="5472">
      <c r="A5472" s="9"/>
      <c r="B5472" s="15"/>
      <c r="C5472" s="9">
        <f>IFERROR(__xludf.DUMMYFUNCTION("""COMPUTED_VALUE"""),44739.579185868)</f>
        <v>44739.57919</v>
      </c>
      <c r="D5472" s="15">
        <f>IFERROR(__xludf.DUMMYFUNCTION("""COMPUTED_VALUE"""),1.005)</f>
        <v>1.005</v>
      </c>
      <c r="E5472" s="16">
        <f>IFERROR(__xludf.DUMMYFUNCTION("""COMPUTED_VALUE"""),67.0)</f>
        <v>67</v>
      </c>
      <c r="F5472" s="19" t="str">
        <f>IFERROR(__xludf.DUMMYFUNCTION("""COMPUTED_VALUE"""),"BLACK")</f>
        <v>BLACK</v>
      </c>
      <c r="G5472" s="20" t="str">
        <f>IFERROR(__xludf.DUMMYFUNCTION("""COMPUTED_VALUE"""),"Uncle Sams Cider (5/13/2022)")</f>
        <v>Uncle Sams Cider (5/13/2022)</v>
      </c>
      <c r="H5472" s="19"/>
    </row>
    <row r="5473">
      <c r="A5473" s="9"/>
      <c r="B5473" s="15"/>
      <c r="C5473" s="9">
        <f>IFERROR(__xludf.DUMMYFUNCTION("""COMPUTED_VALUE"""),44739.5687665509)</f>
        <v>44739.56877</v>
      </c>
      <c r="D5473" s="15">
        <f>IFERROR(__xludf.DUMMYFUNCTION("""COMPUTED_VALUE"""),1.005)</f>
        <v>1.005</v>
      </c>
      <c r="E5473" s="16">
        <f>IFERROR(__xludf.DUMMYFUNCTION("""COMPUTED_VALUE"""),67.0)</f>
        <v>67</v>
      </c>
      <c r="F5473" s="19" t="str">
        <f>IFERROR(__xludf.DUMMYFUNCTION("""COMPUTED_VALUE"""),"BLACK")</f>
        <v>BLACK</v>
      </c>
      <c r="G5473" s="20" t="str">
        <f>IFERROR(__xludf.DUMMYFUNCTION("""COMPUTED_VALUE"""),"Uncle Sams Cider (5/13/2022)")</f>
        <v>Uncle Sams Cider (5/13/2022)</v>
      </c>
      <c r="H5473" s="19"/>
    </row>
    <row r="5474">
      <c r="A5474" s="9"/>
      <c r="B5474" s="15"/>
      <c r="C5474" s="9">
        <f>IFERROR(__xludf.DUMMYFUNCTION("""COMPUTED_VALUE"""),44739.5583440393)</f>
        <v>44739.55834</v>
      </c>
      <c r="D5474" s="15">
        <f>IFERROR(__xludf.DUMMYFUNCTION("""COMPUTED_VALUE"""),1.005)</f>
        <v>1.005</v>
      </c>
      <c r="E5474" s="16">
        <f>IFERROR(__xludf.DUMMYFUNCTION("""COMPUTED_VALUE"""),67.0)</f>
        <v>67</v>
      </c>
      <c r="F5474" s="19" t="str">
        <f>IFERROR(__xludf.DUMMYFUNCTION("""COMPUTED_VALUE"""),"BLACK")</f>
        <v>BLACK</v>
      </c>
      <c r="G5474" s="20" t="str">
        <f>IFERROR(__xludf.DUMMYFUNCTION("""COMPUTED_VALUE"""),"Uncle Sams Cider (5/13/2022)")</f>
        <v>Uncle Sams Cider (5/13/2022)</v>
      </c>
      <c r="H5474" s="19"/>
    </row>
    <row r="5475">
      <c r="A5475" s="9"/>
      <c r="B5475" s="15"/>
      <c r="C5475" s="9">
        <f>IFERROR(__xludf.DUMMYFUNCTION("""COMPUTED_VALUE"""),44739.5479236921)</f>
        <v>44739.54792</v>
      </c>
      <c r="D5475" s="15">
        <f>IFERROR(__xludf.DUMMYFUNCTION("""COMPUTED_VALUE"""),1.005)</f>
        <v>1.005</v>
      </c>
      <c r="E5475" s="16">
        <f>IFERROR(__xludf.DUMMYFUNCTION("""COMPUTED_VALUE"""),67.0)</f>
        <v>67</v>
      </c>
      <c r="F5475" s="19" t="str">
        <f>IFERROR(__xludf.DUMMYFUNCTION("""COMPUTED_VALUE"""),"BLACK")</f>
        <v>BLACK</v>
      </c>
      <c r="G5475" s="20" t="str">
        <f>IFERROR(__xludf.DUMMYFUNCTION("""COMPUTED_VALUE"""),"Uncle Sams Cider (5/13/2022)")</f>
        <v>Uncle Sams Cider (5/13/2022)</v>
      </c>
      <c r="H5475" s="19"/>
    </row>
    <row r="5476">
      <c r="A5476" s="9"/>
      <c r="B5476" s="15"/>
      <c r="C5476" s="9">
        <f>IFERROR(__xludf.DUMMYFUNCTION("""COMPUTED_VALUE"""),44739.5375038773)</f>
        <v>44739.5375</v>
      </c>
      <c r="D5476" s="15">
        <f>IFERROR(__xludf.DUMMYFUNCTION("""COMPUTED_VALUE"""),1.005)</f>
        <v>1.005</v>
      </c>
      <c r="E5476" s="16">
        <f>IFERROR(__xludf.DUMMYFUNCTION("""COMPUTED_VALUE"""),67.0)</f>
        <v>67</v>
      </c>
      <c r="F5476" s="19" t="str">
        <f>IFERROR(__xludf.DUMMYFUNCTION("""COMPUTED_VALUE"""),"BLACK")</f>
        <v>BLACK</v>
      </c>
      <c r="G5476" s="20" t="str">
        <f>IFERROR(__xludf.DUMMYFUNCTION("""COMPUTED_VALUE"""),"Uncle Sams Cider (5/13/2022)")</f>
        <v>Uncle Sams Cider (5/13/2022)</v>
      </c>
      <c r="H5476" s="19"/>
    </row>
    <row r="5477">
      <c r="A5477" s="9"/>
      <c r="B5477" s="15"/>
      <c r="C5477" s="9">
        <f>IFERROR(__xludf.DUMMYFUNCTION("""COMPUTED_VALUE"""),44739.5270823379)</f>
        <v>44739.52708</v>
      </c>
      <c r="D5477" s="15">
        <f>IFERROR(__xludf.DUMMYFUNCTION("""COMPUTED_VALUE"""),1.005)</f>
        <v>1.005</v>
      </c>
      <c r="E5477" s="16">
        <f>IFERROR(__xludf.DUMMYFUNCTION("""COMPUTED_VALUE"""),67.0)</f>
        <v>67</v>
      </c>
      <c r="F5477" s="19" t="str">
        <f>IFERROR(__xludf.DUMMYFUNCTION("""COMPUTED_VALUE"""),"BLACK")</f>
        <v>BLACK</v>
      </c>
      <c r="G5477" s="20" t="str">
        <f>IFERROR(__xludf.DUMMYFUNCTION("""COMPUTED_VALUE"""),"Uncle Sams Cider (5/13/2022)")</f>
        <v>Uncle Sams Cider (5/13/2022)</v>
      </c>
      <c r="H5477" s="19"/>
    </row>
    <row r="5478">
      <c r="A5478" s="9"/>
      <c r="B5478" s="15"/>
      <c r="C5478" s="9">
        <f>IFERROR(__xludf.DUMMYFUNCTION("""COMPUTED_VALUE"""),44739.5166598842)</f>
        <v>44739.51666</v>
      </c>
      <c r="D5478" s="15">
        <f>IFERROR(__xludf.DUMMYFUNCTION("""COMPUTED_VALUE"""),1.005)</f>
        <v>1.005</v>
      </c>
      <c r="E5478" s="16">
        <f>IFERROR(__xludf.DUMMYFUNCTION("""COMPUTED_VALUE"""),67.0)</f>
        <v>67</v>
      </c>
      <c r="F5478" s="19" t="str">
        <f>IFERROR(__xludf.DUMMYFUNCTION("""COMPUTED_VALUE"""),"BLACK")</f>
        <v>BLACK</v>
      </c>
      <c r="G5478" s="20" t="str">
        <f>IFERROR(__xludf.DUMMYFUNCTION("""COMPUTED_VALUE"""),"Uncle Sams Cider (5/13/2022)")</f>
        <v>Uncle Sams Cider (5/13/2022)</v>
      </c>
      <c r="H5478" s="19"/>
    </row>
    <row r="5479">
      <c r="A5479" s="9"/>
      <c r="B5479" s="15"/>
      <c r="C5479" s="9">
        <f>IFERROR(__xludf.DUMMYFUNCTION("""COMPUTED_VALUE"""),44739.5062377662)</f>
        <v>44739.50624</v>
      </c>
      <c r="D5479" s="15">
        <f>IFERROR(__xludf.DUMMYFUNCTION("""COMPUTED_VALUE"""),1.005)</f>
        <v>1.005</v>
      </c>
      <c r="E5479" s="16">
        <f>IFERROR(__xludf.DUMMYFUNCTION("""COMPUTED_VALUE"""),67.0)</f>
        <v>67</v>
      </c>
      <c r="F5479" s="19" t="str">
        <f>IFERROR(__xludf.DUMMYFUNCTION("""COMPUTED_VALUE"""),"BLACK")</f>
        <v>BLACK</v>
      </c>
      <c r="G5479" s="20" t="str">
        <f>IFERROR(__xludf.DUMMYFUNCTION("""COMPUTED_VALUE"""),"Uncle Sams Cider (5/13/2022)")</f>
        <v>Uncle Sams Cider (5/13/2022)</v>
      </c>
      <c r="H5479" s="19"/>
    </row>
    <row r="5480">
      <c r="A5480" s="9"/>
      <c r="B5480" s="15"/>
      <c r="C5480" s="9">
        <f>IFERROR(__xludf.DUMMYFUNCTION("""COMPUTED_VALUE"""),44739.4958157175)</f>
        <v>44739.49582</v>
      </c>
      <c r="D5480" s="15">
        <f>IFERROR(__xludf.DUMMYFUNCTION("""COMPUTED_VALUE"""),1.005)</f>
        <v>1.005</v>
      </c>
      <c r="E5480" s="16">
        <f>IFERROR(__xludf.DUMMYFUNCTION("""COMPUTED_VALUE"""),67.0)</f>
        <v>67</v>
      </c>
      <c r="F5480" s="19" t="str">
        <f>IFERROR(__xludf.DUMMYFUNCTION("""COMPUTED_VALUE"""),"BLACK")</f>
        <v>BLACK</v>
      </c>
      <c r="G5480" s="20" t="str">
        <f>IFERROR(__xludf.DUMMYFUNCTION("""COMPUTED_VALUE"""),"Uncle Sams Cider (5/13/2022)")</f>
        <v>Uncle Sams Cider (5/13/2022)</v>
      </c>
      <c r="H5480" s="19"/>
    </row>
    <row r="5481">
      <c r="A5481" s="9"/>
      <c r="B5481" s="15"/>
      <c r="C5481" s="9">
        <f>IFERROR(__xludf.DUMMYFUNCTION("""COMPUTED_VALUE"""),44739.485385)</f>
        <v>44739.48539</v>
      </c>
      <c r="D5481" s="15">
        <f>IFERROR(__xludf.DUMMYFUNCTION("""COMPUTED_VALUE"""),1.005)</f>
        <v>1.005</v>
      </c>
      <c r="E5481" s="16">
        <f>IFERROR(__xludf.DUMMYFUNCTION("""COMPUTED_VALUE"""),67.0)</f>
        <v>67</v>
      </c>
      <c r="F5481" s="19" t="str">
        <f>IFERROR(__xludf.DUMMYFUNCTION("""COMPUTED_VALUE"""),"BLACK")</f>
        <v>BLACK</v>
      </c>
      <c r="G5481" s="20" t="str">
        <f>IFERROR(__xludf.DUMMYFUNCTION("""COMPUTED_VALUE"""),"Uncle Sams Cider (5/13/2022)")</f>
        <v>Uncle Sams Cider (5/13/2022)</v>
      </c>
      <c r="H5481" s="19"/>
    </row>
    <row r="5482">
      <c r="A5482" s="9"/>
      <c r="B5482" s="15"/>
      <c r="C5482" s="9">
        <f>IFERROR(__xludf.DUMMYFUNCTION("""COMPUTED_VALUE"""),44739.4749645254)</f>
        <v>44739.47496</v>
      </c>
      <c r="D5482" s="15">
        <f>IFERROR(__xludf.DUMMYFUNCTION("""COMPUTED_VALUE"""),1.005)</f>
        <v>1.005</v>
      </c>
      <c r="E5482" s="16">
        <f>IFERROR(__xludf.DUMMYFUNCTION("""COMPUTED_VALUE"""),67.0)</f>
        <v>67</v>
      </c>
      <c r="F5482" s="19" t="str">
        <f>IFERROR(__xludf.DUMMYFUNCTION("""COMPUTED_VALUE"""),"BLACK")</f>
        <v>BLACK</v>
      </c>
      <c r="G5482" s="20" t="str">
        <f>IFERROR(__xludf.DUMMYFUNCTION("""COMPUTED_VALUE"""),"Uncle Sams Cider (5/13/2022)")</f>
        <v>Uncle Sams Cider (5/13/2022)</v>
      </c>
      <c r="H5482" s="19"/>
    </row>
    <row r="5483">
      <c r="A5483" s="9"/>
      <c r="B5483" s="15"/>
      <c r="C5483" s="9">
        <f>IFERROR(__xludf.DUMMYFUNCTION("""COMPUTED_VALUE"""),44739.4645442708)</f>
        <v>44739.46454</v>
      </c>
      <c r="D5483" s="15">
        <f>IFERROR(__xludf.DUMMYFUNCTION("""COMPUTED_VALUE"""),1.005)</f>
        <v>1.005</v>
      </c>
      <c r="E5483" s="16">
        <f>IFERROR(__xludf.DUMMYFUNCTION("""COMPUTED_VALUE"""),67.0)</f>
        <v>67</v>
      </c>
      <c r="F5483" s="19" t="str">
        <f>IFERROR(__xludf.DUMMYFUNCTION("""COMPUTED_VALUE"""),"BLACK")</f>
        <v>BLACK</v>
      </c>
      <c r="G5483" s="20" t="str">
        <f>IFERROR(__xludf.DUMMYFUNCTION("""COMPUTED_VALUE"""),"Uncle Sams Cider (5/13/2022)")</f>
        <v>Uncle Sams Cider (5/13/2022)</v>
      </c>
      <c r="H5483" s="19"/>
    </row>
    <row r="5484">
      <c r="A5484" s="9"/>
      <c r="B5484" s="15"/>
      <c r="C5484" s="9">
        <f>IFERROR(__xludf.DUMMYFUNCTION("""COMPUTED_VALUE"""),44739.4541217129)</f>
        <v>44739.45412</v>
      </c>
      <c r="D5484" s="15">
        <f>IFERROR(__xludf.DUMMYFUNCTION("""COMPUTED_VALUE"""),1.005)</f>
        <v>1.005</v>
      </c>
      <c r="E5484" s="16">
        <f>IFERROR(__xludf.DUMMYFUNCTION("""COMPUTED_VALUE"""),67.0)</f>
        <v>67</v>
      </c>
      <c r="F5484" s="19" t="str">
        <f>IFERROR(__xludf.DUMMYFUNCTION("""COMPUTED_VALUE"""),"BLACK")</f>
        <v>BLACK</v>
      </c>
      <c r="G5484" s="20" t="str">
        <f>IFERROR(__xludf.DUMMYFUNCTION("""COMPUTED_VALUE"""),"Uncle Sams Cider (5/13/2022)")</f>
        <v>Uncle Sams Cider (5/13/2022)</v>
      </c>
      <c r="H5484" s="19"/>
    </row>
    <row r="5485">
      <c r="A5485" s="9"/>
      <c r="B5485" s="15"/>
      <c r="C5485" s="9">
        <f>IFERROR(__xludf.DUMMYFUNCTION("""COMPUTED_VALUE"""),44739.4437004514)</f>
        <v>44739.4437</v>
      </c>
      <c r="D5485" s="15">
        <f>IFERROR(__xludf.DUMMYFUNCTION("""COMPUTED_VALUE"""),1.005)</f>
        <v>1.005</v>
      </c>
      <c r="E5485" s="16">
        <f>IFERROR(__xludf.DUMMYFUNCTION("""COMPUTED_VALUE"""),67.0)</f>
        <v>67</v>
      </c>
      <c r="F5485" s="19" t="str">
        <f>IFERROR(__xludf.DUMMYFUNCTION("""COMPUTED_VALUE"""),"BLACK")</f>
        <v>BLACK</v>
      </c>
      <c r="G5485" s="20" t="str">
        <f>IFERROR(__xludf.DUMMYFUNCTION("""COMPUTED_VALUE"""),"Uncle Sams Cider (5/13/2022)")</f>
        <v>Uncle Sams Cider (5/13/2022)</v>
      </c>
      <c r="H5485" s="19"/>
    </row>
    <row r="5486">
      <c r="A5486" s="9"/>
      <c r="B5486" s="15"/>
      <c r="C5486" s="9">
        <f>IFERROR(__xludf.DUMMYFUNCTION("""COMPUTED_VALUE"""),44739.4332792939)</f>
        <v>44739.43328</v>
      </c>
      <c r="D5486" s="15">
        <f>IFERROR(__xludf.DUMMYFUNCTION("""COMPUTED_VALUE"""),1.005)</f>
        <v>1.005</v>
      </c>
      <c r="E5486" s="16">
        <f>IFERROR(__xludf.DUMMYFUNCTION("""COMPUTED_VALUE"""),67.0)</f>
        <v>67</v>
      </c>
      <c r="F5486" s="19" t="str">
        <f>IFERROR(__xludf.DUMMYFUNCTION("""COMPUTED_VALUE"""),"BLACK")</f>
        <v>BLACK</v>
      </c>
      <c r="G5486" s="20" t="str">
        <f>IFERROR(__xludf.DUMMYFUNCTION("""COMPUTED_VALUE"""),"Uncle Sams Cider (5/13/2022)")</f>
        <v>Uncle Sams Cider (5/13/2022)</v>
      </c>
      <c r="H5486" s="19"/>
    </row>
    <row r="5487">
      <c r="A5487" s="9"/>
      <c r="B5487" s="15"/>
      <c r="C5487" s="9">
        <f>IFERROR(__xludf.DUMMYFUNCTION("""COMPUTED_VALUE"""),44739.4228579398)</f>
        <v>44739.42286</v>
      </c>
      <c r="D5487" s="15">
        <f>IFERROR(__xludf.DUMMYFUNCTION("""COMPUTED_VALUE"""),1.005)</f>
        <v>1.005</v>
      </c>
      <c r="E5487" s="16">
        <f>IFERROR(__xludf.DUMMYFUNCTION("""COMPUTED_VALUE"""),67.0)</f>
        <v>67</v>
      </c>
      <c r="F5487" s="19" t="str">
        <f>IFERROR(__xludf.DUMMYFUNCTION("""COMPUTED_VALUE"""),"BLACK")</f>
        <v>BLACK</v>
      </c>
      <c r="G5487" s="20" t="str">
        <f>IFERROR(__xludf.DUMMYFUNCTION("""COMPUTED_VALUE"""),"Uncle Sams Cider (5/13/2022)")</f>
        <v>Uncle Sams Cider (5/13/2022)</v>
      </c>
      <c r="H5487" s="19"/>
    </row>
    <row r="5488">
      <c r="A5488" s="9"/>
      <c r="B5488" s="15"/>
      <c r="C5488" s="9">
        <f>IFERROR(__xludf.DUMMYFUNCTION("""COMPUTED_VALUE"""),44739.4124245486)</f>
        <v>44739.41242</v>
      </c>
      <c r="D5488" s="15">
        <f>IFERROR(__xludf.DUMMYFUNCTION("""COMPUTED_VALUE"""),1.005)</f>
        <v>1.005</v>
      </c>
      <c r="E5488" s="16">
        <f>IFERROR(__xludf.DUMMYFUNCTION("""COMPUTED_VALUE"""),67.0)</f>
        <v>67</v>
      </c>
      <c r="F5488" s="19" t="str">
        <f>IFERROR(__xludf.DUMMYFUNCTION("""COMPUTED_VALUE"""),"BLACK")</f>
        <v>BLACK</v>
      </c>
      <c r="G5488" s="20" t="str">
        <f>IFERROR(__xludf.DUMMYFUNCTION("""COMPUTED_VALUE"""),"Uncle Sams Cider (5/13/2022)")</f>
        <v>Uncle Sams Cider (5/13/2022)</v>
      </c>
      <c r="H5488" s="19"/>
    </row>
    <row r="5489">
      <c r="A5489" s="9"/>
      <c r="B5489" s="15"/>
      <c r="C5489" s="9">
        <f>IFERROR(__xludf.DUMMYFUNCTION("""COMPUTED_VALUE"""),44739.4020031944)</f>
        <v>44739.402</v>
      </c>
      <c r="D5489" s="15">
        <f>IFERROR(__xludf.DUMMYFUNCTION("""COMPUTED_VALUE"""),1.005)</f>
        <v>1.005</v>
      </c>
      <c r="E5489" s="16">
        <f>IFERROR(__xludf.DUMMYFUNCTION("""COMPUTED_VALUE"""),67.0)</f>
        <v>67</v>
      </c>
      <c r="F5489" s="19" t="str">
        <f>IFERROR(__xludf.DUMMYFUNCTION("""COMPUTED_VALUE"""),"BLACK")</f>
        <v>BLACK</v>
      </c>
      <c r="G5489" s="20" t="str">
        <f>IFERROR(__xludf.DUMMYFUNCTION("""COMPUTED_VALUE"""),"Uncle Sams Cider (5/13/2022)")</f>
        <v>Uncle Sams Cider (5/13/2022)</v>
      </c>
      <c r="H5489" s="19"/>
    </row>
    <row r="5490">
      <c r="A5490" s="9"/>
      <c r="B5490" s="15"/>
      <c r="C5490" s="9">
        <f>IFERROR(__xludf.DUMMYFUNCTION("""COMPUTED_VALUE"""),44739.3915827083)</f>
        <v>44739.39158</v>
      </c>
      <c r="D5490" s="15">
        <f>IFERROR(__xludf.DUMMYFUNCTION("""COMPUTED_VALUE"""),1.005)</f>
        <v>1.005</v>
      </c>
      <c r="E5490" s="16">
        <f>IFERROR(__xludf.DUMMYFUNCTION("""COMPUTED_VALUE"""),67.0)</f>
        <v>67</v>
      </c>
      <c r="F5490" s="19" t="str">
        <f>IFERROR(__xludf.DUMMYFUNCTION("""COMPUTED_VALUE"""),"BLACK")</f>
        <v>BLACK</v>
      </c>
      <c r="G5490" s="20" t="str">
        <f>IFERROR(__xludf.DUMMYFUNCTION("""COMPUTED_VALUE"""),"Uncle Sams Cider (5/13/2022)")</f>
        <v>Uncle Sams Cider (5/13/2022)</v>
      </c>
      <c r="H5490" s="19"/>
    </row>
    <row r="5491">
      <c r="A5491" s="9"/>
      <c r="B5491" s="15"/>
      <c r="C5491" s="9">
        <f>IFERROR(__xludf.DUMMYFUNCTION("""COMPUTED_VALUE"""),44739.3811634259)</f>
        <v>44739.38116</v>
      </c>
      <c r="D5491" s="15">
        <f>IFERROR(__xludf.DUMMYFUNCTION("""COMPUTED_VALUE"""),1.005)</f>
        <v>1.005</v>
      </c>
      <c r="E5491" s="16">
        <f>IFERROR(__xludf.DUMMYFUNCTION("""COMPUTED_VALUE"""),67.0)</f>
        <v>67</v>
      </c>
      <c r="F5491" s="19" t="str">
        <f>IFERROR(__xludf.DUMMYFUNCTION("""COMPUTED_VALUE"""),"BLACK")</f>
        <v>BLACK</v>
      </c>
      <c r="G5491" s="20" t="str">
        <f>IFERROR(__xludf.DUMMYFUNCTION("""COMPUTED_VALUE"""),"Uncle Sams Cider (5/13/2022)")</f>
        <v>Uncle Sams Cider (5/13/2022)</v>
      </c>
      <c r="H5491" s="19"/>
    </row>
    <row r="5492">
      <c r="A5492" s="9"/>
      <c r="B5492" s="15"/>
      <c r="C5492" s="9">
        <f>IFERROR(__xludf.DUMMYFUNCTION("""COMPUTED_VALUE"""),44739.3707195717)</f>
        <v>44739.37072</v>
      </c>
      <c r="D5492" s="15">
        <f>IFERROR(__xludf.DUMMYFUNCTION("""COMPUTED_VALUE"""),1.005)</f>
        <v>1.005</v>
      </c>
      <c r="E5492" s="16">
        <f>IFERROR(__xludf.DUMMYFUNCTION("""COMPUTED_VALUE"""),67.0)</f>
        <v>67</v>
      </c>
      <c r="F5492" s="19" t="str">
        <f>IFERROR(__xludf.DUMMYFUNCTION("""COMPUTED_VALUE"""),"BLACK")</f>
        <v>BLACK</v>
      </c>
      <c r="G5492" s="20" t="str">
        <f>IFERROR(__xludf.DUMMYFUNCTION("""COMPUTED_VALUE"""),"Uncle Sams Cider (5/13/2022)")</f>
        <v>Uncle Sams Cider (5/13/2022)</v>
      </c>
      <c r="H5492" s="19"/>
    </row>
    <row r="5493">
      <c r="A5493" s="9"/>
      <c r="B5493" s="15"/>
      <c r="C5493" s="9">
        <f>IFERROR(__xludf.DUMMYFUNCTION("""COMPUTED_VALUE"""),44739.3603)</f>
        <v>44739.3603</v>
      </c>
      <c r="D5493" s="15">
        <f>IFERROR(__xludf.DUMMYFUNCTION("""COMPUTED_VALUE"""),1.005)</f>
        <v>1.005</v>
      </c>
      <c r="E5493" s="16">
        <f>IFERROR(__xludf.DUMMYFUNCTION("""COMPUTED_VALUE"""),67.0)</f>
        <v>67</v>
      </c>
      <c r="F5493" s="19" t="str">
        <f>IFERROR(__xludf.DUMMYFUNCTION("""COMPUTED_VALUE"""),"BLACK")</f>
        <v>BLACK</v>
      </c>
      <c r="G5493" s="20" t="str">
        <f>IFERROR(__xludf.DUMMYFUNCTION("""COMPUTED_VALUE"""),"Uncle Sams Cider (5/13/2022)")</f>
        <v>Uncle Sams Cider (5/13/2022)</v>
      </c>
      <c r="H5493" s="19"/>
    </row>
    <row r="5494">
      <c r="A5494" s="9"/>
      <c r="B5494" s="15"/>
      <c r="C5494" s="9">
        <f>IFERROR(__xludf.DUMMYFUNCTION("""COMPUTED_VALUE"""),44739.3498793981)</f>
        <v>44739.34988</v>
      </c>
      <c r="D5494" s="15">
        <f>IFERROR(__xludf.DUMMYFUNCTION("""COMPUTED_VALUE"""),1.005)</f>
        <v>1.005</v>
      </c>
      <c r="E5494" s="16">
        <f>IFERROR(__xludf.DUMMYFUNCTION("""COMPUTED_VALUE"""),67.0)</f>
        <v>67</v>
      </c>
      <c r="F5494" s="19" t="str">
        <f>IFERROR(__xludf.DUMMYFUNCTION("""COMPUTED_VALUE"""),"BLACK")</f>
        <v>BLACK</v>
      </c>
      <c r="G5494" s="20" t="str">
        <f>IFERROR(__xludf.DUMMYFUNCTION("""COMPUTED_VALUE"""),"Uncle Sams Cider (5/13/2022)")</f>
        <v>Uncle Sams Cider (5/13/2022)</v>
      </c>
      <c r="H5494" s="19"/>
    </row>
    <row r="5495">
      <c r="A5495" s="9"/>
      <c r="B5495" s="15"/>
      <c r="C5495" s="9">
        <f>IFERROR(__xludf.DUMMYFUNCTION("""COMPUTED_VALUE"""),44739.3394442708)</f>
        <v>44739.33944</v>
      </c>
      <c r="D5495" s="15">
        <f>IFERROR(__xludf.DUMMYFUNCTION("""COMPUTED_VALUE"""),1.005)</f>
        <v>1.005</v>
      </c>
      <c r="E5495" s="16">
        <f>IFERROR(__xludf.DUMMYFUNCTION("""COMPUTED_VALUE"""),67.0)</f>
        <v>67</v>
      </c>
      <c r="F5495" s="19" t="str">
        <f>IFERROR(__xludf.DUMMYFUNCTION("""COMPUTED_VALUE"""),"BLACK")</f>
        <v>BLACK</v>
      </c>
      <c r="G5495" s="20" t="str">
        <f>IFERROR(__xludf.DUMMYFUNCTION("""COMPUTED_VALUE"""),"Uncle Sams Cider (5/13/2022)")</f>
        <v>Uncle Sams Cider (5/13/2022)</v>
      </c>
      <c r="H5495" s="19"/>
    </row>
    <row r="5496">
      <c r="A5496" s="9"/>
      <c r="B5496" s="15"/>
      <c r="C5496" s="9">
        <f>IFERROR(__xludf.DUMMYFUNCTION("""COMPUTED_VALUE"""),44739.3290221527)</f>
        <v>44739.32902</v>
      </c>
      <c r="D5496" s="15">
        <f>IFERROR(__xludf.DUMMYFUNCTION("""COMPUTED_VALUE"""),1.005)</f>
        <v>1.005</v>
      </c>
      <c r="E5496" s="16">
        <f>IFERROR(__xludf.DUMMYFUNCTION("""COMPUTED_VALUE"""),67.0)</f>
        <v>67</v>
      </c>
      <c r="F5496" s="19" t="str">
        <f>IFERROR(__xludf.DUMMYFUNCTION("""COMPUTED_VALUE"""),"BLACK")</f>
        <v>BLACK</v>
      </c>
      <c r="G5496" s="20" t="str">
        <f>IFERROR(__xludf.DUMMYFUNCTION("""COMPUTED_VALUE"""),"Uncle Sams Cider (5/13/2022)")</f>
        <v>Uncle Sams Cider (5/13/2022)</v>
      </c>
      <c r="H5496" s="19"/>
    </row>
    <row r="5497">
      <c r="A5497" s="9"/>
      <c r="B5497" s="15"/>
      <c r="C5497" s="9">
        <f>IFERROR(__xludf.DUMMYFUNCTION("""COMPUTED_VALUE"""),44739.3185890046)</f>
        <v>44739.31859</v>
      </c>
      <c r="D5497" s="15">
        <f>IFERROR(__xludf.DUMMYFUNCTION("""COMPUTED_VALUE"""),1.005)</f>
        <v>1.005</v>
      </c>
      <c r="E5497" s="16">
        <f>IFERROR(__xludf.DUMMYFUNCTION("""COMPUTED_VALUE"""),67.0)</f>
        <v>67</v>
      </c>
      <c r="F5497" s="19" t="str">
        <f>IFERROR(__xludf.DUMMYFUNCTION("""COMPUTED_VALUE"""),"BLACK")</f>
        <v>BLACK</v>
      </c>
      <c r="G5497" s="20" t="str">
        <f>IFERROR(__xludf.DUMMYFUNCTION("""COMPUTED_VALUE"""),"Uncle Sams Cider (5/13/2022)")</f>
        <v>Uncle Sams Cider (5/13/2022)</v>
      </c>
      <c r="H5497" s="19"/>
    </row>
    <row r="5498">
      <c r="A5498" s="9"/>
      <c r="B5498" s="15"/>
      <c r="C5498" s="9">
        <f>IFERROR(__xludf.DUMMYFUNCTION("""COMPUTED_VALUE"""),44739.3081680671)</f>
        <v>44739.30817</v>
      </c>
      <c r="D5498" s="15">
        <f>IFERROR(__xludf.DUMMYFUNCTION("""COMPUTED_VALUE"""),1.005)</f>
        <v>1.005</v>
      </c>
      <c r="E5498" s="16">
        <f>IFERROR(__xludf.DUMMYFUNCTION("""COMPUTED_VALUE"""),67.0)</f>
        <v>67</v>
      </c>
      <c r="F5498" s="19" t="str">
        <f>IFERROR(__xludf.DUMMYFUNCTION("""COMPUTED_VALUE"""),"BLACK")</f>
        <v>BLACK</v>
      </c>
      <c r="G5498" s="20" t="str">
        <f>IFERROR(__xludf.DUMMYFUNCTION("""COMPUTED_VALUE"""),"Uncle Sams Cider (5/13/2022)")</f>
        <v>Uncle Sams Cider (5/13/2022)</v>
      </c>
      <c r="H5498" s="19"/>
    </row>
    <row r="5499">
      <c r="A5499" s="9"/>
      <c r="B5499" s="15"/>
      <c r="C5499" s="9">
        <f>IFERROR(__xludf.DUMMYFUNCTION("""COMPUTED_VALUE"""),44739.2977478356)</f>
        <v>44739.29775</v>
      </c>
      <c r="D5499" s="15">
        <f>IFERROR(__xludf.DUMMYFUNCTION("""COMPUTED_VALUE"""),1.005)</f>
        <v>1.005</v>
      </c>
      <c r="E5499" s="16">
        <f>IFERROR(__xludf.DUMMYFUNCTION("""COMPUTED_VALUE"""),67.0)</f>
        <v>67</v>
      </c>
      <c r="F5499" s="19" t="str">
        <f>IFERROR(__xludf.DUMMYFUNCTION("""COMPUTED_VALUE"""),"BLACK")</f>
        <v>BLACK</v>
      </c>
      <c r="G5499" s="20" t="str">
        <f>IFERROR(__xludf.DUMMYFUNCTION("""COMPUTED_VALUE"""),"Uncle Sams Cider (5/13/2022)")</f>
        <v>Uncle Sams Cider (5/13/2022)</v>
      </c>
      <c r="H5499" s="19"/>
    </row>
    <row r="5500">
      <c r="A5500" s="9"/>
      <c r="B5500" s="15"/>
      <c r="C5500" s="9">
        <f>IFERROR(__xludf.DUMMYFUNCTION("""COMPUTED_VALUE"""),44739.2873254398)</f>
        <v>44739.28733</v>
      </c>
      <c r="D5500" s="15">
        <f>IFERROR(__xludf.DUMMYFUNCTION("""COMPUTED_VALUE"""),1.005)</f>
        <v>1.005</v>
      </c>
      <c r="E5500" s="16">
        <f>IFERROR(__xludf.DUMMYFUNCTION("""COMPUTED_VALUE"""),67.0)</f>
        <v>67</v>
      </c>
      <c r="F5500" s="19" t="str">
        <f>IFERROR(__xludf.DUMMYFUNCTION("""COMPUTED_VALUE"""),"BLACK")</f>
        <v>BLACK</v>
      </c>
      <c r="G5500" s="20" t="str">
        <f>IFERROR(__xludf.DUMMYFUNCTION("""COMPUTED_VALUE"""),"Uncle Sams Cider (5/13/2022)")</f>
        <v>Uncle Sams Cider (5/13/2022)</v>
      </c>
      <c r="H5500" s="19"/>
    </row>
    <row r="5501">
      <c r="A5501" s="9"/>
      <c r="B5501" s="15"/>
      <c r="C5501" s="9">
        <f>IFERROR(__xludf.DUMMYFUNCTION("""COMPUTED_VALUE"""),44739.2769044791)</f>
        <v>44739.2769</v>
      </c>
      <c r="D5501" s="15">
        <f>IFERROR(__xludf.DUMMYFUNCTION("""COMPUTED_VALUE"""),1.005)</f>
        <v>1.005</v>
      </c>
      <c r="E5501" s="16">
        <f>IFERROR(__xludf.DUMMYFUNCTION("""COMPUTED_VALUE"""),67.0)</f>
        <v>67</v>
      </c>
      <c r="F5501" s="19" t="str">
        <f>IFERROR(__xludf.DUMMYFUNCTION("""COMPUTED_VALUE"""),"BLACK")</f>
        <v>BLACK</v>
      </c>
      <c r="G5501" s="20" t="str">
        <f>IFERROR(__xludf.DUMMYFUNCTION("""COMPUTED_VALUE"""),"Uncle Sams Cider (5/13/2022)")</f>
        <v>Uncle Sams Cider (5/13/2022)</v>
      </c>
      <c r="H5501" s="19"/>
    </row>
    <row r="5502">
      <c r="A5502" s="9"/>
      <c r="B5502" s="15"/>
      <c r="C5502" s="9">
        <f>IFERROR(__xludf.DUMMYFUNCTION("""COMPUTED_VALUE"""),44739.2664597916)</f>
        <v>44739.26646</v>
      </c>
      <c r="D5502" s="15">
        <f>IFERROR(__xludf.DUMMYFUNCTION("""COMPUTED_VALUE"""),1.005)</f>
        <v>1.005</v>
      </c>
      <c r="E5502" s="16">
        <f>IFERROR(__xludf.DUMMYFUNCTION("""COMPUTED_VALUE"""),67.0)</f>
        <v>67</v>
      </c>
      <c r="F5502" s="19" t="str">
        <f>IFERROR(__xludf.DUMMYFUNCTION("""COMPUTED_VALUE"""),"BLACK")</f>
        <v>BLACK</v>
      </c>
      <c r="G5502" s="20" t="str">
        <f>IFERROR(__xludf.DUMMYFUNCTION("""COMPUTED_VALUE"""),"Uncle Sams Cider (5/13/2022)")</f>
        <v>Uncle Sams Cider (5/13/2022)</v>
      </c>
      <c r="H5502" s="19"/>
    </row>
    <row r="5503">
      <c r="A5503" s="9"/>
      <c r="B5503" s="15"/>
      <c r="C5503" s="9">
        <f>IFERROR(__xludf.DUMMYFUNCTION("""COMPUTED_VALUE"""),44739.2560398495)</f>
        <v>44739.25604</v>
      </c>
      <c r="D5503" s="15">
        <f>IFERROR(__xludf.DUMMYFUNCTION("""COMPUTED_VALUE"""),1.005)</f>
        <v>1.005</v>
      </c>
      <c r="E5503" s="16">
        <f>IFERROR(__xludf.DUMMYFUNCTION("""COMPUTED_VALUE"""),67.0)</f>
        <v>67</v>
      </c>
      <c r="F5503" s="19" t="str">
        <f>IFERROR(__xludf.DUMMYFUNCTION("""COMPUTED_VALUE"""),"BLACK")</f>
        <v>BLACK</v>
      </c>
      <c r="G5503" s="20" t="str">
        <f>IFERROR(__xludf.DUMMYFUNCTION("""COMPUTED_VALUE"""),"Uncle Sams Cider (5/13/2022)")</f>
        <v>Uncle Sams Cider (5/13/2022)</v>
      </c>
      <c r="H5503" s="19"/>
    </row>
    <row r="5504">
      <c r="A5504" s="9"/>
      <c r="B5504" s="15"/>
      <c r="C5504" s="9">
        <f>IFERROR(__xludf.DUMMYFUNCTION("""COMPUTED_VALUE"""),44739.2456167013)</f>
        <v>44739.24562</v>
      </c>
      <c r="D5504" s="15">
        <f>IFERROR(__xludf.DUMMYFUNCTION("""COMPUTED_VALUE"""),1.005)</f>
        <v>1.005</v>
      </c>
      <c r="E5504" s="16">
        <f>IFERROR(__xludf.DUMMYFUNCTION("""COMPUTED_VALUE"""),67.0)</f>
        <v>67</v>
      </c>
      <c r="F5504" s="19" t="str">
        <f>IFERROR(__xludf.DUMMYFUNCTION("""COMPUTED_VALUE"""),"BLACK")</f>
        <v>BLACK</v>
      </c>
      <c r="G5504" s="20" t="str">
        <f>IFERROR(__xludf.DUMMYFUNCTION("""COMPUTED_VALUE"""),"Uncle Sams Cider (5/13/2022)")</f>
        <v>Uncle Sams Cider (5/13/2022)</v>
      </c>
      <c r="H5504" s="19"/>
    </row>
    <row r="5505">
      <c r="A5505" s="9"/>
      <c r="B5505" s="15"/>
      <c r="C5505" s="9">
        <f>IFERROR(__xludf.DUMMYFUNCTION("""COMPUTED_VALUE"""),44739.235197824)</f>
        <v>44739.2352</v>
      </c>
      <c r="D5505" s="15">
        <f>IFERROR(__xludf.DUMMYFUNCTION("""COMPUTED_VALUE"""),1.005)</f>
        <v>1.005</v>
      </c>
      <c r="E5505" s="16">
        <f>IFERROR(__xludf.DUMMYFUNCTION("""COMPUTED_VALUE"""),67.0)</f>
        <v>67</v>
      </c>
      <c r="F5505" s="19" t="str">
        <f>IFERROR(__xludf.DUMMYFUNCTION("""COMPUTED_VALUE"""),"BLACK")</f>
        <v>BLACK</v>
      </c>
      <c r="G5505" s="20" t="str">
        <f>IFERROR(__xludf.DUMMYFUNCTION("""COMPUTED_VALUE"""),"Uncle Sams Cider (5/13/2022)")</f>
        <v>Uncle Sams Cider (5/13/2022)</v>
      </c>
      <c r="H5505" s="19"/>
    </row>
    <row r="5506">
      <c r="A5506" s="9"/>
      <c r="B5506" s="15"/>
      <c r="C5506" s="9">
        <f>IFERROR(__xludf.DUMMYFUNCTION("""COMPUTED_VALUE"""),44739.2247655787)</f>
        <v>44739.22477</v>
      </c>
      <c r="D5506" s="15">
        <f>IFERROR(__xludf.DUMMYFUNCTION("""COMPUTED_VALUE"""),1.005)</f>
        <v>1.005</v>
      </c>
      <c r="E5506" s="16">
        <f>IFERROR(__xludf.DUMMYFUNCTION("""COMPUTED_VALUE"""),67.0)</f>
        <v>67</v>
      </c>
      <c r="F5506" s="19" t="str">
        <f>IFERROR(__xludf.DUMMYFUNCTION("""COMPUTED_VALUE"""),"BLACK")</f>
        <v>BLACK</v>
      </c>
      <c r="G5506" s="20" t="str">
        <f>IFERROR(__xludf.DUMMYFUNCTION("""COMPUTED_VALUE"""),"Uncle Sams Cider (5/13/2022)")</f>
        <v>Uncle Sams Cider (5/13/2022)</v>
      </c>
      <c r="H5506" s="19"/>
    </row>
    <row r="5507">
      <c r="A5507" s="9"/>
      <c r="B5507" s="15"/>
      <c r="C5507" s="9">
        <f>IFERROR(__xludf.DUMMYFUNCTION("""COMPUTED_VALUE"""),44739.2143313194)</f>
        <v>44739.21433</v>
      </c>
      <c r="D5507" s="15">
        <f>IFERROR(__xludf.DUMMYFUNCTION("""COMPUTED_VALUE"""),1.005)</f>
        <v>1.005</v>
      </c>
      <c r="E5507" s="16">
        <f>IFERROR(__xludf.DUMMYFUNCTION("""COMPUTED_VALUE"""),67.0)</f>
        <v>67</v>
      </c>
      <c r="F5507" s="19" t="str">
        <f>IFERROR(__xludf.DUMMYFUNCTION("""COMPUTED_VALUE"""),"BLACK")</f>
        <v>BLACK</v>
      </c>
      <c r="G5507" s="20" t="str">
        <f>IFERROR(__xludf.DUMMYFUNCTION("""COMPUTED_VALUE"""),"Uncle Sams Cider (5/13/2022)")</f>
        <v>Uncle Sams Cider (5/13/2022)</v>
      </c>
      <c r="H5507" s="19"/>
    </row>
    <row r="5508">
      <c r="A5508" s="9"/>
      <c r="B5508" s="15"/>
      <c r="C5508" s="9">
        <f>IFERROR(__xludf.DUMMYFUNCTION("""COMPUTED_VALUE"""),44739.2038991203)</f>
        <v>44739.2039</v>
      </c>
      <c r="D5508" s="15">
        <f>IFERROR(__xludf.DUMMYFUNCTION("""COMPUTED_VALUE"""),1.005)</f>
        <v>1.005</v>
      </c>
      <c r="E5508" s="16">
        <f>IFERROR(__xludf.DUMMYFUNCTION("""COMPUTED_VALUE"""),67.0)</f>
        <v>67</v>
      </c>
      <c r="F5508" s="19" t="str">
        <f>IFERROR(__xludf.DUMMYFUNCTION("""COMPUTED_VALUE"""),"BLACK")</f>
        <v>BLACK</v>
      </c>
      <c r="G5508" s="20" t="str">
        <f>IFERROR(__xludf.DUMMYFUNCTION("""COMPUTED_VALUE"""),"Uncle Sams Cider (5/13/2022)")</f>
        <v>Uncle Sams Cider (5/13/2022)</v>
      </c>
      <c r="H5508" s="19"/>
    </row>
    <row r="5509">
      <c r="A5509" s="9"/>
      <c r="B5509" s="15"/>
      <c r="C5509" s="9">
        <f>IFERROR(__xludf.DUMMYFUNCTION("""COMPUTED_VALUE"""),44739.1934789351)</f>
        <v>44739.19348</v>
      </c>
      <c r="D5509" s="15">
        <f>IFERROR(__xludf.DUMMYFUNCTION("""COMPUTED_VALUE"""),1.005)</f>
        <v>1.005</v>
      </c>
      <c r="E5509" s="16">
        <f>IFERROR(__xludf.DUMMYFUNCTION("""COMPUTED_VALUE"""),67.0)</f>
        <v>67</v>
      </c>
      <c r="F5509" s="19" t="str">
        <f>IFERROR(__xludf.DUMMYFUNCTION("""COMPUTED_VALUE"""),"BLACK")</f>
        <v>BLACK</v>
      </c>
      <c r="G5509" s="20" t="str">
        <f>IFERROR(__xludf.DUMMYFUNCTION("""COMPUTED_VALUE"""),"Uncle Sams Cider (5/13/2022)")</f>
        <v>Uncle Sams Cider (5/13/2022)</v>
      </c>
      <c r="H5509" s="19"/>
    </row>
    <row r="5510">
      <c r="A5510" s="9"/>
      <c r="B5510" s="15"/>
      <c r="C5510" s="9">
        <f>IFERROR(__xludf.DUMMYFUNCTION("""COMPUTED_VALUE"""),44739.1830560069)</f>
        <v>44739.18306</v>
      </c>
      <c r="D5510" s="15">
        <f>IFERROR(__xludf.DUMMYFUNCTION("""COMPUTED_VALUE"""),1.005)</f>
        <v>1.005</v>
      </c>
      <c r="E5510" s="16">
        <f>IFERROR(__xludf.DUMMYFUNCTION("""COMPUTED_VALUE"""),67.0)</f>
        <v>67</v>
      </c>
      <c r="F5510" s="19" t="str">
        <f>IFERROR(__xludf.DUMMYFUNCTION("""COMPUTED_VALUE"""),"BLACK")</f>
        <v>BLACK</v>
      </c>
      <c r="G5510" s="20" t="str">
        <f>IFERROR(__xludf.DUMMYFUNCTION("""COMPUTED_VALUE"""),"Uncle Sams Cider (5/13/2022)")</f>
        <v>Uncle Sams Cider (5/13/2022)</v>
      </c>
      <c r="H5510" s="19"/>
    </row>
    <row r="5511">
      <c r="A5511" s="9"/>
      <c r="B5511" s="15"/>
      <c r="C5511" s="9">
        <f>IFERROR(__xludf.DUMMYFUNCTION("""COMPUTED_VALUE"""),44739.17263478)</f>
        <v>44739.17263</v>
      </c>
      <c r="D5511" s="15">
        <f>IFERROR(__xludf.DUMMYFUNCTION("""COMPUTED_VALUE"""),1.005)</f>
        <v>1.005</v>
      </c>
      <c r="E5511" s="16">
        <f>IFERROR(__xludf.DUMMYFUNCTION("""COMPUTED_VALUE"""),67.0)</f>
        <v>67</v>
      </c>
      <c r="F5511" s="19" t="str">
        <f>IFERROR(__xludf.DUMMYFUNCTION("""COMPUTED_VALUE"""),"BLACK")</f>
        <v>BLACK</v>
      </c>
      <c r="G5511" s="20" t="str">
        <f>IFERROR(__xludf.DUMMYFUNCTION("""COMPUTED_VALUE"""),"Uncle Sams Cider (5/13/2022)")</f>
        <v>Uncle Sams Cider (5/13/2022)</v>
      </c>
      <c r="H5511" s="19"/>
    </row>
    <row r="5512">
      <c r="A5512" s="9"/>
      <c r="B5512" s="15"/>
      <c r="C5512" s="9">
        <f>IFERROR(__xludf.DUMMYFUNCTION("""COMPUTED_VALUE"""),44739.1622131944)</f>
        <v>44739.16221</v>
      </c>
      <c r="D5512" s="15">
        <f>IFERROR(__xludf.DUMMYFUNCTION("""COMPUTED_VALUE"""),1.005)</f>
        <v>1.005</v>
      </c>
      <c r="E5512" s="16">
        <f>IFERROR(__xludf.DUMMYFUNCTION("""COMPUTED_VALUE"""),67.0)</f>
        <v>67</v>
      </c>
      <c r="F5512" s="19" t="str">
        <f>IFERROR(__xludf.DUMMYFUNCTION("""COMPUTED_VALUE"""),"BLACK")</f>
        <v>BLACK</v>
      </c>
      <c r="G5512" s="20" t="str">
        <f>IFERROR(__xludf.DUMMYFUNCTION("""COMPUTED_VALUE"""),"Uncle Sams Cider (5/13/2022)")</f>
        <v>Uncle Sams Cider (5/13/2022)</v>
      </c>
      <c r="H5512" s="19"/>
    </row>
    <row r="5513">
      <c r="A5513" s="9"/>
      <c r="B5513" s="15"/>
      <c r="C5513" s="9">
        <f>IFERROR(__xludf.DUMMYFUNCTION("""COMPUTED_VALUE"""),44739.1517919213)</f>
        <v>44739.15179</v>
      </c>
      <c r="D5513" s="15">
        <f>IFERROR(__xludf.DUMMYFUNCTION("""COMPUTED_VALUE"""),1.005)</f>
        <v>1.005</v>
      </c>
      <c r="E5513" s="16">
        <f>IFERROR(__xludf.DUMMYFUNCTION("""COMPUTED_VALUE"""),67.0)</f>
        <v>67</v>
      </c>
      <c r="F5513" s="19" t="str">
        <f>IFERROR(__xludf.DUMMYFUNCTION("""COMPUTED_VALUE"""),"BLACK")</f>
        <v>BLACK</v>
      </c>
      <c r="G5513" s="20" t="str">
        <f>IFERROR(__xludf.DUMMYFUNCTION("""COMPUTED_VALUE"""),"Uncle Sams Cider (5/13/2022)")</f>
        <v>Uncle Sams Cider (5/13/2022)</v>
      </c>
      <c r="H5513" s="19"/>
    </row>
    <row r="5514">
      <c r="A5514" s="9"/>
      <c r="B5514" s="15"/>
      <c r="C5514" s="9">
        <f>IFERROR(__xludf.DUMMYFUNCTION("""COMPUTED_VALUE"""),44739.1413715046)</f>
        <v>44739.14137</v>
      </c>
      <c r="D5514" s="15">
        <f>IFERROR(__xludf.DUMMYFUNCTION("""COMPUTED_VALUE"""),1.005)</f>
        <v>1.005</v>
      </c>
      <c r="E5514" s="16">
        <f>IFERROR(__xludf.DUMMYFUNCTION("""COMPUTED_VALUE"""),67.0)</f>
        <v>67</v>
      </c>
      <c r="F5514" s="19" t="str">
        <f>IFERROR(__xludf.DUMMYFUNCTION("""COMPUTED_VALUE"""),"BLACK")</f>
        <v>BLACK</v>
      </c>
      <c r="G5514" s="20" t="str">
        <f>IFERROR(__xludf.DUMMYFUNCTION("""COMPUTED_VALUE"""),"Uncle Sams Cider (5/13/2022)")</f>
        <v>Uncle Sams Cider (5/13/2022)</v>
      </c>
      <c r="H5514" s="19"/>
    </row>
    <row r="5515">
      <c r="A5515" s="9"/>
      <c r="B5515" s="15"/>
      <c r="C5515" s="9">
        <f>IFERROR(__xludf.DUMMYFUNCTION("""COMPUTED_VALUE"""),44739.1309384953)</f>
        <v>44739.13094</v>
      </c>
      <c r="D5515" s="15">
        <f>IFERROR(__xludf.DUMMYFUNCTION("""COMPUTED_VALUE"""),1.005)</f>
        <v>1.005</v>
      </c>
      <c r="E5515" s="16">
        <f>IFERROR(__xludf.DUMMYFUNCTION("""COMPUTED_VALUE"""),67.0)</f>
        <v>67</v>
      </c>
      <c r="F5515" s="19" t="str">
        <f>IFERROR(__xludf.DUMMYFUNCTION("""COMPUTED_VALUE"""),"BLACK")</f>
        <v>BLACK</v>
      </c>
      <c r="G5515" s="20" t="str">
        <f>IFERROR(__xludf.DUMMYFUNCTION("""COMPUTED_VALUE"""),"Uncle Sams Cider (5/13/2022)")</f>
        <v>Uncle Sams Cider (5/13/2022)</v>
      </c>
      <c r="H5515" s="19"/>
    </row>
    <row r="5516">
      <c r="A5516" s="9"/>
      <c r="B5516" s="15"/>
      <c r="C5516" s="9">
        <f>IFERROR(__xludf.DUMMYFUNCTION("""COMPUTED_VALUE"""),44739.1205059259)</f>
        <v>44739.12051</v>
      </c>
      <c r="D5516" s="15">
        <f>IFERROR(__xludf.DUMMYFUNCTION("""COMPUTED_VALUE"""),1.005)</f>
        <v>1.005</v>
      </c>
      <c r="E5516" s="16">
        <f>IFERROR(__xludf.DUMMYFUNCTION("""COMPUTED_VALUE"""),67.0)</f>
        <v>67</v>
      </c>
      <c r="F5516" s="19" t="str">
        <f>IFERROR(__xludf.DUMMYFUNCTION("""COMPUTED_VALUE"""),"BLACK")</f>
        <v>BLACK</v>
      </c>
      <c r="G5516" s="20" t="str">
        <f>IFERROR(__xludf.DUMMYFUNCTION("""COMPUTED_VALUE"""),"Uncle Sams Cider (5/13/2022)")</f>
        <v>Uncle Sams Cider (5/13/2022)</v>
      </c>
      <c r="H5516" s="19"/>
    </row>
    <row r="5517">
      <c r="A5517" s="9"/>
      <c r="B5517" s="15"/>
      <c r="C5517" s="9">
        <f>IFERROR(__xludf.DUMMYFUNCTION("""COMPUTED_VALUE"""),44739.1100846412)</f>
        <v>44739.11008</v>
      </c>
      <c r="D5517" s="15">
        <f>IFERROR(__xludf.DUMMYFUNCTION("""COMPUTED_VALUE"""),1.005)</f>
        <v>1.005</v>
      </c>
      <c r="E5517" s="16">
        <f>IFERROR(__xludf.DUMMYFUNCTION("""COMPUTED_VALUE"""),67.0)</f>
        <v>67</v>
      </c>
      <c r="F5517" s="19" t="str">
        <f>IFERROR(__xludf.DUMMYFUNCTION("""COMPUTED_VALUE"""),"BLACK")</f>
        <v>BLACK</v>
      </c>
      <c r="G5517" s="20" t="str">
        <f>IFERROR(__xludf.DUMMYFUNCTION("""COMPUTED_VALUE"""),"Uncle Sams Cider (5/13/2022)")</f>
        <v>Uncle Sams Cider (5/13/2022)</v>
      </c>
      <c r="H5517" s="19"/>
    </row>
    <row r="5518">
      <c r="A5518" s="9"/>
      <c r="B5518" s="15"/>
      <c r="C5518" s="9">
        <f>IFERROR(__xludf.DUMMYFUNCTION("""COMPUTED_VALUE"""),44739.0996645254)</f>
        <v>44739.09966</v>
      </c>
      <c r="D5518" s="15">
        <f>IFERROR(__xludf.DUMMYFUNCTION("""COMPUTED_VALUE"""),1.005)</f>
        <v>1.005</v>
      </c>
      <c r="E5518" s="16">
        <f>IFERROR(__xludf.DUMMYFUNCTION("""COMPUTED_VALUE"""),66.0)</f>
        <v>66</v>
      </c>
      <c r="F5518" s="19" t="str">
        <f>IFERROR(__xludf.DUMMYFUNCTION("""COMPUTED_VALUE"""),"BLACK")</f>
        <v>BLACK</v>
      </c>
      <c r="G5518" s="20" t="str">
        <f>IFERROR(__xludf.DUMMYFUNCTION("""COMPUTED_VALUE"""),"Uncle Sams Cider (5/13/2022)")</f>
        <v>Uncle Sams Cider (5/13/2022)</v>
      </c>
      <c r="H5518" s="19"/>
    </row>
    <row r="5519">
      <c r="A5519" s="9"/>
      <c r="B5519" s="15"/>
      <c r="C5519" s="9">
        <f>IFERROR(__xludf.DUMMYFUNCTION("""COMPUTED_VALUE"""),44739.0892444213)</f>
        <v>44739.08924</v>
      </c>
      <c r="D5519" s="15">
        <f>IFERROR(__xludf.DUMMYFUNCTION("""COMPUTED_VALUE"""),1.005)</f>
        <v>1.005</v>
      </c>
      <c r="E5519" s="16">
        <f>IFERROR(__xludf.DUMMYFUNCTION("""COMPUTED_VALUE"""),66.0)</f>
        <v>66</v>
      </c>
      <c r="F5519" s="19" t="str">
        <f>IFERROR(__xludf.DUMMYFUNCTION("""COMPUTED_VALUE"""),"BLACK")</f>
        <v>BLACK</v>
      </c>
      <c r="G5519" s="20" t="str">
        <f>IFERROR(__xludf.DUMMYFUNCTION("""COMPUTED_VALUE"""),"Uncle Sams Cider (5/13/2022)")</f>
        <v>Uncle Sams Cider (5/13/2022)</v>
      </c>
      <c r="H5519" s="19"/>
    </row>
    <row r="5520">
      <c r="A5520" s="9"/>
      <c r="B5520" s="15"/>
      <c r="C5520" s="9">
        <f>IFERROR(__xludf.DUMMYFUNCTION("""COMPUTED_VALUE"""),44739.0788113888)</f>
        <v>44739.07881</v>
      </c>
      <c r="D5520" s="15">
        <f>IFERROR(__xludf.DUMMYFUNCTION("""COMPUTED_VALUE"""),1.005)</f>
        <v>1.005</v>
      </c>
      <c r="E5520" s="16">
        <f>IFERROR(__xludf.DUMMYFUNCTION("""COMPUTED_VALUE"""),66.0)</f>
        <v>66</v>
      </c>
      <c r="F5520" s="19" t="str">
        <f>IFERROR(__xludf.DUMMYFUNCTION("""COMPUTED_VALUE"""),"BLACK")</f>
        <v>BLACK</v>
      </c>
      <c r="G5520" s="20" t="str">
        <f>IFERROR(__xludf.DUMMYFUNCTION("""COMPUTED_VALUE"""),"Uncle Sams Cider (5/13/2022)")</f>
        <v>Uncle Sams Cider (5/13/2022)</v>
      </c>
      <c r="H5520" s="19"/>
    </row>
    <row r="5521">
      <c r="A5521" s="9"/>
      <c r="B5521" s="15"/>
      <c r="C5521" s="9">
        <f>IFERROR(__xludf.DUMMYFUNCTION("""COMPUTED_VALUE"""),44739.0683921527)</f>
        <v>44739.06839</v>
      </c>
      <c r="D5521" s="15">
        <f>IFERROR(__xludf.DUMMYFUNCTION("""COMPUTED_VALUE"""),1.005)</f>
        <v>1.005</v>
      </c>
      <c r="E5521" s="16">
        <f>IFERROR(__xludf.DUMMYFUNCTION("""COMPUTED_VALUE"""),66.0)</f>
        <v>66</v>
      </c>
      <c r="F5521" s="19" t="str">
        <f>IFERROR(__xludf.DUMMYFUNCTION("""COMPUTED_VALUE"""),"BLACK")</f>
        <v>BLACK</v>
      </c>
      <c r="G5521" s="20" t="str">
        <f>IFERROR(__xludf.DUMMYFUNCTION("""COMPUTED_VALUE"""),"Uncle Sams Cider (5/13/2022)")</f>
        <v>Uncle Sams Cider (5/13/2022)</v>
      </c>
      <c r="H5521" s="19"/>
    </row>
    <row r="5522">
      <c r="A5522" s="9"/>
      <c r="B5522" s="15"/>
      <c r="C5522" s="9">
        <f>IFERROR(__xludf.DUMMYFUNCTION("""COMPUTED_VALUE"""),44739.0579703935)</f>
        <v>44739.05797</v>
      </c>
      <c r="D5522" s="15">
        <f>IFERROR(__xludf.DUMMYFUNCTION("""COMPUTED_VALUE"""),1.005)</f>
        <v>1.005</v>
      </c>
      <c r="E5522" s="16">
        <f>IFERROR(__xludf.DUMMYFUNCTION("""COMPUTED_VALUE"""),66.0)</f>
        <v>66</v>
      </c>
      <c r="F5522" s="19" t="str">
        <f>IFERROR(__xludf.DUMMYFUNCTION("""COMPUTED_VALUE"""),"BLACK")</f>
        <v>BLACK</v>
      </c>
      <c r="G5522" s="20" t="str">
        <f>IFERROR(__xludf.DUMMYFUNCTION("""COMPUTED_VALUE"""),"Uncle Sams Cider (5/13/2022)")</f>
        <v>Uncle Sams Cider (5/13/2022)</v>
      </c>
      <c r="H5522" s="19"/>
    </row>
    <row r="5523">
      <c r="A5523" s="9"/>
      <c r="B5523" s="15"/>
      <c r="C5523" s="9">
        <f>IFERROR(__xludf.DUMMYFUNCTION("""COMPUTED_VALUE"""),44739.0475501967)</f>
        <v>44739.04755</v>
      </c>
      <c r="D5523" s="15">
        <f>IFERROR(__xludf.DUMMYFUNCTION("""COMPUTED_VALUE"""),1.005)</f>
        <v>1.005</v>
      </c>
      <c r="E5523" s="16">
        <f>IFERROR(__xludf.DUMMYFUNCTION("""COMPUTED_VALUE"""),66.0)</f>
        <v>66</v>
      </c>
      <c r="F5523" s="19" t="str">
        <f>IFERROR(__xludf.DUMMYFUNCTION("""COMPUTED_VALUE"""),"BLACK")</f>
        <v>BLACK</v>
      </c>
      <c r="G5523" s="20" t="str">
        <f>IFERROR(__xludf.DUMMYFUNCTION("""COMPUTED_VALUE"""),"Uncle Sams Cider (5/13/2022)")</f>
        <v>Uncle Sams Cider (5/13/2022)</v>
      </c>
      <c r="H5523" s="19"/>
    </row>
    <row r="5524">
      <c r="A5524" s="9"/>
      <c r="B5524" s="15"/>
      <c r="C5524" s="9">
        <f>IFERROR(__xludf.DUMMYFUNCTION("""COMPUTED_VALUE"""),44739.0371172222)</f>
        <v>44739.03712</v>
      </c>
      <c r="D5524" s="15">
        <f>IFERROR(__xludf.DUMMYFUNCTION("""COMPUTED_VALUE"""),1.005)</f>
        <v>1.005</v>
      </c>
      <c r="E5524" s="16">
        <f>IFERROR(__xludf.DUMMYFUNCTION("""COMPUTED_VALUE"""),66.0)</f>
        <v>66</v>
      </c>
      <c r="F5524" s="19" t="str">
        <f>IFERROR(__xludf.DUMMYFUNCTION("""COMPUTED_VALUE"""),"BLACK")</f>
        <v>BLACK</v>
      </c>
      <c r="G5524" s="20" t="str">
        <f>IFERROR(__xludf.DUMMYFUNCTION("""COMPUTED_VALUE"""),"Uncle Sams Cider (5/13/2022)")</f>
        <v>Uncle Sams Cider (5/13/2022)</v>
      </c>
      <c r="H5524" s="19"/>
    </row>
    <row r="5525">
      <c r="A5525" s="9"/>
      <c r="B5525" s="15"/>
      <c r="C5525" s="9">
        <f>IFERROR(__xludf.DUMMYFUNCTION("""COMPUTED_VALUE"""),44739.0266955092)</f>
        <v>44739.0267</v>
      </c>
      <c r="D5525" s="15">
        <f>IFERROR(__xludf.DUMMYFUNCTION("""COMPUTED_VALUE"""),1.005)</f>
        <v>1.005</v>
      </c>
      <c r="E5525" s="16">
        <f>IFERROR(__xludf.DUMMYFUNCTION("""COMPUTED_VALUE"""),66.0)</f>
        <v>66</v>
      </c>
      <c r="F5525" s="19" t="str">
        <f>IFERROR(__xludf.DUMMYFUNCTION("""COMPUTED_VALUE"""),"BLACK")</f>
        <v>BLACK</v>
      </c>
      <c r="G5525" s="20" t="str">
        <f>IFERROR(__xludf.DUMMYFUNCTION("""COMPUTED_VALUE"""),"Uncle Sams Cider (5/13/2022)")</f>
        <v>Uncle Sams Cider (5/13/2022)</v>
      </c>
      <c r="H5525" s="19"/>
    </row>
    <row r="5526">
      <c r="A5526" s="9"/>
      <c r="B5526" s="15"/>
      <c r="C5526" s="9">
        <f>IFERROR(__xludf.DUMMYFUNCTION("""COMPUTED_VALUE"""),44739.0162744791)</f>
        <v>44739.01627</v>
      </c>
      <c r="D5526" s="15">
        <f>IFERROR(__xludf.DUMMYFUNCTION("""COMPUTED_VALUE"""),1.005)</f>
        <v>1.005</v>
      </c>
      <c r="E5526" s="16">
        <f>IFERROR(__xludf.DUMMYFUNCTION("""COMPUTED_VALUE"""),66.0)</f>
        <v>66</v>
      </c>
      <c r="F5526" s="19" t="str">
        <f>IFERROR(__xludf.DUMMYFUNCTION("""COMPUTED_VALUE"""),"BLACK")</f>
        <v>BLACK</v>
      </c>
      <c r="G5526" s="20" t="str">
        <f>IFERROR(__xludf.DUMMYFUNCTION("""COMPUTED_VALUE"""),"Uncle Sams Cider (5/13/2022)")</f>
        <v>Uncle Sams Cider (5/13/2022)</v>
      </c>
      <c r="H5526" s="19"/>
    </row>
    <row r="5527">
      <c r="A5527" s="9"/>
      <c r="B5527" s="15"/>
      <c r="C5527" s="9">
        <f>IFERROR(__xludf.DUMMYFUNCTION("""COMPUTED_VALUE"""),44739.005854618)</f>
        <v>44739.00585</v>
      </c>
      <c r="D5527" s="15">
        <f>IFERROR(__xludf.DUMMYFUNCTION("""COMPUTED_VALUE"""),1.005)</f>
        <v>1.005</v>
      </c>
      <c r="E5527" s="16">
        <f>IFERROR(__xludf.DUMMYFUNCTION("""COMPUTED_VALUE"""),66.0)</f>
        <v>66</v>
      </c>
      <c r="F5527" s="19" t="str">
        <f>IFERROR(__xludf.DUMMYFUNCTION("""COMPUTED_VALUE"""),"BLACK")</f>
        <v>BLACK</v>
      </c>
      <c r="G5527" s="20" t="str">
        <f>IFERROR(__xludf.DUMMYFUNCTION("""COMPUTED_VALUE"""),"Uncle Sams Cider (5/13/2022)")</f>
        <v>Uncle Sams Cider (5/13/2022)</v>
      </c>
      <c r="H5527" s="19"/>
    </row>
    <row r="5528">
      <c r="A5528" s="9"/>
      <c r="B5528" s="15"/>
      <c r="C5528" s="9">
        <f>IFERROR(__xludf.DUMMYFUNCTION("""COMPUTED_VALUE"""),44738.9954327893)</f>
        <v>44738.99543</v>
      </c>
      <c r="D5528" s="15">
        <f>IFERROR(__xludf.DUMMYFUNCTION("""COMPUTED_VALUE"""),1.005)</f>
        <v>1.005</v>
      </c>
      <c r="E5528" s="16">
        <f>IFERROR(__xludf.DUMMYFUNCTION("""COMPUTED_VALUE"""),66.0)</f>
        <v>66</v>
      </c>
      <c r="F5528" s="19" t="str">
        <f>IFERROR(__xludf.DUMMYFUNCTION("""COMPUTED_VALUE"""),"BLACK")</f>
        <v>BLACK</v>
      </c>
      <c r="G5528" s="20" t="str">
        <f>IFERROR(__xludf.DUMMYFUNCTION("""COMPUTED_VALUE"""),"Uncle Sams Cider (5/13/2022)")</f>
        <v>Uncle Sams Cider (5/13/2022)</v>
      </c>
      <c r="H5528" s="19"/>
    </row>
    <row r="5529">
      <c r="A5529" s="9"/>
      <c r="B5529" s="15"/>
      <c r="C5529" s="9">
        <f>IFERROR(__xludf.DUMMYFUNCTION("""COMPUTED_VALUE"""),44738.9850125347)</f>
        <v>44738.98501</v>
      </c>
      <c r="D5529" s="15">
        <f>IFERROR(__xludf.DUMMYFUNCTION("""COMPUTED_VALUE"""),1.004)</f>
        <v>1.004</v>
      </c>
      <c r="E5529" s="16">
        <f>IFERROR(__xludf.DUMMYFUNCTION("""COMPUTED_VALUE"""),66.0)</f>
        <v>66</v>
      </c>
      <c r="F5529" s="19" t="str">
        <f>IFERROR(__xludf.DUMMYFUNCTION("""COMPUTED_VALUE"""),"BLACK")</f>
        <v>BLACK</v>
      </c>
      <c r="G5529" s="20" t="str">
        <f>IFERROR(__xludf.DUMMYFUNCTION("""COMPUTED_VALUE"""),"Uncle Sams Cider (5/13/2022)")</f>
        <v>Uncle Sams Cider (5/13/2022)</v>
      </c>
      <c r="H5529" s="19"/>
    </row>
    <row r="5530">
      <c r="A5530" s="9"/>
      <c r="B5530" s="15"/>
      <c r="C5530" s="9">
        <f>IFERROR(__xludf.DUMMYFUNCTION("""COMPUTED_VALUE"""),44738.9745897337)</f>
        <v>44738.97459</v>
      </c>
      <c r="D5530" s="15">
        <f>IFERROR(__xludf.DUMMYFUNCTION("""COMPUTED_VALUE"""),1.005)</f>
        <v>1.005</v>
      </c>
      <c r="E5530" s="16">
        <f>IFERROR(__xludf.DUMMYFUNCTION("""COMPUTED_VALUE"""),66.0)</f>
        <v>66</v>
      </c>
      <c r="F5530" s="19" t="str">
        <f>IFERROR(__xludf.DUMMYFUNCTION("""COMPUTED_VALUE"""),"BLACK")</f>
        <v>BLACK</v>
      </c>
      <c r="G5530" s="20" t="str">
        <f>IFERROR(__xludf.DUMMYFUNCTION("""COMPUTED_VALUE"""),"Uncle Sams Cider (5/13/2022)")</f>
        <v>Uncle Sams Cider (5/13/2022)</v>
      </c>
      <c r="H5530" s="19"/>
    </row>
    <row r="5531">
      <c r="A5531" s="9"/>
      <c r="B5531" s="15"/>
      <c r="C5531" s="9">
        <f>IFERROR(__xludf.DUMMYFUNCTION("""COMPUTED_VALUE"""),44738.9641672685)</f>
        <v>44738.96417</v>
      </c>
      <c r="D5531" s="15">
        <f>IFERROR(__xludf.DUMMYFUNCTION("""COMPUTED_VALUE"""),1.005)</f>
        <v>1.005</v>
      </c>
      <c r="E5531" s="16">
        <f>IFERROR(__xludf.DUMMYFUNCTION("""COMPUTED_VALUE"""),66.0)</f>
        <v>66</v>
      </c>
      <c r="F5531" s="19" t="str">
        <f>IFERROR(__xludf.DUMMYFUNCTION("""COMPUTED_VALUE"""),"BLACK")</f>
        <v>BLACK</v>
      </c>
      <c r="G5531" s="20" t="str">
        <f>IFERROR(__xludf.DUMMYFUNCTION("""COMPUTED_VALUE"""),"Uncle Sams Cider (5/13/2022)")</f>
        <v>Uncle Sams Cider (5/13/2022)</v>
      </c>
      <c r="H5531" s="19"/>
    </row>
    <row r="5532">
      <c r="A5532" s="9"/>
      <c r="B5532" s="15"/>
      <c r="C5532" s="9">
        <f>IFERROR(__xludf.DUMMYFUNCTION("""COMPUTED_VALUE"""),44738.953746655)</f>
        <v>44738.95375</v>
      </c>
      <c r="D5532" s="15">
        <f>IFERROR(__xludf.DUMMYFUNCTION("""COMPUTED_VALUE"""),1.005)</f>
        <v>1.005</v>
      </c>
      <c r="E5532" s="16">
        <f>IFERROR(__xludf.DUMMYFUNCTION("""COMPUTED_VALUE"""),66.0)</f>
        <v>66</v>
      </c>
      <c r="F5532" s="19" t="str">
        <f>IFERROR(__xludf.DUMMYFUNCTION("""COMPUTED_VALUE"""),"BLACK")</f>
        <v>BLACK</v>
      </c>
      <c r="G5532" s="20" t="str">
        <f>IFERROR(__xludf.DUMMYFUNCTION("""COMPUTED_VALUE"""),"Uncle Sams Cider (5/13/2022)")</f>
        <v>Uncle Sams Cider (5/13/2022)</v>
      </c>
      <c r="H5532" s="19"/>
    </row>
    <row r="5533">
      <c r="A5533" s="9"/>
      <c r="B5533" s="15"/>
      <c r="C5533" s="9">
        <f>IFERROR(__xludf.DUMMYFUNCTION("""COMPUTED_VALUE"""),44738.9433135069)</f>
        <v>44738.94331</v>
      </c>
      <c r="D5533" s="15">
        <f>IFERROR(__xludf.DUMMYFUNCTION("""COMPUTED_VALUE"""),1.005)</f>
        <v>1.005</v>
      </c>
      <c r="E5533" s="16">
        <f>IFERROR(__xludf.DUMMYFUNCTION("""COMPUTED_VALUE"""),66.0)</f>
        <v>66</v>
      </c>
      <c r="F5533" s="19" t="str">
        <f>IFERROR(__xludf.DUMMYFUNCTION("""COMPUTED_VALUE"""),"BLACK")</f>
        <v>BLACK</v>
      </c>
      <c r="G5533" s="20" t="str">
        <f>IFERROR(__xludf.DUMMYFUNCTION("""COMPUTED_VALUE"""),"Uncle Sams Cider (5/13/2022)")</f>
        <v>Uncle Sams Cider (5/13/2022)</v>
      </c>
      <c r="H5533" s="19"/>
    </row>
    <row r="5534">
      <c r="A5534" s="9"/>
      <c r="B5534" s="15"/>
      <c r="C5534" s="9">
        <f>IFERROR(__xludf.DUMMYFUNCTION("""COMPUTED_VALUE"""),44738.9328917592)</f>
        <v>44738.93289</v>
      </c>
      <c r="D5534" s="15">
        <f>IFERROR(__xludf.DUMMYFUNCTION("""COMPUTED_VALUE"""),1.005)</f>
        <v>1.005</v>
      </c>
      <c r="E5534" s="16">
        <f>IFERROR(__xludf.DUMMYFUNCTION("""COMPUTED_VALUE"""),66.0)</f>
        <v>66</v>
      </c>
      <c r="F5534" s="19" t="str">
        <f>IFERROR(__xludf.DUMMYFUNCTION("""COMPUTED_VALUE"""),"BLACK")</f>
        <v>BLACK</v>
      </c>
      <c r="G5534" s="20" t="str">
        <f>IFERROR(__xludf.DUMMYFUNCTION("""COMPUTED_VALUE"""),"Uncle Sams Cider (5/13/2022)")</f>
        <v>Uncle Sams Cider (5/13/2022)</v>
      </c>
      <c r="H5534" s="19"/>
    </row>
    <row r="5535">
      <c r="A5535" s="9"/>
      <c r="B5535" s="15"/>
      <c r="C5535" s="9">
        <f>IFERROR(__xludf.DUMMYFUNCTION("""COMPUTED_VALUE"""),44738.9224706713)</f>
        <v>44738.92247</v>
      </c>
      <c r="D5535" s="15">
        <f>IFERROR(__xludf.DUMMYFUNCTION("""COMPUTED_VALUE"""),1.005)</f>
        <v>1.005</v>
      </c>
      <c r="E5535" s="16">
        <f>IFERROR(__xludf.DUMMYFUNCTION("""COMPUTED_VALUE"""),66.0)</f>
        <v>66</v>
      </c>
      <c r="F5535" s="19" t="str">
        <f>IFERROR(__xludf.DUMMYFUNCTION("""COMPUTED_VALUE"""),"BLACK")</f>
        <v>BLACK</v>
      </c>
      <c r="G5535" s="20" t="str">
        <f>IFERROR(__xludf.DUMMYFUNCTION("""COMPUTED_VALUE"""),"Uncle Sams Cider (5/13/2022)")</f>
        <v>Uncle Sams Cider (5/13/2022)</v>
      </c>
      <c r="H5535" s="19"/>
    </row>
    <row r="5536">
      <c r="A5536" s="9"/>
      <c r="B5536" s="15"/>
      <c r="C5536" s="9">
        <f>IFERROR(__xludf.DUMMYFUNCTION("""COMPUTED_VALUE"""),44738.9120479051)</f>
        <v>44738.91205</v>
      </c>
      <c r="D5536" s="15">
        <f>IFERROR(__xludf.DUMMYFUNCTION("""COMPUTED_VALUE"""),1.005)</f>
        <v>1.005</v>
      </c>
      <c r="E5536" s="16">
        <f>IFERROR(__xludf.DUMMYFUNCTION("""COMPUTED_VALUE"""),66.0)</f>
        <v>66</v>
      </c>
      <c r="F5536" s="19" t="str">
        <f>IFERROR(__xludf.DUMMYFUNCTION("""COMPUTED_VALUE"""),"BLACK")</f>
        <v>BLACK</v>
      </c>
      <c r="G5536" s="20" t="str">
        <f>IFERROR(__xludf.DUMMYFUNCTION("""COMPUTED_VALUE"""),"Uncle Sams Cider (5/13/2022)")</f>
        <v>Uncle Sams Cider (5/13/2022)</v>
      </c>
      <c r="H5536" s="19"/>
    </row>
    <row r="5537">
      <c r="A5537" s="9"/>
      <c r="B5537" s="15"/>
      <c r="C5537" s="9">
        <f>IFERROR(__xludf.DUMMYFUNCTION("""COMPUTED_VALUE"""),44738.9016272916)</f>
        <v>44738.90163</v>
      </c>
      <c r="D5537" s="15">
        <f>IFERROR(__xludf.DUMMYFUNCTION("""COMPUTED_VALUE"""),1.005)</f>
        <v>1.005</v>
      </c>
      <c r="E5537" s="16">
        <f>IFERROR(__xludf.DUMMYFUNCTION("""COMPUTED_VALUE"""),66.0)</f>
        <v>66</v>
      </c>
      <c r="F5537" s="19" t="str">
        <f>IFERROR(__xludf.DUMMYFUNCTION("""COMPUTED_VALUE"""),"BLACK")</f>
        <v>BLACK</v>
      </c>
      <c r="G5537" s="20" t="str">
        <f>IFERROR(__xludf.DUMMYFUNCTION("""COMPUTED_VALUE"""),"Uncle Sams Cider (5/13/2022)")</f>
        <v>Uncle Sams Cider (5/13/2022)</v>
      </c>
      <c r="H5537" s="19"/>
    </row>
    <row r="5538">
      <c r="A5538" s="9"/>
      <c r="B5538" s="15"/>
      <c r="C5538" s="9">
        <f>IFERROR(__xludf.DUMMYFUNCTION("""COMPUTED_VALUE"""),44738.8912053819)</f>
        <v>44738.89121</v>
      </c>
      <c r="D5538" s="15">
        <f>IFERROR(__xludf.DUMMYFUNCTION("""COMPUTED_VALUE"""),1.005)</f>
        <v>1.005</v>
      </c>
      <c r="E5538" s="16">
        <f>IFERROR(__xludf.DUMMYFUNCTION("""COMPUTED_VALUE"""),66.0)</f>
        <v>66</v>
      </c>
      <c r="F5538" s="19" t="str">
        <f>IFERROR(__xludf.DUMMYFUNCTION("""COMPUTED_VALUE"""),"BLACK")</f>
        <v>BLACK</v>
      </c>
      <c r="G5538" s="20" t="str">
        <f>IFERROR(__xludf.DUMMYFUNCTION("""COMPUTED_VALUE"""),"Uncle Sams Cider (5/13/2022)")</f>
        <v>Uncle Sams Cider (5/13/2022)</v>
      </c>
      <c r="H5538" s="19"/>
    </row>
    <row r="5539">
      <c r="A5539" s="9"/>
      <c r="B5539" s="15"/>
      <c r="C5539" s="9">
        <f>IFERROR(__xludf.DUMMYFUNCTION("""COMPUTED_VALUE"""),44738.8807865162)</f>
        <v>44738.88079</v>
      </c>
      <c r="D5539" s="15">
        <f>IFERROR(__xludf.DUMMYFUNCTION("""COMPUTED_VALUE"""),1.005)</f>
        <v>1.005</v>
      </c>
      <c r="E5539" s="16">
        <f>IFERROR(__xludf.DUMMYFUNCTION("""COMPUTED_VALUE"""),66.0)</f>
        <v>66</v>
      </c>
      <c r="F5539" s="19" t="str">
        <f>IFERROR(__xludf.DUMMYFUNCTION("""COMPUTED_VALUE"""),"BLACK")</f>
        <v>BLACK</v>
      </c>
      <c r="G5539" s="20" t="str">
        <f>IFERROR(__xludf.DUMMYFUNCTION("""COMPUTED_VALUE"""),"Uncle Sams Cider (5/13/2022)")</f>
        <v>Uncle Sams Cider (5/13/2022)</v>
      </c>
      <c r="H5539" s="19"/>
    </row>
    <row r="5540">
      <c r="A5540" s="9"/>
      <c r="B5540" s="15"/>
      <c r="C5540" s="9">
        <f>IFERROR(__xludf.DUMMYFUNCTION("""COMPUTED_VALUE"""),44738.8703658449)</f>
        <v>44738.87037</v>
      </c>
      <c r="D5540" s="15">
        <f>IFERROR(__xludf.DUMMYFUNCTION("""COMPUTED_VALUE"""),1.005)</f>
        <v>1.005</v>
      </c>
      <c r="E5540" s="16">
        <f>IFERROR(__xludf.DUMMYFUNCTION("""COMPUTED_VALUE"""),66.0)</f>
        <v>66</v>
      </c>
      <c r="F5540" s="19" t="str">
        <f>IFERROR(__xludf.DUMMYFUNCTION("""COMPUTED_VALUE"""),"BLACK")</f>
        <v>BLACK</v>
      </c>
      <c r="G5540" s="20" t="str">
        <f>IFERROR(__xludf.DUMMYFUNCTION("""COMPUTED_VALUE"""),"Uncle Sams Cider (5/13/2022)")</f>
        <v>Uncle Sams Cider (5/13/2022)</v>
      </c>
      <c r="H5540" s="19"/>
    </row>
    <row r="5541">
      <c r="A5541" s="9"/>
      <c r="B5541" s="15"/>
      <c r="C5541" s="9">
        <f>IFERROR(__xludf.DUMMYFUNCTION("""COMPUTED_VALUE"""),44738.8599433564)</f>
        <v>44738.85994</v>
      </c>
      <c r="D5541" s="15">
        <f>IFERROR(__xludf.DUMMYFUNCTION("""COMPUTED_VALUE"""),1.005)</f>
        <v>1.005</v>
      </c>
      <c r="E5541" s="16">
        <f>IFERROR(__xludf.DUMMYFUNCTION("""COMPUTED_VALUE"""),66.0)</f>
        <v>66</v>
      </c>
      <c r="F5541" s="19" t="str">
        <f>IFERROR(__xludf.DUMMYFUNCTION("""COMPUTED_VALUE"""),"BLACK")</f>
        <v>BLACK</v>
      </c>
      <c r="G5541" s="20" t="str">
        <f>IFERROR(__xludf.DUMMYFUNCTION("""COMPUTED_VALUE"""),"Uncle Sams Cider (5/13/2022)")</f>
        <v>Uncle Sams Cider (5/13/2022)</v>
      </c>
      <c r="H5541" s="19"/>
    </row>
    <row r="5542">
      <c r="A5542" s="9"/>
      <c r="B5542" s="15"/>
      <c r="C5542" s="9">
        <f>IFERROR(__xludf.DUMMYFUNCTION("""COMPUTED_VALUE"""),44738.8495214814)</f>
        <v>44738.84952</v>
      </c>
      <c r="D5542" s="15">
        <f>IFERROR(__xludf.DUMMYFUNCTION("""COMPUTED_VALUE"""),1.005)</f>
        <v>1.005</v>
      </c>
      <c r="E5542" s="16">
        <f>IFERROR(__xludf.DUMMYFUNCTION("""COMPUTED_VALUE"""),66.0)</f>
        <v>66</v>
      </c>
      <c r="F5542" s="19" t="str">
        <f>IFERROR(__xludf.DUMMYFUNCTION("""COMPUTED_VALUE"""),"BLACK")</f>
        <v>BLACK</v>
      </c>
      <c r="G5542" s="20" t="str">
        <f>IFERROR(__xludf.DUMMYFUNCTION("""COMPUTED_VALUE"""),"Uncle Sams Cider (5/13/2022)")</f>
        <v>Uncle Sams Cider (5/13/2022)</v>
      </c>
      <c r="H5542" s="19"/>
    </row>
    <row r="5543">
      <c r="A5543" s="9"/>
      <c r="B5543" s="15"/>
      <c r="C5543" s="9">
        <f>IFERROR(__xludf.DUMMYFUNCTION("""COMPUTED_VALUE"""),44738.8391004282)</f>
        <v>44738.8391</v>
      </c>
      <c r="D5543" s="15">
        <f>IFERROR(__xludf.DUMMYFUNCTION("""COMPUTED_VALUE"""),1.005)</f>
        <v>1.005</v>
      </c>
      <c r="E5543" s="16">
        <f>IFERROR(__xludf.DUMMYFUNCTION("""COMPUTED_VALUE"""),66.0)</f>
        <v>66</v>
      </c>
      <c r="F5543" s="19" t="str">
        <f>IFERROR(__xludf.DUMMYFUNCTION("""COMPUTED_VALUE"""),"BLACK")</f>
        <v>BLACK</v>
      </c>
      <c r="G5543" s="20" t="str">
        <f>IFERROR(__xludf.DUMMYFUNCTION("""COMPUTED_VALUE"""),"Uncle Sams Cider (5/13/2022)")</f>
        <v>Uncle Sams Cider (5/13/2022)</v>
      </c>
      <c r="H5543" s="19"/>
    </row>
    <row r="5544">
      <c r="A5544" s="9"/>
      <c r="B5544" s="15"/>
      <c r="C5544" s="9">
        <f>IFERROR(__xludf.DUMMYFUNCTION("""COMPUTED_VALUE"""),44738.8286802546)</f>
        <v>44738.82868</v>
      </c>
      <c r="D5544" s="15">
        <f>IFERROR(__xludf.DUMMYFUNCTION("""COMPUTED_VALUE"""),1.005)</f>
        <v>1.005</v>
      </c>
      <c r="E5544" s="16">
        <f>IFERROR(__xludf.DUMMYFUNCTION("""COMPUTED_VALUE"""),66.0)</f>
        <v>66</v>
      </c>
      <c r="F5544" s="19" t="str">
        <f>IFERROR(__xludf.DUMMYFUNCTION("""COMPUTED_VALUE"""),"BLACK")</f>
        <v>BLACK</v>
      </c>
      <c r="G5544" s="20" t="str">
        <f>IFERROR(__xludf.DUMMYFUNCTION("""COMPUTED_VALUE"""),"Uncle Sams Cider (5/13/2022)")</f>
        <v>Uncle Sams Cider (5/13/2022)</v>
      </c>
      <c r="H5544" s="19"/>
    </row>
    <row r="5545">
      <c r="A5545" s="9"/>
      <c r="B5545" s="15"/>
      <c r="C5545" s="9">
        <f>IFERROR(__xludf.DUMMYFUNCTION("""COMPUTED_VALUE"""),44738.8182592014)</f>
        <v>44738.81826</v>
      </c>
      <c r="D5545" s="15">
        <f>IFERROR(__xludf.DUMMYFUNCTION("""COMPUTED_VALUE"""),1.005)</f>
        <v>1.005</v>
      </c>
      <c r="E5545" s="16">
        <f>IFERROR(__xludf.DUMMYFUNCTION("""COMPUTED_VALUE"""),66.0)</f>
        <v>66</v>
      </c>
      <c r="F5545" s="19" t="str">
        <f>IFERROR(__xludf.DUMMYFUNCTION("""COMPUTED_VALUE"""),"BLACK")</f>
        <v>BLACK</v>
      </c>
      <c r="G5545" s="20" t="str">
        <f>IFERROR(__xludf.DUMMYFUNCTION("""COMPUTED_VALUE"""),"Uncle Sams Cider (5/13/2022)")</f>
        <v>Uncle Sams Cider (5/13/2022)</v>
      </c>
      <c r="H5545" s="19"/>
    </row>
    <row r="5546">
      <c r="A5546" s="9"/>
      <c r="B5546" s="15"/>
      <c r="C5546" s="9">
        <f>IFERROR(__xludf.DUMMYFUNCTION("""COMPUTED_VALUE"""),44738.8078375231)</f>
        <v>44738.80784</v>
      </c>
      <c r="D5546" s="15">
        <f>IFERROR(__xludf.DUMMYFUNCTION("""COMPUTED_VALUE"""),1.005)</f>
        <v>1.005</v>
      </c>
      <c r="E5546" s="16">
        <f>IFERROR(__xludf.DUMMYFUNCTION("""COMPUTED_VALUE"""),66.0)</f>
        <v>66</v>
      </c>
      <c r="F5546" s="19" t="str">
        <f>IFERROR(__xludf.DUMMYFUNCTION("""COMPUTED_VALUE"""),"BLACK")</f>
        <v>BLACK</v>
      </c>
      <c r="G5546" s="20" t="str">
        <f>IFERROR(__xludf.DUMMYFUNCTION("""COMPUTED_VALUE"""),"Uncle Sams Cider (5/13/2022)")</f>
        <v>Uncle Sams Cider (5/13/2022)</v>
      </c>
      <c r="H5546" s="19"/>
    </row>
    <row r="5547">
      <c r="A5547" s="9"/>
      <c r="B5547" s="15"/>
      <c r="C5547" s="9">
        <f>IFERROR(__xludf.DUMMYFUNCTION("""COMPUTED_VALUE"""),44738.7974163541)</f>
        <v>44738.79742</v>
      </c>
      <c r="D5547" s="15">
        <f>IFERROR(__xludf.DUMMYFUNCTION("""COMPUTED_VALUE"""),1.005)</f>
        <v>1.005</v>
      </c>
      <c r="E5547" s="16">
        <f>IFERROR(__xludf.DUMMYFUNCTION("""COMPUTED_VALUE"""),66.0)</f>
        <v>66</v>
      </c>
      <c r="F5547" s="19" t="str">
        <f>IFERROR(__xludf.DUMMYFUNCTION("""COMPUTED_VALUE"""),"BLACK")</f>
        <v>BLACK</v>
      </c>
      <c r="G5547" s="20" t="str">
        <f>IFERROR(__xludf.DUMMYFUNCTION("""COMPUTED_VALUE"""),"Uncle Sams Cider (5/13/2022)")</f>
        <v>Uncle Sams Cider (5/13/2022)</v>
      </c>
      <c r="H5547" s="19"/>
    </row>
    <row r="5548">
      <c r="A5548" s="9"/>
      <c r="B5548" s="15"/>
      <c r="C5548" s="9">
        <f>IFERROR(__xludf.DUMMYFUNCTION("""COMPUTED_VALUE"""),44738.7869835416)</f>
        <v>44738.78698</v>
      </c>
      <c r="D5548" s="15">
        <f>IFERROR(__xludf.DUMMYFUNCTION("""COMPUTED_VALUE"""),1.005)</f>
        <v>1.005</v>
      </c>
      <c r="E5548" s="16">
        <f>IFERROR(__xludf.DUMMYFUNCTION("""COMPUTED_VALUE"""),66.0)</f>
        <v>66</v>
      </c>
      <c r="F5548" s="19" t="str">
        <f>IFERROR(__xludf.DUMMYFUNCTION("""COMPUTED_VALUE"""),"BLACK")</f>
        <v>BLACK</v>
      </c>
      <c r="G5548" s="20" t="str">
        <f>IFERROR(__xludf.DUMMYFUNCTION("""COMPUTED_VALUE"""),"Uncle Sams Cider (5/13/2022)")</f>
        <v>Uncle Sams Cider (5/13/2022)</v>
      </c>
      <c r="H5548" s="19"/>
    </row>
    <row r="5549">
      <c r="A5549" s="9"/>
      <c r="B5549" s="15"/>
      <c r="C5549" s="9">
        <f>IFERROR(__xludf.DUMMYFUNCTION("""COMPUTED_VALUE"""),44738.7765632523)</f>
        <v>44738.77656</v>
      </c>
      <c r="D5549" s="15">
        <f>IFERROR(__xludf.DUMMYFUNCTION("""COMPUTED_VALUE"""),1.005)</f>
        <v>1.005</v>
      </c>
      <c r="E5549" s="16">
        <f>IFERROR(__xludf.DUMMYFUNCTION("""COMPUTED_VALUE"""),66.0)</f>
        <v>66</v>
      </c>
      <c r="F5549" s="19" t="str">
        <f>IFERROR(__xludf.DUMMYFUNCTION("""COMPUTED_VALUE"""),"BLACK")</f>
        <v>BLACK</v>
      </c>
      <c r="G5549" s="20" t="str">
        <f>IFERROR(__xludf.DUMMYFUNCTION("""COMPUTED_VALUE"""),"Uncle Sams Cider (5/13/2022)")</f>
        <v>Uncle Sams Cider (5/13/2022)</v>
      </c>
      <c r="H5549" s="19"/>
    </row>
    <row r="5550">
      <c r="A5550" s="9"/>
      <c r="B5550" s="15"/>
      <c r="C5550" s="9">
        <f>IFERROR(__xludf.DUMMYFUNCTION("""COMPUTED_VALUE"""),44738.7661281713)</f>
        <v>44738.76613</v>
      </c>
      <c r="D5550" s="15">
        <f>IFERROR(__xludf.DUMMYFUNCTION("""COMPUTED_VALUE"""),1.005)</f>
        <v>1.005</v>
      </c>
      <c r="E5550" s="16">
        <f>IFERROR(__xludf.DUMMYFUNCTION("""COMPUTED_VALUE"""),66.0)</f>
        <v>66</v>
      </c>
      <c r="F5550" s="19" t="str">
        <f>IFERROR(__xludf.DUMMYFUNCTION("""COMPUTED_VALUE"""),"BLACK")</f>
        <v>BLACK</v>
      </c>
      <c r="G5550" s="20" t="str">
        <f>IFERROR(__xludf.DUMMYFUNCTION("""COMPUTED_VALUE"""),"Uncle Sams Cider (5/13/2022)")</f>
        <v>Uncle Sams Cider (5/13/2022)</v>
      </c>
      <c r="H5550" s="19"/>
    </row>
    <row r="5551">
      <c r="A5551" s="9"/>
      <c r="B5551" s="15"/>
      <c r="C5551" s="9">
        <f>IFERROR(__xludf.DUMMYFUNCTION("""COMPUTED_VALUE"""),44738.7557084606)</f>
        <v>44738.75571</v>
      </c>
      <c r="D5551" s="15">
        <f>IFERROR(__xludf.DUMMYFUNCTION("""COMPUTED_VALUE"""),1.005)</f>
        <v>1.005</v>
      </c>
      <c r="E5551" s="16">
        <f>IFERROR(__xludf.DUMMYFUNCTION("""COMPUTED_VALUE"""),66.0)</f>
        <v>66</v>
      </c>
      <c r="F5551" s="19" t="str">
        <f>IFERROR(__xludf.DUMMYFUNCTION("""COMPUTED_VALUE"""),"BLACK")</f>
        <v>BLACK</v>
      </c>
      <c r="G5551" s="20" t="str">
        <f>IFERROR(__xludf.DUMMYFUNCTION("""COMPUTED_VALUE"""),"Uncle Sams Cider (5/13/2022)")</f>
        <v>Uncle Sams Cider (5/13/2022)</v>
      </c>
      <c r="H5551" s="19"/>
    </row>
    <row r="5552">
      <c r="A5552" s="9"/>
      <c r="B5552" s="15"/>
      <c r="C5552" s="9">
        <f>IFERROR(__xludf.DUMMYFUNCTION("""COMPUTED_VALUE"""),44738.7452755555)</f>
        <v>44738.74528</v>
      </c>
      <c r="D5552" s="15">
        <f>IFERROR(__xludf.DUMMYFUNCTION("""COMPUTED_VALUE"""),1.005)</f>
        <v>1.005</v>
      </c>
      <c r="E5552" s="16">
        <f>IFERROR(__xludf.DUMMYFUNCTION("""COMPUTED_VALUE"""),66.0)</f>
        <v>66</v>
      </c>
      <c r="F5552" s="19" t="str">
        <f>IFERROR(__xludf.DUMMYFUNCTION("""COMPUTED_VALUE"""),"BLACK")</f>
        <v>BLACK</v>
      </c>
      <c r="G5552" s="20" t="str">
        <f>IFERROR(__xludf.DUMMYFUNCTION("""COMPUTED_VALUE"""),"Uncle Sams Cider (5/13/2022)")</f>
        <v>Uncle Sams Cider (5/13/2022)</v>
      </c>
      <c r="H5552" s="19"/>
    </row>
    <row r="5553">
      <c r="A5553" s="9"/>
      <c r="B5553" s="15"/>
      <c r="C5553" s="9">
        <f>IFERROR(__xludf.DUMMYFUNCTION("""COMPUTED_VALUE"""),44738.7348541088)</f>
        <v>44738.73485</v>
      </c>
      <c r="D5553" s="15">
        <f>IFERROR(__xludf.DUMMYFUNCTION("""COMPUTED_VALUE"""),1.005)</f>
        <v>1.005</v>
      </c>
      <c r="E5553" s="16">
        <f>IFERROR(__xludf.DUMMYFUNCTION("""COMPUTED_VALUE"""),66.0)</f>
        <v>66</v>
      </c>
      <c r="F5553" s="19" t="str">
        <f>IFERROR(__xludf.DUMMYFUNCTION("""COMPUTED_VALUE"""),"BLACK")</f>
        <v>BLACK</v>
      </c>
      <c r="G5553" s="20" t="str">
        <f>IFERROR(__xludf.DUMMYFUNCTION("""COMPUTED_VALUE"""),"Uncle Sams Cider (5/13/2022)")</f>
        <v>Uncle Sams Cider (5/13/2022)</v>
      </c>
      <c r="H5553" s="19"/>
    </row>
    <row r="5554">
      <c r="A5554" s="9"/>
      <c r="B5554" s="15"/>
      <c r="C5554" s="9">
        <f>IFERROR(__xludf.DUMMYFUNCTION("""COMPUTED_VALUE"""),44738.7244214467)</f>
        <v>44738.72442</v>
      </c>
      <c r="D5554" s="15">
        <f>IFERROR(__xludf.DUMMYFUNCTION("""COMPUTED_VALUE"""),1.005)</f>
        <v>1.005</v>
      </c>
      <c r="E5554" s="16">
        <f>IFERROR(__xludf.DUMMYFUNCTION("""COMPUTED_VALUE"""),67.0)</f>
        <v>67</v>
      </c>
      <c r="F5554" s="19" t="str">
        <f>IFERROR(__xludf.DUMMYFUNCTION("""COMPUTED_VALUE"""),"BLACK")</f>
        <v>BLACK</v>
      </c>
      <c r="G5554" s="20" t="str">
        <f>IFERROR(__xludf.DUMMYFUNCTION("""COMPUTED_VALUE"""),"Uncle Sams Cider (5/13/2022)")</f>
        <v>Uncle Sams Cider (5/13/2022)</v>
      </c>
      <c r="H5554" s="19"/>
    </row>
    <row r="5555">
      <c r="A5555" s="9"/>
      <c r="B5555" s="15"/>
      <c r="C5555" s="9">
        <f>IFERROR(__xludf.DUMMYFUNCTION("""COMPUTED_VALUE"""),44738.7140019907)</f>
        <v>44738.714</v>
      </c>
      <c r="D5555" s="15">
        <f>IFERROR(__xludf.DUMMYFUNCTION("""COMPUTED_VALUE"""),1.005)</f>
        <v>1.005</v>
      </c>
      <c r="E5555" s="16">
        <f>IFERROR(__xludf.DUMMYFUNCTION("""COMPUTED_VALUE"""),68.0)</f>
        <v>68</v>
      </c>
      <c r="F5555" s="19" t="str">
        <f>IFERROR(__xludf.DUMMYFUNCTION("""COMPUTED_VALUE"""),"BLACK")</f>
        <v>BLACK</v>
      </c>
      <c r="G5555" s="20" t="str">
        <f>IFERROR(__xludf.DUMMYFUNCTION("""COMPUTED_VALUE"""),"Uncle Sams Cider (5/13/2022)")</f>
        <v>Uncle Sams Cider (5/13/2022)</v>
      </c>
      <c r="H5555" s="19"/>
    </row>
    <row r="5556">
      <c r="A5556" s="9"/>
      <c r="B5556" s="15"/>
      <c r="C5556" s="9">
        <f>IFERROR(__xludf.DUMMYFUNCTION("""COMPUTED_VALUE"""),44738.7035707754)</f>
        <v>44738.70357</v>
      </c>
      <c r="D5556" s="15">
        <f>IFERROR(__xludf.DUMMYFUNCTION("""COMPUTED_VALUE"""),1.004)</f>
        <v>1.004</v>
      </c>
      <c r="E5556" s="16">
        <f>IFERROR(__xludf.DUMMYFUNCTION("""COMPUTED_VALUE"""),69.0)</f>
        <v>69</v>
      </c>
      <c r="F5556" s="19" t="str">
        <f>IFERROR(__xludf.DUMMYFUNCTION("""COMPUTED_VALUE"""),"BLACK")</f>
        <v>BLACK</v>
      </c>
      <c r="G5556" s="20" t="str">
        <f>IFERROR(__xludf.DUMMYFUNCTION("""COMPUTED_VALUE"""),"Uncle Sams Cider (5/13/2022)")</f>
        <v>Uncle Sams Cider (5/13/2022)</v>
      </c>
      <c r="H5556" s="19"/>
    </row>
    <row r="5557">
      <c r="A5557" s="9"/>
      <c r="B5557" s="15"/>
      <c r="C5557" s="9">
        <f>IFERROR(__xludf.DUMMYFUNCTION("""COMPUTED_VALUE"""),44738.6931492708)</f>
        <v>44738.69315</v>
      </c>
      <c r="D5557" s="15">
        <f>IFERROR(__xludf.DUMMYFUNCTION("""COMPUTED_VALUE"""),1.004)</f>
        <v>1.004</v>
      </c>
      <c r="E5557" s="16">
        <f>IFERROR(__xludf.DUMMYFUNCTION("""COMPUTED_VALUE"""),69.0)</f>
        <v>69</v>
      </c>
      <c r="F5557" s="19" t="str">
        <f>IFERROR(__xludf.DUMMYFUNCTION("""COMPUTED_VALUE"""),"BLACK")</f>
        <v>BLACK</v>
      </c>
      <c r="G5557" s="20" t="str">
        <f>IFERROR(__xludf.DUMMYFUNCTION("""COMPUTED_VALUE"""),"Uncle Sams Cider (5/13/2022)")</f>
        <v>Uncle Sams Cider (5/13/2022)</v>
      </c>
      <c r="H5557" s="19"/>
    </row>
    <row r="5558">
      <c r="A5558" s="9"/>
      <c r="B5558" s="15"/>
      <c r="C5558" s="9">
        <f>IFERROR(__xludf.DUMMYFUNCTION("""COMPUTED_VALUE"""),44738.6827282291)</f>
        <v>44738.68273</v>
      </c>
      <c r="D5558" s="15">
        <f>IFERROR(__xludf.DUMMYFUNCTION("""COMPUTED_VALUE"""),1.004)</f>
        <v>1.004</v>
      </c>
      <c r="E5558" s="16">
        <f>IFERROR(__xludf.DUMMYFUNCTION("""COMPUTED_VALUE"""),70.0)</f>
        <v>70</v>
      </c>
      <c r="F5558" s="19" t="str">
        <f>IFERROR(__xludf.DUMMYFUNCTION("""COMPUTED_VALUE"""),"BLACK")</f>
        <v>BLACK</v>
      </c>
      <c r="G5558" s="20" t="str">
        <f>IFERROR(__xludf.DUMMYFUNCTION("""COMPUTED_VALUE"""),"Uncle Sams Cider (5/13/2022)")</f>
        <v>Uncle Sams Cider (5/13/2022)</v>
      </c>
      <c r="H5558" s="19"/>
    </row>
    <row r="5559">
      <c r="A5559" s="9"/>
      <c r="B5559" s="15"/>
      <c r="C5559" s="9">
        <f>IFERROR(__xludf.DUMMYFUNCTION("""COMPUTED_VALUE"""),44738.6723068981)</f>
        <v>44738.67231</v>
      </c>
      <c r="D5559" s="15">
        <f>IFERROR(__xludf.DUMMYFUNCTION("""COMPUTED_VALUE"""),1.005)</f>
        <v>1.005</v>
      </c>
      <c r="E5559" s="16">
        <f>IFERROR(__xludf.DUMMYFUNCTION("""COMPUTED_VALUE"""),70.0)</f>
        <v>70</v>
      </c>
      <c r="F5559" s="19" t="str">
        <f>IFERROR(__xludf.DUMMYFUNCTION("""COMPUTED_VALUE"""),"BLACK")</f>
        <v>BLACK</v>
      </c>
      <c r="G5559" s="20" t="str">
        <f>IFERROR(__xludf.DUMMYFUNCTION("""COMPUTED_VALUE"""),"Uncle Sams Cider (5/13/2022)")</f>
        <v>Uncle Sams Cider (5/13/2022)</v>
      </c>
      <c r="H5559" s="19"/>
    </row>
    <row r="5560">
      <c r="A5560" s="9"/>
      <c r="B5560" s="15"/>
      <c r="C5560" s="9">
        <f>IFERROR(__xludf.DUMMYFUNCTION("""COMPUTED_VALUE"""),44738.6618860185)</f>
        <v>44738.66189</v>
      </c>
      <c r="D5560" s="15">
        <f>IFERROR(__xludf.DUMMYFUNCTION("""COMPUTED_VALUE"""),1.005)</f>
        <v>1.005</v>
      </c>
      <c r="E5560" s="16">
        <f>IFERROR(__xludf.DUMMYFUNCTION("""COMPUTED_VALUE"""),70.0)</f>
        <v>70</v>
      </c>
      <c r="F5560" s="19" t="str">
        <f>IFERROR(__xludf.DUMMYFUNCTION("""COMPUTED_VALUE"""),"BLACK")</f>
        <v>BLACK</v>
      </c>
      <c r="G5560" s="20" t="str">
        <f>IFERROR(__xludf.DUMMYFUNCTION("""COMPUTED_VALUE"""),"Uncle Sams Cider (5/13/2022)")</f>
        <v>Uncle Sams Cider (5/13/2022)</v>
      </c>
      <c r="H5560" s="19"/>
    </row>
    <row r="5561">
      <c r="A5561" s="9"/>
      <c r="B5561" s="15"/>
      <c r="C5561" s="9">
        <f>IFERROR(__xludf.DUMMYFUNCTION("""COMPUTED_VALUE"""),44738.6514637037)</f>
        <v>44738.65146</v>
      </c>
      <c r="D5561" s="15">
        <f>IFERROR(__xludf.DUMMYFUNCTION("""COMPUTED_VALUE"""),1.005)</f>
        <v>1.005</v>
      </c>
      <c r="E5561" s="16">
        <f>IFERROR(__xludf.DUMMYFUNCTION("""COMPUTED_VALUE"""),70.0)</f>
        <v>70</v>
      </c>
      <c r="F5561" s="19" t="str">
        <f>IFERROR(__xludf.DUMMYFUNCTION("""COMPUTED_VALUE"""),"BLACK")</f>
        <v>BLACK</v>
      </c>
      <c r="G5561" s="20" t="str">
        <f>IFERROR(__xludf.DUMMYFUNCTION("""COMPUTED_VALUE"""),"Uncle Sams Cider (5/13/2022)")</f>
        <v>Uncle Sams Cider (5/13/2022)</v>
      </c>
      <c r="H5561" s="19"/>
    </row>
    <row r="5562">
      <c r="A5562" s="9"/>
      <c r="B5562" s="15"/>
      <c r="C5562" s="9">
        <f>IFERROR(__xludf.DUMMYFUNCTION("""COMPUTED_VALUE"""),44738.6410421643)</f>
        <v>44738.64104</v>
      </c>
      <c r="D5562" s="15">
        <f>IFERROR(__xludf.DUMMYFUNCTION("""COMPUTED_VALUE"""),1.005)</f>
        <v>1.005</v>
      </c>
      <c r="E5562" s="16">
        <f>IFERROR(__xludf.DUMMYFUNCTION("""COMPUTED_VALUE"""),70.0)</f>
        <v>70</v>
      </c>
      <c r="F5562" s="19" t="str">
        <f>IFERROR(__xludf.DUMMYFUNCTION("""COMPUTED_VALUE"""),"BLACK")</f>
        <v>BLACK</v>
      </c>
      <c r="G5562" s="20" t="str">
        <f>IFERROR(__xludf.DUMMYFUNCTION("""COMPUTED_VALUE"""),"Uncle Sams Cider (5/13/2022)")</f>
        <v>Uncle Sams Cider (5/13/2022)</v>
      </c>
      <c r="H5562" s="19"/>
    </row>
    <row r="5563">
      <c r="A5563" s="9"/>
      <c r="B5563" s="15"/>
      <c r="C5563" s="9">
        <f>IFERROR(__xludf.DUMMYFUNCTION("""COMPUTED_VALUE"""),44738.6306213425)</f>
        <v>44738.63062</v>
      </c>
      <c r="D5563" s="15">
        <f>IFERROR(__xludf.DUMMYFUNCTION("""COMPUTED_VALUE"""),1.005)</f>
        <v>1.005</v>
      </c>
      <c r="E5563" s="16">
        <f>IFERROR(__xludf.DUMMYFUNCTION("""COMPUTED_VALUE"""),70.0)</f>
        <v>70</v>
      </c>
      <c r="F5563" s="19" t="str">
        <f>IFERROR(__xludf.DUMMYFUNCTION("""COMPUTED_VALUE"""),"BLACK")</f>
        <v>BLACK</v>
      </c>
      <c r="G5563" s="20" t="str">
        <f>IFERROR(__xludf.DUMMYFUNCTION("""COMPUTED_VALUE"""),"Uncle Sams Cider (5/13/2022)")</f>
        <v>Uncle Sams Cider (5/13/2022)</v>
      </c>
      <c r="H5563" s="19"/>
    </row>
    <row r="5564">
      <c r="A5564" s="9"/>
      <c r="B5564" s="15"/>
      <c r="C5564" s="9">
        <f>IFERROR(__xludf.DUMMYFUNCTION("""COMPUTED_VALUE"""),44738.620199618)</f>
        <v>44738.6202</v>
      </c>
      <c r="D5564" s="15">
        <f>IFERROR(__xludf.DUMMYFUNCTION("""COMPUTED_VALUE"""),1.005)</f>
        <v>1.005</v>
      </c>
      <c r="E5564" s="16">
        <f>IFERROR(__xludf.DUMMYFUNCTION("""COMPUTED_VALUE"""),70.0)</f>
        <v>70</v>
      </c>
      <c r="F5564" s="19" t="str">
        <f>IFERROR(__xludf.DUMMYFUNCTION("""COMPUTED_VALUE"""),"BLACK")</f>
        <v>BLACK</v>
      </c>
      <c r="G5564" s="20" t="str">
        <f>IFERROR(__xludf.DUMMYFUNCTION("""COMPUTED_VALUE"""),"Uncle Sams Cider (5/13/2022)")</f>
        <v>Uncle Sams Cider (5/13/2022)</v>
      </c>
      <c r="H5564" s="19"/>
    </row>
    <row r="5565">
      <c r="A5565" s="9"/>
      <c r="B5565" s="15"/>
      <c r="C5565" s="9">
        <f>IFERROR(__xludf.DUMMYFUNCTION("""COMPUTED_VALUE"""),44738.609779699)</f>
        <v>44738.60978</v>
      </c>
      <c r="D5565" s="15">
        <f>IFERROR(__xludf.DUMMYFUNCTION("""COMPUTED_VALUE"""),1.005)</f>
        <v>1.005</v>
      </c>
      <c r="E5565" s="16">
        <f>IFERROR(__xludf.DUMMYFUNCTION("""COMPUTED_VALUE"""),70.0)</f>
        <v>70</v>
      </c>
      <c r="F5565" s="19" t="str">
        <f>IFERROR(__xludf.DUMMYFUNCTION("""COMPUTED_VALUE"""),"BLACK")</f>
        <v>BLACK</v>
      </c>
      <c r="G5565" s="20" t="str">
        <f>IFERROR(__xludf.DUMMYFUNCTION("""COMPUTED_VALUE"""),"Uncle Sams Cider (5/13/2022)")</f>
        <v>Uncle Sams Cider (5/13/2022)</v>
      </c>
      <c r="H5565" s="19"/>
    </row>
    <row r="5566">
      <c r="A5566" s="9"/>
      <c r="B5566" s="15"/>
      <c r="C5566" s="9">
        <f>IFERROR(__xludf.DUMMYFUNCTION("""COMPUTED_VALUE"""),44738.599348831)</f>
        <v>44738.59935</v>
      </c>
      <c r="D5566" s="15">
        <f>IFERROR(__xludf.DUMMYFUNCTION("""COMPUTED_VALUE"""),1.004)</f>
        <v>1.004</v>
      </c>
      <c r="E5566" s="16">
        <f>IFERROR(__xludf.DUMMYFUNCTION("""COMPUTED_VALUE"""),70.0)</f>
        <v>70</v>
      </c>
      <c r="F5566" s="19" t="str">
        <f>IFERROR(__xludf.DUMMYFUNCTION("""COMPUTED_VALUE"""),"BLACK")</f>
        <v>BLACK</v>
      </c>
      <c r="G5566" s="20" t="str">
        <f>IFERROR(__xludf.DUMMYFUNCTION("""COMPUTED_VALUE"""),"Uncle Sams Cider (5/13/2022)")</f>
        <v>Uncle Sams Cider (5/13/2022)</v>
      </c>
      <c r="H5566" s="19"/>
    </row>
    <row r="5567">
      <c r="A5567" s="9"/>
      <c r="B5567" s="15"/>
      <c r="C5567" s="9">
        <f>IFERROR(__xludf.DUMMYFUNCTION("""COMPUTED_VALUE"""),44738.5889274537)</f>
        <v>44738.58893</v>
      </c>
      <c r="D5567" s="15">
        <f>IFERROR(__xludf.DUMMYFUNCTION("""COMPUTED_VALUE"""),1.005)</f>
        <v>1.005</v>
      </c>
      <c r="E5567" s="16">
        <f>IFERROR(__xludf.DUMMYFUNCTION("""COMPUTED_VALUE"""),70.0)</f>
        <v>70</v>
      </c>
      <c r="F5567" s="19" t="str">
        <f>IFERROR(__xludf.DUMMYFUNCTION("""COMPUTED_VALUE"""),"BLACK")</f>
        <v>BLACK</v>
      </c>
      <c r="G5567" s="20" t="str">
        <f>IFERROR(__xludf.DUMMYFUNCTION("""COMPUTED_VALUE"""),"Uncle Sams Cider (5/13/2022)")</f>
        <v>Uncle Sams Cider (5/13/2022)</v>
      </c>
      <c r="H5567" s="19"/>
    </row>
    <row r="5568">
      <c r="A5568" s="9"/>
      <c r="B5568" s="15"/>
      <c r="C5568" s="9">
        <f>IFERROR(__xludf.DUMMYFUNCTION("""COMPUTED_VALUE"""),44738.5785063541)</f>
        <v>44738.57851</v>
      </c>
      <c r="D5568" s="15">
        <f>IFERROR(__xludf.DUMMYFUNCTION("""COMPUTED_VALUE"""),1.004)</f>
        <v>1.004</v>
      </c>
      <c r="E5568" s="16">
        <f>IFERROR(__xludf.DUMMYFUNCTION("""COMPUTED_VALUE"""),70.0)</f>
        <v>70</v>
      </c>
      <c r="F5568" s="19" t="str">
        <f>IFERROR(__xludf.DUMMYFUNCTION("""COMPUTED_VALUE"""),"BLACK")</f>
        <v>BLACK</v>
      </c>
      <c r="G5568" s="20" t="str">
        <f>IFERROR(__xludf.DUMMYFUNCTION("""COMPUTED_VALUE"""),"Uncle Sams Cider (5/13/2022)")</f>
        <v>Uncle Sams Cider (5/13/2022)</v>
      </c>
      <c r="H5568" s="19"/>
    </row>
    <row r="5569">
      <c r="A5569" s="9"/>
      <c r="B5569" s="15"/>
      <c r="C5569" s="9">
        <f>IFERROR(__xludf.DUMMYFUNCTION("""COMPUTED_VALUE"""),44738.5680859143)</f>
        <v>44738.56809</v>
      </c>
      <c r="D5569" s="15">
        <f>IFERROR(__xludf.DUMMYFUNCTION("""COMPUTED_VALUE"""),1.005)</f>
        <v>1.005</v>
      </c>
      <c r="E5569" s="16">
        <f>IFERROR(__xludf.DUMMYFUNCTION("""COMPUTED_VALUE"""),70.0)</f>
        <v>70</v>
      </c>
      <c r="F5569" s="19" t="str">
        <f>IFERROR(__xludf.DUMMYFUNCTION("""COMPUTED_VALUE"""),"BLACK")</f>
        <v>BLACK</v>
      </c>
      <c r="G5569" s="20" t="str">
        <f>IFERROR(__xludf.DUMMYFUNCTION("""COMPUTED_VALUE"""),"Uncle Sams Cider (5/13/2022)")</f>
        <v>Uncle Sams Cider (5/13/2022)</v>
      </c>
      <c r="H5569" s="19"/>
    </row>
    <row r="5570">
      <c r="A5570" s="9"/>
      <c r="B5570" s="15"/>
      <c r="C5570" s="9">
        <f>IFERROR(__xludf.DUMMYFUNCTION("""COMPUTED_VALUE"""),44738.5576650115)</f>
        <v>44738.55767</v>
      </c>
      <c r="D5570" s="15">
        <f>IFERROR(__xludf.DUMMYFUNCTION("""COMPUTED_VALUE"""),1.004)</f>
        <v>1.004</v>
      </c>
      <c r="E5570" s="16">
        <f>IFERROR(__xludf.DUMMYFUNCTION("""COMPUTED_VALUE"""),70.0)</f>
        <v>70</v>
      </c>
      <c r="F5570" s="19" t="str">
        <f>IFERROR(__xludf.DUMMYFUNCTION("""COMPUTED_VALUE"""),"BLACK")</f>
        <v>BLACK</v>
      </c>
      <c r="G5570" s="20" t="str">
        <f>IFERROR(__xludf.DUMMYFUNCTION("""COMPUTED_VALUE"""),"Uncle Sams Cider (5/13/2022)")</f>
        <v>Uncle Sams Cider (5/13/2022)</v>
      </c>
      <c r="H5570" s="19"/>
    </row>
    <row r="5571">
      <c r="A5571" s="9"/>
      <c r="B5571" s="15"/>
      <c r="C5571" s="9">
        <f>IFERROR(__xludf.DUMMYFUNCTION("""COMPUTED_VALUE"""),44738.5472442476)</f>
        <v>44738.54724</v>
      </c>
      <c r="D5571" s="15">
        <f>IFERROR(__xludf.DUMMYFUNCTION("""COMPUTED_VALUE"""),1.005)</f>
        <v>1.005</v>
      </c>
      <c r="E5571" s="16">
        <f>IFERROR(__xludf.DUMMYFUNCTION("""COMPUTED_VALUE"""),70.0)</f>
        <v>70</v>
      </c>
      <c r="F5571" s="19" t="str">
        <f>IFERROR(__xludf.DUMMYFUNCTION("""COMPUTED_VALUE"""),"BLACK")</f>
        <v>BLACK</v>
      </c>
      <c r="G5571" s="20" t="str">
        <f>IFERROR(__xludf.DUMMYFUNCTION("""COMPUTED_VALUE"""),"Uncle Sams Cider (5/13/2022)")</f>
        <v>Uncle Sams Cider (5/13/2022)</v>
      </c>
      <c r="H5571" s="19"/>
    </row>
    <row r="5572">
      <c r="A5572" s="9"/>
      <c r="B5572" s="15"/>
      <c r="C5572" s="9">
        <f>IFERROR(__xludf.DUMMYFUNCTION("""COMPUTED_VALUE"""),44738.5368111342)</f>
        <v>44738.53681</v>
      </c>
      <c r="D5572" s="15">
        <f>IFERROR(__xludf.DUMMYFUNCTION("""COMPUTED_VALUE"""),1.005)</f>
        <v>1.005</v>
      </c>
      <c r="E5572" s="16">
        <f>IFERROR(__xludf.DUMMYFUNCTION("""COMPUTED_VALUE"""),70.0)</f>
        <v>70</v>
      </c>
      <c r="F5572" s="19" t="str">
        <f>IFERROR(__xludf.DUMMYFUNCTION("""COMPUTED_VALUE"""),"BLACK")</f>
        <v>BLACK</v>
      </c>
      <c r="G5572" s="20" t="str">
        <f>IFERROR(__xludf.DUMMYFUNCTION("""COMPUTED_VALUE"""),"Uncle Sams Cider (5/13/2022)")</f>
        <v>Uncle Sams Cider (5/13/2022)</v>
      </c>
      <c r="H5572" s="19"/>
    </row>
    <row r="5573">
      <c r="A5573" s="9"/>
      <c r="B5573" s="15"/>
      <c r="C5573" s="9">
        <f>IFERROR(__xludf.DUMMYFUNCTION("""COMPUTED_VALUE"""),44738.526378993)</f>
        <v>44738.52638</v>
      </c>
      <c r="D5573" s="15">
        <f>IFERROR(__xludf.DUMMYFUNCTION("""COMPUTED_VALUE"""),1.005)</f>
        <v>1.005</v>
      </c>
      <c r="E5573" s="16">
        <f>IFERROR(__xludf.DUMMYFUNCTION("""COMPUTED_VALUE"""),70.0)</f>
        <v>70</v>
      </c>
      <c r="F5573" s="19" t="str">
        <f>IFERROR(__xludf.DUMMYFUNCTION("""COMPUTED_VALUE"""),"BLACK")</f>
        <v>BLACK</v>
      </c>
      <c r="G5573" s="20" t="str">
        <f>IFERROR(__xludf.DUMMYFUNCTION("""COMPUTED_VALUE"""),"Uncle Sams Cider (5/13/2022)")</f>
        <v>Uncle Sams Cider (5/13/2022)</v>
      </c>
      <c r="H5573" s="19"/>
    </row>
    <row r="5574">
      <c r="A5574" s="9"/>
      <c r="B5574" s="15"/>
      <c r="C5574" s="9">
        <f>IFERROR(__xludf.DUMMYFUNCTION("""COMPUTED_VALUE"""),44738.5159571064)</f>
        <v>44738.51596</v>
      </c>
      <c r="D5574" s="15">
        <f>IFERROR(__xludf.DUMMYFUNCTION("""COMPUTED_VALUE"""),1.005)</f>
        <v>1.005</v>
      </c>
      <c r="E5574" s="16">
        <f>IFERROR(__xludf.DUMMYFUNCTION("""COMPUTED_VALUE"""),70.0)</f>
        <v>70</v>
      </c>
      <c r="F5574" s="19" t="str">
        <f>IFERROR(__xludf.DUMMYFUNCTION("""COMPUTED_VALUE"""),"BLACK")</f>
        <v>BLACK</v>
      </c>
      <c r="G5574" s="20" t="str">
        <f>IFERROR(__xludf.DUMMYFUNCTION("""COMPUTED_VALUE"""),"Uncle Sams Cider (5/13/2022)")</f>
        <v>Uncle Sams Cider (5/13/2022)</v>
      </c>
      <c r="H5574" s="19"/>
    </row>
    <row r="5575">
      <c r="A5575" s="9"/>
      <c r="B5575" s="15"/>
      <c r="C5575" s="9">
        <f>IFERROR(__xludf.DUMMYFUNCTION("""COMPUTED_VALUE"""),44738.5055344328)</f>
        <v>44738.50553</v>
      </c>
      <c r="D5575" s="15">
        <f>IFERROR(__xludf.DUMMYFUNCTION("""COMPUTED_VALUE"""),1.004)</f>
        <v>1.004</v>
      </c>
      <c r="E5575" s="16">
        <f>IFERROR(__xludf.DUMMYFUNCTION("""COMPUTED_VALUE"""),70.0)</f>
        <v>70</v>
      </c>
      <c r="F5575" s="19" t="str">
        <f>IFERROR(__xludf.DUMMYFUNCTION("""COMPUTED_VALUE"""),"BLACK")</f>
        <v>BLACK</v>
      </c>
      <c r="G5575" s="20" t="str">
        <f>IFERROR(__xludf.DUMMYFUNCTION("""COMPUTED_VALUE"""),"Uncle Sams Cider (5/13/2022)")</f>
        <v>Uncle Sams Cider (5/13/2022)</v>
      </c>
      <c r="H5575" s="19"/>
    </row>
    <row r="5576">
      <c r="A5576" s="9"/>
      <c r="B5576" s="15"/>
      <c r="C5576" s="9">
        <f>IFERROR(__xludf.DUMMYFUNCTION("""COMPUTED_VALUE"""),44738.4951160416)</f>
        <v>44738.49512</v>
      </c>
      <c r="D5576" s="15">
        <f>IFERROR(__xludf.DUMMYFUNCTION("""COMPUTED_VALUE"""),1.004)</f>
        <v>1.004</v>
      </c>
      <c r="E5576" s="16">
        <f>IFERROR(__xludf.DUMMYFUNCTION("""COMPUTED_VALUE"""),70.0)</f>
        <v>70</v>
      </c>
      <c r="F5576" s="19" t="str">
        <f>IFERROR(__xludf.DUMMYFUNCTION("""COMPUTED_VALUE"""),"BLACK")</f>
        <v>BLACK</v>
      </c>
      <c r="G5576" s="20" t="str">
        <f>IFERROR(__xludf.DUMMYFUNCTION("""COMPUTED_VALUE"""),"Uncle Sams Cider (5/13/2022)")</f>
        <v>Uncle Sams Cider (5/13/2022)</v>
      </c>
      <c r="H5576" s="19"/>
    </row>
    <row r="5577">
      <c r="A5577" s="9"/>
      <c r="B5577" s="15"/>
      <c r="C5577" s="9">
        <f>IFERROR(__xludf.DUMMYFUNCTION("""COMPUTED_VALUE"""),44738.4846935995)</f>
        <v>44738.48469</v>
      </c>
      <c r="D5577" s="15">
        <f>IFERROR(__xludf.DUMMYFUNCTION("""COMPUTED_VALUE"""),1.004)</f>
        <v>1.004</v>
      </c>
      <c r="E5577" s="16">
        <f>IFERROR(__xludf.DUMMYFUNCTION("""COMPUTED_VALUE"""),70.0)</f>
        <v>70</v>
      </c>
      <c r="F5577" s="19" t="str">
        <f>IFERROR(__xludf.DUMMYFUNCTION("""COMPUTED_VALUE"""),"BLACK")</f>
        <v>BLACK</v>
      </c>
      <c r="G5577" s="20" t="str">
        <f>IFERROR(__xludf.DUMMYFUNCTION("""COMPUTED_VALUE"""),"Uncle Sams Cider (5/13/2022)")</f>
        <v>Uncle Sams Cider (5/13/2022)</v>
      </c>
      <c r="H5577" s="19"/>
    </row>
    <row r="5578">
      <c r="A5578" s="9"/>
      <c r="B5578" s="15"/>
      <c r="C5578" s="9">
        <f>IFERROR(__xludf.DUMMYFUNCTION("""COMPUTED_VALUE"""),44738.4742623495)</f>
        <v>44738.47426</v>
      </c>
      <c r="D5578" s="15">
        <f>IFERROR(__xludf.DUMMYFUNCTION("""COMPUTED_VALUE"""),1.005)</f>
        <v>1.005</v>
      </c>
      <c r="E5578" s="16">
        <f>IFERROR(__xludf.DUMMYFUNCTION("""COMPUTED_VALUE"""),70.0)</f>
        <v>70</v>
      </c>
      <c r="F5578" s="19" t="str">
        <f>IFERROR(__xludf.DUMMYFUNCTION("""COMPUTED_VALUE"""),"BLACK")</f>
        <v>BLACK</v>
      </c>
      <c r="G5578" s="20" t="str">
        <f>IFERROR(__xludf.DUMMYFUNCTION("""COMPUTED_VALUE"""),"Uncle Sams Cider (5/13/2022)")</f>
        <v>Uncle Sams Cider (5/13/2022)</v>
      </c>
      <c r="H5578" s="19"/>
    </row>
    <row r="5579">
      <c r="A5579" s="9"/>
      <c r="B5579" s="15"/>
      <c r="C5579" s="9">
        <f>IFERROR(__xludf.DUMMYFUNCTION("""COMPUTED_VALUE"""),44738.4638417129)</f>
        <v>44738.46384</v>
      </c>
      <c r="D5579" s="15">
        <f>IFERROR(__xludf.DUMMYFUNCTION("""COMPUTED_VALUE"""),1.005)</f>
        <v>1.005</v>
      </c>
      <c r="E5579" s="16">
        <f>IFERROR(__xludf.DUMMYFUNCTION("""COMPUTED_VALUE"""),70.0)</f>
        <v>70</v>
      </c>
      <c r="F5579" s="19" t="str">
        <f>IFERROR(__xludf.DUMMYFUNCTION("""COMPUTED_VALUE"""),"BLACK")</f>
        <v>BLACK</v>
      </c>
      <c r="G5579" s="20" t="str">
        <f>IFERROR(__xludf.DUMMYFUNCTION("""COMPUTED_VALUE"""),"Uncle Sams Cider (5/13/2022)")</f>
        <v>Uncle Sams Cider (5/13/2022)</v>
      </c>
      <c r="H5579" s="19"/>
    </row>
    <row r="5580">
      <c r="A5580" s="9"/>
      <c r="B5580" s="15"/>
      <c r="C5580" s="9">
        <f>IFERROR(__xludf.DUMMYFUNCTION("""COMPUTED_VALUE"""),44738.4534195254)</f>
        <v>44738.45342</v>
      </c>
      <c r="D5580" s="15">
        <f>IFERROR(__xludf.DUMMYFUNCTION("""COMPUTED_VALUE"""),1.004)</f>
        <v>1.004</v>
      </c>
      <c r="E5580" s="16">
        <f>IFERROR(__xludf.DUMMYFUNCTION("""COMPUTED_VALUE"""),70.0)</f>
        <v>70</v>
      </c>
      <c r="F5580" s="19" t="str">
        <f>IFERROR(__xludf.DUMMYFUNCTION("""COMPUTED_VALUE"""),"BLACK")</f>
        <v>BLACK</v>
      </c>
      <c r="G5580" s="20" t="str">
        <f>IFERROR(__xludf.DUMMYFUNCTION("""COMPUTED_VALUE"""),"Uncle Sams Cider (5/13/2022)")</f>
        <v>Uncle Sams Cider (5/13/2022)</v>
      </c>
      <c r="H5580" s="19"/>
    </row>
    <row r="5581">
      <c r="A5581" s="9"/>
      <c r="B5581" s="15"/>
      <c r="C5581" s="9">
        <f>IFERROR(__xludf.DUMMYFUNCTION("""COMPUTED_VALUE"""),44738.4429990046)</f>
        <v>44738.443</v>
      </c>
      <c r="D5581" s="15">
        <f>IFERROR(__xludf.DUMMYFUNCTION("""COMPUTED_VALUE"""),1.005)</f>
        <v>1.005</v>
      </c>
      <c r="E5581" s="16">
        <f>IFERROR(__xludf.DUMMYFUNCTION("""COMPUTED_VALUE"""),70.0)</f>
        <v>70</v>
      </c>
      <c r="F5581" s="19" t="str">
        <f>IFERROR(__xludf.DUMMYFUNCTION("""COMPUTED_VALUE"""),"BLACK")</f>
        <v>BLACK</v>
      </c>
      <c r="G5581" s="20" t="str">
        <f>IFERROR(__xludf.DUMMYFUNCTION("""COMPUTED_VALUE"""),"Uncle Sams Cider (5/13/2022)")</f>
        <v>Uncle Sams Cider (5/13/2022)</v>
      </c>
      <c r="H5581" s="19"/>
    </row>
    <row r="5582">
      <c r="A5582" s="9"/>
      <c r="B5582" s="15"/>
      <c r="C5582" s="9">
        <f>IFERROR(__xludf.DUMMYFUNCTION("""COMPUTED_VALUE"""),44738.432577199)</f>
        <v>44738.43258</v>
      </c>
      <c r="D5582" s="15">
        <f>IFERROR(__xludf.DUMMYFUNCTION("""COMPUTED_VALUE"""),1.004)</f>
        <v>1.004</v>
      </c>
      <c r="E5582" s="16">
        <f>IFERROR(__xludf.DUMMYFUNCTION("""COMPUTED_VALUE"""),70.0)</f>
        <v>70</v>
      </c>
      <c r="F5582" s="19" t="str">
        <f>IFERROR(__xludf.DUMMYFUNCTION("""COMPUTED_VALUE"""),"BLACK")</f>
        <v>BLACK</v>
      </c>
      <c r="G5582" s="20" t="str">
        <f>IFERROR(__xludf.DUMMYFUNCTION("""COMPUTED_VALUE"""),"Uncle Sams Cider (5/13/2022)")</f>
        <v>Uncle Sams Cider (5/13/2022)</v>
      </c>
      <c r="H5582" s="19"/>
    </row>
    <row r="5583">
      <c r="A5583" s="9"/>
      <c r="B5583" s="15"/>
      <c r="C5583" s="9">
        <f>IFERROR(__xludf.DUMMYFUNCTION("""COMPUTED_VALUE"""),44738.4221563425)</f>
        <v>44738.42216</v>
      </c>
      <c r="D5583" s="15">
        <f>IFERROR(__xludf.DUMMYFUNCTION("""COMPUTED_VALUE"""),1.004)</f>
        <v>1.004</v>
      </c>
      <c r="E5583" s="16">
        <f>IFERROR(__xludf.DUMMYFUNCTION("""COMPUTED_VALUE"""),70.0)</f>
        <v>70</v>
      </c>
      <c r="F5583" s="19" t="str">
        <f>IFERROR(__xludf.DUMMYFUNCTION("""COMPUTED_VALUE"""),"BLACK")</f>
        <v>BLACK</v>
      </c>
      <c r="G5583" s="20" t="str">
        <f>IFERROR(__xludf.DUMMYFUNCTION("""COMPUTED_VALUE"""),"Uncle Sams Cider (5/13/2022)")</f>
        <v>Uncle Sams Cider (5/13/2022)</v>
      </c>
      <c r="H5583" s="19"/>
    </row>
    <row r="5584">
      <c r="A5584" s="9"/>
      <c r="B5584" s="15"/>
      <c r="C5584" s="9">
        <f>IFERROR(__xludf.DUMMYFUNCTION("""COMPUTED_VALUE"""),44738.4117356597)</f>
        <v>44738.41174</v>
      </c>
      <c r="D5584" s="15">
        <f>IFERROR(__xludf.DUMMYFUNCTION("""COMPUTED_VALUE"""),1.005)</f>
        <v>1.005</v>
      </c>
      <c r="E5584" s="16">
        <f>IFERROR(__xludf.DUMMYFUNCTION("""COMPUTED_VALUE"""),69.0)</f>
        <v>69</v>
      </c>
      <c r="F5584" s="19" t="str">
        <f>IFERROR(__xludf.DUMMYFUNCTION("""COMPUTED_VALUE"""),"BLACK")</f>
        <v>BLACK</v>
      </c>
      <c r="G5584" s="20" t="str">
        <f>IFERROR(__xludf.DUMMYFUNCTION("""COMPUTED_VALUE"""),"Uncle Sams Cider (5/13/2022)")</f>
        <v>Uncle Sams Cider (5/13/2022)</v>
      </c>
      <c r="H5584" s="19"/>
    </row>
    <row r="5585">
      <c r="A5585" s="9"/>
      <c r="B5585" s="15"/>
      <c r="C5585" s="9">
        <f>IFERROR(__xludf.DUMMYFUNCTION("""COMPUTED_VALUE"""),44738.4013148842)</f>
        <v>44738.40131</v>
      </c>
      <c r="D5585" s="15">
        <f>IFERROR(__xludf.DUMMYFUNCTION("""COMPUTED_VALUE"""),1.005)</f>
        <v>1.005</v>
      </c>
      <c r="E5585" s="16">
        <f>IFERROR(__xludf.DUMMYFUNCTION("""COMPUTED_VALUE"""),70.0)</f>
        <v>70</v>
      </c>
      <c r="F5585" s="19" t="str">
        <f>IFERROR(__xludf.DUMMYFUNCTION("""COMPUTED_VALUE"""),"BLACK")</f>
        <v>BLACK</v>
      </c>
      <c r="G5585" s="20" t="str">
        <f>IFERROR(__xludf.DUMMYFUNCTION("""COMPUTED_VALUE"""),"Uncle Sams Cider (5/13/2022)")</f>
        <v>Uncle Sams Cider (5/13/2022)</v>
      </c>
      <c r="H5585" s="19"/>
    </row>
    <row r="5586">
      <c r="A5586" s="9"/>
      <c r="B5586" s="15"/>
      <c r="C5586" s="9">
        <f>IFERROR(__xludf.DUMMYFUNCTION("""COMPUTED_VALUE"""),44738.39089478)</f>
        <v>44738.39089</v>
      </c>
      <c r="D5586" s="15">
        <f>IFERROR(__xludf.DUMMYFUNCTION("""COMPUTED_VALUE"""),1.005)</f>
        <v>1.005</v>
      </c>
      <c r="E5586" s="16">
        <f>IFERROR(__xludf.DUMMYFUNCTION("""COMPUTED_VALUE"""),69.0)</f>
        <v>69</v>
      </c>
      <c r="F5586" s="19" t="str">
        <f>IFERROR(__xludf.DUMMYFUNCTION("""COMPUTED_VALUE"""),"BLACK")</f>
        <v>BLACK</v>
      </c>
      <c r="G5586" s="20" t="str">
        <f>IFERROR(__xludf.DUMMYFUNCTION("""COMPUTED_VALUE"""),"Uncle Sams Cider (5/13/2022)")</f>
        <v>Uncle Sams Cider (5/13/2022)</v>
      </c>
      <c r="H5586" s="19"/>
    </row>
    <row r="5587">
      <c r="A5587" s="9"/>
      <c r="B5587" s="15"/>
      <c r="C5587" s="9">
        <f>IFERROR(__xludf.DUMMYFUNCTION("""COMPUTED_VALUE"""),44738.3804741203)</f>
        <v>44738.38047</v>
      </c>
      <c r="D5587" s="15">
        <f>IFERROR(__xludf.DUMMYFUNCTION("""COMPUTED_VALUE"""),1.005)</f>
        <v>1.005</v>
      </c>
      <c r="E5587" s="16">
        <f>IFERROR(__xludf.DUMMYFUNCTION("""COMPUTED_VALUE"""),70.0)</f>
        <v>70</v>
      </c>
      <c r="F5587" s="19" t="str">
        <f>IFERROR(__xludf.DUMMYFUNCTION("""COMPUTED_VALUE"""),"BLACK")</f>
        <v>BLACK</v>
      </c>
      <c r="G5587" s="20" t="str">
        <f>IFERROR(__xludf.DUMMYFUNCTION("""COMPUTED_VALUE"""),"Uncle Sams Cider (5/13/2022)")</f>
        <v>Uncle Sams Cider (5/13/2022)</v>
      </c>
      <c r="H5587" s="19"/>
    </row>
    <row r="5588">
      <c r="A5588" s="9"/>
      <c r="B5588" s="15"/>
      <c r="C5588" s="9">
        <f>IFERROR(__xludf.DUMMYFUNCTION("""COMPUTED_VALUE"""),44738.3700528588)</f>
        <v>44738.37005</v>
      </c>
      <c r="D5588" s="15">
        <f>IFERROR(__xludf.DUMMYFUNCTION("""COMPUTED_VALUE"""),1.004)</f>
        <v>1.004</v>
      </c>
      <c r="E5588" s="16">
        <f>IFERROR(__xludf.DUMMYFUNCTION("""COMPUTED_VALUE"""),70.0)</f>
        <v>70</v>
      </c>
      <c r="F5588" s="19" t="str">
        <f>IFERROR(__xludf.DUMMYFUNCTION("""COMPUTED_VALUE"""),"BLACK")</f>
        <v>BLACK</v>
      </c>
      <c r="G5588" s="20" t="str">
        <f>IFERROR(__xludf.DUMMYFUNCTION("""COMPUTED_VALUE"""),"Uncle Sams Cider (5/13/2022)")</f>
        <v>Uncle Sams Cider (5/13/2022)</v>
      </c>
      <c r="H5588" s="19"/>
    </row>
    <row r="5589">
      <c r="A5589" s="9"/>
      <c r="B5589" s="15"/>
      <c r="C5589" s="9">
        <f>IFERROR(__xludf.DUMMYFUNCTION("""COMPUTED_VALUE"""),44738.3596325)</f>
        <v>44738.35963</v>
      </c>
      <c r="D5589" s="15">
        <f>IFERROR(__xludf.DUMMYFUNCTION("""COMPUTED_VALUE"""),1.005)</f>
        <v>1.005</v>
      </c>
      <c r="E5589" s="16">
        <f>IFERROR(__xludf.DUMMYFUNCTION("""COMPUTED_VALUE"""),70.0)</f>
        <v>70</v>
      </c>
      <c r="F5589" s="19" t="str">
        <f>IFERROR(__xludf.DUMMYFUNCTION("""COMPUTED_VALUE"""),"BLACK")</f>
        <v>BLACK</v>
      </c>
      <c r="G5589" s="20" t="str">
        <f>IFERROR(__xludf.DUMMYFUNCTION("""COMPUTED_VALUE"""),"Uncle Sams Cider (5/13/2022)")</f>
        <v>Uncle Sams Cider (5/13/2022)</v>
      </c>
      <c r="H5589" s="19"/>
    </row>
    <row r="5590">
      <c r="A5590" s="9"/>
      <c r="B5590" s="15"/>
      <c r="C5590" s="9">
        <f>IFERROR(__xludf.DUMMYFUNCTION("""COMPUTED_VALUE"""),44738.3492108449)</f>
        <v>44738.34921</v>
      </c>
      <c r="D5590" s="15">
        <f>IFERROR(__xludf.DUMMYFUNCTION("""COMPUTED_VALUE"""),1.005)</f>
        <v>1.005</v>
      </c>
      <c r="E5590" s="16">
        <f>IFERROR(__xludf.DUMMYFUNCTION("""COMPUTED_VALUE"""),70.0)</f>
        <v>70</v>
      </c>
      <c r="F5590" s="19" t="str">
        <f>IFERROR(__xludf.DUMMYFUNCTION("""COMPUTED_VALUE"""),"BLACK")</f>
        <v>BLACK</v>
      </c>
      <c r="G5590" s="20" t="str">
        <f>IFERROR(__xludf.DUMMYFUNCTION("""COMPUTED_VALUE"""),"Uncle Sams Cider (5/13/2022)")</f>
        <v>Uncle Sams Cider (5/13/2022)</v>
      </c>
      <c r="H5590" s="19"/>
    </row>
    <row r="5591">
      <c r="A5591" s="9"/>
      <c r="B5591" s="15"/>
      <c r="C5591" s="9">
        <f>IFERROR(__xludf.DUMMYFUNCTION("""COMPUTED_VALUE"""),44738.3387904629)</f>
        <v>44738.33879</v>
      </c>
      <c r="D5591" s="15">
        <f>IFERROR(__xludf.DUMMYFUNCTION("""COMPUTED_VALUE"""),1.005)</f>
        <v>1.005</v>
      </c>
      <c r="E5591" s="16">
        <f>IFERROR(__xludf.DUMMYFUNCTION("""COMPUTED_VALUE"""),70.0)</f>
        <v>70</v>
      </c>
      <c r="F5591" s="19" t="str">
        <f>IFERROR(__xludf.DUMMYFUNCTION("""COMPUTED_VALUE"""),"BLACK")</f>
        <v>BLACK</v>
      </c>
      <c r="G5591" s="20" t="str">
        <f>IFERROR(__xludf.DUMMYFUNCTION("""COMPUTED_VALUE"""),"Uncle Sams Cider (5/13/2022)")</f>
        <v>Uncle Sams Cider (5/13/2022)</v>
      </c>
      <c r="H5591" s="19"/>
    </row>
    <row r="5592">
      <c r="A5592" s="9"/>
      <c r="B5592" s="15"/>
      <c r="C5592" s="9">
        <f>IFERROR(__xludf.DUMMYFUNCTION("""COMPUTED_VALUE"""),44738.3283675694)</f>
        <v>44738.32837</v>
      </c>
      <c r="D5592" s="15">
        <f>IFERROR(__xludf.DUMMYFUNCTION("""COMPUTED_VALUE"""),1.005)</f>
        <v>1.005</v>
      </c>
      <c r="E5592" s="16">
        <f>IFERROR(__xludf.DUMMYFUNCTION("""COMPUTED_VALUE"""),70.0)</f>
        <v>70</v>
      </c>
      <c r="F5592" s="19" t="str">
        <f>IFERROR(__xludf.DUMMYFUNCTION("""COMPUTED_VALUE"""),"BLACK")</f>
        <v>BLACK</v>
      </c>
      <c r="G5592" s="20" t="str">
        <f>IFERROR(__xludf.DUMMYFUNCTION("""COMPUTED_VALUE"""),"Uncle Sams Cider (5/13/2022)")</f>
        <v>Uncle Sams Cider (5/13/2022)</v>
      </c>
      <c r="H5592" s="19"/>
    </row>
    <row r="5593">
      <c r="A5593" s="9"/>
      <c r="B5593" s="15"/>
      <c r="C5593" s="9">
        <f>IFERROR(__xludf.DUMMYFUNCTION("""COMPUTED_VALUE"""),44738.3179351967)</f>
        <v>44738.31794</v>
      </c>
      <c r="D5593" s="15">
        <f>IFERROR(__xludf.DUMMYFUNCTION("""COMPUTED_VALUE"""),1.005)</f>
        <v>1.005</v>
      </c>
      <c r="E5593" s="16">
        <f>IFERROR(__xludf.DUMMYFUNCTION("""COMPUTED_VALUE"""),70.0)</f>
        <v>70</v>
      </c>
      <c r="F5593" s="19" t="str">
        <f>IFERROR(__xludf.DUMMYFUNCTION("""COMPUTED_VALUE"""),"BLACK")</f>
        <v>BLACK</v>
      </c>
      <c r="G5593" s="20" t="str">
        <f>IFERROR(__xludf.DUMMYFUNCTION("""COMPUTED_VALUE"""),"Uncle Sams Cider (5/13/2022)")</f>
        <v>Uncle Sams Cider (5/13/2022)</v>
      </c>
      <c r="H5593" s="19"/>
    </row>
    <row r="5594">
      <c r="A5594" s="9"/>
      <c r="B5594" s="15"/>
      <c r="C5594" s="9">
        <f>IFERROR(__xludf.DUMMYFUNCTION("""COMPUTED_VALUE"""),44738.3075023842)</f>
        <v>44738.3075</v>
      </c>
      <c r="D5594" s="15">
        <f>IFERROR(__xludf.DUMMYFUNCTION("""COMPUTED_VALUE"""),1.005)</f>
        <v>1.005</v>
      </c>
      <c r="E5594" s="16">
        <f>IFERROR(__xludf.DUMMYFUNCTION("""COMPUTED_VALUE"""),69.0)</f>
        <v>69</v>
      </c>
      <c r="F5594" s="19" t="str">
        <f>IFERROR(__xludf.DUMMYFUNCTION("""COMPUTED_VALUE"""),"BLACK")</f>
        <v>BLACK</v>
      </c>
      <c r="G5594" s="20" t="str">
        <f>IFERROR(__xludf.DUMMYFUNCTION("""COMPUTED_VALUE"""),"Uncle Sams Cider (5/13/2022)")</f>
        <v>Uncle Sams Cider (5/13/2022)</v>
      </c>
      <c r="H5594" s="19"/>
    </row>
    <row r="5595">
      <c r="A5595" s="9"/>
      <c r="B5595" s="15"/>
      <c r="C5595" s="9">
        <f>IFERROR(__xludf.DUMMYFUNCTION("""COMPUTED_VALUE"""),44738.2970823495)</f>
        <v>44738.29708</v>
      </c>
      <c r="D5595" s="15">
        <f>IFERROR(__xludf.DUMMYFUNCTION("""COMPUTED_VALUE"""),1.005)</f>
        <v>1.005</v>
      </c>
      <c r="E5595" s="16">
        <f>IFERROR(__xludf.DUMMYFUNCTION("""COMPUTED_VALUE"""),70.0)</f>
        <v>70</v>
      </c>
      <c r="F5595" s="19" t="str">
        <f>IFERROR(__xludf.DUMMYFUNCTION("""COMPUTED_VALUE"""),"BLACK")</f>
        <v>BLACK</v>
      </c>
      <c r="G5595" s="20" t="str">
        <f>IFERROR(__xludf.DUMMYFUNCTION("""COMPUTED_VALUE"""),"Uncle Sams Cider (5/13/2022)")</f>
        <v>Uncle Sams Cider (5/13/2022)</v>
      </c>
      <c r="H5595" s="19"/>
    </row>
    <row r="5596">
      <c r="A5596" s="9"/>
      <c r="B5596" s="15"/>
      <c r="C5596" s="9">
        <f>IFERROR(__xludf.DUMMYFUNCTION("""COMPUTED_VALUE"""),44738.2866611226)</f>
        <v>44738.28666</v>
      </c>
      <c r="D5596" s="15">
        <f>IFERROR(__xludf.DUMMYFUNCTION("""COMPUTED_VALUE"""),1.005)</f>
        <v>1.005</v>
      </c>
      <c r="E5596" s="16">
        <f>IFERROR(__xludf.DUMMYFUNCTION("""COMPUTED_VALUE"""),70.0)</f>
        <v>70</v>
      </c>
      <c r="F5596" s="19" t="str">
        <f>IFERROR(__xludf.DUMMYFUNCTION("""COMPUTED_VALUE"""),"BLACK")</f>
        <v>BLACK</v>
      </c>
      <c r="G5596" s="20" t="str">
        <f>IFERROR(__xludf.DUMMYFUNCTION("""COMPUTED_VALUE"""),"Uncle Sams Cider (5/13/2022)")</f>
        <v>Uncle Sams Cider (5/13/2022)</v>
      </c>
      <c r="H5596" s="19"/>
    </row>
    <row r="5597">
      <c r="A5597" s="9"/>
      <c r="B5597" s="15"/>
      <c r="C5597" s="9">
        <f>IFERROR(__xludf.DUMMYFUNCTION("""COMPUTED_VALUE"""),44738.276242037)</f>
        <v>44738.27624</v>
      </c>
      <c r="D5597" s="15">
        <f>IFERROR(__xludf.DUMMYFUNCTION("""COMPUTED_VALUE"""),1.005)</f>
        <v>1.005</v>
      </c>
      <c r="E5597" s="16">
        <f>IFERROR(__xludf.DUMMYFUNCTION("""COMPUTED_VALUE"""),70.0)</f>
        <v>70</v>
      </c>
      <c r="F5597" s="19" t="str">
        <f>IFERROR(__xludf.DUMMYFUNCTION("""COMPUTED_VALUE"""),"BLACK")</f>
        <v>BLACK</v>
      </c>
      <c r="G5597" s="20" t="str">
        <f>IFERROR(__xludf.DUMMYFUNCTION("""COMPUTED_VALUE"""),"Uncle Sams Cider (5/13/2022)")</f>
        <v>Uncle Sams Cider (5/13/2022)</v>
      </c>
      <c r="H5597" s="19"/>
    </row>
    <row r="5598">
      <c r="A5598" s="9"/>
      <c r="B5598" s="15"/>
      <c r="C5598" s="9">
        <f>IFERROR(__xludf.DUMMYFUNCTION("""COMPUTED_VALUE"""),44738.2658085301)</f>
        <v>44738.26581</v>
      </c>
      <c r="D5598" s="15">
        <f>IFERROR(__xludf.DUMMYFUNCTION("""COMPUTED_VALUE"""),1.005)</f>
        <v>1.005</v>
      </c>
      <c r="E5598" s="16">
        <f>IFERROR(__xludf.DUMMYFUNCTION("""COMPUTED_VALUE"""),69.0)</f>
        <v>69</v>
      </c>
      <c r="F5598" s="19" t="str">
        <f>IFERROR(__xludf.DUMMYFUNCTION("""COMPUTED_VALUE"""),"BLACK")</f>
        <v>BLACK</v>
      </c>
      <c r="G5598" s="20" t="str">
        <f>IFERROR(__xludf.DUMMYFUNCTION("""COMPUTED_VALUE"""),"Uncle Sams Cider (5/13/2022)")</f>
        <v>Uncle Sams Cider (5/13/2022)</v>
      </c>
      <c r="H5598" s="19"/>
    </row>
    <row r="5599">
      <c r="A5599" s="9"/>
      <c r="B5599" s="15"/>
      <c r="C5599" s="9">
        <f>IFERROR(__xludf.DUMMYFUNCTION("""COMPUTED_VALUE"""),44738.2553751851)</f>
        <v>44738.25538</v>
      </c>
      <c r="D5599" s="15">
        <f>IFERROR(__xludf.DUMMYFUNCTION("""COMPUTED_VALUE"""),1.005)</f>
        <v>1.005</v>
      </c>
      <c r="E5599" s="16">
        <f>IFERROR(__xludf.DUMMYFUNCTION("""COMPUTED_VALUE"""),69.0)</f>
        <v>69</v>
      </c>
      <c r="F5599" s="19" t="str">
        <f>IFERROR(__xludf.DUMMYFUNCTION("""COMPUTED_VALUE"""),"BLACK")</f>
        <v>BLACK</v>
      </c>
      <c r="G5599" s="20" t="str">
        <f>IFERROR(__xludf.DUMMYFUNCTION("""COMPUTED_VALUE"""),"Uncle Sams Cider (5/13/2022)")</f>
        <v>Uncle Sams Cider (5/13/2022)</v>
      </c>
      <c r="H5599" s="19"/>
    </row>
    <row r="5600">
      <c r="A5600" s="9"/>
      <c r="B5600" s="15"/>
      <c r="C5600" s="9">
        <f>IFERROR(__xludf.DUMMYFUNCTION("""COMPUTED_VALUE"""),44738.2449432754)</f>
        <v>44738.24494</v>
      </c>
      <c r="D5600" s="15">
        <f>IFERROR(__xludf.DUMMYFUNCTION("""COMPUTED_VALUE"""),1.005)</f>
        <v>1.005</v>
      </c>
      <c r="E5600" s="16">
        <f>IFERROR(__xludf.DUMMYFUNCTION("""COMPUTED_VALUE"""),69.0)</f>
        <v>69</v>
      </c>
      <c r="F5600" s="19" t="str">
        <f>IFERROR(__xludf.DUMMYFUNCTION("""COMPUTED_VALUE"""),"BLACK")</f>
        <v>BLACK</v>
      </c>
      <c r="G5600" s="20" t="str">
        <f>IFERROR(__xludf.DUMMYFUNCTION("""COMPUTED_VALUE"""),"Uncle Sams Cider (5/13/2022)")</f>
        <v>Uncle Sams Cider (5/13/2022)</v>
      </c>
      <c r="H5600" s="19"/>
    </row>
    <row r="5601">
      <c r="A5601" s="9"/>
      <c r="B5601" s="15"/>
      <c r="C5601" s="9">
        <f>IFERROR(__xludf.DUMMYFUNCTION("""COMPUTED_VALUE"""),44738.2345242939)</f>
        <v>44738.23452</v>
      </c>
      <c r="D5601" s="15">
        <f>IFERROR(__xludf.DUMMYFUNCTION("""COMPUTED_VALUE"""),1.005)</f>
        <v>1.005</v>
      </c>
      <c r="E5601" s="16">
        <f>IFERROR(__xludf.DUMMYFUNCTION("""COMPUTED_VALUE"""),69.0)</f>
        <v>69</v>
      </c>
      <c r="F5601" s="19" t="str">
        <f>IFERROR(__xludf.DUMMYFUNCTION("""COMPUTED_VALUE"""),"BLACK")</f>
        <v>BLACK</v>
      </c>
      <c r="G5601" s="20" t="str">
        <f>IFERROR(__xludf.DUMMYFUNCTION("""COMPUTED_VALUE"""),"Uncle Sams Cider (5/13/2022)")</f>
        <v>Uncle Sams Cider (5/13/2022)</v>
      </c>
      <c r="H5601" s="19"/>
    </row>
    <row r="5602">
      <c r="A5602" s="9"/>
      <c r="B5602" s="15"/>
      <c r="C5602" s="9">
        <f>IFERROR(__xludf.DUMMYFUNCTION("""COMPUTED_VALUE"""),44738.2241010879)</f>
        <v>44738.2241</v>
      </c>
      <c r="D5602" s="15">
        <f>IFERROR(__xludf.DUMMYFUNCTION("""COMPUTED_VALUE"""),1.005)</f>
        <v>1.005</v>
      </c>
      <c r="E5602" s="16">
        <f>IFERROR(__xludf.DUMMYFUNCTION("""COMPUTED_VALUE"""),70.0)</f>
        <v>70</v>
      </c>
      <c r="F5602" s="19" t="str">
        <f>IFERROR(__xludf.DUMMYFUNCTION("""COMPUTED_VALUE"""),"BLACK")</f>
        <v>BLACK</v>
      </c>
      <c r="G5602" s="20" t="str">
        <f>IFERROR(__xludf.DUMMYFUNCTION("""COMPUTED_VALUE"""),"Uncle Sams Cider (5/13/2022)")</f>
        <v>Uncle Sams Cider (5/13/2022)</v>
      </c>
      <c r="H5602" s="19"/>
    </row>
    <row r="5603">
      <c r="A5603" s="9"/>
      <c r="B5603" s="15"/>
      <c r="C5603" s="9">
        <f>IFERROR(__xludf.DUMMYFUNCTION("""COMPUTED_VALUE"""),44738.2136800115)</f>
        <v>44738.21368</v>
      </c>
      <c r="D5603" s="15">
        <f>IFERROR(__xludf.DUMMYFUNCTION("""COMPUTED_VALUE"""),1.005)</f>
        <v>1.005</v>
      </c>
      <c r="E5603" s="16">
        <f>IFERROR(__xludf.DUMMYFUNCTION("""COMPUTED_VALUE"""),69.0)</f>
        <v>69</v>
      </c>
      <c r="F5603" s="19" t="str">
        <f>IFERROR(__xludf.DUMMYFUNCTION("""COMPUTED_VALUE"""),"BLACK")</f>
        <v>BLACK</v>
      </c>
      <c r="G5603" s="20" t="str">
        <f>IFERROR(__xludf.DUMMYFUNCTION("""COMPUTED_VALUE"""),"Uncle Sams Cider (5/13/2022)")</f>
        <v>Uncle Sams Cider (5/13/2022)</v>
      </c>
      <c r="H5603" s="19"/>
    </row>
    <row r="5604">
      <c r="A5604" s="9"/>
      <c r="B5604" s="15"/>
      <c r="C5604" s="9">
        <f>IFERROR(__xludf.DUMMYFUNCTION("""COMPUTED_VALUE"""),44738.2032595138)</f>
        <v>44738.20326</v>
      </c>
      <c r="D5604" s="15">
        <f>IFERROR(__xludf.DUMMYFUNCTION("""COMPUTED_VALUE"""),1.005)</f>
        <v>1.005</v>
      </c>
      <c r="E5604" s="16">
        <f>IFERROR(__xludf.DUMMYFUNCTION("""COMPUTED_VALUE"""),69.0)</f>
        <v>69</v>
      </c>
      <c r="F5604" s="19" t="str">
        <f>IFERROR(__xludf.DUMMYFUNCTION("""COMPUTED_VALUE"""),"BLACK")</f>
        <v>BLACK</v>
      </c>
      <c r="G5604" s="20" t="str">
        <f>IFERROR(__xludf.DUMMYFUNCTION("""COMPUTED_VALUE"""),"Uncle Sams Cider (5/13/2022)")</f>
        <v>Uncle Sams Cider (5/13/2022)</v>
      </c>
      <c r="H5604" s="19"/>
    </row>
    <row r="5605">
      <c r="A5605" s="9"/>
      <c r="B5605" s="15"/>
      <c r="C5605" s="9">
        <f>IFERROR(__xludf.DUMMYFUNCTION("""COMPUTED_VALUE"""),44738.192838831)</f>
        <v>44738.19284</v>
      </c>
      <c r="D5605" s="15">
        <f>IFERROR(__xludf.DUMMYFUNCTION("""COMPUTED_VALUE"""),1.005)</f>
        <v>1.005</v>
      </c>
      <c r="E5605" s="16">
        <f>IFERROR(__xludf.DUMMYFUNCTION("""COMPUTED_VALUE"""),69.0)</f>
        <v>69</v>
      </c>
      <c r="F5605" s="19" t="str">
        <f>IFERROR(__xludf.DUMMYFUNCTION("""COMPUTED_VALUE"""),"BLACK")</f>
        <v>BLACK</v>
      </c>
      <c r="G5605" s="20" t="str">
        <f>IFERROR(__xludf.DUMMYFUNCTION("""COMPUTED_VALUE"""),"Uncle Sams Cider (5/13/2022)")</f>
        <v>Uncle Sams Cider (5/13/2022)</v>
      </c>
      <c r="H5605" s="19"/>
    </row>
    <row r="5606">
      <c r="A5606" s="9"/>
      <c r="B5606" s="15"/>
      <c r="C5606" s="9">
        <f>IFERROR(__xludf.DUMMYFUNCTION("""COMPUTED_VALUE"""),44738.1824193402)</f>
        <v>44738.18242</v>
      </c>
      <c r="D5606" s="15">
        <f>IFERROR(__xludf.DUMMYFUNCTION("""COMPUTED_VALUE"""),1.005)</f>
        <v>1.005</v>
      </c>
      <c r="E5606" s="16">
        <f>IFERROR(__xludf.DUMMYFUNCTION("""COMPUTED_VALUE"""),69.0)</f>
        <v>69</v>
      </c>
      <c r="F5606" s="19" t="str">
        <f>IFERROR(__xludf.DUMMYFUNCTION("""COMPUTED_VALUE"""),"BLACK")</f>
        <v>BLACK</v>
      </c>
      <c r="G5606" s="20" t="str">
        <f>IFERROR(__xludf.DUMMYFUNCTION("""COMPUTED_VALUE"""),"Uncle Sams Cider (5/13/2022)")</f>
        <v>Uncle Sams Cider (5/13/2022)</v>
      </c>
      <c r="H5606" s="19"/>
    </row>
    <row r="5607">
      <c r="A5607" s="9"/>
      <c r="B5607" s="15"/>
      <c r="C5607" s="9">
        <f>IFERROR(__xludf.DUMMYFUNCTION("""COMPUTED_VALUE"""),44738.1719976736)</f>
        <v>44738.172</v>
      </c>
      <c r="D5607" s="15">
        <f>IFERROR(__xludf.DUMMYFUNCTION("""COMPUTED_VALUE"""),1.005)</f>
        <v>1.005</v>
      </c>
      <c r="E5607" s="16">
        <f>IFERROR(__xludf.DUMMYFUNCTION("""COMPUTED_VALUE"""),69.0)</f>
        <v>69</v>
      </c>
      <c r="F5607" s="19" t="str">
        <f>IFERROR(__xludf.DUMMYFUNCTION("""COMPUTED_VALUE"""),"BLACK")</f>
        <v>BLACK</v>
      </c>
      <c r="G5607" s="20" t="str">
        <f>IFERROR(__xludf.DUMMYFUNCTION("""COMPUTED_VALUE"""),"Uncle Sams Cider (5/13/2022)")</f>
        <v>Uncle Sams Cider (5/13/2022)</v>
      </c>
      <c r="H5607" s="19"/>
    </row>
    <row r="5608">
      <c r="A5608" s="9"/>
      <c r="B5608" s="15"/>
      <c r="C5608" s="9">
        <f>IFERROR(__xludf.DUMMYFUNCTION("""COMPUTED_VALUE"""),44738.1615761805)</f>
        <v>44738.16158</v>
      </c>
      <c r="D5608" s="15">
        <f>IFERROR(__xludf.DUMMYFUNCTION("""COMPUTED_VALUE"""),1.005)</f>
        <v>1.005</v>
      </c>
      <c r="E5608" s="16">
        <f>IFERROR(__xludf.DUMMYFUNCTION("""COMPUTED_VALUE"""),69.0)</f>
        <v>69</v>
      </c>
      <c r="F5608" s="19" t="str">
        <f>IFERROR(__xludf.DUMMYFUNCTION("""COMPUTED_VALUE"""),"BLACK")</f>
        <v>BLACK</v>
      </c>
      <c r="G5608" s="20" t="str">
        <f>IFERROR(__xludf.DUMMYFUNCTION("""COMPUTED_VALUE"""),"Uncle Sams Cider (5/13/2022)")</f>
        <v>Uncle Sams Cider (5/13/2022)</v>
      </c>
      <c r="H5608" s="19"/>
    </row>
    <row r="5609">
      <c r="A5609" s="9"/>
      <c r="B5609" s="15"/>
      <c r="C5609" s="9">
        <f>IFERROR(__xludf.DUMMYFUNCTION("""COMPUTED_VALUE"""),44738.1511414699)</f>
        <v>44738.15114</v>
      </c>
      <c r="D5609" s="15">
        <f>IFERROR(__xludf.DUMMYFUNCTION("""COMPUTED_VALUE"""),1.005)</f>
        <v>1.005</v>
      </c>
      <c r="E5609" s="16">
        <f>IFERROR(__xludf.DUMMYFUNCTION("""COMPUTED_VALUE"""),69.0)</f>
        <v>69</v>
      </c>
      <c r="F5609" s="19" t="str">
        <f>IFERROR(__xludf.DUMMYFUNCTION("""COMPUTED_VALUE"""),"BLACK")</f>
        <v>BLACK</v>
      </c>
      <c r="G5609" s="20" t="str">
        <f>IFERROR(__xludf.DUMMYFUNCTION("""COMPUTED_VALUE"""),"Uncle Sams Cider (5/13/2022)")</f>
        <v>Uncle Sams Cider (5/13/2022)</v>
      </c>
      <c r="H5609" s="19"/>
    </row>
    <row r="5610">
      <c r="A5610" s="9"/>
      <c r="B5610" s="15"/>
      <c r="C5610" s="9">
        <f>IFERROR(__xludf.DUMMYFUNCTION("""COMPUTED_VALUE"""),44738.1407218171)</f>
        <v>44738.14072</v>
      </c>
      <c r="D5610" s="15">
        <f>IFERROR(__xludf.DUMMYFUNCTION("""COMPUTED_VALUE"""),1.005)</f>
        <v>1.005</v>
      </c>
      <c r="E5610" s="16">
        <f>IFERROR(__xludf.DUMMYFUNCTION("""COMPUTED_VALUE"""),69.0)</f>
        <v>69</v>
      </c>
      <c r="F5610" s="19" t="str">
        <f>IFERROR(__xludf.DUMMYFUNCTION("""COMPUTED_VALUE"""),"BLACK")</f>
        <v>BLACK</v>
      </c>
      <c r="G5610" s="20" t="str">
        <f>IFERROR(__xludf.DUMMYFUNCTION("""COMPUTED_VALUE"""),"Uncle Sams Cider (5/13/2022)")</f>
        <v>Uncle Sams Cider (5/13/2022)</v>
      </c>
      <c r="H5610" s="19"/>
    </row>
    <row r="5611">
      <c r="A5611" s="9"/>
      <c r="B5611" s="15"/>
      <c r="C5611" s="9">
        <f>IFERROR(__xludf.DUMMYFUNCTION("""COMPUTED_VALUE"""),44738.1303014236)</f>
        <v>44738.1303</v>
      </c>
      <c r="D5611" s="15">
        <f>IFERROR(__xludf.DUMMYFUNCTION("""COMPUTED_VALUE"""),1.005)</f>
        <v>1.005</v>
      </c>
      <c r="E5611" s="16">
        <f>IFERROR(__xludf.DUMMYFUNCTION("""COMPUTED_VALUE"""),69.0)</f>
        <v>69</v>
      </c>
      <c r="F5611" s="19" t="str">
        <f>IFERROR(__xludf.DUMMYFUNCTION("""COMPUTED_VALUE"""),"BLACK")</f>
        <v>BLACK</v>
      </c>
      <c r="G5611" s="20" t="str">
        <f>IFERROR(__xludf.DUMMYFUNCTION("""COMPUTED_VALUE"""),"Uncle Sams Cider (5/13/2022)")</f>
        <v>Uncle Sams Cider (5/13/2022)</v>
      </c>
      <c r="H5611" s="19"/>
    </row>
    <row r="5612">
      <c r="A5612" s="9"/>
      <c r="B5612" s="15"/>
      <c r="C5612" s="9">
        <f>IFERROR(__xludf.DUMMYFUNCTION("""COMPUTED_VALUE"""),44738.1198806713)</f>
        <v>44738.11988</v>
      </c>
      <c r="D5612" s="15">
        <f>IFERROR(__xludf.DUMMYFUNCTION("""COMPUTED_VALUE"""),1.005)</f>
        <v>1.005</v>
      </c>
      <c r="E5612" s="16">
        <f>IFERROR(__xludf.DUMMYFUNCTION("""COMPUTED_VALUE"""),69.0)</f>
        <v>69</v>
      </c>
      <c r="F5612" s="19" t="str">
        <f>IFERROR(__xludf.DUMMYFUNCTION("""COMPUTED_VALUE"""),"BLACK")</f>
        <v>BLACK</v>
      </c>
      <c r="G5612" s="20" t="str">
        <f>IFERROR(__xludf.DUMMYFUNCTION("""COMPUTED_VALUE"""),"Uncle Sams Cider (5/13/2022)")</f>
        <v>Uncle Sams Cider (5/13/2022)</v>
      </c>
      <c r="H5612" s="19"/>
    </row>
    <row r="5613">
      <c r="A5613" s="9"/>
      <c r="B5613" s="15"/>
      <c r="C5613" s="9">
        <f>IFERROR(__xludf.DUMMYFUNCTION("""COMPUTED_VALUE"""),44738.1094591782)</f>
        <v>44738.10946</v>
      </c>
      <c r="D5613" s="15">
        <f>IFERROR(__xludf.DUMMYFUNCTION("""COMPUTED_VALUE"""),1.005)</f>
        <v>1.005</v>
      </c>
      <c r="E5613" s="16">
        <f>IFERROR(__xludf.DUMMYFUNCTION("""COMPUTED_VALUE"""),69.0)</f>
        <v>69</v>
      </c>
      <c r="F5613" s="19" t="str">
        <f>IFERROR(__xludf.DUMMYFUNCTION("""COMPUTED_VALUE"""),"BLACK")</f>
        <v>BLACK</v>
      </c>
      <c r="G5613" s="20" t="str">
        <f>IFERROR(__xludf.DUMMYFUNCTION("""COMPUTED_VALUE"""),"Uncle Sams Cider (5/13/2022)")</f>
        <v>Uncle Sams Cider (5/13/2022)</v>
      </c>
      <c r="H5613" s="19"/>
    </row>
    <row r="5614">
      <c r="A5614" s="9"/>
      <c r="B5614" s="15"/>
      <c r="C5614" s="9">
        <f>IFERROR(__xludf.DUMMYFUNCTION("""COMPUTED_VALUE"""),44738.0990393634)</f>
        <v>44738.09904</v>
      </c>
      <c r="D5614" s="15">
        <f>IFERROR(__xludf.DUMMYFUNCTION("""COMPUTED_VALUE"""),1.005)</f>
        <v>1.005</v>
      </c>
      <c r="E5614" s="16">
        <f>IFERROR(__xludf.DUMMYFUNCTION("""COMPUTED_VALUE"""),69.0)</f>
        <v>69</v>
      </c>
      <c r="F5614" s="19" t="str">
        <f>IFERROR(__xludf.DUMMYFUNCTION("""COMPUTED_VALUE"""),"BLACK")</f>
        <v>BLACK</v>
      </c>
      <c r="G5614" s="20" t="str">
        <f>IFERROR(__xludf.DUMMYFUNCTION("""COMPUTED_VALUE"""),"Uncle Sams Cider (5/13/2022)")</f>
        <v>Uncle Sams Cider (5/13/2022)</v>
      </c>
      <c r="H5614" s="19"/>
    </row>
    <row r="5615">
      <c r="A5615" s="9"/>
      <c r="B5615" s="15"/>
      <c r="C5615" s="9">
        <f>IFERROR(__xludf.DUMMYFUNCTION("""COMPUTED_VALUE"""),44738.0886184027)</f>
        <v>44738.08862</v>
      </c>
      <c r="D5615" s="15">
        <f>IFERROR(__xludf.DUMMYFUNCTION("""COMPUTED_VALUE"""),1.005)</f>
        <v>1.005</v>
      </c>
      <c r="E5615" s="16">
        <f>IFERROR(__xludf.DUMMYFUNCTION("""COMPUTED_VALUE"""),69.0)</f>
        <v>69</v>
      </c>
      <c r="F5615" s="19" t="str">
        <f>IFERROR(__xludf.DUMMYFUNCTION("""COMPUTED_VALUE"""),"BLACK")</f>
        <v>BLACK</v>
      </c>
      <c r="G5615" s="20" t="str">
        <f>IFERROR(__xludf.DUMMYFUNCTION("""COMPUTED_VALUE"""),"Uncle Sams Cider (5/13/2022)")</f>
        <v>Uncle Sams Cider (5/13/2022)</v>
      </c>
      <c r="H5615" s="19"/>
    </row>
    <row r="5616">
      <c r="A5616" s="9"/>
      <c r="B5616" s="15"/>
      <c r="C5616" s="9">
        <f>IFERROR(__xludf.DUMMYFUNCTION("""COMPUTED_VALUE"""),44738.078195949)</f>
        <v>44738.0782</v>
      </c>
      <c r="D5616" s="15">
        <f>IFERROR(__xludf.DUMMYFUNCTION("""COMPUTED_VALUE"""),1.005)</f>
        <v>1.005</v>
      </c>
      <c r="E5616" s="16">
        <f>IFERROR(__xludf.DUMMYFUNCTION("""COMPUTED_VALUE"""),69.0)</f>
        <v>69</v>
      </c>
      <c r="F5616" s="19" t="str">
        <f>IFERROR(__xludf.DUMMYFUNCTION("""COMPUTED_VALUE"""),"BLACK")</f>
        <v>BLACK</v>
      </c>
      <c r="G5616" s="20" t="str">
        <f>IFERROR(__xludf.DUMMYFUNCTION("""COMPUTED_VALUE"""),"Uncle Sams Cider (5/13/2022)")</f>
        <v>Uncle Sams Cider (5/13/2022)</v>
      </c>
      <c r="H5616" s="19"/>
    </row>
    <row r="5617">
      <c r="A5617" s="9"/>
      <c r="B5617" s="15"/>
      <c r="C5617" s="9">
        <f>IFERROR(__xludf.DUMMYFUNCTION("""COMPUTED_VALUE"""),44738.067774456)</f>
        <v>44738.06777</v>
      </c>
      <c r="D5617" s="15">
        <f>IFERROR(__xludf.DUMMYFUNCTION("""COMPUTED_VALUE"""),1.005)</f>
        <v>1.005</v>
      </c>
      <c r="E5617" s="16">
        <f>IFERROR(__xludf.DUMMYFUNCTION("""COMPUTED_VALUE"""),69.0)</f>
        <v>69</v>
      </c>
      <c r="F5617" s="19" t="str">
        <f>IFERROR(__xludf.DUMMYFUNCTION("""COMPUTED_VALUE"""),"BLACK")</f>
        <v>BLACK</v>
      </c>
      <c r="G5617" s="20" t="str">
        <f>IFERROR(__xludf.DUMMYFUNCTION("""COMPUTED_VALUE"""),"Uncle Sams Cider (5/13/2022)")</f>
        <v>Uncle Sams Cider (5/13/2022)</v>
      </c>
      <c r="H5617" s="19"/>
    </row>
    <row r="5618">
      <c r="A5618" s="9"/>
      <c r="B5618" s="15"/>
      <c r="C5618" s="9">
        <f>IFERROR(__xludf.DUMMYFUNCTION("""COMPUTED_VALUE"""),44738.0573421296)</f>
        <v>44738.05734</v>
      </c>
      <c r="D5618" s="15">
        <f>IFERROR(__xludf.DUMMYFUNCTION("""COMPUTED_VALUE"""),1.005)</f>
        <v>1.005</v>
      </c>
      <c r="E5618" s="16">
        <f>IFERROR(__xludf.DUMMYFUNCTION("""COMPUTED_VALUE"""),69.0)</f>
        <v>69</v>
      </c>
      <c r="F5618" s="19" t="str">
        <f>IFERROR(__xludf.DUMMYFUNCTION("""COMPUTED_VALUE"""),"BLACK")</f>
        <v>BLACK</v>
      </c>
      <c r="G5618" s="20" t="str">
        <f>IFERROR(__xludf.DUMMYFUNCTION("""COMPUTED_VALUE"""),"Uncle Sams Cider (5/13/2022)")</f>
        <v>Uncle Sams Cider (5/13/2022)</v>
      </c>
      <c r="H5618" s="19"/>
    </row>
    <row r="5619">
      <c r="A5619" s="9"/>
      <c r="B5619" s="15"/>
      <c r="C5619" s="9">
        <f>IFERROR(__xludf.DUMMYFUNCTION("""COMPUTED_VALUE"""),44738.0469225115)</f>
        <v>44738.04692</v>
      </c>
      <c r="D5619" s="15">
        <f>IFERROR(__xludf.DUMMYFUNCTION("""COMPUTED_VALUE"""),1.005)</f>
        <v>1.005</v>
      </c>
      <c r="E5619" s="16">
        <f>IFERROR(__xludf.DUMMYFUNCTION("""COMPUTED_VALUE"""),69.0)</f>
        <v>69</v>
      </c>
      <c r="F5619" s="19" t="str">
        <f>IFERROR(__xludf.DUMMYFUNCTION("""COMPUTED_VALUE"""),"BLACK")</f>
        <v>BLACK</v>
      </c>
      <c r="G5619" s="20" t="str">
        <f>IFERROR(__xludf.DUMMYFUNCTION("""COMPUTED_VALUE"""),"Uncle Sams Cider (5/13/2022)")</f>
        <v>Uncle Sams Cider (5/13/2022)</v>
      </c>
      <c r="H5619" s="19"/>
    </row>
    <row r="5620">
      <c r="A5620" s="9"/>
      <c r="B5620" s="15"/>
      <c r="C5620" s="9">
        <f>IFERROR(__xludf.DUMMYFUNCTION("""COMPUTED_VALUE"""),44738.0364898032)</f>
        <v>44738.03649</v>
      </c>
      <c r="D5620" s="15">
        <f>IFERROR(__xludf.DUMMYFUNCTION("""COMPUTED_VALUE"""),1.005)</f>
        <v>1.005</v>
      </c>
      <c r="E5620" s="16">
        <f>IFERROR(__xludf.DUMMYFUNCTION("""COMPUTED_VALUE"""),69.0)</f>
        <v>69</v>
      </c>
      <c r="F5620" s="19" t="str">
        <f>IFERROR(__xludf.DUMMYFUNCTION("""COMPUTED_VALUE"""),"BLACK")</f>
        <v>BLACK</v>
      </c>
      <c r="G5620" s="20" t="str">
        <f>IFERROR(__xludf.DUMMYFUNCTION("""COMPUTED_VALUE"""),"Uncle Sams Cider (5/13/2022)")</f>
        <v>Uncle Sams Cider (5/13/2022)</v>
      </c>
      <c r="H5620" s="19"/>
    </row>
    <row r="5621">
      <c r="A5621" s="9"/>
      <c r="B5621" s="15"/>
      <c r="C5621" s="9">
        <f>IFERROR(__xludf.DUMMYFUNCTION("""COMPUTED_VALUE"""),44738.0260679629)</f>
        <v>44738.02607</v>
      </c>
      <c r="D5621" s="15">
        <f>IFERROR(__xludf.DUMMYFUNCTION("""COMPUTED_VALUE"""),1.004)</f>
        <v>1.004</v>
      </c>
      <c r="E5621" s="16">
        <f>IFERROR(__xludf.DUMMYFUNCTION("""COMPUTED_VALUE"""),69.0)</f>
        <v>69</v>
      </c>
      <c r="F5621" s="19" t="str">
        <f>IFERROR(__xludf.DUMMYFUNCTION("""COMPUTED_VALUE"""),"BLACK")</f>
        <v>BLACK</v>
      </c>
      <c r="G5621" s="20" t="str">
        <f>IFERROR(__xludf.DUMMYFUNCTION("""COMPUTED_VALUE"""),"Uncle Sams Cider (5/13/2022)")</f>
        <v>Uncle Sams Cider (5/13/2022)</v>
      </c>
      <c r="H5621" s="19"/>
    </row>
    <row r="5622">
      <c r="A5622" s="9"/>
      <c r="B5622" s="15"/>
      <c r="C5622" s="9">
        <f>IFERROR(__xludf.DUMMYFUNCTION("""COMPUTED_VALUE"""),44738.0156449537)</f>
        <v>44738.01564</v>
      </c>
      <c r="D5622" s="15">
        <f>IFERROR(__xludf.DUMMYFUNCTION("""COMPUTED_VALUE"""),1.005)</f>
        <v>1.005</v>
      </c>
      <c r="E5622" s="16">
        <f>IFERROR(__xludf.DUMMYFUNCTION("""COMPUTED_VALUE"""),69.0)</f>
        <v>69</v>
      </c>
      <c r="F5622" s="19" t="str">
        <f>IFERROR(__xludf.DUMMYFUNCTION("""COMPUTED_VALUE"""),"BLACK")</f>
        <v>BLACK</v>
      </c>
      <c r="G5622" s="20" t="str">
        <f>IFERROR(__xludf.DUMMYFUNCTION("""COMPUTED_VALUE"""),"Uncle Sams Cider (5/13/2022)")</f>
        <v>Uncle Sams Cider (5/13/2022)</v>
      </c>
      <c r="H5622" s="19"/>
    </row>
    <row r="5623">
      <c r="A5623" s="9"/>
      <c r="B5623" s="15"/>
      <c r="C5623" s="9">
        <f>IFERROR(__xludf.DUMMYFUNCTION("""COMPUTED_VALUE"""),44738.0052228703)</f>
        <v>44738.00522</v>
      </c>
      <c r="D5623" s="15">
        <f>IFERROR(__xludf.DUMMYFUNCTION("""COMPUTED_VALUE"""),1.005)</f>
        <v>1.005</v>
      </c>
      <c r="E5623" s="16">
        <f>IFERROR(__xludf.DUMMYFUNCTION("""COMPUTED_VALUE"""),69.0)</f>
        <v>69</v>
      </c>
      <c r="F5623" s="19" t="str">
        <f>IFERROR(__xludf.DUMMYFUNCTION("""COMPUTED_VALUE"""),"BLACK")</f>
        <v>BLACK</v>
      </c>
      <c r="G5623" s="20" t="str">
        <f>IFERROR(__xludf.DUMMYFUNCTION("""COMPUTED_VALUE"""),"Uncle Sams Cider (5/13/2022)")</f>
        <v>Uncle Sams Cider (5/13/2022)</v>
      </c>
      <c r="H5623" s="19"/>
    </row>
    <row r="5624">
      <c r="A5624" s="9"/>
      <c r="B5624" s="15"/>
      <c r="C5624" s="9">
        <f>IFERROR(__xludf.DUMMYFUNCTION("""COMPUTED_VALUE"""),44737.9948014814)</f>
        <v>44737.9948</v>
      </c>
      <c r="D5624" s="15">
        <f>IFERROR(__xludf.DUMMYFUNCTION("""COMPUTED_VALUE"""),1.005)</f>
        <v>1.005</v>
      </c>
      <c r="E5624" s="16">
        <f>IFERROR(__xludf.DUMMYFUNCTION("""COMPUTED_VALUE"""),69.0)</f>
        <v>69</v>
      </c>
      <c r="F5624" s="19" t="str">
        <f>IFERROR(__xludf.DUMMYFUNCTION("""COMPUTED_VALUE"""),"BLACK")</f>
        <v>BLACK</v>
      </c>
      <c r="G5624" s="20" t="str">
        <f>IFERROR(__xludf.DUMMYFUNCTION("""COMPUTED_VALUE"""),"Uncle Sams Cider (5/13/2022)")</f>
        <v>Uncle Sams Cider (5/13/2022)</v>
      </c>
      <c r="H5624" s="19"/>
    </row>
    <row r="5625">
      <c r="A5625" s="9"/>
      <c r="B5625" s="15"/>
      <c r="C5625" s="9">
        <f>IFERROR(__xludf.DUMMYFUNCTION("""COMPUTED_VALUE"""),44737.9843680555)</f>
        <v>44737.98437</v>
      </c>
      <c r="D5625" s="15">
        <f>IFERROR(__xludf.DUMMYFUNCTION("""COMPUTED_VALUE"""),1.005)</f>
        <v>1.005</v>
      </c>
      <c r="E5625" s="16">
        <f>IFERROR(__xludf.DUMMYFUNCTION("""COMPUTED_VALUE"""),69.0)</f>
        <v>69</v>
      </c>
      <c r="F5625" s="19" t="str">
        <f>IFERROR(__xludf.DUMMYFUNCTION("""COMPUTED_VALUE"""),"BLACK")</f>
        <v>BLACK</v>
      </c>
      <c r="G5625" s="20" t="str">
        <f>IFERROR(__xludf.DUMMYFUNCTION("""COMPUTED_VALUE"""),"Uncle Sams Cider (5/13/2022)")</f>
        <v>Uncle Sams Cider (5/13/2022)</v>
      </c>
      <c r="H5625" s="19"/>
    </row>
    <row r="5626">
      <c r="A5626" s="9"/>
      <c r="B5626" s="15"/>
      <c r="C5626" s="9">
        <f>IFERROR(__xludf.DUMMYFUNCTION("""COMPUTED_VALUE"""),44737.9739451736)</f>
        <v>44737.97395</v>
      </c>
      <c r="D5626" s="15">
        <f>IFERROR(__xludf.DUMMYFUNCTION("""COMPUTED_VALUE"""),1.005)</f>
        <v>1.005</v>
      </c>
      <c r="E5626" s="16">
        <f>IFERROR(__xludf.DUMMYFUNCTION("""COMPUTED_VALUE"""),69.0)</f>
        <v>69</v>
      </c>
      <c r="F5626" s="19" t="str">
        <f>IFERROR(__xludf.DUMMYFUNCTION("""COMPUTED_VALUE"""),"BLACK")</f>
        <v>BLACK</v>
      </c>
      <c r="G5626" s="20" t="str">
        <f>IFERROR(__xludf.DUMMYFUNCTION("""COMPUTED_VALUE"""),"Uncle Sams Cider (5/13/2022)")</f>
        <v>Uncle Sams Cider (5/13/2022)</v>
      </c>
      <c r="H5626" s="19"/>
    </row>
    <row r="5627">
      <c r="A5627" s="9"/>
      <c r="B5627" s="15"/>
      <c r="C5627" s="9">
        <f>IFERROR(__xludf.DUMMYFUNCTION("""COMPUTED_VALUE"""),44737.9635129166)</f>
        <v>44737.96351</v>
      </c>
      <c r="D5627" s="15">
        <f>IFERROR(__xludf.DUMMYFUNCTION("""COMPUTED_VALUE"""),1.005)</f>
        <v>1.005</v>
      </c>
      <c r="E5627" s="16">
        <f>IFERROR(__xludf.DUMMYFUNCTION("""COMPUTED_VALUE"""),69.0)</f>
        <v>69</v>
      </c>
      <c r="F5627" s="19" t="str">
        <f>IFERROR(__xludf.DUMMYFUNCTION("""COMPUTED_VALUE"""),"BLACK")</f>
        <v>BLACK</v>
      </c>
      <c r="G5627" s="20" t="str">
        <f>IFERROR(__xludf.DUMMYFUNCTION("""COMPUTED_VALUE"""),"Uncle Sams Cider (5/13/2022)")</f>
        <v>Uncle Sams Cider (5/13/2022)</v>
      </c>
      <c r="H5627" s="19"/>
    </row>
    <row r="5628">
      <c r="A5628" s="9"/>
      <c r="B5628" s="15"/>
      <c r="C5628" s="9">
        <f>IFERROR(__xludf.DUMMYFUNCTION("""COMPUTED_VALUE"""),44737.9530924189)</f>
        <v>44737.95309</v>
      </c>
      <c r="D5628" s="15">
        <f>IFERROR(__xludf.DUMMYFUNCTION("""COMPUTED_VALUE"""),1.005)</f>
        <v>1.005</v>
      </c>
      <c r="E5628" s="16">
        <f>IFERROR(__xludf.DUMMYFUNCTION("""COMPUTED_VALUE"""),69.0)</f>
        <v>69</v>
      </c>
      <c r="F5628" s="19" t="str">
        <f>IFERROR(__xludf.DUMMYFUNCTION("""COMPUTED_VALUE"""),"BLACK")</f>
        <v>BLACK</v>
      </c>
      <c r="G5628" s="20" t="str">
        <f>IFERROR(__xludf.DUMMYFUNCTION("""COMPUTED_VALUE"""),"Uncle Sams Cider (5/13/2022)")</f>
        <v>Uncle Sams Cider (5/13/2022)</v>
      </c>
      <c r="H5628" s="19"/>
    </row>
    <row r="5629">
      <c r="A5629" s="9"/>
      <c r="B5629" s="15"/>
      <c r="C5629" s="9">
        <f>IFERROR(__xludf.DUMMYFUNCTION("""COMPUTED_VALUE"""),44737.9426698379)</f>
        <v>44737.94267</v>
      </c>
      <c r="D5629" s="15">
        <f>IFERROR(__xludf.DUMMYFUNCTION("""COMPUTED_VALUE"""),1.005)</f>
        <v>1.005</v>
      </c>
      <c r="E5629" s="16">
        <f>IFERROR(__xludf.DUMMYFUNCTION("""COMPUTED_VALUE"""),69.0)</f>
        <v>69</v>
      </c>
      <c r="F5629" s="19" t="str">
        <f>IFERROR(__xludf.DUMMYFUNCTION("""COMPUTED_VALUE"""),"BLACK")</f>
        <v>BLACK</v>
      </c>
      <c r="G5629" s="20" t="str">
        <f>IFERROR(__xludf.DUMMYFUNCTION("""COMPUTED_VALUE"""),"Uncle Sams Cider (5/13/2022)")</f>
        <v>Uncle Sams Cider (5/13/2022)</v>
      </c>
      <c r="H5629" s="19"/>
    </row>
    <row r="5630">
      <c r="A5630" s="9"/>
      <c r="B5630" s="15"/>
      <c r="C5630" s="9">
        <f>IFERROR(__xludf.DUMMYFUNCTION("""COMPUTED_VALUE"""),44737.9322242361)</f>
        <v>44737.93222</v>
      </c>
      <c r="D5630" s="15">
        <f>IFERROR(__xludf.DUMMYFUNCTION("""COMPUTED_VALUE"""),1.004)</f>
        <v>1.004</v>
      </c>
      <c r="E5630" s="16">
        <f>IFERROR(__xludf.DUMMYFUNCTION("""COMPUTED_VALUE"""),69.0)</f>
        <v>69</v>
      </c>
      <c r="F5630" s="19" t="str">
        <f>IFERROR(__xludf.DUMMYFUNCTION("""COMPUTED_VALUE"""),"BLACK")</f>
        <v>BLACK</v>
      </c>
      <c r="G5630" s="20" t="str">
        <f>IFERROR(__xludf.DUMMYFUNCTION("""COMPUTED_VALUE"""),"Uncle Sams Cider (5/13/2022)")</f>
        <v>Uncle Sams Cider (5/13/2022)</v>
      </c>
      <c r="H5630" s="19"/>
    </row>
    <row r="5631">
      <c r="A5631" s="9"/>
      <c r="B5631" s="15"/>
      <c r="C5631" s="9">
        <f>IFERROR(__xludf.DUMMYFUNCTION("""COMPUTED_VALUE"""),44737.9218016435)</f>
        <v>44737.9218</v>
      </c>
      <c r="D5631" s="15">
        <f>IFERROR(__xludf.DUMMYFUNCTION("""COMPUTED_VALUE"""),1.005)</f>
        <v>1.005</v>
      </c>
      <c r="E5631" s="16">
        <f>IFERROR(__xludf.DUMMYFUNCTION("""COMPUTED_VALUE"""),69.0)</f>
        <v>69</v>
      </c>
      <c r="F5631" s="19" t="str">
        <f>IFERROR(__xludf.DUMMYFUNCTION("""COMPUTED_VALUE"""),"BLACK")</f>
        <v>BLACK</v>
      </c>
      <c r="G5631" s="20" t="str">
        <f>IFERROR(__xludf.DUMMYFUNCTION("""COMPUTED_VALUE"""),"Uncle Sams Cider (5/13/2022)")</f>
        <v>Uncle Sams Cider (5/13/2022)</v>
      </c>
      <c r="H5631" s="19"/>
    </row>
    <row r="5632">
      <c r="A5632" s="9"/>
      <c r="B5632" s="15"/>
      <c r="C5632" s="9">
        <f>IFERROR(__xludf.DUMMYFUNCTION("""COMPUTED_VALUE"""),44737.9113813194)</f>
        <v>44737.91138</v>
      </c>
      <c r="D5632" s="15">
        <f>IFERROR(__xludf.DUMMYFUNCTION("""COMPUTED_VALUE"""),1.005)</f>
        <v>1.005</v>
      </c>
      <c r="E5632" s="16">
        <f>IFERROR(__xludf.DUMMYFUNCTION("""COMPUTED_VALUE"""),69.0)</f>
        <v>69</v>
      </c>
      <c r="F5632" s="19" t="str">
        <f>IFERROR(__xludf.DUMMYFUNCTION("""COMPUTED_VALUE"""),"BLACK")</f>
        <v>BLACK</v>
      </c>
      <c r="G5632" s="20" t="str">
        <f>IFERROR(__xludf.DUMMYFUNCTION("""COMPUTED_VALUE"""),"Uncle Sams Cider (5/13/2022)")</f>
        <v>Uncle Sams Cider (5/13/2022)</v>
      </c>
      <c r="H5632" s="19"/>
    </row>
    <row r="5633">
      <c r="A5633" s="9"/>
      <c r="B5633" s="15"/>
      <c r="C5633" s="9">
        <f>IFERROR(__xludf.DUMMYFUNCTION("""COMPUTED_VALUE"""),44737.9009604629)</f>
        <v>44737.90096</v>
      </c>
      <c r="D5633" s="15">
        <f>IFERROR(__xludf.DUMMYFUNCTION("""COMPUTED_VALUE"""),1.005)</f>
        <v>1.005</v>
      </c>
      <c r="E5633" s="16">
        <f>IFERROR(__xludf.DUMMYFUNCTION("""COMPUTED_VALUE"""),69.0)</f>
        <v>69</v>
      </c>
      <c r="F5633" s="19" t="str">
        <f>IFERROR(__xludf.DUMMYFUNCTION("""COMPUTED_VALUE"""),"BLACK")</f>
        <v>BLACK</v>
      </c>
      <c r="G5633" s="20" t="str">
        <f>IFERROR(__xludf.DUMMYFUNCTION("""COMPUTED_VALUE"""),"Uncle Sams Cider (5/13/2022)")</f>
        <v>Uncle Sams Cider (5/13/2022)</v>
      </c>
      <c r="H5633" s="19"/>
    </row>
    <row r="5634">
      <c r="A5634" s="9"/>
      <c r="B5634" s="15"/>
      <c r="C5634" s="9">
        <f>IFERROR(__xludf.DUMMYFUNCTION("""COMPUTED_VALUE"""),44737.8905380555)</f>
        <v>44737.89054</v>
      </c>
      <c r="D5634" s="15">
        <f>IFERROR(__xludf.DUMMYFUNCTION("""COMPUTED_VALUE"""),1.005)</f>
        <v>1.005</v>
      </c>
      <c r="E5634" s="16">
        <f>IFERROR(__xludf.DUMMYFUNCTION("""COMPUTED_VALUE"""),69.0)</f>
        <v>69</v>
      </c>
      <c r="F5634" s="19" t="str">
        <f>IFERROR(__xludf.DUMMYFUNCTION("""COMPUTED_VALUE"""),"BLACK")</f>
        <v>BLACK</v>
      </c>
      <c r="G5634" s="20" t="str">
        <f>IFERROR(__xludf.DUMMYFUNCTION("""COMPUTED_VALUE"""),"Uncle Sams Cider (5/13/2022)")</f>
        <v>Uncle Sams Cider (5/13/2022)</v>
      </c>
      <c r="H5634" s="19"/>
    </row>
    <row r="5635">
      <c r="A5635" s="9"/>
      <c r="B5635" s="15"/>
      <c r="C5635" s="9">
        <f>IFERROR(__xludf.DUMMYFUNCTION("""COMPUTED_VALUE"""),44737.8801173263)</f>
        <v>44737.88012</v>
      </c>
      <c r="D5635" s="15">
        <f>IFERROR(__xludf.DUMMYFUNCTION("""COMPUTED_VALUE"""),1.005)</f>
        <v>1.005</v>
      </c>
      <c r="E5635" s="16">
        <f>IFERROR(__xludf.DUMMYFUNCTION("""COMPUTED_VALUE"""),69.0)</f>
        <v>69</v>
      </c>
      <c r="F5635" s="19" t="str">
        <f>IFERROR(__xludf.DUMMYFUNCTION("""COMPUTED_VALUE"""),"BLACK")</f>
        <v>BLACK</v>
      </c>
      <c r="G5635" s="20" t="str">
        <f>IFERROR(__xludf.DUMMYFUNCTION("""COMPUTED_VALUE"""),"Uncle Sams Cider (5/13/2022)")</f>
        <v>Uncle Sams Cider (5/13/2022)</v>
      </c>
      <c r="H5635" s="19"/>
    </row>
    <row r="5636">
      <c r="A5636" s="9"/>
      <c r="B5636" s="15"/>
      <c r="C5636" s="9">
        <f>IFERROR(__xludf.DUMMYFUNCTION("""COMPUTED_VALUE"""),44737.8696982291)</f>
        <v>44737.8697</v>
      </c>
      <c r="D5636" s="15">
        <f>IFERROR(__xludf.DUMMYFUNCTION("""COMPUTED_VALUE"""),1.005)</f>
        <v>1.005</v>
      </c>
      <c r="E5636" s="16">
        <f>IFERROR(__xludf.DUMMYFUNCTION("""COMPUTED_VALUE"""),69.0)</f>
        <v>69</v>
      </c>
      <c r="F5636" s="19" t="str">
        <f>IFERROR(__xludf.DUMMYFUNCTION("""COMPUTED_VALUE"""),"BLACK")</f>
        <v>BLACK</v>
      </c>
      <c r="G5636" s="20" t="str">
        <f>IFERROR(__xludf.DUMMYFUNCTION("""COMPUTED_VALUE"""),"Uncle Sams Cider (5/13/2022)")</f>
        <v>Uncle Sams Cider (5/13/2022)</v>
      </c>
      <c r="H5636" s="19"/>
    </row>
    <row r="5637">
      <c r="A5637" s="9"/>
      <c r="B5637" s="15"/>
      <c r="C5637" s="9">
        <f>IFERROR(__xludf.DUMMYFUNCTION("""COMPUTED_VALUE"""),44737.8592780324)</f>
        <v>44737.85928</v>
      </c>
      <c r="D5637" s="15">
        <f>IFERROR(__xludf.DUMMYFUNCTION("""COMPUTED_VALUE"""),1.005)</f>
        <v>1.005</v>
      </c>
      <c r="E5637" s="16">
        <f>IFERROR(__xludf.DUMMYFUNCTION("""COMPUTED_VALUE"""),69.0)</f>
        <v>69</v>
      </c>
      <c r="F5637" s="19" t="str">
        <f>IFERROR(__xludf.DUMMYFUNCTION("""COMPUTED_VALUE"""),"BLACK")</f>
        <v>BLACK</v>
      </c>
      <c r="G5637" s="20" t="str">
        <f>IFERROR(__xludf.DUMMYFUNCTION("""COMPUTED_VALUE"""),"Uncle Sams Cider (5/13/2022)")</f>
        <v>Uncle Sams Cider (5/13/2022)</v>
      </c>
      <c r="H5637" s="19"/>
    </row>
    <row r="5638">
      <c r="A5638" s="9"/>
      <c r="B5638" s="15"/>
      <c r="C5638" s="9">
        <f>IFERROR(__xludf.DUMMYFUNCTION("""COMPUTED_VALUE"""),44737.8488537731)</f>
        <v>44737.84885</v>
      </c>
      <c r="D5638" s="15">
        <f>IFERROR(__xludf.DUMMYFUNCTION("""COMPUTED_VALUE"""),1.005)</f>
        <v>1.005</v>
      </c>
      <c r="E5638" s="16">
        <f>IFERROR(__xludf.DUMMYFUNCTION("""COMPUTED_VALUE"""),69.0)</f>
        <v>69</v>
      </c>
      <c r="F5638" s="19" t="str">
        <f>IFERROR(__xludf.DUMMYFUNCTION("""COMPUTED_VALUE"""),"BLACK")</f>
        <v>BLACK</v>
      </c>
      <c r="G5638" s="20" t="str">
        <f>IFERROR(__xludf.DUMMYFUNCTION("""COMPUTED_VALUE"""),"Uncle Sams Cider (5/13/2022)")</f>
        <v>Uncle Sams Cider (5/13/2022)</v>
      </c>
      <c r="H5638" s="19"/>
    </row>
    <row r="5639">
      <c r="A5639" s="9"/>
      <c r="B5639" s="15"/>
      <c r="C5639" s="9">
        <f>IFERROR(__xludf.DUMMYFUNCTION("""COMPUTED_VALUE"""),44737.8384324189)</f>
        <v>44737.83843</v>
      </c>
      <c r="D5639" s="15">
        <f>IFERROR(__xludf.DUMMYFUNCTION("""COMPUTED_VALUE"""),1.005)</f>
        <v>1.005</v>
      </c>
      <c r="E5639" s="16">
        <f>IFERROR(__xludf.DUMMYFUNCTION("""COMPUTED_VALUE"""),69.0)</f>
        <v>69</v>
      </c>
      <c r="F5639" s="19" t="str">
        <f>IFERROR(__xludf.DUMMYFUNCTION("""COMPUTED_VALUE"""),"BLACK")</f>
        <v>BLACK</v>
      </c>
      <c r="G5639" s="20" t="str">
        <f>IFERROR(__xludf.DUMMYFUNCTION("""COMPUTED_VALUE"""),"Uncle Sams Cider (5/13/2022)")</f>
        <v>Uncle Sams Cider (5/13/2022)</v>
      </c>
      <c r="H5639" s="19"/>
    </row>
    <row r="5640">
      <c r="A5640" s="9"/>
      <c r="B5640" s="15"/>
      <c r="C5640" s="9">
        <f>IFERROR(__xludf.DUMMYFUNCTION("""COMPUTED_VALUE"""),44737.8280129976)</f>
        <v>44737.82801</v>
      </c>
      <c r="D5640" s="15">
        <f>IFERROR(__xludf.DUMMYFUNCTION("""COMPUTED_VALUE"""),1.005)</f>
        <v>1.005</v>
      </c>
      <c r="E5640" s="16">
        <f>IFERROR(__xludf.DUMMYFUNCTION("""COMPUTED_VALUE"""),69.0)</f>
        <v>69</v>
      </c>
      <c r="F5640" s="19" t="str">
        <f>IFERROR(__xludf.DUMMYFUNCTION("""COMPUTED_VALUE"""),"BLACK")</f>
        <v>BLACK</v>
      </c>
      <c r="G5640" s="20" t="str">
        <f>IFERROR(__xludf.DUMMYFUNCTION("""COMPUTED_VALUE"""),"Uncle Sams Cider (5/13/2022)")</f>
        <v>Uncle Sams Cider (5/13/2022)</v>
      </c>
      <c r="H5640" s="19"/>
    </row>
    <row r="5641">
      <c r="A5641" s="9"/>
      <c r="B5641" s="15"/>
      <c r="C5641" s="9">
        <f>IFERROR(__xludf.DUMMYFUNCTION("""COMPUTED_VALUE"""),44737.8175920486)</f>
        <v>44737.81759</v>
      </c>
      <c r="D5641" s="15">
        <f>IFERROR(__xludf.DUMMYFUNCTION("""COMPUTED_VALUE"""),1.005)</f>
        <v>1.005</v>
      </c>
      <c r="E5641" s="16">
        <f>IFERROR(__xludf.DUMMYFUNCTION("""COMPUTED_VALUE"""),69.0)</f>
        <v>69</v>
      </c>
      <c r="F5641" s="19" t="str">
        <f>IFERROR(__xludf.DUMMYFUNCTION("""COMPUTED_VALUE"""),"BLACK")</f>
        <v>BLACK</v>
      </c>
      <c r="G5641" s="20" t="str">
        <f>IFERROR(__xludf.DUMMYFUNCTION("""COMPUTED_VALUE"""),"Uncle Sams Cider (5/13/2022)")</f>
        <v>Uncle Sams Cider (5/13/2022)</v>
      </c>
      <c r="H5641" s="19"/>
    </row>
    <row r="5642">
      <c r="A5642" s="9"/>
      <c r="B5642" s="15"/>
      <c r="C5642" s="9">
        <f>IFERROR(__xludf.DUMMYFUNCTION("""COMPUTED_VALUE"""),44737.8071713425)</f>
        <v>44737.80717</v>
      </c>
      <c r="D5642" s="15">
        <f>IFERROR(__xludf.DUMMYFUNCTION("""COMPUTED_VALUE"""),1.005)</f>
        <v>1.005</v>
      </c>
      <c r="E5642" s="16">
        <f>IFERROR(__xludf.DUMMYFUNCTION("""COMPUTED_VALUE"""),69.0)</f>
        <v>69</v>
      </c>
      <c r="F5642" s="19" t="str">
        <f>IFERROR(__xludf.DUMMYFUNCTION("""COMPUTED_VALUE"""),"BLACK")</f>
        <v>BLACK</v>
      </c>
      <c r="G5642" s="20" t="str">
        <f>IFERROR(__xludf.DUMMYFUNCTION("""COMPUTED_VALUE"""),"Uncle Sams Cider (5/13/2022)")</f>
        <v>Uncle Sams Cider (5/13/2022)</v>
      </c>
      <c r="H5642" s="19"/>
    </row>
    <row r="5643">
      <c r="A5643" s="9"/>
      <c r="B5643" s="15"/>
      <c r="C5643" s="9">
        <f>IFERROR(__xludf.DUMMYFUNCTION("""COMPUTED_VALUE"""),44737.7967504745)</f>
        <v>44737.79675</v>
      </c>
      <c r="D5643" s="15">
        <f>IFERROR(__xludf.DUMMYFUNCTION("""COMPUTED_VALUE"""),1.005)</f>
        <v>1.005</v>
      </c>
      <c r="E5643" s="16">
        <f>IFERROR(__xludf.DUMMYFUNCTION("""COMPUTED_VALUE"""),69.0)</f>
        <v>69</v>
      </c>
      <c r="F5643" s="19" t="str">
        <f>IFERROR(__xludf.DUMMYFUNCTION("""COMPUTED_VALUE"""),"BLACK")</f>
        <v>BLACK</v>
      </c>
      <c r="G5643" s="20" t="str">
        <f>IFERROR(__xludf.DUMMYFUNCTION("""COMPUTED_VALUE"""),"Uncle Sams Cider (5/13/2022)")</f>
        <v>Uncle Sams Cider (5/13/2022)</v>
      </c>
      <c r="H5643" s="19"/>
    </row>
    <row r="5644">
      <c r="A5644" s="9"/>
      <c r="B5644" s="15"/>
      <c r="C5644" s="9">
        <f>IFERROR(__xludf.DUMMYFUNCTION("""COMPUTED_VALUE"""),44737.7863286226)</f>
        <v>44737.78633</v>
      </c>
      <c r="D5644" s="15">
        <f>IFERROR(__xludf.DUMMYFUNCTION("""COMPUTED_VALUE"""),1.005)</f>
        <v>1.005</v>
      </c>
      <c r="E5644" s="16">
        <f>IFERROR(__xludf.DUMMYFUNCTION("""COMPUTED_VALUE"""),69.0)</f>
        <v>69</v>
      </c>
      <c r="F5644" s="19" t="str">
        <f>IFERROR(__xludf.DUMMYFUNCTION("""COMPUTED_VALUE"""),"BLACK")</f>
        <v>BLACK</v>
      </c>
      <c r="G5644" s="20" t="str">
        <f>IFERROR(__xludf.DUMMYFUNCTION("""COMPUTED_VALUE"""),"Uncle Sams Cider (5/13/2022)")</f>
        <v>Uncle Sams Cider (5/13/2022)</v>
      </c>
      <c r="H5644" s="19"/>
    </row>
    <row r="5645">
      <c r="A5645" s="9"/>
      <c r="B5645" s="15"/>
      <c r="C5645" s="9">
        <f>IFERROR(__xludf.DUMMYFUNCTION("""COMPUTED_VALUE"""),44737.7759084722)</f>
        <v>44737.77591</v>
      </c>
      <c r="D5645" s="15">
        <f>IFERROR(__xludf.DUMMYFUNCTION("""COMPUTED_VALUE"""),1.005)</f>
        <v>1.005</v>
      </c>
      <c r="E5645" s="16">
        <f>IFERROR(__xludf.DUMMYFUNCTION("""COMPUTED_VALUE"""),69.0)</f>
        <v>69</v>
      </c>
      <c r="F5645" s="19" t="str">
        <f>IFERROR(__xludf.DUMMYFUNCTION("""COMPUTED_VALUE"""),"BLACK")</f>
        <v>BLACK</v>
      </c>
      <c r="G5645" s="20" t="str">
        <f>IFERROR(__xludf.DUMMYFUNCTION("""COMPUTED_VALUE"""),"Uncle Sams Cider (5/13/2022)")</f>
        <v>Uncle Sams Cider (5/13/2022)</v>
      </c>
      <c r="H5645" s="19"/>
    </row>
    <row r="5646">
      <c r="A5646" s="9"/>
      <c r="B5646" s="15"/>
      <c r="C5646" s="9">
        <f>IFERROR(__xludf.DUMMYFUNCTION("""COMPUTED_VALUE"""),44737.7654882754)</f>
        <v>44737.76549</v>
      </c>
      <c r="D5646" s="15">
        <f>IFERROR(__xludf.DUMMYFUNCTION("""COMPUTED_VALUE"""),1.005)</f>
        <v>1.005</v>
      </c>
      <c r="E5646" s="16">
        <f>IFERROR(__xludf.DUMMYFUNCTION("""COMPUTED_VALUE"""),69.0)</f>
        <v>69</v>
      </c>
      <c r="F5646" s="19" t="str">
        <f>IFERROR(__xludf.DUMMYFUNCTION("""COMPUTED_VALUE"""),"BLACK")</f>
        <v>BLACK</v>
      </c>
      <c r="G5646" s="20" t="str">
        <f>IFERROR(__xludf.DUMMYFUNCTION("""COMPUTED_VALUE"""),"Uncle Sams Cider (5/13/2022)")</f>
        <v>Uncle Sams Cider (5/13/2022)</v>
      </c>
      <c r="H5646" s="19"/>
    </row>
    <row r="5647">
      <c r="A5647" s="9"/>
      <c r="B5647" s="15"/>
      <c r="C5647" s="9">
        <f>IFERROR(__xludf.DUMMYFUNCTION("""COMPUTED_VALUE"""),44737.7550546875)</f>
        <v>44737.75505</v>
      </c>
      <c r="D5647" s="15">
        <f>IFERROR(__xludf.DUMMYFUNCTION("""COMPUTED_VALUE"""),1.005)</f>
        <v>1.005</v>
      </c>
      <c r="E5647" s="16">
        <f>IFERROR(__xludf.DUMMYFUNCTION("""COMPUTED_VALUE"""),69.0)</f>
        <v>69</v>
      </c>
      <c r="F5647" s="19" t="str">
        <f>IFERROR(__xludf.DUMMYFUNCTION("""COMPUTED_VALUE"""),"BLACK")</f>
        <v>BLACK</v>
      </c>
      <c r="G5647" s="20" t="str">
        <f>IFERROR(__xludf.DUMMYFUNCTION("""COMPUTED_VALUE"""),"Uncle Sams Cider (5/13/2022)")</f>
        <v>Uncle Sams Cider (5/13/2022)</v>
      </c>
      <c r="H5647" s="19"/>
    </row>
    <row r="5648">
      <c r="A5648" s="9"/>
      <c r="B5648" s="15"/>
      <c r="C5648" s="9">
        <f>IFERROR(__xludf.DUMMYFUNCTION("""COMPUTED_VALUE"""),44737.7446318287)</f>
        <v>44737.74463</v>
      </c>
      <c r="D5648" s="15">
        <f>IFERROR(__xludf.DUMMYFUNCTION("""COMPUTED_VALUE"""),1.005)</f>
        <v>1.005</v>
      </c>
      <c r="E5648" s="16">
        <f>IFERROR(__xludf.DUMMYFUNCTION("""COMPUTED_VALUE"""),69.0)</f>
        <v>69</v>
      </c>
      <c r="F5648" s="19" t="str">
        <f>IFERROR(__xludf.DUMMYFUNCTION("""COMPUTED_VALUE"""),"BLACK")</f>
        <v>BLACK</v>
      </c>
      <c r="G5648" s="20" t="str">
        <f>IFERROR(__xludf.DUMMYFUNCTION("""COMPUTED_VALUE"""),"Uncle Sams Cider (5/13/2022)")</f>
        <v>Uncle Sams Cider (5/13/2022)</v>
      </c>
      <c r="H5648" s="19"/>
    </row>
    <row r="5649">
      <c r="A5649" s="9"/>
      <c r="B5649" s="15"/>
      <c r="C5649" s="9">
        <f>IFERROR(__xludf.DUMMYFUNCTION("""COMPUTED_VALUE"""),44737.7342122569)</f>
        <v>44737.73421</v>
      </c>
      <c r="D5649" s="15">
        <f>IFERROR(__xludf.DUMMYFUNCTION("""COMPUTED_VALUE"""),1.005)</f>
        <v>1.005</v>
      </c>
      <c r="E5649" s="16">
        <f>IFERROR(__xludf.DUMMYFUNCTION("""COMPUTED_VALUE"""),69.0)</f>
        <v>69</v>
      </c>
      <c r="F5649" s="19" t="str">
        <f>IFERROR(__xludf.DUMMYFUNCTION("""COMPUTED_VALUE"""),"BLACK")</f>
        <v>BLACK</v>
      </c>
      <c r="G5649" s="20" t="str">
        <f>IFERROR(__xludf.DUMMYFUNCTION("""COMPUTED_VALUE"""),"Uncle Sams Cider (5/13/2022)")</f>
        <v>Uncle Sams Cider (5/13/2022)</v>
      </c>
      <c r="H5649" s="19"/>
    </row>
    <row r="5650">
      <c r="A5650" s="9"/>
      <c r="B5650" s="15"/>
      <c r="C5650" s="9">
        <f>IFERROR(__xludf.DUMMYFUNCTION("""COMPUTED_VALUE"""),44737.7237904166)</f>
        <v>44737.72379</v>
      </c>
      <c r="D5650" s="15">
        <f>IFERROR(__xludf.DUMMYFUNCTION("""COMPUTED_VALUE"""),1.005)</f>
        <v>1.005</v>
      </c>
      <c r="E5650" s="16">
        <f>IFERROR(__xludf.DUMMYFUNCTION("""COMPUTED_VALUE"""),69.0)</f>
        <v>69</v>
      </c>
      <c r="F5650" s="19" t="str">
        <f>IFERROR(__xludf.DUMMYFUNCTION("""COMPUTED_VALUE"""),"BLACK")</f>
        <v>BLACK</v>
      </c>
      <c r="G5650" s="20" t="str">
        <f>IFERROR(__xludf.DUMMYFUNCTION("""COMPUTED_VALUE"""),"Uncle Sams Cider (5/13/2022)")</f>
        <v>Uncle Sams Cider (5/13/2022)</v>
      </c>
      <c r="H5650" s="19"/>
    </row>
    <row r="5651">
      <c r="A5651" s="9"/>
      <c r="B5651" s="15"/>
      <c r="C5651" s="9">
        <f>IFERROR(__xludf.DUMMYFUNCTION("""COMPUTED_VALUE"""),44737.7133702662)</f>
        <v>44737.71337</v>
      </c>
      <c r="D5651" s="15">
        <f>IFERROR(__xludf.DUMMYFUNCTION("""COMPUTED_VALUE"""),1.005)</f>
        <v>1.005</v>
      </c>
      <c r="E5651" s="16">
        <f>IFERROR(__xludf.DUMMYFUNCTION("""COMPUTED_VALUE"""),69.0)</f>
        <v>69</v>
      </c>
      <c r="F5651" s="19" t="str">
        <f>IFERROR(__xludf.DUMMYFUNCTION("""COMPUTED_VALUE"""),"BLACK")</f>
        <v>BLACK</v>
      </c>
      <c r="G5651" s="20" t="str">
        <f>IFERROR(__xludf.DUMMYFUNCTION("""COMPUTED_VALUE"""),"Uncle Sams Cider (5/13/2022)")</f>
        <v>Uncle Sams Cider (5/13/2022)</v>
      </c>
      <c r="H5651" s="19"/>
    </row>
    <row r="5652">
      <c r="A5652" s="9"/>
      <c r="B5652" s="15"/>
      <c r="C5652" s="9">
        <f>IFERROR(__xludf.DUMMYFUNCTION("""COMPUTED_VALUE"""),44737.7029473263)</f>
        <v>44737.70295</v>
      </c>
      <c r="D5652" s="15">
        <f>IFERROR(__xludf.DUMMYFUNCTION("""COMPUTED_VALUE"""),1.005)</f>
        <v>1.005</v>
      </c>
      <c r="E5652" s="16">
        <f>IFERROR(__xludf.DUMMYFUNCTION("""COMPUTED_VALUE"""),69.0)</f>
        <v>69</v>
      </c>
      <c r="F5652" s="19" t="str">
        <f>IFERROR(__xludf.DUMMYFUNCTION("""COMPUTED_VALUE"""),"BLACK")</f>
        <v>BLACK</v>
      </c>
      <c r="G5652" s="20" t="str">
        <f>IFERROR(__xludf.DUMMYFUNCTION("""COMPUTED_VALUE"""),"Uncle Sams Cider (5/13/2022)")</f>
        <v>Uncle Sams Cider (5/13/2022)</v>
      </c>
      <c r="H5652" s="19"/>
    </row>
    <row r="5653">
      <c r="A5653" s="9"/>
      <c r="B5653" s="15"/>
      <c r="C5653" s="9">
        <f>IFERROR(__xludf.DUMMYFUNCTION("""COMPUTED_VALUE"""),44737.6925257754)</f>
        <v>44737.69253</v>
      </c>
      <c r="D5653" s="15">
        <f>IFERROR(__xludf.DUMMYFUNCTION("""COMPUTED_VALUE"""),1.005)</f>
        <v>1.005</v>
      </c>
      <c r="E5653" s="16">
        <f>IFERROR(__xludf.DUMMYFUNCTION("""COMPUTED_VALUE"""),69.0)</f>
        <v>69</v>
      </c>
      <c r="F5653" s="19" t="str">
        <f>IFERROR(__xludf.DUMMYFUNCTION("""COMPUTED_VALUE"""),"BLACK")</f>
        <v>BLACK</v>
      </c>
      <c r="G5653" s="20" t="str">
        <f>IFERROR(__xludf.DUMMYFUNCTION("""COMPUTED_VALUE"""),"Uncle Sams Cider (5/13/2022)")</f>
        <v>Uncle Sams Cider (5/13/2022)</v>
      </c>
      <c r="H5653" s="19"/>
    </row>
    <row r="5654">
      <c r="A5654" s="9"/>
      <c r="B5654" s="15"/>
      <c r="C5654" s="9">
        <f>IFERROR(__xludf.DUMMYFUNCTION("""COMPUTED_VALUE"""),44737.6821057523)</f>
        <v>44737.68211</v>
      </c>
      <c r="D5654" s="15">
        <f>IFERROR(__xludf.DUMMYFUNCTION("""COMPUTED_VALUE"""),1.005)</f>
        <v>1.005</v>
      </c>
      <c r="E5654" s="16">
        <f>IFERROR(__xludf.DUMMYFUNCTION("""COMPUTED_VALUE"""),69.0)</f>
        <v>69</v>
      </c>
      <c r="F5654" s="19" t="str">
        <f>IFERROR(__xludf.DUMMYFUNCTION("""COMPUTED_VALUE"""),"BLACK")</f>
        <v>BLACK</v>
      </c>
      <c r="G5654" s="20" t="str">
        <f>IFERROR(__xludf.DUMMYFUNCTION("""COMPUTED_VALUE"""),"Uncle Sams Cider (5/13/2022)")</f>
        <v>Uncle Sams Cider (5/13/2022)</v>
      </c>
      <c r="H5654" s="19"/>
    </row>
    <row r="5655">
      <c r="A5655" s="9"/>
      <c r="B5655" s="15"/>
      <c r="C5655" s="9">
        <f>IFERROR(__xludf.DUMMYFUNCTION("""COMPUTED_VALUE"""),44737.671685081)</f>
        <v>44737.67169</v>
      </c>
      <c r="D5655" s="15">
        <f>IFERROR(__xludf.DUMMYFUNCTION("""COMPUTED_VALUE"""),1.005)</f>
        <v>1.005</v>
      </c>
      <c r="E5655" s="16">
        <f>IFERROR(__xludf.DUMMYFUNCTION("""COMPUTED_VALUE"""),69.0)</f>
        <v>69</v>
      </c>
      <c r="F5655" s="19" t="str">
        <f>IFERROR(__xludf.DUMMYFUNCTION("""COMPUTED_VALUE"""),"BLACK")</f>
        <v>BLACK</v>
      </c>
      <c r="G5655" s="20" t="str">
        <f>IFERROR(__xludf.DUMMYFUNCTION("""COMPUTED_VALUE"""),"Uncle Sams Cider (5/13/2022)")</f>
        <v>Uncle Sams Cider (5/13/2022)</v>
      </c>
      <c r="H5655" s="19"/>
    </row>
    <row r="5656">
      <c r="A5656" s="9"/>
      <c r="B5656" s="15"/>
      <c r="C5656" s="9">
        <f>IFERROR(__xludf.DUMMYFUNCTION("""COMPUTED_VALUE"""),44737.6612636458)</f>
        <v>44737.66126</v>
      </c>
      <c r="D5656" s="15">
        <f>IFERROR(__xludf.DUMMYFUNCTION("""COMPUTED_VALUE"""),1.005)</f>
        <v>1.005</v>
      </c>
      <c r="E5656" s="16">
        <f>IFERROR(__xludf.DUMMYFUNCTION("""COMPUTED_VALUE"""),69.0)</f>
        <v>69</v>
      </c>
      <c r="F5656" s="19" t="str">
        <f>IFERROR(__xludf.DUMMYFUNCTION("""COMPUTED_VALUE"""),"BLACK")</f>
        <v>BLACK</v>
      </c>
      <c r="G5656" s="20" t="str">
        <f>IFERROR(__xludf.DUMMYFUNCTION("""COMPUTED_VALUE"""),"Uncle Sams Cider (5/13/2022)")</f>
        <v>Uncle Sams Cider (5/13/2022)</v>
      </c>
      <c r="H5656" s="19"/>
    </row>
    <row r="5657">
      <c r="A5657" s="9"/>
      <c r="B5657" s="15"/>
      <c r="C5657" s="9">
        <f>IFERROR(__xludf.DUMMYFUNCTION("""COMPUTED_VALUE"""),44737.6508187615)</f>
        <v>44737.65082</v>
      </c>
      <c r="D5657" s="15">
        <f>IFERROR(__xludf.DUMMYFUNCTION("""COMPUTED_VALUE"""),1.004)</f>
        <v>1.004</v>
      </c>
      <c r="E5657" s="16">
        <f>IFERROR(__xludf.DUMMYFUNCTION("""COMPUTED_VALUE"""),69.0)</f>
        <v>69</v>
      </c>
      <c r="F5657" s="19" t="str">
        <f>IFERROR(__xludf.DUMMYFUNCTION("""COMPUTED_VALUE"""),"BLACK")</f>
        <v>BLACK</v>
      </c>
      <c r="G5657" s="20" t="str">
        <f>IFERROR(__xludf.DUMMYFUNCTION("""COMPUTED_VALUE"""),"Uncle Sams Cider (5/13/2022)")</f>
        <v>Uncle Sams Cider (5/13/2022)</v>
      </c>
      <c r="H5657" s="19"/>
    </row>
    <row r="5658">
      <c r="A5658" s="9"/>
      <c r="B5658" s="15"/>
      <c r="C5658" s="9">
        <f>IFERROR(__xludf.DUMMYFUNCTION("""COMPUTED_VALUE"""),44737.6403965046)</f>
        <v>44737.6404</v>
      </c>
      <c r="D5658" s="15">
        <f>IFERROR(__xludf.DUMMYFUNCTION("""COMPUTED_VALUE"""),1.005)</f>
        <v>1.005</v>
      </c>
      <c r="E5658" s="16">
        <f>IFERROR(__xludf.DUMMYFUNCTION("""COMPUTED_VALUE"""),69.0)</f>
        <v>69</v>
      </c>
      <c r="F5658" s="19" t="str">
        <f>IFERROR(__xludf.DUMMYFUNCTION("""COMPUTED_VALUE"""),"BLACK")</f>
        <v>BLACK</v>
      </c>
      <c r="G5658" s="20" t="str">
        <f>IFERROR(__xludf.DUMMYFUNCTION("""COMPUTED_VALUE"""),"Uncle Sams Cider (5/13/2022)")</f>
        <v>Uncle Sams Cider (5/13/2022)</v>
      </c>
      <c r="H5658" s="19"/>
    </row>
    <row r="5659">
      <c r="A5659" s="9"/>
      <c r="B5659" s="15"/>
      <c r="C5659" s="9">
        <f>IFERROR(__xludf.DUMMYFUNCTION("""COMPUTED_VALUE"""),44737.6299773032)</f>
        <v>44737.62998</v>
      </c>
      <c r="D5659" s="15">
        <f>IFERROR(__xludf.DUMMYFUNCTION("""COMPUTED_VALUE"""),1.005)</f>
        <v>1.005</v>
      </c>
      <c r="E5659" s="16">
        <f>IFERROR(__xludf.DUMMYFUNCTION("""COMPUTED_VALUE"""),69.0)</f>
        <v>69</v>
      </c>
      <c r="F5659" s="19" t="str">
        <f>IFERROR(__xludf.DUMMYFUNCTION("""COMPUTED_VALUE"""),"BLACK")</f>
        <v>BLACK</v>
      </c>
      <c r="G5659" s="20" t="str">
        <f>IFERROR(__xludf.DUMMYFUNCTION("""COMPUTED_VALUE"""),"Uncle Sams Cider (5/13/2022)")</f>
        <v>Uncle Sams Cider (5/13/2022)</v>
      </c>
      <c r="H5659" s="19"/>
    </row>
    <row r="5660">
      <c r="A5660" s="9"/>
      <c r="B5660" s="15"/>
      <c r="C5660" s="9">
        <f>IFERROR(__xludf.DUMMYFUNCTION("""COMPUTED_VALUE"""),44737.6195566319)</f>
        <v>44737.61956</v>
      </c>
      <c r="D5660" s="15">
        <f>IFERROR(__xludf.DUMMYFUNCTION("""COMPUTED_VALUE"""),1.005)</f>
        <v>1.005</v>
      </c>
      <c r="E5660" s="16">
        <f>IFERROR(__xludf.DUMMYFUNCTION("""COMPUTED_VALUE"""),69.0)</f>
        <v>69</v>
      </c>
      <c r="F5660" s="19" t="str">
        <f>IFERROR(__xludf.DUMMYFUNCTION("""COMPUTED_VALUE"""),"BLACK")</f>
        <v>BLACK</v>
      </c>
      <c r="G5660" s="20" t="str">
        <f>IFERROR(__xludf.DUMMYFUNCTION("""COMPUTED_VALUE"""),"Uncle Sams Cider (5/13/2022)")</f>
        <v>Uncle Sams Cider (5/13/2022)</v>
      </c>
      <c r="H5660" s="19"/>
    </row>
    <row r="5661">
      <c r="A5661" s="9"/>
      <c r="B5661" s="15"/>
      <c r="C5661" s="9">
        <f>IFERROR(__xludf.DUMMYFUNCTION("""COMPUTED_VALUE"""),44737.6091127199)</f>
        <v>44737.60911</v>
      </c>
      <c r="D5661" s="15">
        <f>IFERROR(__xludf.DUMMYFUNCTION("""COMPUTED_VALUE"""),1.005)</f>
        <v>1.005</v>
      </c>
      <c r="E5661" s="16">
        <f>IFERROR(__xludf.DUMMYFUNCTION("""COMPUTED_VALUE"""),69.0)</f>
        <v>69</v>
      </c>
      <c r="F5661" s="19" t="str">
        <f>IFERROR(__xludf.DUMMYFUNCTION("""COMPUTED_VALUE"""),"BLACK")</f>
        <v>BLACK</v>
      </c>
      <c r="G5661" s="20" t="str">
        <f>IFERROR(__xludf.DUMMYFUNCTION("""COMPUTED_VALUE"""),"Uncle Sams Cider (5/13/2022)")</f>
        <v>Uncle Sams Cider (5/13/2022)</v>
      </c>
      <c r="H5661" s="19"/>
    </row>
    <row r="5662">
      <c r="A5662" s="9"/>
      <c r="B5662" s="15"/>
      <c r="C5662" s="9">
        <f>IFERROR(__xludf.DUMMYFUNCTION("""COMPUTED_VALUE"""),44737.5986917245)</f>
        <v>44737.59869</v>
      </c>
      <c r="D5662" s="15">
        <f>IFERROR(__xludf.DUMMYFUNCTION("""COMPUTED_VALUE"""),1.005)</f>
        <v>1.005</v>
      </c>
      <c r="E5662" s="16">
        <f>IFERROR(__xludf.DUMMYFUNCTION("""COMPUTED_VALUE"""),69.0)</f>
        <v>69</v>
      </c>
      <c r="F5662" s="19" t="str">
        <f>IFERROR(__xludf.DUMMYFUNCTION("""COMPUTED_VALUE"""),"BLACK")</f>
        <v>BLACK</v>
      </c>
      <c r="G5662" s="20" t="str">
        <f>IFERROR(__xludf.DUMMYFUNCTION("""COMPUTED_VALUE"""),"Uncle Sams Cider (5/13/2022)")</f>
        <v>Uncle Sams Cider (5/13/2022)</v>
      </c>
      <c r="H5662" s="19"/>
    </row>
    <row r="5663">
      <c r="A5663" s="9"/>
      <c r="B5663" s="15"/>
      <c r="C5663" s="9">
        <f>IFERROR(__xludf.DUMMYFUNCTION("""COMPUTED_VALUE"""),44737.5882707986)</f>
        <v>44737.58827</v>
      </c>
      <c r="D5663" s="15">
        <f>IFERROR(__xludf.DUMMYFUNCTION("""COMPUTED_VALUE"""),1.005)</f>
        <v>1.005</v>
      </c>
      <c r="E5663" s="16">
        <f>IFERROR(__xludf.DUMMYFUNCTION("""COMPUTED_VALUE"""),69.0)</f>
        <v>69</v>
      </c>
      <c r="F5663" s="19" t="str">
        <f>IFERROR(__xludf.DUMMYFUNCTION("""COMPUTED_VALUE"""),"BLACK")</f>
        <v>BLACK</v>
      </c>
      <c r="G5663" s="20" t="str">
        <f>IFERROR(__xludf.DUMMYFUNCTION("""COMPUTED_VALUE"""),"Uncle Sams Cider (5/13/2022)")</f>
        <v>Uncle Sams Cider (5/13/2022)</v>
      </c>
      <c r="H5663" s="19"/>
    </row>
    <row r="5664">
      <c r="A5664" s="9"/>
      <c r="B5664" s="15"/>
      <c r="C5664" s="9">
        <f>IFERROR(__xludf.DUMMYFUNCTION("""COMPUTED_VALUE"""),44737.5778494328)</f>
        <v>44737.57785</v>
      </c>
      <c r="D5664" s="15">
        <f>IFERROR(__xludf.DUMMYFUNCTION("""COMPUTED_VALUE"""),1.005)</f>
        <v>1.005</v>
      </c>
      <c r="E5664" s="16">
        <f>IFERROR(__xludf.DUMMYFUNCTION("""COMPUTED_VALUE"""),69.0)</f>
        <v>69</v>
      </c>
      <c r="F5664" s="19" t="str">
        <f>IFERROR(__xludf.DUMMYFUNCTION("""COMPUTED_VALUE"""),"BLACK")</f>
        <v>BLACK</v>
      </c>
      <c r="G5664" s="20" t="str">
        <f>IFERROR(__xludf.DUMMYFUNCTION("""COMPUTED_VALUE"""),"Uncle Sams Cider (5/13/2022)")</f>
        <v>Uncle Sams Cider (5/13/2022)</v>
      </c>
      <c r="H5664" s="19"/>
    </row>
    <row r="5665">
      <c r="A5665" s="9"/>
      <c r="B5665" s="15"/>
      <c r="C5665" s="9">
        <f>IFERROR(__xludf.DUMMYFUNCTION("""COMPUTED_VALUE"""),44737.567428449)</f>
        <v>44737.56743</v>
      </c>
      <c r="D5665" s="15">
        <f>IFERROR(__xludf.DUMMYFUNCTION("""COMPUTED_VALUE"""),1.005)</f>
        <v>1.005</v>
      </c>
      <c r="E5665" s="16">
        <f>IFERROR(__xludf.DUMMYFUNCTION("""COMPUTED_VALUE"""),69.0)</f>
        <v>69</v>
      </c>
      <c r="F5665" s="19" t="str">
        <f>IFERROR(__xludf.DUMMYFUNCTION("""COMPUTED_VALUE"""),"BLACK")</f>
        <v>BLACK</v>
      </c>
      <c r="G5665" s="20" t="str">
        <f>IFERROR(__xludf.DUMMYFUNCTION("""COMPUTED_VALUE"""),"Uncle Sams Cider (5/13/2022)")</f>
        <v>Uncle Sams Cider (5/13/2022)</v>
      </c>
      <c r="H5665" s="19"/>
    </row>
    <row r="5666">
      <c r="A5666" s="9"/>
      <c r="B5666" s="15"/>
      <c r="C5666" s="9">
        <f>IFERROR(__xludf.DUMMYFUNCTION("""COMPUTED_VALUE"""),44737.5570074305)</f>
        <v>44737.55701</v>
      </c>
      <c r="D5666" s="15">
        <f>IFERROR(__xludf.DUMMYFUNCTION("""COMPUTED_VALUE"""),1.005)</f>
        <v>1.005</v>
      </c>
      <c r="E5666" s="16">
        <f>IFERROR(__xludf.DUMMYFUNCTION("""COMPUTED_VALUE"""),69.0)</f>
        <v>69</v>
      </c>
      <c r="F5666" s="19" t="str">
        <f>IFERROR(__xludf.DUMMYFUNCTION("""COMPUTED_VALUE"""),"BLACK")</f>
        <v>BLACK</v>
      </c>
      <c r="G5666" s="20" t="str">
        <f>IFERROR(__xludf.DUMMYFUNCTION("""COMPUTED_VALUE"""),"Uncle Sams Cider (5/13/2022)")</f>
        <v>Uncle Sams Cider (5/13/2022)</v>
      </c>
      <c r="H5666" s="19"/>
    </row>
    <row r="5667">
      <c r="A5667" s="9"/>
      <c r="B5667" s="15"/>
      <c r="C5667" s="9">
        <f>IFERROR(__xludf.DUMMYFUNCTION("""COMPUTED_VALUE"""),44737.5465850115)</f>
        <v>44737.54659</v>
      </c>
      <c r="D5667" s="15">
        <f>IFERROR(__xludf.DUMMYFUNCTION("""COMPUTED_VALUE"""),1.005)</f>
        <v>1.005</v>
      </c>
      <c r="E5667" s="16">
        <f>IFERROR(__xludf.DUMMYFUNCTION("""COMPUTED_VALUE"""),69.0)</f>
        <v>69</v>
      </c>
      <c r="F5667" s="19" t="str">
        <f>IFERROR(__xludf.DUMMYFUNCTION("""COMPUTED_VALUE"""),"BLACK")</f>
        <v>BLACK</v>
      </c>
      <c r="G5667" s="20" t="str">
        <f>IFERROR(__xludf.DUMMYFUNCTION("""COMPUTED_VALUE"""),"Uncle Sams Cider (5/13/2022)")</f>
        <v>Uncle Sams Cider (5/13/2022)</v>
      </c>
      <c r="H5667" s="19"/>
    </row>
    <row r="5668">
      <c r="A5668" s="9"/>
      <c r="B5668" s="15"/>
      <c r="C5668" s="9">
        <f>IFERROR(__xludf.DUMMYFUNCTION("""COMPUTED_VALUE"""),44737.53616228)</f>
        <v>44737.53616</v>
      </c>
      <c r="D5668" s="15">
        <f>IFERROR(__xludf.DUMMYFUNCTION("""COMPUTED_VALUE"""),1.005)</f>
        <v>1.005</v>
      </c>
      <c r="E5668" s="16">
        <f>IFERROR(__xludf.DUMMYFUNCTION("""COMPUTED_VALUE"""),69.0)</f>
        <v>69</v>
      </c>
      <c r="F5668" s="19" t="str">
        <f>IFERROR(__xludf.DUMMYFUNCTION("""COMPUTED_VALUE"""),"BLACK")</f>
        <v>BLACK</v>
      </c>
      <c r="G5668" s="20" t="str">
        <f>IFERROR(__xludf.DUMMYFUNCTION("""COMPUTED_VALUE"""),"Uncle Sams Cider (5/13/2022)")</f>
        <v>Uncle Sams Cider (5/13/2022)</v>
      </c>
      <c r="H5668" s="19"/>
    </row>
    <row r="5669">
      <c r="A5669" s="9"/>
      <c r="B5669" s="15"/>
      <c r="C5669" s="9">
        <f>IFERROR(__xludf.DUMMYFUNCTION("""COMPUTED_VALUE"""),44737.5257303819)</f>
        <v>44737.52573</v>
      </c>
      <c r="D5669" s="15">
        <f>IFERROR(__xludf.DUMMYFUNCTION("""COMPUTED_VALUE"""),1.005)</f>
        <v>1.005</v>
      </c>
      <c r="E5669" s="16">
        <f>IFERROR(__xludf.DUMMYFUNCTION("""COMPUTED_VALUE"""),69.0)</f>
        <v>69</v>
      </c>
      <c r="F5669" s="19" t="str">
        <f>IFERROR(__xludf.DUMMYFUNCTION("""COMPUTED_VALUE"""),"BLACK")</f>
        <v>BLACK</v>
      </c>
      <c r="G5669" s="20" t="str">
        <f>IFERROR(__xludf.DUMMYFUNCTION("""COMPUTED_VALUE"""),"Uncle Sams Cider (5/13/2022)")</f>
        <v>Uncle Sams Cider (5/13/2022)</v>
      </c>
      <c r="H5669" s="19"/>
    </row>
    <row r="5670">
      <c r="A5670" s="9"/>
      <c r="B5670" s="15"/>
      <c r="C5670" s="9">
        <f>IFERROR(__xludf.DUMMYFUNCTION("""COMPUTED_VALUE"""),44737.5153084259)</f>
        <v>44737.51531</v>
      </c>
      <c r="D5670" s="15">
        <f>IFERROR(__xludf.DUMMYFUNCTION("""COMPUTED_VALUE"""),1.005)</f>
        <v>1.005</v>
      </c>
      <c r="E5670" s="16">
        <f>IFERROR(__xludf.DUMMYFUNCTION("""COMPUTED_VALUE"""),69.0)</f>
        <v>69</v>
      </c>
      <c r="F5670" s="19" t="str">
        <f>IFERROR(__xludf.DUMMYFUNCTION("""COMPUTED_VALUE"""),"BLACK")</f>
        <v>BLACK</v>
      </c>
      <c r="G5670" s="20" t="str">
        <f>IFERROR(__xludf.DUMMYFUNCTION("""COMPUTED_VALUE"""),"Uncle Sams Cider (5/13/2022)")</f>
        <v>Uncle Sams Cider (5/13/2022)</v>
      </c>
      <c r="H5670" s="19"/>
    </row>
    <row r="5671">
      <c r="A5671" s="9"/>
      <c r="B5671" s="15"/>
      <c r="C5671" s="9">
        <f>IFERROR(__xludf.DUMMYFUNCTION("""COMPUTED_VALUE"""),44737.5048747569)</f>
        <v>44737.50487</v>
      </c>
      <c r="D5671" s="15">
        <f>IFERROR(__xludf.DUMMYFUNCTION("""COMPUTED_VALUE"""),1.005)</f>
        <v>1.005</v>
      </c>
      <c r="E5671" s="16">
        <f>IFERROR(__xludf.DUMMYFUNCTION("""COMPUTED_VALUE"""),69.0)</f>
        <v>69</v>
      </c>
      <c r="F5671" s="19" t="str">
        <f>IFERROR(__xludf.DUMMYFUNCTION("""COMPUTED_VALUE"""),"BLACK")</f>
        <v>BLACK</v>
      </c>
      <c r="G5671" s="20" t="str">
        <f>IFERROR(__xludf.DUMMYFUNCTION("""COMPUTED_VALUE"""),"Uncle Sams Cider (5/13/2022)")</f>
        <v>Uncle Sams Cider (5/13/2022)</v>
      </c>
      <c r="H5671" s="19"/>
    </row>
    <row r="5672">
      <c r="A5672" s="9"/>
      <c r="B5672" s="15"/>
      <c r="C5672" s="9">
        <f>IFERROR(__xludf.DUMMYFUNCTION("""COMPUTED_VALUE"""),44737.4944531713)</f>
        <v>44737.49445</v>
      </c>
      <c r="D5672" s="15">
        <f>IFERROR(__xludf.DUMMYFUNCTION("""COMPUTED_VALUE"""),1.005)</f>
        <v>1.005</v>
      </c>
      <c r="E5672" s="16">
        <f>IFERROR(__xludf.DUMMYFUNCTION("""COMPUTED_VALUE"""),69.0)</f>
        <v>69</v>
      </c>
      <c r="F5672" s="19" t="str">
        <f>IFERROR(__xludf.DUMMYFUNCTION("""COMPUTED_VALUE"""),"BLACK")</f>
        <v>BLACK</v>
      </c>
      <c r="G5672" s="20" t="str">
        <f>IFERROR(__xludf.DUMMYFUNCTION("""COMPUTED_VALUE"""),"Uncle Sams Cider (5/13/2022)")</f>
        <v>Uncle Sams Cider (5/13/2022)</v>
      </c>
      <c r="H5672" s="19"/>
    </row>
    <row r="5673">
      <c r="A5673" s="9"/>
      <c r="B5673" s="15"/>
      <c r="C5673" s="9">
        <f>IFERROR(__xludf.DUMMYFUNCTION("""COMPUTED_VALUE"""),44737.4840317129)</f>
        <v>44737.48403</v>
      </c>
      <c r="D5673" s="15">
        <f>IFERROR(__xludf.DUMMYFUNCTION("""COMPUTED_VALUE"""),1.005)</f>
        <v>1.005</v>
      </c>
      <c r="E5673" s="16">
        <f>IFERROR(__xludf.DUMMYFUNCTION("""COMPUTED_VALUE"""),69.0)</f>
        <v>69</v>
      </c>
      <c r="F5673" s="19" t="str">
        <f>IFERROR(__xludf.DUMMYFUNCTION("""COMPUTED_VALUE"""),"BLACK")</f>
        <v>BLACK</v>
      </c>
      <c r="G5673" s="20" t="str">
        <f>IFERROR(__xludf.DUMMYFUNCTION("""COMPUTED_VALUE"""),"Uncle Sams Cider (5/13/2022)")</f>
        <v>Uncle Sams Cider (5/13/2022)</v>
      </c>
      <c r="H5673" s="19"/>
    </row>
    <row r="5674">
      <c r="A5674" s="9"/>
      <c r="B5674" s="15"/>
      <c r="C5674" s="9">
        <f>IFERROR(__xludf.DUMMYFUNCTION("""COMPUTED_VALUE"""),44737.4735995717)</f>
        <v>44737.4736</v>
      </c>
      <c r="D5674" s="15">
        <f>IFERROR(__xludf.DUMMYFUNCTION("""COMPUTED_VALUE"""),1.005)</f>
        <v>1.005</v>
      </c>
      <c r="E5674" s="16">
        <f>IFERROR(__xludf.DUMMYFUNCTION("""COMPUTED_VALUE"""),69.0)</f>
        <v>69</v>
      </c>
      <c r="F5674" s="19" t="str">
        <f>IFERROR(__xludf.DUMMYFUNCTION("""COMPUTED_VALUE"""),"BLACK")</f>
        <v>BLACK</v>
      </c>
      <c r="G5674" s="20" t="str">
        <f>IFERROR(__xludf.DUMMYFUNCTION("""COMPUTED_VALUE"""),"Uncle Sams Cider (5/13/2022)")</f>
        <v>Uncle Sams Cider (5/13/2022)</v>
      </c>
      <c r="H5674" s="19"/>
    </row>
    <row r="5675">
      <c r="A5675" s="9"/>
      <c r="B5675" s="15"/>
      <c r="C5675" s="9">
        <f>IFERROR(__xludf.DUMMYFUNCTION("""COMPUTED_VALUE"""),44737.4631558912)</f>
        <v>44737.46316</v>
      </c>
      <c r="D5675" s="15">
        <f>IFERROR(__xludf.DUMMYFUNCTION("""COMPUTED_VALUE"""),1.005)</f>
        <v>1.005</v>
      </c>
      <c r="E5675" s="16">
        <f>IFERROR(__xludf.DUMMYFUNCTION("""COMPUTED_VALUE"""),69.0)</f>
        <v>69</v>
      </c>
      <c r="F5675" s="19" t="str">
        <f>IFERROR(__xludf.DUMMYFUNCTION("""COMPUTED_VALUE"""),"BLACK")</f>
        <v>BLACK</v>
      </c>
      <c r="G5675" s="20" t="str">
        <f>IFERROR(__xludf.DUMMYFUNCTION("""COMPUTED_VALUE"""),"Uncle Sams Cider (5/13/2022)")</f>
        <v>Uncle Sams Cider (5/13/2022)</v>
      </c>
      <c r="H5675" s="19"/>
    </row>
    <row r="5676">
      <c r="A5676" s="9"/>
      <c r="B5676" s="15"/>
      <c r="C5676" s="9">
        <f>IFERROR(__xludf.DUMMYFUNCTION("""COMPUTED_VALUE"""),44737.4527341435)</f>
        <v>44737.45273</v>
      </c>
      <c r="D5676" s="15">
        <f>IFERROR(__xludf.DUMMYFUNCTION("""COMPUTED_VALUE"""),1.005)</f>
        <v>1.005</v>
      </c>
      <c r="E5676" s="16">
        <f>IFERROR(__xludf.DUMMYFUNCTION("""COMPUTED_VALUE"""),69.0)</f>
        <v>69</v>
      </c>
      <c r="F5676" s="19" t="str">
        <f>IFERROR(__xludf.DUMMYFUNCTION("""COMPUTED_VALUE"""),"BLACK")</f>
        <v>BLACK</v>
      </c>
      <c r="G5676" s="20" t="str">
        <f>IFERROR(__xludf.DUMMYFUNCTION("""COMPUTED_VALUE"""),"Uncle Sams Cider (5/13/2022)")</f>
        <v>Uncle Sams Cider (5/13/2022)</v>
      </c>
      <c r="H5676" s="19"/>
    </row>
    <row r="5677">
      <c r="A5677" s="9"/>
      <c r="B5677" s="15"/>
      <c r="C5677" s="9">
        <f>IFERROR(__xludf.DUMMYFUNCTION("""COMPUTED_VALUE"""),44737.4423113541)</f>
        <v>44737.44231</v>
      </c>
      <c r="D5677" s="15">
        <f>IFERROR(__xludf.DUMMYFUNCTION("""COMPUTED_VALUE"""),1.005)</f>
        <v>1.005</v>
      </c>
      <c r="E5677" s="16">
        <f>IFERROR(__xludf.DUMMYFUNCTION("""COMPUTED_VALUE"""),69.0)</f>
        <v>69</v>
      </c>
      <c r="F5677" s="19" t="str">
        <f>IFERROR(__xludf.DUMMYFUNCTION("""COMPUTED_VALUE"""),"BLACK")</f>
        <v>BLACK</v>
      </c>
      <c r="G5677" s="20" t="str">
        <f>IFERROR(__xludf.DUMMYFUNCTION("""COMPUTED_VALUE"""),"Uncle Sams Cider (5/13/2022)")</f>
        <v>Uncle Sams Cider (5/13/2022)</v>
      </c>
      <c r="H5677" s="19"/>
    </row>
    <row r="5678">
      <c r="A5678" s="9"/>
      <c r="B5678" s="15"/>
      <c r="C5678" s="9">
        <f>IFERROR(__xludf.DUMMYFUNCTION("""COMPUTED_VALUE"""),44737.4318891088)</f>
        <v>44737.43189</v>
      </c>
      <c r="D5678" s="15">
        <f>IFERROR(__xludf.DUMMYFUNCTION("""COMPUTED_VALUE"""),1.005)</f>
        <v>1.005</v>
      </c>
      <c r="E5678" s="16">
        <f>IFERROR(__xludf.DUMMYFUNCTION("""COMPUTED_VALUE"""),69.0)</f>
        <v>69</v>
      </c>
      <c r="F5678" s="19" t="str">
        <f>IFERROR(__xludf.DUMMYFUNCTION("""COMPUTED_VALUE"""),"BLACK")</f>
        <v>BLACK</v>
      </c>
      <c r="G5678" s="20" t="str">
        <f>IFERROR(__xludf.DUMMYFUNCTION("""COMPUTED_VALUE"""),"Uncle Sams Cider (5/13/2022)")</f>
        <v>Uncle Sams Cider (5/13/2022)</v>
      </c>
      <c r="H5678" s="19"/>
    </row>
    <row r="5679">
      <c r="A5679" s="9"/>
      <c r="B5679" s="15"/>
      <c r="C5679" s="9">
        <f>IFERROR(__xludf.DUMMYFUNCTION("""COMPUTED_VALUE"""),44737.4214670254)</f>
        <v>44737.42147</v>
      </c>
      <c r="D5679" s="15">
        <f>IFERROR(__xludf.DUMMYFUNCTION("""COMPUTED_VALUE"""),1.005)</f>
        <v>1.005</v>
      </c>
      <c r="E5679" s="16">
        <f>IFERROR(__xludf.DUMMYFUNCTION("""COMPUTED_VALUE"""),69.0)</f>
        <v>69</v>
      </c>
      <c r="F5679" s="19" t="str">
        <f>IFERROR(__xludf.DUMMYFUNCTION("""COMPUTED_VALUE"""),"BLACK")</f>
        <v>BLACK</v>
      </c>
      <c r="G5679" s="20" t="str">
        <f>IFERROR(__xludf.DUMMYFUNCTION("""COMPUTED_VALUE"""),"Uncle Sams Cider (5/13/2022)")</f>
        <v>Uncle Sams Cider (5/13/2022)</v>
      </c>
      <c r="H5679" s="19"/>
    </row>
    <row r="5680">
      <c r="A5680" s="9"/>
      <c r="B5680" s="15"/>
      <c r="C5680" s="9">
        <f>IFERROR(__xludf.DUMMYFUNCTION("""COMPUTED_VALUE"""),44737.4110458564)</f>
        <v>44737.41105</v>
      </c>
      <c r="D5680" s="15">
        <f>IFERROR(__xludf.DUMMYFUNCTION("""COMPUTED_VALUE"""),1.005)</f>
        <v>1.005</v>
      </c>
      <c r="E5680" s="16">
        <f>IFERROR(__xludf.DUMMYFUNCTION("""COMPUTED_VALUE"""),69.0)</f>
        <v>69</v>
      </c>
      <c r="F5680" s="19" t="str">
        <f>IFERROR(__xludf.DUMMYFUNCTION("""COMPUTED_VALUE"""),"BLACK")</f>
        <v>BLACK</v>
      </c>
      <c r="G5680" s="20" t="str">
        <f>IFERROR(__xludf.DUMMYFUNCTION("""COMPUTED_VALUE"""),"Uncle Sams Cider (5/13/2022)")</f>
        <v>Uncle Sams Cider (5/13/2022)</v>
      </c>
      <c r="H5680" s="19"/>
    </row>
    <row r="5681">
      <c r="A5681" s="9"/>
      <c r="B5681" s="15"/>
      <c r="C5681" s="9">
        <f>IFERROR(__xludf.DUMMYFUNCTION("""COMPUTED_VALUE"""),44737.4006266088)</f>
        <v>44737.40063</v>
      </c>
      <c r="D5681" s="15">
        <f>IFERROR(__xludf.DUMMYFUNCTION("""COMPUTED_VALUE"""),1.005)</f>
        <v>1.005</v>
      </c>
      <c r="E5681" s="16">
        <f>IFERROR(__xludf.DUMMYFUNCTION("""COMPUTED_VALUE"""),69.0)</f>
        <v>69</v>
      </c>
      <c r="F5681" s="19" t="str">
        <f>IFERROR(__xludf.DUMMYFUNCTION("""COMPUTED_VALUE"""),"BLACK")</f>
        <v>BLACK</v>
      </c>
      <c r="G5681" s="20" t="str">
        <f>IFERROR(__xludf.DUMMYFUNCTION("""COMPUTED_VALUE"""),"Uncle Sams Cider (5/13/2022)")</f>
        <v>Uncle Sams Cider (5/13/2022)</v>
      </c>
      <c r="H5681" s="19"/>
    </row>
    <row r="5682">
      <c r="A5682" s="9"/>
      <c r="B5682" s="15"/>
      <c r="C5682" s="9">
        <f>IFERROR(__xludf.DUMMYFUNCTION("""COMPUTED_VALUE"""),44737.3902070138)</f>
        <v>44737.39021</v>
      </c>
      <c r="D5682" s="15">
        <f>IFERROR(__xludf.DUMMYFUNCTION("""COMPUTED_VALUE"""),1.005)</f>
        <v>1.005</v>
      </c>
      <c r="E5682" s="16">
        <f>IFERROR(__xludf.DUMMYFUNCTION("""COMPUTED_VALUE"""),69.0)</f>
        <v>69</v>
      </c>
      <c r="F5682" s="19" t="str">
        <f>IFERROR(__xludf.DUMMYFUNCTION("""COMPUTED_VALUE"""),"BLACK")</f>
        <v>BLACK</v>
      </c>
      <c r="G5682" s="20" t="str">
        <f>IFERROR(__xludf.DUMMYFUNCTION("""COMPUTED_VALUE"""),"Uncle Sams Cider (5/13/2022)")</f>
        <v>Uncle Sams Cider (5/13/2022)</v>
      </c>
      <c r="H5682" s="19"/>
    </row>
    <row r="5683">
      <c r="A5683" s="9"/>
      <c r="B5683" s="15"/>
      <c r="C5683" s="9">
        <f>IFERROR(__xludf.DUMMYFUNCTION("""COMPUTED_VALUE"""),44737.379784456)</f>
        <v>44737.37978</v>
      </c>
      <c r="D5683" s="15">
        <f>IFERROR(__xludf.DUMMYFUNCTION("""COMPUTED_VALUE"""),1.005)</f>
        <v>1.005</v>
      </c>
      <c r="E5683" s="16">
        <f>IFERROR(__xludf.DUMMYFUNCTION("""COMPUTED_VALUE"""),69.0)</f>
        <v>69</v>
      </c>
      <c r="F5683" s="19" t="str">
        <f>IFERROR(__xludf.DUMMYFUNCTION("""COMPUTED_VALUE"""),"BLACK")</f>
        <v>BLACK</v>
      </c>
      <c r="G5683" s="20" t="str">
        <f>IFERROR(__xludf.DUMMYFUNCTION("""COMPUTED_VALUE"""),"Uncle Sams Cider (5/13/2022)")</f>
        <v>Uncle Sams Cider (5/13/2022)</v>
      </c>
      <c r="H5683" s="19"/>
    </row>
    <row r="5684">
      <c r="A5684" s="9"/>
      <c r="B5684" s="15"/>
      <c r="C5684" s="9">
        <f>IFERROR(__xludf.DUMMYFUNCTION("""COMPUTED_VALUE"""),44737.3693645601)</f>
        <v>44737.36936</v>
      </c>
      <c r="D5684" s="15">
        <f>IFERROR(__xludf.DUMMYFUNCTION("""COMPUTED_VALUE"""),1.005)</f>
        <v>1.005</v>
      </c>
      <c r="E5684" s="16">
        <f>IFERROR(__xludf.DUMMYFUNCTION("""COMPUTED_VALUE"""),69.0)</f>
        <v>69</v>
      </c>
      <c r="F5684" s="19" t="str">
        <f>IFERROR(__xludf.DUMMYFUNCTION("""COMPUTED_VALUE"""),"BLACK")</f>
        <v>BLACK</v>
      </c>
      <c r="G5684" s="20" t="str">
        <f>IFERROR(__xludf.DUMMYFUNCTION("""COMPUTED_VALUE"""),"Uncle Sams Cider (5/13/2022)")</f>
        <v>Uncle Sams Cider (5/13/2022)</v>
      </c>
      <c r="H5684" s="19"/>
    </row>
    <row r="5685">
      <c r="A5685" s="9"/>
      <c r="B5685" s="15"/>
      <c r="C5685" s="9">
        <f>IFERROR(__xludf.DUMMYFUNCTION("""COMPUTED_VALUE"""),44737.3589455902)</f>
        <v>44737.35895</v>
      </c>
      <c r="D5685" s="15">
        <f>IFERROR(__xludf.DUMMYFUNCTION("""COMPUTED_VALUE"""),1.005)</f>
        <v>1.005</v>
      </c>
      <c r="E5685" s="16">
        <f>IFERROR(__xludf.DUMMYFUNCTION("""COMPUTED_VALUE"""),69.0)</f>
        <v>69</v>
      </c>
      <c r="F5685" s="19" t="str">
        <f>IFERROR(__xludf.DUMMYFUNCTION("""COMPUTED_VALUE"""),"BLACK")</f>
        <v>BLACK</v>
      </c>
      <c r="G5685" s="20" t="str">
        <f>IFERROR(__xludf.DUMMYFUNCTION("""COMPUTED_VALUE"""),"Uncle Sams Cider (5/13/2022)")</f>
        <v>Uncle Sams Cider (5/13/2022)</v>
      </c>
      <c r="H5685" s="19"/>
    </row>
    <row r="5686">
      <c r="A5686" s="9"/>
      <c r="B5686" s="15"/>
      <c r="C5686" s="9">
        <f>IFERROR(__xludf.DUMMYFUNCTION("""COMPUTED_VALUE"""),44737.3485245138)</f>
        <v>44737.34852</v>
      </c>
      <c r="D5686" s="15">
        <f>IFERROR(__xludf.DUMMYFUNCTION("""COMPUTED_VALUE"""),1.005)</f>
        <v>1.005</v>
      </c>
      <c r="E5686" s="16">
        <f>IFERROR(__xludf.DUMMYFUNCTION("""COMPUTED_VALUE"""),69.0)</f>
        <v>69</v>
      </c>
      <c r="F5686" s="19" t="str">
        <f>IFERROR(__xludf.DUMMYFUNCTION("""COMPUTED_VALUE"""),"BLACK")</f>
        <v>BLACK</v>
      </c>
      <c r="G5686" s="20" t="str">
        <f>IFERROR(__xludf.DUMMYFUNCTION("""COMPUTED_VALUE"""),"Uncle Sams Cider (5/13/2022)")</f>
        <v>Uncle Sams Cider (5/13/2022)</v>
      </c>
      <c r="H5686" s="19"/>
    </row>
    <row r="5687">
      <c r="A5687" s="9"/>
      <c r="B5687" s="15"/>
      <c r="C5687" s="9">
        <f>IFERROR(__xludf.DUMMYFUNCTION("""COMPUTED_VALUE"""),44737.3381024305)</f>
        <v>44737.3381</v>
      </c>
      <c r="D5687" s="15">
        <f>IFERROR(__xludf.DUMMYFUNCTION("""COMPUTED_VALUE"""),1.005)</f>
        <v>1.005</v>
      </c>
      <c r="E5687" s="16">
        <f>IFERROR(__xludf.DUMMYFUNCTION("""COMPUTED_VALUE"""),69.0)</f>
        <v>69</v>
      </c>
      <c r="F5687" s="19" t="str">
        <f>IFERROR(__xludf.DUMMYFUNCTION("""COMPUTED_VALUE"""),"BLACK")</f>
        <v>BLACK</v>
      </c>
      <c r="G5687" s="20" t="str">
        <f>IFERROR(__xludf.DUMMYFUNCTION("""COMPUTED_VALUE"""),"Uncle Sams Cider (5/13/2022)")</f>
        <v>Uncle Sams Cider (5/13/2022)</v>
      </c>
      <c r="H5687" s="19"/>
    </row>
    <row r="5688">
      <c r="A5688" s="9"/>
      <c r="B5688" s="15"/>
      <c r="C5688" s="9">
        <f>IFERROR(__xludf.DUMMYFUNCTION("""COMPUTED_VALUE"""),44737.3276810185)</f>
        <v>44737.32768</v>
      </c>
      <c r="D5688" s="15">
        <f>IFERROR(__xludf.DUMMYFUNCTION("""COMPUTED_VALUE"""),1.005)</f>
        <v>1.005</v>
      </c>
      <c r="E5688" s="16">
        <f>IFERROR(__xludf.DUMMYFUNCTION("""COMPUTED_VALUE"""),69.0)</f>
        <v>69</v>
      </c>
      <c r="F5688" s="19" t="str">
        <f>IFERROR(__xludf.DUMMYFUNCTION("""COMPUTED_VALUE"""),"BLACK")</f>
        <v>BLACK</v>
      </c>
      <c r="G5688" s="20" t="str">
        <f>IFERROR(__xludf.DUMMYFUNCTION("""COMPUTED_VALUE"""),"Uncle Sams Cider (5/13/2022)")</f>
        <v>Uncle Sams Cider (5/13/2022)</v>
      </c>
      <c r="H5688" s="19"/>
    </row>
    <row r="5689">
      <c r="A5689" s="9"/>
      <c r="B5689" s="15"/>
      <c r="C5689" s="9">
        <f>IFERROR(__xludf.DUMMYFUNCTION("""COMPUTED_VALUE"""),44737.317259699)</f>
        <v>44737.31726</v>
      </c>
      <c r="D5689" s="15">
        <f>IFERROR(__xludf.DUMMYFUNCTION("""COMPUTED_VALUE"""),1.005)</f>
        <v>1.005</v>
      </c>
      <c r="E5689" s="16">
        <f>IFERROR(__xludf.DUMMYFUNCTION("""COMPUTED_VALUE"""),69.0)</f>
        <v>69</v>
      </c>
      <c r="F5689" s="19" t="str">
        <f>IFERROR(__xludf.DUMMYFUNCTION("""COMPUTED_VALUE"""),"BLACK")</f>
        <v>BLACK</v>
      </c>
      <c r="G5689" s="20" t="str">
        <f>IFERROR(__xludf.DUMMYFUNCTION("""COMPUTED_VALUE"""),"Uncle Sams Cider (5/13/2022)")</f>
        <v>Uncle Sams Cider (5/13/2022)</v>
      </c>
      <c r="H5689" s="19"/>
    </row>
    <row r="5690">
      <c r="A5690" s="9"/>
      <c r="B5690" s="15"/>
      <c r="C5690" s="9">
        <f>IFERROR(__xludf.DUMMYFUNCTION("""COMPUTED_VALUE"""),44737.3068380787)</f>
        <v>44737.30684</v>
      </c>
      <c r="D5690" s="15">
        <f>IFERROR(__xludf.DUMMYFUNCTION("""COMPUTED_VALUE"""),1.005)</f>
        <v>1.005</v>
      </c>
      <c r="E5690" s="16">
        <f>IFERROR(__xludf.DUMMYFUNCTION("""COMPUTED_VALUE"""),69.0)</f>
        <v>69</v>
      </c>
      <c r="F5690" s="19" t="str">
        <f>IFERROR(__xludf.DUMMYFUNCTION("""COMPUTED_VALUE"""),"BLACK")</f>
        <v>BLACK</v>
      </c>
      <c r="G5690" s="20" t="str">
        <f>IFERROR(__xludf.DUMMYFUNCTION("""COMPUTED_VALUE"""),"Uncle Sams Cider (5/13/2022)")</f>
        <v>Uncle Sams Cider (5/13/2022)</v>
      </c>
      <c r="H5690" s="19"/>
    </row>
    <row r="5691">
      <c r="A5691" s="9"/>
      <c r="B5691" s="15"/>
      <c r="C5691" s="9">
        <f>IFERROR(__xludf.DUMMYFUNCTION("""COMPUTED_VALUE"""),44737.2964153125)</f>
        <v>44737.29642</v>
      </c>
      <c r="D5691" s="15">
        <f>IFERROR(__xludf.DUMMYFUNCTION("""COMPUTED_VALUE"""),1.005)</f>
        <v>1.005</v>
      </c>
      <c r="E5691" s="16">
        <f>IFERROR(__xludf.DUMMYFUNCTION("""COMPUTED_VALUE"""),69.0)</f>
        <v>69</v>
      </c>
      <c r="F5691" s="19" t="str">
        <f>IFERROR(__xludf.DUMMYFUNCTION("""COMPUTED_VALUE"""),"BLACK")</f>
        <v>BLACK</v>
      </c>
      <c r="G5691" s="20" t="str">
        <f>IFERROR(__xludf.DUMMYFUNCTION("""COMPUTED_VALUE"""),"Uncle Sams Cider (5/13/2022)")</f>
        <v>Uncle Sams Cider (5/13/2022)</v>
      </c>
      <c r="H5691" s="19"/>
    </row>
    <row r="5692">
      <c r="A5692" s="9"/>
      <c r="B5692" s="15"/>
      <c r="C5692" s="9">
        <f>IFERROR(__xludf.DUMMYFUNCTION("""COMPUTED_VALUE"""),44737.28599625)</f>
        <v>44737.286</v>
      </c>
      <c r="D5692" s="15">
        <f>IFERROR(__xludf.DUMMYFUNCTION("""COMPUTED_VALUE"""),1.005)</f>
        <v>1.005</v>
      </c>
      <c r="E5692" s="16">
        <f>IFERROR(__xludf.DUMMYFUNCTION("""COMPUTED_VALUE"""),69.0)</f>
        <v>69</v>
      </c>
      <c r="F5692" s="19" t="str">
        <f>IFERROR(__xludf.DUMMYFUNCTION("""COMPUTED_VALUE"""),"BLACK")</f>
        <v>BLACK</v>
      </c>
      <c r="G5692" s="20" t="str">
        <f>IFERROR(__xludf.DUMMYFUNCTION("""COMPUTED_VALUE"""),"Uncle Sams Cider (5/13/2022)")</f>
        <v>Uncle Sams Cider (5/13/2022)</v>
      </c>
      <c r="H5692" s="19"/>
    </row>
    <row r="5693">
      <c r="A5693" s="9"/>
      <c r="B5693" s="15"/>
      <c r="C5693" s="9">
        <f>IFERROR(__xludf.DUMMYFUNCTION("""COMPUTED_VALUE"""),44737.2755625)</f>
        <v>44737.27556</v>
      </c>
      <c r="D5693" s="15">
        <f>IFERROR(__xludf.DUMMYFUNCTION("""COMPUTED_VALUE"""),1.004)</f>
        <v>1.004</v>
      </c>
      <c r="E5693" s="16">
        <f>IFERROR(__xludf.DUMMYFUNCTION("""COMPUTED_VALUE"""),69.0)</f>
        <v>69</v>
      </c>
      <c r="F5693" s="19" t="str">
        <f>IFERROR(__xludf.DUMMYFUNCTION("""COMPUTED_VALUE"""),"BLACK")</f>
        <v>BLACK</v>
      </c>
      <c r="G5693" s="20" t="str">
        <f>IFERROR(__xludf.DUMMYFUNCTION("""COMPUTED_VALUE"""),"Uncle Sams Cider (5/13/2022)")</f>
        <v>Uncle Sams Cider (5/13/2022)</v>
      </c>
      <c r="H5693" s="19"/>
    </row>
    <row r="5694">
      <c r="A5694" s="9"/>
      <c r="B5694" s="15"/>
      <c r="C5694" s="9">
        <f>IFERROR(__xludf.DUMMYFUNCTION("""COMPUTED_VALUE"""),44737.2651417245)</f>
        <v>44737.26514</v>
      </c>
      <c r="D5694" s="15">
        <f>IFERROR(__xludf.DUMMYFUNCTION("""COMPUTED_VALUE"""),1.005)</f>
        <v>1.005</v>
      </c>
      <c r="E5694" s="16">
        <f>IFERROR(__xludf.DUMMYFUNCTION("""COMPUTED_VALUE"""),69.0)</f>
        <v>69</v>
      </c>
      <c r="F5694" s="19" t="str">
        <f>IFERROR(__xludf.DUMMYFUNCTION("""COMPUTED_VALUE"""),"BLACK")</f>
        <v>BLACK</v>
      </c>
      <c r="G5694" s="20" t="str">
        <f>IFERROR(__xludf.DUMMYFUNCTION("""COMPUTED_VALUE"""),"Uncle Sams Cider (5/13/2022)")</f>
        <v>Uncle Sams Cider (5/13/2022)</v>
      </c>
      <c r="H5694" s="19"/>
    </row>
    <row r="5695">
      <c r="A5695" s="9"/>
      <c r="B5695" s="15"/>
      <c r="C5695" s="9">
        <f>IFERROR(__xludf.DUMMYFUNCTION("""COMPUTED_VALUE"""),44737.2547197569)</f>
        <v>44737.25472</v>
      </c>
      <c r="D5695" s="15">
        <f>IFERROR(__xludf.DUMMYFUNCTION("""COMPUTED_VALUE"""),1.005)</f>
        <v>1.005</v>
      </c>
      <c r="E5695" s="16">
        <f>IFERROR(__xludf.DUMMYFUNCTION("""COMPUTED_VALUE"""),69.0)</f>
        <v>69</v>
      </c>
      <c r="F5695" s="19" t="str">
        <f>IFERROR(__xludf.DUMMYFUNCTION("""COMPUTED_VALUE"""),"BLACK")</f>
        <v>BLACK</v>
      </c>
      <c r="G5695" s="20" t="str">
        <f>IFERROR(__xludf.DUMMYFUNCTION("""COMPUTED_VALUE"""),"Uncle Sams Cider (5/13/2022)")</f>
        <v>Uncle Sams Cider (5/13/2022)</v>
      </c>
      <c r="H5695" s="19"/>
    </row>
    <row r="5696">
      <c r="A5696" s="9"/>
      <c r="B5696" s="15"/>
      <c r="C5696" s="9">
        <f>IFERROR(__xludf.DUMMYFUNCTION("""COMPUTED_VALUE"""),44737.2442981828)</f>
        <v>44737.2443</v>
      </c>
      <c r="D5696" s="15">
        <f>IFERROR(__xludf.DUMMYFUNCTION("""COMPUTED_VALUE"""),1.005)</f>
        <v>1.005</v>
      </c>
      <c r="E5696" s="16">
        <f>IFERROR(__xludf.DUMMYFUNCTION("""COMPUTED_VALUE"""),69.0)</f>
        <v>69</v>
      </c>
      <c r="F5696" s="19" t="str">
        <f>IFERROR(__xludf.DUMMYFUNCTION("""COMPUTED_VALUE"""),"BLACK")</f>
        <v>BLACK</v>
      </c>
      <c r="G5696" s="20" t="str">
        <f>IFERROR(__xludf.DUMMYFUNCTION("""COMPUTED_VALUE"""),"Uncle Sams Cider (5/13/2022)")</f>
        <v>Uncle Sams Cider (5/13/2022)</v>
      </c>
      <c r="H5696" s="19"/>
    </row>
    <row r="5697">
      <c r="A5697" s="9"/>
      <c r="B5697" s="15"/>
      <c r="C5697" s="9">
        <f>IFERROR(__xludf.DUMMYFUNCTION("""COMPUTED_VALUE"""),44737.2338752893)</f>
        <v>44737.23388</v>
      </c>
      <c r="D5697" s="15">
        <f>IFERROR(__xludf.DUMMYFUNCTION("""COMPUTED_VALUE"""),1.005)</f>
        <v>1.005</v>
      </c>
      <c r="E5697" s="16">
        <f>IFERROR(__xludf.DUMMYFUNCTION("""COMPUTED_VALUE"""),69.0)</f>
        <v>69</v>
      </c>
      <c r="F5697" s="19" t="str">
        <f>IFERROR(__xludf.DUMMYFUNCTION("""COMPUTED_VALUE"""),"BLACK")</f>
        <v>BLACK</v>
      </c>
      <c r="G5697" s="20" t="str">
        <f>IFERROR(__xludf.DUMMYFUNCTION("""COMPUTED_VALUE"""),"Uncle Sams Cider (5/13/2022)")</f>
        <v>Uncle Sams Cider (5/13/2022)</v>
      </c>
      <c r="H5697" s="19"/>
    </row>
    <row r="5698">
      <c r="A5698" s="9"/>
      <c r="B5698" s="15"/>
      <c r="C5698" s="9">
        <f>IFERROR(__xludf.DUMMYFUNCTION("""COMPUTED_VALUE"""),44737.2234542014)</f>
        <v>44737.22345</v>
      </c>
      <c r="D5698" s="15">
        <f>IFERROR(__xludf.DUMMYFUNCTION("""COMPUTED_VALUE"""),1.005)</f>
        <v>1.005</v>
      </c>
      <c r="E5698" s="16">
        <f>IFERROR(__xludf.DUMMYFUNCTION("""COMPUTED_VALUE"""),69.0)</f>
        <v>69</v>
      </c>
      <c r="F5698" s="19" t="str">
        <f>IFERROR(__xludf.DUMMYFUNCTION("""COMPUTED_VALUE"""),"BLACK")</f>
        <v>BLACK</v>
      </c>
      <c r="G5698" s="20" t="str">
        <f>IFERROR(__xludf.DUMMYFUNCTION("""COMPUTED_VALUE"""),"Uncle Sams Cider (5/13/2022)")</f>
        <v>Uncle Sams Cider (5/13/2022)</v>
      </c>
      <c r="H5698" s="19"/>
    </row>
    <row r="5699">
      <c r="A5699" s="9"/>
      <c r="B5699" s="15"/>
      <c r="C5699" s="9">
        <f>IFERROR(__xludf.DUMMYFUNCTION("""COMPUTED_VALUE"""),44737.2130202199)</f>
        <v>44737.21302</v>
      </c>
      <c r="D5699" s="15">
        <f>IFERROR(__xludf.DUMMYFUNCTION("""COMPUTED_VALUE"""),1.005)</f>
        <v>1.005</v>
      </c>
      <c r="E5699" s="16">
        <f>IFERROR(__xludf.DUMMYFUNCTION("""COMPUTED_VALUE"""),69.0)</f>
        <v>69</v>
      </c>
      <c r="F5699" s="19" t="str">
        <f>IFERROR(__xludf.DUMMYFUNCTION("""COMPUTED_VALUE"""),"BLACK")</f>
        <v>BLACK</v>
      </c>
      <c r="G5699" s="20" t="str">
        <f>IFERROR(__xludf.DUMMYFUNCTION("""COMPUTED_VALUE"""),"Uncle Sams Cider (5/13/2022)")</f>
        <v>Uncle Sams Cider (5/13/2022)</v>
      </c>
      <c r="H5699" s="19"/>
    </row>
    <row r="5700">
      <c r="A5700" s="9"/>
      <c r="B5700" s="15"/>
      <c r="C5700" s="9">
        <f>IFERROR(__xludf.DUMMYFUNCTION("""COMPUTED_VALUE"""),44737.2025871759)</f>
        <v>44737.20259</v>
      </c>
      <c r="D5700" s="15">
        <f>IFERROR(__xludf.DUMMYFUNCTION("""COMPUTED_VALUE"""),1.005)</f>
        <v>1.005</v>
      </c>
      <c r="E5700" s="16">
        <f>IFERROR(__xludf.DUMMYFUNCTION("""COMPUTED_VALUE"""),69.0)</f>
        <v>69</v>
      </c>
      <c r="F5700" s="19" t="str">
        <f>IFERROR(__xludf.DUMMYFUNCTION("""COMPUTED_VALUE"""),"BLACK")</f>
        <v>BLACK</v>
      </c>
      <c r="G5700" s="20" t="str">
        <f>IFERROR(__xludf.DUMMYFUNCTION("""COMPUTED_VALUE"""),"Uncle Sams Cider (5/13/2022)")</f>
        <v>Uncle Sams Cider (5/13/2022)</v>
      </c>
      <c r="H5700" s="19"/>
    </row>
    <row r="5701">
      <c r="A5701" s="9"/>
      <c r="B5701" s="15"/>
      <c r="C5701" s="9">
        <f>IFERROR(__xludf.DUMMYFUNCTION("""COMPUTED_VALUE"""),44737.1921648958)</f>
        <v>44737.19216</v>
      </c>
      <c r="D5701" s="15">
        <f>IFERROR(__xludf.DUMMYFUNCTION("""COMPUTED_VALUE"""),1.005)</f>
        <v>1.005</v>
      </c>
      <c r="E5701" s="16">
        <f>IFERROR(__xludf.DUMMYFUNCTION("""COMPUTED_VALUE"""),69.0)</f>
        <v>69</v>
      </c>
      <c r="F5701" s="19" t="str">
        <f>IFERROR(__xludf.DUMMYFUNCTION("""COMPUTED_VALUE"""),"BLACK")</f>
        <v>BLACK</v>
      </c>
      <c r="G5701" s="20" t="str">
        <f>IFERROR(__xludf.DUMMYFUNCTION("""COMPUTED_VALUE"""),"Uncle Sams Cider (5/13/2022)")</f>
        <v>Uncle Sams Cider (5/13/2022)</v>
      </c>
      <c r="H5701" s="19"/>
    </row>
    <row r="5702">
      <c r="A5702" s="9"/>
      <c r="B5702" s="15"/>
      <c r="C5702" s="9">
        <f>IFERROR(__xludf.DUMMYFUNCTION("""COMPUTED_VALUE"""),44737.1817428703)</f>
        <v>44737.18174</v>
      </c>
      <c r="D5702" s="15">
        <f>IFERROR(__xludf.DUMMYFUNCTION("""COMPUTED_VALUE"""),1.005)</f>
        <v>1.005</v>
      </c>
      <c r="E5702" s="16">
        <f>IFERROR(__xludf.DUMMYFUNCTION("""COMPUTED_VALUE"""),69.0)</f>
        <v>69</v>
      </c>
      <c r="F5702" s="19" t="str">
        <f>IFERROR(__xludf.DUMMYFUNCTION("""COMPUTED_VALUE"""),"BLACK")</f>
        <v>BLACK</v>
      </c>
      <c r="G5702" s="20" t="str">
        <f>IFERROR(__xludf.DUMMYFUNCTION("""COMPUTED_VALUE"""),"Uncle Sams Cider (5/13/2022)")</f>
        <v>Uncle Sams Cider (5/13/2022)</v>
      </c>
      <c r="H5702" s="19"/>
    </row>
    <row r="5703">
      <c r="A5703" s="9"/>
      <c r="B5703" s="15"/>
      <c r="C5703" s="9">
        <f>IFERROR(__xludf.DUMMYFUNCTION("""COMPUTED_VALUE"""),44737.1713109143)</f>
        <v>44737.17131</v>
      </c>
      <c r="D5703" s="15">
        <f>IFERROR(__xludf.DUMMYFUNCTION("""COMPUTED_VALUE"""),1.005)</f>
        <v>1.005</v>
      </c>
      <c r="E5703" s="16">
        <f>IFERROR(__xludf.DUMMYFUNCTION("""COMPUTED_VALUE"""),69.0)</f>
        <v>69</v>
      </c>
      <c r="F5703" s="19" t="str">
        <f>IFERROR(__xludf.DUMMYFUNCTION("""COMPUTED_VALUE"""),"BLACK")</f>
        <v>BLACK</v>
      </c>
      <c r="G5703" s="20" t="str">
        <f>IFERROR(__xludf.DUMMYFUNCTION("""COMPUTED_VALUE"""),"Uncle Sams Cider (5/13/2022)")</f>
        <v>Uncle Sams Cider (5/13/2022)</v>
      </c>
      <c r="H5703" s="19"/>
    </row>
    <row r="5704">
      <c r="A5704" s="9"/>
      <c r="B5704" s="15"/>
      <c r="C5704" s="9">
        <f>IFERROR(__xludf.DUMMYFUNCTION("""COMPUTED_VALUE"""),44737.1608900231)</f>
        <v>44737.16089</v>
      </c>
      <c r="D5704" s="15">
        <f>IFERROR(__xludf.DUMMYFUNCTION("""COMPUTED_VALUE"""),1.005)</f>
        <v>1.005</v>
      </c>
      <c r="E5704" s="16">
        <f>IFERROR(__xludf.DUMMYFUNCTION("""COMPUTED_VALUE"""),69.0)</f>
        <v>69</v>
      </c>
      <c r="F5704" s="19" t="str">
        <f>IFERROR(__xludf.DUMMYFUNCTION("""COMPUTED_VALUE"""),"BLACK")</f>
        <v>BLACK</v>
      </c>
      <c r="G5704" s="20" t="str">
        <f>IFERROR(__xludf.DUMMYFUNCTION("""COMPUTED_VALUE"""),"Uncle Sams Cider (5/13/2022)")</f>
        <v>Uncle Sams Cider (5/13/2022)</v>
      </c>
      <c r="H5704" s="19"/>
    </row>
    <row r="5705">
      <c r="A5705" s="9"/>
      <c r="B5705" s="15"/>
      <c r="C5705" s="9">
        <f>IFERROR(__xludf.DUMMYFUNCTION("""COMPUTED_VALUE"""),44737.1504694328)</f>
        <v>44737.15047</v>
      </c>
      <c r="D5705" s="15">
        <f>IFERROR(__xludf.DUMMYFUNCTION("""COMPUTED_VALUE"""),1.005)</f>
        <v>1.005</v>
      </c>
      <c r="E5705" s="16">
        <f>IFERROR(__xludf.DUMMYFUNCTION("""COMPUTED_VALUE"""),69.0)</f>
        <v>69</v>
      </c>
      <c r="F5705" s="19" t="str">
        <f>IFERROR(__xludf.DUMMYFUNCTION("""COMPUTED_VALUE"""),"BLACK")</f>
        <v>BLACK</v>
      </c>
      <c r="G5705" s="20" t="str">
        <f>IFERROR(__xludf.DUMMYFUNCTION("""COMPUTED_VALUE"""),"Uncle Sams Cider (5/13/2022)")</f>
        <v>Uncle Sams Cider (5/13/2022)</v>
      </c>
      <c r="H5705" s="19"/>
    </row>
    <row r="5706">
      <c r="A5706" s="9"/>
      <c r="B5706" s="15"/>
      <c r="C5706" s="9">
        <f>IFERROR(__xludf.DUMMYFUNCTION("""COMPUTED_VALUE"""),44737.1400473148)</f>
        <v>44737.14005</v>
      </c>
      <c r="D5706" s="15">
        <f>IFERROR(__xludf.DUMMYFUNCTION("""COMPUTED_VALUE"""),1.005)</f>
        <v>1.005</v>
      </c>
      <c r="E5706" s="16">
        <f>IFERROR(__xludf.DUMMYFUNCTION("""COMPUTED_VALUE"""),69.0)</f>
        <v>69</v>
      </c>
      <c r="F5706" s="19" t="str">
        <f>IFERROR(__xludf.DUMMYFUNCTION("""COMPUTED_VALUE"""),"BLACK")</f>
        <v>BLACK</v>
      </c>
      <c r="G5706" s="20" t="str">
        <f>IFERROR(__xludf.DUMMYFUNCTION("""COMPUTED_VALUE"""),"Uncle Sams Cider (5/13/2022)")</f>
        <v>Uncle Sams Cider (5/13/2022)</v>
      </c>
      <c r="H5706" s="19"/>
    </row>
    <row r="5707">
      <c r="A5707" s="9"/>
      <c r="B5707" s="15"/>
      <c r="C5707" s="9">
        <f>IFERROR(__xludf.DUMMYFUNCTION("""COMPUTED_VALUE"""),44737.1296151967)</f>
        <v>44737.12962</v>
      </c>
      <c r="D5707" s="15">
        <f>IFERROR(__xludf.DUMMYFUNCTION("""COMPUTED_VALUE"""),1.005)</f>
        <v>1.005</v>
      </c>
      <c r="E5707" s="16">
        <f>IFERROR(__xludf.DUMMYFUNCTION("""COMPUTED_VALUE"""),69.0)</f>
        <v>69</v>
      </c>
      <c r="F5707" s="19" t="str">
        <f>IFERROR(__xludf.DUMMYFUNCTION("""COMPUTED_VALUE"""),"BLACK")</f>
        <v>BLACK</v>
      </c>
      <c r="G5707" s="20" t="str">
        <f>IFERROR(__xludf.DUMMYFUNCTION("""COMPUTED_VALUE"""),"Uncle Sams Cider (5/13/2022)")</f>
        <v>Uncle Sams Cider (5/13/2022)</v>
      </c>
      <c r="H5707" s="19"/>
    </row>
    <row r="5708">
      <c r="A5708" s="9"/>
      <c r="B5708" s="15"/>
      <c r="C5708" s="9">
        <f>IFERROR(__xludf.DUMMYFUNCTION("""COMPUTED_VALUE"""),44737.1191933217)</f>
        <v>44737.11919</v>
      </c>
      <c r="D5708" s="15">
        <f>IFERROR(__xludf.DUMMYFUNCTION("""COMPUTED_VALUE"""),1.005)</f>
        <v>1.005</v>
      </c>
      <c r="E5708" s="16">
        <f>IFERROR(__xludf.DUMMYFUNCTION("""COMPUTED_VALUE"""),69.0)</f>
        <v>69</v>
      </c>
      <c r="F5708" s="19" t="str">
        <f>IFERROR(__xludf.DUMMYFUNCTION("""COMPUTED_VALUE"""),"BLACK")</f>
        <v>BLACK</v>
      </c>
      <c r="G5708" s="20" t="str">
        <f>IFERROR(__xludf.DUMMYFUNCTION("""COMPUTED_VALUE"""),"Uncle Sams Cider (5/13/2022)")</f>
        <v>Uncle Sams Cider (5/13/2022)</v>
      </c>
      <c r="H5708" s="19"/>
    </row>
    <row r="5709">
      <c r="A5709" s="9"/>
      <c r="B5709" s="15"/>
      <c r="C5709" s="9">
        <f>IFERROR(__xludf.DUMMYFUNCTION("""COMPUTED_VALUE"""),44737.1087613426)</f>
        <v>44737.10876</v>
      </c>
      <c r="D5709" s="15">
        <f>IFERROR(__xludf.DUMMYFUNCTION("""COMPUTED_VALUE"""),1.005)</f>
        <v>1.005</v>
      </c>
      <c r="E5709" s="16">
        <f>IFERROR(__xludf.DUMMYFUNCTION("""COMPUTED_VALUE"""),69.0)</f>
        <v>69</v>
      </c>
      <c r="F5709" s="19" t="str">
        <f>IFERROR(__xludf.DUMMYFUNCTION("""COMPUTED_VALUE"""),"BLACK")</f>
        <v>BLACK</v>
      </c>
      <c r="G5709" s="20" t="str">
        <f>IFERROR(__xludf.DUMMYFUNCTION("""COMPUTED_VALUE"""),"Uncle Sams Cider (5/13/2022)")</f>
        <v>Uncle Sams Cider (5/13/2022)</v>
      </c>
      <c r="H5709" s="19"/>
    </row>
    <row r="5710">
      <c r="A5710" s="9"/>
      <c r="B5710" s="15"/>
      <c r="C5710" s="9">
        <f>IFERROR(__xludf.DUMMYFUNCTION("""COMPUTED_VALUE"""),44737.0983402314)</f>
        <v>44737.09834</v>
      </c>
      <c r="D5710" s="15">
        <f>IFERROR(__xludf.DUMMYFUNCTION("""COMPUTED_VALUE"""),1.005)</f>
        <v>1.005</v>
      </c>
      <c r="E5710" s="16">
        <f>IFERROR(__xludf.DUMMYFUNCTION("""COMPUTED_VALUE"""),68.0)</f>
        <v>68</v>
      </c>
      <c r="F5710" s="19" t="str">
        <f>IFERROR(__xludf.DUMMYFUNCTION("""COMPUTED_VALUE"""),"BLACK")</f>
        <v>BLACK</v>
      </c>
      <c r="G5710" s="20" t="str">
        <f>IFERROR(__xludf.DUMMYFUNCTION("""COMPUTED_VALUE"""),"Uncle Sams Cider (5/13/2022)")</f>
        <v>Uncle Sams Cider (5/13/2022)</v>
      </c>
      <c r="H5710" s="19"/>
    </row>
    <row r="5711">
      <c r="A5711" s="9"/>
      <c r="B5711" s="15"/>
      <c r="C5711" s="9">
        <f>IFERROR(__xludf.DUMMYFUNCTION("""COMPUTED_VALUE"""),44737.0879192013)</f>
        <v>44737.08792</v>
      </c>
      <c r="D5711" s="15">
        <f>IFERROR(__xludf.DUMMYFUNCTION("""COMPUTED_VALUE"""),1.005)</f>
        <v>1.005</v>
      </c>
      <c r="E5711" s="16">
        <f>IFERROR(__xludf.DUMMYFUNCTION("""COMPUTED_VALUE"""),68.0)</f>
        <v>68</v>
      </c>
      <c r="F5711" s="19" t="str">
        <f>IFERROR(__xludf.DUMMYFUNCTION("""COMPUTED_VALUE"""),"BLACK")</f>
        <v>BLACK</v>
      </c>
      <c r="G5711" s="20" t="str">
        <f>IFERROR(__xludf.DUMMYFUNCTION("""COMPUTED_VALUE"""),"Uncle Sams Cider (5/13/2022)")</f>
        <v>Uncle Sams Cider (5/13/2022)</v>
      </c>
      <c r="H5711" s="19"/>
    </row>
    <row r="5712">
      <c r="A5712" s="9"/>
      <c r="B5712" s="15"/>
      <c r="C5712" s="9">
        <f>IFERROR(__xludf.DUMMYFUNCTION("""COMPUTED_VALUE"""),44737.0774986226)</f>
        <v>44737.0775</v>
      </c>
      <c r="D5712" s="15">
        <f>IFERROR(__xludf.DUMMYFUNCTION("""COMPUTED_VALUE"""),1.005)</f>
        <v>1.005</v>
      </c>
      <c r="E5712" s="16">
        <f>IFERROR(__xludf.DUMMYFUNCTION("""COMPUTED_VALUE"""),68.0)</f>
        <v>68</v>
      </c>
      <c r="F5712" s="19" t="str">
        <f>IFERROR(__xludf.DUMMYFUNCTION("""COMPUTED_VALUE"""),"BLACK")</f>
        <v>BLACK</v>
      </c>
      <c r="G5712" s="20" t="str">
        <f>IFERROR(__xludf.DUMMYFUNCTION("""COMPUTED_VALUE"""),"Uncle Sams Cider (5/13/2022)")</f>
        <v>Uncle Sams Cider (5/13/2022)</v>
      </c>
      <c r="H5712" s="19"/>
    </row>
    <row r="5713">
      <c r="A5713" s="9"/>
      <c r="B5713" s="15"/>
      <c r="C5713" s="9">
        <f>IFERROR(__xludf.DUMMYFUNCTION("""COMPUTED_VALUE"""),44737.0670771296)</f>
        <v>44737.06708</v>
      </c>
      <c r="D5713" s="15">
        <f>IFERROR(__xludf.DUMMYFUNCTION("""COMPUTED_VALUE"""),1.005)</f>
        <v>1.005</v>
      </c>
      <c r="E5713" s="16">
        <f>IFERROR(__xludf.DUMMYFUNCTION("""COMPUTED_VALUE"""),68.0)</f>
        <v>68</v>
      </c>
      <c r="F5713" s="19" t="str">
        <f>IFERROR(__xludf.DUMMYFUNCTION("""COMPUTED_VALUE"""),"BLACK")</f>
        <v>BLACK</v>
      </c>
      <c r="G5713" s="20" t="str">
        <f>IFERROR(__xludf.DUMMYFUNCTION("""COMPUTED_VALUE"""),"Uncle Sams Cider (5/13/2022)")</f>
        <v>Uncle Sams Cider (5/13/2022)</v>
      </c>
      <c r="H5713" s="19"/>
    </row>
    <row r="5714">
      <c r="A5714" s="9"/>
      <c r="B5714" s="15"/>
      <c r="C5714" s="9">
        <f>IFERROR(__xludf.DUMMYFUNCTION("""COMPUTED_VALUE"""),44737.0566536689)</f>
        <v>44737.05665</v>
      </c>
      <c r="D5714" s="15">
        <f>IFERROR(__xludf.DUMMYFUNCTION("""COMPUTED_VALUE"""),1.005)</f>
        <v>1.005</v>
      </c>
      <c r="E5714" s="16">
        <f>IFERROR(__xludf.DUMMYFUNCTION("""COMPUTED_VALUE"""),68.0)</f>
        <v>68</v>
      </c>
      <c r="F5714" s="19" t="str">
        <f>IFERROR(__xludf.DUMMYFUNCTION("""COMPUTED_VALUE"""),"BLACK")</f>
        <v>BLACK</v>
      </c>
      <c r="G5714" s="20" t="str">
        <f>IFERROR(__xludf.DUMMYFUNCTION("""COMPUTED_VALUE"""),"Uncle Sams Cider (5/13/2022)")</f>
        <v>Uncle Sams Cider (5/13/2022)</v>
      </c>
      <c r="H5714" s="19"/>
    </row>
    <row r="5715">
      <c r="A5715" s="9"/>
      <c r="B5715" s="15"/>
      <c r="C5715" s="9">
        <f>IFERROR(__xludf.DUMMYFUNCTION("""COMPUTED_VALUE"""),44737.0462324074)</f>
        <v>44737.04623</v>
      </c>
      <c r="D5715" s="15">
        <f>IFERROR(__xludf.DUMMYFUNCTION("""COMPUTED_VALUE"""),1.005)</f>
        <v>1.005</v>
      </c>
      <c r="E5715" s="16">
        <f>IFERROR(__xludf.DUMMYFUNCTION("""COMPUTED_VALUE"""),68.0)</f>
        <v>68</v>
      </c>
      <c r="F5715" s="19" t="str">
        <f>IFERROR(__xludf.DUMMYFUNCTION("""COMPUTED_VALUE"""),"BLACK")</f>
        <v>BLACK</v>
      </c>
      <c r="G5715" s="20" t="str">
        <f>IFERROR(__xludf.DUMMYFUNCTION("""COMPUTED_VALUE"""),"Uncle Sams Cider (5/13/2022)")</f>
        <v>Uncle Sams Cider (5/13/2022)</v>
      </c>
      <c r="H5715" s="19"/>
    </row>
    <row r="5716">
      <c r="A5716" s="9"/>
      <c r="B5716" s="15"/>
      <c r="C5716" s="9">
        <f>IFERROR(__xludf.DUMMYFUNCTION("""COMPUTED_VALUE"""),44737.035776493)</f>
        <v>44737.03578</v>
      </c>
      <c r="D5716" s="15">
        <f>IFERROR(__xludf.DUMMYFUNCTION("""COMPUTED_VALUE"""),1.005)</f>
        <v>1.005</v>
      </c>
      <c r="E5716" s="16">
        <f>IFERROR(__xludf.DUMMYFUNCTION("""COMPUTED_VALUE"""),68.0)</f>
        <v>68</v>
      </c>
      <c r="F5716" s="19" t="str">
        <f>IFERROR(__xludf.DUMMYFUNCTION("""COMPUTED_VALUE"""),"BLACK")</f>
        <v>BLACK</v>
      </c>
      <c r="G5716" s="20" t="str">
        <f>IFERROR(__xludf.DUMMYFUNCTION("""COMPUTED_VALUE"""),"Uncle Sams Cider (5/13/2022)")</f>
        <v>Uncle Sams Cider (5/13/2022)</v>
      </c>
      <c r="H5716" s="19"/>
    </row>
    <row r="5717">
      <c r="A5717" s="9"/>
      <c r="B5717" s="15"/>
      <c r="C5717" s="9">
        <f>IFERROR(__xludf.DUMMYFUNCTION("""COMPUTED_VALUE"""),44737.0253550463)</f>
        <v>44737.02536</v>
      </c>
      <c r="D5717" s="15">
        <f>IFERROR(__xludf.DUMMYFUNCTION("""COMPUTED_VALUE"""),1.005)</f>
        <v>1.005</v>
      </c>
      <c r="E5717" s="16">
        <f>IFERROR(__xludf.DUMMYFUNCTION("""COMPUTED_VALUE"""),68.0)</f>
        <v>68</v>
      </c>
      <c r="F5717" s="19" t="str">
        <f>IFERROR(__xludf.DUMMYFUNCTION("""COMPUTED_VALUE"""),"BLACK")</f>
        <v>BLACK</v>
      </c>
      <c r="G5717" s="20" t="str">
        <f>IFERROR(__xludf.DUMMYFUNCTION("""COMPUTED_VALUE"""),"Uncle Sams Cider (5/13/2022)")</f>
        <v>Uncle Sams Cider (5/13/2022)</v>
      </c>
      <c r="H5717" s="19"/>
    </row>
    <row r="5718">
      <c r="A5718" s="9"/>
      <c r="B5718" s="15"/>
      <c r="C5718" s="9">
        <f>IFERROR(__xludf.DUMMYFUNCTION("""COMPUTED_VALUE"""),44737.0149336805)</f>
        <v>44737.01493</v>
      </c>
      <c r="D5718" s="15">
        <f>IFERROR(__xludf.DUMMYFUNCTION("""COMPUTED_VALUE"""),1.005)</f>
        <v>1.005</v>
      </c>
      <c r="E5718" s="16">
        <f>IFERROR(__xludf.DUMMYFUNCTION("""COMPUTED_VALUE"""),68.0)</f>
        <v>68</v>
      </c>
      <c r="F5718" s="19" t="str">
        <f>IFERROR(__xludf.DUMMYFUNCTION("""COMPUTED_VALUE"""),"BLACK")</f>
        <v>BLACK</v>
      </c>
      <c r="G5718" s="20" t="str">
        <f>IFERROR(__xludf.DUMMYFUNCTION("""COMPUTED_VALUE"""),"Uncle Sams Cider (5/13/2022)")</f>
        <v>Uncle Sams Cider (5/13/2022)</v>
      </c>
      <c r="H5718" s="19"/>
    </row>
    <row r="5719">
      <c r="A5719" s="9"/>
      <c r="B5719" s="15"/>
      <c r="C5719" s="9">
        <f>IFERROR(__xludf.DUMMYFUNCTION("""COMPUTED_VALUE"""),44737.0045019213)</f>
        <v>44737.0045</v>
      </c>
      <c r="D5719" s="15">
        <f>IFERROR(__xludf.DUMMYFUNCTION("""COMPUTED_VALUE"""),1.005)</f>
        <v>1.005</v>
      </c>
      <c r="E5719" s="16">
        <f>IFERROR(__xludf.DUMMYFUNCTION("""COMPUTED_VALUE"""),68.0)</f>
        <v>68</v>
      </c>
      <c r="F5719" s="19" t="str">
        <f>IFERROR(__xludf.DUMMYFUNCTION("""COMPUTED_VALUE"""),"BLACK")</f>
        <v>BLACK</v>
      </c>
      <c r="G5719" s="20" t="str">
        <f>IFERROR(__xludf.DUMMYFUNCTION("""COMPUTED_VALUE"""),"Uncle Sams Cider (5/13/2022)")</f>
        <v>Uncle Sams Cider (5/13/2022)</v>
      </c>
      <c r="H5719" s="19"/>
    </row>
    <row r="5720">
      <c r="A5720" s="9"/>
      <c r="B5720" s="15"/>
      <c r="C5720" s="9">
        <f>IFERROR(__xludf.DUMMYFUNCTION("""COMPUTED_VALUE"""),44736.9940804514)</f>
        <v>44736.99408</v>
      </c>
      <c r="D5720" s="15">
        <f>IFERROR(__xludf.DUMMYFUNCTION("""COMPUTED_VALUE"""),1.005)</f>
        <v>1.005</v>
      </c>
      <c r="E5720" s="16">
        <f>IFERROR(__xludf.DUMMYFUNCTION("""COMPUTED_VALUE"""),68.0)</f>
        <v>68</v>
      </c>
      <c r="F5720" s="19" t="str">
        <f>IFERROR(__xludf.DUMMYFUNCTION("""COMPUTED_VALUE"""),"BLACK")</f>
        <v>BLACK</v>
      </c>
      <c r="G5720" s="20" t="str">
        <f>IFERROR(__xludf.DUMMYFUNCTION("""COMPUTED_VALUE"""),"Uncle Sams Cider (5/13/2022)")</f>
        <v>Uncle Sams Cider (5/13/2022)</v>
      </c>
      <c r="H5720" s="19"/>
    </row>
    <row r="5721">
      <c r="A5721" s="9"/>
      <c r="B5721" s="15"/>
      <c r="C5721" s="9">
        <f>IFERROR(__xludf.DUMMYFUNCTION("""COMPUTED_VALUE"""),44736.983660243)</f>
        <v>44736.98366</v>
      </c>
      <c r="D5721" s="15">
        <f>IFERROR(__xludf.DUMMYFUNCTION("""COMPUTED_VALUE"""),1.005)</f>
        <v>1.005</v>
      </c>
      <c r="E5721" s="16">
        <f>IFERROR(__xludf.DUMMYFUNCTION("""COMPUTED_VALUE"""),68.0)</f>
        <v>68</v>
      </c>
      <c r="F5721" s="19" t="str">
        <f>IFERROR(__xludf.DUMMYFUNCTION("""COMPUTED_VALUE"""),"BLACK")</f>
        <v>BLACK</v>
      </c>
      <c r="G5721" s="20" t="str">
        <f>IFERROR(__xludf.DUMMYFUNCTION("""COMPUTED_VALUE"""),"Uncle Sams Cider (5/13/2022)")</f>
        <v>Uncle Sams Cider (5/13/2022)</v>
      </c>
      <c r="H5721" s="19"/>
    </row>
    <row r="5722">
      <c r="A5722" s="9"/>
      <c r="B5722" s="15"/>
      <c r="C5722" s="9">
        <f>IFERROR(__xludf.DUMMYFUNCTION("""COMPUTED_VALUE"""),44736.9732382407)</f>
        <v>44736.97324</v>
      </c>
      <c r="D5722" s="15">
        <f>IFERROR(__xludf.DUMMYFUNCTION("""COMPUTED_VALUE"""),1.005)</f>
        <v>1.005</v>
      </c>
      <c r="E5722" s="16">
        <f>IFERROR(__xludf.DUMMYFUNCTION("""COMPUTED_VALUE"""),68.0)</f>
        <v>68</v>
      </c>
      <c r="F5722" s="19" t="str">
        <f>IFERROR(__xludf.DUMMYFUNCTION("""COMPUTED_VALUE"""),"BLACK")</f>
        <v>BLACK</v>
      </c>
      <c r="G5722" s="20" t="str">
        <f>IFERROR(__xludf.DUMMYFUNCTION("""COMPUTED_VALUE"""),"Uncle Sams Cider (5/13/2022)")</f>
        <v>Uncle Sams Cider (5/13/2022)</v>
      </c>
      <c r="H5722" s="19"/>
    </row>
    <row r="5723">
      <c r="A5723" s="9"/>
      <c r="B5723" s="15"/>
      <c r="C5723" s="9">
        <f>IFERROR(__xludf.DUMMYFUNCTION("""COMPUTED_VALUE"""),44736.9628157407)</f>
        <v>44736.96282</v>
      </c>
      <c r="D5723" s="15">
        <f>IFERROR(__xludf.DUMMYFUNCTION("""COMPUTED_VALUE"""),1.005)</f>
        <v>1.005</v>
      </c>
      <c r="E5723" s="16">
        <f>IFERROR(__xludf.DUMMYFUNCTION("""COMPUTED_VALUE"""),68.0)</f>
        <v>68</v>
      </c>
      <c r="F5723" s="19" t="str">
        <f>IFERROR(__xludf.DUMMYFUNCTION("""COMPUTED_VALUE"""),"BLACK")</f>
        <v>BLACK</v>
      </c>
      <c r="G5723" s="20" t="str">
        <f>IFERROR(__xludf.DUMMYFUNCTION("""COMPUTED_VALUE"""),"Uncle Sams Cider (5/13/2022)")</f>
        <v>Uncle Sams Cider (5/13/2022)</v>
      </c>
      <c r="H5723" s="19"/>
    </row>
    <row r="5724">
      <c r="A5724" s="9"/>
      <c r="B5724" s="15"/>
      <c r="C5724" s="9">
        <f>IFERROR(__xludf.DUMMYFUNCTION("""COMPUTED_VALUE"""),44736.9523922106)</f>
        <v>44736.95239</v>
      </c>
      <c r="D5724" s="15">
        <f>IFERROR(__xludf.DUMMYFUNCTION("""COMPUTED_VALUE"""),1.005)</f>
        <v>1.005</v>
      </c>
      <c r="E5724" s="16">
        <f>IFERROR(__xludf.DUMMYFUNCTION("""COMPUTED_VALUE"""),68.0)</f>
        <v>68</v>
      </c>
      <c r="F5724" s="19" t="str">
        <f>IFERROR(__xludf.DUMMYFUNCTION("""COMPUTED_VALUE"""),"BLACK")</f>
        <v>BLACK</v>
      </c>
      <c r="G5724" s="20" t="str">
        <f>IFERROR(__xludf.DUMMYFUNCTION("""COMPUTED_VALUE"""),"Uncle Sams Cider (5/13/2022)")</f>
        <v>Uncle Sams Cider (5/13/2022)</v>
      </c>
      <c r="H5724" s="19"/>
    </row>
    <row r="5725">
      <c r="A5725" s="9"/>
      <c r="B5725" s="15"/>
      <c r="C5725" s="9">
        <f>IFERROR(__xludf.DUMMYFUNCTION("""COMPUTED_VALUE"""),44736.9419712615)</f>
        <v>44736.94197</v>
      </c>
      <c r="D5725" s="15">
        <f>IFERROR(__xludf.DUMMYFUNCTION("""COMPUTED_VALUE"""),1.005)</f>
        <v>1.005</v>
      </c>
      <c r="E5725" s="16">
        <f>IFERROR(__xludf.DUMMYFUNCTION("""COMPUTED_VALUE"""),68.0)</f>
        <v>68</v>
      </c>
      <c r="F5725" s="19" t="str">
        <f>IFERROR(__xludf.DUMMYFUNCTION("""COMPUTED_VALUE"""),"BLACK")</f>
        <v>BLACK</v>
      </c>
      <c r="G5725" s="20" t="str">
        <f>IFERROR(__xludf.DUMMYFUNCTION("""COMPUTED_VALUE"""),"Uncle Sams Cider (5/13/2022)")</f>
        <v>Uncle Sams Cider (5/13/2022)</v>
      </c>
      <c r="H5725" s="19"/>
    </row>
    <row r="5726">
      <c r="A5726" s="9"/>
      <c r="B5726" s="15"/>
      <c r="C5726" s="9">
        <f>IFERROR(__xludf.DUMMYFUNCTION("""COMPUTED_VALUE"""),44736.9315510532)</f>
        <v>44736.93155</v>
      </c>
      <c r="D5726" s="15">
        <f>IFERROR(__xludf.DUMMYFUNCTION("""COMPUTED_VALUE"""),1.005)</f>
        <v>1.005</v>
      </c>
      <c r="E5726" s="16">
        <f>IFERROR(__xludf.DUMMYFUNCTION("""COMPUTED_VALUE"""),68.0)</f>
        <v>68</v>
      </c>
      <c r="F5726" s="19" t="str">
        <f>IFERROR(__xludf.DUMMYFUNCTION("""COMPUTED_VALUE"""),"BLACK")</f>
        <v>BLACK</v>
      </c>
      <c r="G5726" s="20" t="str">
        <f>IFERROR(__xludf.DUMMYFUNCTION("""COMPUTED_VALUE"""),"Uncle Sams Cider (5/13/2022)")</f>
        <v>Uncle Sams Cider (5/13/2022)</v>
      </c>
      <c r="H5726" s="19"/>
    </row>
    <row r="5727">
      <c r="A5727" s="9"/>
      <c r="B5727" s="15"/>
      <c r="C5727" s="9">
        <f>IFERROR(__xludf.DUMMYFUNCTION("""COMPUTED_VALUE"""),44736.9211299074)</f>
        <v>44736.92113</v>
      </c>
      <c r="D5727" s="15">
        <f>IFERROR(__xludf.DUMMYFUNCTION("""COMPUTED_VALUE"""),1.005)</f>
        <v>1.005</v>
      </c>
      <c r="E5727" s="16">
        <f>IFERROR(__xludf.DUMMYFUNCTION("""COMPUTED_VALUE"""),68.0)</f>
        <v>68</v>
      </c>
      <c r="F5727" s="19" t="str">
        <f>IFERROR(__xludf.DUMMYFUNCTION("""COMPUTED_VALUE"""),"BLACK")</f>
        <v>BLACK</v>
      </c>
      <c r="G5727" s="20" t="str">
        <f>IFERROR(__xludf.DUMMYFUNCTION("""COMPUTED_VALUE"""),"Uncle Sams Cider (5/13/2022)")</f>
        <v>Uncle Sams Cider (5/13/2022)</v>
      </c>
      <c r="H5727" s="19"/>
    </row>
    <row r="5728">
      <c r="A5728" s="9"/>
      <c r="B5728" s="15"/>
      <c r="C5728" s="9">
        <f>IFERROR(__xludf.DUMMYFUNCTION("""COMPUTED_VALUE"""),44736.9107083333)</f>
        <v>44736.91071</v>
      </c>
      <c r="D5728" s="15">
        <f>IFERROR(__xludf.DUMMYFUNCTION("""COMPUTED_VALUE"""),1.005)</f>
        <v>1.005</v>
      </c>
      <c r="E5728" s="16">
        <f>IFERROR(__xludf.DUMMYFUNCTION("""COMPUTED_VALUE"""),68.0)</f>
        <v>68</v>
      </c>
      <c r="F5728" s="19" t="str">
        <f>IFERROR(__xludf.DUMMYFUNCTION("""COMPUTED_VALUE"""),"BLACK")</f>
        <v>BLACK</v>
      </c>
      <c r="G5728" s="20" t="str">
        <f>IFERROR(__xludf.DUMMYFUNCTION("""COMPUTED_VALUE"""),"Uncle Sams Cider (5/13/2022)")</f>
        <v>Uncle Sams Cider (5/13/2022)</v>
      </c>
      <c r="H5728" s="19"/>
    </row>
    <row r="5729">
      <c r="A5729" s="9"/>
      <c r="B5729" s="15"/>
      <c r="C5729" s="9">
        <f>IFERROR(__xludf.DUMMYFUNCTION("""COMPUTED_VALUE"""),44736.9002881944)</f>
        <v>44736.90029</v>
      </c>
      <c r="D5729" s="15">
        <f>IFERROR(__xludf.DUMMYFUNCTION("""COMPUTED_VALUE"""),1.005)</f>
        <v>1.005</v>
      </c>
      <c r="E5729" s="16">
        <f>IFERROR(__xludf.DUMMYFUNCTION("""COMPUTED_VALUE"""),68.0)</f>
        <v>68</v>
      </c>
      <c r="F5729" s="19" t="str">
        <f>IFERROR(__xludf.DUMMYFUNCTION("""COMPUTED_VALUE"""),"BLACK")</f>
        <v>BLACK</v>
      </c>
      <c r="G5729" s="20" t="str">
        <f>IFERROR(__xludf.DUMMYFUNCTION("""COMPUTED_VALUE"""),"Uncle Sams Cider (5/13/2022)")</f>
        <v>Uncle Sams Cider (5/13/2022)</v>
      </c>
      <c r="H5729" s="19"/>
    </row>
    <row r="5730">
      <c r="A5730" s="9"/>
      <c r="B5730" s="15"/>
      <c r="C5730" s="9">
        <f>IFERROR(__xludf.DUMMYFUNCTION("""COMPUTED_VALUE"""),44736.8898681828)</f>
        <v>44736.88987</v>
      </c>
      <c r="D5730" s="15">
        <f>IFERROR(__xludf.DUMMYFUNCTION("""COMPUTED_VALUE"""),1.005)</f>
        <v>1.005</v>
      </c>
      <c r="E5730" s="16">
        <f>IFERROR(__xludf.DUMMYFUNCTION("""COMPUTED_VALUE"""),68.0)</f>
        <v>68</v>
      </c>
      <c r="F5730" s="19" t="str">
        <f>IFERROR(__xludf.DUMMYFUNCTION("""COMPUTED_VALUE"""),"BLACK")</f>
        <v>BLACK</v>
      </c>
      <c r="G5730" s="20" t="str">
        <f>IFERROR(__xludf.DUMMYFUNCTION("""COMPUTED_VALUE"""),"Uncle Sams Cider (5/13/2022)")</f>
        <v>Uncle Sams Cider (5/13/2022)</v>
      </c>
      <c r="H5730" s="19"/>
    </row>
    <row r="5731">
      <c r="A5731" s="9"/>
      <c r="B5731" s="15"/>
      <c r="C5731" s="9">
        <f>IFERROR(__xludf.DUMMYFUNCTION("""COMPUTED_VALUE"""),44736.8794357176)</f>
        <v>44736.87944</v>
      </c>
      <c r="D5731" s="15">
        <f>IFERROR(__xludf.DUMMYFUNCTION("""COMPUTED_VALUE"""),1.005)</f>
        <v>1.005</v>
      </c>
      <c r="E5731" s="16">
        <f>IFERROR(__xludf.DUMMYFUNCTION("""COMPUTED_VALUE"""),68.0)</f>
        <v>68</v>
      </c>
      <c r="F5731" s="19" t="str">
        <f>IFERROR(__xludf.DUMMYFUNCTION("""COMPUTED_VALUE"""),"BLACK")</f>
        <v>BLACK</v>
      </c>
      <c r="G5731" s="20" t="str">
        <f>IFERROR(__xludf.DUMMYFUNCTION("""COMPUTED_VALUE"""),"Uncle Sams Cider (5/13/2022)")</f>
        <v>Uncle Sams Cider (5/13/2022)</v>
      </c>
      <c r="H5731" s="19"/>
    </row>
    <row r="5732">
      <c r="A5732" s="9"/>
      <c r="B5732" s="15"/>
      <c r="C5732" s="9">
        <f>IFERROR(__xludf.DUMMYFUNCTION("""COMPUTED_VALUE"""),44736.8690143634)</f>
        <v>44736.86901</v>
      </c>
      <c r="D5732" s="15">
        <f>IFERROR(__xludf.DUMMYFUNCTION("""COMPUTED_VALUE"""),1.005)</f>
        <v>1.005</v>
      </c>
      <c r="E5732" s="16">
        <f>IFERROR(__xludf.DUMMYFUNCTION("""COMPUTED_VALUE"""),68.0)</f>
        <v>68</v>
      </c>
      <c r="F5732" s="19" t="str">
        <f>IFERROR(__xludf.DUMMYFUNCTION("""COMPUTED_VALUE"""),"BLACK")</f>
        <v>BLACK</v>
      </c>
      <c r="G5732" s="20" t="str">
        <f>IFERROR(__xludf.DUMMYFUNCTION("""COMPUTED_VALUE"""),"Uncle Sams Cider (5/13/2022)")</f>
        <v>Uncle Sams Cider (5/13/2022)</v>
      </c>
      <c r="H5732" s="19"/>
    </row>
    <row r="5733">
      <c r="A5733" s="9"/>
      <c r="B5733" s="15"/>
      <c r="C5733" s="9">
        <f>IFERROR(__xludf.DUMMYFUNCTION("""COMPUTED_VALUE"""),44736.8585937847)</f>
        <v>44736.85859</v>
      </c>
      <c r="D5733" s="15">
        <f>IFERROR(__xludf.DUMMYFUNCTION("""COMPUTED_VALUE"""),1.005)</f>
        <v>1.005</v>
      </c>
      <c r="E5733" s="16">
        <f>IFERROR(__xludf.DUMMYFUNCTION("""COMPUTED_VALUE"""),68.0)</f>
        <v>68</v>
      </c>
      <c r="F5733" s="19" t="str">
        <f>IFERROR(__xludf.DUMMYFUNCTION("""COMPUTED_VALUE"""),"BLACK")</f>
        <v>BLACK</v>
      </c>
      <c r="G5733" s="20" t="str">
        <f>IFERROR(__xludf.DUMMYFUNCTION("""COMPUTED_VALUE"""),"Uncle Sams Cider (5/13/2022)")</f>
        <v>Uncle Sams Cider (5/13/2022)</v>
      </c>
      <c r="H5733" s="19"/>
    </row>
    <row r="5734">
      <c r="A5734" s="9"/>
      <c r="B5734" s="15"/>
      <c r="C5734" s="9">
        <f>IFERROR(__xludf.DUMMYFUNCTION("""COMPUTED_VALUE"""),44736.8481740277)</f>
        <v>44736.84817</v>
      </c>
      <c r="D5734" s="15">
        <f>IFERROR(__xludf.DUMMYFUNCTION("""COMPUTED_VALUE"""),1.005)</f>
        <v>1.005</v>
      </c>
      <c r="E5734" s="16">
        <f>IFERROR(__xludf.DUMMYFUNCTION("""COMPUTED_VALUE"""),68.0)</f>
        <v>68</v>
      </c>
      <c r="F5734" s="19" t="str">
        <f>IFERROR(__xludf.DUMMYFUNCTION("""COMPUTED_VALUE"""),"BLACK")</f>
        <v>BLACK</v>
      </c>
      <c r="G5734" s="20" t="str">
        <f>IFERROR(__xludf.DUMMYFUNCTION("""COMPUTED_VALUE"""),"Uncle Sams Cider (5/13/2022)")</f>
        <v>Uncle Sams Cider (5/13/2022)</v>
      </c>
      <c r="H5734" s="19"/>
    </row>
    <row r="5735">
      <c r="A5735" s="9"/>
      <c r="B5735" s="15"/>
      <c r="C5735" s="9">
        <f>IFERROR(__xludf.DUMMYFUNCTION("""COMPUTED_VALUE"""),44736.8377537037)</f>
        <v>44736.83775</v>
      </c>
      <c r="D5735" s="15">
        <f>IFERROR(__xludf.DUMMYFUNCTION("""COMPUTED_VALUE"""),1.005)</f>
        <v>1.005</v>
      </c>
      <c r="E5735" s="16">
        <f>IFERROR(__xludf.DUMMYFUNCTION("""COMPUTED_VALUE"""),68.0)</f>
        <v>68</v>
      </c>
      <c r="F5735" s="19" t="str">
        <f>IFERROR(__xludf.DUMMYFUNCTION("""COMPUTED_VALUE"""),"BLACK")</f>
        <v>BLACK</v>
      </c>
      <c r="G5735" s="20" t="str">
        <f>IFERROR(__xludf.DUMMYFUNCTION("""COMPUTED_VALUE"""),"Uncle Sams Cider (5/13/2022)")</f>
        <v>Uncle Sams Cider (5/13/2022)</v>
      </c>
      <c r="H5735" s="19"/>
    </row>
    <row r="5736">
      <c r="A5736" s="9"/>
      <c r="B5736" s="15"/>
      <c r="C5736" s="9">
        <f>IFERROR(__xludf.DUMMYFUNCTION("""COMPUTED_VALUE"""),44736.8273334027)</f>
        <v>44736.82733</v>
      </c>
      <c r="D5736" s="15">
        <f>IFERROR(__xludf.DUMMYFUNCTION("""COMPUTED_VALUE"""),1.005)</f>
        <v>1.005</v>
      </c>
      <c r="E5736" s="16">
        <f>IFERROR(__xludf.DUMMYFUNCTION("""COMPUTED_VALUE"""),68.0)</f>
        <v>68</v>
      </c>
      <c r="F5736" s="19" t="str">
        <f>IFERROR(__xludf.DUMMYFUNCTION("""COMPUTED_VALUE"""),"BLACK")</f>
        <v>BLACK</v>
      </c>
      <c r="G5736" s="20" t="str">
        <f>IFERROR(__xludf.DUMMYFUNCTION("""COMPUTED_VALUE"""),"Uncle Sams Cider (5/13/2022)")</f>
        <v>Uncle Sams Cider (5/13/2022)</v>
      </c>
      <c r="H5736" s="19"/>
    </row>
    <row r="5737">
      <c r="A5737" s="9"/>
      <c r="B5737" s="15"/>
      <c r="C5737" s="9">
        <f>IFERROR(__xludf.DUMMYFUNCTION("""COMPUTED_VALUE"""),44736.8169007986)</f>
        <v>44736.8169</v>
      </c>
      <c r="D5737" s="15">
        <f>IFERROR(__xludf.DUMMYFUNCTION("""COMPUTED_VALUE"""),1.005)</f>
        <v>1.005</v>
      </c>
      <c r="E5737" s="16">
        <f>IFERROR(__xludf.DUMMYFUNCTION("""COMPUTED_VALUE"""),68.0)</f>
        <v>68</v>
      </c>
      <c r="F5737" s="19" t="str">
        <f>IFERROR(__xludf.DUMMYFUNCTION("""COMPUTED_VALUE"""),"BLACK")</f>
        <v>BLACK</v>
      </c>
      <c r="G5737" s="20" t="str">
        <f>IFERROR(__xludf.DUMMYFUNCTION("""COMPUTED_VALUE"""),"Uncle Sams Cider (5/13/2022)")</f>
        <v>Uncle Sams Cider (5/13/2022)</v>
      </c>
      <c r="H5737" s="19"/>
    </row>
    <row r="5738">
      <c r="A5738" s="9"/>
      <c r="B5738" s="15"/>
      <c r="C5738" s="9">
        <f>IFERROR(__xludf.DUMMYFUNCTION("""COMPUTED_VALUE"""),44736.8064781018)</f>
        <v>44736.80648</v>
      </c>
      <c r="D5738" s="15">
        <f>IFERROR(__xludf.DUMMYFUNCTION("""COMPUTED_VALUE"""),1.005)</f>
        <v>1.005</v>
      </c>
      <c r="E5738" s="16">
        <f>IFERROR(__xludf.DUMMYFUNCTION("""COMPUTED_VALUE"""),68.0)</f>
        <v>68</v>
      </c>
      <c r="F5738" s="19" t="str">
        <f>IFERROR(__xludf.DUMMYFUNCTION("""COMPUTED_VALUE"""),"BLACK")</f>
        <v>BLACK</v>
      </c>
      <c r="G5738" s="20" t="str">
        <f>IFERROR(__xludf.DUMMYFUNCTION("""COMPUTED_VALUE"""),"Uncle Sams Cider (5/13/2022)")</f>
        <v>Uncle Sams Cider (5/13/2022)</v>
      </c>
      <c r="H5738" s="19"/>
    </row>
    <row r="5739">
      <c r="A5739" s="9"/>
      <c r="B5739" s="15"/>
      <c r="C5739" s="9">
        <f>IFERROR(__xludf.DUMMYFUNCTION("""COMPUTED_VALUE"""),44736.7960567013)</f>
        <v>44736.79606</v>
      </c>
      <c r="D5739" s="15">
        <f>IFERROR(__xludf.DUMMYFUNCTION("""COMPUTED_VALUE"""),1.005)</f>
        <v>1.005</v>
      </c>
      <c r="E5739" s="16">
        <f>IFERROR(__xludf.DUMMYFUNCTION("""COMPUTED_VALUE"""),68.0)</f>
        <v>68</v>
      </c>
      <c r="F5739" s="19" t="str">
        <f>IFERROR(__xludf.DUMMYFUNCTION("""COMPUTED_VALUE"""),"BLACK")</f>
        <v>BLACK</v>
      </c>
      <c r="G5739" s="20" t="str">
        <f>IFERROR(__xludf.DUMMYFUNCTION("""COMPUTED_VALUE"""),"Uncle Sams Cider (5/13/2022)")</f>
        <v>Uncle Sams Cider (5/13/2022)</v>
      </c>
      <c r="H5739" s="19"/>
    </row>
    <row r="5740">
      <c r="A5740" s="9"/>
      <c r="B5740" s="15"/>
      <c r="C5740" s="9">
        <f>IFERROR(__xludf.DUMMYFUNCTION("""COMPUTED_VALUE"""),44736.7856357638)</f>
        <v>44736.78564</v>
      </c>
      <c r="D5740" s="15">
        <f>IFERROR(__xludf.DUMMYFUNCTION("""COMPUTED_VALUE"""),1.005)</f>
        <v>1.005</v>
      </c>
      <c r="E5740" s="16">
        <f>IFERROR(__xludf.DUMMYFUNCTION("""COMPUTED_VALUE"""),68.0)</f>
        <v>68</v>
      </c>
      <c r="F5740" s="19" t="str">
        <f>IFERROR(__xludf.DUMMYFUNCTION("""COMPUTED_VALUE"""),"BLACK")</f>
        <v>BLACK</v>
      </c>
      <c r="G5740" s="20" t="str">
        <f>IFERROR(__xludf.DUMMYFUNCTION("""COMPUTED_VALUE"""),"Uncle Sams Cider (5/13/2022)")</f>
        <v>Uncle Sams Cider (5/13/2022)</v>
      </c>
      <c r="H5740" s="19"/>
    </row>
    <row r="5741">
      <c r="A5741" s="9"/>
      <c r="B5741" s="15"/>
      <c r="C5741" s="9">
        <f>IFERROR(__xludf.DUMMYFUNCTION("""COMPUTED_VALUE"""),44736.7752140393)</f>
        <v>44736.77521</v>
      </c>
      <c r="D5741" s="15">
        <f>IFERROR(__xludf.DUMMYFUNCTION("""COMPUTED_VALUE"""),1.005)</f>
        <v>1.005</v>
      </c>
      <c r="E5741" s="16">
        <f>IFERROR(__xludf.DUMMYFUNCTION("""COMPUTED_VALUE"""),68.0)</f>
        <v>68</v>
      </c>
      <c r="F5741" s="19" t="str">
        <f>IFERROR(__xludf.DUMMYFUNCTION("""COMPUTED_VALUE"""),"BLACK")</f>
        <v>BLACK</v>
      </c>
      <c r="G5741" s="20" t="str">
        <f>IFERROR(__xludf.DUMMYFUNCTION("""COMPUTED_VALUE"""),"Uncle Sams Cider (5/13/2022)")</f>
        <v>Uncle Sams Cider (5/13/2022)</v>
      </c>
      <c r="H5741" s="19"/>
    </row>
    <row r="5742">
      <c r="A5742" s="9"/>
      <c r="B5742" s="15"/>
      <c r="C5742" s="9">
        <f>IFERROR(__xludf.DUMMYFUNCTION("""COMPUTED_VALUE"""),44736.7647935648)</f>
        <v>44736.76479</v>
      </c>
      <c r="D5742" s="15">
        <f>IFERROR(__xludf.DUMMYFUNCTION("""COMPUTED_VALUE"""),1.005)</f>
        <v>1.005</v>
      </c>
      <c r="E5742" s="16">
        <f>IFERROR(__xludf.DUMMYFUNCTION("""COMPUTED_VALUE"""),68.0)</f>
        <v>68</v>
      </c>
      <c r="F5742" s="19" t="str">
        <f>IFERROR(__xludf.DUMMYFUNCTION("""COMPUTED_VALUE"""),"BLACK")</f>
        <v>BLACK</v>
      </c>
      <c r="G5742" s="20" t="str">
        <f>IFERROR(__xludf.DUMMYFUNCTION("""COMPUTED_VALUE"""),"Uncle Sams Cider (5/13/2022)")</f>
        <v>Uncle Sams Cider (5/13/2022)</v>
      </c>
      <c r="H5742" s="19"/>
    </row>
    <row r="5743">
      <c r="A5743" s="9"/>
      <c r="B5743" s="15"/>
      <c r="C5743" s="9">
        <f>IFERROR(__xludf.DUMMYFUNCTION("""COMPUTED_VALUE"""),44736.7543480208)</f>
        <v>44736.75435</v>
      </c>
      <c r="D5743" s="15">
        <f>IFERROR(__xludf.DUMMYFUNCTION("""COMPUTED_VALUE"""),1.005)</f>
        <v>1.005</v>
      </c>
      <c r="E5743" s="16">
        <f>IFERROR(__xludf.DUMMYFUNCTION("""COMPUTED_VALUE"""),68.0)</f>
        <v>68</v>
      </c>
      <c r="F5743" s="19" t="str">
        <f>IFERROR(__xludf.DUMMYFUNCTION("""COMPUTED_VALUE"""),"BLACK")</f>
        <v>BLACK</v>
      </c>
      <c r="G5743" s="20" t="str">
        <f>IFERROR(__xludf.DUMMYFUNCTION("""COMPUTED_VALUE"""),"Uncle Sams Cider (5/13/2022)")</f>
        <v>Uncle Sams Cider (5/13/2022)</v>
      </c>
      <c r="H5743" s="19"/>
    </row>
    <row r="5744">
      <c r="A5744" s="9"/>
      <c r="B5744" s="15"/>
      <c r="C5744" s="9">
        <f>IFERROR(__xludf.DUMMYFUNCTION("""COMPUTED_VALUE"""),44736.743926574)</f>
        <v>44736.74393</v>
      </c>
      <c r="D5744" s="15">
        <f>IFERROR(__xludf.DUMMYFUNCTION("""COMPUTED_VALUE"""),1.005)</f>
        <v>1.005</v>
      </c>
      <c r="E5744" s="16">
        <f>IFERROR(__xludf.DUMMYFUNCTION("""COMPUTED_VALUE"""),68.0)</f>
        <v>68</v>
      </c>
      <c r="F5744" s="19" t="str">
        <f>IFERROR(__xludf.DUMMYFUNCTION("""COMPUTED_VALUE"""),"BLACK")</f>
        <v>BLACK</v>
      </c>
      <c r="G5744" s="20" t="str">
        <f>IFERROR(__xludf.DUMMYFUNCTION("""COMPUTED_VALUE"""),"Uncle Sams Cider (5/13/2022)")</f>
        <v>Uncle Sams Cider (5/13/2022)</v>
      </c>
      <c r="H5744" s="19"/>
    </row>
    <row r="5745">
      <c r="A5745" s="9"/>
      <c r="B5745" s="15"/>
      <c r="C5745" s="9">
        <f>IFERROR(__xludf.DUMMYFUNCTION("""COMPUTED_VALUE"""),44736.7335051736)</f>
        <v>44736.73351</v>
      </c>
      <c r="D5745" s="15">
        <f>IFERROR(__xludf.DUMMYFUNCTION("""COMPUTED_VALUE"""),1.005)</f>
        <v>1.005</v>
      </c>
      <c r="E5745" s="16">
        <f>IFERROR(__xludf.DUMMYFUNCTION("""COMPUTED_VALUE"""),68.0)</f>
        <v>68</v>
      </c>
      <c r="F5745" s="19" t="str">
        <f>IFERROR(__xludf.DUMMYFUNCTION("""COMPUTED_VALUE"""),"BLACK")</f>
        <v>BLACK</v>
      </c>
      <c r="G5745" s="20" t="str">
        <f>IFERROR(__xludf.DUMMYFUNCTION("""COMPUTED_VALUE"""),"Uncle Sams Cider (5/13/2022)")</f>
        <v>Uncle Sams Cider (5/13/2022)</v>
      </c>
      <c r="H5745" s="19"/>
    </row>
    <row r="5746">
      <c r="A5746" s="9"/>
      <c r="B5746" s="15"/>
      <c r="C5746" s="9">
        <f>IFERROR(__xludf.DUMMYFUNCTION("""COMPUTED_VALUE"""),44736.7230834259)</f>
        <v>44736.72308</v>
      </c>
      <c r="D5746" s="15">
        <f>IFERROR(__xludf.DUMMYFUNCTION("""COMPUTED_VALUE"""),1.005)</f>
        <v>1.005</v>
      </c>
      <c r="E5746" s="16">
        <f>IFERROR(__xludf.DUMMYFUNCTION("""COMPUTED_VALUE"""),68.0)</f>
        <v>68</v>
      </c>
      <c r="F5746" s="19" t="str">
        <f>IFERROR(__xludf.DUMMYFUNCTION("""COMPUTED_VALUE"""),"BLACK")</f>
        <v>BLACK</v>
      </c>
      <c r="G5746" s="20" t="str">
        <f>IFERROR(__xludf.DUMMYFUNCTION("""COMPUTED_VALUE"""),"Uncle Sams Cider (5/13/2022)")</f>
        <v>Uncle Sams Cider (5/13/2022)</v>
      </c>
      <c r="H5746" s="19"/>
    </row>
    <row r="5747">
      <c r="A5747" s="9"/>
      <c r="B5747" s="15"/>
      <c r="C5747" s="9">
        <f>IFERROR(__xludf.DUMMYFUNCTION("""COMPUTED_VALUE"""),44736.7126524189)</f>
        <v>44736.71265</v>
      </c>
      <c r="D5747" s="15">
        <f>IFERROR(__xludf.DUMMYFUNCTION("""COMPUTED_VALUE"""),1.005)</f>
        <v>1.005</v>
      </c>
      <c r="E5747" s="16">
        <f>IFERROR(__xludf.DUMMYFUNCTION("""COMPUTED_VALUE"""),68.0)</f>
        <v>68</v>
      </c>
      <c r="F5747" s="19" t="str">
        <f>IFERROR(__xludf.DUMMYFUNCTION("""COMPUTED_VALUE"""),"BLACK")</f>
        <v>BLACK</v>
      </c>
      <c r="G5747" s="20" t="str">
        <f>IFERROR(__xludf.DUMMYFUNCTION("""COMPUTED_VALUE"""),"Uncle Sams Cider (5/13/2022)")</f>
        <v>Uncle Sams Cider (5/13/2022)</v>
      </c>
      <c r="H5747" s="19"/>
    </row>
    <row r="5748">
      <c r="A5748" s="9"/>
      <c r="B5748" s="15"/>
      <c r="C5748" s="9">
        <f>IFERROR(__xludf.DUMMYFUNCTION("""COMPUTED_VALUE"""),44736.7022311689)</f>
        <v>44736.70223</v>
      </c>
      <c r="D5748" s="15">
        <f>IFERROR(__xludf.DUMMYFUNCTION("""COMPUTED_VALUE"""),1.005)</f>
        <v>1.005</v>
      </c>
      <c r="E5748" s="16">
        <f>IFERROR(__xludf.DUMMYFUNCTION("""COMPUTED_VALUE"""),68.0)</f>
        <v>68</v>
      </c>
      <c r="F5748" s="19" t="str">
        <f>IFERROR(__xludf.DUMMYFUNCTION("""COMPUTED_VALUE"""),"BLACK")</f>
        <v>BLACK</v>
      </c>
      <c r="G5748" s="20" t="str">
        <f>IFERROR(__xludf.DUMMYFUNCTION("""COMPUTED_VALUE"""),"Uncle Sams Cider (5/13/2022)")</f>
        <v>Uncle Sams Cider (5/13/2022)</v>
      </c>
      <c r="H5748" s="19"/>
    </row>
    <row r="5749">
      <c r="A5749" s="9"/>
      <c r="B5749" s="15"/>
      <c r="C5749" s="9">
        <f>IFERROR(__xludf.DUMMYFUNCTION("""COMPUTED_VALUE"""),44736.6918117361)</f>
        <v>44736.69181</v>
      </c>
      <c r="D5749" s="15">
        <f>IFERROR(__xludf.DUMMYFUNCTION("""COMPUTED_VALUE"""),1.005)</f>
        <v>1.005</v>
      </c>
      <c r="E5749" s="16">
        <f>IFERROR(__xludf.DUMMYFUNCTION("""COMPUTED_VALUE"""),68.0)</f>
        <v>68</v>
      </c>
      <c r="F5749" s="19" t="str">
        <f>IFERROR(__xludf.DUMMYFUNCTION("""COMPUTED_VALUE"""),"BLACK")</f>
        <v>BLACK</v>
      </c>
      <c r="G5749" s="20" t="str">
        <f>IFERROR(__xludf.DUMMYFUNCTION("""COMPUTED_VALUE"""),"Uncle Sams Cider (5/13/2022)")</f>
        <v>Uncle Sams Cider (5/13/2022)</v>
      </c>
      <c r="H5749" s="19"/>
    </row>
    <row r="5750">
      <c r="A5750" s="9"/>
      <c r="B5750" s="15"/>
      <c r="C5750" s="9">
        <f>IFERROR(__xludf.DUMMYFUNCTION("""COMPUTED_VALUE"""),44736.6813900926)</f>
        <v>44736.68139</v>
      </c>
      <c r="D5750" s="15">
        <f>IFERROR(__xludf.DUMMYFUNCTION("""COMPUTED_VALUE"""),1.005)</f>
        <v>1.005</v>
      </c>
      <c r="E5750" s="16">
        <f>IFERROR(__xludf.DUMMYFUNCTION("""COMPUTED_VALUE"""),68.0)</f>
        <v>68</v>
      </c>
      <c r="F5750" s="19" t="str">
        <f>IFERROR(__xludf.DUMMYFUNCTION("""COMPUTED_VALUE"""),"BLACK")</f>
        <v>BLACK</v>
      </c>
      <c r="G5750" s="20" t="str">
        <f>IFERROR(__xludf.DUMMYFUNCTION("""COMPUTED_VALUE"""),"Uncle Sams Cider (5/13/2022)")</f>
        <v>Uncle Sams Cider (5/13/2022)</v>
      </c>
      <c r="H5750" s="19"/>
    </row>
    <row r="5751">
      <c r="A5751" s="9"/>
      <c r="B5751" s="15"/>
      <c r="C5751" s="9">
        <f>IFERROR(__xludf.DUMMYFUNCTION("""COMPUTED_VALUE"""),44736.6709688773)</f>
        <v>44736.67097</v>
      </c>
      <c r="D5751" s="15">
        <f>IFERROR(__xludf.DUMMYFUNCTION("""COMPUTED_VALUE"""),1.005)</f>
        <v>1.005</v>
      </c>
      <c r="E5751" s="16">
        <f>IFERROR(__xludf.DUMMYFUNCTION("""COMPUTED_VALUE"""),68.0)</f>
        <v>68</v>
      </c>
      <c r="F5751" s="19" t="str">
        <f>IFERROR(__xludf.DUMMYFUNCTION("""COMPUTED_VALUE"""),"BLACK")</f>
        <v>BLACK</v>
      </c>
      <c r="G5751" s="20" t="str">
        <f>IFERROR(__xludf.DUMMYFUNCTION("""COMPUTED_VALUE"""),"Uncle Sams Cider (5/13/2022)")</f>
        <v>Uncle Sams Cider (5/13/2022)</v>
      </c>
      <c r="H5751" s="19"/>
    </row>
    <row r="5752">
      <c r="A5752" s="9"/>
      <c r="B5752" s="15"/>
      <c r="C5752" s="9">
        <f>IFERROR(__xludf.DUMMYFUNCTION("""COMPUTED_VALUE"""),44736.6605480439)</f>
        <v>44736.66055</v>
      </c>
      <c r="D5752" s="15">
        <f>IFERROR(__xludf.DUMMYFUNCTION("""COMPUTED_VALUE"""),1.005)</f>
        <v>1.005</v>
      </c>
      <c r="E5752" s="16">
        <f>IFERROR(__xludf.DUMMYFUNCTION("""COMPUTED_VALUE"""),68.0)</f>
        <v>68</v>
      </c>
      <c r="F5752" s="19" t="str">
        <f>IFERROR(__xludf.DUMMYFUNCTION("""COMPUTED_VALUE"""),"BLACK")</f>
        <v>BLACK</v>
      </c>
      <c r="G5752" s="20" t="str">
        <f>IFERROR(__xludf.DUMMYFUNCTION("""COMPUTED_VALUE"""),"Uncle Sams Cider (5/13/2022)")</f>
        <v>Uncle Sams Cider (5/13/2022)</v>
      </c>
      <c r="H5752" s="19"/>
    </row>
    <row r="5753">
      <c r="A5753" s="9"/>
      <c r="B5753" s="15"/>
      <c r="C5753" s="9">
        <f>IFERROR(__xludf.DUMMYFUNCTION("""COMPUTED_VALUE"""),44736.6501038541)</f>
        <v>44736.6501</v>
      </c>
      <c r="D5753" s="15">
        <f>IFERROR(__xludf.DUMMYFUNCTION("""COMPUTED_VALUE"""),1.005)</f>
        <v>1.005</v>
      </c>
      <c r="E5753" s="16">
        <f>IFERROR(__xludf.DUMMYFUNCTION("""COMPUTED_VALUE"""),68.0)</f>
        <v>68</v>
      </c>
      <c r="F5753" s="19" t="str">
        <f>IFERROR(__xludf.DUMMYFUNCTION("""COMPUTED_VALUE"""),"BLACK")</f>
        <v>BLACK</v>
      </c>
      <c r="G5753" s="20" t="str">
        <f>IFERROR(__xludf.DUMMYFUNCTION("""COMPUTED_VALUE"""),"Uncle Sams Cider (5/13/2022)")</f>
        <v>Uncle Sams Cider (5/13/2022)</v>
      </c>
      <c r="H5753" s="19"/>
    </row>
    <row r="5754">
      <c r="A5754" s="9"/>
      <c r="B5754" s="15"/>
      <c r="C5754" s="9">
        <f>IFERROR(__xludf.DUMMYFUNCTION("""COMPUTED_VALUE"""),44736.6396814236)</f>
        <v>44736.63968</v>
      </c>
      <c r="D5754" s="15">
        <f>IFERROR(__xludf.DUMMYFUNCTION("""COMPUTED_VALUE"""),1.005)</f>
        <v>1.005</v>
      </c>
      <c r="E5754" s="16">
        <f>IFERROR(__xludf.DUMMYFUNCTION("""COMPUTED_VALUE"""),68.0)</f>
        <v>68</v>
      </c>
      <c r="F5754" s="19" t="str">
        <f>IFERROR(__xludf.DUMMYFUNCTION("""COMPUTED_VALUE"""),"BLACK")</f>
        <v>BLACK</v>
      </c>
      <c r="G5754" s="20" t="str">
        <f>IFERROR(__xludf.DUMMYFUNCTION("""COMPUTED_VALUE"""),"Uncle Sams Cider (5/13/2022)")</f>
        <v>Uncle Sams Cider (5/13/2022)</v>
      </c>
      <c r="H5754" s="19"/>
    </row>
    <row r="5755">
      <c r="A5755" s="9"/>
      <c r="B5755" s="15"/>
      <c r="C5755" s="9">
        <f>IFERROR(__xludf.DUMMYFUNCTION("""COMPUTED_VALUE"""),44736.6292595138)</f>
        <v>44736.62926</v>
      </c>
      <c r="D5755" s="15">
        <f>IFERROR(__xludf.DUMMYFUNCTION("""COMPUTED_VALUE"""),1.005)</f>
        <v>1.005</v>
      </c>
      <c r="E5755" s="16">
        <f>IFERROR(__xludf.DUMMYFUNCTION("""COMPUTED_VALUE"""),68.0)</f>
        <v>68</v>
      </c>
      <c r="F5755" s="19" t="str">
        <f>IFERROR(__xludf.DUMMYFUNCTION("""COMPUTED_VALUE"""),"BLACK")</f>
        <v>BLACK</v>
      </c>
      <c r="G5755" s="20" t="str">
        <f>IFERROR(__xludf.DUMMYFUNCTION("""COMPUTED_VALUE"""),"Uncle Sams Cider (5/13/2022)")</f>
        <v>Uncle Sams Cider (5/13/2022)</v>
      </c>
      <c r="H5755" s="19"/>
    </row>
    <row r="5756">
      <c r="A5756" s="9"/>
      <c r="B5756" s="15"/>
      <c r="C5756" s="9">
        <f>IFERROR(__xludf.DUMMYFUNCTION("""COMPUTED_VALUE"""),44736.6188387847)</f>
        <v>44736.61884</v>
      </c>
      <c r="D5756" s="15">
        <f>IFERROR(__xludf.DUMMYFUNCTION("""COMPUTED_VALUE"""),1.005)</f>
        <v>1.005</v>
      </c>
      <c r="E5756" s="16">
        <f>IFERROR(__xludf.DUMMYFUNCTION("""COMPUTED_VALUE"""),68.0)</f>
        <v>68</v>
      </c>
      <c r="F5756" s="19" t="str">
        <f>IFERROR(__xludf.DUMMYFUNCTION("""COMPUTED_VALUE"""),"BLACK")</f>
        <v>BLACK</v>
      </c>
      <c r="G5756" s="20" t="str">
        <f>IFERROR(__xludf.DUMMYFUNCTION("""COMPUTED_VALUE"""),"Uncle Sams Cider (5/13/2022)")</f>
        <v>Uncle Sams Cider (5/13/2022)</v>
      </c>
      <c r="H5756" s="19"/>
    </row>
    <row r="5757">
      <c r="A5757" s="9"/>
      <c r="B5757" s="15"/>
      <c r="C5757" s="9">
        <f>IFERROR(__xludf.DUMMYFUNCTION("""COMPUTED_VALUE"""),44736.6084060879)</f>
        <v>44736.60841</v>
      </c>
      <c r="D5757" s="15">
        <f>IFERROR(__xludf.DUMMYFUNCTION("""COMPUTED_VALUE"""),1.005)</f>
        <v>1.005</v>
      </c>
      <c r="E5757" s="16">
        <f>IFERROR(__xludf.DUMMYFUNCTION("""COMPUTED_VALUE"""),68.0)</f>
        <v>68</v>
      </c>
      <c r="F5757" s="19" t="str">
        <f>IFERROR(__xludf.DUMMYFUNCTION("""COMPUTED_VALUE"""),"BLACK")</f>
        <v>BLACK</v>
      </c>
      <c r="G5757" s="20" t="str">
        <f>IFERROR(__xludf.DUMMYFUNCTION("""COMPUTED_VALUE"""),"Uncle Sams Cider (5/13/2022)")</f>
        <v>Uncle Sams Cider (5/13/2022)</v>
      </c>
      <c r="H5757" s="19"/>
    </row>
    <row r="5758">
      <c r="A5758" s="9"/>
      <c r="B5758" s="15"/>
      <c r="C5758" s="9">
        <f>IFERROR(__xludf.DUMMYFUNCTION("""COMPUTED_VALUE"""),44736.5979841203)</f>
        <v>44736.59798</v>
      </c>
      <c r="D5758" s="15">
        <f>IFERROR(__xludf.DUMMYFUNCTION("""COMPUTED_VALUE"""),1.005)</f>
        <v>1.005</v>
      </c>
      <c r="E5758" s="16">
        <f>IFERROR(__xludf.DUMMYFUNCTION("""COMPUTED_VALUE"""),68.0)</f>
        <v>68</v>
      </c>
      <c r="F5758" s="19" t="str">
        <f>IFERROR(__xludf.DUMMYFUNCTION("""COMPUTED_VALUE"""),"BLACK")</f>
        <v>BLACK</v>
      </c>
      <c r="G5758" s="20" t="str">
        <f>IFERROR(__xludf.DUMMYFUNCTION("""COMPUTED_VALUE"""),"Uncle Sams Cider (5/13/2022)")</f>
        <v>Uncle Sams Cider (5/13/2022)</v>
      </c>
      <c r="H5758" s="19"/>
    </row>
    <row r="5759">
      <c r="A5759" s="9"/>
      <c r="B5759" s="15"/>
      <c r="C5759" s="9">
        <f>IFERROR(__xludf.DUMMYFUNCTION("""COMPUTED_VALUE"""),44736.5875646296)</f>
        <v>44736.58756</v>
      </c>
      <c r="D5759" s="15">
        <f>IFERROR(__xludf.DUMMYFUNCTION("""COMPUTED_VALUE"""),1.005)</f>
        <v>1.005</v>
      </c>
      <c r="E5759" s="16">
        <f>IFERROR(__xludf.DUMMYFUNCTION("""COMPUTED_VALUE"""),68.0)</f>
        <v>68</v>
      </c>
      <c r="F5759" s="19" t="str">
        <f>IFERROR(__xludf.DUMMYFUNCTION("""COMPUTED_VALUE"""),"BLACK")</f>
        <v>BLACK</v>
      </c>
      <c r="G5759" s="20" t="str">
        <f>IFERROR(__xludf.DUMMYFUNCTION("""COMPUTED_VALUE"""),"Uncle Sams Cider (5/13/2022)")</f>
        <v>Uncle Sams Cider (5/13/2022)</v>
      </c>
      <c r="H5759" s="19"/>
    </row>
    <row r="5760">
      <c r="A5760" s="9"/>
      <c r="B5760" s="15"/>
      <c r="C5760" s="9">
        <f>IFERROR(__xludf.DUMMYFUNCTION("""COMPUTED_VALUE"""),44736.5771445254)</f>
        <v>44736.57714</v>
      </c>
      <c r="D5760" s="15">
        <f>IFERROR(__xludf.DUMMYFUNCTION("""COMPUTED_VALUE"""),1.005)</f>
        <v>1.005</v>
      </c>
      <c r="E5760" s="16">
        <f>IFERROR(__xludf.DUMMYFUNCTION("""COMPUTED_VALUE"""),68.0)</f>
        <v>68</v>
      </c>
      <c r="F5760" s="19" t="str">
        <f>IFERROR(__xludf.DUMMYFUNCTION("""COMPUTED_VALUE"""),"BLACK")</f>
        <v>BLACK</v>
      </c>
      <c r="G5760" s="20" t="str">
        <f>IFERROR(__xludf.DUMMYFUNCTION("""COMPUTED_VALUE"""),"Uncle Sams Cider (5/13/2022)")</f>
        <v>Uncle Sams Cider (5/13/2022)</v>
      </c>
      <c r="H5760" s="19"/>
    </row>
    <row r="5761">
      <c r="A5761" s="9"/>
      <c r="B5761" s="15"/>
      <c r="C5761" s="9">
        <f>IFERROR(__xludf.DUMMYFUNCTION("""COMPUTED_VALUE"""),44736.5666998379)</f>
        <v>44736.5667</v>
      </c>
      <c r="D5761" s="15">
        <f>IFERROR(__xludf.DUMMYFUNCTION("""COMPUTED_VALUE"""),1.005)</f>
        <v>1.005</v>
      </c>
      <c r="E5761" s="16">
        <f>IFERROR(__xludf.DUMMYFUNCTION("""COMPUTED_VALUE"""),68.0)</f>
        <v>68</v>
      </c>
      <c r="F5761" s="19" t="str">
        <f>IFERROR(__xludf.DUMMYFUNCTION("""COMPUTED_VALUE"""),"BLACK")</f>
        <v>BLACK</v>
      </c>
      <c r="G5761" s="20" t="str">
        <f>IFERROR(__xludf.DUMMYFUNCTION("""COMPUTED_VALUE"""),"Uncle Sams Cider (5/13/2022)")</f>
        <v>Uncle Sams Cider (5/13/2022)</v>
      </c>
      <c r="H5761" s="19"/>
    </row>
    <row r="5762">
      <c r="A5762" s="9"/>
      <c r="B5762" s="15"/>
      <c r="C5762" s="9">
        <f>IFERROR(__xludf.DUMMYFUNCTION("""COMPUTED_VALUE"""),44736.556279456)</f>
        <v>44736.55628</v>
      </c>
      <c r="D5762" s="15">
        <f>IFERROR(__xludf.DUMMYFUNCTION("""COMPUTED_VALUE"""),1.005)</f>
        <v>1.005</v>
      </c>
      <c r="E5762" s="16">
        <f>IFERROR(__xludf.DUMMYFUNCTION("""COMPUTED_VALUE"""),68.0)</f>
        <v>68</v>
      </c>
      <c r="F5762" s="19" t="str">
        <f>IFERROR(__xludf.DUMMYFUNCTION("""COMPUTED_VALUE"""),"BLACK")</f>
        <v>BLACK</v>
      </c>
      <c r="G5762" s="20" t="str">
        <f>IFERROR(__xludf.DUMMYFUNCTION("""COMPUTED_VALUE"""),"Uncle Sams Cider (5/13/2022)")</f>
        <v>Uncle Sams Cider (5/13/2022)</v>
      </c>
      <c r="H5762" s="19"/>
    </row>
    <row r="5763">
      <c r="A5763" s="9"/>
      <c r="B5763" s="15"/>
      <c r="C5763" s="9">
        <f>IFERROR(__xludf.DUMMYFUNCTION("""COMPUTED_VALUE"""),44736.5458572453)</f>
        <v>44736.54586</v>
      </c>
      <c r="D5763" s="15">
        <f>IFERROR(__xludf.DUMMYFUNCTION("""COMPUTED_VALUE"""),1.005)</f>
        <v>1.005</v>
      </c>
      <c r="E5763" s="16">
        <f>IFERROR(__xludf.DUMMYFUNCTION("""COMPUTED_VALUE"""),68.0)</f>
        <v>68</v>
      </c>
      <c r="F5763" s="19" t="str">
        <f>IFERROR(__xludf.DUMMYFUNCTION("""COMPUTED_VALUE"""),"BLACK")</f>
        <v>BLACK</v>
      </c>
      <c r="G5763" s="20" t="str">
        <f>IFERROR(__xludf.DUMMYFUNCTION("""COMPUTED_VALUE"""),"Uncle Sams Cider (5/13/2022)")</f>
        <v>Uncle Sams Cider (5/13/2022)</v>
      </c>
      <c r="H5763" s="19"/>
    </row>
    <row r="5764">
      <c r="A5764" s="9"/>
      <c r="B5764" s="15"/>
      <c r="C5764" s="9">
        <f>IFERROR(__xludf.DUMMYFUNCTION("""COMPUTED_VALUE"""),44736.5354357291)</f>
        <v>44736.53544</v>
      </c>
      <c r="D5764" s="15">
        <f>IFERROR(__xludf.DUMMYFUNCTION("""COMPUTED_VALUE"""),1.005)</f>
        <v>1.005</v>
      </c>
      <c r="E5764" s="16">
        <f>IFERROR(__xludf.DUMMYFUNCTION("""COMPUTED_VALUE"""),68.0)</f>
        <v>68</v>
      </c>
      <c r="F5764" s="19" t="str">
        <f>IFERROR(__xludf.DUMMYFUNCTION("""COMPUTED_VALUE"""),"BLACK")</f>
        <v>BLACK</v>
      </c>
      <c r="G5764" s="20" t="str">
        <f>IFERROR(__xludf.DUMMYFUNCTION("""COMPUTED_VALUE"""),"Uncle Sams Cider (5/13/2022)")</f>
        <v>Uncle Sams Cider (5/13/2022)</v>
      </c>
      <c r="H5764" s="19"/>
    </row>
    <row r="5765">
      <c r="A5765" s="9"/>
      <c r="B5765" s="15"/>
      <c r="C5765" s="9">
        <f>IFERROR(__xludf.DUMMYFUNCTION("""COMPUTED_VALUE"""),44736.5250148611)</f>
        <v>44736.52501</v>
      </c>
      <c r="D5765" s="15">
        <f>IFERROR(__xludf.DUMMYFUNCTION("""COMPUTED_VALUE"""),1.005)</f>
        <v>1.005</v>
      </c>
      <c r="E5765" s="16">
        <f>IFERROR(__xludf.DUMMYFUNCTION("""COMPUTED_VALUE"""),68.0)</f>
        <v>68</v>
      </c>
      <c r="F5765" s="19" t="str">
        <f>IFERROR(__xludf.DUMMYFUNCTION("""COMPUTED_VALUE"""),"BLACK")</f>
        <v>BLACK</v>
      </c>
      <c r="G5765" s="20" t="str">
        <f>IFERROR(__xludf.DUMMYFUNCTION("""COMPUTED_VALUE"""),"Uncle Sams Cider (5/13/2022)")</f>
        <v>Uncle Sams Cider (5/13/2022)</v>
      </c>
      <c r="H5765" s="19"/>
    </row>
    <row r="5766">
      <c r="A5766" s="9"/>
      <c r="B5766" s="15"/>
      <c r="C5766" s="9">
        <f>IFERROR(__xludf.DUMMYFUNCTION("""COMPUTED_VALUE"""),44736.5145935879)</f>
        <v>44736.51459</v>
      </c>
      <c r="D5766" s="15">
        <f>IFERROR(__xludf.DUMMYFUNCTION("""COMPUTED_VALUE"""),1.005)</f>
        <v>1.005</v>
      </c>
      <c r="E5766" s="16">
        <f>IFERROR(__xludf.DUMMYFUNCTION("""COMPUTED_VALUE"""),68.0)</f>
        <v>68</v>
      </c>
      <c r="F5766" s="19" t="str">
        <f>IFERROR(__xludf.DUMMYFUNCTION("""COMPUTED_VALUE"""),"BLACK")</f>
        <v>BLACK</v>
      </c>
      <c r="G5766" s="20" t="str">
        <f>IFERROR(__xludf.DUMMYFUNCTION("""COMPUTED_VALUE"""),"Uncle Sams Cider (5/13/2022)")</f>
        <v>Uncle Sams Cider (5/13/2022)</v>
      </c>
      <c r="H5766" s="19"/>
    </row>
    <row r="5767">
      <c r="A5767" s="9"/>
      <c r="B5767" s="15"/>
      <c r="C5767" s="9">
        <f>IFERROR(__xludf.DUMMYFUNCTION("""COMPUTED_VALUE"""),44736.5041736805)</f>
        <v>44736.50417</v>
      </c>
      <c r="D5767" s="15">
        <f>IFERROR(__xludf.DUMMYFUNCTION("""COMPUTED_VALUE"""),1.005)</f>
        <v>1.005</v>
      </c>
      <c r="E5767" s="16">
        <f>IFERROR(__xludf.DUMMYFUNCTION("""COMPUTED_VALUE"""),68.0)</f>
        <v>68</v>
      </c>
      <c r="F5767" s="19" t="str">
        <f>IFERROR(__xludf.DUMMYFUNCTION("""COMPUTED_VALUE"""),"BLACK")</f>
        <v>BLACK</v>
      </c>
      <c r="G5767" s="20" t="str">
        <f>IFERROR(__xludf.DUMMYFUNCTION("""COMPUTED_VALUE"""),"Uncle Sams Cider (5/13/2022)")</f>
        <v>Uncle Sams Cider (5/13/2022)</v>
      </c>
      <c r="H5767" s="19"/>
    </row>
    <row r="5768">
      <c r="A5768" s="9"/>
      <c r="B5768" s="15"/>
      <c r="C5768" s="9">
        <f>IFERROR(__xludf.DUMMYFUNCTION("""COMPUTED_VALUE"""),44736.4937518518)</f>
        <v>44736.49375</v>
      </c>
      <c r="D5768" s="15">
        <f>IFERROR(__xludf.DUMMYFUNCTION("""COMPUTED_VALUE"""),1.005)</f>
        <v>1.005</v>
      </c>
      <c r="E5768" s="16">
        <f>IFERROR(__xludf.DUMMYFUNCTION("""COMPUTED_VALUE"""),68.0)</f>
        <v>68</v>
      </c>
      <c r="F5768" s="19" t="str">
        <f>IFERROR(__xludf.DUMMYFUNCTION("""COMPUTED_VALUE"""),"BLACK")</f>
        <v>BLACK</v>
      </c>
      <c r="G5768" s="20" t="str">
        <f>IFERROR(__xludf.DUMMYFUNCTION("""COMPUTED_VALUE"""),"Uncle Sams Cider (5/13/2022)")</f>
        <v>Uncle Sams Cider (5/13/2022)</v>
      </c>
      <c r="H5768" s="19"/>
    </row>
    <row r="5769">
      <c r="A5769" s="9"/>
      <c r="B5769" s="15"/>
      <c r="C5769" s="9">
        <f>IFERROR(__xludf.DUMMYFUNCTION("""COMPUTED_VALUE"""),44736.4833301157)</f>
        <v>44736.48333</v>
      </c>
      <c r="D5769" s="15">
        <f>IFERROR(__xludf.DUMMYFUNCTION("""COMPUTED_VALUE"""),1.005)</f>
        <v>1.005</v>
      </c>
      <c r="E5769" s="16">
        <f>IFERROR(__xludf.DUMMYFUNCTION("""COMPUTED_VALUE"""),68.0)</f>
        <v>68</v>
      </c>
      <c r="F5769" s="19" t="str">
        <f>IFERROR(__xludf.DUMMYFUNCTION("""COMPUTED_VALUE"""),"BLACK")</f>
        <v>BLACK</v>
      </c>
      <c r="G5769" s="20" t="str">
        <f>IFERROR(__xludf.DUMMYFUNCTION("""COMPUTED_VALUE"""),"Uncle Sams Cider (5/13/2022)")</f>
        <v>Uncle Sams Cider (5/13/2022)</v>
      </c>
      <c r="H5769" s="19"/>
    </row>
    <row r="5770">
      <c r="A5770" s="9"/>
      <c r="B5770" s="15"/>
      <c r="C5770" s="9">
        <f>IFERROR(__xludf.DUMMYFUNCTION("""COMPUTED_VALUE"""),44736.4729104629)</f>
        <v>44736.47291</v>
      </c>
      <c r="D5770" s="15">
        <f>IFERROR(__xludf.DUMMYFUNCTION("""COMPUTED_VALUE"""),1.005)</f>
        <v>1.005</v>
      </c>
      <c r="E5770" s="16">
        <f>IFERROR(__xludf.DUMMYFUNCTION("""COMPUTED_VALUE"""),68.0)</f>
        <v>68</v>
      </c>
      <c r="F5770" s="19" t="str">
        <f>IFERROR(__xludf.DUMMYFUNCTION("""COMPUTED_VALUE"""),"BLACK")</f>
        <v>BLACK</v>
      </c>
      <c r="G5770" s="20" t="str">
        <f>IFERROR(__xludf.DUMMYFUNCTION("""COMPUTED_VALUE"""),"Uncle Sams Cider (5/13/2022)")</f>
        <v>Uncle Sams Cider (5/13/2022)</v>
      </c>
      <c r="H5770" s="19"/>
    </row>
    <row r="5771">
      <c r="A5771" s="9"/>
      <c r="B5771" s="15"/>
      <c r="C5771" s="9">
        <f>IFERROR(__xludf.DUMMYFUNCTION("""COMPUTED_VALUE"""),44736.4624767013)</f>
        <v>44736.46248</v>
      </c>
      <c r="D5771" s="15">
        <f>IFERROR(__xludf.DUMMYFUNCTION("""COMPUTED_VALUE"""),1.005)</f>
        <v>1.005</v>
      </c>
      <c r="E5771" s="16">
        <f>IFERROR(__xludf.DUMMYFUNCTION("""COMPUTED_VALUE"""),68.0)</f>
        <v>68</v>
      </c>
      <c r="F5771" s="19" t="str">
        <f>IFERROR(__xludf.DUMMYFUNCTION("""COMPUTED_VALUE"""),"BLACK")</f>
        <v>BLACK</v>
      </c>
      <c r="G5771" s="20" t="str">
        <f>IFERROR(__xludf.DUMMYFUNCTION("""COMPUTED_VALUE"""),"Uncle Sams Cider (5/13/2022)")</f>
        <v>Uncle Sams Cider (5/13/2022)</v>
      </c>
      <c r="H5771" s="19"/>
    </row>
    <row r="5772">
      <c r="A5772" s="9"/>
      <c r="B5772" s="15"/>
      <c r="C5772" s="9">
        <f>IFERROR(__xludf.DUMMYFUNCTION("""COMPUTED_VALUE"""),44736.4520549189)</f>
        <v>44736.45205</v>
      </c>
      <c r="D5772" s="15">
        <f>IFERROR(__xludf.DUMMYFUNCTION("""COMPUTED_VALUE"""),1.005)</f>
        <v>1.005</v>
      </c>
      <c r="E5772" s="16">
        <f>IFERROR(__xludf.DUMMYFUNCTION("""COMPUTED_VALUE"""),68.0)</f>
        <v>68</v>
      </c>
      <c r="F5772" s="19" t="str">
        <f>IFERROR(__xludf.DUMMYFUNCTION("""COMPUTED_VALUE"""),"BLACK")</f>
        <v>BLACK</v>
      </c>
      <c r="G5772" s="20" t="str">
        <f>IFERROR(__xludf.DUMMYFUNCTION("""COMPUTED_VALUE"""),"Uncle Sams Cider (5/13/2022)")</f>
        <v>Uncle Sams Cider (5/13/2022)</v>
      </c>
      <c r="H5772" s="19"/>
    </row>
    <row r="5773">
      <c r="A5773" s="9"/>
      <c r="B5773" s="15"/>
      <c r="C5773" s="9">
        <f>IFERROR(__xludf.DUMMYFUNCTION("""COMPUTED_VALUE"""),44736.4416344097)</f>
        <v>44736.44163</v>
      </c>
      <c r="D5773" s="15">
        <f>IFERROR(__xludf.DUMMYFUNCTION("""COMPUTED_VALUE"""),1.005)</f>
        <v>1.005</v>
      </c>
      <c r="E5773" s="16">
        <f>IFERROR(__xludf.DUMMYFUNCTION("""COMPUTED_VALUE"""),68.0)</f>
        <v>68</v>
      </c>
      <c r="F5773" s="19" t="str">
        <f>IFERROR(__xludf.DUMMYFUNCTION("""COMPUTED_VALUE"""),"BLACK")</f>
        <v>BLACK</v>
      </c>
      <c r="G5773" s="20" t="str">
        <f>IFERROR(__xludf.DUMMYFUNCTION("""COMPUTED_VALUE"""),"Uncle Sams Cider (5/13/2022)")</f>
        <v>Uncle Sams Cider (5/13/2022)</v>
      </c>
      <c r="H5773" s="19"/>
    </row>
    <row r="5774">
      <c r="A5774" s="9"/>
      <c r="B5774" s="15"/>
      <c r="C5774" s="9">
        <f>IFERROR(__xludf.DUMMYFUNCTION("""COMPUTED_VALUE"""),44736.4312111689)</f>
        <v>44736.43121</v>
      </c>
      <c r="D5774" s="15">
        <f>IFERROR(__xludf.DUMMYFUNCTION("""COMPUTED_VALUE"""),1.005)</f>
        <v>1.005</v>
      </c>
      <c r="E5774" s="16">
        <f>IFERROR(__xludf.DUMMYFUNCTION("""COMPUTED_VALUE"""),68.0)</f>
        <v>68</v>
      </c>
      <c r="F5774" s="19" t="str">
        <f>IFERROR(__xludf.DUMMYFUNCTION("""COMPUTED_VALUE"""),"BLACK")</f>
        <v>BLACK</v>
      </c>
      <c r="G5774" s="20" t="str">
        <f>IFERROR(__xludf.DUMMYFUNCTION("""COMPUTED_VALUE"""),"Uncle Sams Cider (5/13/2022)")</f>
        <v>Uncle Sams Cider (5/13/2022)</v>
      </c>
      <c r="H5774" s="19"/>
    </row>
    <row r="5775">
      <c r="A5775" s="9"/>
      <c r="B5775" s="15"/>
      <c r="C5775" s="9">
        <f>IFERROR(__xludf.DUMMYFUNCTION("""COMPUTED_VALUE"""),44736.4207777314)</f>
        <v>44736.42078</v>
      </c>
      <c r="D5775" s="15">
        <f>IFERROR(__xludf.DUMMYFUNCTION("""COMPUTED_VALUE"""),1.005)</f>
        <v>1.005</v>
      </c>
      <c r="E5775" s="16">
        <f>IFERROR(__xludf.DUMMYFUNCTION("""COMPUTED_VALUE"""),68.0)</f>
        <v>68</v>
      </c>
      <c r="F5775" s="19" t="str">
        <f>IFERROR(__xludf.DUMMYFUNCTION("""COMPUTED_VALUE"""),"BLACK")</f>
        <v>BLACK</v>
      </c>
      <c r="G5775" s="20" t="str">
        <f>IFERROR(__xludf.DUMMYFUNCTION("""COMPUTED_VALUE"""),"Uncle Sams Cider (5/13/2022)")</f>
        <v>Uncle Sams Cider (5/13/2022)</v>
      </c>
      <c r="H5775" s="19"/>
    </row>
    <row r="5776">
      <c r="A5776" s="9"/>
      <c r="B5776" s="15"/>
      <c r="C5776" s="9">
        <f>IFERROR(__xludf.DUMMYFUNCTION("""COMPUTED_VALUE"""),44736.4103573148)</f>
        <v>44736.41036</v>
      </c>
      <c r="D5776" s="15">
        <f>IFERROR(__xludf.DUMMYFUNCTION("""COMPUTED_VALUE"""),1.005)</f>
        <v>1.005</v>
      </c>
      <c r="E5776" s="16">
        <f>IFERROR(__xludf.DUMMYFUNCTION("""COMPUTED_VALUE"""),68.0)</f>
        <v>68</v>
      </c>
      <c r="F5776" s="19" t="str">
        <f>IFERROR(__xludf.DUMMYFUNCTION("""COMPUTED_VALUE"""),"BLACK")</f>
        <v>BLACK</v>
      </c>
      <c r="G5776" s="20" t="str">
        <f>IFERROR(__xludf.DUMMYFUNCTION("""COMPUTED_VALUE"""),"Uncle Sams Cider (5/13/2022)")</f>
        <v>Uncle Sams Cider (5/13/2022)</v>
      </c>
      <c r="H5776" s="19"/>
    </row>
    <row r="5777">
      <c r="A5777" s="9"/>
      <c r="B5777" s="15"/>
      <c r="C5777" s="9">
        <f>IFERROR(__xludf.DUMMYFUNCTION("""COMPUTED_VALUE"""),44736.3999373958)</f>
        <v>44736.39994</v>
      </c>
      <c r="D5777" s="15">
        <f>IFERROR(__xludf.DUMMYFUNCTION("""COMPUTED_VALUE"""),1.005)</f>
        <v>1.005</v>
      </c>
      <c r="E5777" s="16">
        <f>IFERROR(__xludf.DUMMYFUNCTION("""COMPUTED_VALUE"""),68.0)</f>
        <v>68</v>
      </c>
      <c r="F5777" s="19" t="str">
        <f>IFERROR(__xludf.DUMMYFUNCTION("""COMPUTED_VALUE"""),"BLACK")</f>
        <v>BLACK</v>
      </c>
      <c r="G5777" s="20" t="str">
        <f>IFERROR(__xludf.DUMMYFUNCTION("""COMPUTED_VALUE"""),"Uncle Sams Cider (5/13/2022)")</f>
        <v>Uncle Sams Cider (5/13/2022)</v>
      </c>
      <c r="H5777" s="19"/>
    </row>
    <row r="5778">
      <c r="A5778" s="9"/>
      <c r="B5778" s="15"/>
      <c r="C5778" s="9">
        <f>IFERROR(__xludf.DUMMYFUNCTION("""COMPUTED_VALUE"""),44736.3895054629)</f>
        <v>44736.38951</v>
      </c>
      <c r="D5778" s="15">
        <f>IFERROR(__xludf.DUMMYFUNCTION("""COMPUTED_VALUE"""),1.005)</f>
        <v>1.005</v>
      </c>
      <c r="E5778" s="16">
        <f>IFERROR(__xludf.DUMMYFUNCTION("""COMPUTED_VALUE"""),68.0)</f>
        <v>68</v>
      </c>
      <c r="F5778" s="19" t="str">
        <f>IFERROR(__xludf.DUMMYFUNCTION("""COMPUTED_VALUE"""),"BLACK")</f>
        <v>BLACK</v>
      </c>
      <c r="G5778" s="20" t="str">
        <f>IFERROR(__xludf.DUMMYFUNCTION("""COMPUTED_VALUE"""),"Uncle Sams Cider (5/13/2022)")</f>
        <v>Uncle Sams Cider (5/13/2022)</v>
      </c>
      <c r="H5778" s="19"/>
    </row>
    <row r="5779">
      <c r="A5779" s="9"/>
      <c r="B5779" s="15"/>
      <c r="C5779" s="9">
        <f>IFERROR(__xludf.DUMMYFUNCTION("""COMPUTED_VALUE"""),44736.3790815046)</f>
        <v>44736.37908</v>
      </c>
      <c r="D5779" s="15">
        <f>IFERROR(__xludf.DUMMYFUNCTION("""COMPUTED_VALUE"""),1.005)</f>
        <v>1.005</v>
      </c>
      <c r="E5779" s="16">
        <f>IFERROR(__xludf.DUMMYFUNCTION("""COMPUTED_VALUE"""),68.0)</f>
        <v>68</v>
      </c>
      <c r="F5779" s="19" t="str">
        <f>IFERROR(__xludf.DUMMYFUNCTION("""COMPUTED_VALUE"""),"BLACK")</f>
        <v>BLACK</v>
      </c>
      <c r="G5779" s="20" t="str">
        <f>IFERROR(__xludf.DUMMYFUNCTION("""COMPUTED_VALUE"""),"Uncle Sams Cider (5/13/2022)")</f>
        <v>Uncle Sams Cider (5/13/2022)</v>
      </c>
      <c r="H5779" s="19"/>
    </row>
    <row r="5780">
      <c r="A5780" s="9"/>
      <c r="B5780" s="15"/>
      <c r="C5780" s="9">
        <f>IFERROR(__xludf.DUMMYFUNCTION("""COMPUTED_VALUE"""),44736.3686600925)</f>
        <v>44736.36866</v>
      </c>
      <c r="D5780" s="15">
        <f>IFERROR(__xludf.DUMMYFUNCTION("""COMPUTED_VALUE"""),1.005)</f>
        <v>1.005</v>
      </c>
      <c r="E5780" s="16">
        <f>IFERROR(__xludf.DUMMYFUNCTION("""COMPUTED_VALUE"""),68.0)</f>
        <v>68</v>
      </c>
      <c r="F5780" s="19" t="str">
        <f>IFERROR(__xludf.DUMMYFUNCTION("""COMPUTED_VALUE"""),"BLACK")</f>
        <v>BLACK</v>
      </c>
      <c r="G5780" s="20" t="str">
        <f>IFERROR(__xludf.DUMMYFUNCTION("""COMPUTED_VALUE"""),"Uncle Sams Cider (5/13/2022)")</f>
        <v>Uncle Sams Cider (5/13/2022)</v>
      </c>
      <c r="H5780" s="19"/>
    </row>
    <row r="5781">
      <c r="A5781" s="9"/>
      <c r="B5781" s="15"/>
      <c r="C5781" s="9">
        <f>IFERROR(__xludf.DUMMYFUNCTION("""COMPUTED_VALUE"""),44736.3582165856)</f>
        <v>44736.35822</v>
      </c>
      <c r="D5781" s="15">
        <f>IFERROR(__xludf.DUMMYFUNCTION("""COMPUTED_VALUE"""),1.005)</f>
        <v>1.005</v>
      </c>
      <c r="E5781" s="16">
        <f>IFERROR(__xludf.DUMMYFUNCTION("""COMPUTED_VALUE"""),68.0)</f>
        <v>68</v>
      </c>
      <c r="F5781" s="19" t="str">
        <f>IFERROR(__xludf.DUMMYFUNCTION("""COMPUTED_VALUE"""),"BLACK")</f>
        <v>BLACK</v>
      </c>
      <c r="G5781" s="20" t="str">
        <f>IFERROR(__xludf.DUMMYFUNCTION("""COMPUTED_VALUE"""),"Uncle Sams Cider (5/13/2022)")</f>
        <v>Uncle Sams Cider (5/13/2022)</v>
      </c>
      <c r="H5781" s="19"/>
    </row>
    <row r="5782">
      <c r="A5782" s="9"/>
      <c r="B5782" s="15"/>
      <c r="C5782" s="9">
        <f>IFERROR(__xludf.DUMMYFUNCTION("""COMPUTED_VALUE"""),44736.3477946064)</f>
        <v>44736.34779</v>
      </c>
      <c r="D5782" s="15">
        <f>IFERROR(__xludf.DUMMYFUNCTION("""COMPUTED_VALUE"""),1.005)</f>
        <v>1.005</v>
      </c>
      <c r="E5782" s="16">
        <f>IFERROR(__xludf.DUMMYFUNCTION("""COMPUTED_VALUE"""),68.0)</f>
        <v>68</v>
      </c>
      <c r="F5782" s="19" t="str">
        <f>IFERROR(__xludf.DUMMYFUNCTION("""COMPUTED_VALUE"""),"BLACK")</f>
        <v>BLACK</v>
      </c>
      <c r="G5782" s="20" t="str">
        <f>IFERROR(__xludf.DUMMYFUNCTION("""COMPUTED_VALUE"""),"Uncle Sams Cider (5/13/2022)")</f>
        <v>Uncle Sams Cider (5/13/2022)</v>
      </c>
      <c r="H5782" s="19"/>
    </row>
    <row r="5783">
      <c r="A5783" s="9"/>
      <c r="B5783" s="15"/>
      <c r="C5783" s="9">
        <f>IFERROR(__xludf.DUMMYFUNCTION("""COMPUTED_VALUE"""),44736.3373748495)</f>
        <v>44736.33737</v>
      </c>
      <c r="D5783" s="15">
        <f>IFERROR(__xludf.DUMMYFUNCTION("""COMPUTED_VALUE"""),1.005)</f>
        <v>1.005</v>
      </c>
      <c r="E5783" s="16">
        <f>IFERROR(__xludf.DUMMYFUNCTION("""COMPUTED_VALUE"""),68.0)</f>
        <v>68</v>
      </c>
      <c r="F5783" s="19" t="str">
        <f>IFERROR(__xludf.DUMMYFUNCTION("""COMPUTED_VALUE"""),"BLACK")</f>
        <v>BLACK</v>
      </c>
      <c r="G5783" s="20" t="str">
        <f>IFERROR(__xludf.DUMMYFUNCTION("""COMPUTED_VALUE"""),"Uncle Sams Cider (5/13/2022)")</f>
        <v>Uncle Sams Cider (5/13/2022)</v>
      </c>
      <c r="H5783" s="19"/>
    </row>
    <row r="5784">
      <c r="A5784" s="9"/>
      <c r="B5784" s="15"/>
      <c r="C5784" s="9">
        <f>IFERROR(__xludf.DUMMYFUNCTION("""COMPUTED_VALUE"""),44736.3269527314)</f>
        <v>44736.32695</v>
      </c>
      <c r="D5784" s="15">
        <f>IFERROR(__xludf.DUMMYFUNCTION("""COMPUTED_VALUE"""),1.005)</f>
        <v>1.005</v>
      </c>
      <c r="E5784" s="16">
        <f>IFERROR(__xludf.DUMMYFUNCTION("""COMPUTED_VALUE"""),68.0)</f>
        <v>68</v>
      </c>
      <c r="F5784" s="19" t="str">
        <f>IFERROR(__xludf.DUMMYFUNCTION("""COMPUTED_VALUE"""),"BLACK")</f>
        <v>BLACK</v>
      </c>
      <c r="G5784" s="20" t="str">
        <f>IFERROR(__xludf.DUMMYFUNCTION("""COMPUTED_VALUE"""),"Uncle Sams Cider (5/13/2022)")</f>
        <v>Uncle Sams Cider (5/13/2022)</v>
      </c>
      <c r="H5784" s="19"/>
    </row>
    <row r="5785">
      <c r="A5785" s="9"/>
      <c r="B5785" s="15"/>
      <c r="C5785" s="9">
        <f>IFERROR(__xludf.DUMMYFUNCTION("""COMPUTED_VALUE"""),44736.3165305555)</f>
        <v>44736.31653</v>
      </c>
      <c r="D5785" s="15">
        <f>IFERROR(__xludf.DUMMYFUNCTION("""COMPUTED_VALUE"""),1.005)</f>
        <v>1.005</v>
      </c>
      <c r="E5785" s="16">
        <f>IFERROR(__xludf.DUMMYFUNCTION("""COMPUTED_VALUE"""),68.0)</f>
        <v>68</v>
      </c>
      <c r="F5785" s="19" t="str">
        <f>IFERROR(__xludf.DUMMYFUNCTION("""COMPUTED_VALUE"""),"BLACK")</f>
        <v>BLACK</v>
      </c>
      <c r="G5785" s="20" t="str">
        <f>IFERROR(__xludf.DUMMYFUNCTION("""COMPUTED_VALUE"""),"Uncle Sams Cider (5/13/2022)")</f>
        <v>Uncle Sams Cider (5/13/2022)</v>
      </c>
      <c r="H5785" s="19"/>
    </row>
    <row r="5786">
      <c r="A5786" s="9"/>
      <c r="B5786" s="15"/>
      <c r="C5786" s="9">
        <f>IFERROR(__xludf.DUMMYFUNCTION("""COMPUTED_VALUE"""),44736.3061106018)</f>
        <v>44736.30611</v>
      </c>
      <c r="D5786" s="15">
        <f>IFERROR(__xludf.DUMMYFUNCTION("""COMPUTED_VALUE"""),1.005)</f>
        <v>1.005</v>
      </c>
      <c r="E5786" s="16">
        <f>IFERROR(__xludf.DUMMYFUNCTION("""COMPUTED_VALUE"""),68.0)</f>
        <v>68</v>
      </c>
      <c r="F5786" s="19" t="str">
        <f>IFERROR(__xludf.DUMMYFUNCTION("""COMPUTED_VALUE"""),"BLACK")</f>
        <v>BLACK</v>
      </c>
      <c r="G5786" s="20" t="str">
        <f>IFERROR(__xludf.DUMMYFUNCTION("""COMPUTED_VALUE"""),"Uncle Sams Cider (5/13/2022)")</f>
        <v>Uncle Sams Cider (5/13/2022)</v>
      </c>
      <c r="H5786" s="19"/>
    </row>
    <row r="5787">
      <c r="A5787" s="9"/>
      <c r="B5787" s="15"/>
      <c r="C5787" s="9">
        <f>IFERROR(__xludf.DUMMYFUNCTION("""COMPUTED_VALUE"""),44736.2956897801)</f>
        <v>44736.29569</v>
      </c>
      <c r="D5787" s="15">
        <f>IFERROR(__xludf.DUMMYFUNCTION("""COMPUTED_VALUE"""),1.005)</f>
        <v>1.005</v>
      </c>
      <c r="E5787" s="16">
        <f>IFERROR(__xludf.DUMMYFUNCTION("""COMPUTED_VALUE"""),68.0)</f>
        <v>68</v>
      </c>
      <c r="F5787" s="19" t="str">
        <f>IFERROR(__xludf.DUMMYFUNCTION("""COMPUTED_VALUE"""),"BLACK")</f>
        <v>BLACK</v>
      </c>
      <c r="G5787" s="20" t="str">
        <f>IFERROR(__xludf.DUMMYFUNCTION("""COMPUTED_VALUE"""),"Uncle Sams Cider (5/13/2022)")</f>
        <v>Uncle Sams Cider (5/13/2022)</v>
      </c>
      <c r="H5787" s="19"/>
    </row>
    <row r="5788">
      <c r="A5788" s="9"/>
      <c r="B5788" s="15"/>
      <c r="C5788" s="9">
        <f>IFERROR(__xludf.DUMMYFUNCTION("""COMPUTED_VALUE"""),44736.2852562963)</f>
        <v>44736.28526</v>
      </c>
      <c r="D5788" s="15">
        <f>IFERROR(__xludf.DUMMYFUNCTION("""COMPUTED_VALUE"""),1.005)</f>
        <v>1.005</v>
      </c>
      <c r="E5788" s="16">
        <f>IFERROR(__xludf.DUMMYFUNCTION("""COMPUTED_VALUE"""),68.0)</f>
        <v>68</v>
      </c>
      <c r="F5788" s="19" t="str">
        <f>IFERROR(__xludf.DUMMYFUNCTION("""COMPUTED_VALUE"""),"BLACK")</f>
        <v>BLACK</v>
      </c>
      <c r="G5788" s="20" t="str">
        <f>IFERROR(__xludf.DUMMYFUNCTION("""COMPUTED_VALUE"""),"Uncle Sams Cider (5/13/2022)")</f>
        <v>Uncle Sams Cider (5/13/2022)</v>
      </c>
      <c r="H5788" s="19"/>
    </row>
    <row r="5789">
      <c r="A5789" s="9"/>
      <c r="B5789" s="15"/>
      <c r="C5789" s="9">
        <f>IFERROR(__xludf.DUMMYFUNCTION("""COMPUTED_VALUE"""),44736.2748347685)</f>
        <v>44736.27483</v>
      </c>
      <c r="D5789" s="15">
        <f>IFERROR(__xludf.DUMMYFUNCTION("""COMPUTED_VALUE"""),1.005)</f>
        <v>1.005</v>
      </c>
      <c r="E5789" s="16">
        <f>IFERROR(__xludf.DUMMYFUNCTION("""COMPUTED_VALUE"""),68.0)</f>
        <v>68</v>
      </c>
      <c r="F5789" s="19" t="str">
        <f>IFERROR(__xludf.DUMMYFUNCTION("""COMPUTED_VALUE"""),"BLACK")</f>
        <v>BLACK</v>
      </c>
      <c r="G5789" s="20" t="str">
        <f>IFERROR(__xludf.DUMMYFUNCTION("""COMPUTED_VALUE"""),"Uncle Sams Cider (5/13/2022)")</f>
        <v>Uncle Sams Cider (5/13/2022)</v>
      </c>
      <c r="H5789" s="19"/>
    </row>
    <row r="5790">
      <c r="A5790" s="9"/>
      <c r="B5790" s="15"/>
      <c r="C5790" s="9">
        <f>IFERROR(__xludf.DUMMYFUNCTION("""COMPUTED_VALUE"""),44736.2644131828)</f>
        <v>44736.26441</v>
      </c>
      <c r="D5790" s="15">
        <f>IFERROR(__xludf.DUMMYFUNCTION("""COMPUTED_VALUE"""),1.005)</f>
        <v>1.005</v>
      </c>
      <c r="E5790" s="16">
        <f>IFERROR(__xludf.DUMMYFUNCTION("""COMPUTED_VALUE"""),68.0)</f>
        <v>68</v>
      </c>
      <c r="F5790" s="19" t="str">
        <f>IFERROR(__xludf.DUMMYFUNCTION("""COMPUTED_VALUE"""),"BLACK")</f>
        <v>BLACK</v>
      </c>
      <c r="G5790" s="20" t="str">
        <f>IFERROR(__xludf.DUMMYFUNCTION("""COMPUTED_VALUE"""),"Uncle Sams Cider (5/13/2022)")</f>
        <v>Uncle Sams Cider (5/13/2022)</v>
      </c>
      <c r="H5790" s="19"/>
    </row>
    <row r="5791">
      <c r="A5791" s="9"/>
      <c r="B5791" s="15"/>
      <c r="C5791" s="9">
        <f>IFERROR(__xludf.DUMMYFUNCTION("""COMPUTED_VALUE"""),44736.2539936342)</f>
        <v>44736.25399</v>
      </c>
      <c r="D5791" s="15">
        <f>IFERROR(__xludf.DUMMYFUNCTION("""COMPUTED_VALUE"""),1.005)</f>
        <v>1.005</v>
      </c>
      <c r="E5791" s="16">
        <f>IFERROR(__xludf.DUMMYFUNCTION("""COMPUTED_VALUE"""),68.0)</f>
        <v>68</v>
      </c>
      <c r="F5791" s="19" t="str">
        <f>IFERROR(__xludf.DUMMYFUNCTION("""COMPUTED_VALUE"""),"BLACK")</f>
        <v>BLACK</v>
      </c>
      <c r="G5791" s="20" t="str">
        <f>IFERROR(__xludf.DUMMYFUNCTION("""COMPUTED_VALUE"""),"Uncle Sams Cider (5/13/2022)")</f>
        <v>Uncle Sams Cider (5/13/2022)</v>
      </c>
      <c r="H5791" s="19"/>
    </row>
    <row r="5792">
      <c r="A5792" s="9"/>
      <c r="B5792" s="15"/>
      <c r="C5792" s="9">
        <f>IFERROR(__xludf.DUMMYFUNCTION("""COMPUTED_VALUE"""),44736.2435609027)</f>
        <v>44736.24356</v>
      </c>
      <c r="D5792" s="15">
        <f>IFERROR(__xludf.DUMMYFUNCTION("""COMPUTED_VALUE"""),1.005)</f>
        <v>1.005</v>
      </c>
      <c r="E5792" s="16">
        <f>IFERROR(__xludf.DUMMYFUNCTION("""COMPUTED_VALUE"""),68.0)</f>
        <v>68</v>
      </c>
      <c r="F5792" s="19" t="str">
        <f>IFERROR(__xludf.DUMMYFUNCTION("""COMPUTED_VALUE"""),"BLACK")</f>
        <v>BLACK</v>
      </c>
      <c r="G5792" s="20" t="str">
        <f>IFERROR(__xludf.DUMMYFUNCTION("""COMPUTED_VALUE"""),"Uncle Sams Cider (5/13/2022)")</f>
        <v>Uncle Sams Cider (5/13/2022)</v>
      </c>
      <c r="H5792" s="19"/>
    </row>
    <row r="5793">
      <c r="A5793" s="9"/>
      <c r="B5793" s="15"/>
      <c r="C5793" s="9">
        <f>IFERROR(__xludf.DUMMYFUNCTION("""COMPUTED_VALUE"""),44736.2331404745)</f>
        <v>44736.23314</v>
      </c>
      <c r="D5793" s="15">
        <f>IFERROR(__xludf.DUMMYFUNCTION("""COMPUTED_VALUE"""),1.005)</f>
        <v>1.005</v>
      </c>
      <c r="E5793" s="16">
        <f>IFERROR(__xludf.DUMMYFUNCTION("""COMPUTED_VALUE"""),68.0)</f>
        <v>68</v>
      </c>
      <c r="F5793" s="19" t="str">
        <f>IFERROR(__xludf.DUMMYFUNCTION("""COMPUTED_VALUE"""),"BLACK")</f>
        <v>BLACK</v>
      </c>
      <c r="G5793" s="20" t="str">
        <f>IFERROR(__xludf.DUMMYFUNCTION("""COMPUTED_VALUE"""),"Uncle Sams Cider (5/13/2022)")</f>
        <v>Uncle Sams Cider (5/13/2022)</v>
      </c>
      <c r="H5793" s="19"/>
    </row>
    <row r="5794">
      <c r="A5794" s="9"/>
      <c r="B5794" s="15"/>
      <c r="C5794" s="9">
        <f>IFERROR(__xludf.DUMMYFUNCTION("""COMPUTED_VALUE"""),44736.2227188426)</f>
        <v>44736.22272</v>
      </c>
      <c r="D5794" s="15">
        <f>IFERROR(__xludf.DUMMYFUNCTION("""COMPUTED_VALUE"""),1.005)</f>
        <v>1.005</v>
      </c>
      <c r="E5794" s="16">
        <f>IFERROR(__xludf.DUMMYFUNCTION("""COMPUTED_VALUE"""),68.0)</f>
        <v>68</v>
      </c>
      <c r="F5794" s="19" t="str">
        <f>IFERROR(__xludf.DUMMYFUNCTION("""COMPUTED_VALUE"""),"BLACK")</f>
        <v>BLACK</v>
      </c>
      <c r="G5794" s="20" t="str">
        <f>IFERROR(__xludf.DUMMYFUNCTION("""COMPUTED_VALUE"""),"Uncle Sams Cider (5/13/2022)")</f>
        <v>Uncle Sams Cider (5/13/2022)</v>
      </c>
      <c r="H5794" s="19"/>
    </row>
    <row r="5795">
      <c r="A5795" s="9"/>
      <c r="B5795" s="15"/>
      <c r="C5795" s="9">
        <f>IFERROR(__xludf.DUMMYFUNCTION("""COMPUTED_VALUE"""),44736.2122854051)</f>
        <v>44736.21229</v>
      </c>
      <c r="D5795" s="15">
        <f>IFERROR(__xludf.DUMMYFUNCTION("""COMPUTED_VALUE"""),1.005)</f>
        <v>1.005</v>
      </c>
      <c r="E5795" s="16">
        <f>IFERROR(__xludf.DUMMYFUNCTION("""COMPUTED_VALUE"""),68.0)</f>
        <v>68</v>
      </c>
      <c r="F5795" s="19" t="str">
        <f>IFERROR(__xludf.DUMMYFUNCTION("""COMPUTED_VALUE"""),"BLACK")</f>
        <v>BLACK</v>
      </c>
      <c r="G5795" s="20" t="str">
        <f>IFERROR(__xludf.DUMMYFUNCTION("""COMPUTED_VALUE"""),"Uncle Sams Cider (5/13/2022)")</f>
        <v>Uncle Sams Cider (5/13/2022)</v>
      </c>
      <c r="H5795" s="19"/>
    </row>
    <row r="5796">
      <c r="A5796" s="9"/>
      <c r="B5796" s="15"/>
      <c r="C5796" s="9">
        <f>IFERROR(__xludf.DUMMYFUNCTION("""COMPUTED_VALUE"""),44736.2018639814)</f>
        <v>44736.20186</v>
      </c>
      <c r="D5796" s="15">
        <f>IFERROR(__xludf.DUMMYFUNCTION("""COMPUTED_VALUE"""),1.005)</f>
        <v>1.005</v>
      </c>
      <c r="E5796" s="16">
        <f>IFERROR(__xludf.DUMMYFUNCTION("""COMPUTED_VALUE"""),68.0)</f>
        <v>68</v>
      </c>
      <c r="F5796" s="19" t="str">
        <f>IFERROR(__xludf.DUMMYFUNCTION("""COMPUTED_VALUE"""),"BLACK")</f>
        <v>BLACK</v>
      </c>
      <c r="G5796" s="20" t="str">
        <f>IFERROR(__xludf.DUMMYFUNCTION("""COMPUTED_VALUE"""),"Uncle Sams Cider (5/13/2022)")</f>
        <v>Uncle Sams Cider (5/13/2022)</v>
      </c>
      <c r="H5796" s="19"/>
    </row>
    <row r="5797">
      <c r="A5797" s="9"/>
      <c r="B5797" s="15"/>
      <c r="C5797" s="9">
        <f>IFERROR(__xludf.DUMMYFUNCTION("""COMPUTED_VALUE"""),44736.1914422453)</f>
        <v>44736.19144</v>
      </c>
      <c r="D5797" s="15">
        <f>IFERROR(__xludf.DUMMYFUNCTION("""COMPUTED_VALUE"""),1.005)</f>
        <v>1.005</v>
      </c>
      <c r="E5797" s="16">
        <f>IFERROR(__xludf.DUMMYFUNCTION("""COMPUTED_VALUE"""),68.0)</f>
        <v>68</v>
      </c>
      <c r="F5797" s="19" t="str">
        <f>IFERROR(__xludf.DUMMYFUNCTION("""COMPUTED_VALUE"""),"BLACK")</f>
        <v>BLACK</v>
      </c>
      <c r="G5797" s="20" t="str">
        <f>IFERROR(__xludf.DUMMYFUNCTION("""COMPUTED_VALUE"""),"Uncle Sams Cider (5/13/2022)")</f>
        <v>Uncle Sams Cider (5/13/2022)</v>
      </c>
      <c r="H5797" s="19"/>
    </row>
    <row r="5798">
      <c r="A5798" s="9"/>
      <c r="B5798" s="15"/>
      <c r="C5798" s="9">
        <f>IFERROR(__xludf.DUMMYFUNCTION("""COMPUTED_VALUE"""),44736.1810117245)</f>
        <v>44736.18101</v>
      </c>
      <c r="D5798" s="15">
        <f>IFERROR(__xludf.DUMMYFUNCTION("""COMPUTED_VALUE"""),1.005)</f>
        <v>1.005</v>
      </c>
      <c r="E5798" s="16">
        <f>IFERROR(__xludf.DUMMYFUNCTION("""COMPUTED_VALUE"""),68.0)</f>
        <v>68</v>
      </c>
      <c r="F5798" s="19" t="str">
        <f>IFERROR(__xludf.DUMMYFUNCTION("""COMPUTED_VALUE"""),"BLACK")</f>
        <v>BLACK</v>
      </c>
      <c r="G5798" s="20" t="str">
        <f>IFERROR(__xludf.DUMMYFUNCTION("""COMPUTED_VALUE"""),"Uncle Sams Cider (5/13/2022)")</f>
        <v>Uncle Sams Cider (5/13/2022)</v>
      </c>
      <c r="H5798" s="19"/>
    </row>
    <row r="5799">
      <c r="A5799" s="9"/>
      <c r="B5799" s="15"/>
      <c r="C5799" s="9">
        <f>IFERROR(__xludf.DUMMYFUNCTION("""COMPUTED_VALUE"""),44736.1705903472)</f>
        <v>44736.17059</v>
      </c>
      <c r="D5799" s="15">
        <f>IFERROR(__xludf.DUMMYFUNCTION("""COMPUTED_VALUE"""),1.005)</f>
        <v>1.005</v>
      </c>
      <c r="E5799" s="16">
        <f>IFERROR(__xludf.DUMMYFUNCTION("""COMPUTED_VALUE"""),68.0)</f>
        <v>68</v>
      </c>
      <c r="F5799" s="19" t="str">
        <f>IFERROR(__xludf.DUMMYFUNCTION("""COMPUTED_VALUE"""),"BLACK")</f>
        <v>BLACK</v>
      </c>
      <c r="G5799" s="20" t="str">
        <f>IFERROR(__xludf.DUMMYFUNCTION("""COMPUTED_VALUE"""),"Uncle Sams Cider (5/13/2022)")</f>
        <v>Uncle Sams Cider (5/13/2022)</v>
      </c>
      <c r="H5799" s="19"/>
    </row>
    <row r="5800">
      <c r="A5800" s="9"/>
      <c r="B5800" s="15"/>
      <c r="C5800" s="9">
        <f>IFERROR(__xludf.DUMMYFUNCTION("""COMPUTED_VALUE"""),44736.1601455671)</f>
        <v>44736.16015</v>
      </c>
      <c r="D5800" s="15">
        <f>IFERROR(__xludf.DUMMYFUNCTION("""COMPUTED_VALUE"""),1.005)</f>
        <v>1.005</v>
      </c>
      <c r="E5800" s="16">
        <f>IFERROR(__xludf.DUMMYFUNCTION("""COMPUTED_VALUE"""),68.0)</f>
        <v>68</v>
      </c>
      <c r="F5800" s="19" t="str">
        <f>IFERROR(__xludf.DUMMYFUNCTION("""COMPUTED_VALUE"""),"BLACK")</f>
        <v>BLACK</v>
      </c>
      <c r="G5800" s="20" t="str">
        <f>IFERROR(__xludf.DUMMYFUNCTION("""COMPUTED_VALUE"""),"Uncle Sams Cider (5/13/2022)")</f>
        <v>Uncle Sams Cider (5/13/2022)</v>
      </c>
      <c r="H5800" s="19"/>
    </row>
    <row r="5801">
      <c r="A5801" s="9"/>
      <c r="B5801" s="15"/>
      <c r="C5801" s="9">
        <f>IFERROR(__xludf.DUMMYFUNCTION("""COMPUTED_VALUE"""),44736.1497128009)</f>
        <v>44736.14971</v>
      </c>
      <c r="D5801" s="15">
        <f>IFERROR(__xludf.DUMMYFUNCTION("""COMPUTED_VALUE"""),1.005)</f>
        <v>1.005</v>
      </c>
      <c r="E5801" s="16">
        <f>IFERROR(__xludf.DUMMYFUNCTION("""COMPUTED_VALUE"""),67.0)</f>
        <v>67</v>
      </c>
      <c r="F5801" s="19" t="str">
        <f>IFERROR(__xludf.DUMMYFUNCTION("""COMPUTED_VALUE"""),"BLACK")</f>
        <v>BLACK</v>
      </c>
      <c r="G5801" s="20" t="str">
        <f>IFERROR(__xludf.DUMMYFUNCTION("""COMPUTED_VALUE"""),"Uncle Sams Cider (5/13/2022)")</f>
        <v>Uncle Sams Cider (5/13/2022)</v>
      </c>
      <c r="H5801" s="19"/>
    </row>
    <row r="5802">
      <c r="A5802" s="9"/>
      <c r="B5802" s="15"/>
      <c r="C5802" s="9">
        <f>IFERROR(__xludf.DUMMYFUNCTION("""COMPUTED_VALUE"""),44736.1392923958)</f>
        <v>44736.13929</v>
      </c>
      <c r="D5802" s="15">
        <f>IFERROR(__xludf.DUMMYFUNCTION("""COMPUTED_VALUE"""),1.005)</f>
        <v>1.005</v>
      </c>
      <c r="E5802" s="16">
        <f>IFERROR(__xludf.DUMMYFUNCTION("""COMPUTED_VALUE"""),67.0)</f>
        <v>67</v>
      </c>
      <c r="F5802" s="19" t="str">
        <f>IFERROR(__xludf.DUMMYFUNCTION("""COMPUTED_VALUE"""),"BLACK")</f>
        <v>BLACK</v>
      </c>
      <c r="G5802" s="20" t="str">
        <f>IFERROR(__xludf.DUMMYFUNCTION("""COMPUTED_VALUE"""),"Uncle Sams Cider (5/13/2022)")</f>
        <v>Uncle Sams Cider (5/13/2022)</v>
      </c>
      <c r="H5802" s="19"/>
    </row>
    <row r="5803">
      <c r="A5803" s="9"/>
      <c r="B5803" s="15"/>
      <c r="C5803" s="9">
        <f>IFERROR(__xludf.DUMMYFUNCTION("""COMPUTED_VALUE"""),44736.1288712731)</f>
        <v>44736.12887</v>
      </c>
      <c r="D5803" s="15">
        <f>IFERROR(__xludf.DUMMYFUNCTION("""COMPUTED_VALUE"""),1.005)</f>
        <v>1.005</v>
      </c>
      <c r="E5803" s="16">
        <f>IFERROR(__xludf.DUMMYFUNCTION("""COMPUTED_VALUE"""),67.0)</f>
        <v>67</v>
      </c>
      <c r="F5803" s="19" t="str">
        <f>IFERROR(__xludf.DUMMYFUNCTION("""COMPUTED_VALUE"""),"BLACK")</f>
        <v>BLACK</v>
      </c>
      <c r="G5803" s="20" t="str">
        <f>IFERROR(__xludf.DUMMYFUNCTION("""COMPUTED_VALUE"""),"Uncle Sams Cider (5/13/2022)")</f>
        <v>Uncle Sams Cider (5/13/2022)</v>
      </c>
      <c r="H5803" s="19"/>
    </row>
    <row r="5804">
      <c r="A5804" s="9"/>
      <c r="B5804" s="15"/>
      <c r="C5804" s="9">
        <f>IFERROR(__xludf.DUMMYFUNCTION("""COMPUTED_VALUE"""),44736.1184487268)</f>
        <v>44736.11845</v>
      </c>
      <c r="D5804" s="15">
        <f>IFERROR(__xludf.DUMMYFUNCTION("""COMPUTED_VALUE"""),1.005)</f>
        <v>1.005</v>
      </c>
      <c r="E5804" s="16">
        <f>IFERROR(__xludf.DUMMYFUNCTION("""COMPUTED_VALUE"""),67.0)</f>
        <v>67</v>
      </c>
      <c r="F5804" s="19" t="str">
        <f>IFERROR(__xludf.DUMMYFUNCTION("""COMPUTED_VALUE"""),"BLACK")</f>
        <v>BLACK</v>
      </c>
      <c r="G5804" s="20" t="str">
        <f>IFERROR(__xludf.DUMMYFUNCTION("""COMPUTED_VALUE"""),"Uncle Sams Cider (5/13/2022)")</f>
        <v>Uncle Sams Cider (5/13/2022)</v>
      </c>
      <c r="H5804" s="19"/>
    </row>
    <row r="5805">
      <c r="A5805" s="9"/>
      <c r="B5805" s="15"/>
      <c r="C5805" s="9">
        <f>IFERROR(__xludf.DUMMYFUNCTION("""COMPUTED_VALUE"""),44736.1080260648)</f>
        <v>44736.10803</v>
      </c>
      <c r="D5805" s="15">
        <f>IFERROR(__xludf.DUMMYFUNCTION("""COMPUTED_VALUE"""),1.005)</f>
        <v>1.005</v>
      </c>
      <c r="E5805" s="16">
        <f>IFERROR(__xludf.DUMMYFUNCTION("""COMPUTED_VALUE"""),67.0)</f>
        <v>67</v>
      </c>
      <c r="F5805" s="19" t="str">
        <f>IFERROR(__xludf.DUMMYFUNCTION("""COMPUTED_VALUE"""),"BLACK")</f>
        <v>BLACK</v>
      </c>
      <c r="G5805" s="20" t="str">
        <f>IFERROR(__xludf.DUMMYFUNCTION("""COMPUTED_VALUE"""),"Uncle Sams Cider (5/13/2022)")</f>
        <v>Uncle Sams Cider (5/13/2022)</v>
      </c>
      <c r="H5805" s="19"/>
    </row>
    <row r="5806">
      <c r="A5806" s="9"/>
      <c r="B5806" s="15"/>
      <c r="C5806" s="9">
        <f>IFERROR(__xludf.DUMMYFUNCTION("""COMPUTED_VALUE"""),44736.0976030324)</f>
        <v>44736.0976</v>
      </c>
      <c r="D5806" s="15">
        <f>IFERROR(__xludf.DUMMYFUNCTION("""COMPUTED_VALUE"""),1.005)</f>
        <v>1.005</v>
      </c>
      <c r="E5806" s="16">
        <f>IFERROR(__xludf.DUMMYFUNCTION("""COMPUTED_VALUE"""),67.0)</f>
        <v>67</v>
      </c>
      <c r="F5806" s="19" t="str">
        <f>IFERROR(__xludf.DUMMYFUNCTION("""COMPUTED_VALUE"""),"BLACK")</f>
        <v>BLACK</v>
      </c>
      <c r="G5806" s="20" t="str">
        <f>IFERROR(__xludf.DUMMYFUNCTION("""COMPUTED_VALUE"""),"Uncle Sams Cider (5/13/2022)")</f>
        <v>Uncle Sams Cider (5/13/2022)</v>
      </c>
      <c r="H5806" s="19"/>
    </row>
    <row r="5807">
      <c r="A5807" s="9"/>
      <c r="B5807" s="15"/>
      <c r="C5807" s="9">
        <f>IFERROR(__xludf.DUMMYFUNCTION("""COMPUTED_VALUE"""),44736.0871821875)</f>
        <v>44736.08718</v>
      </c>
      <c r="D5807" s="15">
        <f>IFERROR(__xludf.DUMMYFUNCTION("""COMPUTED_VALUE"""),1.005)</f>
        <v>1.005</v>
      </c>
      <c r="E5807" s="16">
        <f>IFERROR(__xludf.DUMMYFUNCTION("""COMPUTED_VALUE"""),67.0)</f>
        <v>67</v>
      </c>
      <c r="F5807" s="19" t="str">
        <f>IFERROR(__xludf.DUMMYFUNCTION("""COMPUTED_VALUE"""),"BLACK")</f>
        <v>BLACK</v>
      </c>
      <c r="G5807" s="20" t="str">
        <f>IFERROR(__xludf.DUMMYFUNCTION("""COMPUTED_VALUE"""),"Uncle Sams Cider (5/13/2022)")</f>
        <v>Uncle Sams Cider (5/13/2022)</v>
      </c>
      <c r="H5807" s="19"/>
    </row>
    <row r="5808">
      <c r="A5808" s="9"/>
      <c r="B5808" s="15"/>
      <c r="C5808" s="9">
        <f>IFERROR(__xludf.DUMMYFUNCTION("""COMPUTED_VALUE"""),44736.0767500925)</f>
        <v>44736.07675</v>
      </c>
      <c r="D5808" s="15">
        <f>IFERROR(__xludf.DUMMYFUNCTION("""COMPUTED_VALUE"""),1.005)</f>
        <v>1.005</v>
      </c>
      <c r="E5808" s="16">
        <f>IFERROR(__xludf.DUMMYFUNCTION("""COMPUTED_VALUE"""),67.0)</f>
        <v>67</v>
      </c>
      <c r="F5808" s="19" t="str">
        <f>IFERROR(__xludf.DUMMYFUNCTION("""COMPUTED_VALUE"""),"BLACK")</f>
        <v>BLACK</v>
      </c>
      <c r="G5808" s="20" t="str">
        <f>IFERROR(__xludf.DUMMYFUNCTION("""COMPUTED_VALUE"""),"Uncle Sams Cider (5/13/2022)")</f>
        <v>Uncle Sams Cider (5/13/2022)</v>
      </c>
      <c r="H5808" s="19"/>
    </row>
    <row r="5809">
      <c r="A5809" s="9"/>
      <c r="B5809" s="15"/>
      <c r="C5809" s="9">
        <f>IFERROR(__xludf.DUMMYFUNCTION("""COMPUTED_VALUE"""),44736.0663291435)</f>
        <v>44736.06633</v>
      </c>
      <c r="D5809" s="15">
        <f>IFERROR(__xludf.DUMMYFUNCTION("""COMPUTED_VALUE"""),1.005)</f>
        <v>1.005</v>
      </c>
      <c r="E5809" s="16">
        <f>IFERROR(__xludf.DUMMYFUNCTION("""COMPUTED_VALUE"""),67.0)</f>
        <v>67</v>
      </c>
      <c r="F5809" s="19" t="str">
        <f>IFERROR(__xludf.DUMMYFUNCTION("""COMPUTED_VALUE"""),"BLACK")</f>
        <v>BLACK</v>
      </c>
      <c r="G5809" s="20" t="str">
        <f>IFERROR(__xludf.DUMMYFUNCTION("""COMPUTED_VALUE"""),"Uncle Sams Cider (5/13/2022)")</f>
        <v>Uncle Sams Cider (5/13/2022)</v>
      </c>
      <c r="H5809" s="19"/>
    </row>
    <row r="5810">
      <c r="A5810" s="9"/>
      <c r="B5810" s="15"/>
      <c r="C5810" s="9">
        <f>IFERROR(__xludf.DUMMYFUNCTION("""COMPUTED_VALUE"""),44736.055883831)</f>
        <v>44736.05588</v>
      </c>
      <c r="D5810" s="15">
        <f>IFERROR(__xludf.DUMMYFUNCTION("""COMPUTED_VALUE"""),1.005)</f>
        <v>1.005</v>
      </c>
      <c r="E5810" s="16">
        <f>IFERROR(__xludf.DUMMYFUNCTION("""COMPUTED_VALUE"""),67.0)</f>
        <v>67</v>
      </c>
      <c r="F5810" s="19" t="str">
        <f>IFERROR(__xludf.DUMMYFUNCTION("""COMPUTED_VALUE"""),"BLACK")</f>
        <v>BLACK</v>
      </c>
      <c r="G5810" s="20" t="str">
        <f>IFERROR(__xludf.DUMMYFUNCTION("""COMPUTED_VALUE"""),"Uncle Sams Cider (5/13/2022)")</f>
        <v>Uncle Sams Cider (5/13/2022)</v>
      </c>
      <c r="H5810" s="19"/>
    </row>
    <row r="5811">
      <c r="A5811" s="9"/>
      <c r="B5811" s="15"/>
      <c r="C5811" s="9">
        <f>IFERROR(__xludf.DUMMYFUNCTION("""COMPUTED_VALUE"""),44736.0454618287)</f>
        <v>44736.04546</v>
      </c>
      <c r="D5811" s="15">
        <f>IFERROR(__xludf.DUMMYFUNCTION("""COMPUTED_VALUE"""),1.005)</f>
        <v>1.005</v>
      </c>
      <c r="E5811" s="16">
        <f>IFERROR(__xludf.DUMMYFUNCTION("""COMPUTED_VALUE"""),67.0)</f>
        <v>67</v>
      </c>
      <c r="F5811" s="19" t="str">
        <f>IFERROR(__xludf.DUMMYFUNCTION("""COMPUTED_VALUE"""),"BLACK")</f>
        <v>BLACK</v>
      </c>
      <c r="G5811" s="20" t="str">
        <f>IFERROR(__xludf.DUMMYFUNCTION("""COMPUTED_VALUE"""),"Uncle Sams Cider (5/13/2022)")</f>
        <v>Uncle Sams Cider (5/13/2022)</v>
      </c>
      <c r="H5811" s="19"/>
    </row>
    <row r="5812">
      <c r="A5812" s="9"/>
      <c r="B5812" s="15"/>
      <c r="C5812" s="9">
        <f>IFERROR(__xludf.DUMMYFUNCTION("""COMPUTED_VALUE"""),44736.035041956)</f>
        <v>44736.03504</v>
      </c>
      <c r="D5812" s="15">
        <f>IFERROR(__xludf.DUMMYFUNCTION("""COMPUTED_VALUE"""),1.005)</f>
        <v>1.005</v>
      </c>
      <c r="E5812" s="16">
        <f>IFERROR(__xludf.DUMMYFUNCTION("""COMPUTED_VALUE"""),67.0)</f>
        <v>67</v>
      </c>
      <c r="F5812" s="19" t="str">
        <f>IFERROR(__xludf.DUMMYFUNCTION("""COMPUTED_VALUE"""),"BLACK")</f>
        <v>BLACK</v>
      </c>
      <c r="G5812" s="20" t="str">
        <f>IFERROR(__xludf.DUMMYFUNCTION("""COMPUTED_VALUE"""),"Uncle Sams Cider (5/13/2022)")</f>
        <v>Uncle Sams Cider (5/13/2022)</v>
      </c>
      <c r="H5812" s="19"/>
    </row>
    <row r="5813">
      <c r="A5813" s="9"/>
      <c r="B5813" s="15"/>
      <c r="C5813" s="9">
        <f>IFERROR(__xludf.DUMMYFUNCTION("""COMPUTED_VALUE"""),44736.0246219097)</f>
        <v>44736.02462</v>
      </c>
      <c r="D5813" s="15">
        <f>IFERROR(__xludf.DUMMYFUNCTION("""COMPUTED_VALUE"""),1.005)</f>
        <v>1.005</v>
      </c>
      <c r="E5813" s="16">
        <f>IFERROR(__xludf.DUMMYFUNCTION("""COMPUTED_VALUE"""),67.0)</f>
        <v>67</v>
      </c>
      <c r="F5813" s="19" t="str">
        <f>IFERROR(__xludf.DUMMYFUNCTION("""COMPUTED_VALUE"""),"BLACK")</f>
        <v>BLACK</v>
      </c>
      <c r="G5813" s="20" t="str">
        <f>IFERROR(__xludf.DUMMYFUNCTION("""COMPUTED_VALUE"""),"Uncle Sams Cider (5/13/2022)")</f>
        <v>Uncle Sams Cider (5/13/2022)</v>
      </c>
      <c r="H5813" s="19"/>
    </row>
    <row r="5814">
      <c r="A5814" s="9"/>
      <c r="B5814" s="15"/>
      <c r="C5814" s="9">
        <f>IFERROR(__xludf.DUMMYFUNCTION("""COMPUTED_VALUE"""),44736.0141891087)</f>
        <v>44736.01419</v>
      </c>
      <c r="D5814" s="15">
        <f>IFERROR(__xludf.DUMMYFUNCTION("""COMPUTED_VALUE"""),1.005)</f>
        <v>1.005</v>
      </c>
      <c r="E5814" s="16">
        <f>IFERROR(__xludf.DUMMYFUNCTION("""COMPUTED_VALUE"""),67.0)</f>
        <v>67</v>
      </c>
      <c r="F5814" s="19" t="str">
        <f>IFERROR(__xludf.DUMMYFUNCTION("""COMPUTED_VALUE"""),"BLACK")</f>
        <v>BLACK</v>
      </c>
      <c r="G5814" s="20" t="str">
        <f>IFERROR(__xludf.DUMMYFUNCTION("""COMPUTED_VALUE"""),"Uncle Sams Cider (5/13/2022)")</f>
        <v>Uncle Sams Cider (5/13/2022)</v>
      </c>
      <c r="H5814" s="19"/>
    </row>
    <row r="5815">
      <c r="A5815" s="9"/>
      <c r="B5815" s="15"/>
      <c r="C5815" s="9">
        <f>IFERROR(__xludf.DUMMYFUNCTION("""COMPUTED_VALUE"""),44736.0037324768)</f>
        <v>44736.00373</v>
      </c>
      <c r="D5815" s="15">
        <f>IFERROR(__xludf.DUMMYFUNCTION("""COMPUTED_VALUE"""),1.005)</f>
        <v>1.005</v>
      </c>
      <c r="E5815" s="16">
        <f>IFERROR(__xludf.DUMMYFUNCTION("""COMPUTED_VALUE"""),67.0)</f>
        <v>67</v>
      </c>
      <c r="F5815" s="19" t="str">
        <f>IFERROR(__xludf.DUMMYFUNCTION("""COMPUTED_VALUE"""),"BLACK")</f>
        <v>BLACK</v>
      </c>
      <c r="G5815" s="20" t="str">
        <f>IFERROR(__xludf.DUMMYFUNCTION("""COMPUTED_VALUE"""),"Uncle Sams Cider (5/13/2022)")</f>
        <v>Uncle Sams Cider (5/13/2022)</v>
      </c>
      <c r="H5815" s="19"/>
    </row>
    <row r="5816">
      <c r="A5816" s="9"/>
      <c r="B5816" s="15"/>
      <c r="C5816" s="9">
        <f>IFERROR(__xludf.DUMMYFUNCTION("""COMPUTED_VALUE"""),44735.9933101504)</f>
        <v>44735.99331</v>
      </c>
      <c r="D5816" s="15">
        <f>IFERROR(__xludf.DUMMYFUNCTION("""COMPUTED_VALUE"""),1.005)</f>
        <v>1.005</v>
      </c>
      <c r="E5816" s="16">
        <f>IFERROR(__xludf.DUMMYFUNCTION("""COMPUTED_VALUE"""),67.0)</f>
        <v>67</v>
      </c>
      <c r="F5816" s="19" t="str">
        <f>IFERROR(__xludf.DUMMYFUNCTION("""COMPUTED_VALUE"""),"BLACK")</f>
        <v>BLACK</v>
      </c>
      <c r="G5816" s="20" t="str">
        <f>IFERROR(__xludf.DUMMYFUNCTION("""COMPUTED_VALUE"""),"Uncle Sams Cider (5/13/2022)")</f>
        <v>Uncle Sams Cider (5/13/2022)</v>
      </c>
      <c r="H5816" s="19"/>
    </row>
    <row r="5817">
      <c r="A5817" s="9"/>
      <c r="B5817" s="15"/>
      <c r="C5817" s="9">
        <f>IFERROR(__xludf.DUMMYFUNCTION("""COMPUTED_VALUE"""),44735.982889699)</f>
        <v>44735.98289</v>
      </c>
      <c r="D5817" s="15">
        <f>IFERROR(__xludf.DUMMYFUNCTION("""COMPUTED_VALUE"""),1.005)</f>
        <v>1.005</v>
      </c>
      <c r="E5817" s="16">
        <f>IFERROR(__xludf.DUMMYFUNCTION("""COMPUTED_VALUE"""),67.0)</f>
        <v>67</v>
      </c>
      <c r="F5817" s="19" t="str">
        <f>IFERROR(__xludf.DUMMYFUNCTION("""COMPUTED_VALUE"""),"BLACK")</f>
        <v>BLACK</v>
      </c>
      <c r="G5817" s="20" t="str">
        <f>IFERROR(__xludf.DUMMYFUNCTION("""COMPUTED_VALUE"""),"Uncle Sams Cider (5/13/2022)")</f>
        <v>Uncle Sams Cider (5/13/2022)</v>
      </c>
      <c r="H5817" s="19"/>
    </row>
    <row r="5818">
      <c r="A5818" s="9"/>
      <c r="B5818" s="15"/>
      <c r="C5818" s="9">
        <f>IFERROR(__xludf.DUMMYFUNCTION("""COMPUTED_VALUE"""),44735.9724461574)</f>
        <v>44735.97245</v>
      </c>
      <c r="D5818" s="15">
        <f>IFERROR(__xludf.DUMMYFUNCTION("""COMPUTED_VALUE"""),1.005)</f>
        <v>1.005</v>
      </c>
      <c r="E5818" s="16">
        <f>IFERROR(__xludf.DUMMYFUNCTION("""COMPUTED_VALUE"""),67.0)</f>
        <v>67</v>
      </c>
      <c r="F5818" s="19" t="str">
        <f>IFERROR(__xludf.DUMMYFUNCTION("""COMPUTED_VALUE"""),"BLACK")</f>
        <v>BLACK</v>
      </c>
      <c r="G5818" s="20" t="str">
        <f>IFERROR(__xludf.DUMMYFUNCTION("""COMPUTED_VALUE"""),"Uncle Sams Cider (5/13/2022)")</f>
        <v>Uncle Sams Cider (5/13/2022)</v>
      </c>
      <c r="H5818" s="19"/>
    </row>
    <row r="5819">
      <c r="A5819" s="9"/>
      <c r="B5819" s="15"/>
      <c r="C5819" s="9">
        <f>IFERROR(__xludf.DUMMYFUNCTION("""COMPUTED_VALUE"""),44735.9620121759)</f>
        <v>44735.96201</v>
      </c>
      <c r="D5819" s="15">
        <f>IFERROR(__xludf.DUMMYFUNCTION("""COMPUTED_VALUE"""),1.005)</f>
        <v>1.005</v>
      </c>
      <c r="E5819" s="16">
        <f>IFERROR(__xludf.DUMMYFUNCTION("""COMPUTED_VALUE"""),67.0)</f>
        <v>67</v>
      </c>
      <c r="F5819" s="19" t="str">
        <f>IFERROR(__xludf.DUMMYFUNCTION("""COMPUTED_VALUE"""),"BLACK")</f>
        <v>BLACK</v>
      </c>
      <c r="G5819" s="20" t="str">
        <f>IFERROR(__xludf.DUMMYFUNCTION("""COMPUTED_VALUE"""),"Uncle Sams Cider (5/13/2022)")</f>
        <v>Uncle Sams Cider (5/13/2022)</v>
      </c>
      <c r="H5819" s="19"/>
    </row>
    <row r="5820">
      <c r="A5820" s="9"/>
      <c r="B5820" s="15"/>
      <c r="C5820" s="9">
        <f>IFERROR(__xludf.DUMMYFUNCTION("""COMPUTED_VALUE"""),44735.9515914004)</f>
        <v>44735.95159</v>
      </c>
      <c r="D5820" s="15">
        <f>IFERROR(__xludf.DUMMYFUNCTION("""COMPUTED_VALUE"""),1.005)</f>
        <v>1.005</v>
      </c>
      <c r="E5820" s="16">
        <f>IFERROR(__xludf.DUMMYFUNCTION("""COMPUTED_VALUE"""),67.0)</f>
        <v>67</v>
      </c>
      <c r="F5820" s="19" t="str">
        <f>IFERROR(__xludf.DUMMYFUNCTION("""COMPUTED_VALUE"""),"BLACK")</f>
        <v>BLACK</v>
      </c>
      <c r="G5820" s="20" t="str">
        <f>IFERROR(__xludf.DUMMYFUNCTION("""COMPUTED_VALUE"""),"Uncle Sams Cider (5/13/2022)")</f>
        <v>Uncle Sams Cider (5/13/2022)</v>
      </c>
      <c r="H5820" s="19"/>
    </row>
    <row r="5821">
      <c r="A5821" s="9"/>
      <c r="B5821" s="15"/>
      <c r="C5821" s="9">
        <f>IFERROR(__xludf.DUMMYFUNCTION("""COMPUTED_VALUE"""),44735.9411704745)</f>
        <v>44735.94117</v>
      </c>
      <c r="D5821" s="15">
        <f>IFERROR(__xludf.DUMMYFUNCTION("""COMPUTED_VALUE"""),1.005)</f>
        <v>1.005</v>
      </c>
      <c r="E5821" s="16">
        <f>IFERROR(__xludf.DUMMYFUNCTION("""COMPUTED_VALUE"""),67.0)</f>
        <v>67</v>
      </c>
      <c r="F5821" s="19" t="str">
        <f>IFERROR(__xludf.DUMMYFUNCTION("""COMPUTED_VALUE"""),"BLACK")</f>
        <v>BLACK</v>
      </c>
      <c r="G5821" s="20" t="str">
        <f>IFERROR(__xludf.DUMMYFUNCTION("""COMPUTED_VALUE"""),"Uncle Sams Cider (5/13/2022)")</f>
        <v>Uncle Sams Cider (5/13/2022)</v>
      </c>
      <c r="H5821" s="19"/>
    </row>
    <row r="5822">
      <c r="A5822" s="9"/>
      <c r="B5822" s="15"/>
      <c r="C5822" s="9">
        <f>IFERROR(__xludf.DUMMYFUNCTION("""COMPUTED_VALUE"""),44735.930748993)</f>
        <v>44735.93075</v>
      </c>
      <c r="D5822" s="15">
        <f>IFERROR(__xludf.DUMMYFUNCTION("""COMPUTED_VALUE"""),1.005)</f>
        <v>1.005</v>
      </c>
      <c r="E5822" s="16">
        <f>IFERROR(__xludf.DUMMYFUNCTION("""COMPUTED_VALUE"""),67.0)</f>
        <v>67</v>
      </c>
      <c r="F5822" s="19" t="str">
        <f>IFERROR(__xludf.DUMMYFUNCTION("""COMPUTED_VALUE"""),"BLACK")</f>
        <v>BLACK</v>
      </c>
      <c r="G5822" s="20" t="str">
        <f>IFERROR(__xludf.DUMMYFUNCTION("""COMPUTED_VALUE"""),"Uncle Sams Cider (5/13/2022)")</f>
        <v>Uncle Sams Cider (5/13/2022)</v>
      </c>
      <c r="H5822" s="19"/>
    </row>
    <row r="5823">
      <c r="A5823" s="9"/>
      <c r="B5823" s="15"/>
      <c r="C5823" s="9">
        <f>IFERROR(__xludf.DUMMYFUNCTION("""COMPUTED_VALUE"""),44735.9203148842)</f>
        <v>44735.92031</v>
      </c>
      <c r="D5823" s="15">
        <f>IFERROR(__xludf.DUMMYFUNCTION("""COMPUTED_VALUE"""),1.005)</f>
        <v>1.005</v>
      </c>
      <c r="E5823" s="16">
        <f>IFERROR(__xludf.DUMMYFUNCTION("""COMPUTED_VALUE"""),67.0)</f>
        <v>67</v>
      </c>
      <c r="F5823" s="19" t="str">
        <f>IFERROR(__xludf.DUMMYFUNCTION("""COMPUTED_VALUE"""),"BLACK")</f>
        <v>BLACK</v>
      </c>
      <c r="G5823" s="20" t="str">
        <f>IFERROR(__xludf.DUMMYFUNCTION("""COMPUTED_VALUE"""),"Uncle Sams Cider (5/13/2022)")</f>
        <v>Uncle Sams Cider (5/13/2022)</v>
      </c>
      <c r="H5823" s="19"/>
    </row>
    <row r="5824">
      <c r="A5824" s="9"/>
      <c r="B5824" s="15"/>
      <c r="C5824" s="9">
        <f>IFERROR(__xludf.DUMMYFUNCTION("""COMPUTED_VALUE"""),44735.9098846527)</f>
        <v>44735.90988</v>
      </c>
      <c r="D5824" s="15">
        <f>IFERROR(__xludf.DUMMYFUNCTION("""COMPUTED_VALUE"""),1.005)</f>
        <v>1.005</v>
      </c>
      <c r="E5824" s="16">
        <f>IFERROR(__xludf.DUMMYFUNCTION("""COMPUTED_VALUE"""),67.0)</f>
        <v>67</v>
      </c>
      <c r="F5824" s="19" t="str">
        <f>IFERROR(__xludf.DUMMYFUNCTION("""COMPUTED_VALUE"""),"BLACK")</f>
        <v>BLACK</v>
      </c>
      <c r="G5824" s="20" t="str">
        <f>IFERROR(__xludf.DUMMYFUNCTION("""COMPUTED_VALUE"""),"Uncle Sams Cider (5/13/2022)")</f>
        <v>Uncle Sams Cider (5/13/2022)</v>
      </c>
      <c r="H5824" s="19"/>
    </row>
    <row r="5825">
      <c r="A5825" s="9"/>
      <c r="B5825" s="15"/>
      <c r="C5825" s="9">
        <f>IFERROR(__xludf.DUMMYFUNCTION("""COMPUTED_VALUE"""),44735.8994511574)</f>
        <v>44735.89945</v>
      </c>
      <c r="D5825" s="15">
        <f>IFERROR(__xludf.DUMMYFUNCTION("""COMPUTED_VALUE"""),1.005)</f>
        <v>1.005</v>
      </c>
      <c r="E5825" s="16">
        <f>IFERROR(__xludf.DUMMYFUNCTION("""COMPUTED_VALUE"""),67.0)</f>
        <v>67</v>
      </c>
      <c r="F5825" s="19" t="str">
        <f>IFERROR(__xludf.DUMMYFUNCTION("""COMPUTED_VALUE"""),"BLACK")</f>
        <v>BLACK</v>
      </c>
      <c r="G5825" s="20" t="str">
        <f>IFERROR(__xludf.DUMMYFUNCTION("""COMPUTED_VALUE"""),"Uncle Sams Cider (5/13/2022)")</f>
        <v>Uncle Sams Cider (5/13/2022)</v>
      </c>
      <c r="H5825" s="19"/>
    </row>
    <row r="5826">
      <c r="A5826" s="9"/>
      <c r="B5826" s="15"/>
      <c r="C5826" s="9">
        <f>IFERROR(__xludf.DUMMYFUNCTION("""COMPUTED_VALUE"""),44735.8890182986)</f>
        <v>44735.88902</v>
      </c>
      <c r="D5826" s="15">
        <f>IFERROR(__xludf.DUMMYFUNCTION("""COMPUTED_VALUE"""),1.005)</f>
        <v>1.005</v>
      </c>
      <c r="E5826" s="16">
        <f>IFERROR(__xludf.DUMMYFUNCTION("""COMPUTED_VALUE"""),67.0)</f>
        <v>67</v>
      </c>
      <c r="F5826" s="19" t="str">
        <f>IFERROR(__xludf.DUMMYFUNCTION("""COMPUTED_VALUE"""),"BLACK")</f>
        <v>BLACK</v>
      </c>
      <c r="G5826" s="20" t="str">
        <f>IFERROR(__xludf.DUMMYFUNCTION("""COMPUTED_VALUE"""),"Uncle Sams Cider (5/13/2022)")</f>
        <v>Uncle Sams Cider (5/13/2022)</v>
      </c>
      <c r="H5826" s="19"/>
    </row>
    <row r="5827">
      <c r="A5827" s="9"/>
      <c r="B5827" s="15"/>
      <c r="C5827" s="9">
        <f>IFERROR(__xludf.DUMMYFUNCTION("""COMPUTED_VALUE"""),44735.8785860185)</f>
        <v>44735.87859</v>
      </c>
      <c r="D5827" s="15">
        <f>IFERROR(__xludf.DUMMYFUNCTION("""COMPUTED_VALUE"""),1.005)</f>
        <v>1.005</v>
      </c>
      <c r="E5827" s="16">
        <f>IFERROR(__xludf.DUMMYFUNCTION("""COMPUTED_VALUE"""),67.0)</f>
        <v>67</v>
      </c>
      <c r="F5827" s="19" t="str">
        <f>IFERROR(__xludf.DUMMYFUNCTION("""COMPUTED_VALUE"""),"BLACK")</f>
        <v>BLACK</v>
      </c>
      <c r="G5827" s="20" t="str">
        <f>IFERROR(__xludf.DUMMYFUNCTION("""COMPUTED_VALUE"""),"Uncle Sams Cider (5/13/2022)")</f>
        <v>Uncle Sams Cider (5/13/2022)</v>
      </c>
      <c r="H5827" s="19"/>
    </row>
    <row r="5828">
      <c r="A5828" s="9"/>
      <c r="B5828" s="15"/>
      <c r="C5828" s="9">
        <f>IFERROR(__xludf.DUMMYFUNCTION("""COMPUTED_VALUE"""),44735.8681642939)</f>
        <v>44735.86816</v>
      </c>
      <c r="D5828" s="15">
        <f>IFERROR(__xludf.DUMMYFUNCTION("""COMPUTED_VALUE"""),1.005)</f>
        <v>1.005</v>
      </c>
      <c r="E5828" s="16">
        <f>IFERROR(__xludf.DUMMYFUNCTION("""COMPUTED_VALUE"""),67.0)</f>
        <v>67</v>
      </c>
      <c r="F5828" s="19" t="str">
        <f>IFERROR(__xludf.DUMMYFUNCTION("""COMPUTED_VALUE"""),"BLACK")</f>
        <v>BLACK</v>
      </c>
      <c r="G5828" s="20" t="str">
        <f>IFERROR(__xludf.DUMMYFUNCTION("""COMPUTED_VALUE"""),"Uncle Sams Cider (5/13/2022)")</f>
        <v>Uncle Sams Cider (5/13/2022)</v>
      </c>
      <c r="H5828" s="19"/>
    </row>
    <row r="5829">
      <c r="A5829" s="9"/>
      <c r="B5829" s="15"/>
      <c r="C5829" s="9">
        <f>IFERROR(__xludf.DUMMYFUNCTION("""COMPUTED_VALUE"""),44735.8577436111)</f>
        <v>44735.85774</v>
      </c>
      <c r="D5829" s="15">
        <f>IFERROR(__xludf.DUMMYFUNCTION("""COMPUTED_VALUE"""),1.005)</f>
        <v>1.005</v>
      </c>
      <c r="E5829" s="16">
        <f>IFERROR(__xludf.DUMMYFUNCTION("""COMPUTED_VALUE"""),67.0)</f>
        <v>67</v>
      </c>
      <c r="F5829" s="19" t="str">
        <f>IFERROR(__xludf.DUMMYFUNCTION("""COMPUTED_VALUE"""),"BLACK")</f>
        <v>BLACK</v>
      </c>
      <c r="G5829" s="20" t="str">
        <f>IFERROR(__xludf.DUMMYFUNCTION("""COMPUTED_VALUE"""),"Uncle Sams Cider (5/13/2022)")</f>
        <v>Uncle Sams Cider (5/13/2022)</v>
      </c>
      <c r="H5829" s="19"/>
    </row>
    <row r="5830">
      <c r="A5830" s="9"/>
      <c r="B5830" s="15"/>
      <c r="C5830" s="9">
        <f>IFERROR(__xludf.DUMMYFUNCTION("""COMPUTED_VALUE"""),44735.8473243981)</f>
        <v>44735.84732</v>
      </c>
      <c r="D5830" s="15">
        <f>IFERROR(__xludf.DUMMYFUNCTION("""COMPUTED_VALUE"""),1.005)</f>
        <v>1.005</v>
      </c>
      <c r="E5830" s="16">
        <f>IFERROR(__xludf.DUMMYFUNCTION("""COMPUTED_VALUE"""),67.0)</f>
        <v>67</v>
      </c>
      <c r="F5830" s="19" t="str">
        <f>IFERROR(__xludf.DUMMYFUNCTION("""COMPUTED_VALUE"""),"BLACK")</f>
        <v>BLACK</v>
      </c>
      <c r="G5830" s="20" t="str">
        <f>IFERROR(__xludf.DUMMYFUNCTION("""COMPUTED_VALUE"""),"Uncle Sams Cider (5/13/2022)")</f>
        <v>Uncle Sams Cider (5/13/2022)</v>
      </c>
      <c r="H5830" s="19"/>
    </row>
    <row r="5831">
      <c r="A5831" s="9"/>
      <c r="B5831" s="15"/>
      <c r="C5831" s="9">
        <f>IFERROR(__xludf.DUMMYFUNCTION("""COMPUTED_VALUE"""),44735.8369041319)</f>
        <v>44735.8369</v>
      </c>
      <c r="D5831" s="15">
        <f>IFERROR(__xludf.DUMMYFUNCTION("""COMPUTED_VALUE"""),1.005)</f>
        <v>1.005</v>
      </c>
      <c r="E5831" s="16">
        <f>IFERROR(__xludf.DUMMYFUNCTION("""COMPUTED_VALUE"""),67.0)</f>
        <v>67</v>
      </c>
      <c r="F5831" s="19" t="str">
        <f>IFERROR(__xludf.DUMMYFUNCTION("""COMPUTED_VALUE"""),"BLACK")</f>
        <v>BLACK</v>
      </c>
      <c r="G5831" s="20" t="str">
        <f>IFERROR(__xludf.DUMMYFUNCTION("""COMPUTED_VALUE"""),"Uncle Sams Cider (5/13/2022)")</f>
        <v>Uncle Sams Cider (5/13/2022)</v>
      </c>
      <c r="H5831" s="19"/>
    </row>
    <row r="5832">
      <c r="A5832" s="9"/>
      <c r="B5832" s="15"/>
      <c r="C5832" s="9">
        <f>IFERROR(__xludf.DUMMYFUNCTION("""COMPUTED_VALUE"""),44735.8264711111)</f>
        <v>44735.82647</v>
      </c>
      <c r="D5832" s="15">
        <f>IFERROR(__xludf.DUMMYFUNCTION("""COMPUTED_VALUE"""),1.005)</f>
        <v>1.005</v>
      </c>
      <c r="E5832" s="16">
        <f>IFERROR(__xludf.DUMMYFUNCTION("""COMPUTED_VALUE"""),67.0)</f>
        <v>67</v>
      </c>
      <c r="F5832" s="19" t="str">
        <f>IFERROR(__xludf.DUMMYFUNCTION("""COMPUTED_VALUE"""),"BLACK")</f>
        <v>BLACK</v>
      </c>
      <c r="G5832" s="20" t="str">
        <f>IFERROR(__xludf.DUMMYFUNCTION("""COMPUTED_VALUE"""),"Uncle Sams Cider (5/13/2022)")</f>
        <v>Uncle Sams Cider (5/13/2022)</v>
      </c>
      <c r="H5832" s="19"/>
    </row>
    <row r="5833">
      <c r="A5833" s="9"/>
      <c r="B5833" s="15"/>
      <c r="C5833" s="9">
        <f>IFERROR(__xludf.DUMMYFUNCTION("""COMPUTED_VALUE"""),44735.81605125)</f>
        <v>44735.81605</v>
      </c>
      <c r="D5833" s="15">
        <f>IFERROR(__xludf.DUMMYFUNCTION("""COMPUTED_VALUE"""),1.005)</f>
        <v>1.005</v>
      </c>
      <c r="E5833" s="16">
        <f>IFERROR(__xludf.DUMMYFUNCTION("""COMPUTED_VALUE"""),67.0)</f>
        <v>67</v>
      </c>
      <c r="F5833" s="19" t="str">
        <f>IFERROR(__xludf.DUMMYFUNCTION("""COMPUTED_VALUE"""),"BLACK")</f>
        <v>BLACK</v>
      </c>
      <c r="G5833" s="20" t="str">
        <f>IFERROR(__xludf.DUMMYFUNCTION("""COMPUTED_VALUE"""),"Uncle Sams Cider (5/13/2022)")</f>
        <v>Uncle Sams Cider (5/13/2022)</v>
      </c>
      <c r="H5833" s="19"/>
    </row>
    <row r="5834">
      <c r="A5834" s="9"/>
      <c r="B5834" s="15"/>
      <c r="C5834" s="9">
        <f>IFERROR(__xludf.DUMMYFUNCTION("""COMPUTED_VALUE"""),44735.8056299421)</f>
        <v>44735.80563</v>
      </c>
      <c r="D5834" s="15">
        <f>IFERROR(__xludf.DUMMYFUNCTION("""COMPUTED_VALUE"""),1.005)</f>
        <v>1.005</v>
      </c>
      <c r="E5834" s="16">
        <f>IFERROR(__xludf.DUMMYFUNCTION("""COMPUTED_VALUE"""),67.0)</f>
        <v>67</v>
      </c>
      <c r="F5834" s="19" t="str">
        <f>IFERROR(__xludf.DUMMYFUNCTION("""COMPUTED_VALUE"""),"BLACK")</f>
        <v>BLACK</v>
      </c>
      <c r="G5834" s="20" t="str">
        <f>IFERROR(__xludf.DUMMYFUNCTION("""COMPUTED_VALUE"""),"Uncle Sams Cider (5/13/2022)")</f>
        <v>Uncle Sams Cider (5/13/2022)</v>
      </c>
      <c r="H5834" s="19"/>
    </row>
    <row r="5835">
      <c r="A5835" s="9"/>
      <c r="B5835" s="15"/>
      <c r="C5835" s="9">
        <f>IFERROR(__xludf.DUMMYFUNCTION("""COMPUTED_VALUE"""),44735.7952078819)</f>
        <v>44735.79521</v>
      </c>
      <c r="D5835" s="15">
        <f>IFERROR(__xludf.DUMMYFUNCTION("""COMPUTED_VALUE"""),1.005)</f>
        <v>1.005</v>
      </c>
      <c r="E5835" s="16">
        <f>IFERROR(__xludf.DUMMYFUNCTION("""COMPUTED_VALUE"""),67.0)</f>
        <v>67</v>
      </c>
      <c r="F5835" s="19" t="str">
        <f>IFERROR(__xludf.DUMMYFUNCTION("""COMPUTED_VALUE"""),"BLACK")</f>
        <v>BLACK</v>
      </c>
      <c r="G5835" s="20" t="str">
        <f>IFERROR(__xludf.DUMMYFUNCTION("""COMPUTED_VALUE"""),"Uncle Sams Cider (5/13/2022)")</f>
        <v>Uncle Sams Cider (5/13/2022)</v>
      </c>
      <c r="H5835" s="19"/>
    </row>
    <row r="5836">
      <c r="A5836" s="9"/>
      <c r="B5836" s="15"/>
      <c r="C5836" s="9">
        <f>IFERROR(__xludf.DUMMYFUNCTION("""COMPUTED_VALUE"""),44735.7847851388)</f>
        <v>44735.78479</v>
      </c>
      <c r="D5836" s="15">
        <f>IFERROR(__xludf.DUMMYFUNCTION("""COMPUTED_VALUE"""),1.005)</f>
        <v>1.005</v>
      </c>
      <c r="E5836" s="16">
        <f>IFERROR(__xludf.DUMMYFUNCTION("""COMPUTED_VALUE"""),67.0)</f>
        <v>67</v>
      </c>
      <c r="F5836" s="19" t="str">
        <f>IFERROR(__xludf.DUMMYFUNCTION("""COMPUTED_VALUE"""),"BLACK")</f>
        <v>BLACK</v>
      </c>
      <c r="G5836" s="20" t="str">
        <f>IFERROR(__xludf.DUMMYFUNCTION("""COMPUTED_VALUE"""),"Uncle Sams Cider (5/13/2022)")</f>
        <v>Uncle Sams Cider (5/13/2022)</v>
      </c>
      <c r="H5836" s="19"/>
    </row>
    <row r="5837">
      <c r="A5837" s="9"/>
      <c r="B5837" s="15"/>
      <c r="C5837" s="9">
        <f>IFERROR(__xludf.DUMMYFUNCTION("""COMPUTED_VALUE"""),44735.774364618)</f>
        <v>44735.77436</v>
      </c>
      <c r="D5837" s="15">
        <f>IFERROR(__xludf.DUMMYFUNCTION("""COMPUTED_VALUE"""),1.005)</f>
        <v>1.005</v>
      </c>
      <c r="E5837" s="16">
        <f>IFERROR(__xludf.DUMMYFUNCTION("""COMPUTED_VALUE"""),67.0)</f>
        <v>67</v>
      </c>
      <c r="F5837" s="19" t="str">
        <f>IFERROR(__xludf.DUMMYFUNCTION("""COMPUTED_VALUE"""),"BLACK")</f>
        <v>BLACK</v>
      </c>
      <c r="G5837" s="20" t="str">
        <f>IFERROR(__xludf.DUMMYFUNCTION("""COMPUTED_VALUE"""),"Uncle Sams Cider (5/13/2022)")</f>
        <v>Uncle Sams Cider (5/13/2022)</v>
      </c>
      <c r="H5837" s="19"/>
    </row>
    <row r="5838">
      <c r="A5838" s="9"/>
      <c r="B5838" s="15"/>
      <c r="C5838" s="9">
        <f>IFERROR(__xludf.DUMMYFUNCTION("""COMPUTED_VALUE"""),44735.7639432407)</f>
        <v>44735.76394</v>
      </c>
      <c r="D5838" s="15">
        <f>IFERROR(__xludf.DUMMYFUNCTION("""COMPUTED_VALUE"""),1.005)</f>
        <v>1.005</v>
      </c>
      <c r="E5838" s="16">
        <f>IFERROR(__xludf.DUMMYFUNCTION("""COMPUTED_VALUE"""),67.0)</f>
        <v>67</v>
      </c>
      <c r="F5838" s="19" t="str">
        <f>IFERROR(__xludf.DUMMYFUNCTION("""COMPUTED_VALUE"""),"BLACK")</f>
        <v>BLACK</v>
      </c>
      <c r="G5838" s="20" t="str">
        <f>IFERROR(__xludf.DUMMYFUNCTION("""COMPUTED_VALUE"""),"Uncle Sams Cider (5/13/2022)")</f>
        <v>Uncle Sams Cider (5/13/2022)</v>
      </c>
      <c r="H5838" s="19"/>
    </row>
    <row r="5839">
      <c r="A5839" s="9"/>
      <c r="B5839" s="15"/>
      <c r="C5839" s="9">
        <f>IFERROR(__xludf.DUMMYFUNCTION("""COMPUTED_VALUE"""),44735.753521412)</f>
        <v>44735.75352</v>
      </c>
      <c r="D5839" s="15">
        <f>IFERROR(__xludf.DUMMYFUNCTION("""COMPUTED_VALUE"""),1.005)</f>
        <v>1.005</v>
      </c>
      <c r="E5839" s="16">
        <f>IFERROR(__xludf.DUMMYFUNCTION("""COMPUTED_VALUE"""),67.0)</f>
        <v>67</v>
      </c>
      <c r="F5839" s="19" t="str">
        <f>IFERROR(__xludf.DUMMYFUNCTION("""COMPUTED_VALUE"""),"BLACK")</f>
        <v>BLACK</v>
      </c>
      <c r="G5839" s="20" t="str">
        <f>IFERROR(__xludf.DUMMYFUNCTION("""COMPUTED_VALUE"""),"Uncle Sams Cider (5/13/2022)")</f>
        <v>Uncle Sams Cider (5/13/2022)</v>
      </c>
      <c r="H5839" s="19"/>
    </row>
    <row r="5840">
      <c r="A5840" s="9"/>
      <c r="B5840" s="15"/>
      <c r="C5840" s="9">
        <f>IFERROR(__xludf.DUMMYFUNCTION("""COMPUTED_VALUE"""),44735.7431008449)</f>
        <v>44735.7431</v>
      </c>
      <c r="D5840" s="15">
        <f>IFERROR(__xludf.DUMMYFUNCTION("""COMPUTED_VALUE"""),1.005)</f>
        <v>1.005</v>
      </c>
      <c r="E5840" s="16">
        <f>IFERROR(__xludf.DUMMYFUNCTION("""COMPUTED_VALUE"""),67.0)</f>
        <v>67</v>
      </c>
      <c r="F5840" s="19" t="str">
        <f>IFERROR(__xludf.DUMMYFUNCTION("""COMPUTED_VALUE"""),"BLACK")</f>
        <v>BLACK</v>
      </c>
      <c r="G5840" s="20" t="str">
        <f>IFERROR(__xludf.DUMMYFUNCTION("""COMPUTED_VALUE"""),"Uncle Sams Cider (5/13/2022)")</f>
        <v>Uncle Sams Cider (5/13/2022)</v>
      </c>
      <c r="H5840" s="19"/>
    </row>
    <row r="5841">
      <c r="A5841" s="9"/>
      <c r="B5841" s="15"/>
      <c r="C5841" s="9">
        <f>IFERROR(__xludf.DUMMYFUNCTION("""COMPUTED_VALUE"""),44735.7326797685)</f>
        <v>44735.73268</v>
      </c>
      <c r="D5841" s="15">
        <f>IFERROR(__xludf.DUMMYFUNCTION("""COMPUTED_VALUE"""),1.005)</f>
        <v>1.005</v>
      </c>
      <c r="E5841" s="16">
        <f>IFERROR(__xludf.DUMMYFUNCTION("""COMPUTED_VALUE"""),67.0)</f>
        <v>67</v>
      </c>
      <c r="F5841" s="19" t="str">
        <f>IFERROR(__xludf.DUMMYFUNCTION("""COMPUTED_VALUE"""),"BLACK")</f>
        <v>BLACK</v>
      </c>
      <c r="G5841" s="20" t="str">
        <f>IFERROR(__xludf.DUMMYFUNCTION("""COMPUTED_VALUE"""),"Uncle Sams Cider (5/13/2022)")</f>
        <v>Uncle Sams Cider (5/13/2022)</v>
      </c>
      <c r="H5841" s="19"/>
    </row>
    <row r="5842">
      <c r="A5842" s="9"/>
      <c r="B5842" s="15"/>
      <c r="C5842" s="9">
        <f>IFERROR(__xludf.DUMMYFUNCTION("""COMPUTED_VALUE"""),44735.7222587268)</f>
        <v>44735.72226</v>
      </c>
      <c r="D5842" s="15">
        <f>IFERROR(__xludf.DUMMYFUNCTION("""COMPUTED_VALUE"""),1.005)</f>
        <v>1.005</v>
      </c>
      <c r="E5842" s="16">
        <f>IFERROR(__xludf.DUMMYFUNCTION("""COMPUTED_VALUE"""),67.0)</f>
        <v>67</v>
      </c>
      <c r="F5842" s="19" t="str">
        <f>IFERROR(__xludf.DUMMYFUNCTION("""COMPUTED_VALUE"""),"BLACK")</f>
        <v>BLACK</v>
      </c>
      <c r="G5842" s="20" t="str">
        <f>IFERROR(__xludf.DUMMYFUNCTION("""COMPUTED_VALUE"""),"Uncle Sams Cider (5/13/2022)")</f>
        <v>Uncle Sams Cider (5/13/2022)</v>
      </c>
      <c r="H5842" s="19"/>
    </row>
    <row r="5843">
      <c r="A5843" s="9"/>
      <c r="B5843" s="15"/>
      <c r="C5843" s="9">
        <f>IFERROR(__xludf.DUMMYFUNCTION("""COMPUTED_VALUE"""),44735.7118245138)</f>
        <v>44735.71182</v>
      </c>
      <c r="D5843" s="15">
        <f>IFERROR(__xludf.DUMMYFUNCTION("""COMPUTED_VALUE"""),1.005)</f>
        <v>1.005</v>
      </c>
      <c r="E5843" s="16">
        <f>IFERROR(__xludf.DUMMYFUNCTION("""COMPUTED_VALUE"""),67.0)</f>
        <v>67</v>
      </c>
      <c r="F5843" s="19" t="str">
        <f>IFERROR(__xludf.DUMMYFUNCTION("""COMPUTED_VALUE"""),"BLACK")</f>
        <v>BLACK</v>
      </c>
      <c r="G5843" s="20" t="str">
        <f>IFERROR(__xludf.DUMMYFUNCTION("""COMPUTED_VALUE"""),"Uncle Sams Cider (5/13/2022)")</f>
        <v>Uncle Sams Cider (5/13/2022)</v>
      </c>
      <c r="H5843" s="19"/>
    </row>
    <row r="5844">
      <c r="A5844" s="9"/>
      <c r="B5844" s="15"/>
      <c r="C5844" s="9">
        <f>IFERROR(__xludf.DUMMYFUNCTION("""COMPUTED_VALUE"""),44735.7013927083)</f>
        <v>44735.70139</v>
      </c>
      <c r="D5844" s="15">
        <f>IFERROR(__xludf.DUMMYFUNCTION("""COMPUTED_VALUE"""),1.005)</f>
        <v>1.005</v>
      </c>
      <c r="E5844" s="16">
        <f>IFERROR(__xludf.DUMMYFUNCTION("""COMPUTED_VALUE"""),67.0)</f>
        <v>67</v>
      </c>
      <c r="F5844" s="19" t="str">
        <f>IFERROR(__xludf.DUMMYFUNCTION("""COMPUTED_VALUE"""),"BLACK")</f>
        <v>BLACK</v>
      </c>
      <c r="G5844" s="20" t="str">
        <f>IFERROR(__xludf.DUMMYFUNCTION("""COMPUTED_VALUE"""),"Uncle Sams Cider (5/13/2022)")</f>
        <v>Uncle Sams Cider (5/13/2022)</v>
      </c>
      <c r="H5844" s="19"/>
    </row>
    <row r="5845">
      <c r="A5845" s="9"/>
      <c r="B5845" s="15"/>
      <c r="C5845" s="9">
        <f>IFERROR(__xludf.DUMMYFUNCTION("""COMPUTED_VALUE"""),44735.6909709953)</f>
        <v>44735.69097</v>
      </c>
      <c r="D5845" s="15">
        <f>IFERROR(__xludf.DUMMYFUNCTION("""COMPUTED_VALUE"""),1.005)</f>
        <v>1.005</v>
      </c>
      <c r="E5845" s="16">
        <f>IFERROR(__xludf.DUMMYFUNCTION("""COMPUTED_VALUE"""),67.0)</f>
        <v>67</v>
      </c>
      <c r="F5845" s="19" t="str">
        <f>IFERROR(__xludf.DUMMYFUNCTION("""COMPUTED_VALUE"""),"BLACK")</f>
        <v>BLACK</v>
      </c>
      <c r="G5845" s="20" t="str">
        <f>IFERROR(__xludf.DUMMYFUNCTION("""COMPUTED_VALUE"""),"Uncle Sams Cider (5/13/2022)")</f>
        <v>Uncle Sams Cider (5/13/2022)</v>
      </c>
      <c r="H5845" s="19"/>
    </row>
    <row r="5846">
      <c r="A5846" s="9"/>
      <c r="B5846" s="15"/>
      <c r="C5846" s="9">
        <f>IFERROR(__xludf.DUMMYFUNCTION("""COMPUTED_VALUE"""),44735.6805477083)</f>
        <v>44735.68055</v>
      </c>
      <c r="D5846" s="15">
        <f>IFERROR(__xludf.DUMMYFUNCTION("""COMPUTED_VALUE"""),1.005)</f>
        <v>1.005</v>
      </c>
      <c r="E5846" s="16">
        <f>IFERROR(__xludf.DUMMYFUNCTION("""COMPUTED_VALUE"""),67.0)</f>
        <v>67</v>
      </c>
      <c r="F5846" s="19" t="str">
        <f>IFERROR(__xludf.DUMMYFUNCTION("""COMPUTED_VALUE"""),"BLACK")</f>
        <v>BLACK</v>
      </c>
      <c r="G5846" s="20" t="str">
        <f>IFERROR(__xludf.DUMMYFUNCTION("""COMPUTED_VALUE"""),"Uncle Sams Cider (5/13/2022)")</f>
        <v>Uncle Sams Cider (5/13/2022)</v>
      </c>
      <c r="H5846" s="19"/>
    </row>
    <row r="5847">
      <c r="A5847" s="9"/>
      <c r="B5847" s="15"/>
      <c r="C5847" s="9">
        <f>IFERROR(__xludf.DUMMYFUNCTION("""COMPUTED_VALUE"""),44735.6701142476)</f>
        <v>44735.67011</v>
      </c>
      <c r="D5847" s="15">
        <f>IFERROR(__xludf.DUMMYFUNCTION("""COMPUTED_VALUE"""),1.005)</f>
        <v>1.005</v>
      </c>
      <c r="E5847" s="16">
        <f>IFERROR(__xludf.DUMMYFUNCTION("""COMPUTED_VALUE"""),67.0)</f>
        <v>67</v>
      </c>
      <c r="F5847" s="19" t="str">
        <f>IFERROR(__xludf.DUMMYFUNCTION("""COMPUTED_VALUE"""),"BLACK")</f>
        <v>BLACK</v>
      </c>
      <c r="G5847" s="20" t="str">
        <f>IFERROR(__xludf.DUMMYFUNCTION("""COMPUTED_VALUE"""),"Uncle Sams Cider (5/13/2022)")</f>
        <v>Uncle Sams Cider (5/13/2022)</v>
      </c>
      <c r="H5847" s="19"/>
    </row>
    <row r="5848">
      <c r="A5848" s="9"/>
      <c r="B5848" s="15"/>
      <c r="C5848" s="9">
        <f>IFERROR(__xludf.DUMMYFUNCTION("""COMPUTED_VALUE"""),44735.6596928819)</f>
        <v>44735.65969</v>
      </c>
      <c r="D5848" s="15">
        <f>IFERROR(__xludf.DUMMYFUNCTION("""COMPUTED_VALUE"""),1.005)</f>
        <v>1.005</v>
      </c>
      <c r="E5848" s="16">
        <f>IFERROR(__xludf.DUMMYFUNCTION("""COMPUTED_VALUE"""),67.0)</f>
        <v>67</v>
      </c>
      <c r="F5848" s="19" t="str">
        <f>IFERROR(__xludf.DUMMYFUNCTION("""COMPUTED_VALUE"""),"BLACK")</f>
        <v>BLACK</v>
      </c>
      <c r="G5848" s="20" t="str">
        <f>IFERROR(__xludf.DUMMYFUNCTION("""COMPUTED_VALUE"""),"Uncle Sams Cider (5/13/2022)")</f>
        <v>Uncle Sams Cider (5/13/2022)</v>
      </c>
      <c r="H5848" s="19"/>
    </row>
    <row r="5849">
      <c r="A5849" s="9"/>
      <c r="B5849" s="15"/>
      <c r="C5849" s="9">
        <f>IFERROR(__xludf.DUMMYFUNCTION("""COMPUTED_VALUE"""),44735.6492597801)</f>
        <v>44735.64926</v>
      </c>
      <c r="D5849" s="15">
        <f>IFERROR(__xludf.DUMMYFUNCTION("""COMPUTED_VALUE"""),1.005)</f>
        <v>1.005</v>
      </c>
      <c r="E5849" s="16">
        <f>IFERROR(__xludf.DUMMYFUNCTION("""COMPUTED_VALUE"""),67.0)</f>
        <v>67</v>
      </c>
      <c r="F5849" s="19" t="str">
        <f>IFERROR(__xludf.DUMMYFUNCTION("""COMPUTED_VALUE"""),"BLACK")</f>
        <v>BLACK</v>
      </c>
      <c r="G5849" s="20" t="str">
        <f>IFERROR(__xludf.DUMMYFUNCTION("""COMPUTED_VALUE"""),"Uncle Sams Cider (5/13/2022)")</f>
        <v>Uncle Sams Cider (5/13/2022)</v>
      </c>
      <c r="H5849" s="19"/>
    </row>
    <row r="5850">
      <c r="A5850" s="9"/>
      <c r="B5850" s="15"/>
      <c r="C5850" s="9">
        <f>IFERROR(__xludf.DUMMYFUNCTION("""COMPUTED_VALUE"""),44735.6388382291)</f>
        <v>44735.63884</v>
      </c>
      <c r="D5850" s="15">
        <f>IFERROR(__xludf.DUMMYFUNCTION("""COMPUTED_VALUE"""),1.005)</f>
        <v>1.005</v>
      </c>
      <c r="E5850" s="16">
        <f>IFERROR(__xludf.DUMMYFUNCTION("""COMPUTED_VALUE"""),67.0)</f>
        <v>67</v>
      </c>
      <c r="F5850" s="19" t="str">
        <f>IFERROR(__xludf.DUMMYFUNCTION("""COMPUTED_VALUE"""),"BLACK")</f>
        <v>BLACK</v>
      </c>
      <c r="G5850" s="20" t="str">
        <f>IFERROR(__xludf.DUMMYFUNCTION("""COMPUTED_VALUE"""),"Uncle Sams Cider (5/13/2022)")</f>
        <v>Uncle Sams Cider (5/13/2022)</v>
      </c>
      <c r="H5850" s="19"/>
    </row>
    <row r="5851">
      <c r="A5851" s="9"/>
      <c r="B5851" s="15"/>
      <c r="C5851" s="9">
        <f>IFERROR(__xludf.DUMMYFUNCTION("""COMPUTED_VALUE"""),44735.6284179861)</f>
        <v>44735.62842</v>
      </c>
      <c r="D5851" s="15">
        <f>IFERROR(__xludf.DUMMYFUNCTION("""COMPUTED_VALUE"""),1.005)</f>
        <v>1.005</v>
      </c>
      <c r="E5851" s="16">
        <f>IFERROR(__xludf.DUMMYFUNCTION("""COMPUTED_VALUE"""),67.0)</f>
        <v>67</v>
      </c>
      <c r="F5851" s="19" t="str">
        <f>IFERROR(__xludf.DUMMYFUNCTION("""COMPUTED_VALUE"""),"BLACK")</f>
        <v>BLACK</v>
      </c>
      <c r="G5851" s="20" t="str">
        <f>IFERROR(__xludf.DUMMYFUNCTION("""COMPUTED_VALUE"""),"Uncle Sams Cider (5/13/2022)")</f>
        <v>Uncle Sams Cider (5/13/2022)</v>
      </c>
      <c r="H5851" s="19"/>
    </row>
    <row r="5852">
      <c r="A5852" s="9"/>
      <c r="B5852" s="15"/>
      <c r="C5852" s="9">
        <f>IFERROR(__xludf.DUMMYFUNCTION("""COMPUTED_VALUE"""),44735.6179969213)</f>
        <v>44735.618</v>
      </c>
      <c r="D5852" s="15">
        <f>IFERROR(__xludf.DUMMYFUNCTION("""COMPUTED_VALUE"""),1.005)</f>
        <v>1.005</v>
      </c>
      <c r="E5852" s="16">
        <f>IFERROR(__xludf.DUMMYFUNCTION("""COMPUTED_VALUE"""),67.0)</f>
        <v>67</v>
      </c>
      <c r="F5852" s="19" t="str">
        <f>IFERROR(__xludf.DUMMYFUNCTION("""COMPUTED_VALUE"""),"BLACK")</f>
        <v>BLACK</v>
      </c>
      <c r="G5852" s="20" t="str">
        <f>IFERROR(__xludf.DUMMYFUNCTION("""COMPUTED_VALUE"""),"Uncle Sams Cider (5/13/2022)")</f>
        <v>Uncle Sams Cider (5/13/2022)</v>
      </c>
      <c r="H5852" s="19"/>
    </row>
    <row r="5853">
      <c r="A5853" s="9"/>
      <c r="B5853" s="15"/>
      <c r="C5853" s="9">
        <f>IFERROR(__xludf.DUMMYFUNCTION("""COMPUTED_VALUE"""),44735.6075765393)</f>
        <v>44735.60758</v>
      </c>
      <c r="D5853" s="15">
        <f>IFERROR(__xludf.DUMMYFUNCTION("""COMPUTED_VALUE"""),1.005)</f>
        <v>1.005</v>
      </c>
      <c r="E5853" s="16">
        <f>IFERROR(__xludf.DUMMYFUNCTION("""COMPUTED_VALUE"""),67.0)</f>
        <v>67</v>
      </c>
      <c r="F5853" s="19" t="str">
        <f>IFERROR(__xludf.DUMMYFUNCTION("""COMPUTED_VALUE"""),"BLACK")</f>
        <v>BLACK</v>
      </c>
      <c r="G5853" s="20" t="str">
        <f>IFERROR(__xludf.DUMMYFUNCTION("""COMPUTED_VALUE"""),"Uncle Sams Cider (5/13/2022)")</f>
        <v>Uncle Sams Cider (5/13/2022)</v>
      </c>
      <c r="H5853" s="19"/>
    </row>
    <row r="5854">
      <c r="A5854" s="9"/>
      <c r="B5854" s="15"/>
      <c r="C5854" s="9">
        <f>IFERROR(__xludf.DUMMYFUNCTION("""COMPUTED_VALUE"""),44735.5971441551)</f>
        <v>44735.59714</v>
      </c>
      <c r="D5854" s="15">
        <f>IFERROR(__xludf.DUMMYFUNCTION("""COMPUTED_VALUE"""),1.005)</f>
        <v>1.005</v>
      </c>
      <c r="E5854" s="16">
        <f>IFERROR(__xludf.DUMMYFUNCTION("""COMPUTED_VALUE"""),67.0)</f>
        <v>67</v>
      </c>
      <c r="F5854" s="19" t="str">
        <f>IFERROR(__xludf.DUMMYFUNCTION("""COMPUTED_VALUE"""),"BLACK")</f>
        <v>BLACK</v>
      </c>
      <c r="G5854" s="20" t="str">
        <f>IFERROR(__xludf.DUMMYFUNCTION("""COMPUTED_VALUE"""),"Uncle Sams Cider (5/13/2022)")</f>
        <v>Uncle Sams Cider (5/13/2022)</v>
      </c>
      <c r="H5854" s="19"/>
    </row>
    <row r="5855">
      <c r="A5855" s="9"/>
      <c r="B5855" s="15"/>
      <c r="C5855" s="9">
        <f>IFERROR(__xludf.DUMMYFUNCTION("""COMPUTED_VALUE"""),44735.5867221643)</f>
        <v>44735.58672</v>
      </c>
      <c r="D5855" s="15">
        <f>IFERROR(__xludf.DUMMYFUNCTION("""COMPUTED_VALUE"""),1.005)</f>
        <v>1.005</v>
      </c>
      <c r="E5855" s="16">
        <f>IFERROR(__xludf.DUMMYFUNCTION("""COMPUTED_VALUE"""),67.0)</f>
        <v>67</v>
      </c>
      <c r="F5855" s="19" t="str">
        <f>IFERROR(__xludf.DUMMYFUNCTION("""COMPUTED_VALUE"""),"BLACK")</f>
        <v>BLACK</v>
      </c>
      <c r="G5855" s="20" t="str">
        <f>IFERROR(__xludf.DUMMYFUNCTION("""COMPUTED_VALUE"""),"Uncle Sams Cider (5/13/2022)")</f>
        <v>Uncle Sams Cider (5/13/2022)</v>
      </c>
      <c r="H5855" s="19"/>
    </row>
    <row r="5856">
      <c r="A5856" s="9"/>
      <c r="B5856" s="15"/>
      <c r="C5856" s="9">
        <f>IFERROR(__xludf.DUMMYFUNCTION("""COMPUTED_VALUE"""),44735.5763020717)</f>
        <v>44735.5763</v>
      </c>
      <c r="D5856" s="15">
        <f>IFERROR(__xludf.DUMMYFUNCTION("""COMPUTED_VALUE"""),1.005)</f>
        <v>1.005</v>
      </c>
      <c r="E5856" s="16">
        <f>IFERROR(__xludf.DUMMYFUNCTION("""COMPUTED_VALUE"""),67.0)</f>
        <v>67</v>
      </c>
      <c r="F5856" s="19" t="str">
        <f>IFERROR(__xludf.DUMMYFUNCTION("""COMPUTED_VALUE"""),"BLACK")</f>
        <v>BLACK</v>
      </c>
      <c r="G5856" s="20" t="str">
        <f>IFERROR(__xludf.DUMMYFUNCTION("""COMPUTED_VALUE"""),"Uncle Sams Cider (5/13/2022)")</f>
        <v>Uncle Sams Cider (5/13/2022)</v>
      </c>
      <c r="H5856" s="19"/>
    </row>
    <row r="5857">
      <c r="A5857" s="9"/>
      <c r="B5857" s="15"/>
      <c r="C5857" s="9">
        <f>IFERROR(__xludf.DUMMYFUNCTION("""COMPUTED_VALUE"""),44735.5658793865)</f>
        <v>44735.56588</v>
      </c>
      <c r="D5857" s="15">
        <f>IFERROR(__xludf.DUMMYFUNCTION("""COMPUTED_VALUE"""),1.005)</f>
        <v>1.005</v>
      </c>
      <c r="E5857" s="16">
        <f>IFERROR(__xludf.DUMMYFUNCTION("""COMPUTED_VALUE"""),67.0)</f>
        <v>67</v>
      </c>
      <c r="F5857" s="19" t="str">
        <f>IFERROR(__xludf.DUMMYFUNCTION("""COMPUTED_VALUE"""),"BLACK")</f>
        <v>BLACK</v>
      </c>
      <c r="G5857" s="20" t="str">
        <f>IFERROR(__xludf.DUMMYFUNCTION("""COMPUTED_VALUE"""),"Uncle Sams Cider (5/13/2022)")</f>
        <v>Uncle Sams Cider (5/13/2022)</v>
      </c>
      <c r="H5857" s="19"/>
    </row>
    <row r="5858">
      <c r="A5858" s="9"/>
      <c r="B5858" s="15"/>
      <c r="C5858" s="9">
        <f>IFERROR(__xludf.DUMMYFUNCTION("""COMPUTED_VALUE"""),44735.5554580787)</f>
        <v>44735.55546</v>
      </c>
      <c r="D5858" s="15">
        <f>IFERROR(__xludf.DUMMYFUNCTION("""COMPUTED_VALUE"""),1.005)</f>
        <v>1.005</v>
      </c>
      <c r="E5858" s="16">
        <f>IFERROR(__xludf.DUMMYFUNCTION("""COMPUTED_VALUE"""),67.0)</f>
        <v>67</v>
      </c>
      <c r="F5858" s="19" t="str">
        <f>IFERROR(__xludf.DUMMYFUNCTION("""COMPUTED_VALUE"""),"BLACK")</f>
        <v>BLACK</v>
      </c>
      <c r="G5858" s="20" t="str">
        <f>IFERROR(__xludf.DUMMYFUNCTION("""COMPUTED_VALUE"""),"Uncle Sams Cider (5/13/2022)")</f>
        <v>Uncle Sams Cider (5/13/2022)</v>
      </c>
      <c r="H5858" s="19"/>
    </row>
    <row r="5859">
      <c r="A5859" s="9"/>
      <c r="B5859" s="15"/>
      <c r="C5859" s="9">
        <f>IFERROR(__xludf.DUMMYFUNCTION("""COMPUTED_VALUE"""),44735.5450360995)</f>
        <v>44735.54504</v>
      </c>
      <c r="D5859" s="15">
        <f>IFERROR(__xludf.DUMMYFUNCTION("""COMPUTED_VALUE"""),1.005)</f>
        <v>1.005</v>
      </c>
      <c r="E5859" s="16">
        <f>IFERROR(__xludf.DUMMYFUNCTION("""COMPUTED_VALUE"""),67.0)</f>
        <v>67</v>
      </c>
      <c r="F5859" s="19" t="str">
        <f>IFERROR(__xludf.DUMMYFUNCTION("""COMPUTED_VALUE"""),"BLACK")</f>
        <v>BLACK</v>
      </c>
      <c r="G5859" s="20" t="str">
        <f>IFERROR(__xludf.DUMMYFUNCTION("""COMPUTED_VALUE"""),"Uncle Sams Cider (5/13/2022)")</f>
        <v>Uncle Sams Cider (5/13/2022)</v>
      </c>
      <c r="H5859" s="19"/>
    </row>
    <row r="5860">
      <c r="A5860" s="9"/>
      <c r="B5860" s="15"/>
      <c r="C5860" s="9">
        <f>IFERROR(__xludf.DUMMYFUNCTION("""COMPUTED_VALUE"""),44735.5346021296)</f>
        <v>44735.5346</v>
      </c>
      <c r="D5860" s="15">
        <f>IFERROR(__xludf.DUMMYFUNCTION("""COMPUTED_VALUE"""),1.005)</f>
        <v>1.005</v>
      </c>
      <c r="E5860" s="16">
        <f>IFERROR(__xludf.DUMMYFUNCTION("""COMPUTED_VALUE"""),67.0)</f>
        <v>67</v>
      </c>
      <c r="F5860" s="19" t="str">
        <f>IFERROR(__xludf.DUMMYFUNCTION("""COMPUTED_VALUE"""),"BLACK")</f>
        <v>BLACK</v>
      </c>
      <c r="G5860" s="20" t="str">
        <f>IFERROR(__xludf.DUMMYFUNCTION("""COMPUTED_VALUE"""),"Uncle Sams Cider (5/13/2022)")</f>
        <v>Uncle Sams Cider (5/13/2022)</v>
      </c>
      <c r="H5860" s="19"/>
    </row>
    <row r="5861">
      <c r="A5861" s="9"/>
      <c r="B5861" s="15"/>
      <c r="C5861" s="9">
        <f>IFERROR(__xludf.DUMMYFUNCTION("""COMPUTED_VALUE"""),44735.5137358217)</f>
        <v>44735.51374</v>
      </c>
      <c r="D5861" s="15">
        <f>IFERROR(__xludf.DUMMYFUNCTION("""COMPUTED_VALUE"""),1.005)</f>
        <v>1.005</v>
      </c>
      <c r="E5861" s="16">
        <f>IFERROR(__xludf.DUMMYFUNCTION("""COMPUTED_VALUE"""),67.0)</f>
        <v>67</v>
      </c>
      <c r="F5861" s="19" t="str">
        <f>IFERROR(__xludf.DUMMYFUNCTION("""COMPUTED_VALUE"""),"BLACK")</f>
        <v>BLACK</v>
      </c>
      <c r="G5861" s="20" t="str">
        <f>IFERROR(__xludf.DUMMYFUNCTION("""COMPUTED_VALUE"""),"Uncle Sams Cider (5/13/2022)")</f>
        <v>Uncle Sams Cider (5/13/2022)</v>
      </c>
      <c r="H5861" s="19"/>
    </row>
    <row r="5862">
      <c r="A5862" s="9"/>
      <c r="B5862" s="15"/>
      <c r="C5862" s="9">
        <f>IFERROR(__xludf.DUMMYFUNCTION("""COMPUTED_VALUE"""),44735.503312905)</f>
        <v>44735.50331</v>
      </c>
      <c r="D5862" s="15">
        <f>IFERROR(__xludf.DUMMYFUNCTION("""COMPUTED_VALUE"""),1.005)</f>
        <v>1.005</v>
      </c>
      <c r="E5862" s="16">
        <f>IFERROR(__xludf.DUMMYFUNCTION("""COMPUTED_VALUE"""),67.0)</f>
        <v>67</v>
      </c>
      <c r="F5862" s="19" t="str">
        <f>IFERROR(__xludf.DUMMYFUNCTION("""COMPUTED_VALUE"""),"BLACK")</f>
        <v>BLACK</v>
      </c>
      <c r="G5862" s="20" t="str">
        <f>IFERROR(__xludf.DUMMYFUNCTION("""COMPUTED_VALUE"""),"Uncle Sams Cider (5/13/2022)")</f>
        <v>Uncle Sams Cider (5/13/2022)</v>
      </c>
      <c r="H5862" s="19"/>
    </row>
    <row r="5863">
      <c r="A5863" s="9"/>
      <c r="B5863" s="15"/>
      <c r="C5863" s="9">
        <f>IFERROR(__xludf.DUMMYFUNCTION("""COMPUTED_VALUE"""),44735.4928885879)</f>
        <v>44735.49289</v>
      </c>
      <c r="D5863" s="15">
        <f>IFERROR(__xludf.DUMMYFUNCTION("""COMPUTED_VALUE"""),1.005)</f>
        <v>1.005</v>
      </c>
      <c r="E5863" s="16">
        <f>IFERROR(__xludf.DUMMYFUNCTION("""COMPUTED_VALUE"""),67.0)</f>
        <v>67</v>
      </c>
      <c r="F5863" s="19" t="str">
        <f>IFERROR(__xludf.DUMMYFUNCTION("""COMPUTED_VALUE"""),"BLACK")</f>
        <v>BLACK</v>
      </c>
      <c r="G5863" s="20" t="str">
        <f>IFERROR(__xludf.DUMMYFUNCTION("""COMPUTED_VALUE"""),"Uncle Sams Cider (5/13/2022)")</f>
        <v>Uncle Sams Cider (5/13/2022)</v>
      </c>
      <c r="H5863" s="19"/>
    </row>
    <row r="5864">
      <c r="A5864" s="9"/>
      <c r="B5864" s="15"/>
      <c r="C5864" s="9">
        <f>IFERROR(__xludf.DUMMYFUNCTION("""COMPUTED_VALUE"""),44735.4824692824)</f>
        <v>44735.48247</v>
      </c>
      <c r="D5864" s="15">
        <f>IFERROR(__xludf.DUMMYFUNCTION("""COMPUTED_VALUE"""),1.005)</f>
        <v>1.005</v>
      </c>
      <c r="E5864" s="16">
        <f>IFERROR(__xludf.DUMMYFUNCTION("""COMPUTED_VALUE"""),67.0)</f>
        <v>67</v>
      </c>
      <c r="F5864" s="19" t="str">
        <f>IFERROR(__xludf.DUMMYFUNCTION("""COMPUTED_VALUE"""),"BLACK")</f>
        <v>BLACK</v>
      </c>
      <c r="G5864" s="20" t="str">
        <f>IFERROR(__xludf.DUMMYFUNCTION("""COMPUTED_VALUE"""),"Uncle Sams Cider (5/13/2022)")</f>
        <v>Uncle Sams Cider (5/13/2022)</v>
      </c>
      <c r="H5864" s="19"/>
    </row>
    <row r="5865">
      <c r="A5865" s="9"/>
      <c r="B5865" s="15"/>
      <c r="C5865" s="9">
        <f>IFERROR(__xludf.DUMMYFUNCTION("""COMPUTED_VALUE"""),44735.4720481018)</f>
        <v>44735.47205</v>
      </c>
      <c r="D5865" s="15">
        <f>IFERROR(__xludf.DUMMYFUNCTION("""COMPUTED_VALUE"""),1.005)</f>
        <v>1.005</v>
      </c>
      <c r="E5865" s="16">
        <f>IFERROR(__xludf.DUMMYFUNCTION("""COMPUTED_VALUE"""),67.0)</f>
        <v>67</v>
      </c>
      <c r="F5865" s="19" t="str">
        <f>IFERROR(__xludf.DUMMYFUNCTION("""COMPUTED_VALUE"""),"BLACK")</f>
        <v>BLACK</v>
      </c>
      <c r="G5865" s="20" t="str">
        <f>IFERROR(__xludf.DUMMYFUNCTION("""COMPUTED_VALUE"""),"Uncle Sams Cider (5/13/2022)")</f>
        <v>Uncle Sams Cider (5/13/2022)</v>
      </c>
      <c r="H5865" s="19"/>
    </row>
    <row r="5866">
      <c r="A5866" s="9"/>
      <c r="B5866" s="15"/>
      <c r="C5866" s="9">
        <f>IFERROR(__xludf.DUMMYFUNCTION("""COMPUTED_VALUE"""),44735.4616275926)</f>
        <v>44735.46163</v>
      </c>
      <c r="D5866" s="15">
        <f>IFERROR(__xludf.DUMMYFUNCTION("""COMPUTED_VALUE"""),1.005)</f>
        <v>1.005</v>
      </c>
      <c r="E5866" s="16">
        <f>IFERROR(__xludf.DUMMYFUNCTION("""COMPUTED_VALUE"""),67.0)</f>
        <v>67</v>
      </c>
      <c r="F5866" s="19" t="str">
        <f>IFERROR(__xludf.DUMMYFUNCTION("""COMPUTED_VALUE"""),"BLACK")</f>
        <v>BLACK</v>
      </c>
      <c r="G5866" s="20" t="str">
        <f>IFERROR(__xludf.DUMMYFUNCTION("""COMPUTED_VALUE"""),"Uncle Sams Cider (5/13/2022)")</f>
        <v>Uncle Sams Cider (5/13/2022)</v>
      </c>
      <c r="H5866" s="19"/>
    </row>
    <row r="5867">
      <c r="A5867" s="9"/>
      <c r="B5867" s="15"/>
      <c r="C5867" s="9">
        <f>IFERROR(__xludf.DUMMYFUNCTION("""COMPUTED_VALUE"""),44735.4512061342)</f>
        <v>44735.45121</v>
      </c>
      <c r="D5867" s="15">
        <f>IFERROR(__xludf.DUMMYFUNCTION("""COMPUTED_VALUE"""),1.005)</f>
        <v>1.005</v>
      </c>
      <c r="E5867" s="16">
        <f>IFERROR(__xludf.DUMMYFUNCTION("""COMPUTED_VALUE"""),67.0)</f>
        <v>67</v>
      </c>
      <c r="F5867" s="19" t="str">
        <f>IFERROR(__xludf.DUMMYFUNCTION("""COMPUTED_VALUE"""),"BLACK")</f>
        <v>BLACK</v>
      </c>
      <c r="G5867" s="20" t="str">
        <f>IFERROR(__xludf.DUMMYFUNCTION("""COMPUTED_VALUE"""),"Uncle Sams Cider (5/13/2022)")</f>
        <v>Uncle Sams Cider (5/13/2022)</v>
      </c>
      <c r="H5867" s="19"/>
    </row>
    <row r="5868">
      <c r="A5868" s="9"/>
      <c r="B5868" s="15"/>
      <c r="C5868" s="9">
        <f>IFERROR(__xludf.DUMMYFUNCTION("""COMPUTED_VALUE"""),44735.4407843518)</f>
        <v>44735.44078</v>
      </c>
      <c r="D5868" s="15">
        <f>IFERROR(__xludf.DUMMYFUNCTION("""COMPUTED_VALUE"""),1.005)</f>
        <v>1.005</v>
      </c>
      <c r="E5868" s="16">
        <f>IFERROR(__xludf.DUMMYFUNCTION("""COMPUTED_VALUE"""),67.0)</f>
        <v>67</v>
      </c>
      <c r="F5868" s="19" t="str">
        <f>IFERROR(__xludf.DUMMYFUNCTION("""COMPUTED_VALUE"""),"BLACK")</f>
        <v>BLACK</v>
      </c>
      <c r="G5868" s="20" t="str">
        <f>IFERROR(__xludf.DUMMYFUNCTION("""COMPUTED_VALUE"""),"Uncle Sams Cider (5/13/2022)")</f>
        <v>Uncle Sams Cider (5/13/2022)</v>
      </c>
      <c r="H5868" s="19"/>
    </row>
    <row r="5869">
      <c r="A5869" s="9"/>
      <c r="B5869" s="15"/>
      <c r="C5869" s="9">
        <f>IFERROR(__xludf.DUMMYFUNCTION("""COMPUTED_VALUE"""),44735.4303639467)</f>
        <v>44735.43036</v>
      </c>
      <c r="D5869" s="15">
        <f>IFERROR(__xludf.DUMMYFUNCTION("""COMPUTED_VALUE"""),1.005)</f>
        <v>1.005</v>
      </c>
      <c r="E5869" s="16">
        <f>IFERROR(__xludf.DUMMYFUNCTION("""COMPUTED_VALUE"""),67.0)</f>
        <v>67</v>
      </c>
      <c r="F5869" s="19" t="str">
        <f>IFERROR(__xludf.DUMMYFUNCTION("""COMPUTED_VALUE"""),"BLACK")</f>
        <v>BLACK</v>
      </c>
      <c r="G5869" s="20" t="str">
        <f>IFERROR(__xludf.DUMMYFUNCTION("""COMPUTED_VALUE"""),"Uncle Sams Cider (5/13/2022)")</f>
        <v>Uncle Sams Cider (5/13/2022)</v>
      </c>
      <c r="H5869" s="19"/>
    </row>
    <row r="5870">
      <c r="A5870" s="9"/>
      <c r="B5870" s="15"/>
      <c r="C5870" s="9">
        <f>IFERROR(__xludf.DUMMYFUNCTION("""COMPUTED_VALUE"""),44735.4199443055)</f>
        <v>44735.41994</v>
      </c>
      <c r="D5870" s="15">
        <f>IFERROR(__xludf.DUMMYFUNCTION("""COMPUTED_VALUE"""),1.005)</f>
        <v>1.005</v>
      </c>
      <c r="E5870" s="16">
        <f>IFERROR(__xludf.DUMMYFUNCTION("""COMPUTED_VALUE"""),67.0)</f>
        <v>67</v>
      </c>
      <c r="F5870" s="19" t="str">
        <f>IFERROR(__xludf.DUMMYFUNCTION("""COMPUTED_VALUE"""),"BLACK")</f>
        <v>BLACK</v>
      </c>
      <c r="G5870" s="20" t="str">
        <f>IFERROR(__xludf.DUMMYFUNCTION("""COMPUTED_VALUE"""),"Uncle Sams Cider (5/13/2022)")</f>
        <v>Uncle Sams Cider (5/13/2022)</v>
      </c>
      <c r="H5870" s="19"/>
    </row>
    <row r="5871">
      <c r="A5871" s="9"/>
      <c r="B5871" s="15"/>
      <c r="C5871" s="9">
        <f>IFERROR(__xludf.DUMMYFUNCTION("""COMPUTED_VALUE"""),44735.4095233449)</f>
        <v>44735.40952</v>
      </c>
      <c r="D5871" s="15">
        <f>IFERROR(__xludf.DUMMYFUNCTION("""COMPUTED_VALUE"""),1.005)</f>
        <v>1.005</v>
      </c>
      <c r="E5871" s="16">
        <f>IFERROR(__xludf.DUMMYFUNCTION("""COMPUTED_VALUE"""),67.0)</f>
        <v>67</v>
      </c>
      <c r="F5871" s="19" t="str">
        <f>IFERROR(__xludf.DUMMYFUNCTION("""COMPUTED_VALUE"""),"BLACK")</f>
        <v>BLACK</v>
      </c>
      <c r="G5871" s="20" t="str">
        <f>IFERROR(__xludf.DUMMYFUNCTION("""COMPUTED_VALUE"""),"Uncle Sams Cider (5/13/2022)")</f>
        <v>Uncle Sams Cider (5/13/2022)</v>
      </c>
      <c r="H5871" s="19"/>
    </row>
    <row r="5872">
      <c r="A5872" s="9"/>
      <c r="B5872" s="15"/>
      <c r="C5872" s="9">
        <f>IFERROR(__xludf.DUMMYFUNCTION("""COMPUTED_VALUE"""),44735.3991026157)</f>
        <v>44735.3991</v>
      </c>
      <c r="D5872" s="15">
        <f>IFERROR(__xludf.DUMMYFUNCTION("""COMPUTED_VALUE"""),1.005)</f>
        <v>1.005</v>
      </c>
      <c r="E5872" s="16">
        <f>IFERROR(__xludf.DUMMYFUNCTION("""COMPUTED_VALUE"""),67.0)</f>
        <v>67</v>
      </c>
      <c r="F5872" s="19" t="str">
        <f>IFERROR(__xludf.DUMMYFUNCTION("""COMPUTED_VALUE"""),"BLACK")</f>
        <v>BLACK</v>
      </c>
      <c r="G5872" s="20" t="str">
        <f>IFERROR(__xludf.DUMMYFUNCTION("""COMPUTED_VALUE"""),"Uncle Sams Cider (5/13/2022)")</f>
        <v>Uncle Sams Cider (5/13/2022)</v>
      </c>
      <c r="H5872" s="19"/>
    </row>
    <row r="5873">
      <c r="A5873" s="9"/>
      <c r="B5873" s="15"/>
      <c r="C5873" s="9">
        <f>IFERROR(__xludf.DUMMYFUNCTION("""COMPUTED_VALUE"""),44735.3886816898)</f>
        <v>44735.38868</v>
      </c>
      <c r="D5873" s="15">
        <f>IFERROR(__xludf.DUMMYFUNCTION("""COMPUTED_VALUE"""),1.005)</f>
        <v>1.005</v>
      </c>
      <c r="E5873" s="16">
        <f>IFERROR(__xludf.DUMMYFUNCTION("""COMPUTED_VALUE"""),66.0)</f>
        <v>66</v>
      </c>
      <c r="F5873" s="19" t="str">
        <f>IFERROR(__xludf.DUMMYFUNCTION("""COMPUTED_VALUE"""),"BLACK")</f>
        <v>BLACK</v>
      </c>
      <c r="G5873" s="20" t="str">
        <f>IFERROR(__xludf.DUMMYFUNCTION("""COMPUTED_VALUE"""),"Uncle Sams Cider (5/13/2022)")</f>
        <v>Uncle Sams Cider (5/13/2022)</v>
      </c>
      <c r="H5873" s="19"/>
    </row>
    <row r="5874">
      <c r="A5874" s="9"/>
      <c r="B5874" s="15"/>
      <c r="C5874" s="9">
        <f>IFERROR(__xludf.DUMMYFUNCTION("""COMPUTED_VALUE"""),44735.3782498958)</f>
        <v>44735.37825</v>
      </c>
      <c r="D5874" s="15">
        <f>IFERROR(__xludf.DUMMYFUNCTION("""COMPUTED_VALUE"""),1.005)</f>
        <v>1.005</v>
      </c>
      <c r="E5874" s="16">
        <f>IFERROR(__xludf.DUMMYFUNCTION("""COMPUTED_VALUE"""),66.0)</f>
        <v>66</v>
      </c>
      <c r="F5874" s="19" t="str">
        <f>IFERROR(__xludf.DUMMYFUNCTION("""COMPUTED_VALUE"""),"BLACK")</f>
        <v>BLACK</v>
      </c>
      <c r="G5874" s="20" t="str">
        <f>IFERROR(__xludf.DUMMYFUNCTION("""COMPUTED_VALUE"""),"Uncle Sams Cider (5/13/2022)")</f>
        <v>Uncle Sams Cider (5/13/2022)</v>
      </c>
      <c r="H5874" s="19"/>
    </row>
    <row r="5875">
      <c r="A5875" s="9"/>
      <c r="B5875" s="15"/>
      <c r="C5875" s="9">
        <f>IFERROR(__xludf.DUMMYFUNCTION("""COMPUTED_VALUE"""),44735.3678068865)</f>
        <v>44735.36781</v>
      </c>
      <c r="D5875" s="15">
        <f>IFERROR(__xludf.DUMMYFUNCTION("""COMPUTED_VALUE"""),1.005)</f>
        <v>1.005</v>
      </c>
      <c r="E5875" s="16">
        <f>IFERROR(__xludf.DUMMYFUNCTION("""COMPUTED_VALUE"""),66.0)</f>
        <v>66</v>
      </c>
      <c r="F5875" s="19" t="str">
        <f>IFERROR(__xludf.DUMMYFUNCTION("""COMPUTED_VALUE"""),"BLACK")</f>
        <v>BLACK</v>
      </c>
      <c r="G5875" s="20" t="str">
        <f>IFERROR(__xludf.DUMMYFUNCTION("""COMPUTED_VALUE"""),"Uncle Sams Cider (5/13/2022)")</f>
        <v>Uncle Sams Cider (5/13/2022)</v>
      </c>
      <c r="H5875" s="19"/>
    </row>
    <row r="5876">
      <c r="A5876" s="9"/>
      <c r="B5876" s="15"/>
      <c r="C5876" s="9">
        <f>IFERROR(__xludf.DUMMYFUNCTION("""COMPUTED_VALUE"""),44735.3573860301)</f>
        <v>44735.35739</v>
      </c>
      <c r="D5876" s="15">
        <f>IFERROR(__xludf.DUMMYFUNCTION("""COMPUTED_VALUE"""),1.005)</f>
        <v>1.005</v>
      </c>
      <c r="E5876" s="16">
        <f>IFERROR(__xludf.DUMMYFUNCTION("""COMPUTED_VALUE"""),66.0)</f>
        <v>66</v>
      </c>
      <c r="F5876" s="19" t="str">
        <f>IFERROR(__xludf.DUMMYFUNCTION("""COMPUTED_VALUE"""),"BLACK")</f>
        <v>BLACK</v>
      </c>
      <c r="G5876" s="20" t="str">
        <f>IFERROR(__xludf.DUMMYFUNCTION("""COMPUTED_VALUE"""),"Uncle Sams Cider (5/13/2022)")</f>
        <v>Uncle Sams Cider (5/13/2022)</v>
      </c>
      <c r="H5876" s="19"/>
    </row>
    <row r="5877">
      <c r="A5877" s="9"/>
      <c r="B5877" s="15"/>
      <c r="C5877" s="9">
        <f>IFERROR(__xludf.DUMMYFUNCTION("""COMPUTED_VALUE"""),44735.3469647453)</f>
        <v>44735.34696</v>
      </c>
      <c r="D5877" s="15">
        <f>IFERROR(__xludf.DUMMYFUNCTION("""COMPUTED_VALUE"""),1.005)</f>
        <v>1.005</v>
      </c>
      <c r="E5877" s="16">
        <f>IFERROR(__xludf.DUMMYFUNCTION("""COMPUTED_VALUE"""),66.0)</f>
        <v>66</v>
      </c>
      <c r="F5877" s="19" t="str">
        <f>IFERROR(__xludf.DUMMYFUNCTION("""COMPUTED_VALUE"""),"BLACK")</f>
        <v>BLACK</v>
      </c>
      <c r="G5877" s="20" t="str">
        <f>IFERROR(__xludf.DUMMYFUNCTION("""COMPUTED_VALUE"""),"Uncle Sams Cider (5/13/2022)")</f>
        <v>Uncle Sams Cider (5/13/2022)</v>
      </c>
      <c r="H5877" s="19"/>
    </row>
    <row r="5878">
      <c r="A5878" s="9"/>
      <c r="B5878" s="15"/>
      <c r="C5878" s="9">
        <f>IFERROR(__xludf.DUMMYFUNCTION("""COMPUTED_VALUE"""),44735.3365420833)</f>
        <v>44735.33654</v>
      </c>
      <c r="D5878" s="15">
        <f>IFERROR(__xludf.DUMMYFUNCTION("""COMPUTED_VALUE"""),1.005)</f>
        <v>1.005</v>
      </c>
      <c r="E5878" s="16">
        <f>IFERROR(__xludf.DUMMYFUNCTION("""COMPUTED_VALUE"""),66.0)</f>
        <v>66</v>
      </c>
      <c r="F5878" s="19" t="str">
        <f>IFERROR(__xludf.DUMMYFUNCTION("""COMPUTED_VALUE"""),"BLACK")</f>
        <v>BLACK</v>
      </c>
      <c r="G5878" s="20" t="str">
        <f>IFERROR(__xludf.DUMMYFUNCTION("""COMPUTED_VALUE"""),"Uncle Sams Cider (5/13/2022)")</f>
        <v>Uncle Sams Cider (5/13/2022)</v>
      </c>
      <c r="H5878" s="19"/>
    </row>
    <row r="5879">
      <c r="A5879" s="9"/>
      <c r="B5879" s="15"/>
      <c r="C5879" s="9">
        <f>IFERROR(__xludf.DUMMYFUNCTION("""COMPUTED_VALUE"""),44735.3261214351)</f>
        <v>44735.32612</v>
      </c>
      <c r="D5879" s="15">
        <f>IFERROR(__xludf.DUMMYFUNCTION("""COMPUTED_VALUE"""),1.005)</f>
        <v>1.005</v>
      </c>
      <c r="E5879" s="16">
        <f>IFERROR(__xludf.DUMMYFUNCTION("""COMPUTED_VALUE"""),66.0)</f>
        <v>66</v>
      </c>
      <c r="F5879" s="19" t="str">
        <f>IFERROR(__xludf.DUMMYFUNCTION("""COMPUTED_VALUE"""),"BLACK")</f>
        <v>BLACK</v>
      </c>
      <c r="G5879" s="20" t="str">
        <f>IFERROR(__xludf.DUMMYFUNCTION("""COMPUTED_VALUE"""),"Uncle Sams Cider (5/13/2022)")</f>
        <v>Uncle Sams Cider (5/13/2022)</v>
      </c>
      <c r="H5879" s="19"/>
    </row>
    <row r="5880">
      <c r="A5880" s="9"/>
      <c r="B5880" s="15"/>
      <c r="C5880" s="9">
        <f>IFERROR(__xludf.DUMMYFUNCTION("""COMPUTED_VALUE"""),44735.3156910995)</f>
        <v>44735.31569</v>
      </c>
      <c r="D5880" s="15">
        <f>IFERROR(__xludf.DUMMYFUNCTION("""COMPUTED_VALUE"""),1.005)</f>
        <v>1.005</v>
      </c>
      <c r="E5880" s="16">
        <f>IFERROR(__xludf.DUMMYFUNCTION("""COMPUTED_VALUE"""),66.0)</f>
        <v>66</v>
      </c>
      <c r="F5880" s="19" t="str">
        <f>IFERROR(__xludf.DUMMYFUNCTION("""COMPUTED_VALUE"""),"BLACK")</f>
        <v>BLACK</v>
      </c>
      <c r="G5880" s="20" t="str">
        <f>IFERROR(__xludf.DUMMYFUNCTION("""COMPUTED_VALUE"""),"Uncle Sams Cider (5/13/2022)")</f>
        <v>Uncle Sams Cider (5/13/2022)</v>
      </c>
      <c r="H5880" s="19"/>
    </row>
    <row r="5881">
      <c r="A5881" s="9"/>
      <c r="B5881" s="15"/>
      <c r="C5881" s="9">
        <f>IFERROR(__xludf.DUMMYFUNCTION("""COMPUTED_VALUE"""),44735.3052706597)</f>
        <v>44735.30527</v>
      </c>
      <c r="D5881" s="15">
        <f>IFERROR(__xludf.DUMMYFUNCTION("""COMPUTED_VALUE"""),1.005)</f>
        <v>1.005</v>
      </c>
      <c r="E5881" s="16">
        <f>IFERROR(__xludf.DUMMYFUNCTION("""COMPUTED_VALUE"""),66.0)</f>
        <v>66</v>
      </c>
      <c r="F5881" s="19" t="str">
        <f>IFERROR(__xludf.DUMMYFUNCTION("""COMPUTED_VALUE"""),"BLACK")</f>
        <v>BLACK</v>
      </c>
      <c r="G5881" s="20" t="str">
        <f>IFERROR(__xludf.DUMMYFUNCTION("""COMPUTED_VALUE"""),"Uncle Sams Cider (5/13/2022)")</f>
        <v>Uncle Sams Cider (5/13/2022)</v>
      </c>
      <c r="H5881" s="19"/>
    </row>
    <row r="5882">
      <c r="A5882" s="9"/>
      <c r="B5882" s="15"/>
      <c r="C5882" s="9">
        <f>IFERROR(__xludf.DUMMYFUNCTION("""COMPUTED_VALUE"""),44735.2948394212)</f>
        <v>44735.29484</v>
      </c>
      <c r="D5882" s="15">
        <f>IFERROR(__xludf.DUMMYFUNCTION("""COMPUTED_VALUE"""),1.005)</f>
        <v>1.005</v>
      </c>
      <c r="E5882" s="16">
        <f>IFERROR(__xludf.DUMMYFUNCTION("""COMPUTED_VALUE"""),66.0)</f>
        <v>66</v>
      </c>
      <c r="F5882" s="19" t="str">
        <f>IFERROR(__xludf.DUMMYFUNCTION("""COMPUTED_VALUE"""),"BLACK")</f>
        <v>BLACK</v>
      </c>
      <c r="G5882" s="20" t="str">
        <f>IFERROR(__xludf.DUMMYFUNCTION("""COMPUTED_VALUE"""),"Uncle Sams Cider (5/13/2022)")</f>
        <v>Uncle Sams Cider (5/13/2022)</v>
      </c>
      <c r="H5882" s="19"/>
    </row>
    <row r="5883">
      <c r="A5883" s="9"/>
      <c r="B5883" s="15"/>
      <c r="C5883" s="9">
        <f>IFERROR(__xludf.DUMMYFUNCTION("""COMPUTED_VALUE"""),44735.2844072569)</f>
        <v>44735.28441</v>
      </c>
      <c r="D5883" s="15">
        <f>IFERROR(__xludf.DUMMYFUNCTION("""COMPUTED_VALUE"""),1.005)</f>
        <v>1.005</v>
      </c>
      <c r="E5883" s="16">
        <f>IFERROR(__xludf.DUMMYFUNCTION("""COMPUTED_VALUE"""),66.0)</f>
        <v>66</v>
      </c>
      <c r="F5883" s="19" t="str">
        <f>IFERROR(__xludf.DUMMYFUNCTION("""COMPUTED_VALUE"""),"BLACK")</f>
        <v>BLACK</v>
      </c>
      <c r="G5883" s="20" t="str">
        <f>IFERROR(__xludf.DUMMYFUNCTION("""COMPUTED_VALUE"""),"Uncle Sams Cider (5/13/2022)")</f>
        <v>Uncle Sams Cider (5/13/2022)</v>
      </c>
      <c r="H5883" s="19"/>
    </row>
    <row r="5884">
      <c r="A5884" s="9"/>
      <c r="B5884" s="15"/>
      <c r="C5884" s="9">
        <f>IFERROR(__xludf.DUMMYFUNCTION("""COMPUTED_VALUE"""),44735.2739843171)</f>
        <v>44735.27398</v>
      </c>
      <c r="D5884" s="15">
        <f>IFERROR(__xludf.DUMMYFUNCTION("""COMPUTED_VALUE"""),1.005)</f>
        <v>1.005</v>
      </c>
      <c r="E5884" s="16">
        <f>IFERROR(__xludf.DUMMYFUNCTION("""COMPUTED_VALUE"""),66.0)</f>
        <v>66</v>
      </c>
      <c r="F5884" s="19" t="str">
        <f>IFERROR(__xludf.DUMMYFUNCTION("""COMPUTED_VALUE"""),"BLACK")</f>
        <v>BLACK</v>
      </c>
      <c r="G5884" s="20" t="str">
        <f>IFERROR(__xludf.DUMMYFUNCTION("""COMPUTED_VALUE"""),"Uncle Sams Cider (5/13/2022)")</f>
        <v>Uncle Sams Cider (5/13/2022)</v>
      </c>
      <c r="H5884" s="19"/>
    </row>
    <row r="5885">
      <c r="A5885" s="9"/>
      <c r="B5885" s="15"/>
      <c r="C5885" s="9">
        <f>IFERROR(__xludf.DUMMYFUNCTION("""COMPUTED_VALUE"""),44735.2635630902)</f>
        <v>44735.26356</v>
      </c>
      <c r="D5885" s="15">
        <f>IFERROR(__xludf.DUMMYFUNCTION("""COMPUTED_VALUE"""),1.005)</f>
        <v>1.005</v>
      </c>
      <c r="E5885" s="16">
        <f>IFERROR(__xludf.DUMMYFUNCTION("""COMPUTED_VALUE"""),66.0)</f>
        <v>66</v>
      </c>
      <c r="F5885" s="19" t="str">
        <f>IFERROR(__xludf.DUMMYFUNCTION("""COMPUTED_VALUE"""),"BLACK")</f>
        <v>BLACK</v>
      </c>
      <c r="G5885" s="20" t="str">
        <f>IFERROR(__xludf.DUMMYFUNCTION("""COMPUTED_VALUE"""),"Uncle Sams Cider (5/13/2022)")</f>
        <v>Uncle Sams Cider (5/13/2022)</v>
      </c>
      <c r="H5885" s="19"/>
    </row>
    <row r="5886">
      <c r="A5886" s="9"/>
      <c r="B5886" s="15"/>
      <c r="C5886" s="9">
        <f>IFERROR(__xludf.DUMMYFUNCTION("""COMPUTED_VALUE"""),44735.2531405555)</f>
        <v>44735.25314</v>
      </c>
      <c r="D5886" s="15">
        <f>IFERROR(__xludf.DUMMYFUNCTION("""COMPUTED_VALUE"""),1.005)</f>
        <v>1.005</v>
      </c>
      <c r="E5886" s="16">
        <f>IFERROR(__xludf.DUMMYFUNCTION("""COMPUTED_VALUE"""),66.0)</f>
        <v>66</v>
      </c>
      <c r="F5886" s="19" t="str">
        <f>IFERROR(__xludf.DUMMYFUNCTION("""COMPUTED_VALUE"""),"BLACK")</f>
        <v>BLACK</v>
      </c>
      <c r="G5886" s="20" t="str">
        <f>IFERROR(__xludf.DUMMYFUNCTION("""COMPUTED_VALUE"""),"Uncle Sams Cider (5/13/2022)")</f>
        <v>Uncle Sams Cider (5/13/2022)</v>
      </c>
      <c r="H5886" s="19"/>
    </row>
    <row r="5887">
      <c r="A5887" s="9"/>
      <c r="B5887" s="15"/>
      <c r="C5887" s="9">
        <f>IFERROR(__xludf.DUMMYFUNCTION("""COMPUTED_VALUE"""),44735.2427199305)</f>
        <v>44735.24272</v>
      </c>
      <c r="D5887" s="15">
        <f>IFERROR(__xludf.DUMMYFUNCTION("""COMPUTED_VALUE"""),1.005)</f>
        <v>1.005</v>
      </c>
      <c r="E5887" s="16">
        <f>IFERROR(__xludf.DUMMYFUNCTION("""COMPUTED_VALUE"""),66.0)</f>
        <v>66</v>
      </c>
      <c r="F5887" s="19" t="str">
        <f>IFERROR(__xludf.DUMMYFUNCTION("""COMPUTED_VALUE"""),"BLACK")</f>
        <v>BLACK</v>
      </c>
      <c r="G5887" s="20" t="str">
        <f>IFERROR(__xludf.DUMMYFUNCTION("""COMPUTED_VALUE"""),"Uncle Sams Cider (5/13/2022)")</f>
        <v>Uncle Sams Cider (5/13/2022)</v>
      </c>
      <c r="H5887" s="19"/>
    </row>
    <row r="5888">
      <c r="A5888" s="9"/>
      <c r="B5888" s="15"/>
      <c r="C5888" s="9">
        <f>IFERROR(__xludf.DUMMYFUNCTION("""COMPUTED_VALUE"""),44735.2322998263)</f>
        <v>44735.2323</v>
      </c>
      <c r="D5888" s="15">
        <f>IFERROR(__xludf.DUMMYFUNCTION("""COMPUTED_VALUE"""),1.005)</f>
        <v>1.005</v>
      </c>
      <c r="E5888" s="16">
        <f>IFERROR(__xludf.DUMMYFUNCTION("""COMPUTED_VALUE"""),66.0)</f>
        <v>66</v>
      </c>
      <c r="F5888" s="19" t="str">
        <f>IFERROR(__xludf.DUMMYFUNCTION("""COMPUTED_VALUE"""),"BLACK")</f>
        <v>BLACK</v>
      </c>
      <c r="G5888" s="20" t="str">
        <f>IFERROR(__xludf.DUMMYFUNCTION("""COMPUTED_VALUE"""),"Uncle Sams Cider (5/13/2022)")</f>
        <v>Uncle Sams Cider (5/13/2022)</v>
      </c>
      <c r="H5888" s="19"/>
    </row>
    <row r="5889">
      <c r="A5889" s="9"/>
      <c r="B5889" s="15"/>
      <c r="C5889" s="9">
        <f>IFERROR(__xludf.DUMMYFUNCTION("""COMPUTED_VALUE"""),44735.2218794444)</f>
        <v>44735.22188</v>
      </c>
      <c r="D5889" s="15">
        <f>IFERROR(__xludf.DUMMYFUNCTION("""COMPUTED_VALUE"""),1.005)</f>
        <v>1.005</v>
      </c>
      <c r="E5889" s="16">
        <f>IFERROR(__xludf.DUMMYFUNCTION("""COMPUTED_VALUE"""),66.0)</f>
        <v>66</v>
      </c>
      <c r="F5889" s="19" t="str">
        <f>IFERROR(__xludf.DUMMYFUNCTION("""COMPUTED_VALUE"""),"BLACK")</f>
        <v>BLACK</v>
      </c>
      <c r="G5889" s="20" t="str">
        <f>IFERROR(__xludf.DUMMYFUNCTION("""COMPUTED_VALUE"""),"Uncle Sams Cider (5/13/2022)")</f>
        <v>Uncle Sams Cider (5/13/2022)</v>
      </c>
      <c r="H5889" s="19"/>
    </row>
    <row r="5890">
      <c r="A5890" s="9"/>
      <c r="B5890" s="15"/>
      <c r="C5890" s="9">
        <f>IFERROR(__xludf.DUMMYFUNCTION("""COMPUTED_VALUE"""),44735.2114578125)</f>
        <v>44735.21146</v>
      </c>
      <c r="D5890" s="15">
        <f>IFERROR(__xludf.DUMMYFUNCTION("""COMPUTED_VALUE"""),1.005)</f>
        <v>1.005</v>
      </c>
      <c r="E5890" s="16">
        <f>IFERROR(__xludf.DUMMYFUNCTION("""COMPUTED_VALUE"""),66.0)</f>
        <v>66</v>
      </c>
      <c r="F5890" s="19" t="str">
        <f>IFERROR(__xludf.DUMMYFUNCTION("""COMPUTED_VALUE"""),"BLACK")</f>
        <v>BLACK</v>
      </c>
      <c r="G5890" s="20" t="str">
        <f>IFERROR(__xludf.DUMMYFUNCTION("""COMPUTED_VALUE"""),"Uncle Sams Cider (5/13/2022)")</f>
        <v>Uncle Sams Cider (5/13/2022)</v>
      </c>
      <c r="H5890" s="19"/>
    </row>
    <row r="5891">
      <c r="A5891" s="9"/>
      <c r="B5891" s="15"/>
      <c r="C5891" s="9">
        <f>IFERROR(__xludf.DUMMYFUNCTION("""COMPUTED_VALUE"""),44735.2010253125)</f>
        <v>44735.20103</v>
      </c>
      <c r="D5891" s="15">
        <f>IFERROR(__xludf.DUMMYFUNCTION("""COMPUTED_VALUE"""),1.005)</f>
        <v>1.005</v>
      </c>
      <c r="E5891" s="16">
        <f>IFERROR(__xludf.DUMMYFUNCTION("""COMPUTED_VALUE"""),66.0)</f>
        <v>66</v>
      </c>
      <c r="F5891" s="19" t="str">
        <f>IFERROR(__xludf.DUMMYFUNCTION("""COMPUTED_VALUE"""),"BLACK")</f>
        <v>BLACK</v>
      </c>
      <c r="G5891" s="20" t="str">
        <f>IFERROR(__xludf.DUMMYFUNCTION("""COMPUTED_VALUE"""),"Uncle Sams Cider (5/13/2022)")</f>
        <v>Uncle Sams Cider (5/13/2022)</v>
      </c>
      <c r="H5891" s="19"/>
    </row>
    <row r="5892">
      <c r="A5892" s="9"/>
      <c r="B5892" s="15"/>
      <c r="C5892" s="9">
        <f>IFERROR(__xludf.DUMMYFUNCTION("""COMPUTED_VALUE"""),44735.1906049421)</f>
        <v>44735.1906</v>
      </c>
      <c r="D5892" s="15">
        <f>IFERROR(__xludf.DUMMYFUNCTION("""COMPUTED_VALUE"""),1.005)</f>
        <v>1.005</v>
      </c>
      <c r="E5892" s="16">
        <f>IFERROR(__xludf.DUMMYFUNCTION("""COMPUTED_VALUE"""),66.0)</f>
        <v>66</v>
      </c>
      <c r="F5892" s="19" t="str">
        <f>IFERROR(__xludf.DUMMYFUNCTION("""COMPUTED_VALUE"""),"BLACK")</f>
        <v>BLACK</v>
      </c>
      <c r="G5892" s="20" t="str">
        <f>IFERROR(__xludf.DUMMYFUNCTION("""COMPUTED_VALUE"""),"Uncle Sams Cider (5/13/2022)")</f>
        <v>Uncle Sams Cider (5/13/2022)</v>
      </c>
      <c r="H5892" s="19"/>
    </row>
    <row r="5893">
      <c r="A5893" s="9"/>
      <c r="B5893" s="15"/>
      <c r="C5893" s="9">
        <f>IFERROR(__xludf.DUMMYFUNCTION("""COMPUTED_VALUE"""),44735.1801831365)</f>
        <v>44735.18018</v>
      </c>
      <c r="D5893" s="15">
        <f>IFERROR(__xludf.DUMMYFUNCTION("""COMPUTED_VALUE"""),1.005)</f>
        <v>1.005</v>
      </c>
      <c r="E5893" s="16">
        <f>IFERROR(__xludf.DUMMYFUNCTION("""COMPUTED_VALUE"""),66.0)</f>
        <v>66</v>
      </c>
      <c r="F5893" s="19" t="str">
        <f>IFERROR(__xludf.DUMMYFUNCTION("""COMPUTED_VALUE"""),"BLACK")</f>
        <v>BLACK</v>
      </c>
      <c r="G5893" s="20" t="str">
        <f>IFERROR(__xludf.DUMMYFUNCTION("""COMPUTED_VALUE"""),"Uncle Sams Cider (5/13/2022)")</f>
        <v>Uncle Sams Cider (5/13/2022)</v>
      </c>
      <c r="H5893" s="19"/>
    </row>
    <row r="5894">
      <c r="A5894" s="9"/>
      <c r="B5894" s="15"/>
      <c r="C5894" s="9">
        <f>IFERROR(__xludf.DUMMYFUNCTION("""COMPUTED_VALUE"""),44735.1697627777)</f>
        <v>44735.16976</v>
      </c>
      <c r="D5894" s="15">
        <f>IFERROR(__xludf.DUMMYFUNCTION("""COMPUTED_VALUE"""),1.005)</f>
        <v>1.005</v>
      </c>
      <c r="E5894" s="16">
        <f>IFERROR(__xludf.DUMMYFUNCTION("""COMPUTED_VALUE"""),66.0)</f>
        <v>66</v>
      </c>
      <c r="F5894" s="19" t="str">
        <f>IFERROR(__xludf.DUMMYFUNCTION("""COMPUTED_VALUE"""),"BLACK")</f>
        <v>BLACK</v>
      </c>
      <c r="G5894" s="20" t="str">
        <f>IFERROR(__xludf.DUMMYFUNCTION("""COMPUTED_VALUE"""),"Uncle Sams Cider (5/13/2022)")</f>
        <v>Uncle Sams Cider (5/13/2022)</v>
      </c>
      <c r="H5894" s="19"/>
    </row>
    <row r="5895">
      <c r="A5895" s="9"/>
      <c r="B5895" s="15"/>
      <c r="C5895" s="9">
        <f>IFERROR(__xludf.DUMMYFUNCTION("""COMPUTED_VALUE"""),44735.1593418865)</f>
        <v>44735.15934</v>
      </c>
      <c r="D5895" s="15">
        <f>IFERROR(__xludf.DUMMYFUNCTION("""COMPUTED_VALUE"""),1.005)</f>
        <v>1.005</v>
      </c>
      <c r="E5895" s="16">
        <f>IFERROR(__xludf.DUMMYFUNCTION("""COMPUTED_VALUE"""),66.0)</f>
        <v>66</v>
      </c>
      <c r="F5895" s="19" t="str">
        <f>IFERROR(__xludf.DUMMYFUNCTION("""COMPUTED_VALUE"""),"BLACK")</f>
        <v>BLACK</v>
      </c>
      <c r="G5895" s="20" t="str">
        <f>IFERROR(__xludf.DUMMYFUNCTION("""COMPUTED_VALUE"""),"Uncle Sams Cider (5/13/2022)")</f>
        <v>Uncle Sams Cider (5/13/2022)</v>
      </c>
      <c r="H5895" s="19"/>
    </row>
    <row r="5896">
      <c r="A5896" s="9"/>
      <c r="B5896" s="15"/>
      <c r="C5896" s="9">
        <f>IFERROR(__xludf.DUMMYFUNCTION("""COMPUTED_VALUE"""),44735.1489195254)</f>
        <v>44735.14892</v>
      </c>
      <c r="D5896" s="15">
        <f>IFERROR(__xludf.DUMMYFUNCTION("""COMPUTED_VALUE"""),1.005)</f>
        <v>1.005</v>
      </c>
      <c r="E5896" s="16">
        <f>IFERROR(__xludf.DUMMYFUNCTION("""COMPUTED_VALUE"""),66.0)</f>
        <v>66</v>
      </c>
      <c r="F5896" s="19" t="str">
        <f>IFERROR(__xludf.DUMMYFUNCTION("""COMPUTED_VALUE"""),"BLACK")</f>
        <v>BLACK</v>
      </c>
      <c r="G5896" s="20" t="str">
        <f>IFERROR(__xludf.DUMMYFUNCTION("""COMPUTED_VALUE"""),"Uncle Sams Cider (5/13/2022)")</f>
        <v>Uncle Sams Cider (5/13/2022)</v>
      </c>
      <c r="H5896" s="19"/>
    </row>
    <row r="5897">
      <c r="A5897" s="9"/>
      <c r="B5897" s="15"/>
      <c r="C5897" s="9">
        <f>IFERROR(__xludf.DUMMYFUNCTION("""COMPUTED_VALUE"""),44735.1384979398)</f>
        <v>44735.1385</v>
      </c>
      <c r="D5897" s="15">
        <f>IFERROR(__xludf.DUMMYFUNCTION("""COMPUTED_VALUE"""),1.005)</f>
        <v>1.005</v>
      </c>
      <c r="E5897" s="16">
        <f>IFERROR(__xludf.DUMMYFUNCTION("""COMPUTED_VALUE"""),66.0)</f>
        <v>66</v>
      </c>
      <c r="F5897" s="19" t="str">
        <f>IFERROR(__xludf.DUMMYFUNCTION("""COMPUTED_VALUE"""),"BLACK")</f>
        <v>BLACK</v>
      </c>
      <c r="G5897" s="20" t="str">
        <f>IFERROR(__xludf.DUMMYFUNCTION("""COMPUTED_VALUE"""),"Uncle Sams Cider (5/13/2022)")</f>
        <v>Uncle Sams Cider (5/13/2022)</v>
      </c>
      <c r="H5897" s="19"/>
    </row>
    <row r="5898">
      <c r="A5898" s="9"/>
      <c r="B5898" s="15"/>
      <c r="C5898" s="9">
        <f>IFERROR(__xludf.DUMMYFUNCTION("""COMPUTED_VALUE"""),44735.1280776388)</f>
        <v>44735.12808</v>
      </c>
      <c r="D5898" s="15">
        <f>IFERROR(__xludf.DUMMYFUNCTION("""COMPUTED_VALUE"""),1.005)</f>
        <v>1.005</v>
      </c>
      <c r="E5898" s="16">
        <f>IFERROR(__xludf.DUMMYFUNCTION("""COMPUTED_VALUE"""),66.0)</f>
        <v>66</v>
      </c>
      <c r="F5898" s="19" t="str">
        <f>IFERROR(__xludf.DUMMYFUNCTION("""COMPUTED_VALUE"""),"BLACK")</f>
        <v>BLACK</v>
      </c>
      <c r="G5898" s="20" t="str">
        <f>IFERROR(__xludf.DUMMYFUNCTION("""COMPUTED_VALUE"""),"Uncle Sams Cider (5/13/2022)")</f>
        <v>Uncle Sams Cider (5/13/2022)</v>
      </c>
      <c r="H5898" s="19"/>
    </row>
    <row r="5899">
      <c r="A5899" s="9"/>
      <c r="B5899" s="15"/>
      <c r="C5899" s="9">
        <f>IFERROR(__xludf.DUMMYFUNCTION("""COMPUTED_VALUE"""),44735.1176558796)</f>
        <v>44735.11766</v>
      </c>
      <c r="D5899" s="15">
        <f>IFERROR(__xludf.DUMMYFUNCTION("""COMPUTED_VALUE"""),1.005)</f>
        <v>1.005</v>
      </c>
      <c r="E5899" s="16">
        <f>IFERROR(__xludf.DUMMYFUNCTION("""COMPUTED_VALUE"""),66.0)</f>
        <v>66</v>
      </c>
      <c r="F5899" s="19" t="str">
        <f>IFERROR(__xludf.DUMMYFUNCTION("""COMPUTED_VALUE"""),"BLACK")</f>
        <v>BLACK</v>
      </c>
      <c r="G5899" s="20" t="str">
        <f>IFERROR(__xludf.DUMMYFUNCTION("""COMPUTED_VALUE"""),"Uncle Sams Cider (5/13/2022)")</f>
        <v>Uncle Sams Cider (5/13/2022)</v>
      </c>
      <c r="H5899" s="19"/>
    </row>
    <row r="5900">
      <c r="A5900" s="9"/>
      <c r="B5900" s="15"/>
      <c r="C5900" s="9">
        <f>IFERROR(__xludf.DUMMYFUNCTION("""COMPUTED_VALUE"""),44735.1072234722)</f>
        <v>44735.10722</v>
      </c>
      <c r="D5900" s="15">
        <f>IFERROR(__xludf.DUMMYFUNCTION("""COMPUTED_VALUE"""),1.005)</f>
        <v>1.005</v>
      </c>
      <c r="E5900" s="16">
        <f>IFERROR(__xludf.DUMMYFUNCTION("""COMPUTED_VALUE"""),66.0)</f>
        <v>66</v>
      </c>
      <c r="F5900" s="19" t="str">
        <f>IFERROR(__xludf.DUMMYFUNCTION("""COMPUTED_VALUE"""),"BLACK")</f>
        <v>BLACK</v>
      </c>
      <c r="G5900" s="20" t="str">
        <f>IFERROR(__xludf.DUMMYFUNCTION("""COMPUTED_VALUE"""),"Uncle Sams Cider (5/13/2022)")</f>
        <v>Uncle Sams Cider (5/13/2022)</v>
      </c>
      <c r="H5900" s="19"/>
    </row>
    <row r="5901">
      <c r="A5901" s="9"/>
      <c r="B5901" s="15"/>
      <c r="C5901" s="9">
        <f>IFERROR(__xludf.DUMMYFUNCTION("""COMPUTED_VALUE"""),44735.0968016551)</f>
        <v>44735.0968</v>
      </c>
      <c r="D5901" s="15">
        <f>IFERROR(__xludf.DUMMYFUNCTION("""COMPUTED_VALUE"""),1.005)</f>
        <v>1.005</v>
      </c>
      <c r="E5901" s="16">
        <f>IFERROR(__xludf.DUMMYFUNCTION("""COMPUTED_VALUE"""),66.0)</f>
        <v>66</v>
      </c>
      <c r="F5901" s="19" t="str">
        <f>IFERROR(__xludf.DUMMYFUNCTION("""COMPUTED_VALUE"""),"BLACK")</f>
        <v>BLACK</v>
      </c>
      <c r="G5901" s="20" t="str">
        <f>IFERROR(__xludf.DUMMYFUNCTION("""COMPUTED_VALUE"""),"Uncle Sams Cider (5/13/2022)")</f>
        <v>Uncle Sams Cider (5/13/2022)</v>
      </c>
      <c r="H5901" s="19"/>
    </row>
    <row r="5902">
      <c r="A5902" s="9"/>
      <c r="B5902" s="15"/>
      <c r="C5902" s="9">
        <f>IFERROR(__xludf.DUMMYFUNCTION("""COMPUTED_VALUE"""),44735.0863805324)</f>
        <v>44735.08638</v>
      </c>
      <c r="D5902" s="15">
        <f>IFERROR(__xludf.DUMMYFUNCTION("""COMPUTED_VALUE"""),1.005)</f>
        <v>1.005</v>
      </c>
      <c r="E5902" s="16">
        <f>IFERROR(__xludf.DUMMYFUNCTION("""COMPUTED_VALUE"""),66.0)</f>
        <v>66</v>
      </c>
      <c r="F5902" s="19" t="str">
        <f>IFERROR(__xludf.DUMMYFUNCTION("""COMPUTED_VALUE"""),"BLACK")</f>
        <v>BLACK</v>
      </c>
      <c r="G5902" s="20" t="str">
        <f>IFERROR(__xludf.DUMMYFUNCTION("""COMPUTED_VALUE"""),"Uncle Sams Cider (5/13/2022)")</f>
        <v>Uncle Sams Cider (5/13/2022)</v>
      </c>
      <c r="H5902" s="19"/>
    </row>
    <row r="5903">
      <c r="A5903" s="9"/>
      <c r="B5903" s="15"/>
      <c r="C5903" s="9">
        <f>IFERROR(__xludf.DUMMYFUNCTION("""COMPUTED_VALUE"""),44735.0759601851)</f>
        <v>44735.07596</v>
      </c>
      <c r="D5903" s="15">
        <f>IFERROR(__xludf.DUMMYFUNCTION("""COMPUTED_VALUE"""),1.005)</f>
        <v>1.005</v>
      </c>
      <c r="E5903" s="16">
        <f>IFERROR(__xludf.DUMMYFUNCTION("""COMPUTED_VALUE"""),66.0)</f>
        <v>66</v>
      </c>
      <c r="F5903" s="19" t="str">
        <f>IFERROR(__xludf.DUMMYFUNCTION("""COMPUTED_VALUE"""),"BLACK")</f>
        <v>BLACK</v>
      </c>
      <c r="G5903" s="20" t="str">
        <f>IFERROR(__xludf.DUMMYFUNCTION("""COMPUTED_VALUE"""),"Uncle Sams Cider (5/13/2022)")</f>
        <v>Uncle Sams Cider (5/13/2022)</v>
      </c>
      <c r="H5903" s="19"/>
    </row>
    <row r="5904">
      <c r="A5904" s="9"/>
      <c r="B5904" s="15"/>
      <c r="C5904" s="9">
        <f>IFERROR(__xludf.DUMMYFUNCTION("""COMPUTED_VALUE"""),44735.065539155)</f>
        <v>44735.06554</v>
      </c>
      <c r="D5904" s="15">
        <f>IFERROR(__xludf.DUMMYFUNCTION("""COMPUTED_VALUE"""),1.005)</f>
        <v>1.005</v>
      </c>
      <c r="E5904" s="16">
        <f>IFERROR(__xludf.DUMMYFUNCTION("""COMPUTED_VALUE"""),66.0)</f>
        <v>66</v>
      </c>
      <c r="F5904" s="19" t="str">
        <f>IFERROR(__xludf.DUMMYFUNCTION("""COMPUTED_VALUE"""),"BLACK")</f>
        <v>BLACK</v>
      </c>
      <c r="G5904" s="20" t="str">
        <f>IFERROR(__xludf.DUMMYFUNCTION("""COMPUTED_VALUE"""),"Uncle Sams Cider (5/13/2022)")</f>
        <v>Uncle Sams Cider (5/13/2022)</v>
      </c>
      <c r="H5904" s="19"/>
    </row>
    <row r="5905">
      <c r="A5905" s="9"/>
      <c r="B5905" s="15"/>
      <c r="C5905" s="9">
        <f>IFERROR(__xludf.DUMMYFUNCTION("""COMPUTED_VALUE"""),44735.0551045717)</f>
        <v>44735.0551</v>
      </c>
      <c r="D5905" s="15">
        <f>IFERROR(__xludf.DUMMYFUNCTION("""COMPUTED_VALUE"""),1.005)</f>
        <v>1.005</v>
      </c>
      <c r="E5905" s="16">
        <f>IFERROR(__xludf.DUMMYFUNCTION("""COMPUTED_VALUE"""),66.0)</f>
        <v>66</v>
      </c>
      <c r="F5905" s="19" t="str">
        <f>IFERROR(__xludf.DUMMYFUNCTION("""COMPUTED_VALUE"""),"BLACK")</f>
        <v>BLACK</v>
      </c>
      <c r="G5905" s="20" t="str">
        <f>IFERROR(__xludf.DUMMYFUNCTION("""COMPUTED_VALUE"""),"Uncle Sams Cider (5/13/2022)")</f>
        <v>Uncle Sams Cider (5/13/2022)</v>
      </c>
      <c r="H5905" s="19"/>
    </row>
    <row r="5906">
      <c r="A5906" s="9"/>
      <c r="B5906" s="15"/>
      <c r="C5906" s="9">
        <f>IFERROR(__xludf.DUMMYFUNCTION("""COMPUTED_VALUE"""),44735.0446820949)</f>
        <v>44735.04468</v>
      </c>
      <c r="D5906" s="15">
        <f>IFERROR(__xludf.DUMMYFUNCTION("""COMPUTED_VALUE"""),1.005)</f>
        <v>1.005</v>
      </c>
      <c r="E5906" s="16">
        <f>IFERROR(__xludf.DUMMYFUNCTION("""COMPUTED_VALUE"""),66.0)</f>
        <v>66</v>
      </c>
      <c r="F5906" s="19" t="str">
        <f>IFERROR(__xludf.DUMMYFUNCTION("""COMPUTED_VALUE"""),"BLACK")</f>
        <v>BLACK</v>
      </c>
      <c r="G5906" s="20" t="str">
        <f>IFERROR(__xludf.DUMMYFUNCTION("""COMPUTED_VALUE"""),"Uncle Sams Cider (5/13/2022)")</f>
        <v>Uncle Sams Cider (5/13/2022)</v>
      </c>
      <c r="H5906" s="19"/>
    </row>
    <row r="5907">
      <c r="A5907" s="9"/>
      <c r="B5907" s="15"/>
      <c r="C5907" s="9">
        <f>IFERROR(__xludf.DUMMYFUNCTION("""COMPUTED_VALUE"""),44735.0342599421)</f>
        <v>44735.03426</v>
      </c>
      <c r="D5907" s="15">
        <f>IFERROR(__xludf.DUMMYFUNCTION("""COMPUTED_VALUE"""),1.005)</f>
        <v>1.005</v>
      </c>
      <c r="E5907" s="16">
        <f>IFERROR(__xludf.DUMMYFUNCTION("""COMPUTED_VALUE"""),66.0)</f>
        <v>66</v>
      </c>
      <c r="F5907" s="19" t="str">
        <f>IFERROR(__xludf.DUMMYFUNCTION("""COMPUTED_VALUE"""),"BLACK")</f>
        <v>BLACK</v>
      </c>
      <c r="G5907" s="20" t="str">
        <f>IFERROR(__xludf.DUMMYFUNCTION("""COMPUTED_VALUE"""),"Uncle Sams Cider (5/13/2022)")</f>
        <v>Uncle Sams Cider (5/13/2022)</v>
      </c>
      <c r="H5907" s="19"/>
    </row>
    <row r="5908">
      <c r="A5908" s="9"/>
      <c r="B5908" s="15"/>
      <c r="C5908" s="9">
        <f>IFERROR(__xludf.DUMMYFUNCTION("""COMPUTED_VALUE"""),44735.0238374884)</f>
        <v>44735.02384</v>
      </c>
      <c r="D5908" s="15">
        <f>IFERROR(__xludf.DUMMYFUNCTION("""COMPUTED_VALUE"""),1.005)</f>
        <v>1.005</v>
      </c>
      <c r="E5908" s="16">
        <f>IFERROR(__xludf.DUMMYFUNCTION("""COMPUTED_VALUE"""),66.0)</f>
        <v>66</v>
      </c>
      <c r="F5908" s="19" t="str">
        <f>IFERROR(__xludf.DUMMYFUNCTION("""COMPUTED_VALUE"""),"BLACK")</f>
        <v>BLACK</v>
      </c>
      <c r="G5908" s="20" t="str">
        <f>IFERROR(__xludf.DUMMYFUNCTION("""COMPUTED_VALUE"""),"Uncle Sams Cider (5/13/2022)")</f>
        <v>Uncle Sams Cider (5/13/2022)</v>
      </c>
      <c r="H5908" s="19"/>
    </row>
    <row r="5909">
      <c r="A5909" s="9"/>
      <c r="B5909" s="15"/>
      <c r="C5909" s="9">
        <f>IFERROR(__xludf.DUMMYFUNCTION("""COMPUTED_VALUE"""),44735.0134164467)</f>
        <v>44735.01342</v>
      </c>
      <c r="D5909" s="15">
        <f>IFERROR(__xludf.DUMMYFUNCTION("""COMPUTED_VALUE"""),1.005)</f>
        <v>1.005</v>
      </c>
      <c r="E5909" s="16">
        <f>IFERROR(__xludf.DUMMYFUNCTION("""COMPUTED_VALUE"""),66.0)</f>
        <v>66</v>
      </c>
      <c r="F5909" s="19" t="str">
        <f>IFERROR(__xludf.DUMMYFUNCTION("""COMPUTED_VALUE"""),"BLACK")</f>
        <v>BLACK</v>
      </c>
      <c r="G5909" s="20" t="str">
        <f>IFERROR(__xludf.DUMMYFUNCTION("""COMPUTED_VALUE"""),"Uncle Sams Cider (5/13/2022)")</f>
        <v>Uncle Sams Cider (5/13/2022)</v>
      </c>
      <c r="H5909" s="19"/>
    </row>
    <row r="5910">
      <c r="A5910" s="9"/>
      <c r="B5910" s="15"/>
      <c r="C5910" s="9">
        <f>IFERROR(__xludf.DUMMYFUNCTION("""COMPUTED_VALUE"""),44735.0029935995)</f>
        <v>44735.00299</v>
      </c>
      <c r="D5910" s="15">
        <f>IFERROR(__xludf.DUMMYFUNCTION("""COMPUTED_VALUE"""),1.005)</f>
        <v>1.005</v>
      </c>
      <c r="E5910" s="16">
        <f>IFERROR(__xludf.DUMMYFUNCTION("""COMPUTED_VALUE"""),66.0)</f>
        <v>66</v>
      </c>
      <c r="F5910" s="19" t="str">
        <f>IFERROR(__xludf.DUMMYFUNCTION("""COMPUTED_VALUE"""),"BLACK")</f>
        <v>BLACK</v>
      </c>
      <c r="G5910" s="20" t="str">
        <f>IFERROR(__xludf.DUMMYFUNCTION("""COMPUTED_VALUE"""),"Uncle Sams Cider (5/13/2022)")</f>
        <v>Uncle Sams Cider (5/13/2022)</v>
      </c>
      <c r="H5910" s="19"/>
    </row>
    <row r="5911">
      <c r="A5911" s="9"/>
      <c r="B5911" s="15"/>
      <c r="C5911" s="9">
        <f>IFERROR(__xludf.DUMMYFUNCTION("""COMPUTED_VALUE"""),44734.9925717939)</f>
        <v>44734.99257</v>
      </c>
      <c r="D5911" s="15">
        <f>IFERROR(__xludf.DUMMYFUNCTION("""COMPUTED_VALUE"""),1.005)</f>
        <v>1.005</v>
      </c>
      <c r="E5911" s="16">
        <f>IFERROR(__xludf.DUMMYFUNCTION("""COMPUTED_VALUE"""),66.0)</f>
        <v>66</v>
      </c>
      <c r="F5911" s="19" t="str">
        <f>IFERROR(__xludf.DUMMYFUNCTION("""COMPUTED_VALUE"""),"BLACK")</f>
        <v>BLACK</v>
      </c>
      <c r="G5911" s="20" t="str">
        <f>IFERROR(__xludf.DUMMYFUNCTION("""COMPUTED_VALUE"""),"Uncle Sams Cider (5/13/2022)")</f>
        <v>Uncle Sams Cider (5/13/2022)</v>
      </c>
      <c r="H5911" s="19"/>
    </row>
    <row r="5912">
      <c r="A5912" s="9"/>
      <c r="B5912" s="15"/>
      <c r="C5912" s="9">
        <f>IFERROR(__xludf.DUMMYFUNCTION("""COMPUTED_VALUE"""),44734.982150324)</f>
        <v>44734.98215</v>
      </c>
      <c r="D5912" s="15">
        <f>IFERROR(__xludf.DUMMYFUNCTION("""COMPUTED_VALUE"""),1.005)</f>
        <v>1.005</v>
      </c>
      <c r="E5912" s="16">
        <f>IFERROR(__xludf.DUMMYFUNCTION("""COMPUTED_VALUE"""),66.0)</f>
        <v>66</v>
      </c>
      <c r="F5912" s="19" t="str">
        <f>IFERROR(__xludf.DUMMYFUNCTION("""COMPUTED_VALUE"""),"BLACK")</f>
        <v>BLACK</v>
      </c>
      <c r="G5912" s="20" t="str">
        <f>IFERROR(__xludf.DUMMYFUNCTION("""COMPUTED_VALUE"""),"Uncle Sams Cider (5/13/2022)")</f>
        <v>Uncle Sams Cider (5/13/2022)</v>
      </c>
      <c r="H5912" s="19"/>
    </row>
    <row r="5913">
      <c r="A5913" s="9"/>
      <c r="B5913" s="15"/>
      <c r="C5913" s="9">
        <f>IFERROR(__xludf.DUMMYFUNCTION("""COMPUTED_VALUE"""),44734.9717170486)</f>
        <v>44734.97172</v>
      </c>
      <c r="D5913" s="15">
        <f>IFERROR(__xludf.DUMMYFUNCTION("""COMPUTED_VALUE"""),1.005)</f>
        <v>1.005</v>
      </c>
      <c r="E5913" s="16">
        <f>IFERROR(__xludf.DUMMYFUNCTION("""COMPUTED_VALUE"""),66.0)</f>
        <v>66</v>
      </c>
      <c r="F5913" s="19" t="str">
        <f>IFERROR(__xludf.DUMMYFUNCTION("""COMPUTED_VALUE"""),"BLACK")</f>
        <v>BLACK</v>
      </c>
      <c r="G5913" s="20" t="str">
        <f>IFERROR(__xludf.DUMMYFUNCTION("""COMPUTED_VALUE"""),"Uncle Sams Cider (5/13/2022)")</f>
        <v>Uncle Sams Cider (5/13/2022)</v>
      </c>
      <c r="H5913" s="19"/>
    </row>
    <row r="5914">
      <c r="A5914" s="9"/>
      <c r="B5914" s="15"/>
      <c r="C5914" s="9">
        <f>IFERROR(__xludf.DUMMYFUNCTION("""COMPUTED_VALUE"""),44734.961294537)</f>
        <v>44734.96129</v>
      </c>
      <c r="D5914" s="15">
        <f>IFERROR(__xludf.DUMMYFUNCTION("""COMPUTED_VALUE"""),1.005)</f>
        <v>1.005</v>
      </c>
      <c r="E5914" s="16">
        <f>IFERROR(__xludf.DUMMYFUNCTION("""COMPUTED_VALUE"""),66.0)</f>
        <v>66</v>
      </c>
      <c r="F5914" s="19" t="str">
        <f>IFERROR(__xludf.DUMMYFUNCTION("""COMPUTED_VALUE"""),"BLACK")</f>
        <v>BLACK</v>
      </c>
      <c r="G5914" s="20" t="str">
        <f>IFERROR(__xludf.DUMMYFUNCTION("""COMPUTED_VALUE"""),"Uncle Sams Cider (5/13/2022)")</f>
        <v>Uncle Sams Cider (5/13/2022)</v>
      </c>
      <c r="H5914" s="19"/>
    </row>
    <row r="5915">
      <c r="A5915" s="9"/>
      <c r="B5915" s="15"/>
      <c r="C5915" s="9">
        <f>IFERROR(__xludf.DUMMYFUNCTION("""COMPUTED_VALUE"""),44734.9508737963)</f>
        <v>44734.95087</v>
      </c>
      <c r="D5915" s="15">
        <f>IFERROR(__xludf.DUMMYFUNCTION("""COMPUTED_VALUE"""),1.005)</f>
        <v>1.005</v>
      </c>
      <c r="E5915" s="16">
        <f>IFERROR(__xludf.DUMMYFUNCTION("""COMPUTED_VALUE"""),66.0)</f>
        <v>66</v>
      </c>
      <c r="F5915" s="19" t="str">
        <f>IFERROR(__xludf.DUMMYFUNCTION("""COMPUTED_VALUE"""),"BLACK")</f>
        <v>BLACK</v>
      </c>
      <c r="G5915" s="20" t="str">
        <f>IFERROR(__xludf.DUMMYFUNCTION("""COMPUTED_VALUE"""),"Uncle Sams Cider (5/13/2022)")</f>
        <v>Uncle Sams Cider (5/13/2022)</v>
      </c>
      <c r="H5915" s="19"/>
    </row>
    <row r="5916">
      <c r="A5916" s="9"/>
      <c r="B5916" s="15"/>
      <c r="C5916" s="9">
        <f>IFERROR(__xludf.DUMMYFUNCTION("""COMPUTED_VALUE"""),44734.9404541898)</f>
        <v>44734.94045</v>
      </c>
      <c r="D5916" s="15">
        <f>IFERROR(__xludf.DUMMYFUNCTION("""COMPUTED_VALUE"""),1.005)</f>
        <v>1.005</v>
      </c>
      <c r="E5916" s="16">
        <f>IFERROR(__xludf.DUMMYFUNCTION("""COMPUTED_VALUE"""),66.0)</f>
        <v>66</v>
      </c>
      <c r="F5916" s="19" t="str">
        <f>IFERROR(__xludf.DUMMYFUNCTION("""COMPUTED_VALUE"""),"BLACK")</f>
        <v>BLACK</v>
      </c>
      <c r="G5916" s="20" t="str">
        <f>IFERROR(__xludf.DUMMYFUNCTION("""COMPUTED_VALUE"""),"Uncle Sams Cider (5/13/2022)")</f>
        <v>Uncle Sams Cider (5/13/2022)</v>
      </c>
      <c r="H5916" s="19"/>
    </row>
    <row r="5917">
      <c r="A5917" s="9"/>
      <c r="B5917" s="15"/>
      <c r="C5917" s="9">
        <f>IFERROR(__xludf.DUMMYFUNCTION("""COMPUTED_VALUE"""),44734.930032743)</f>
        <v>44734.93003</v>
      </c>
      <c r="D5917" s="15">
        <f>IFERROR(__xludf.DUMMYFUNCTION("""COMPUTED_VALUE"""),1.005)</f>
        <v>1.005</v>
      </c>
      <c r="E5917" s="16">
        <f>IFERROR(__xludf.DUMMYFUNCTION("""COMPUTED_VALUE"""),66.0)</f>
        <v>66</v>
      </c>
      <c r="F5917" s="19" t="str">
        <f>IFERROR(__xludf.DUMMYFUNCTION("""COMPUTED_VALUE"""),"BLACK")</f>
        <v>BLACK</v>
      </c>
      <c r="G5917" s="20" t="str">
        <f>IFERROR(__xludf.DUMMYFUNCTION("""COMPUTED_VALUE"""),"Uncle Sams Cider (5/13/2022)")</f>
        <v>Uncle Sams Cider (5/13/2022)</v>
      </c>
      <c r="H5917" s="19"/>
    </row>
    <row r="5918">
      <c r="A5918" s="9"/>
      <c r="B5918" s="15"/>
      <c r="C5918" s="9">
        <f>IFERROR(__xludf.DUMMYFUNCTION("""COMPUTED_VALUE"""),44734.9196102546)</f>
        <v>44734.91961</v>
      </c>
      <c r="D5918" s="15">
        <f>IFERROR(__xludf.DUMMYFUNCTION("""COMPUTED_VALUE"""),1.005)</f>
        <v>1.005</v>
      </c>
      <c r="E5918" s="16">
        <f>IFERROR(__xludf.DUMMYFUNCTION("""COMPUTED_VALUE"""),66.0)</f>
        <v>66</v>
      </c>
      <c r="F5918" s="19" t="str">
        <f>IFERROR(__xludf.DUMMYFUNCTION("""COMPUTED_VALUE"""),"BLACK")</f>
        <v>BLACK</v>
      </c>
      <c r="G5918" s="20" t="str">
        <f>IFERROR(__xludf.DUMMYFUNCTION("""COMPUTED_VALUE"""),"Uncle Sams Cider (5/13/2022)")</f>
        <v>Uncle Sams Cider (5/13/2022)</v>
      </c>
      <c r="H5918" s="19"/>
    </row>
    <row r="5919">
      <c r="A5919" s="9"/>
      <c r="B5919" s="15"/>
      <c r="C5919" s="9">
        <f>IFERROR(__xludf.DUMMYFUNCTION("""COMPUTED_VALUE"""),44734.9091886342)</f>
        <v>44734.90919</v>
      </c>
      <c r="D5919" s="15">
        <f>IFERROR(__xludf.DUMMYFUNCTION("""COMPUTED_VALUE"""),1.005)</f>
        <v>1.005</v>
      </c>
      <c r="E5919" s="16">
        <f>IFERROR(__xludf.DUMMYFUNCTION("""COMPUTED_VALUE"""),66.0)</f>
        <v>66</v>
      </c>
      <c r="F5919" s="19" t="str">
        <f>IFERROR(__xludf.DUMMYFUNCTION("""COMPUTED_VALUE"""),"BLACK")</f>
        <v>BLACK</v>
      </c>
      <c r="G5919" s="20" t="str">
        <f>IFERROR(__xludf.DUMMYFUNCTION("""COMPUTED_VALUE"""),"Uncle Sams Cider (5/13/2022)")</f>
        <v>Uncle Sams Cider (5/13/2022)</v>
      </c>
      <c r="H5919" s="19"/>
    </row>
    <row r="5920">
      <c r="A5920" s="9"/>
      <c r="B5920" s="15"/>
      <c r="C5920" s="9">
        <f>IFERROR(__xludf.DUMMYFUNCTION("""COMPUTED_VALUE"""),44734.8987560416)</f>
        <v>44734.89876</v>
      </c>
      <c r="D5920" s="15">
        <f>IFERROR(__xludf.DUMMYFUNCTION("""COMPUTED_VALUE"""),1.005)</f>
        <v>1.005</v>
      </c>
      <c r="E5920" s="16">
        <f>IFERROR(__xludf.DUMMYFUNCTION("""COMPUTED_VALUE"""),66.0)</f>
        <v>66</v>
      </c>
      <c r="F5920" s="19" t="str">
        <f>IFERROR(__xludf.DUMMYFUNCTION("""COMPUTED_VALUE"""),"BLACK")</f>
        <v>BLACK</v>
      </c>
      <c r="G5920" s="20" t="str">
        <f>IFERROR(__xludf.DUMMYFUNCTION("""COMPUTED_VALUE"""),"Uncle Sams Cider (5/13/2022)")</f>
        <v>Uncle Sams Cider (5/13/2022)</v>
      </c>
      <c r="H5920" s="19"/>
    </row>
    <row r="5921">
      <c r="A5921" s="9"/>
      <c r="B5921" s="15"/>
      <c r="C5921" s="9">
        <f>IFERROR(__xludf.DUMMYFUNCTION("""COMPUTED_VALUE"""),44734.8883355902)</f>
        <v>44734.88834</v>
      </c>
      <c r="D5921" s="15">
        <f>IFERROR(__xludf.DUMMYFUNCTION("""COMPUTED_VALUE"""),1.005)</f>
        <v>1.005</v>
      </c>
      <c r="E5921" s="16">
        <f>IFERROR(__xludf.DUMMYFUNCTION("""COMPUTED_VALUE"""),66.0)</f>
        <v>66</v>
      </c>
      <c r="F5921" s="19" t="str">
        <f>IFERROR(__xludf.DUMMYFUNCTION("""COMPUTED_VALUE"""),"BLACK")</f>
        <v>BLACK</v>
      </c>
      <c r="G5921" s="20" t="str">
        <f>IFERROR(__xludf.DUMMYFUNCTION("""COMPUTED_VALUE"""),"Uncle Sams Cider (5/13/2022)")</f>
        <v>Uncle Sams Cider (5/13/2022)</v>
      </c>
      <c r="H5921" s="19"/>
    </row>
    <row r="5922">
      <c r="A5922" s="9"/>
      <c r="B5922" s="15"/>
      <c r="C5922" s="9">
        <f>IFERROR(__xludf.DUMMYFUNCTION("""COMPUTED_VALUE"""),44734.8779136458)</f>
        <v>44734.87791</v>
      </c>
      <c r="D5922" s="15">
        <f>IFERROR(__xludf.DUMMYFUNCTION("""COMPUTED_VALUE"""),1.005)</f>
        <v>1.005</v>
      </c>
      <c r="E5922" s="16">
        <f>IFERROR(__xludf.DUMMYFUNCTION("""COMPUTED_VALUE"""),66.0)</f>
        <v>66</v>
      </c>
      <c r="F5922" s="19" t="str">
        <f>IFERROR(__xludf.DUMMYFUNCTION("""COMPUTED_VALUE"""),"BLACK")</f>
        <v>BLACK</v>
      </c>
      <c r="G5922" s="20" t="str">
        <f>IFERROR(__xludf.DUMMYFUNCTION("""COMPUTED_VALUE"""),"Uncle Sams Cider (5/13/2022)")</f>
        <v>Uncle Sams Cider (5/13/2022)</v>
      </c>
      <c r="H5922" s="19"/>
    </row>
    <row r="5923">
      <c r="A5923" s="9"/>
      <c r="B5923" s="15"/>
      <c r="C5923" s="9">
        <f>IFERROR(__xludf.DUMMYFUNCTION("""COMPUTED_VALUE"""),44734.8674927893)</f>
        <v>44734.86749</v>
      </c>
      <c r="D5923" s="15">
        <f>IFERROR(__xludf.DUMMYFUNCTION("""COMPUTED_VALUE"""),1.005)</f>
        <v>1.005</v>
      </c>
      <c r="E5923" s="16">
        <f>IFERROR(__xludf.DUMMYFUNCTION("""COMPUTED_VALUE"""),66.0)</f>
        <v>66</v>
      </c>
      <c r="F5923" s="19" t="str">
        <f>IFERROR(__xludf.DUMMYFUNCTION("""COMPUTED_VALUE"""),"BLACK")</f>
        <v>BLACK</v>
      </c>
      <c r="G5923" s="20" t="str">
        <f>IFERROR(__xludf.DUMMYFUNCTION("""COMPUTED_VALUE"""),"Uncle Sams Cider (5/13/2022)")</f>
        <v>Uncle Sams Cider (5/13/2022)</v>
      </c>
      <c r="H5923" s="19"/>
    </row>
    <row r="5924">
      <c r="A5924" s="9"/>
      <c r="B5924" s="15"/>
      <c r="C5924" s="9">
        <f>IFERROR(__xludf.DUMMYFUNCTION("""COMPUTED_VALUE"""),44734.8570603819)</f>
        <v>44734.85706</v>
      </c>
      <c r="D5924" s="15">
        <f>IFERROR(__xludf.DUMMYFUNCTION("""COMPUTED_VALUE"""),1.005)</f>
        <v>1.005</v>
      </c>
      <c r="E5924" s="16">
        <f>IFERROR(__xludf.DUMMYFUNCTION("""COMPUTED_VALUE"""),66.0)</f>
        <v>66</v>
      </c>
      <c r="F5924" s="19" t="str">
        <f>IFERROR(__xludf.DUMMYFUNCTION("""COMPUTED_VALUE"""),"BLACK")</f>
        <v>BLACK</v>
      </c>
      <c r="G5924" s="20" t="str">
        <f>IFERROR(__xludf.DUMMYFUNCTION("""COMPUTED_VALUE"""),"Uncle Sams Cider (5/13/2022)")</f>
        <v>Uncle Sams Cider (5/13/2022)</v>
      </c>
      <c r="H5924" s="19"/>
    </row>
    <row r="5925">
      <c r="A5925" s="9"/>
      <c r="B5925" s="15"/>
      <c r="C5925" s="9">
        <f>IFERROR(__xludf.DUMMYFUNCTION("""COMPUTED_VALUE"""),44734.8466402199)</f>
        <v>44734.84664</v>
      </c>
      <c r="D5925" s="15">
        <f>IFERROR(__xludf.DUMMYFUNCTION("""COMPUTED_VALUE"""),1.005)</f>
        <v>1.005</v>
      </c>
      <c r="E5925" s="16">
        <f>IFERROR(__xludf.DUMMYFUNCTION("""COMPUTED_VALUE"""),66.0)</f>
        <v>66</v>
      </c>
      <c r="F5925" s="19" t="str">
        <f>IFERROR(__xludf.DUMMYFUNCTION("""COMPUTED_VALUE"""),"BLACK")</f>
        <v>BLACK</v>
      </c>
      <c r="G5925" s="20" t="str">
        <f>IFERROR(__xludf.DUMMYFUNCTION("""COMPUTED_VALUE"""),"Uncle Sams Cider (5/13/2022)")</f>
        <v>Uncle Sams Cider (5/13/2022)</v>
      </c>
      <c r="H5925" s="19"/>
    </row>
    <row r="5926">
      <c r="A5926" s="9"/>
      <c r="B5926" s="15"/>
      <c r="C5926" s="9">
        <f>IFERROR(__xludf.DUMMYFUNCTION("""COMPUTED_VALUE"""),44734.8362183912)</f>
        <v>44734.83622</v>
      </c>
      <c r="D5926" s="15">
        <f>IFERROR(__xludf.DUMMYFUNCTION("""COMPUTED_VALUE"""),1.005)</f>
        <v>1.005</v>
      </c>
      <c r="E5926" s="16">
        <f>IFERROR(__xludf.DUMMYFUNCTION("""COMPUTED_VALUE"""),66.0)</f>
        <v>66</v>
      </c>
      <c r="F5926" s="19" t="str">
        <f>IFERROR(__xludf.DUMMYFUNCTION("""COMPUTED_VALUE"""),"BLACK")</f>
        <v>BLACK</v>
      </c>
      <c r="G5926" s="20" t="str">
        <f>IFERROR(__xludf.DUMMYFUNCTION("""COMPUTED_VALUE"""),"Uncle Sams Cider (5/13/2022)")</f>
        <v>Uncle Sams Cider (5/13/2022)</v>
      </c>
      <c r="H5926" s="19"/>
    </row>
    <row r="5927">
      <c r="A5927" s="9"/>
      <c r="B5927" s="15"/>
      <c r="C5927" s="9">
        <f>IFERROR(__xludf.DUMMYFUNCTION("""COMPUTED_VALUE"""),44734.8257961111)</f>
        <v>44734.8258</v>
      </c>
      <c r="D5927" s="15">
        <f>IFERROR(__xludf.DUMMYFUNCTION("""COMPUTED_VALUE"""),1.005)</f>
        <v>1.005</v>
      </c>
      <c r="E5927" s="16">
        <f>IFERROR(__xludf.DUMMYFUNCTION("""COMPUTED_VALUE"""),66.0)</f>
        <v>66</v>
      </c>
      <c r="F5927" s="19" t="str">
        <f>IFERROR(__xludf.DUMMYFUNCTION("""COMPUTED_VALUE"""),"BLACK")</f>
        <v>BLACK</v>
      </c>
      <c r="G5927" s="20" t="str">
        <f>IFERROR(__xludf.DUMMYFUNCTION("""COMPUTED_VALUE"""),"Uncle Sams Cider (5/13/2022)")</f>
        <v>Uncle Sams Cider (5/13/2022)</v>
      </c>
      <c r="H5927" s="19"/>
    </row>
    <row r="5928">
      <c r="A5928" s="9"/>
      <c r="B5928" s="15"/>
      <c r="C5928" s="9">
        <f>IFERROR(__xludf.DUMMYFUNCTION("""COMPUTED_VALUE"""),44734.815375)</f>
        <v>44734.81538</v>
      </c>
      <c r="D5928" s="15">
        <f>IFERROR(__xludf.DUMMYFUNCTION("""COMPUTED_VALUE"""),1.005)</f>
        <v>1.005</v>
      </c>
      <c r="E5928" s="16">
        <f>IFERROR(__xludf.DUMMYFUNCTION("""COMPUTED_VALUE"""),66.0)</f>
        <v>66</v>
      </c>
      <c r="F5928" s="19" t="str">
        <f>IFERROR(__xludf.DUMMYFUNCTION("""COMPUTED_VALUE"""),"BLACK")</f>
        <v>BLACK</v>
      </c>
      <c r="G5928" s="20" t="str">
        <f>IFERROR(__xludf.DUMMYFUNCTION("""COMPUTED_VALUE"""),"Uncle Sams Cider (5/13/2022)")</f>
        <v>Uncle Sams Cider (5/13/2022)</v>
      </c>
      <c r="H5928" s="19"/>
    </row>
    <row r="5929">
      <c r="A5929" s="9"/>
      <c r="B5929" s="15"/>
      <c r="C5929" s="9">
        <f>IFERROR(__xludf.DUMMYFUNCTION("""COMPUTED_VALUE"""),44734.8049534953)</f>
        <v>44734.80495</v>
      </c>
      <c r="D5929" s="15">
        <f>IFERROR(__xludf.DUMMYFUNCTION("""COMPUTED_VALUE"""),1.005)</f>
        <v>1.005</v>
      </c>
      <c r="E5929" s="16">
        <f>IFERROR(__xludf.DUMMYFUNCTION("""COMPUTED_VALUE"""),66.0)</f>
        <v>66</v>
      </c>
      <c r="F5929" s="19" t="str">
        <f>IFERROR(__xludf.DUMMYFUNCTION("""COMPUTED_VALUE"""),"BLACK")</f>
        <v>BLACK</v>
      </c>
      <c r="G5929" s="20" t="str">
        <f>IFERROR(__xludf.DUMMYFUNCTION("""COMPUTED_VALUE"""),"Uncle Sams Cider (5/13/2022)")</f>
        <v>Uncle Sams Cider (5/13/2022)</v>
      </c>
      <c r="H5929" s="19"/>
    </row>
    <row r="5930">
      <c r="A5930" s="9"/>
      <c r="B5930" s="15"/>
      <c r="C5930" s="9">
        <f>IFERROR(__xludf.DUMMYFUNCTION("""COMPUTED_VALUE"""),44734.7945316666)</f>
        <v>44734.79453</v>
      </c>
      <c r="D5930" s="15">
        <f>IFERROR(__xludf.DUMMYFUNCTION("""COMPUTED_VALUE"""),1.005)</f>
        <v>1.005</v>
      </c>
      <c r="E5930" s="16">
        <f>IFERROR(__xludf.DUMMYFUNCTION("""COMPUTED_VALUE"""),66.0)</f>
        <v>66</v>
      </c>
      <c r="F5930" s="19" t="str">
        <f>IFERROR(__xludf.DUMMYFUNCTION("""COMPUTED_VALUE"""),"BLACK")</f>
        <v>BLACK</v>
      </c>
      <c r="G5930" s="20" t="str">
        <f>IFERROR(__xludf.DUMMYFUNCTION("""COMPUTED_VALUE"""),"Uncle Sams Cider (5/13/2022)")</f>
        <v>Uncle Sams Cider (5/13/2022)</v>
      </c>
      <c r="H5930" s="19"/>
    </row>
    <row r="5931">
      <c r="A5931" s="9"/>
      <c r="B5931" s="15"/>
      <c r="C5931" s="9">
        <f>IFERROR(__xludf.DUMMYFUNCTION("""COMPUTED_VALUE"""),44734.7841094907)</f>
        <v>44734.78411</v>
      </c>
      <c r="D5931" s="15">
        <f>IFERROR(__xludf.DUMMYFUNCTION("""COMPUTED_VALUE"""),1.005)</f>
        <v>1.005</v>
      </c>
      <c r="E5931" s="16">
        <f>IFERROR(__xludf.DUMMYFUNCTION("""COMPUTED_VALUE"""),66.0)</f>
        <v>66</v>
      </c>
      <c r="F5931" s="19" t="str">
        <f>IFERROR(__xludf.DUMMYFUNCTION("""COMPUTED_VALUE"""),"BLACK")</f>
        <v>BLACK</v>
      </c>
      <c r="G5931" s="20" t="str">
        <f>IFERROR(__xludf.DUMMYFUNCTION("""COMPUTED_VALUE"""),"Uncle Sams Cider (5/13/2022)")</f>
        <v>Uncle Sams Cider (5/13/2022)</v>
      </c>
      <c r="H5931" s="19"/>
    </row>
    <row r="5932">
      <c r="A5932" s="9"/>
      <c r="B5932" s="15"/>
      <c r="C5932" s="9">
        <f>IFERROR(__xludf.DUMMYFUNCTION("""COMPUTED_VALUE"""),44734.773675625)</f>
        <v>44734.77368</v>
      </c>
      <c r="D5932" s="15">
        <f>IFERROR(__xludf.DUMMYFUNCTION("""COMPUTED_VALUE"""),1.005)</f>
        <v>1.005</v>
      </c>
      <c r="E5932" s="16">
        <f>IFERROR(__xludf.DUMMYFUNCTION("""COMPUTED_VALUE"""),66.0)</f>
        <v>66</v>
      </c>
      <c r="F5932" s="19" t="str">
        <f>IFERROR(__xludf.DUMMYFUNCTION("""COMPUTED_VALUE"""),"BLACK")</f>
        <v>BLACK</v>
      </c>
      <c r="G5932" s="20" t="str">
        <f>IFERROR(__xludf.DUMMYFUNCTION("""COMPUTED_VALUE"""),"Uncle Sams Cider (5/13/2022)")</f>
        <v>Uncle Sams Cider (5/13/2022)</v>
      </c>
      <c r="H5932" s="19"/>
    </row>
    <row r="5933">
      <c r="A5933" s="9"/>
      <c r="B5933" s="15"/>
      <c r="C5933" s="9">
        <f>IFERROR(__xludf.DUMMYFUNCTION("""COMPUTED_VALUE"""),44734.7632546643)</f>
        <v>44734.76325</v>
      </c>
      <c r="D5933" s="15">
        <f>IFERROR(__xludf.DUMMYFUNCTION("""COMPUTED_VALUE"""),1.005)</f>
        <v>1.005</v>
      </c>
      <c r="E5933" s="16">
        <f>IFERROR(__xludf.DUMMYFUNCTION("""COMPUTED_VALUE"""),66.0)</f>
        <v>66</v>
      </c>
      <c r="F5933" s="19" t="str">
        <f>IFERROR(__xludf.DUMMYFUNCTION("""COMPUTED_VALUE"""),"BLACK")</f>
        <v>BLACK</v>
      </c>
      <c r="G5933" s="20" t="str">
        <f>IFERROR(__xludf.DUMMYFUNCTION("""COMPUTED_VALUE"""),"Uncle Sams Cider (5/13/2022)")</f>
        <v>Uncle Sams Cider (5/13/2022)</v>
      </c>
      <c r="H5933" s="19"/>
    </row>
    <row r="5934">
      <c r="A5934" s="9"/>
      <c r="B5934" s="15"/>
      <c r="C5934" s="9">
        <f>IFERROR(__xludf.DUMMYFUNCTION("""COMPUTED_VALUE"""),44734.7528333564)</f>
        <v>44734.75283</v>
      </c>
      <c r="D5934" s="15">
        <f>IFERROR(__xludf.DUMMYFUNCTION("""COMPUTED_VALUE"""),1.005)</f>
        <v>1.005</v>
      </c>
      <c r="E5934" s="16">
        <f>IFERROR(__xludf.DUMMYFUNCTION("""COMPUTED_VALUE"""),66.0)</f>
        <v>66</v>
      </c>
      <c r="F5934" s="19" t="str">
        <f>IFERROR(__xludf.DUMMYFUNCTION("""COMPUTED_VALUE"""),"BLACK")</f>
        <v>BLACK</v>
      </c>
      <c r="G5934" s="20" t="str">
        <f>IFERROR(__xludf.DUMMYFUNCTION("""COMPUTED_VALUE"""),"Uncle Sams Cider (5/13/2022)")</f>
        <v>Uncle Sams Cider (5/13/2022)</v>
      </c>
      <c r="H5934" s="19"/>
    </row>
    <row r="5935">
      <c r="A5935" s="9"/>
      <c r="B5935" s="15"/>
      <c r="C5935" s="9">
        <f>IFERROR(__xludf.DUMMYFUNCTION("""COMPUTED_VALUE"""),44734.7424117361)</f>
        <v>44734.74241</v>
      </c>
      <c r="D5935" s="15">
        <f>IFERROR(__xludf.DUMMYFUNCTION("""COMPUTED_VALUE"""),1.005)</f>
        <v>1.005</v>
      </c>
      <c r="E5935" s="16">
        <f>IFERROR(__xludf.DUMMYFUNCTION("""COMPUTED_VALUE"""),67.0)</f>
        <v>67</v>
      </c>
      <c r="F5935" s="19" t="str">
        <f>IFERROR(__xludf.DUMMYFUNCTION("""COMPUTED_VALUE"""),"BLACK")</f>
        <v>BLACK</v>
      </c>
      <c r="G5935" s="20" t="str">
        <f>IFERROR(__xludf.DUMMYFUNCTION("""COMPUTED_VALUE"""),"Uncle Sams Cider (5/13/2022)")</f>
        <v>Uncle Sams Cider (5/13/2022)</v>
      </c>
      <c r="H5935" s="19"/>
    </row>
    <row r="5936">
      <c r="A5936" s="9"/>
      <c r="B5936" s="15"/>
      <c r="C5936" s="9">
        <f>IFERROR(__xludf.DUMMYFUNCTION("""COMPUTED_VALUE"""),44734.7319897106)</f>
        <v>44734.73199</v>
      </c>
      <c r="D5936" s="15">
        <f>IFERROR(__xludf.DUMMYFUNCTION("""COMPUTED_VALUE"""),1.005)</f>
        <v>1.005</v>
      </c>
      <c r="E5936" s="16">
        <f>IFERROR(__xludf.DUMMYFUNCTION("""COMPUTED_VALUE"""),67.0)</f>
        <v>67</v>
      </c>
      <c r="F5936" s="19" t="str">
        <f>IFERROR(__xludf.DUMMYFUNCTION("""COMPUTED_VALUE"""),"BLACK")</f>
        <v>BLACK</v>
      </c>
      <c r="G5936" s="20" t="str">
        <f>IFERROR(__xludf.DUMMYFUNCTION("""COMPUTED_VALUE"""),"Uncle Sams Cider (5/13/2022)")</f>
        <v>Uncle Sams Cider (5/13/2022)</v>
      </c>
      <c r="H5936" s="19"/>
    </row>
    <row r="5937">
      <c r="A5937" s="9"/>
      <c r="B5937" s="15"/>
      <c r="C5937" s="9">
        <f>IFERROR(__xludf.DUMMYFUNCTION("""COMPUTED_VALUE"""),44734.7215680902)</f>
        <v>44734.72157</v>
      </c>
      <c r="D5937" s="15">
        <f>IFERROR(__xludf.DUMMYFUNCTION("""COMPUTED_VALUE"""),1.005)</f>
        <v>1.005</v>
      </c>
      <c r="E5937" s="16">
        <f>IFERROR(__xludf.DUMMYFUNCTION("""COMPUTED_VALUE"""),68.0)</f>
        <v>68</v>
      </c>
      <c r="F5937" s="19" t="str">
        <f>IFERROR(__xludf.DUMMYFUNCTION("""COMPUTED_VALUE"""),"BLACK")</f>
        <v>BLACK</v>
      </c>
      <c r="G5937" s="20" t="str">
        <f>IFERROR(__xludf.DUMMYFUNCTION("""COMPUTED_VALUE"""),"Uncle Sams Cider (5/13/2022)")</f>
        <v>Uncle Sams Cider (5/13/2022)</v>
      </c>
      <c r="H5937" s="19"/>
    </row>
    <row r="5938">
      <c r="A5938" s="9"/>
      <c r="B5938" s="15"/>
      <c r="C5938" s="9">
        <f>IFERROR(__xludf.DUMMYFUNCTION("""COMPUTED_VALUE"""),44734.7111228935)</f>
        <v>44734.71112</v>
      </c>
      <c r="D5938" s="15">
        <f>IFERROR(__xludf.DUMMYFUNCTION("""COMPUTED_VALUE"""),1.005)</f>
        <v>1.005</v>
      </c>
      <c r="E5938" s="16">
        <f>IFERROR(__xludf.DUMMYFUNCTION("""COMPUTED_VALUE"""),69.0)</f>
        <v>69</v>
      </c>
      <c r="F5938" s="19" t="str">
        <f>IFERROR(__xludf.DUMMYFUNCTION("""COMPUTED_VALUE"""),"BLACK")</f>
        <v>BLACK</v>
      </c>
      <c r="G5938" s="20" t="str">
        <f>IFERROR(__xludf.DUMMYFUNCTION("""COMPUTED_VALUE"""),"Uncle Sams Cider (5/13/2022)")</f>
        <v>Uncle Sams Cider (5/13/2022)</v>
      </c>
      <c r="H5938" s="19"/>
    </row>
    <row r="5939">
      <c r="A5939" s="9"/>
      <c r="B5939" s="15"/>
      <c r="C5939" s="9">
        <f>IFERROR(__xludf.DUMMYFUNCTION("""COMPUTED_VALUE"""),44734.7007028703)</f>
        <v>44734.7007</v>
      </c>
      <c r="D5939" s="15">
        <f>IFERROR(__xludf.DUMMYFUNCTION("""COMPUTED_VALUE"""),1.005)</f>
        <v>1.005</v>
      </c>
      <c r="E5939" s="16">
        <f>IFERROR(__xludf.DUMMYFUNCTION("""COMPUTED_VALUE"""),70.0)</f>
        <v>70</v>
      </c>
      <c r="F5939" s="19" t="str">
        <f>IFERROR(__xludf.DUMMYFUNCTION("""COMPUTED_VALUE"""),"BLACK")</f>
        <v>BLACK</v>
      </c>
      <c r="G5939" s="20" t="str">
        <f>IFERROR(__xludf.DUMMYFUNCTION("""COMPUTED_VALUE"""),"Uncle Sams Cider (5/13/2022)")</f>
        <v>Uncle Sams Cider (5/13/2022)</v>
      </c>
      <c r="H5939" s="19"/>
    </row>
    <row r="5940">
      <c r="A5940" s="9"/>
      <c r="B5940" s="15"/>
      <c r="C5940" s="9">
        <f>IFERROR(__xludf.DUMMYFUNCTION("""COMPUTED_VALUE"""),44734.6902810879)</f>
        <v>44734.69028</v>
      </c>
      <c r="D5940" s="15">
        <f>IFERROR(__xludf.DUMMYFUNCTION("""COMPUTED_VALUE"""),1.005)</f>
        <v>1.005</v>
      </c>
      <c r="E5940" s="16">
        <f>IFERROR(__xludf.DUMMYFUNCTION("""COMPUTED_VALUE"""),70.0)</f>
        <v>70</v>
      </c>
      <c r="F5940" s="19" t="str">
        <f>IFERROR(__xludf.DUMMYFUNCTION("""COMPUTED_VALUE"""),"BLACK")</f>
        <v>BLACK</v>
      </c>
      <c r="G5940" s="20" t="str">
        <f>IFERROR(__xludf.DUMMYFUNCTION("""COMPUTED_VALUE"""),"Uncle Sams Cider (5/13/2022)")</f>
        <v>Uncle Sams Cider (5/13/2022)</v>
      </c>
      <c r="H5940" s="19"/>
    </row>
    <row r="5941">
      <c r="A5941" s="9"/>
      <c r="B5941" s="15"/>
      <c r="C5941" s="9">
        <f>IFERROR(__xludf.DUMMYFUNCTION("""COMPUTED_VALUE"""),44734.6798583796)</f>
        <v>44734.67986</v>
      </c>
      <c r="D5941" s="15">
        <f>IFERROR(__xludf.DUMMYFUNCTION("""COMPUTED_VALUE"""),1.005)</f>
        <v>1.005</v>
      </c>
      <c r="E5941" s="16">
        <f>IFERROR(__xludf.DUMMYFUNCTION("""COMPUTED_VALUE"""),70.0)</f>
        <v>70</v>
      </c>
      <c r="F5941" s="19" t="str">
        <f>IFERROR(__xludf.DUMMYFUNCTION("""COMPUTED_VALUE"""),"BLACK")</f>
        <v>BLACK</v>
      </c>
      <c r="G5941" s="20" t="str">
        <f>IFERROR(__xludf.DUMMYFUNCTION("""COMPUTED_VALUE"""),"Uncle Sams Cider (5/13/2022)")</f>
        <v>Uncle Sams Cider (5/13/2022)</v>
      </c>
      <c r="H5941" s="19"/>
    </row>
    <row r="5942">
      <c r="A5942" s="9"/>
      <c r="B5942" s="15"/>
      <c r="C5942" s="9">
        <f>IFERROR(__xludf.DUMMYFUNCTION("""COMPUTED_VALUE"""),44734.6694388078)</f>
        <v>44734.66944</v>
      </c>
      <c r="D5942" s="15">
        <f>IFERROR(__xludf.DUMMYFUNCTION("""COMPUTED_VALUE"""),1.005)</f>
        <v>1.005</v>
      </c>
      <c r="E5942" s="16">
        <f>IFERROR(__xludf.DUMMYFUNCTION("""COMPUTED_VALUE"""),70.0)</f>
        <v>70</v>
      </c>
      <c r="F5942" s="19" t="str">
        <f>IFERROR(__xludf.DUMMYFUNCTION("""COMPUTED_VALUE"""),"BLACK")</f>
        <v>BLACK</v>
      </c>
      <c r="G5942" s="20" t="str">
        <f>IFERROR(__xludf.DUMMYFUNCTION("""COMPUTED_VALUE"""),"Uncle Sams Cider (5/13/2022)")</f>
        <v>Uncle Sams Cider (5/13/2022)</v>
      </c>
      <c r="H5942" s="19"/>
    </row>
    <row r="5943">
      <c r="A5943" s="9"/>
      <c r="B5943" s="15"/>
      <c r="C5943" s="9">
        <f>IFERROR(__xludf.DUMMYFUNCTION("""COMPUTED_VALUE"""),44734.6590172916)</f>
        <v>44734.65902</v>
      </c>
      <c r="D5943" s="15">
        <f>IFERROR(__xludf.DUMMYFUNCTION("""COMPUTED_VALUE"""),1.005)</f>
        <v>1.005</v>
      </c>
      <c r="E5943" s="16">
        <f>IFERROR(__xludf.DUMMYFUNCTION("""COMPUTED_VALUE"""),70.0)</f>
        <v>70</v>
      </c>
      <c r="F5943" s="19" t="str">
        <f>IFERROR(__xludf.DUMMYFUNCTION("""COMPUTED_VALUE"""),"BLACK")</f>
        <v>BLACK</v>
      </c>
      <c r="G5943" s="20" t="str">
        <f>IFERROR(__xludf.DUMMYFUNCTION("""COMPUTED_VALUE"""),"Uncle Sams Cider (5/13/2022)")</f>
        <v>Uncle Sams Cider (5/13/2022)</v>
      </c>
      <c r="H5943" s="19"/>
    </row>
    <row r="5944">
      <c r="A5944" s="9"/>
      <c r="B5944" s="15"/>
      <c r="C5944" s="9">
        <f>IFERROR(__xludf.DUMMYFUNCTION("""COMPUTED_VALUE"""),44734.648596875)</f>
        <v>44734.6486</v>
      </c>
      <c r="D5944" s="15">
        <f>IFERROR(__xludf.DUMMYFUNCTION("""COMPUTED_VALUE"""),1.005)</f>
        <v>1.005</v>
      </c>
      <c r="E5944" s="16">
        <f>IFERROR(__xludf.DUMMYFUNCTION("""COMPUTED_VALUE"""),70.0)</f>
        <v>70</v>
      </c>
      <c r="F5944" s="19" t="str">
        <f>IFERROR(__xludf.DUMMYFUNCTION("""COMPUTED_VALUE"""),"BLACK")</f>
        <v>BLACK</v>
      </c>
      <c r="G5944" s="20" t="str">
        <f>IFERROR(__xludf.DUMMYFUNCTION("""COMPUTED_VALUE"""),"Uncle Sams Cider (5/13/2022)")</f>
        <v>Uncle Sams Cider (5/13/2022)</v>
      </c>
      <c r="H5944" s="19"/>
    </row>
    <row r="5945">
      <c r="A5945" s="9"/>
      <c r="B5945" s="15"/>
      <c r="C5945" s="9">
        <f>IFERROR(__xludf.DUMMYFUNCTION("""COMPUTED_VALUE"""),44734.6381745833)</f>
        <v>44734.63817</v>
      </c>
      <c r="D5945" s="15">
        <f>IFERROR(__xludf.DUMMYFUNCTION("""COMPUTED_VALUE"""),1.005)</f>
        <v>1.005</v>
      </c>
      <c r="E5945" s="16">
        <f>IFERROR(__xludf.DUMMYFUNCTION("""COMPUTED_VALUE"""),70.0)</f>
        <v>70</v>
      </c>
      <c r="F5945" s="19" t="str">
        <f>IFERROR(__xludf.DUMMYFUNCTION("""COMPUTED_VALUE"""),"BLACK")</f>
        <v>BLACK</v>
      </c>
      <c r="G5945" s="20" t="str">
        <f>IFERROR(__xludf.DUMMYFUNCTION("""COMPUTED_VALUE"""),"Uncle Sams Cider (5/13/2022)")</f>
        <v>Uncle Sams Cider (5/13/2022)</v>
      </c>
      <c r="H5945" s="19"/>
    </row>
    <row r="5946">
      <c r="A5946" s="9"/>
      <c r="B5946" s="15"/>
      <c r="C5946" s="9">
        <f>IFERROR(__xludf.DUMMYFUNCTION("""COMPUTED_VALUE"""),44734.6277546875)</f>
        <v>44734.62775</v>
      </c>
      <c r="D5946" s="15">
        <f>IFERROR(__xludf.DUMMYFUNCTION("""COMPUTED_VALUE"""),1.005)</f>
        <v>1.005</v>
      </c>
      <c r="E5946" s="16">
        <f>IFERROR(__xludf.DUMMYFUNCTION("""COMPUTED_VALUE"""),70.0)</f>
        <v>70</v>
      </c>
      <c r="F5946" s="19" t="str">
        <f>IFERROR(__xludf.DUMMYFUNCTION("""COMPUTED_VALUE"""),"BLACK")</f>
        <v>BLACK</v>
      </c>
      <c r="G5946" s="20" t="str">
        <f>IFERROR(__xludf.DUMMYFUNCTION("""COMPUTED_VALUE"""),"Uncle Sams Cider (5/13/2022)")</f>
        <v>Uncle Sams Cider (5/13/2022)</v>
      </c>
      <c r="H5946" s="19"/>
    </row>
    <row r="5947">
      <c r="A5947" s="9"/>
      <c r="B5947" s="15"/>
      <c r="C5947" s="9">
        <f>IFERROR(__xludf.DUMMYFUNCTION("""COMPUTED_VALUE"""),44734.6173213425)</f>
        <v>44734.61732</v>
      </c>
      <c r="D5947" s="15">
        <f>IFERROR(__xludf.DUMMYFUNCTION("""COMPUTED_VALUE"""),1.005)</f>
        <v>1.005</v>
      </c>
      <c r="E5947" s="16">
        <f>IFERROR(__xludf.DUMMYFUNCTION("""COMPUTED_VALUE"""),70.0)</f>
        <v>70</v>
      </c>
      <c r="F5947" s="19" t="str">
        <f>IFERROR(__xludf.DUMMYFUNCTION("""COMPUTED_VALUE"""),"BLACK")</f>
        <v>BLACK</v>
      </c>
      <c r="G5947" s="20" t="str">
        <f>IFERROR(__xludf.DUMMYFUNCTION("""COMPUTED_VALUE"""),"Uncle Sams Cider (5/13/2022)")</f>
        <v>Uncle Sams Cider (5/13/2022)</v>
      </c>
      <c r="H5947" s="19"/>
    </row>
    <row r="5948">
      <c r="A5948" s="9"/>
      <c r="B5948" s="15"/>
      <c r="C5948" s="9">
        <f>IFERROR(__xludf.DUMMYFUNCTION("""COMPUTED_VALUE"""),44734.6069002314)</f>
        <v>44734.6069</v>
      </c>
      <c r="D5948" s="15">
        <f>IFERROR(__xludf.DUMMYFUNCTION("""COMPUTED_VALUE"""),1.005)</f>
        <v>1.005</v>
      </c>
      <c r="E5948" s="16">
        <f>IFERROR(__xludf.DUMMYFUNCTION("""COMPUTED_VALUE"""),70.0)</f>
        <v>70</v>
      </c>
      <c r="F5948" s="19" t="str">
        <f>IFERROR(__xludf.DUMMYFUNCTION("""COMPUTED_VALUE"""),"BLACK")</f>
        <v>BLACK</v>
      </c>
      <c r="G5948" s="20" t="str">
        <f>IFERROR(__xludf.DUMMYFUNCTION("""COMPUTED_VALUE"""),"Uncle Sams Cider (5/13/2022)")</f>
        <v>Uncle Sams Cider (5/13/2022)</v>
      </c>
      <c r="H5948" s="19"/>
    </row>
    <row r="5949">
      <c r="A5949" s="9"/>
      <c r="B5949" s="15"/>
      <c r="C5949" s="9">
        <f>IFERROR(__xludf.DUMMYFUNCTION("""COMPUTED_VALUE"""),44734.5964451157)</f>
        <v>44734.59645</v>
      </c>
      <c r="D5949" s="15">
        <f>IFERROR(__xludf.DUMMYFUNCTION("""COMPUTED_VALUE"""),1.005)</f>
        <v>1.005</v>
      </c>
      <c r="E5949" s="16">
        <f>IFERROR(__xludf.DUMMYFUNCTION("""COMPUTED_VALUE"""),70.0)</f>
        <v>70</v>
      </c>
      <c r="F5949" s="19" t="str">
        <f>IFERROR(__xludf.DUMMYFUNCTION("""COMPUTED_VALUE"""),"BLACK")</f>
        <v>BLACK</v>
      </c>
      <c r="G5949" s="20" t="str">
        <f>IFERROR(__xludf.DUMMYFUNCTION("""COMPUTED_VALUE"""),"Uncle Sams Cider (5/13/2022)")</f>
        <v>Uncle Sams Cider (5/13/2022)</v>
      </c>
      <c r="H5949" s="19"/>
    </row>
    <row r="5950">
      <c r="A5950" s="9"/>
      <c r="B5950" s="15"/>
      <c r="C5950" s="9">
        <f>IFERROR(__xludf.DUMMYFUNCTION("""COMPUTED_VALUE"""),44734.5859765393)</f>
        <v>44734.58598</v>
      </c>
      <c r="D5950" s="15">
        <f>IFERROR(__xludf.DUMMYFUNCTION("""COMPUTED_VALUE"""),1.005)</f>
        <v>1.005</v>
      </c>
      <c r="E5950" s="16">
        <f>IFERROR(__xludf.DUMMYFUNCTION("""COMPUTED_VALUE"""),70.0)</f>
        <v>70</v>
      </c>
      <c r="F5950" s="19" t="str">
        <f>IFERROR(__xludf.DUMMYFUNCTION("""COMPUTED_VALUE"""),"BLACK")</f>
        <v>BLACK</v>
      </c>
      <c r="G5950" s="20" t="str">
        <f>IFERROR(__xludf.DUMMYFUNCTION("""COMPUTED_VALUE"""),"Uncle Sams Cider (5/13/2022)")</f>
        <v>Uncle Sams Cider (5/13/2022)</v>
      </c>
      <c r="H5950" s="19"/>
    </row>
    <row r="5951">
      <c r="A5951" s="9"/>
      <c r="B5951" s="15"/>
      <c r="C5951" s="9">
        <f>IFERROR(__xludf.DUMMYFUNCTION("""COMPUTED_VALUE"""),44734.5755561111)</f>
        <v>44734.57556</v>
      </c>
      <c r="D5951" s="15">
        <f>IFERROR(__xludf.DUMMYFUNCTION("""COMPUTED_VALUE"""),1.005)</f>
        <v>1.005</v>
      </c>
      <c r="E5951" s="16">
        <f>IFERROR(__xludf.DUMMYFUNCTION("""COMPUTED_VALUE"""),70.0)</f>
        <v>70</v>
      </c>
      <c r="F5951" s="19" t="str">
        <f>IFERROR(__xludf.DUMMYFUNCTION("""COMPUTED_VALUE"""),"BLACK")</f>
        <v>BLACK</v>
      </c>
      <c r="G5951" s="20" t="str">
        <f>IFERROR(__xludf.DUMMYFUNCTION("""COMPUTED_VALUE"""),"Uncle Sams Cider (5/13/2022)")</f>
        <v>Uncle Sams Cider (5/13/2022)</v>
      </c>
      <c r="H5951" s="19"/>
    </row>
    <row r="5952">
      <c r="A5952" s="9"/>
      <c r="B5952" s="15"/>
      <c r="C5952" s="9">
        <f>IFERROR(__xludf.DUMMYFUNCTION("""COMPUTED_VALUE"""),44734.5651347106)</f>
        <v>44734.56513</v>
      </c>
      <c r="D5952" s="15">
        <f>IFERROR(__xludf.DUMMYFUNCTION("""COMPUTED_VALUE"""),1.005)</f>
        <v>1.005</v>
      </c>
      <c r="E5952" s="16">
        <f>IFERROR(__xludf.DUMMYFUNCTION("""COMPUTED_VALUE"""),70.0)</f>
        <v>70</v>
      </c>
      <c r="F5952" s="19" t="str">
        <f>IFERROR(__xludf.DUMMYFUNCTION("""COMPUTED_VALUE"""),"BLACK")</f>
        <v>BLACK</v>
      </c>
      <c r="G5952" s="20" t="str">
        <f>IFERROR(__xludf.DUMMYFUNCTION("""COMPUTED_VALUE"""),"Uncle Sams Cider (5/13/2022)")</f>
        <v>Uncle Sams Cider (5/13/2022)</v>
      </c>
      <c r="H5952" s="19"/>
    </row>
    <row r="5953">
      <c r="A5953" s="9"/>
      <c r="B5953" s="15"/>
      <c r="C5953" s="9">
        <f>IFERROR(__xludf.DUMMYFUNCTION("""COMPUTED_VALUE"""),44734.5547148842)</f>
        <v>44734.55471</v>
      </c>
      <c r="D5953" s="15">
        <f>IFERROR(__xludf.DUMMYFUNCTION("""COMPUTED_VALUE"""),1.005)</f>
        <v>1.005</v>
      </c>
      <c r="E5953" s="16">
        <f>IFERROR(__xludf.DUMMYFUNCTION("""COMPUTED_VALUE"""),70.0)</f>
        <v>70</v>
      </c>
      <c r="F5953" s="19" t="str">
        <f>IFERROR(__xludf.DUMMYFUNCTION("""COMPUTED_VALUE"""),"BLACK")</f>
        <v>BLACK</v>
      </c>
      <c r="G5953" s="20" t="str">
        <f>IFERROR(__xludf.DUMMYFUNCTION("""COMPUTED_VALUE"""),"Uncle Sams Cider (5/13/2022)")</f>
        <v>Uncle Sams Cider (5/13/2022)</v>
      </c>
      <c r="H5953" s="19"/>
    </row>
    <row r="5954">
      <c r="A5954" s="9"/>
      <c r="B5954" s="15"/>
      <c r="C5954" s="9">
        <f>IFERROR(__xludf.DUMMYFUNCTION("""COMPUTED_VALUE"""),44734.544245949)</f>
        <v>44734.54425</v>
      </c>
      <c r="D5954" s="15">
        <f>IFERROR(__xludf.DUMMYFUNCTION("""COMPUTED_VALUE"""),1.005)</f>
        <v>1.005</v>
      </c>
      <c r="E5954" s="16">
        <f>IFERROR(__xludf.DUMMYFUNCTION("""COMPUTED_VALUE"""),70.0)</f>
        <v>70</v>
      </c>
      <c r="F5954" s="19" t="str">
        <f>IFERROR(__xludf.DUMMYFUNCTION("""COMPUTED_VALUE"""),"BLACK")</f>
        <v>BLACK</v>
      </c>
      <c r="G5954" s="20" t="str">
        <f>IFERROR(__xludf.DUMMYFUNCTION("""COMPUTED_VALUE"""),"Uncle Sams Cider (5/13/2022)")</f>
        <v>Uncle Sams Cider (5/13/2022)</v>
      </c>
      <c r="H5954" s="19"/>
    </row>
    <row r="5955">
      <c r="A5955" s="9"/>
      <c r="B5955" s="15"/>
      <c r="C5955" s="9">
        <f>IFERROR(__xludf.DUMMYFUNCTION("""COMPUTED_VALUE"""),44734.5338246412)</f>
        <v>44734.53382</v>
      </c>
      <c r="D5955" s="15">
        <f>IFERROR(__xludf.DUMMYFUNCTION("""COMPUTED_VALUE"""),1.005)</f>
        <v>1.005</v>
      </c>
      <c r="E5955" s="16">
        <f>IFERROR(__xludf.DUMMYFUNCTION("""COMPUTED_VALUE"""),70.0)</f>
        <v>70</v>
      </c>
      <c r="F5955" s="19" t="str">
        <f>IFERROR(__xludf.DUMMYFUNCTION("""COMPUTED_VALUE"""),"BLACK")</f>
        <v>BLACK</v>
      </c>
      <c r="G5955" s="20" t="str">
        <f>IFERROR(__xludf.DUMMYFUNCTION("""COMPUTED_VALUE"""),"Uncle Sams Cider (5/13/2022)")</f>
        <v>Uncle Sams Cider (5/13/2022)</v>
      </c>
      <c r="H5955" s="19"/>
    </row>
    <row r="5956">
      <c r="A5956" s="9"/>
      <c r="B5956" s="15"/>
      <c r="C5956" s="9">
        <f>IFERROR(__xludf.DUMMYFUNCTION("""COMPUTED_VALUE"""),44734.5234029629)</f>
        <v>44734.5234</v>
      </c>
      <c r="D5956" s="15">
        <f>IFERROR(__xludf.DUMMYFUNCTION("""COMPUTED_VALUE"""),1.005)</f>
        <v>1.005</v>
      </c>
      <c r="E5956" s="16">
        <f>IFERROR(__xludf.DUMMYFUNCTION("""COMPUTED_VALUE"""),70.0)</f>
        <v>70</v>
      </c>
      <c r="F5956" s="19" t="str">
        <f>IFERROR(__xludf.DUMMYFUNCTION("""COMPUTED_VALUE"""),"BLACK")</f>
        <v>BLACK</v>
      </c>
      <c r="G5956" s="20" t="str">
        <f>IFERROR(__xludf.DUMMYFUNCTION("""COMPUTED_VALUE"""),"Uncle Sams Cider (5/13/2022)")</f>
        <v>Uncle Sams Cider (5/13/2022)</v>
      </c>
      <c r="H5956" s="19"/>
    </row>
    <row r="5957">
      <c r="A5957" s="9"/>
      <c r="B5957" s="15"/>
      <c r="C5957" s="9">
        <f>IFERROR(__xludf.DUMMYFUNCTION("""COMPUTED_VALUE"""),44734.5129827314)</f>
        <v>44734.51298</v>
      </c>
      <c r="D5957" s="15">
        <f>IFERROR(__xludf.DUMMYFUNCTION("""COMPUTED_VALUE"""),1.005)</f>
        <v>1.005</v>
      </c>
      <c r="E5957" s="16">
        <f>IFERROR(__xludf.DUMMYFUNCTION("""COMPUTED_VALUE"""),70.0)</f>
        <v>70</v>
      </c>
      <c r="F5957" s="19" t="str">
        <f>IFERROR(__xludf.DUMMYFUNCTION("""COMPUTED_VALUE"""),"BLACK")</f>
        <v>BLACK</v>
      </c>
      <c r="G5957" s="20" t="str">
        <f>IFERROR(__xludf.DUMMYFUNCTION("""COMPUTED_VALUE"""),"Uncle Sams Cider (5/13/2022)")</f>
        <v>Uncle Sams Cider (5/13/2022)</v>
      </c>
      <c r="H5957" s="19"/>
    </row>
    <row r="5958">
      <c r="A5958" s="9"/>
      <c r="B5958" s="15"/>
      <c r="C5958" s="9">
        <f>IFERROR(__xludf.DUMMYFUNCTION("""COMPUTED_VALUE"""),44734.5025598495)</f>
        <v>44734.50256</v>
      </c>
      <c r="D5958" s="15">
        <f>IFERROR(__xludf.DUMMYFUNCTION("""COMPUTED_VALUE"""),1.005)</f>
        <v>1.005</v>
      </c>
      <c r="E5958" s="16">
        <f>IFERROR(__xludf.DUMMYFUNCTION("""COMPUTED_VALUE"""),70.0)</f>
        <v>70</v>
      </c>
      <c r="F5958" s="19" t="str">
        <f>IFERROR(__xludf.DUMMYFUNCTION("""COMPUTED_VALUE"""),"BLACK")</f>
        <v>BLACK</v>
      </c>
      <c r="G5958" s="20" t="str">
        <f>IFERROR(__xludf.DUMMYFUNCTION("""COMPUTED_VALUE"""),"Uncle Sams Cider (5/13/2022)")</f>
        <v>Uncle Sams Cider (5/13/2022)</v>
      </c>
      <c r="H5958" s="19"/>
    </row>
    <row r="5959">
      <c r="A5959" s="9"/>
      <c r="B5959" s="15"/>
      <c r="C5959" s="9">
        <f>IFERROR(__xludf.DUMMYFUNCTION("""COMPUTED_VALUE"""),44734.4921397569)</f>
        <v>44734.49214</v>
      </c>
      <c r="D5959" s="15">
        <f>IFERROR(__xludf.DUMMYFUNCTION("""COMPUTED_VALUE"""),1.005)</f>
        <v>1.005</v>
      </c>
      <c r="E5959" s="16">
        <f>IFERROR(__xludf.DUMMYFUNCTION("""COMPUTED_VALUE"""),70.0)</f>
        <v>70</v>
      </c>
      <c r="F5959" s="19" t="str">
        <f>IFERROR(__xludf.DUMMYFUNCTION("""COMPUTED_VALUE"""),"BLACK")</f>
        <v>BLACK</v>
      </c>
      <c r="G5959" s="20" t="str">
        <f>IFERROR(__xludf.DUMMYFUNCTION("""COMPUTED_VALUE"""),"Uncle Sams Cider (5/13/2022)")</f>
        <v>Uncle Sams Cider (5/13/2022)</v>
      </c>
      <c r="H5959" s="19"/>
    </row>
    <row r="5960">
      <c r="A5960" s="9"/>
      <c r="B5960" s="15"/>
      <c r="C5960" s="9">
        <f>IFERROR(__xludf.DUMMYFUNCTION("""COMPUTED_VALUE"""),44734.4817189467)</f>
        <v>44734.48172</v>
      </c>
      <c r="D5960" s="15">
        <f>IFERROR(__xludf.DUMMYFUNCTION("""COMPUTED_VALUE"""),1.005)</f>
        <v>1.005</v>
      </c>
      <c r="E5960" s="16">
        <f>IFERROR(__xludf.DUMMYFUNCTION("""COMPUTED_VALUE"""),70.0)</f>
        <v>70</v>
      </c>
      <c r="F5960" s="19" t="str">
        <f>IFERROR(__xludf.DUMMYFUNCTION("""COMPUTED_VALUE"""),"BLACK")</f>
        <v>BLACK</v>
      </c>
      <c r="G5960" s="20" t="str">
        <f>IFERROR(__xludf.DUMMYFUNCTION("""COMPUTED_VALUE"""),"Uncle Sams Cider (5/13/2022)")</f>
        <v>Uncle Sams Cider (5/13/2022)</v>
      </c>
      <c r="H5960" s="19"/>
    </row>
    <row r="5961">
      <c r="A5961" s="9"/>
      <c r="B5961" s="15"/>
      <c r="C5961" s="9">
        <f>IFERROR(__xludf.DUMMYFUNCTION("""COMPUTED_VALUE"""),44734.4712734375)</f>
        <v>44734.47127</v>
      </c>
      <c r="D5961" s="15">
        <f>IFERROR(__xludf.DUMMYFUNCTION("""COMPUTED_VALUE"""),1.005)</f>
        <v>1.005</v>
      </c>
      <c r="E5961" s="16">
        <f>IFERROR(__xludf.DUMMYFUNCTION("""COMPUTED_VALUE"""),70.0)</f>
        <v>70</v>
      </c>
      <c r="F5961" s="19" t="str">
        <f>IFERROR(__xludf.DUMMYFUNCTION("""COMPUTED_VALUE"""),"BLACK")</f>
        <v>BLACK</v>
      </c>
      <c r="G5961" s="20" t="str">
        <f>IFERROR(__xludf.DUMMYFUNCTION("""COMPUTED_VALUE"""),"Uncle Sams Cider (5/13/2022)")</f>
        <v>Uncle Sams Cider (5/13/2022)</v>
      </c>
      <c r="H5961" s="19"/>
    </row>
    <row r="5962">
      <c r="A5962" s="9"/>
      <c r="B5962" s="15"/>
      <c r="C5962" s="9">
        <f>IFERROR(__xludf.DUMMYFUNCTION("""COMPUTED_VALUE"""),44734.460838993)</f>
        <v>44734.46084</v>
      </c>
      <c r="D5962" s="15">
        <f>IFERROR(__xludf.DUMMYFUNCTION("""COMPUTED_VALUE"""),1.005)</f>
        <v>1.005</v>
      </c>
      <c r="E5962" s="16">
        <f>IFERROR(__xludf.DUMMYFUNCTION("""COMPUTED_VALUE"""),70.0)</f>
        <v>70</v>
      </c>
      <c r="F5962" s="19" t="str">
        <f>IFERROR(__xludf.DUMMYFUNCTION("""COMPUTED_VALUE"""),"BLACK")</f>
        <v>BLACK</v>
      </c>
      <c r="G5962" s="20" t="str">
        <f>IFERROR(__xludf.DUMMYFUNCTION("""COMPUTED_VALUE"""),"Uncle Sams Cider (5/13/2022)")</f>
        <v>Uncle Sams Cider (5/13/2022)</v>
      </c>
      <c r="H5962" s="19"/>
    </row>
    <row r="5963">
      <c r="A5963" s="9"/>
      <c r="B5963" s="15"/>
      <c r="C5963" s="9">
        <f>IFERROR(__xludf.DUMMYFUNCTION("""COMPUTED_VALUE"""),44734.4504186458)</f>
        <v>44734.45042</v>
      </c>
      <c r="D5963" s="15">
        <f>IFERROR(__xludf.DUMMYFUNCTION("""COMPUTED_VALUE"""),1.005)</f>
        <v>1.005</v>
      </c>
      <c r="E5963" s="16">
        <f>IFERROR(__xludf.DUMMYFUNCTION("""COMPUTED_VALUE"""),70.0)</f>
        <v>70</v>
      </c>
      <c r="F5963" s="19" t="str">
        <f>IFERROR(__xludf.DUMMYFUNCTION("""COMPUTED_VALUE"""),"BLACK")</f>
        <v>BLACK</v>
      </c>
      <c r="G5963" s="20" t="str">
        <f>IFERROR(__xludf.DUMMYFUNCTION("""COMPUTED_VALUE"""),"Uncle Sams Cider (5/13/2022)")</f>
        <v>Uncle Sams Cider (5/13/2022)</v>
      </c>
      <c r="H5963" s="19"/>
    </row>
    <row r="5964">
      <c r="A5964" s="9"/>
      <c r="B5964" s="15"/>
      <c r="C5964" s="9">
        <f>IFERROR(__xludf.DUMMYFUNCTION("""COMPUTED_VALUE"""),44734.4399973379)</f>
        <v>44734.44</v>
      </c>
      <c r="D5964" s="15">
        <f>IFERROR(__xludf.DUMMYFUNCTION("""COMPUTED_VALUE"""),1.005)</f>
        <v>1.005</v>
      </c>
      <c r="E5964" s="16">
        <f>IFERROR(__xludf.DUMMYFUNCTION("""COMPUTED_VALUE"""),70.0)</f>
        <v>70</v>
      </c>
      <c r="F5964" s="19" t="str">
        <f>IFERROR(__xludf.DUMMYFUNCTION("""COMPUTED_VALUE"""),"BLACK")</f>
        <v>BLACK</v>
      </c>
      <c r="G5964" s="20" t="str">
        <f>IFERROR(__xludf.DUMMYFUNCTION("""COMPUTED_VALUE"""),"Uncle Sams Cider (5/13/2022)")</f>
        <v>Uncle Sams Cider (5/13/2022)</v>
      </c>
      <c r="H5964" s="19"/>
    </row>
    <row r="5965">
      <c r="A5965" s="9"/>
      <c r="B5965" s="15"/>
      <c r="C5965" s="9">
        <f>IFERROR(__xludf.DUMMYFUNCTION("""COMPUTED_VALUE"""),44734.4295751851)</f>
        <v>44734.42958</v>
      </c>
      <c r="D5965" s="15">
        <f>IFERROR(__xludf.DUMMYFUNCTION("""COMPUTED_VALUE"""),1.005)</f>
        <v>1.005</v>
      </c>
      <c r="E5965" s="16">
        <f>IFERROR(__xludf.DUMMYFUNCTION("""COMPUTED_VALUE"""),70.0)</f>
        <v>70</v>
      </c>
      <c r="F5965" s="19" t="str">
        <f>IFERROR(__xludf.DUMMYFUNCTION("""COMPUTED_VALUE"""),"BLACK")</f>
        <v>BLACK</v>
      </c>
      <c r="G5965" s="20" t="str">
        <f>IFERROR(__xludf.DUMMYFUNCTION("""COMPUTED_VALUE"""),"Uncle Sams Cider (5/13/2022)")</f>
        <v>Uncle Sams Cider (5/13/2022)</v>
      </c>
      <c r="H5965" s="19"/>
    </row>
    <row r="5966">
      <c r="A5966" s="9"/>
      <c r="B5966" s="15"/>
      <c r="C5966" s="9">
        <f>IFERROR(__xludf.DUMMYFUNCTION("""COMPUTED_VALUE"""),44734.4191310185)</f>
        <v>44734.41913</v>
      </c>
      <c r="D5966" s="15">
        <f>IFERROR(__xludf.DUMMYFUNCTION("""COMPUTED_VALUE"""),1.005)</f>
        <v>1.005</v>
      </c>
      <c r="E5966" s="16">
        <f>IFERROR(__xludf.DUMMYFUNCTION("""COMPUTED_VALUE"""),70.0)</f>
        <v>70</v>
      </c>
      <c r="F5966" s="19" t="str">
        <f>IFERROR(__xludf.DUMMYFUNCTION("""COMPUTED_VALUE"""),"BLACK")</f>
        <v>BLACK</v>
      </c>
      <c r="G5966" s="20" t="str">
        <f>IFERROR(__xludf.DUMMYFUNCTION("""COMPUTED_VALUE"""),"Uncle Sams Cider (5/13/2022)")</f>
        <v>Uncle Sams Cider (5/13/2022)</v>
      </c>
      <c r="H5966" s="19"/>
    </row>
    <row r="5967">
      <c r="A5967" s="9"/>
      <c r="B5967" s="15"/>
      <c r="C5967" s="9">
        <f>IFERROR(__xludf.DUMMYFUNCTION("""COMPUTED_VALUE"""),44734.4087096064)</f>
        <v>44734.40871</v>
      </c>
      <c r="D5967" s="15">
        <f>IFERROR(__xludf.DUMMYFUNCTION("""COMPUTED_VALUE"""),1.005)</f>
        <v>1.005</v>
      </c>
      <c r="E5967" s="16">
        <f>IFERROR(__xludf.DUMMYFUNCTION("""COMPUTED_VALUE"""),70.0)</f>
        <v>70</v>
      </c>
      <c r="F5967" s="19" t="str">
        <f>IFERROR(__xludf.DUMMYFUNCTION("""COMPUTED_VALUE"""),"BLACK")</f>
        <v>BLACK</v>
      </c>
      <c r="G5967" s="20" t="str">
        <f>IFERROR(__xludf.DUMMYFUNCTION("""COMPUTED_VALUE"""),"Uncle Sams Cider (5/13/2022)")</f>
        <v>Uncle Sams Cider (5/13/2022)</v>
      </c>
      <c r="H5967" s="19"/>
    </row>
    <row r="5968">
      <c r="A5968" s="9"/>
      <c r="B5968" s="15"/>
      <c r="C5968" s="9">
        <f>IFERROR(__xludf.DUMMYFUNCTION("""COMPUTED_VALUE"""),44734.3982896296)</f>
        <v>44734.39829</v>
      </c>
      <c r="D5968" s="15">
        <f>IFERROR(__xludf.DUMMYFUNCTION("""COMPUTED_VALUE"""),1.005)</f>
        <v>1.005</v>
      </c>
      <c r="E5968" s="16">
        <f>IFERROR(__xludf.DUMMYFUNCTION("""COMPUTED_VALUE"""),70.0)</f>
        <v>70</v>
      </c>
      <c r="F5968" s="19" t="str">
        <f>IFERROR(__xludf.DUMMYFUNCTION("""COMPUTED_VALUE"""),"BLACK")</f>
        <v>BLACK</v>
      </c>
      <c r="G5968" s="20" t="str">
        <f>IFERROR(__xludf.DUMMYFUNCTION("""COMPUTED_VALUE"""),"Uncle Sams Cider (5/13/2022)")</f>
        <v>Uncle Sams Cider (5/13/2022)</v>
      </c>
      <c r="H5968" s="19"/>
    </row>
    <row r="5969">
      <c r="A5969" s="9"/>
      <c r="B5969" s="15"/>
      <c r="C5969" s="9">
        <f>IFERROR(__xludf.DUMMYFUNCTION("""COMPUTED_VALUE"""),44734.3878685416)</f>
        <v>44734.38787</v>
      </c>
      <c r="D5969" s="15">
        <f>IFERROR(__xludf.DUMMYFUNCTION("""COMPUTED_VALUE"""),1.005)</f>
        <v>1.005</v>
      </c>
      <c r="E5969" s="16">
        <f>IFERROR(__xludf.DUMMYFUNCTION("""COMPUTED_VALUE"""),70.0)</f>
        <v>70</v>
      </c>
      <c r="F5969" s="19" t="str">
        <f>IFERROR(__xludf.DUMMYFUNCTION("""COMPUTED_VALUE"""),"BLACK")</f>
        <v>BLACK</v>
      </c>
      <c r="G5969" s="20" t="str">
        <f>IFERROR(__xludf.DUMMYFUNCTION("""COMPUTED_VALUE"""),"Uncle Sams Cider (5/13/2022)")</f>
        <v>Uncle Sams Cider (5/13/2022)</v>
      </c>
      <c r="H5969" s="19"/>
    </row>
    <row r="5970">
      <c r="A5970" s="9"/>
      <c r="B5970" s="15"/>
      <c r="C5970" s="9">
        <f>IFERROR(__xludf.DUMMYFUNCTION("""COMPUTED_VALUE"""),44734.3774471643)</f>
        <v>44734.37745</v>
      </c>
      <c r="D5970" s="15">
        <f>IFERROR(__xludf.DUMMYFUNCTION("""COMPUTED_VALUE"""),1.005)</f>
        <v>1.005</v>
      </c>
      <c r="E5970" s="16">
        <f>IFERROR(__xludf.DUMMYFUNCTION("""COMPUTED_VALUE"""),70.0)</f>
        <v>70</v>
      </c>
      <c r="F5970" s="19" t="str">
        <f>IFERROR(__xludf.DUMMYFUNCTION("""COMPUTED_VALUE"""),"BLACK")</f>
        <v>BLACK</v>
      </c>
      <c r="G5970" s="20" t="str">
        <f>IFERROR(__xludf.DUMMYFUNCTION("""COMPUTED_VALUE"""),"Uncle Sams Cider (5/13/2022)")</f>
        <v>Uncle Sams Cider (5/13/2022)</v>
      </c>
      <c r="H5970" s="19"/>
    </row>
    <row r="5971">
      <c r="A5971" s="9"/>
      <c r="B5971" s="15"/>
      <c r="C5971" s="9">
        <f>IFERROR(__xludf.DUMMYFUNCTION("""COMPUTED_VALUE"""),44734.3670247453)</f>
        <v>44734.36702</v>
      </c>
      <c r="D5971" s="15">
        <f>IFERROR(__xludf.DUMMYFUNCTION("""COMPUTED_VALUE"""),1.005)</f>
        <v>1.005</v>
      </c>
      <c r="E5971" s="16">
        <f>IFERROR(__xludf.DUMMYFUNCTION("""COMPUTED_VALUE"""),70.0)</f>
        <v>70</v>
      </c>
      <c r="F5971" s="19" t="str">
        <f>IFERROR(__xludf.DUMMYFUNCTION("""COMPUTED_VALUE"""),"BLACK")</f>
        <v>BLACK</v>
      </c>
      <c r="G5971" s="20" t="str">
        <f>IFERROR(__xludf.DUMMYFUNCTION("""COMPUTED_VALUE"""),"Uncle Sams Cider (5/13/2022)")</f>
        <v>Uncle Sams Cider (5/13/2022)</v>
      </c>
      <c r="H5971" s="19"/>
    </row>
    <row r="5972">
      <c r="A5972" s="9"/>
      <c r="B5972" s="15"/>
      <c r="C5972" s="9">
        <f>IFERROR(__xludf.DUMMYFUNCTION("""COMPUTED_VALUE"""),44734.3566038541)</f>
        <v>44734.3566</v>
      </c>
      <c r="D5972" s="15">
        <f>IFERROR(__xludf.DUMMYFUNCTION("""COMPUTED_VALUE"""),1.005)</f>
        <v>1.005</v>
      </c>
      <c r="E5972" s="16">
        <f>IFERROR(__xludf.DUMMYFUNCTION("""COMPUTED_VALUE"""),70.0)</f>
        <v>70</v>
      </c>
      <c r="F5972" s="19" t="str">
        <f>IFERROR(__xludf.DUMMYFUNCTION("""COMPUTED_VALUE"""),"BLACK")</f>
        <v>BLACK</v>
      </c>
      <c r="G5972" s="20" t="str">
        <f>IFERROR(__xludf.DUMMYFUNCTION("""COMPUTED_VALUE"""),"Uncle Sams Cider (5/13/2022)")</f>
        <v>Uncle Sams Cider (5/13/2022)</v>
      </c>
      <c r="H5972" s="19"/>
    </row>
    <row r="5973">
      <c r="A5973" s="9"/>
      <c r="B5973" s="15"/>
      <c r="C5973" s="9">
        <f>IFERROR(__xludf.DUMMYFUNCTION("""COMPUTED_VALUE"""),44734.3461821643)</f>
        <v>44734.34618</v>
      </c>
      <c r="D5973" s="15">
        <f>IFERROR(__xludf.DUMMYFUNCTION("""COMPUTED_VALUE"""),1.005)</f>
        <v>1.005</v>
      </c>
      <c r="E5973" s="16">
        <f>IFERROR(__xludf.DUMMYFUNCTION("""COMPUTED_VALUE"""),70.0)</f>
        <v>70</v>
      </c>
      <c r="F5973" s="19" t="str">
        <f>IFERROR(__xludf.DUMMYFUNCTION("""COMPUTED_VALUE"""),"BLACK")</f>
        <v>BLACK</v>
      </c>
      <c r="G5973" s="20" t="str">
        <f>IFERROR(__xludf.DUMMYFUNCTION("""COMPUTED_VALUE"""),"Uncle Sams Cider (5/13/2022)")</f>
        <v>Uncle Sams Cider (5/13/2022)</v>
      </c>
      <c r="H5973" s="19"/>
    </row>
    <row r="5974">
      <c r="A5974" s="9"/>
      <c r="B5974" s="15"/>
      <c r="C5974" s="9">
        <f>IFERROR(__xludf.DUMMYFUNCTION("""COMPUTED_VALUE"""),44734.3357621296)</f>
        <v>44734.33576</v>
      </c>
      <c r="D5974" s="15">
        <f>IFERROR(__xludf.DUMMYFUNCTION("""COMPUTED_VALUE"""),1.005)</f>
        <v>1.005</v>
      </c>
      <c r="E5974" s="16">
        <f>IFERROR(__xludf.DUMMYFUNCTION("""COMPUTED_VALUE"""),70.0)</f>
        <v>70</v>
      </c>
      <c r="F5974" s="19" t="str">
        <f>IFERROR(__xludf.DUMMYFUNCTION("""COMPUTED_VALUE"""),"BLACK")</f>
        <v>BLACK</v>
      </c>
      <c r="G5974" s="20" t="str">
        <f>IFERROR(__xludf.DUMMYFUNCTION("""COMPUTED_VALUE"""),"Uncle Sams Cider (5/13/2022)")</f>
        <v>Uncle Sams Cider (5/13/2022)</v>
      </c>
      <c r="H5974" s="19"/>
    </row>
    <row r="5975">
      <c r="A5975" s="9"/>
      <c r="B5975" s="15"/>
      <c r="C5975" s="9">
        <f>IFERROR(__xludf.DUMMYFUNCTION("""COMPUTED_VALUE"""),44734.325340243)</f>
        <v>44734.32534</v>
      </c>
      <c r="D5975" s="15">
        <f>IFERROR(__xludf.DUMMYFUNCTION("""COMPUTED_VALUE"""),1.005)</f>
        <v>1.005</v>
      </c>
      <c r="E5975" s="16">
        <f>IFERROR(__xludf.DUMMYFUNCTION("""COMPUTED_VALUE"""),70.0)</f>
        <v>70</v>
      </c>
      <c r="F5975" s="19" t="str">
        <f>IFERROR(__xludf.DUMMYFUNCTION("""COMPUTED_VALUE"""),"BLACK")</f>
        <v>BLACK</v>
      </c>
      <c r="G5975" s="20" t="str">
        <f>IFERROR(__xludf.DUMMYFUNCTION("""COMPUTED_VALUE"""),"Uncle Sams Cider (5/13/2022)")</f>
        <v>Uncle Sams Cider (5/13/2022)</v>
      </c>
      <c r="H5975" s="19"/>
    </row>
    <row r="5976">
      <c r="A5976" s="9"/>
      <c r="B5976" s="15"/>
      <c r="C5976" s="9">
        <f>IFERROR(__xludf.DUMMYFUNCTION("""COMPUTED_VALUE"""),44734.314918993)</f>
        <v>44734.31492</v>
      </c>
      <c r="D5976" s="15">
        <f>IFERROR(__xludf.DUMMYFUNCTION("""COMPUTED_VALUE"""),1.005)</f>
        <v>1.005</v>
      </c>
      <c r="E5976" s="16">
        <f>IFERROR(__xludf.DUMMYFUNCTION("""COMPUTED_VALUE"""),70.0)</f>
        <v>70</v>
      </c>
      <c r="F5976" s="19" t="str">
        <f>IFERROR(__xludf.DUMMYFUNCTION("""COMPUTED_VALUE"""),"BLACK")</f>
        <v>BLACK</v>
      </c>
      <c r="G5976" s="20" t="str">
        <f>IFERROR(__xludf.DUMMYFUNCTION("""COMPUTED_VALUE"""),"Uncle Sams Cider (5/13/2022)")</f>
        <v>Uncle Sams Cider (5/13/2022)</v>
      </c>
      <c r="H5976" s="19"/>
    </row>
    <row r="5977">
      <c r="A5977" s="9"/>
      <c r="B5977" s="15"/>
      <c r="C5977" s="9">
        <f>IFERROR(__xludf.DUMMYFUNCTION("""COMPUTED_VALUE"""),44734.304496574)</f>
        <v>44734.3045</v>
      </c>
      <c r="D5977" s="15">
        <f>IFERROR(__xludf.DUMMYFUNCTION("""COMPUTED_VALUE"""),1.005)</f>
        <v>1.005</v>
      </c>
      <c r="E5977" s="16">
        <f>IFERROR(__xludf.DUMMYFUNCTION("""COMPUTED_VALUE"""),70.0)</f>
        <v>70</v>
      </c>
      <c r="F5977" s="19" t="str">
        <f>IFERROR(__xludf.DUMMYFUNCTION("""COMPUTED_VALUE"""),"BLACK")</f>
        <v>BLACK</v>
      </c>
      <c r="G5977" s="20" t="str">
        <f>IFERROR(__xludf.DUMMYFUNCTION("""COMPUTED_VALUE"""),"Uncle Sams Cider (5/13/2022)")</f>
        <v>Uncle Sams Cider (5/13/2022)</v>
      </c>
      <c r="H5977" s="19"/>
    </row>
    <row r="5978">
      <c r="A5978" s="9"/>
      <c r="B5978" s="15"/>
      <c r="C5978" s="9">
        <f>IFERROR(__xludf.DUMMYFUNCTION("""COMPUTED_VALUE"""),44734.2940749305)</f>
        <v>44734.29407</v>
      </c>
      <c r="D5978" s="15">
        <f>IFERROR(__xludf.DUMMYFUNCTION("""COMPUTED_VALUE"""),1.005)</f>
        <v>1.005</v>
      </c>
      <c r="E5978" s="16">
        <f>IFERROR(__xludf.DUMMYFUNCTION("""COMPUTED_VALUE"""),70.0)</f>
        <v>70</v>
      </c>
      <c r="F5978" s="19" t="str">
        <f>IFERROR(__xludf.DUMMYFUNCTION("""COMPUTED_VALUE"""),"BLACK")</f>
        <v>BLACK</v>
      </c>
      <c r="G5978" s="20" t="str">
        <f>IFERROR(__xludf.DUMMYFUNCTION("""COMPUTED_VALUE"""),"Uncle Sams Cider (5/13/2022)")</f>
        <v>Uncle Sams Cider (5/13/2022)</v>
      </c>
      <c r="H5978" s="19"/>
    </row>
    <row r="5979">
      <c r="A5979" s="9"/>
      <c r="B5979" s="15"/>
      <c r="C5979" s="9">
        <f>IFERROR(__xludf.DUMMYFUNCTION("""COMPUTED_VALUE"""),44734.2836543171)</f>
        <v>44734.28365</v>
      </c>
      <c r="D5979" s="15">
        <f>IFERROR(__xludf.DUMMYFUNCTION("""COMPUTED_VALUE"""),1.005)</f>
        <v>1.005</v>
      </c>
      <c r="E5979" s="16">
        <f>IFERROR(__xludf.DUMMYFUNCTION("""COMPUTED_VALUE"""),70.0)</f>
        <v>70</v>
      </c>
      <c r="F5979" s="19" t="str">
        <f>IFERROR(__xludf.DUMMYFUNCTION("""COMPUTED_VALUE"""),"BLACK")</f>
        <v>BLACK</v>
      </c>
      <c r="G5979" s="20" t="str">
        <f>IFERROR(__xludf.DUMMYFUNCTION("""COMPUTED_VALUE"""),"Uncle Sams Cider (5/13/2022)")</f>
        <v>Uncle Sams Cider (5/13/2022)</v>
      </c>
      <c r="H5979" s="19"/>
    </row>
    <row r="5980">
      <c r="A5980" s="9"/>
      <c r="B5980" s="15"/>
      <c r="C5980" s="9">
        <f>IFERROR(__xludf.DUMMYFUNCTION("""COMPUTED_VALUE"""),44734.2732318865)</f>
        <v>44734.27323</v>
      </c>
      <c r="D5980" s="15">
        <f>IFERROR(__xludf.DUMMYFUNCTION("""COMPUTED_VALUE"""),1.005)</f>
        <v>1.005</v>
      </c>
      <c r="E5980" s="16">
        <f>IFERROR(__xludf.DUMMYFUNCTION("""COMPUTED_VALUE"""),70.0)</f>
        <v>70</v>
      </c>
      <c r="F5980" s="19" t="str">
        <f>IFERROR(__xludf.DUMMYFUNCTION("""COMPUTED_VALUE"""),"BLACK")</f>
        <v>BLACK</v>
      </c>
      <c r="G5980" s="20" t="str">
        <f>IFERROR(__xludf.DUMMYFUNCTION("""COMPUTED_VALUE"""),"Uncle Sams Cider (5/13/2022)")</f>
        <v>Uncle Sams Cider (5/13/2022)</v>
      </c>
      <c r="H5980" s="19"/>
    </row>
    <row r="5981">
      <c r="A5981" s="9"/>
      <c r="B5981" s="15"/>
      <c r="C5981" s="9">
        <f>IFERROR(__xludf.DUMMYFUNCTION("""COMPUTED_VALUE"""),44734.2627990625)</f>
        <v>44734.2628</v>
      </c>
      <c r="D5981" s="15">
        <f>IFERROR(__xludf.DUMMYFUNCTION("""COMPUTED_VALUE"""),1.005)</f>
        <v>1.005</v>
      </c>
      <c r="E5981" s="16">
        <f>IFERROR(__xludf.DUMMYFUNCTION("""COMPUTED_VALUE"""),70.0)</f>
        <v>70</v>
      </c>
      <c r="F5981" s="19" t="str">
        <f>IFERROR(__xludf.DUMMYFUNCTION("""COMPUTED_VALUE"""),"BLACK")</f>
        <v>BLACK</v>
      </c>
      <c r="G5981" s="20" t="str">
        <f>IFERROR(__xludf.DUMMYFUNCTION("""COMPUTED_VALUE"""),"Uncle Sams Cider (5/13/2022)")</f>
        <v>Uncle Sams Cider (5/13/2022)</v>
      </c>
      <c r="H5981" s="19"/>
    </row>
    <row r="5982">
      <c r="A5982" s="9"/>
      <c r="B5982" s="15"/>
      <c r="C5982" s="9">
        <f>IFERROR(__xludf.DUMMYFUNCTION("""COMPUTED_VALUE"""),44734.2523776736)</f>
        <v>44734.25238</v>
      </c>
      <c r="D5982" s="15">
        <f>IFERROR(__xludf.DUMMYFUNCTION("""COMPUTED_VALUE"""),1.005)</f>
        <v>1.005</v>
      </c>
      <c r="E5982" s="16">
        <f>IFERROR(__xludf.DUMMYFUNCTION("""COMPUTED_VALUE"""),70.0)</f>
        <v>70</v>
      </c>
      <c r="F5982" s="19" t="str">
        <f>IFERROR(__xludf.DUMMYFUNCTION("""COMPUTED_VALUE"""),"BLACK")</f>
        <v>BLACK</v>
      </c>
      <c r="G5982" s="20" t="str">
        <f>IFERROR(__xludf.DUMMYFUNCTION("""COMPUTED_VALUE"""),"Uncle Sams Cider (5/13/2022)")</f>
        <v>Uncle Sams Cider (5/13/2022)</v>
      </c>
      <c r="H5982" s="19"/>
    </row>
    <row r="5983">
      <c r="A5983" s="9"/>
      <c r="B5983" s="15"/>
      <c r="C5983" s="9">
        <f>IFERROR(__xludf.DUMMYFUNCTION("""COMPUTED_VALUE"""),44734.2419457986)</f>
        <v>44734.24195</v>
      </c>
      <c r="D5983" s="15">
        <f>IFERROR(__xludf.DUMMYFUNCTION("""COMPUTED_VALUE"""),1.005)</f>
        <v>1.005</v>
      </c>
      <c r="E5983" s="16">
        <f>IFERROR(__xludf.DUMMYFUNCTION("""COMPUTED_VALUE"""),70.0)</f>
        <v>70</v>
      </c>
      <c r="F5983" s="19" t="str">
        <f>IFERROR(__xludf.DUMMYFUNCTION("""COMPUTED_VALUE"""),"BLACK")</f>
        <v>BLACK</v>
      </c>
      <c r="G5983" s="20" t="str">
        <f>IFERROR(__xludf.DUMMYFUNCTION("""COMPUTED_VALUE"""),"Uncle Sams Cider (5/13/2022)")</f>
        <v>Uncle Sams Cider (5/13/2022)</v>
      </c>
      <c r="H5983" s="19"/>
    </row>
    <row r="5984">
      <c r="A5984" s="9"/>
      <c r="B5984" s="15"/>
      <c r="C5984" s="9">
        <f>IFERROR(__xludf.DUMMYFUNCTION("""COMPUTED_VALUE"""),44734.2315244907)</f>
        <v>44734.23152</v>
      </c>
      <c r="D5984" s="15">
        <f>IFERROR(__xludf.DUMMYFUNCTION("""COMPUTED_VALUE"""),1.005)</f>
        <v>1.005</v>
      </c>
      <c r="E5984" s="16">
        <f>IFERROR(__xludf.DUMMYFUNCTION("""COMPUTED_VALUE"""),70.0)</f>
        <v>70</v>
      </c>
      <c r="F5984" s="19" t="str">
        <f>IFERROR(__xludf.DUMMYFUNCTION("""COMPUTED_VALUE"""),"BLACK")</f>
        <v>BLACK</v>
      </c>
      <c r="G5984" s="20" t="str">
        <f>IFERROR(__xludf.DUMMYFUNCTION("""COMPUTED_VALUE"""),"Uncle Sams Cider (5/13/2022)")</f>
        <v>Uncle Sams Cider (5/13/2022)</v>
      </c>
      <c r="H5984" s="19"/>
    </row>
    <row r="5985">
      <c r="A5985" s="9"/>
      <c r="B5985" s="15"/>
      <c r="C5985" s="9">
        <f>IFERROR(__xludf.DUMMYFUNCTION("""COMPUTED_VALUE"""),44734.2211031597)</f>
        <v>44734.2211</v>
      </c>
      <c r="D5985" s="15">
        <f>IFERROR(__xludf.DUMMYFUNCTION("""COMPUTED_VALUE"""),1.005)</f>
        <v>1.005</v>
      </c>
      <c r="E5985" s="16">
        <f>IFERROR(__xludf.DUMMYFUNCTION("""COMPUTED_VALUE"""),70.0)</f>
        <v>70</v>
      </c>
      <c r="F5985" s="19" t="str">
        <f>IFERROR(__xludf.DUMMYFUNCTION("""COMPUTED_VALUE"""),"BLACK")</f>
        <v>BLACK</v>
      </c>
      <c r="G5985" s="20" t="str">
        <f>IFERROR(__xludf.DUMMYFUNCTION("""COMPUTED_VALUE"""),"Uncle Sams Cider (5/13/2022)")</f>
        <v>Uncle Sams Cider (5/13/2022)</v>
      </c>
      <c r="H5985" s="19"/>
    </row>
    <row r="5986">
      <c r="A5986" s="9"/>
      <c r="B5986" s="15"/>
      <c r="C5986" s="9">
        <f>IFERROR(__xludf.DUMMYFUNCTION("""COMPUTED_VALUE"""),44734.210681574)</f>
        <v>44734.21068</v>
      </c>
      <c r="D5986" s="15">
        <f>IFERROR(__xludf.DUMMYFUNCTION("""COMPUTED_VALUE"""),1.005)</f>
        <v>1.005</v>
      </c>
      <c r="E5986" s="16">
        <f>IFERROR(__xludf.DUMMYFUNCTION("""COMPUTED_VALUE"""),70.0)</f>
        <v>70</v>
      </c>
      <c r="F5986" s="19" t="str">
        <f>IFERROR(__xludf.DUMMYFUNCTION("""COMPUTED_VALUE"""),"BLACK")</f>
        <v>BLACK</v>
      </c>
      <c r="G5986" s="20" t="str">
        <f>IFERROR(__xludf.DUMMYFUNCTION("""COMPUTED_VALUE"""),"Uncle Sams Cider (5/13/2022)")</f>
        <v>Uncle Sams Cider (5/13/2022)</v>
      </c>
      <c r="H5986" s="19"/>
    </row>
    <row r="5987">
      <c r="A5987" s="9"/>
      <c r="B5987" s="15"/>
      <c r="C5987" s="9">
        <f>IFERROR(__xludf.DUMMYFUNCTION("""COMPUTED_VALUE"""),44734.2002475694)</f>
        <v>44734.20025</v>
      </c>
      <c r="D5987" s="15">
        <f>IFERROR(__xludf.DUMMYFUNCTION("""COMPUTED_VALUE"""),1.005)</f>
        <v>1.005</v>
      </c>
      <c r="E5987" s="16">
        <f>IFERROR(__xludf.DUMMYFUNCTION("""COMPUTED_VALUE"""),70.0)</f>
        <v>70</v>
      </c>
      <c r="F5987" s="19" t="str">
        <f>IFERROR(__xludf.DUMMYFUNCTION("""COMPUTED_VALUE"""),"BLACK")</f>
        <v>BLACK</v>
      </c>
      <c r="G5987" s="20" t="str">
        <f>IFERROR(__xludf.DUMMYFUNCTION("""COMPUTED_VALUE"""),"Uncle Sams Cider (5/13/2022)")</f>
        <v>Uncle Sams Cider (5/13/2022)</v>
      </c>
      <c r="H5987" s="19"/>
    </row>
    <row r="5988">
      <c r="A5988" s="9"/>
      <c r="B5988" s="15"/>
      <c r="C5988" s="9">
        <f>IFERROR(__xludf.DUMMYFUNCTION("""COMPUTED_VALUE"""),44734.1898243402)</f>
        <v>44734.18982</v>
      </c>
      <c r="D5988" s="15">
        <f>IFERROR(__xludf.DUMMYFUNCTION("""COMPUTED_VALUE"""),1.005)</f>
        <v>1.005</v>
      </c>
      <c r="E5988" s="16">
        <f>IFERROR(__xludf.DUMMYFUNCTION("""COMPUTED_VALUE"""),70.0)</f>
        <v>70</v>
      </c>
      <c r="F5988" s="19" t="str">
        <f>IFERROR(__xludf.DUMMYFUNCTION("""COMPUTED_VALUE"""),"BLACK")</f>
        <v>BLACK</v>
      </c>
      <c r="G5988" s="20" t="str">
        <f>IFERROR(__xludf.DUMMYFUNCTION("""COMPUTED_VALUE"""),"Uncle Sams Cider (5/13/2022)")</f>
        <v>Uncle Sams Cider (5/13/2022)</v>
      </c>
      <c r="H5988" s="19"/>
    </row>
    <row r="5989">
      <c r="A5989" s="9"/>
      <c r="B5989" s="15"/>
      <c r="C5989" s="9">
        <f>IFERROR(__xludf.DUMMYFUNCTION("""COMPUTED_VALUE"""),44734.1794020833)</f>
        <v>44734.1794</v>
      </c>
      <c r="D5989" s="15">
        <f>IFERROR(__xludf.DUMMYFUNCTION("""COMPUTED_VALUE"""),1.005)</f>
        <v>1.005</v>
      </c>
      <c r="E5989" s="16">
        <f>IFERROR(__xludf.DUMMYFUNCTION("""COMPUTED_VALUE"""),70.0)</f>
        <v>70</v>
      </c>
      <c r="F5989" s="19" t="str">
        <f>IFERROR(__xludf.DUMMYFUNCTION("""COMPUTED_VALUE"""),"BLACK")</f>
        <v>BLACK</v>
      </c>
      <c r="G5989" s="20" t="str">
        <f>IFERROR(__xludf.DUMMYFUNCTION("""COMPUTED_VALUE"""),"Uncle Sams Cider (5/13/2022)")</f>
        <v>Uncle Sams Cider (5/13/2022)</v>
      </c>
      <c r="H5989" s="19"/>
    </row>
    <row r="5990">
      <c r="A5990" s="9"/>
      <c r="B5990" s="15"/>
      <c r="C5990" s="9">
        <f>IFERROR(__xludf.DUMMYFUNCTION("""COMPUTED_VALUE"""),44734.1689824768)</f>
        <v>44734.16898</v>
      </c>
      <c r="D5990" s="15">
        <f>IFERROR(__xludf.DUMMYFUNCTION("""COMPUTED_VALUE"""),1.005)</f>
        <v>1.005</v>
      </c>
      <c r="E5990" s="16">
        <f>IFERROR(__xludf.DUMMYFUNCTION("""COMPUTED_VALUE"""),70.0)</f>
        <v>70</v>
      </c>
      <c r="F5990" s="19" t="str">
        <f>IFERROR(__xludf.DUMMYFUNCTION("""COMPUTED_VALUE"""),"BLACK")</f>
        <v>BLACK</v>
      </c>
      <c r="G5990" s="20" t="str">
        <f>IFERROR(__xludf.DUMMYFUNCTION("""COMPUTED_VALUE"""),"Uncle Sams Cider (5/13/2022)")</f>
        <v>Uncle Sams Cider (5/13/2022)</v>
      </c>
      <c r="H5990" s="19"/>
    </row>
    <row r="5991">
      <c r="A5991" s="9"/>
      <c r="B5991" s="15"/>
      <c r="C5991" s="9">
        <f>IFERROR(__xludf.DUMMYFUNCTION("""COMPUTED_VALUE"""),44734.1585597222)</f>
        <v>44734.15856</v>
      </c>
      <c r="D5991" s="15">
        <f>IFERROR(__xludf.DUMMYFUNCTION("""COMPUTED_VALUE"""),1.005)</f>
        <v>1.005</v>
      </c>
      <c r="E5991" s="16">
        <f>IFERROR(__xludf.DUMMYFUNCTION("""COMPUTED_VALUE"""),70.0)</f>
        <v>70</v>
      </c>
      <c r="F5991" s="19" t="str">
        <f>IFERROR(__xludf.DUMMYFUNCTION("""COMPUTED_VALUE"""),"BLACK")</f>
        <v>BLACK</v>
      </c>
      <c r="G5991" s="20" t="str">
        <f>IFERROR(__xludf.DUMMYFUNCTION("""COMPUTED_VALUE"""),"Uncle Sams Cider (5/13/2022)")</f>
        <v>Uncle Sams Cider (5/13/2022)</v>
      </c>
      <c r="H5991" s="19"/>
    </row>
    <row r="5992">
      <c r="A5992" s="9"/>
      <c r="B5992" s="15"/>
      <c r="C5992" s="9">
        <f>IFERROR(__xludf.DUMMYFUNCTION("""COMPUTED_VALUE"""),44734.1481394444)</f>
        <v>44734.14814</v>
      </c>
      <c r="D5992" s="15">
        <f>IFERROR(__xludf.DUMMYFUNCTION("""COMPUTED_VALUE"""),1.005)</f>
        <v>1.005</v>
      </c>
      <c r="E5992" s="16">
        <f>IFERROR(__xludf.DUMMYFUNCTION("""COMPUTED_VALUE"""),70.0)</f>
        <v>70</v>
      </c>
      <c r="F5992" s="19" t="str">
        <f>IFERROR(__xludf.DUMMYFUNCTION("""COMPUTED_VALUE"""),"BLACK")</f>
        <v>BLACK</v>
      </c>
      <c r="G5992" s="20" t="str">
        <f>IFERROR(__xludf.DUMMYFUNCTION("""COMPUTED_VALUE"""),"Uncle Sams Cider (5/13/2022)")</f>
        <v>Uncle Sams Cider (5/13/2022)</v>
      </c>
      <c r="H5992" s="19"/>
    </row>
    <row r="5993">
      <c r="A5993" s="9"/>
      <c r="B5993" s="15"/>
      <c r="C5993" s="9">
        <f>IFERROR(__xludf.DUMMYFUNCTION("""COMPUTED_VALUE"""),44734.1377187152)</f>
        <v>44734.13772</v>
      </c>
      <c r="D5993" s="15">
        <f>IFERROR(__xludf.DUMMYFUNCTION("""COMPUTED_VALUE"""),1.005)</f>
        <v>1.005</v>
      </c>
      <c r="E5993" s="16">
        <f>IFERROR(__xludf.DUMMYFUNCTION("""COMPUTED_VALUE"""),69.0)</f>
        <v>69</v>
      </c>
      <c r="F5993" s="19" t="str">
        <f>IFERROR(__xludf.DUMMYFUNCTION("""COMPUTED_VALUE"""),"BLACK")</f>
        <v>BLACK</v>
      </c>
      <c r="G5993" s="20" t="str">
        <f>IFERROR(__xludf.DUMMYFUNCTION("""COMPUTED_VALUE"""),"Uncle Sams Cider (5/13/2022)")</f>
        <v>Uncle Sams Cider (5/13/2022)</v>
      </c>
      <c r="H5993" s="19"/>
    </row>
    <row r="5994">
      <c r="A5994" s="9"/>
      <c r="B5994" s="15"/>
      <c r="C5994" s="9">
        <f>IFERROR(__xludf.DUMMYFUNCTION("""COMPUTED_VALUE"""),44734.1272874884)</f>
        <v>44734.12729</v>
      </c>
      <c r="D5994" s="15">
        <f>IFERROR(__xludf.DUMMYFUNCTION("""COMPUTED_VALUE"""),1.005)</f>
        <v>1.005</v>
      </c>
      <c r="E5994" s="16">
        <f>IFERROR(__xludf.DUMMYFUNCTION("""COMPUTED_VALUE"""),70.0)</f>
        <v>70</v>
      </c>
      <c r="F5994" s="19" t="str">
        <f>IFERROR(__xludf.DUMMYFUNCTION("""COMPUTED_VALUE"""),"BLACK")</f>
        <v>BLACK</v>
      </c>
      <c r="G5994" s="20" t="str">
        <f>IFERROR(__xludf.DUMMYFUNCTION("""COMPUTED_VALUE"""),"Uncle Sams Cider (5/13/2022)")</f>
        <v>Uncle Sams Cider (5/13/2022)</v>
      </c>
      <c r="H5994" s="19"/>
    </row>
    <row r="5995">
      <c r="A5995" s="9"/>
      <c r="B5995" s="15"/>
      <c r="C5995" s="9">
        <f>IFERROR(__xludf.DUMMYFUNCTION("""COMPUTED_VALUE"""),44734.1168645601)</f>
        <v>44734.11686</v>
      </c>
      <c r="D5995" s="15">
        <f>IFERROR(__xludf.DUMMYFUNCTION("""COMPUTED_VALUE"""),1.005)</f>
        <v>1.005</v>
      </c>
      <c r="E5995" s="16">
        <f>IFERROR(__xludf.DUMMYFUNCTION("""COMPUTED_VALUE"""),69.0)</f>
        <v>69</v>
      </c>
      <c r="F5995" s="19" t="str">
        <f>IFERROR(__xludf.DUMMYFUNCTION("""COMPUTED_VALUE"""),"BLACK")</f>
        <v>BLACK</v>
      </c>
      <c r="G5995" s="20" t="str">
        <f>IFERROR(__xludf.DUMMYFUNCTION("""COMPUTED_VALUE"""),"Uncle Sams Cider (5/13/2022)")</f>
        <v>Uncle Sams Cider (5/13/2022)</v>
      </c>
      <c r="H5995" s="19"/>
    </row>
    <row r="5996">
      <c r="A5996" s="9"/>
      <c r="B5996" s="15"/>
      <c r="C5996" s="9">
        <f>IFERROR(__xludf.DUMMYFUNCTION("""COMPUTED_VALUE"""),44734.1064421759)</f>
        <v>44734.10644</v>
      </c>
      <c r="D5996" s="15">
        <f>IFERROR(__xludf.DUMMYFUNCTION("""COMPUTED_VALUE"""),1.005)</f>
        <v>1.005</v>
      </c>
      <c r="E5996" s="16">
        <f>IFERROR(__xludf.DUMMYFUNCTION("""COMPUTED_VALUE"""),70.0)</f>
        <v>70</v>
      </c>
      <c r="F5996" s="19" t="str">
        <f>IFERROR(__xludf.DUMMYFUNCTION("""COMPUTED_VALUE"""),"BLACK")</f>
        <v>BLACK</v>
      </c>
      <c r="G5996" s="20" t="str">
        <f>IFERROR(__xludf.DUMMYFUNCTION("""COMPUTED_VALUE"""),"Uncle Sams Cider (5/13/2022)")</f>
        <v>Uncle Sams Cider (5/13/2022)</v>
      </c>
      <c r="H5996" s="19"/>
    </row>
    <row r="5997">
      <c r="A5997" s="9"/>
      <c r="B5997" s="15"/>
      <c r="C5997" s="9">
        <f>IFERROR(__xludf.DUMMYFUNCTION("""COMPUTED_VALUE"""),44734.0960217013)</f>
        <v>44734.09602</v>
      </c>
      <c r="D5997" s="15">
        <f>IFERROR(__xludf.DUMMYFUNCTION("""COMPUTED_VALUE"""),1.005)</f>
        <v>1.005</v>
      </c>
      <c r="E5997" s="16">
        <f>IFERROR(__xludf.DUMMYFUNCTION("""COMPUTED_VALUE"""),70.0)</f>
        <v>70</v>
      </c>
      <c r="F5997" s="19" t="str">
        <f>IFERROR(__xludf.DUMMYFUNCTION("""COMPUTED_VALUE"""),"BLACK")</f>
        <v>BLACK</v>
      </c>
      <c r="G5997" s="20" t="str">
        <f>IFERROR(__xludf.DUMMYFUNCTION("""COMPUTED_VALUE"""),"Uncle Sams Cider (5/13/2022)")</f>
        <v>Uncle Sams Cider (5/13/2022)</v>
      </c>
      <c r="H5997" s="19"/>
    </row>
    <row r="5998">
      <c r="A5998" s="9"/>
      <c r="B5998" s="15"/>
      <c r="C5998" s="9">
        <f>IFERROR(__xludf.DUMMYFUNCTION("""COMPUTED_VALUE"""),44734.0856018287)</f>
        <v>44734.0856</v>
      </c>
      <c r="D5998" s="15">
        <f>IFERROR(__xludf.DUMMYFUNCTION("""COMPUTED_VALUE"""),1.005)</f>
        <v>1.005</v>
      </c>
      <c r="E5998" s="16">
        <f>IFERROR(__xludf.DUMMYFUNCTION("""COMPUTED_VALUE"""),70.0)</f>
        <v>70</v>
      </c>
      <c r="F5998" s="19" t="str">
        <f>IFERROR(__xludf.DUMMYFUNCTION("""COMPUTED_VALUE"""),"BLACK")</f>
        <v>BLACK</v>
      </c>
      <c r="G5998" s="20" t="str">
        <f>IFERROR(__xludf.DUMMYFUNCTION("""COMPUTED_VALUE"""),"Uncle Sams Cider (5/13/2022)")</f>
        <v>Uncle Sams Cider (5/13/2022)</v>
      </c>
      <c r="H5998" s="19"/>
    </row>
    <row r="5999">
      <c r="A5999" s="9"/>
      <c r="B5999" s="15"/>
      <c r="C5999" s="9">
        <f>IFERROR(__xludf.DUMMYFUNCTION("""COMPUTED_VALUE"""),44734.0751468634)</f>
        <v>44734.07515</v>
      </c>
      <c r="D5999" s="15">
        <f>IFERROR(__xludf.DUMMYFUNCTION("""COMPUTED_VALUE"""),1.005)</f>
        <v>1.005</v>
      </c>
      <c r="E5999" s="16">
        <f>IFERROR(__xludf.DUMMYFUNCTION("""COMPUTED_VALUE"""),70.0)</f>
        <v>70</v>
      </c>
      <c r="F5999" s="19" t="str">
        <f>IFERROR(__xludf.DUMMYFUNCTION("""COMPUTED_VALUE"""),"BLACK")</f>
        <v>BLACK</v>
      </c>
      <c r="G5999" s="20" t="str">
        <f>IFERROR(__xludf.DUMMYFUNCTION("""COMPUTED_VALUE"""),"Uncle Sams Cider (5/13/2022)")</f>
        <v>Uncle Sams Cider (5/13/2022)</v>
      </c>
      <c r="H5999" s="19"/>
    </row>
    <row r="6000">
      <c r="A6000" s="9"/>
      <c r="B6000" s="15"/>
      <c r="C6000" s="9">
        <f>IFERROR(__xludf.DUMMYFUNCTION("""COMPUTED_VALUE"""),44734.0647140509)</f>
        <v>44734.06471</v>
      </c>
      <c r="D6000" s="15">
        <f>IFERROR(__xludf.DUMMYFUNCTION("""COMPUTED_VALUE"""),1.005)</f>
        <v>1.005</v>
      </c>
      <c r="E6000" s="16">
        <f>IFERROR(__xludf.DUMMYFUNCTION("""COMPUTED_VALUE"""),69.0)</f>
        <v>69</v>
      </c>
      <c r="F6000" s="19" t="str">
        <f>IFERROR(__xludf.DUMMYFUNCTION("""COMPUTED_VALUE"""),"BLACK")</f>
        <v>BLACK</v>
      </c>
      <c r="G6000" s="20" t="str">
        <f>IFERROR(__xludf.DUMMYFUNCTION("""COMPUTED_VALUE"""),"Uncle Sams Cider (5/13/2022)")</f>
        <v>Uncle Sams Cider (5/13/2022)</v>
      </c>
      <c r="H6000" s="19"/>
    </row>
    <row r="6001">
      <c r="A6001" s="9"/>
      <c r="B6001" s="15"/>
      <c r="C6001" s="9">
        <f>IFERROR(__xludf.DUMMYFUNCTION("""COMPUTED_VALUE"""),44734.0542930324)</f>
        <v>44734.05429</v>
      </c>
      <c r="D6001" s="15">
        <f>IFERROR(__xludf.DUMMYFUNCTION("""COMPUTED_VALUE"""),1.005)</f>
        <v>1.005</v>
      </c>
      <c r="E6001" s="16">
        <f>IFERROR(__xludf.DUMMYFUNCTION("""COMPUTED_VALUE"""),69.0)</f>
        <v>69</v>
      </c>
      <c r="F6001" s="19" t="str">
        <f>IFERROR(__xludf.DUMMYFUNCTION("""COMPUTED_VALUE"""),"BLACK")</f>
        <v>BLACK</v>
      </c>
      <c r="G6001" s="20" t="str">
        <f>IFERROR(__xludf.DUMMYFUNCTION("""COMPUTED_VALUE"""),"Uncle Sams Cider (5/13/2022)")</f>
        <v>Uncle Sams Cider (5/13/2022)</v>
      </c>
      <c r="H6001" s="19"/>
    </row>
    <row r="6002">
      <c r="A6002" s="9"/>
      <c r="B6002" s="15"/>
      <c r="C6002" s="9">
        <f>IFERROR(__xludf.DUMMYFUNCTION("""COMPUTED_VALUE"""),44734.0438378125)</f>
        <v>44734.04384</v>
      </c>
      <c r="D6002" s="15">
        <f>IFERROR(__xludf.DUMMYFUNCTION("""COMPUTED_VALUE"""),1.005)</f>
        <v>1.005</v>
      </c>
      <c r="E6002" s="16">
        <f>IFERROR(__xludf.DUMMYFUNCTION("""COMPUTED_VALUE"""),70.0)</f>
        <v>70</v>
      </c>
      <c r="F6002" s="19" t="str">
        <f>IFERROR(__xludf.DUMMYFUNCTION("""COMPUTED_VALUE"""),"BLACK")</f>
        <v>BLACK</v>
      </c>
      <c r="G6002" s="20" t="str">
        <f>IFERROR(__xludf.DUMMYFUNCTION("""COMPUTED_VALUE"""),"Uncle Sams Cider (5/13/2022)")</f>
        <v>Uncle Sams Cider (5/13/2022)</v>
      </c>
      <c r="H6002" s="19"/>
    </row>
    <row r="6003">
      <c r="A6003" s="9"/>
      <c r="B6003" s="15"/>
      <c r="C6003" s="9">
        <f>IFERROR(__xludf.DUMMYFUNCTION("""COMPUTED_VALUE"""),44734.0334161458)</f>
        <v>44734.03342</v>
      </c>
      <c r="D6003" s="15">
        <f>IFERROR(__xludf.DUMMYFUNCTION("""COMPUTED_VALUE"""),1.005)</f>
        <v>1.005</v>
      </c>
      <c r="E6003" s="16">
        <f>IFERROR(__xludf.DUMMYFUNCTION("""COMPUTED_VALUE"""),69.0)</f>
        <v>69</v>
      </c>
      <c r="F6003" s="19" t="str">
        <f>IFERROR(__xludf.DUMMYFUNCTION("""COMPUTED_VALUE"""),"BLACK")</f>
        <v>BLACK</v>
      </c>
      <c r="G6003" s="20" t="str">
        <f>IFERROR(__xludf.DUMMYFUNCTION("""COMPUTED_VALUE"""),"Uncle Sams Cider (5/13/2022)")</f>
        <v>Uncle Sams Cider (5/13/2022)</v>
      </c>
      <c r="H6003" s="19"/>
    </row>
    <row r="6004">
      <c r="A6004" s="9"/>
      <c r="B6004" s="15"/>
      <c r="C6004" s="9">
        <f>IFERROR(__xludf.DUMMYFUNCTION("""COMPUTED_VALUE"""),44734.0229836458)</f>
        <v>44734.02298</v>
      </c>
      <c r="D6004" s="15">
        <f>IFERROR(__xludf.DUMMYFUNCTION("""COMPUTED_VALUE"""),1.005)</f>
        <v>1.005</v>
      </c>
      <c r="E6004" s="16">
        <f>IFERROR(__xludf.DUMMYFUNCTION("""COMPUTED_VALUE"""),69.0)</f>
        <v>69</v>
      </c>
      <c r="F6004" s="19" t="str">
        <f>IFERROR(__xludf.DUMMYFUNCTION("""COMPUTED_VALUE"""),"BLACK")</f>
        <v>BLACK</v>
      </c>
      <c r="G6004" s="20" t="str">
        <f>IFERROR(__xludf.DUMMYFUNCTION("""COMPUTED_VALUE"""),"Uncle Sams Cider (5/13/2022)")</f>
        <v>Uncle Sams Cider (5/13/2022)</v>
      </c>
      <c r="H6004" s="19"/>
    </row>
    <row r="6005">
      <c r="A6005" s="9"/>
      <c r="B6005" s="15"/>
      <c r="C6005" s="9">
        <f>IFERROR(__xludf.DUMMYFUNCTION("""COMPUTED_VALUE"""),44734.0125605787)</f>
        <v>44734.01256</v>
      </c>
      <c r="D6005" s="15">
        <f>IFERROR(__xludf.DUMMYFUNCTION("""COMPUTED_VALUE"""),1.005)</f>
        <v>1.005</v>
      </c>
      <c r="E6005" s="16">
        <f>IFERROR(__xludf.DUMMYFUNCTION("""COMPUTED_VALUE"""),69.0)</f>
        <v>69</v>
      </c>
      <c r="F6005" s="19" t="str">
        <f>IFERROR(__xludf.DUMMYFUNCTION("""COMPUTED_VALUE"""),"BLACK")</f>
        <v>BLACK</v>
      </c>
      <c r="G6005" s="20" t="str">
        <f>IFERROR(__xludf.DUMMYFUNCTION("""COMPUTED_VALUE"""),"Uncle Sams Cider (5/13/2022)")</f>
        <v>Uncle Sams Cider (5/13/2022)</v>
      </c>
      <c r="H6005" s="19"/>
    </row>
    <row r="6006">
      <c r="A6006" s="9"/>
      <c r="B6006" s="15"/>
      <c r="C6006" s="9">
        <f>IFERROR(__xludf.DUMMYFUNCTION("""COMPUTED_VALUE"""),44734.0021396759)</f>
        <v>44734.00214</v>
      </c>
      <c r="D6006" s="15">
        <f>IFERROR(__xludf.DUMMYFUNCTION("""COMPUTED_VALUE"""),1.005)</f>
        <v>1.005</v>
      </c>
      <c r="E6006" s="16">
        <f>IFERROR(__xludf.DUMMYFUNCTION("""COMPUTED_VALUE"""),69.0)</f>
        <v>69</v>
      </c>
      <c r="F6006" s="19" t="str">
        <f>IFERROR(__xludf.DUMMYFUNCTION("""COMPUTED_VALUE"""),"BLACK")</f>
        <v>BLACK</v>
      </c>
      <c r="G6006" s="20" t="str">
        <f>IFERROR(__xludf.DUMMYFUNCTION("""COMPUTED_VALUE"""),"Uncle Sams Cider (5/13/2022)")</f>
        <v>Uncle Sams Cider (5/13/2022)</v>
      </c>
      <c r="H6006" s="19"/>
    </row>
    <row r="6007">
      <c r="A6007" s="9"/>
      <c r="B6007" s="15"/>
      <c r="C6007" s="9">
        <f>IFERROR(__xludf.DUMMYFUNCTION("""COMPUTED_VALUE"""),44733.9917072222)</f>
        <v>44733.99171</v>
      </c>
      <c r="D6007" s="15">
        <f>IFERROR(__xludf.DUMMYFUNCTION("""COMPUTED_VALUE"""),1.005)</f>
        <v>1.005</v>
      </c>
      <c r="E6007" s="16">
        <f>IFERROR(__xludf.DUMMYFUNCTION("""COMPUTED_VALUE"""),69.0)</f>
        <v>69</v>
      </c>
      <c r="F6007" s="19" t="str">
        <f>IFERROR(__xludf.DUMMYFUNCTION("""COMPUTED_VALUE"""),"BLACK")</f>
        <v>BLACK</v>
      </c>
      <c r="G6007" s="20" t="str">
        <f>IFERROR(__xludf.DUMMYFUNCTION("""COMPUTED_VALUE"""),"Uncle Sams Cider (5/13/2022)")</f>
        <v>Uncle Sams Cider (5/13/2022)</v>
      </c>
      <c r="H6007" s="19"/>
    </row>
    <row r="6008">
      <c r="A6008" s="9"/>
      <c r="B6008" s="15"/>
      <c r="C6008" s="9">
        <f>IFERROR(__xludf.DUMMYFUNCTION("""COMPUTED_VALUE"""),44733.9812625694)</f>
        <v>44733.98126</v>
      </c>
      <c r="D6008" s="15">
        <f>IFERROR(__xludf.DUMMYFUNCTION("""COMPUTED_VALUE"""),1.005)</f>
        <v>1.005</v>
      </c>
      <c r="E6008" s="16">
        <f>IFERROR(__xludf.DUMMYFUNCTION("""COMPUTED_VALUE"""),69.0)</f>
        <v>69</v>
      </c>
      <c r="F6008" s="19" t="str">
        <f>IFERROR(__xludf.DUMMYFUNCTION("""COMPUTED_VALUE"""),"BLACK")</f>
        <v>BLACK</v>
      </c>
      <c r="G6008" s="20" t="str">
        <f>IFERROR(__xludf.DUMMYFUNCTION("""COMPUTED_VALUE"""),"Uncle Sams Cider (5/13/2022)")</f>
        <v>Uncle Sams Cider (5/13/2022)</v>
      </c>
      <c r="H6008" s="19"/>
    </row>
    <row r="6009">
      <c r="A6009" s="9"/>
      <c r="B6009" s="15"/>
      <c r="C6009" s="9">
        <f>IFERROR(__xludf.DUMMYFUNCTION("""COMPUTED_VALUE"""),44733.970842662)</f>
        <v>44733.97084</v>
      </c>
      <c r="D6009" s="15">
        <f>IFERROR(__xludf.DUMMYFUNCTION("""COMPUTED_VALUE"""),1.005)</f>
        <v>1.005</v>
      </c>
      <c r="E6009" s="16">
        <f>IFERROR(__xludf.DUMMYFUNCTION("""COMPUTED_VALUE"""),69.0)</f>
        <v>69</v>
      </c>
      <c r="F6009" s="19" t="str">
        <f>IFERROR(__xludf.DUMMYFUNCTION("""COMPUTED_VALUE"""),"BLACK")</f>
        <v>BLACK</v>
      </c>
      <c r="G6009" s="20" t="str">
        <f>IFERROR(__xludf.DUMMYFUNCTION("""COMPUTED_VALUE"""),"Uncle Sams Cider (5/13/2022)")</f>
        <v>Uncle Sams Cider (5/13/2022)</v>
      </c>
      <c r="H6009" s="19"/>
    </row>
    <row r="6010">
      <c r="A6010" s="9"/>
      <c r="B6010" s="15"/>
      <c r="C6010" s="9">
        <f>IFERROR(__xludf.DUMMYFUNCTION("""COMPUTED_VALUE"""),44733.9604213078)</f>
        <v>44733.96042</v>
      </c>
      <c r="D6010" s="15">
        <f>IFERROR(__xludf.DUMMYFUNCTION("""COMPUTED_VALUE"""),1.005)</f>
        <v>1.005</v>
      </c>
      <c r="E6010" s="16">
        <f>IFERROR(__xludf.DUMMYFUNCTION("""COMPUTED_VALUE"""),69.0)</f>
        <v>69</v>
      </c>
      <c r="F6010" s="19" t="str">
        <f>IFERROR(__xludf.DUMMYFUNCTION("""COMPUTED_VALUE"""),"BLACK")</f>
        <v>BLACK</v>
      </c>
      <c r="G6010" s="20" t="str">
        <f>IFERROR(__xludf.DUMMYFUNCTION("""COMPUTED_VALUE"""),"Uncle Sams Cider (5/13/2022)")</f>
        <v>Uncle Sams Cider (5/13/2022)</v>
      </c>
      <c r="H6010" s="19"/>
    </row>
    <row r="6011">
      <c r="A6011" s="9"/>
      <c r="B6011" s="15"/>
      <c r="C6011" s="9">
        <f>IFERROR(__xludf.DUMMYFUNCTION("""COMPUTED_VALUE"""),44733.9500011111)</f>
        <v>44733.95</v>
      </c>
      <c r="D6011" s="15">
        <f>IFERROR(__xludf.DUMMYFUNCTION("""COMPUTED_VALUE"""),1.005)</f>
        <v>1.005</v>
      </c>
      <c r="E6011" s="16">
        <f>IFERROR(__xludf.DUMMYFUNCTION("""COMPUTED_VALUE"""),69.0)</f>
        <v>69</v>
      </c>
      <c r="F6011" s="19" t="str">
        <f>IFERROR(__xludf.DUMMYFUNCTION("""COMPUTED_VALUE"""),"BLACK")</f>
        <v>BLACK</v>
      </c>
      <c r="G6011" s="20" t="str">
        <f>IFERROR(__xludf.DUMMYFUNCTION("""COMPUTED_VALUE"""),"Uncle Sams Cider (5/13/2022)")</f>
        <v>Uncle Sams Cider (5/13/2022)</v>
      </c>
      <c r="H6011" s="19"/>
    </row>
    <row r="6012">
      <c r="A6012" s="9"/>
      <c r="B6012" s="15"/>
      <c r="C6012" s="9">
        <f>IFERROR(__xludf.DUMMYFUNCTION("""COMPUTED_VALUE"""),44733.9395796643)</f>
        <v>44733.93958</v>
      </c>
      <c r="D6012" s="15">
        <f>IFERROR(__xludf.DUMMYFUNCTION("""COMPUTED_VALUE"""),1.005)</f>
        <v>1.005</v>
      </c>
      <c r="E6012" s="16">
        <f>IFERROR(__xludf.DUMMYFUNCTION("""COMPUTED_VALUE"""),69.0)</f>
        <v>69</v>
      </c>
      <c r="F6012" s="19" t="str">
        <f>IFERROR(__xludf.DUMMYFUNCTION("""COMPUTED_VALUE"""),"BLACK")</f>
        <v>BLACK</v>
      </c>
      <c r="G6012" s="20" t="str">
        <f>IFERROR(__xludf.DUMMYFUNCTION("""COMPUTED_VALUE"""),"Uncle Sams Cider (5/13/2022)")</f>
        <v>Uncle Sams Cider (5/13/2022)</v>
      </c>
      <c r="H6012" s="19"/>
    </row>
    <row r="6013">
      <c r="A6013" s="9"/>
      <c r="B6013" s="15"/>
      <c r="C6013" s="9">
        <f>IFERROR(__xludf.DUMMYFUNCTION("""COMPUTED_VALUE"""),44733.929158449)</f>
        <v>44733.92916</v>
      </c>
      <c r="D6013" s="15">
        <f>IFERROR(__xludf.DUMMYFUNCTION("""COMPUTED_VALUE"""),1.005)</f>
        <v>1.005</v>
      </c>
      <c r="E6013" s="16">
        <f>IFERROR(__xludf.DUMMYFUNCTION("""COMPUTED_VALUE"""),69.0)</f>
        <v>69</v>
      </c>
      <c r="F6013" s="19" t="str">
        <f>IFERROR(__xludf.DUMMYFUNCTION("""COMPUTED_VALUE"""),"BLACK")</f>
        <v>BLACK</v>
      </c>
      <c r="G6013" s="20" t="str">
        <f>IFERROR(__xludf.DUMMYFUNCTION("""COMPUTED_VALUE"""),"Uncle Sams Cider (5/13/2022)")</f>
        <v>Uncle Sams Cider (5/13/2022)</v>
      </c>
      <c r="H6013" s="19"/>
    </row>
    <row r="6014">
      <c r="A6014" s="9"/>
      <c r="B6014" s="15"/>
      <c r="C6014" s="9">
        <f>IFERROR(__xludf.DUMMYFUNCTION("""COMPUTED_VALUE"""),44733.9187255324)</f>
        <v>44733.91873</v>
      </c>
      <c r="D6014" s="15">
        <f>IFERROR(__xludf.DUMMYFUNCTION("""COMPUTED_VALUE"""),1.005)</f>
        <v>1.005</v>
      </c>
      <c r="E6014" s="16">
        <f>IFERROR(__xludf.DUMMYFUNCTION("""COMPUTED_VALUE"""),69.0)</f>
        <v>69</v>
      </c>
      <c r="F6014" s="19" t="str">
        <f>IFERROR(__xludf.DUMMYFUNCTION("""COMPUTED_VALUE"""),"BLACK")</f>
        <v>BLACK</v>
      </c>
      <c r="G6014" s="20" t="str">
        <f>IFERROR(__xludf.DUMMYFUNCTION("""COMPUTED_VALUE"""),"Uncle Sams Cider (5/13/2022)")</f>
        <v>Uncle Sams Cider (5/13/2022)</v>
      </c>
      <c r="H6014" s="19"/>
    </row>
    <row r="6015">
      <c r="A6015" s="9"/>
      <c r="B6015" s="15"/>
      <c r="C6015" s="9">
        <f>IFERROR(__xludf.DUMMYFUNCTION("""COMPUTED_VALUE"""),44733.9083043402)</f>
        <v>44733.9083</v>
      </c>
      <c r="D6015" s="15">
        <f>IFERROR(__xludf.DUMMYFUNCTION("""COMPUTED_VALUE"""),1.005)</f>
        <v>1.005</v>
      </c>
      <c r="E6015" s="16">
        <f>IFERROR(__xludf.DUMMYFUNCTION("""COMPUTED_VALUE"""),69.0)</f>
        <v>69</v>
      </c>
      <c r="F6015" s="19" t="str">
        <f>IFERROR(__xludf.DUMMYFUNCTION("""COMPUTED_VALUE"""),"BLACK")</f>
        <v>BLACK</v>
      </c>
      <c r="G6015" s="20" t="str">
        <f>IFERROR(__xludf.DUMMYFUNCTION("""COMPUTED_VALUE"""),"Uncle Sams Cider (5/13/2022)")</f>
        <v>Uncle Sams Cider (5/13/2022)</v>
      </c>
      <c r="H6015" s="19"/>
    </row>
    <row r="6016">
      <c r="A6016" s="9"/>
      <c r="B6016" s="15"/>
      <c r="C6016" s="9">
        <f>IFERROR(__xludf.DUMMYFUNCTION("""COMPUTED_VALUE"""),44733.8978832754)</f>
        <v>44733.89788</v>
      </c>
      <c r="D6016" s="15">
        <f>IFERROR(__xludf.DUMMYFUNCTION("""COMPUTED_VALUE"""),1.005)</f>
        <v>1.005</v>
      </c>
      <c r="E6016" s="16">
        <f>IFERROR(__xludf.DUMMYFUNCTION("""COMPUTED_VALUE"""),69.0)</f>
        <v>69</v>
      </c>
      <c r="F6016" s="19" t="str">
        <f>IFERROR(__xludf.DUMMYFUNCTION("""COMPUTED_VALUE"""),"BLACK")</f>
        <v>BLACK</v>
      </c>
      <c r="G6016" s="20" t="str">
        <f>IFERROR(__xludf.DUMMYFUNCTION("""COMPUTED_VALUE"""),"Uncle Sams Cider (5/13/2022)")</f>
        <v>Uncle Sams Cider (5/13/2022)</v>
      </c>
      <c r="H6016" s="19"/>
    </row>
    <row r="6017">
      <c r="A6017" s="9"/>
      <c r="B6017" s="15"/>
      <c r="C6017" s="9">
        <f>IFERROR(__xludf.DUMMYFUNCTION("""COMPUTED_VALUE"""),44733.8874629976)</f>
        <v>44733.88746</v>
      </c>
      <c r="D6017" s="15">
        <f>IFERROR(__xludf.DUMMYFUNCTION("""COMPUTED_VALUE"""),1.005)</f>
        <v>1.005</v>
      </c>
      <c r="E6017" s="16">
        <f>IFERROR(__xludf.DUMMYFUNCTION("""COMPUTED_VALUE"""),69.0)</f>
        <v>69</v>
      </c>
      <c r="F6017" s="19" t="str">
        <f>IFERROR(__xludf.DUMMYFUNCTION("""COMPUTED_VALUE"""),"BLACK")</f>
        <v>BLACK</v>
      </c>
      <c r="G6017" s="20" t="str">
        <f>IFERROR(__xludf.DUMMYFUNCTION("""COMPUTED_VALUE"""),"Uncle Sams Cider (5/13/2022)")</f>
        <v>Uncle Sams Cider (5/13/2022)</v>
      </c>
      <c r="H6017" s="19"/>
    </row>
    <row r="6018">
      <c r="A6018" s="9"/>
      <c r="B6018" s="15"/>
      <c r="C6018" s="9">
        <f>IFERROR(__xludf.DUMMYFUNCTION("""COMPUTED_VALUE"""),44733.8770412037)</f>
        <v>44733.87704</v>
      </c>
      <c r="D6018" s="15">
        <f>IFERROR(__xludf.DUMMYFUNCTION("""COMPUTED_VALUE"""),1.005)</f>
        <v>1.005</v>
      </c>
      <c r="E6018" s="16">
        <f>IFERROR(__xludf.DUMMYFUNCTION("""COMPUTED_VALUE"""),69.0)</f>
        <v>69</v>
      </c>
      <c r="F6018" s="19" t="str">
        <f>IFERROR(__xludf.DUMMYFUNCTION("""COMPUTED_VALUE"""),"BLACK")</f>
        <v>BLACK</v>
      </c>
      <c r="G6018" s="20" t="str">
        <f>IFERROR(__xludf.DUMMYFUNCTION("""COMPUTED_VALUE"""),"Uncle Sams Cider (5/13/2022)")</f>
        <v>Uncle Sams Cider (5/13/2022)</v>
      </c>
      <c r="H6018" s="19"/>
    </row>
    <row r="6019">
      <c r="A6019" s="9"/>
      <c r="B6019" s="15"/>
      <c r="C6019" s="9">
        <f>IFERROR(__xludf.DUMMYFUNCTION("""COMPUTED_VALUE"""),44733.8666078009)</f>
        <v>44733.86661</v>
      </c>
      <c r="D6019" s="15">
        <f>IFERROR(__xludf.DUMMYFUNCTION("""COMPUTED_VALUE"""),1.005)</f>
        <v>1.005</v>
      </c>
      <c r="E6019" s="16">
        <f>IFERROR(__xludf.DUMMYFUNCTION("""COMPUTED_VALUE"""),69.0)</f>
        <v>69</v>
      </c>
      <c r="F6019" s="19" t="str">
        <f>IFERROR(__xludf.DUMMYFUNCTION("""COMPUTED_VALUE"""),"BLACK")</f>
        <v>BLACK</v>
      </c>
      <c r="G6019" s="20" t="str">
        <f>IFERROR(__xludf.DUMMYFUNCTION("""COMPUTED_VALUE"""),"Uncle Sams Cider (5/13/2022)")</f>
        <v>Uncle Sams Cider (5/13/2022)</v>
      </c>
      <c r="H6019" s="19"/>
    </row>
    <row r="6020">
      <c r="A6020" s="9"/>
      <c r="B6020" s="15"/>
      <c r="C6020" s="9">
        <f>IFERROR(__xludf.DUMMYFUNCTION("""COMPUTED_VALUE"""),44733.8561863078)</f>
        <v>44733.85619</v>
      </c>
      <c r="D6020" s="15">
        <f>IFERROR(__xludf.DUMMYFUNCTION("""COMPUTED_VALUE"""),1.005)</f>
        <v>1.005</v>
      </c>
      <c r="E6020" s="16">
        <f>IFERROR(__xludf.DUMMYFUNCTION("""COMPUTED_VALUE"""),69.0)</f>
        <v>69</v>
      </c>
      <c r="F6020" s="19" t="str">
        <f>IFERROR(__xludf.DUMMYFUNCTION("""COMPUTED_VALUE"""),"BLACK")</f>
        <v>BLACK</v>
      </c>
      <c r="G6020" s="20" t="str">
        <f>IFERROR(__xludf.DUMMYFUNCTION("""COMPUTED_VALUE"""),"Uncle Sams Cider (5/13/2022)")</f>
        <v>Uncle Sams Cider (5/13/2022)</v>
      </c>
      <c r="H6020" s="19"/>
    </row>
    <row r="6021">
      <c r="A6021" s="9"/>
      <c r="B6021" s="15"/>
      <c r="C6021" s="9">
        <f>IFERROR(__xludf.DUMMYFUNCTION("""COMPUTED_VALUE"""),44733.8457648495)</f>
        <v>44733.84576</v>
      </c>
      <c r="D6021" s="15">
        <f>IFERROR(__xludf.DUMMYFUNCTION("""COMPUTED_VALUE"""),1.005)</f>
        <v>1.005</v>
      </c>
      <c r="E6021" s="16">
        <f>IFERROR(__xludf.DUMMYFUNCTION("""COMPUTED_VALUE"""),69.0)</f>
        <v>69</v>
      </c>
      <c r="F6021" s="19" t="str">
        <f>IFERROR(__xludf.DUMMYFUNCTION("""COMPUTED_VALUE"""),"BLACK")</f>
        <v>BLACK</v>
      </c>
      <c r="G6021" s="20" t="str">
        <f>IFERROR(__xludf.DUMMYFUNCTION("""COMPUTED_VALUE"""),"Uncle Sams Cider (5/13/2022)")</f>
        <v>Uncle Sams Cider (5/13/2022)</v>
      </c>
      <c r="H6021" s="19"/>
    </row>
    <row r="6022">
      <c r="A6022" s="9"/>
      <c r="B6022" s="15"/>
      <c r="C6022" s="9">
        <f>IFERROR(__xludf.DUMMYFUNCTION("""COMPUTED_VALUE"""),44733.8353430092)</f>
        <v>44733.83534</v>
      </c>
      <c r="D6022" s="15">
        <f>IFERROR(__xludf.DUMMYFUNCTION("""COMPUTED_VALUE"""),1.005)</f>
        <v>1.005</v>
      </c>
      <c r="E6022" s="16">
        <f>IFERROR(__xludf.DUMMYFUNCTION("""COMPUTED_VALUE"""),69.0)</f>
        <v>69</v>
      </c>
      <c r="F6022" s="19" t="str">
        <f>IFERROR(__xludf.DUMMYFUNCTION("""COMPUTED_VALUE"""),"BLACK")</f>
        <v>BLACK</v>
      </c>
      <c r="G6022" s="20" t="str">
        <f>IFERROR(__xludf.DUMMYFUNCTION("""COMPUTED_VALUE"""),"Uncle Sams Cider (5/13/2022)")</f>
        <v>Uncle Sams Cider (5/13/2022)</v>
      </c>
      <c r="H6022" s="19"/>
    </row>
    <row r="6023">
      <c r="A6023" s="9"/>
      <c r="B6023" s="15"/>
      <c r="C6023" s="9">
        <f>IFERROR(__xludf.DUMMYFUNCTION("""COMPUTED_VALUE"""),44733.8249121412)</f>
        <v>44733.82491</v>
      </c>
      <c r="D6023" s="15">
        <f>IFERROR(__xludf.DUMMYFUNCTION("""COMPUTED_VALUE"""),1.005)</f>
        <v>1.005</v>
      </c>
      <c r="E6023" s="16">
        <f>IFERROR(__xludf.DUMMYFUNCTION("""COMPUTED_VALUE"""),69.0)</f>
        <v>69</v>
      </c>
      <c r="F6023" s="19" t="str">
        <f>IFERROR(__xludf.DUMMYFUNCTION("""COMPUTED_VALUE"""),"BLACK")</f>
        <v>BLACK</v>
      </c>
      <c r="G6023" s="20" t="str">
        <f>IFERROR(__xludf.DUMMYFUNCTION("""COMPUTED_VALUE"""),"Uncle Sams Cider (5/13/2022)")</f>
        <v>Uncle Sams Cider (5/13/2022)</v>
      </c>
      <c r="H6023" s="19"/>
    </row>
    <row r="6024">
      <c r="A6024" s="9"/>
      <c r="B6024" s="15"/>
      <c r="C6024" s="9">
        <f>IFERROR(__xludf.DUMMYFUNCTION("""COMPUTED_VALUE"""),44733.8144931828)</f>
        <v>44733.81449</v>
      </c>
      <c r="D6024" s="15">
        <f>IFERROR(__xludf.DUMMYFUNCTION("""COMPUTED_VALUE"""),1.005)</f>
        <v>1.005</v>
      </c>
      <c r="E6024" s="16">
        <f>IFERROR(__xludf.DUMMYFUNCTION("""COMPUTED_VALUE"""),69.0)</f>
        <v>69</v>
      </c>
      <c r="F6024" s="19" t="str">
        <f>IFERROR(__xludf.DUMMYFUNCTION("""COMPUTED_VALUE"""),"BLACK")</f>
        <v>BLACK</v>
      </c>
      <c r="G6024" s="20" t="str">
        <f>IFERROR(__xludf.DUMMYFUNCTION("""COMPUTED_VALUE"""),"Uncle Sams Cider (5/13/2022)")</f>
        <v>Uncle Sams Cider (5/13/2022)</v>
      </c>
      <c r="H6024" s="19"/>
    </row>
    <row r="6025">
      <c r="A6025" s="9"/>
      <c r="B6025" s="15"/>
      <c r="C6025" s="9">
        <f>IFERROR(__xludf.DUMMYFUNCTION("""COMPUTED_VALUE"""),44733.8040717476)</f>
        <v>44733.80407</v>
      </c>
      <c r="D6025" s="15">
        <f>IFERROR(__xludf.DUMMYFUNCTION("""COMPUTED_VALUE"""),1.005)</f>
        <v>1.005</v>
      </c>
      <c r="E6025" s="16">
        <f>IFERROR(__xludf.DUMMYFUNCTION("""COMPUTED_VALUE"""),69.0)</f>
        <v>69</v>
      </c>
      <c r="F6025" s="19" t="str">
        <f>IFERROR(__xludf.DUMMYFUNCTION("""COMPUTED_VALUE"""),"BLACK")</f>
        <v>BLACK</v>
      </c>
      <c r="G6025" s="20" t="str">
        <f>IFERROR(__xludf.DUMMYFUNCTION("""COMPUTED_VALUE"""),"Uncle Sams Cider (5/13/2022)")</f>
        <v>Uncle Sams Cider (5/13/2022)</v>
      </c>
      <c r="H6025" s="19"/>
    </row>
    <row r="6026">
      <c r="A6026" s="9"/>
      <c r="B6026" s="15"/>
      <c r="C6026" s="9">
        <f>IFERROR(__xludf.DUMMYFUNCTION("""COMPUTED_VALUE"""),44733.7936500578)</f>
        <v>44733.79365</v>
      </c>
      <c r="D6026" s="15">
        <f>IFERROR(__xludf.DUMMYFUNCTION("""COMPUTED_VALUE"""),1.005)</f>
        <v>1.005</v>
      </c>
      <c r="E6026" s="16">
        <f>IFERROR(__xludf.DUMMYFUNCTION("""COMPUTED_VALUE"""),69.0)</f>
        <v>69</v>
      </c>
      <c r="F6026" s="19" t="str">
        <f>IFERROR(__xludf.DUMMYFUNCTION("""COMPUTED_VALUE"""),"BLACK")</f>
        <v>BLACK</v>
      </c>
      <c r="G6026" s="20" t="str">
        <f>IFERROR(__xludf.DUMMYFUNCTION("""COMPUTED_VALUE"""),"Uncle Sams Cider (5/13/2022)")</f>
        <v>Uncle Sams Cider (5/13/2022)</v>
      </c>
      <c r="H6026" s="19"/>
    </row>
    <row r="6027">
      <c r="A6027" s="9"/>
      <c r="B6027" s="15"/>
      <c r="C6027" s="9">
        <f>IFERROR(__xludf.DUMMYFUNCTION("""COMPUTED_VALUE"""),44733.7832295138)</f>
        <v>44733.78323</v>
      </c>
      <c r="D6027" s="15">
        <f>IFERROR(__xludf.DUMMYFUNCTION("""COMPUTED_VALUE"""),1.005)</f>
        <v>1.005</v>
      </c>
      <c r="E6027" s="16">
        <f>IFERROR(__xludf.DUMMYFUNCTION("""COMPUTED_VALUE"""),69.0)</f>
        <v>69</v>
      </c>
      <c r="F6027" s="19" t="str">
        <f>IFERROR(__xludf.DUMMYFUNCTION("""COMPUTED_VALUE"""),"BLACK")</f>
        <v>BLACK</v>
      </c>
      <c r="G6027" s="20" t="str">
        <f>IFERROR(__xludf.DUMMYFUNCTION("""COMPUTED_VALUE"""),"Uncle Sams Cider (5/13/2022)")</f>
        <v>Uncle Sams Cider (5/13/2022)</v>
      </c>
      <c r="H6027" s="19"/>
    </row>
    <row r="6028">
      <c r="A6028" s="9"/>
      <c r="B6028" s="15"/>
      <c r="C6028" s="9">
        <f>IFERROR(__xludf.DUMMYFUNCTION("""COMPUTED_VALUE"""),44733.7728095833)</f>
        <v>44733.77281</v>
      </c>
      <c r="D6028" s="15">
        <f>IFERROR(__xludf.DUMMYFUNCTION("""COMPUTED_VALUE"""),1.005)</f>
        <v>1.005</v>
      </c>
      <c r="E6028" s="16">
        <f>IFERROR(__xludf.DUMMYFUNCTION("""COMPUTED_VALUE"""),69.0)</f>
        <v>69</v>
      </c>
      <c r="F6028" s="19" t="str">
        <f>IFERROR(__xludf.DUMMYFUNCTION("""COMPUTED_VALUE"""),"BLACK")</f>
        <v>BLACK</v>
      </c>
      <c r="G6028" s="20" t="str">
        <f>IFERROR(__xludf.DUMMYFUNCTION("""COMPUTED_VALUE"""),"Uncle Sams Cider (5/13/2022)")</f>
        <v>Uncle Sams Cider (5/13/2022)</v>
      </c>
      <c r="H6028" s="19"/>
    </row>
    <row r="6029">
      <c r="A6029" s="9"/>
      <c r="B6029" s="15"/>
      <c r="C6029" s="9">
        <f>IFERROR(__xludf.DUMMYFUNCTION("""COMPUTED_VALUE"""),44733.7623759606)</f>
        <v>44733.76238</v>
      </c>
      <c r="D6029" s="15">
        <f>IFERROR(__xludf.DUMMYFUNCTION("""COMPUTED_VALUE"""),1.005)</f>
        <v>1.005</v>
      </c>
      <c r="E6029" s="16">
        <f>IFERROR(__xludf.DUMMYFUNCTION("""COMPUTED_VALUE"""),69.0)</f>
        <v>69</v>
      </c>
      <c r="F6029" s="19" t="str">
        <f>IFERROR(__xludf.DUMMYFUNCTION("""COMPUTED_VALUE"""),"BLACK")</f>
        <v>BLACK</v>
      </c>
      <c r="G6029" s="20" t="str">
        <f>IFERROR(__xludf.DUMMYFUNCTION("""COMPUTED_VALUE"""),"Uncle Sams Cider (5/13/2022)")</f>
        <v>Uncle Sams Cider (5/13/2022)</v>
      </c>
      <c r="H6029" s="19"/>
    </row>
    <row r="6030">
      <c r="A6030" s="9"/>
      <c r="B6030" s="15"/>
      <c r="C6030" s="9">
        <f>IFERROR(__xludf.DUMMYFUNCTION("""COMPUTED_VALUE"""),44733.7519440046)</f>
        <v>44733.75194</v>
      </c>
      <c r="D6030" s="15">
        <f>IFERROR(__xludf.DUMMYFUNCTION("""COMPUTED_VALUE"""),1.005)</f>
        <v>1.005</v>
      </c>
      <c r="E6030" s="16">
        <f>IFERROR(__xludf.DUMMYFUNCTION("""COMPUTED_VALUE"""),69.0)</f>
        <v>69</v>
      </c>
      <c r="F6030" s="19" t="str">
        <f>IFERROR(__xludf.DUMMYFUNCTION("""COMPUTED_VALUE"""),"BLACK")</f>
        <v>BLACK</v>
      </c>
      <c r="G6030" s="20" t="str">
        <f>IFERROR(__xludf.DUMMYFUNCTION("""COMPUTED_VALUE"""),"Uncle Sams Cider (5/13/2022)")</f>
        <v>Uncle Sams Cider (5/13/2022)</v>
      </c>
      <c r="H6030" s="19"/>
    </row>
    <row r="6031">
      <c r="A6031" s="9"/>
      <c r="B6031" s="15"/>
      <c r="C6031" s="9">
        <f>IFERROR(__xludf.DUMMYFUNCTION("""COMPUTED_VALUE"""),44733.7415224074)</f>
        <v>44733.74152</v>
      </c>
      <c r="D6031" s="15">
        <f>IFERROR(__xludf.DUMMYFUNCTION("""COMPUTED_VALUE"""),1.005)</f>
        <v>1.005</v>
      </c>
      <c r="E6031" s="16">
        <f>IFERROR(__xludf.DUMMYFUNCTION("""COMPUTED_VALUE"""),69.0)</f>
        <v>69</v>
      </c>
      <c r="F6031" s="19" t="str">
        <f>IFERROR(__xludf.DUMMYFUNCTION("""COMPUTED_VALUE"""),"BLACK")</f>
        <v>BLACK</v>
      </c>
      <c r="G6031" s="20" t="str">
        <f>IFERROR(__xludf.DUMMYFUNCTION("""COMPUTED_VALUE"""),"Uncle Sams Cider (5/13/2022)")</f>
        <v>Uncle Sams Cider (5/13/2022)</v>
      </c>
      <c r="H6031" s="19"/>
    </row>
    <row r="6032">
      <c r="A6032" s="9"/>
      <c r="B6032" s="15"/>
      <c r="C6032" s="9">
        <f>IFERROR(__xludf.DUMMYFUNCTION("""COMPUTED_VALUE"""),44733.7311009837)</f>
        <v>44733.7311</v>
      </c>
      <c r="D6032" s="15">
        <f>IFERROR(__xludf.DUMMYFUNCTION("""COMPUTED_VALUE"""),1.005)</f>
        <v>1.005</v>
      </c>
      <c r="E6032" s="16">
        <f>IFERROR(__xludf.DUMMYFUNCTION("""COMPUTED_VALUE"""),69.0)</f>
        <v>69</v>
      </c>
      <c r="F6032" s="19" t="str">
        <f>IFERROR(__xludf.DUMMYFUNCTION("""COMPUTED_VALUE"""),"BLACK")</f>
        <v>BLACK</v>
      </c>
      <c r="G6032" s="20" t="str">
        <f>IFERROR(__xludf.DUMMYFUNCTION("""COMPUTED_VALUE"""),"Uncle Sams Cider (5/13/2022)")</f>
        <v>Uncle Sams Cider (5/13/2022)</v>
      </c>
      <c r="H6032" s="19"/>
    </row>
    <row r="6033">
      <c r="A6033" s="9"/>
      <c r="B6033" s="15"/>
      <c r="C6033" s="9">
        <f>IFERROR(__xludf.DUMMYFUNCTION("""COMPUTED_VALUE"""),44733.7206784259)</f>
        <v>44733.72068</v>
      </c>
      <c r="D6033" s="15">
        <f>IFERROR(__xludf.DUMMYFUNCTION("""COMPUTED_VALUE"""),1.005)</f>
        <v>1.005</v>
      </c>
      <c r="E6033" s="16">
        <f>IFERROR(__xludf.DUMMYFUNCTION("""COMPUTED_VALUE"""),69.0)</f>
        <v>69</v>
      </c>
      <c r="F6033" s="19" t="str">
        <f>IFERROR(__xludf.DUMMYFUNCTION("""COMPUTED_VALUE"""),"BLACK")</f>
        <v>BLACK</v>
      </c>
      <c r="G6033" s="20" t="str">
        <f>IFERROR(__xludf.DUMMYFUNCTION("""COMPUTED_VALUE"""),"Uncle Sams Cider (5/13/2022)")</f>
        <v>Uncle Sams Cider (5/13/2022)</v>
      </c>
      <c r="H6033" s="19"/>
    </row>
    <row r="6034">
      <c r="A6034" s="9"/>
      <c r="B6034" s="15"/>
      <c r="C6034" s="9">
        <f>IFERROR(__xludf.DUMMYFUNCTION("""COMPUTED_VALUE"""),44733.7102588194)</f>
        <v>44733.71026</v>
      </c>
      <c r="D6034" s="15">
        <f>IFERROR(__xludf.DUMMYFUNCTION("""COMPUTED_VALUE"""),1.005)</f>
        <v>1.005</v>
      </c>
      <c r="E6034" s="16">
        <f>IFERROR(__xludf.DUMMYFUNCTION("""COMPUTED_VALUE"""),69.0)</f>
        <v>69</v>
      </c>
      <c r="F6034" s="19" t="str">
        <f>IFERROR(__xludf.DUMMYFUNCTION("""COMPUTED_VALUE"""),"BLACK")</f>
        <v>BLACK</v>
      </c>
      <c r="G6034" s="20" t="str">
        <f>IFERROR(__xludf.DUMMYFUNCTION("""COMPUTED_VALUE"""),"Uncle Sams Cider (5/13/2022)")</f>
        <v>Uncle Sams Cider (5/13/2022)</v>
      </c>
      <c r="H6034" s="19"/>
    </row>
    <row r="6035">
      <c r="A6035" s="9"/>
      <c r="B6035" s="15"/>
      <c r="C6035" s="9">
        <f>IFERROR(__xludf.DUMMYFUNCTION("""COMPUTED_VALUE"""),44733.6998125926)</f>
        <v>44733.69981</v>
      </c>
      <c r="D6035" s="15">
        <f>IFERROR(__xludf.DUMMYFUNCTION("""COMPUTED_VALUE"""),1.005)</f>
        <v>1.005</v>
      </c>
      <c r="E6035" s="16">
        <f>IFERROR(__xludf.DUMMYFUNCTION("""COMPUTED_VALUE"""),69.0)</f>
        <v>69</v>
      </c>
      <c r="F6035" s="19" t="str">
        <f>IFERROR(__xludf.DUMMYFUNCTION("""COMPUTED_VALUE"""),"BLACK")</f>
        <v>BLACK</v>
      </c>
      <c r="G6035" s="20" t="str">
        <f>IFERROR(__xludf.DUMMYFUNCTION("""COMPUTED_VALUE"""),"Uncle Sams Cider (5/13/2022)")</f>
        <v>Uncle Sams Cider (5/13/2022)</v>
      </c>
      <c r="H6035" s="19"/>
    </row>
    <row r="6036">
      <c r="A6036" s="9"/>
      <c r="B6036" s="15"/>
      <c r="C6036" s="9">
        <f>IFERROR(__xludf.DUMMYFUNCTION("""COMPUTED_VALUE"""),44733.6893922222)</f>
        <v>44733.68939</v>
      </c>
      <c r="D6036" s="15">
        <f>IFERROR(__xludf.DUMMYFUNCTION("""COMPUTED_VALUE"""),1.005)</f>
        <v>1.005</v>
      </c>
      <c r="E6036" s="16">
        <f>IFERROR(__xludf.DUMMYFUNCTION("""COMPUTED_VALUE"""),69.0)</f>
        <v>69</v>
      </c>
      <c r="F6036" s="19" t="str">
        <f>IFERROR(__xludf.DUMMYFUNCTION("""COMPUTED_VALUE"""),"BLACK")</f>
        <v>BLACK</v>
      </c>
      <c r="G6036" s="20" t="str">
        <f>IFERROR(__xludf.DUMMYFUNCTION("""COMPUTED_VALUE"""),"Uncle Sams Cider (5/13/2022)")</f>
        <v>Uncle Sams Cider (5/13/2022)</v>
      </c>
      <c r="H6036" s="19"/>
    </row>
    <row r="6037">
      <c r="A6037" s="9"/>
      <c r="B6037" s="15"/>
      <c r="C6037" s="9">
        <f>IFERROR(__xludf.DUMMYFUNCTION("""COMPUTED_VALUE"""),44733.6789688426)</f>
        <v>44733.67897</v>
      </c>
      <c r="D6037" s="15">
        <f>IFERROR(__xludf.DUMMYFUNCTION("""COMPUTED_VALUE"""),1.005)</f>
        <v>1.005</v>
      </c>
      <c r="E6037" s="16">
        <f>IFERROR(__xludf.DUMMYFUNCTION("""COMPUTED_VALUE"""),69.0)</f>
        <v>69</v>
      </c>
      <c r="F6037" s="19" t="str">
        <f>IFERROR(__xludf.DUMMYFUNCTION("""COMPUTED_VALUE"""),"BLACK")</f>
        <v>BLACK</v>
      </c>
      <c r="G6037" s="20" t="str">
        <f>IFERROR(__xludf.DUMMYFUNCTION("""COMPUTED_VALUE"""),"Uncle Sams Cider (5/13/2022)")</f>
        <v>Uncle Sams Cider (5/13/2022)</v>
      </c>
      <c r="H6037" s="19"/>
    </row>
    <row r="6038">
      <c r="A6038" s="9"/>
      <c r="B6038" s="15"/>
      <c r="C6038" s="9">
        <f>IFERROR(__xludf.DUMMYFUNCTION("""COMPUTED_VALUE"""),44733.6685462615)</f>
        <v>44733.66855</v>
      </c>
      <c r="D6038" s="15">
        <f>IFERROR(__xludf.DUMMYFUNCTION("""COMPUTED_VALUE"""),1.005)</f>
        <v>1.005</v>
      </c>
      <c r="E6038" s="16">
        <f>IFERROR(__xludf.DUMMYFUNCTION("""COMPUTED_VALUE"""),69.0)</f>
        <v>69</v>
      </c>
      <c r="F6038" s="19" t="str">
        <f>IFERROR(__xludf.DUMMYFUNCTION("""COMPUTED_VALUE"""),"BLACK")</f>
        <v>BLACK</v>
      </c>
      <c r="G6038" s="20" t="str">
        <f>IFERROR(__xludf.DUMMYFUNCTION("""COMPUTED_VALUE"""),"Uncle Sams Cider (5/13/2022)")</f>
        <v>Uncle Sams Cider (5/13/2022)</v>
      </c>
      <c r="H6038" s="19"/>
    </row>
    <row r="6039">
      <c r="A6039" s="9"/>
      <c r="B6039" s="15"/>
      <c r="C6039" s="9">
        <f>IFERROR(__xludf.DUMMYFUNCTION("""COMPUTED_VALUE"""),44733.6581265393)</f>
        <v>44733.65813</v>
      </c>
      <c r="D6039" s="15">
        <f>IFERROR(__xludf.DUMMYFUNCTION("""COMPUTED_VALUE"""),1.005)</f>
        <v>1.005</v>
      </c>
      <c r="E6039" s="16">
        <f>IFERROR(__xludf.DUMMYFUNCTION("""COMPUTED_VALUE"""),69.0)</f>
        <v>69</v>
      </c>
      <c r="F6039" s="19" t="str">
        <f>IFERROR(__xludf.DUMMYFUNCTION("""COMPUTED_VALUE"""),"BLACK")</f>
        <v>BLACK</v>
      </c>
      <c r="G6039" s="20" t="str">
        <f>IFERROR(__xludf.DUMMYFUNCTION("""COMPUTED_VALUE"""),"Uncle Sams Cider (5/13/2022)")</f>
        <v>Uncle Sams Cider (5/13/2022)</v>
      </c>
      <c r="H6039" s="19"/>
    </row>
    <row r="6040">
      <c r="A6040" s="9"/>
      <c r="B6040" s="15"/>
      <c r="C6040" s="9">
        <f>IFERROR(__xludf.DUMMYFUNCTION("""COMPUTED_VALUE"""),44733.647705868)</f>
        <v>44733.64771</v>
      </c>
      <c r="D6040" s="15">
        <f>IFERROR(__xludf.DUMMYFUNCTION("""COMPUTED_VALUE"""),1.005)</f>
        <v>1.005</v>
      </c>
      <c r="E6040" s="16">
        <f>IFERROR(__xludf.DUMMYFUNCTION("""COMPUTED_VALUE"""),69.0)</f>
        <v>69</v>
      </c>
      <c r="F6040" s="19" t="str">
        <f>IFERROR(__xludf.DUMMYFUNCTION("""COMPUTED_VALUE"""),"BLACK")</f>
        <v>BLACK</v>
      </c>
      <c r="G6040" s="20" t="str">
        <f>IFERROR(__xludf.DUMMYFUNCTION("""COMPUTED_VALUE"""),"Uncle Sams Cider (5/13/2022)")</f>
        <v>Uncle Sams Cider (5/13/2022)</v>
      </c>
      <c r="H6040" s="19"/>
    </row>
    <row r="6041">
      <c r="A6041" s="9"/>
      <c r="B6041" s="15"/>
      <c r="C6041" s="9">
        <f>IFERROR(__xludf.DUMMYFUNCTION("""COMPUTED_VALUE"""),44733.637262662)</f>
        <v>44733.63726</v>
      </c>
      <c r="D6041" s="15">
        <f>IFERROR(__xludf.DUMMYFUNCTION("""COMPUTED_VALUE"""),1.005)</f>
        <v>1.005</v>
      </c>
      <c r="E6041" s="16">
        <f>IFERROR(__xludf.DUMMYFUNCTION("""COMPUTED_VALUE"""),69.0)</f>
        <v>69</v>
      </c>
      <c r="F6041" s="19" t="str">
        <f>IFERROR(__xludf.DUMMYFUNCTION("""COMPUTED_VALUE"""),"BLACK")</f>
        <v>BLACK</v>
      </c>
      <c r="G6041" s="20" t="str">
        <f>IFERROR(__xludf.DUMMYFUNCTION("""COMPUTED_VALUE"""),"Uncle Sams Cider (5/13/2022)")</f>
        <v>Uncle Sams Cider (5/13/2022)</v>
      </c>
      <c r="H6041" s="19"/>
    </row>
    <row r="6042">
      <c r="A6042" s="9"/>
      <c r="B6042" s="15"/>
      <c r="C6042" s="9">
        <f>IFERROR(__xludf.DUMMYFUNCTION("""COMPUTED_VALUE"""),44733.6268290972)</f>
        <v>44733.62683</v>
      </c>
      <c r="D6042" s="15">
        <f>IFERROR(__xludf.DUMMYFUNCTION("""COMPUTED_VALUE"""),1.005)</f>
        <v>1.005</v>
      </c>
      <c r="E6042" s="16">
        <f>IFERROR(__xludf.DUMMYFUNCTION("""COMPUTED_VALUE"""),69.0)</f>
        <v>69</v>
      </c>
      <c r="F6042" s="19" t="str">
        <f>IFERROR(__xludf.DUMMYFUNCTION("""COMPUTED_VALUE"""),"BLACK")</f>
        <v>BLACK</v>
      </c>
      <c r="G6042" s="20" t="str">
        <f>IFERROR(__xludf.DUMMYFUNCTION("""COMPUTED_VALUE"""),"Uncle Sams Cider (5/13/2022)")</f>
        <v>Uncle Sams Cider (5/13/2022)</v>
      </c>
      <c r="H6042" s="19"/>
    </row>
    <row r="6043">
      <c r="A6043" s="9"/>
      <c r="B6043" s="15"/>
      <c r="C6043" s="9">
        <f>IFERROR(__xludf.DUMMYFUNCTION("""COMPUTED_VALUE"""),44733.6163976851)</f>
        <v>44733.6164</v>
      </c>
      <c r="D6043" s="15">
        <f>IFERROR(__xludf.DUMMYFUNCTION("""COMPUTED_VALUE"""),1.005)</f>
        <v>1.005</v>
      </c>
      <c r="E6043" s="16">
        <f>IFERROR(__xludf.DUMMYFUNCTION("""COMPUTED_VALUE"""),69.0)</f>
        <v>69</v>
      </c>
      <c r="F6043" s="19" t="str">
        <f>IFERROR(__xludf.DUMMYFUNCTION("""COMPUTED_VALUE"""),"BLACK")</f>
        <v>BLACK</v>
      </c>
      <c r="G6043" s="20" t="str">
        <f>IFERROR(__xludf.DUMMYFUNCTION("""COMPUTED_VALUE"""),"Uncle Sams Cider (5/13/2022)")</f>
        <v>Uncle Sams Cider (5/13/2022)</v>
      </c>
      <c r="H6043" s="19"/>
    </row>
    <row r="6044">
      <c r="A6044" s="9"/>
      <c r="B6044" s="15"/>
      <c r="C6044" s="9">
        <f>IFERROR(__xludf.DUMMYFUNCTION("""COMPUTED_VALUE"""),44733.6059656944)</f>
        <v>44733.60597</v>
      </c>
      <c r="D6044" s="15">
        <f>IFERROR(__xludf.DUMMYFUNCTION("""COMPUTED_VALUE"""),1.005)</f>
        <v>1.005</v>
      </c>
      <c r="E6044" s="16">
        <f>IFERROR(__xludf.DUMMYFUNCTION("""COMPUTED_VALUE"""),69.0)</f>
        <v>69</v>
      </c>
      <c r="F6044" s="19" t="str">
        <f>IFERROR(__xludf.DUMMYFUNCTION("""COMPUTED_VALUE"""),"BLACK")</f>
        <v>BLACK</v>
      </c>
      <c r="G6044" s="20" t="str">
        <f>IFERROR(__xludf.DUMMYFUNCTION("""COMPUTED_VALUE"""),"Uncle Sams Cider (5/13/2022)")</f>
        <v>Uncle Sams Cider (5/13/2022)</v>
      </c>
      <c r="H6044" s="19"/>
    </row>
    <row r="6045">
      <c r="A6045" s="9"/>
      <c r="B6045" s="15"/>
      <c r="C6045" s="9">
        <f>IFERROR(__xludf.DUMMYFUNCTION("""COMPUTED_VALUE"""),44733.5955453472)</f>
        <v>44733.59555</v>
      </c>
      <c r="D6045" s="15">
        <f>IFERROR(__xludf.DUMMYFUNCTION("""COMPUTED_VALUE"""),1.005)</f>
        <v>1.005</v>
      </c>
      <c r="E6045" s="16">
        <f>IFERROR(__xludf.DUMMYFUNCTION("""COMPUTED_VALUE"""),69.0)</f>
        <v>69</v>
      </c>
      <c r="F6045" s="19" t="str">
        <f>IFERROR(__xludf.DUMMYFUNCTION("""COMPUTED_VALUE"""),"BLACK")</f>
        <v>BLACK</v>
      </c>
      <c r="G6045" s="20" t="str">
        <f>IFERROR(__xludf.DUMMYFUNCTION("""COMPUTED_VALUE"""),"Uncle Sams Cider (5/13/2022)")</f>
        <v>Uncle Sams Cider (5/13/2022)</v>
      </c>
      <c r="H6045" s="19"/>
    </row>
    <row r="6046">
      <c r="A6046" s="9"/>
      <c r="B6046" s="15"/>
      <c r="C6046" s="9">
        <f>IFERROR(__xludf.DUMMYFUNCTION("""COMPUTED_VALUE"""),44733.5851250231)</f>
        <v>44733.58513</v>
      </c>
      <c r="D6046" s="15">
        <f>IFERROR(__xludf.DUMMYFUNCTION("""COMPUTED_VALUE"""),1.005)</f>
        <v>1.005</v>
      </c>
      <c r="E6046" s="16">
        <f>IFERROR(__xludf.DUMMYFUNCTION("""COMPUTED_VALUE"""),69.0)</f>
        <v>69</v>
      </c>
      <c r="F6046" s="19" t="str">
        <f>IFERROR(__xludf.DUMMYFUNCTION("""COMPUTED_VALUE"""),"BLACK")</f>
        <v>BLACK</v>
      </c>
      <c r="G6046" s="20" t="str">
        <f>IFERROR(__xludf.DUMMYFUNCTION("""COMPUTED_VALUE"""),"Uncle Sams Cider (5/13/2022)")</f>
        <v>Uncle Sams Cider (5/13/2022)</v>
      </c>
      <c r="H6046" s="19"/>
    </row>
    <row r="6047">
      <c r="A6047" s="9"/>
      <c r="B6047" s="15"/>
      <c r="C6047" s="9">
        <f>IFERROR(__xludf.DUMMYFUNCTION("""COMPUTED_VALUE"""),44733.5747017939)</f>
        <v>44733.5747</v>
      </c>
      <c r="D6047" s="15">
        <f>IFERROR(__xludf.DUMMYFUNCTION("""COMPUTED_VALUE"""),1.005)</f>
        <v>1.005</v>
      </c>
      <c r="E6047" s="16">
        <f>IFERROR(__xludf.DUMMYFUNCTION("""COMPUTED_VALUE"""),69.0)</f>
        <v>69</v>
      </c>
      <c r="F6047" s="19" t="str">
        <f>IFERROR(__xludf.DUMMYFUNCTION("""COMPUTED_VALUE"""),"BLACK")</f>
        <v>BLACK</v>
      </c>
      <c r="G6047" s="20" t="str">
        <f>IFERROR(__xludf.DUMMYFUNCTION("""COMPUTED_VALUE"""),"Uncle Sams Cider (5/13/2022)")</f>
        <v>Uncle Sams Cider (5/13/2022)</v>
      </c>
      <c r="H6047" s="19"/>
    </row>
    <row r="6048">
      <c r="A6048" s="9"/>
      <c r="B6048" s="15"/>
      <c r="C6048" s="9">
        <f>IFERROR(__xludf.DUMMYFUNCTION("""COMPUTED_VALUE"""),44733.5642814467)</f>
        <v>44733.56428</v>
      </c>
      <c r="D6048" s="15">
        <f>IFERROR(__xludf.DUMMYFUNCTION("""COMPUTED_VALUE"""),1.005)</f>
        <v>1.005</v>
      </c>
      <c r="E6048" s="16">
        <f>IFERROR(__xludf.DUMMYFUNCTION("""COMPUTED_VALUE"""),69.0)</f>
        <v>69</v>
      </c>
      <c r="F6048" s="19" t="str">
        <f>IFERROR(__xludf.DUMMYFUNCTION("""COMPUTED_VALUE"""),"BLACK")</f>
        <v>BLACK</v>
      </c>
      <c r="G6048" s="20" t="str">
        <f>IFERROR(__xludf.DUMMYFUNCTION("""COMPUTED_VALUE"""),"Uncle Sams Cider (5/13/2022)")</f>
        <v>Uncle Sams Cider (5/13/2022)</v>
      </c>
      <c r="H6048" s="19"/>
    </row>
    <row r="6049">
      <c r="A6049" s="9"/>
      <c r="B6049" s="15"/>
      <c r="C6049" s="9">
        <f>IFERROR(__xludf.DUMMYFUNCTION("""COMPUTED_VALUE"""),44733.5538575578)</f>
        <v>44733.55386</v>
      </c>
      <c r="D6049" s="15">
        <f>IFERROR(__xludf.DUMMYFUNCTION("""COMPUTED_VALUE"""),1.005)</f>
        <v>1.005</v>
      </c>
      <c r="E6049" s="16">
        <f>IFERROR(__xludf.DUMMYFUNCTION("""COMPUTED_VALUE"""),69.0)</f>
        <v>69</v>
      </c>
      <c r="F6049" s="19" t="str">
        <f>IFERROR(__xludf.DUMMYFUNCTION("""COMPUTED_VALUE"""),"BLACK")</f>
        <v>BLACK</v>
      </c>
      <c r="G6049" s="20" t="str">
        <f>IFERROR(__xludf.DUMMYFUNCTION("""COMPUTED_VALUE"""),"Uncle Sams Cider (5/13/2022)")</f>
        <v>Uncle Sams Cider (5/13/2022)</v>
      </c>
      <c r="H6049" s="19"/>
    </row>
    <row r="6050">
      <c r="A6050" s="9"/>
      <c r="B6050" s="15"/>
      <c r="C6050" s="9">
        <f>IFERROR(__xludf.DUMMYFUNCTION("""COMPUTED_VALUE"""),44733.5434122453)</f>
        <v>44733.54341</v>
      </c>
      <c r="D6050" s="15">
        <f>IFERROR(__xludf.DUMMYFUNCTION("""COMPUTED_VALUE"""),1.005)</f>
        <v>1.005</v>
      </c>
      <c r="E6050" s="16">
        <f>IFERROR(__xludf.DUMMYFUNCTION("""COMPUTED_VALUE"""),69.0)</f>
        <v>69</v>
      </c>
      <c r="F6050" s="19" t="str">
        <f>IFERROR(__xludf.DUMMYFUNCTION("""COMPUTED_VALUE"""),"BLACK")</f>
        <v>BLACK</v>
      </c>
      <c r="G6050" s="20" t="str">
        <f>IFERROR(__xludf.DUMMYFUNCTION("""COMPUTED_VALUE"""),"Uncle Sams Cider (5/13/2022)")</f>
        <v>Uncle Sams Cider (5/13/2022)</v>
      </c>
      <c r="H6050" s="19"/>
    </row>
    <row r="6051">
      <c r="A6051" s="9"/>
      <c r="B6051" s="15"/>
      <c r="C6051" s="9">
        <f>IFERROR(__xludf.DUMMYFUNCTION("""COMPUTED_VALUE"""),44733.5329568055)</f>
        <v>44733.53296</v>
      </c>
      <c r="D6051" s="15">
        <f>IFERROR(__xludf.DUMMYFUNCTION("""COMPUTED_VALUE"""),1.005)</f>
        <v>1.005</v>
      </c>
      <c r="E6051" s="16">
        <f>IFERROR(__xludf.DUMMYFUNCTION("""COMPUTED_VALUE"""),69.0)</f>
        <v>69</v>
      </c>
      <c r="F6051" s="19" t="str">
        <f>IFERROR(__xludf.DUMMYFUNCTION("""COMPUTED_VALUE"""),"BLACK")</f>
        <v>BLACK</v>
      </c>
      <c r="G6051" s="20" t="str">
        <f>IFERROR(__xludf.DUMMYFUNCTION("""COMPUTED_VALUE"""),"Uncle Sams Cider (5/13/2022)")</f>
        <v>Uncle Sams Cider (5/13/2022)</v>
      </c>
      <c r="H6051" s="19"/>
    </row>
    <row r="6052">
      <c r="A6052" s="9"/>
      <c r="B6052" s="15"/>
      <c r="C6052" s="9">
        <f>IFERROR(__xludf.DUMMYFUNCTION("""COMPUTED_VALUE"""),44733.5225350231)</f>
        <v>44733.52254</v>
      </c>
      <c r="D6052" s="15">
        <f>IFERROR(__xludf.DUMMYFUNCTION("""COMPUTED_VALUE"""),1.005)</f>
        <v>1.005</v>
      </c>
      <c r="E6052" s="16">
        <f>IFERROR(__xludf.DUMMYFUNCTION("""COMPUTED_VALUE"""),69.0)</f>
        <v>69</v>
      </c>
      <c r="F6052" s="19" t="str">
        <f>IFERROR(__xludf.DUMMYFUNCTION("""COMPUTED_VALUE"""),"BLACK")</f>
        <v>BLACK</v>
      </c>
      <c r="G6052" s="20" t="str">
        <f>IFERROR(__xludf.DUMMYFUNCTION("""COMPUTED_VALUE"""),"Uncle Sams Cider (5/13/2022)")</f>
        <v>Uncle Sams Cider (5/13/2022)</v>
      </c>
      <c r="H6052" s="19"/>
    </row>
    <row r="6053">
      <c r="A6053" s="9"/>
      <c r="B6053" s="15"/>
      <c r="C6053" s="9">
        <f>IFERROR(__xludf.DUMMYFUNCTION("""COMPUTED_VALUE"""),44733.5121137037)</f>
        <v>44733.51211</v>
      </c>
      <c r="D6053" s="15">
        <f>IFERROR(__xludf.DUMMYFUNCTION("""COMPUTED_VALUE"""),1.005)</f>
        <v>1.005</v>
      </c>
      <c r="E6053" s="16">
        <f>IFERROR(__xludf.DUMMYFUNCTION("""COMPUTED_VALUE"""),69.0)</f>
        <v>69</v>
      </c>
      <c r="F6053" s="19" t="str">
        <f>IFERROR(__xludf.DUMMYFUNCTION("""COMPUTED_VALUE"""),"BLACK")</f>
        <v>BLACK</v>
      </c>
      <c r="G6053" s="20" t="str">
        <f>IFERROR(__xludf.DUMMYFUNCTION("""COMPUTED_VALUE"""),"Uncle Sams Cider (5/13/2022)")</f>
        <v>Uncle Sams Cider (5/13/2022)</v>
      </c>
      <c r="H6053" s="19"/>
    </row>
    <row r="6054">
      <c r="A6054" s="9"/>
      <c r="B6054" s="15"/>
      <c r="C6054" s="9">
        <f>IFERROR(__xludf.DUMMYFUNCTION("""COMPUTED_VALUE"""),44733.5016924305)</f>
        <v>44733.50169</v>
      </c>
      <c r="D6054" s="15">
        <f>IFERROR(__xludf.DUMMYFUNCTION("""COMPUTED_VALUE"""),1.005)</f>
        <v>1.005</v>
      </c>
      <c r="E6054" s="16">
        <f>IFERROR(__xludf.DUMMYFUNCTION("""COMPUTED_VALUE"""),69.0)</f>
        <v>69</v>
      </c>
      <c r="F6054" s="19" t="str">
        <f>IFERROR(__xludf.DUMMYFUNCTION("""COMPUTED_VALUE"""),"BLACK")</f>
        <v>BLACK</v>
      </c>
      <c r="G6054" s="20" t="str">
        <f>IFERROR(__xludf.DUMMYFUNCTION("""COMPUTED_VALUE"""),"Uncle Sams Cider (5/13/2022)")</f>
        <v>Uncle Sams Cider (5/13/2022)</v>
      </c>
      <c r="H6054" s="19"/>
    </row>
    <row r="6055">
      <c r="A6055" s="9"/>
      <c r="B6055" s="15"/>
      <c r="C6055" s="9">
        <f>IFERROR(__xludf.DUMMYFUNCTION("""COMPUTED_VALUE"""),44733.491272037)</f>
        <v>44733.49127</v>
      </c>
      <c r="D6055" s="15">
        <f>IFERROR(__xludf.DUMMYFUNCTION("""COMPUTED_VALUE"""),1.005)</f>
        <v>1.005</v>
      </c>
      <c r="E6055" s="16">
        <f>IFERROR(__xludf.DUMMYFUNCTION("""COMPUTED_VALUE"""),69.0)</f>
        <v>69</v>
      </c>
      <c r="F6055" s="19" t="str">
        <f>IFERROR(__xludf.DUMMYFUNCTION("""COMPUTED_VALUE"""),"BLACK")</f>
        <v>BLACK</v>
      </c>
      <c r="G6055" s="20" t="str">
        <f>IFERROR(__xludf.DUMMYFUNCTION("""COMPUTED_VALUE"""),"Uncle Sams Cider (5/13/2022)")</f>
        <v>Uncle Sams Cider (5/13/2022)</v>
      </c>
      <c r="H6055" s="19"/>
    </row>
    <row r="6056">
      <c r="A6056" s="9"/>
      <c r="B6056" s="15"/>
      <c r="C6056" s="9">
        <f>IFERROR(__xludf.DUMMYFUNCTION("""COMPUTED_VALUE"""),44733.4808488078)</f>
        <v>44733.48085</v>
      </c>
      <c r="D6056" s="15">
        <f>IFERROR(__xludf.DUMMYFUNCTION("""COMPUTED_VALUE"""),1.005)</f>
        <v>1.005</v>
      </c>
      <c r="E6056" s="16">
        <f>IFERROR(__xludf.DUMMYFUNCTION("""COMPUTED_VALUE"""),69.0)</f>
        <v>69</v>
      </c>
      <c r="F6056" s="19" t="str">
        <f>IFERROR(__xludf.DUMMYFUNCTION("""COMPUTED_VALUE"""),"BLACK")</f>
        <v>BLACK</v>
      </c>
      <c r="G6056" s="20" t="str">
        <f>IFERROR(__xludf.DUMMYFUNCTION("""COMPUTED_VALUE"""),"Uncle Sams Cider (5/13/2022)")</f>
        <v>Uncle Sams Cider (5/13/2022)</v>
      </c>
      <c r="H6056" s="19"/>
    </row>
    <row r="6057">
      <c r="A6057" s="9"/>
      <c r="B6057" s="15"/>
      <c r="C6057" s="9">
        <f>IFERROR(__xludf.DUMMYFUNCTION("""COMPUTED_VALUE"""),44733.470429456)</f>
        <v>44733.47043</v>
      </c>
      <c r="D6057" s="15">
        <f>IFERROR(__xludf.DUMMYFUNCTION("""COMPUTED_VALUE"""),1.005)</f>
        <v>1.005</v>
      </c>
      <c r="E6057" s="16">
        <f>IFERROR(__xludf.DUMMYFUNCTION("""COMPUTED_VALUE"""),69.0)</f>
        <v>69</v>
      </c>
      <c r="F6057" s="19" t="str">
        <f>IFERROR(__xludf.DUMMYFUNCTION("""COMPUTED_VALUE"""),"BLACK")</f>
        <v>BLACK</v>
      </c>
      <c r="G6057" s="20" t="str">
        <f>IFERROR(__xludf.DUMMYFUNCTION("""COMPUTED_VALUE"""),"Uncle Sams Cider (5/13/2022)")</f>
        <v>Uncle Sams Cider (5/13/2022)</v>
      </c>
      <c r="H6057" s="19"/>
    </row>
    <row r="6058">
      <c r="A6058" s="9"/>
      <c r="B6058" s="15"/>
      <c r="C6058" s="9">
        <f>IFERROR(__xludf.DUMMYFUNCTION("""COMPUTED_VALUE"""),44733.4600086111)</f>
        <v>44733.46001</v>
      </c>
      <c r="D6058" s="15">
        <f>IFERROR(__xludf.DUMMYFUNCTION("""COMPUTED_VALUE"""),1.005)</f>
        <v>1.005</v>
      </c>
      <c r="E6058" s="16">
        <f>IFERROR(__xludf.DUMMYFUNCTION("""COMPUTED_VALUE"""),69.0)</f>
        <v>69</v>
      </c>
      <c r="F6058" s="19" t="str">
        <f>IFERROR(__xludf.DUMMYFUNCTION("""COMPUTED_VALUE"""),"BLACK")</f>
        <v>BLACK</v>
      </c>
      <c r="G6058" s="20" t="str">
        <f>IFERROR(__xludf.DUMMYFUNCTION("""COMPUTED_VALUE"""),"Uncle Sams Cider (5/13/2022)")</f>
        <v>Uncle Sams Cider (5/13/2022)</v>
      </c>
      <c r="H6058" s="19"/>
    </row>
    <row r="6059">
      <c r="A6059" s="9"/>
      <c r="B6059" s="15"/>
      <c r="C6059" s="9">
        <f>IFERROR(__xludf.DUMMYFUNCTION("""COMPUTED_VALUE"""),44733.4495864004)</f>
        <v>44733.44959</v>
      </c>
      <c r="D6059" s="15">
        <f>IFERROR(__xludf.DUMMYFUNCTION("""COMPUTED_VALUE"""),1.005)</f>
        <v>1.005</v>
      </c>
      <c r="E6059" s="16">
        <f>IFERROR(__xludf.DUMMYFUNCTION("""COMPUTED_VALUE"""),69.0)</f>
        <v>69</v>
      </c>
      <c r="F6059" s="19" t="str">
        <f>IFERROR(__xludf.DUMMYFUNCTION("""COMPUTED_VALUE"""),"BLACK")</f>
        <v>BLACK</v>
      </c>
      <c r="G6059" s="20" t="str">
        <f>IFERROR(__xludf.DUMMYFUNCTION("""COMPUTED_VALUE"""),"Uncle Sams Cider (5/13/2022)")</f>
        <v>Uncle Sams Cider (5/13/2022)</v>
      </c>
      <c r="H6059" s="19"/>
    </row>
    <row r="6060">
      <c r="A6060" s="9"/>
      <c r="B6060" s="15"/>
      <c r="C6060" s="9">
        <f>IFERROR(__xludf.DUMMYFUNCTION("""COMPUTED_VALUE"""),44733.4391527314)</f>
        <v>44733.43915</v>
      </c>
      <c r="D6060" s="15">
        <f>IFERROR(__xludf.DUMMYFUNCTION("""COMPUTED_VALUE"""),1.005)</f>
        <v>1.005</v>
      </c>
      <c r="E6060" s="16">
        <f>IFERROR(__xludf.DUMMYFUNCTION("""COMPUTED_VALUE"""),69.0)</f>
        <v>69</v>
      </c>
      <c r="F6060" s="19" t="str">
        <f>IFERROR(__xludf.DUMMYFUNCTION("""COMPUTED_VALUE"""),"BLACK")</f>
        <v>BLACK</v>
      </c>
      <c r="G6060" s="20" t="str">
        <f>IFERROR(__xludf.DUMMYFUNCTION("""COMPUTED_VALUE"""),"Uncle Sams Cider (5/13/2022)")</f>
        <v>Uncle Sams Cider (5/13/2022)</v>
      </c>
      <c r="H6060" s="19"/>
    </row>
    <row r="6061">
      <c r="A6061" s="9"/>
      <c r="B6061" s="15"/>
      <c r="C6061" s="9">
        <f>IFERROR(__xludf.DUMMYFUNCTION("""COMPUTED_VALUE"""),44733.4287321527)</f>
        <v>44733.42873</v>
      </c>
      <c r="D6061" s="15">
        <f>IFERROR(__xludf.DUMMYFUNCTION("""COMPUTED_VALUE"""),1.005)</f>
        <v>1.005</v>
      </c>
      <c r="E6061" s="16">
        <f>IFERROR(__xludf.DUMMYFUNCTION("""COMPUTED_VALUE"""),69.0)</f>
        <v>69</v>
      </c>
      <c r="F6061" s="19" t="str">
        <f>IFERROR(__xludf.DUMMYFUNCTION("""COMPUTED_VALUE"""),"BLACK")</f>
        <v>BLACK</v>
      </c>
      <c r="G6061" s="20" t="str">
        <f>IFERROR(__xludf.DUMMYFUNCTION("""COMPUTED_VALUE"""),"Uncle Sams Cider (5/13/2022)")</f>
        <v>Uncle Sams Cider (5/13/2022)</v>
      </c>
      <c r="H6061" s="19"/>
    </row>
    <row r="6062">
      <c r="A6062" s="9"/>
      <c r="B6062" s="15"/>
      <c r="C6062" s="9">
        <f>IFERROR(__xludf.DUMMYFUNCTION("""COMPUTED_VALUE"""),44733.4183120254)</f>
        <v>44733.41831</v>
      </c>
      <c r="D6062" s="15">
        <f>IFERROR(__xludf.DUMMYFUNCTION("""COMPUTED_VALUE"""),1.005)</f>
        <v>1.005</v>
      </c>
      <c r="E6062" s="16">
        <f>IFERROR(__xludf.DUMMYFUNCTION("""COMPUTED_VALUE"""),69.0)</f>
        <v>69</v>
      </c>
      <c r="F6062" s="19" t="str">
        <f>IFERROR(__xludf.DUMMYFUNCTION("""COMPUTED_VALUE"""),"BLACK")</f>
        <v>BLACK</v>
      </c>
      <c r="G6062" s="20" t="str">
        <f>IFERROR(__xludf.DUMMYFUNCTION("""COMPUTED_VALUE"""),"Uncle Sams Cider (5/13/2022)")</f>
        <v>Uncle Sams Cider (5/13/2022)</v>
      </c>
      <c r="H6062" s="19"/>
    </row>
    <row r="6063">
      <c r="A6063" s="9"/>
      <c r="B6063" s="15"/>
      <c r="C6063" s="9">
        <f>IFERROR(__xludf.DUMMYFUNCTION("""COMPUTED_VALUE"""),44733.4078904282)</f>
        <v>44733.40789</v>
      </c>
      <c r="D6063" s="15">
        <f>IFERROR(__xludf.DUMMYFUNCTION("""COMPUTED_VALUE"""),1.005)</f>
        <v>1.005</v>
      </c>
      <c r="E6063" s="16">
        <f>IFERROR(__xludf.DUMMYFUNCTION("""COMPUTED_VALUE"""),69.0)</f>
        <v>69</v>
      </c>
      <c r="F6063" s="19" t="str">
        <f>IFERROR(__xludf.DUMMYFUNCTION("""COMPUTED_VALUE"""),"BLACK")</f>
        <v>BLACK</v>
      </c>
      <c r="G6063" s="20" t="str">
        <f>IFERROR(__xludf.DUMMYFUNCTION("""COMPUTED_VALUE"""),"Uncle Sams Cider (5/13/2022)")</f>
        <v>Uncle Sams Cider (5/13/2022)</v>
      </c>
      <c r="H6063" s="19"/>
    </row>
    <row r="6064">
      <c r="A6064" s="9"/>
      <c r="B6064" s="15"/>
      <c r="C6064" s="9">
        <f>IFERROR(__xludf.DUMMYFUNCTION("""COMPUTED_VALUE"""),44733.3974591435)</f>
        <v>44733.39746</v>
      </c>
      <c r="D6064" s="15">
        <f>IFERROR(__xludf.DUMMYFUNCTION("""COMPUTED_VALUE"""),1.005)</f>
        <v>1.005</v>
      </c>
      <c r="E6064" s="16">
        <f>IFERROR(__xludf.DUMMYFUNCTION("""COMPUTED_VALUE"""),69.0)</f>
        <v>69</v>
      </c>
      <c r="F6064" s="19" t="str">
        <f>IFERROR(__xludf.DUMMYFUNCTION("""COMPUTED_VALUE"""),"BLACK")</f>
        <v>BLACK</v>
      </c>
      <c r="G6064" s="20" t="str">
        <f>IFERROR(__xludf.DUMMYFUNCTION("""COMPUTED_VALUE"""),"Uncle Sams Cider (5/13/2022)")</f>
        <v>Uncle Sams Cider (5/13/2022)</v>
      </c>
      <c r="H6064" s="19"/>
    </row>
    <row r="6065">
      <c r="A6065" s="9"/>
      <c r="B6065" s="15"/>
      <c r="C6065" s="9">
        <f>IFERROR(__xludf.DUMMYFUNCTION("""COMPUTED_VALUE"""),44733.3870261342)</f>
        <v>44733.38703</v>
      </c>
      <c r="D6065" s="15">
        <f>IFERROR(__xludf.DUMMYFUNCTION("""COMPUTED_VALUE"""),1.005)</f>
        <v>1.005</v>
      </c>
      <c r="E6065" s="16">
        <f>IFERROR(__xludf.DUMMYFUNCTION("""COMPUTED_VALUE"""),69.0)</f>
        <v>69</v>
      </c>
      <c r="F6065" s="19" t="str">
        <f>IFERROR(__xludf.DUMMYFUNCTION("""COMPUTED_VALUE"""),"BLACK")</f>
        <v>BLACK</v>
      </c>
      <c r="G6065" s="20" t="str">
        <f>IFERROR(__xludf.DUMMYFUNCTION("""COMPUTED_VALUE"""),"Uncle Sams Cider (5/13/2022)")</f>
        <v>Uncle Sams Cider (5/13/2022)</v>
      </c>
      <c r="H6065" s="19"/>
    </row>
    <row r="6066">
      <c r="A6066" s="9"/>
      <c r="B6066" s="15"/>
      <c r="C6066" s="9">
        <f>IFERROR(__xludf.DUMMYFUNCTION("""COMPUTED_VALUE"""),44733.3765944907)</f>
        <v>44733.37659</v>
      </c>
      <c r="D6066" s="15">
        <f>IFERROR(__xludf.DUMMYFUNCTION("""COMPUTED_VALUE"""),1.005)</f>
        <v>1.005</v>
      </c>
      <c r="E6066" s="16">
        <f>IFERROR(__xludf.DUMMYFUNCTION("""COMPUTED_VALUE"""),69.0)</f>
        <v>69</v>
      </c>
      <c r="F6066" s="19" t="str">
        <f>IFERROR(__xludf.DUMMYFUNCTION("""COMPUTED_VALUE"""),"BLACK")</f>
        <v>BLACK</v>
      </c>
      <c r="G6066" s="20" t="str">
        <f>IFERROR(__xludf.DUMMYFUNCTION("""COMPUTED_VALUE"""),"Uncle Sams Cider (5/13/2022)")</f>
        <v>Uncle Sams Cider (5/13/2022)</v>
      </c>
      <c r="H6066" s="19"/>
    </row>
    <row r="6067">
      <c r="A6067" s="9"/>
      <c r="B6067" s="15"/>
      <c r="C6067" s="9">
        <f>IFERROR(__xludf.DUMMYFUNCTION("""COMPUTED_VALUE"""),44733.3661615162)</f>
        <v>44733.36616</v>
      </c>
      <c r="D6067" s="15">
        <f>IFERROR(__xludf.DUMMYFUNCTION("""COMPUTED_VALUE"""),1.005)</f>
        <v>1.005</v>
      </c>
      <c r="E6067" s="16">
        <f>IFERROR(__xludf.DUMMYFUNCTION("""COMPUTED_VALUE"""),69.0)</f>
        <v>69</v>
      </c>
      <c r="F6067" s="19" t="str">
        <f>IFERROR(__xludf.DUMMYFUNCTION("""COMPUTED_VALUE"""),"BLACK")</f>
        <v>BLACK</v>
      </c>
      <c r="G6067" s="20" t="str">
        <f>IFERROR(__xludf.DUMMYFUNCTION("""COMPUTED_VALUE"""),"Uncle Sams Cider (5/13/2022)")</f>
        <v>Uncle Sams Cider (5/13/2022)</v>
      </c>
      <c r="H6067" s="19"/>
    </row>
    <row r="6068">
      <c r="A6068" s="9"/>
      <c r="B6068" s="15"/>
      <c r="C6068" s="9">
        <f>IFERROR(__xludf.DUMMYFUNCTION("""COMPUTED_VALUE"""),44733.3557288425)</f>
        <v>44733.35573</v>
      </c>
      <c r="D6068" s="15">
        <f>IFERROR(__xludf.DUMMYFUNCTION("""COMPUTED_VALUE"""),1.005)</f>
        <v>1.005</v>
      </c>
      <c r="E6068" s="16">
        <f>IFERROR(__xludf.DUMMYFUNCTION("""COMPUTED_VALUE"""),69.0)</f>
        <v>69</v>
      </c>
      <c r="F6068" s="19" t="str">
        <f>IFERROR(__xludf.DUMMYFUNCTION("""COMPUTED_VALUE"""),"BLACK")</f>
        <v>BLACK</v>
      </c>
      <c r="G6068" s="20" t="str">
        <f>IFERROR(__xludf.DUMMYFUNCTION("""COMPUTED_VALUE"""),"Uncle Sams Cider (5/13/2022)")</f>
        <v>Uncle Sams Cider (5/13/2022)</v>
      </c>
      <c r="H6068" s="19"/>
    </row>
    <row r="6069">
      <c r="A6069" s="9"/>
      <c r="B6069" s="15"/>
      <c r="C6069" s="9">
        <f>IFERROR(__xludf.DUMMYFUNCTION("""COMPUTED_VALUE"""),44733.3453071064)</f>
        <v>44733.34531</v>
      </c>
      <c r="D6069" s="15">
        <f>IFERROR(__xludf.DUMMYFUNCTION("""COMPUTED_VALUE"""),1.005)</f>
        <v>1.005</v>
      </c>
      <c r="E6069" s="16">
        <f>IFERROR(__xludf.DUMMYFUNCTION("""COMPUTED_VALUE"""),69.0)</f>
        <v>69</v>
      </c>
      <c r="F6069" s="19" t="str">
        <f>IFERROR(__xludf.DUMMYFUNCTION("""COMPUTED_VALUE"""),"BLACK")</f>
        <v>BLACK</v>
      </c>
      <c r="G6069" s="20" t="str">
        <f>IFERROR(__xludf.DUMMYFUNCTION("""COMPUTED_VALUE"""),"Uncle Sams Cider (5/13/2022)")</f>
        <v>Uncle Sams Cider (5/13/2022)</v>
      </c>
      <c r="H6069" s="19"/>
    </row>
    <row r="6070">
      <c r="A6070" s="9"/>
      <c r="B6070" s="15"/>
      <c r="C6070" s="9">
        <f>IFERROR(__xludf.DUMMYFUNCTION("""COMPUTED_VALUE"""),44733.3348623842)</f>
        <v>44733.33486</v>
      </c>
      <c r="D6070" s="15">
        <f>IFERROR(__xludf.DUMMYFUNCTION("""COMPUTED_VALUE"""),1.005)</f>
        <v>1.005</v>
      </c>
      <c r="E6070" s="16">
        <f>IFERROR(__xludf.DUMMYFUNCTION("""COMPUTED_VALUE"""),69.0)</f>
        <v>69</v>
      </c>
      <c r="F6070" s="19" t="str">
        <f>IFERROR(__xludf.DUMMYFUNCTION("""COMPUTED_VALUE"""),"BLACK")</f>
        <v>BLACK</v>
      </c>
      <c r="G6070" s="20" t="str">
        <f>IFERROR(__xludf.DUMMYFUNCTION("""COMPUTED_VALUE"""),"Uncle Sams Cider (5/13/2022)")</f>
        <v>Uncle Sams Cider (5/13/2022)</v>
      </c>
      <c r="H6070" s="19"/>
    </row>
    <row r="6071">
      <c r="A6071" s="9"/>
      <c r="B6071" s="15"/>
      <c r="C6071" s="9">
        <f>IFERROR(__xludf.DUMMYFUNCTION("""COMPUTED_VALUE"""),44733.324440243)</f>
        <v>44733.32444</v>
      </c>
      <c r="D6071" s="15">
        <f>IFERROR(__xludf.DUMMYFUNCTION("""COMPUTED_VALUE"""),1.005)</f>
        <v>1.005</v>
      </c>
      <c r="E6071" s="16">
        <f>IFERROR(__xludf.DUMMYFUNCTION("""COMPUTED_VALUE"""),69.0)</f>
        <v>69</v>
      </c>
      <c r="F6071" s="19" t="str">
        <f>IFERROR(__xludf.DUMMYFUNCTION("""COMPUTED_VALUE"""),"BLACK")</f>
        <v>BLACK</v>
      </c>
      <c r="G6071" s="20" t="str">
        <f>IFERROR(__xludf.DUMMYFUNCTION("""COMPUTED_VALUE"""),"Uncle Sams Cider (5/13/2022)")</f>
        <v>Uncle Sams Cider (5/13/2022)</v>
      </c>
      <c r="H6071" s="19"/>
    </row>
    <row r="6072">
      <c r="A6072" s="9"/>
      <c r="B6072" s="15"/>
      <c r="C6072" s="9">
        <f>IFERROR(__xludf.DUMMYFUNCTION("""COMPUTED_VALUE"""),44733.314017662)</f>
        <v>44733.31402</v>
      </c>
      <c r="D6072" s="15">
        <f>IFERROR(__xludf.DUMMYFUNCTION("""COMPUTED_VALUE"""),1.005)</f>
        <v>1.005</v>
      </c>
      <c r="E6072" s="16">
        <f>IFERROR(__xludf.DUMMYFUNCTION("""COMPUTED_VALUE"""),69.0)</f>
        <v>69</v>
      </c>
      <c r="F6072" s="19" t="str">
        <f>IFERROR(__xludf.DUMMYFUNCTION("""COMPUTED_VALUE"""),"BLACK")</f>
        <v>BLACK</v>
      </c>
      <c r="G6072" s="20" t="str">
        <f>IFERROR(__xludf.DUMMYFUNCTION("""COMPUTED_VALUE"""),"Uncle Sams Cider (5/13/2022)")</f>
        <v>Uncle Sams Cider (5/13/2022)</v>
      </c>
      <c r="H6072" s="19"/>
    </row>
    <row r="6073">
      <c r="A6073" s="9"/>
      <c r="B6073" s="15"/>
      <c r="C6073" s="9">
        <f>IFERROR(__xludf.DUMMYFUNCTION("""COMPUTED_VALUE"""),44733.3035953125)</f>
        <v>44733.3036</v>
      </c>
      <c r="D6073" s="15">
        <f>IFERROR(__xludf.DUMMYFUNCTION("""COMPUTED_VALUE"""),1.005)</f>
        <v>1.005</v>
      </c>
      <c r="E6073" s="16">
        <f>IFERROR(__xludf.DUMMYFUNCTION("""COMPUTED_VALUE"""),69.0)</f>
        <v>69</v>
      </c>
      <c r="F6073" s="19" t="str">
        <f>IFERROR(__xludf.DUMMYFUNCTION("""COMPUTED_VALUE"""),"BLACK")</f>
        <v>BLACK</v>
      </c>
      <c r="G6073" s="20" t="str">
        <f>IFERROR(__xludf.DUMMYFUNCTION("""COMPUTED_VALUE"""),"Uncle Sams Cider (5/13/2022)")</f>
        <v>Uncle Sams Cider (5/13/2022)</v>
      </c>
      <c r="H6073" s="19"/>
    </row>
    <row r="6074">
      <c r="A6074" s="9"/>
      <c r="B6074" s="15"/>
      <c r="C6074" s="9">
        <f>IFERROR(__xludf.DUMMYFUNCTION("""COMPUTED_VALUE"""),44733.2931744213)</f>
        <v>44733.29317</v>
      </c>
      <c r="D6074" s="15">
        <f>IFERROR(__xludf.DUMMYFUNCTION("""COMPUTED_VALUE"""),1.005)</f>
        <v>1.005</v>
      </c>
      <c r="E6074" s="16">
        <f>IFERROR(__xludf.DUMMYFUNCTION("""COMPUTED_VALUE"""),69.0)</f>
        <v>69</v>
      </c>
      <c r="F6074" s="19" t="str">
        <f>IFERROR(__xludf.DUMMYFUNCTION("""COMPUTED_VALUE"""),"BLACK")</f>
        <v>BLACK</v>
      </c>
      <c r="G6074" s="20" t="str">
        <f>IFERROR(__xludf.DUMMYFUNCTION("""COMPUTED_VALUE"""),"Uncle Sams Cider (5/13/2022)")</f>
        <v>Uncle Sams Cider (5/13/2022)</v>
      </c>
      <c r="H6074" s="19"/>
    </row>
    <row r="6075">
      <c r="A6075" s="9"/>
      <c r="B6075" s="15"/>
      <c r="C6075" s="9">
        <f>IFERROR(__xludf.DUMMYFUNCTION("""COMPUTED_VALUE"""),44733.2827530902)</f>
        <v>44733.28275</v>
      </c>
      <c r="D6075" s="15">
        <f>IFERROR(__xludf.DUMMYFUNCTION("""COMPUTED_VALUE"""),1.005)</f>
        <v>1.005</v>
      </c>
      <c r="E6075" s="16">
        <f>IFERROR(__xludf.DUMMYFUNCTION("""COMPUTED_VALUE"""),69.0)</f>
        <v>69</v>
      </c>
      <c r="F6075" s="19" t="str">
        <f>IFERROR(__xludf.DUMMYFUNCTION("""COMPUTED_VALUE"""),"BLACK")</f>
        <v>BLACK</v>
      </c>
      <c r="G6075" s="20" t="str">
        <f>IFERROR(__xludf.DUMMYFUNCTION("""COMPUTED_VALUE"""),"Uncle Sams Cider (5/13/2022)")</f>
        <v>Uncle Sams Cider (5/13/2022)</v>
      </c>
      <c r="H6075" s="19"/>
    </row>
    <row r="6076">
      <c r="A6076" s="9"/>
      <c r="B6076" s="15"/>
      <c r="C6076" s="9">
        <f>IFERROR(__xludf.DUMMYFUNCTION("""COMPUTED_VALUE"""),44733.2723193865)</f>
        <v>44733.27232</v>
      </c>
      <c r="D6076" s="15">
        <f>IFERROR(__xludf.DUMMYFUNCTION("""COMPUTED_VALUE"""),1.005)</f>
        <v>1.005</v>
      </c>
      <c r="E6076" s="16">
        <f>IFERROR(__xludf.DUMMYFUNCTION("""COMPUTED_VALUE"""),69.0)</f>
        <v>69</v>
      </c>
      <c r="F6076" s="19" t="str">
        <f>IFERROR(__xludf.DUMMYFUNCTION("""COMPUTED_VALUE"""),"BLACK")</f>
        <v>BLACK</v>
      </c>
      <c r="G6076" s="20" t="str">
        <f>IFERROR(__xludf.DUMMYFUNCTION("""COMPUTED_VALUE"""),"Uncle Sams Cider (5/13/2022)")</f>
        <v>Uncle Sams Cider (5/13/2022)</v>
      </c>
      <c r="H6076" s="19"/>
    </row>
    <row r="6077">
      <c r="A6077" s="9"/>
      <c r="B6077" s="15"/>
      <c r="C6077" s="9">
        <f>IFERROR(__xludf.DUMMYFUNCTION("""COMPUTED_VALUE"""),44733.2618974189)</f>
        <v>44733.2619</v>
      </c>
      <c r="D6077" s="15">
        <f>IFERROR(__xludf.DUMMYFUNCTION("""COMPUTED_VALUE"""),1.005)</f>
        <v>1.005</v>
      </c>
      <c r="E6077" s="16">
        <f>IFERROR(__xludf.DUMMYFUNCTION("""COMPUTED_VALUE"""),69.0)</f>
        <v>69</v>
      </c>
      <c r="F6077" s="19" t="str">
        <f>IFERROR(__xludf.DUMMYFUNCTION("""COMPUTED_VALUE"""),"BLACK")</f>
        <v>BLACK</v>
      </c>
      <c r="G6077" s="20" t="str">
        <f>IFERROR(__xludf.DUMMYFUNCTION("""COMPUTED_VALUE"""),"Uncle Sams Cider (5/13/2022)")</f>
        <v>Uncle Sams Cider (5/13/2022)</v>
      </c>
      <c r="H6077" s="19"/>
    </row>
    <row r="6078">
      <c r="A6078" s="9"/>
      <c r="B6078" s="15"/>
      <c r="C6078" s="9">
        <f>IFERROR(__xludf.DUMMYFUNCTION("""COMPUTED_VALUE"""),44733.2514753472)</f>
        <v>44733.25148</v>
      </c>
      <c r="D6078" s="15">
        <f>IFERROR(__xludf.DUMMYFUNCTION("""COMPUTED_VALUE"""),1.005)</f>
        <v>1.005</v>
      </c>
      <c r="E6078" s="16">
        <f>IFERROR(__xludf.DUMMYFUNCTION("""COMPUTED_VALUE"""),69.0)</f>
        <v>69</v>
      </c>
      <c r="F6078" s="19" t="str">
        <f>IFERROR(__xludf.DUMMYFUNCTION("""COMPUTED_VALUE"""),"BLACK")</f>
        <v>BLACK</v>
      </c>
      <c r="G6078" s="20" t="str">
        <f>IFERROR(__xludf.DUMMYFUNCTION("""COMPUTED_VALUE"""),"Uncle Sams Cider (5/13/2022)")</f>
        <v>Uncle Sams Cider (5/13/2022)</v>
      </c>
      <c r="H6078" s="19"/>
    </row>
    <row r="6079">
      <c r="A6079" s="9"/>
      <c r="B6079" s="15"/>
      <c r="C6079" s="9">
        <f>IFERROR(__xludf.DUMMYFUNCTION("""COMPUTED_VALUE"""),44733.2410555902)</f>
        <v>44733.24106</v>
      </c>
      <c r="D6079" s="15">
        <f>IFERROR(__xludf.DUMMYFUNCTION("""COMPUTED_VALUE"""),1.005)</f>
        <v>1.005</v>
      </c>
      <c r="E6079" s="16">
        <f>IFERROR(__xludf.DUMMYFUNCTION("""COMPUTED_VALUE"""),69.0)</f>
        <v>69</v>
      </c>
      <c r="F6079" s="19" t="str">
        <f>IFERROR(__xludf.DUMMYFUNCTION("""COMPUTED_VALUE"""),"BLACK")</f>
        <v>BLACK</v>
      </c>
      <c r="G6079" s="20" t="str">
        <f>IFERROR(__xludf.DUMMYFUNCTION("""COMPUTED_VALUE"""),"Uncle Sams Cider (5/13/2022)")</f>
        <v>Uncle Sams Cider (5/13/2022)</v>
      </c>
      <c r="H6079" s="19"/>
    </row>
    <row r="6080">
      <c r="A6080" s="9"/>
      <c r="B6080" s="15"/>
      <c r="C6080" s="9">
        <f>IFERROR(__xludf.DUMMYFUNCTION("""COMPUTED_VALUE"""),44733.2306370254)</f>
        <v>44733.23064</v>
      </c>
      <c r="D6080" s="15">
        <f>IFERROR(__xludf.DUMMYFUNCTION("""COMPUTED_VALUE"""),1.005)</f>
        <v>1.005</v>
      </c>
      <c r="E6080" s="16">
        <f>IFERROR(__xludf.DUMMYFUNCTION("""COMPUTED_VALUE"""),69.0)</f>
        <v>69</v>
      </c>
      <c r="F6080" s="19" t="str">
        <f>IFERROR(__xludf.DUMMYFUNCTION("""COMPUTED_VALUE"""),"BLACK")</f>
        <v>BLACK</v>
      </c>
      <c r="G6080" s="20" t="str">
        <f>IFERROR(__xludf.DUMMYFUNCTION("""COMPUTED_VALUE"""),"Uncle Sams Cider (5/13/2022)")</f>
        <v>Uncle Sams Cider (5/13/2022)</v>
      </c>
      <c r="H6080" s="19"/>
    </row>
    <row r="6081">
      <c r="A6081" s="9"/>
      <c r="B6081" s="15"/>
      <c r="C6081" s="9">
        <f>IFERROR(__xludf.DUMMYFUNCTION("""COMPUTED_VALUE"""),44733.2202148264)</f>
        <v>44733.22021</v>
      </c>
      <c r="D6081" s="15">
        <f>IFERROR(__xludf.DUMMYFUNCTION("""COMPUTED_VALUE"""),1.005)</f>
        <v>1.005</v>
      </c>
      <c r="E6081" s="16">
        <f>IFERROR(__xludf.DUMMYFUNCTION("""COMPUTED_VALUE"""),69.0)</f>
        <v>69</v>
      </c>
      <c r="F6081" s="19" t="str">
        <f>IFERROR(__xludf.DUMMYFUNCTION("""COMPUTED_VALUE"""),"BLACK")</f>
        <v>BLACK</v>
      </c>
      <c r="G6081" s="20" t="str">
        <f>IFERROR(__xludf.DUMMYFUNCTION("""COMPUTED_VALUE"""),"Uncle Sams Cider (5/13/2022)")</f>
        <v>Uncle Sams Cider (5/13/2022)</v>
      </c>
      <c r="H6081" s="19"/>
    </row>
    <row r="6082">
      <c r="A6082" s="9"/>
      <c r="B6082" s="15"/>
      <c r="C6082" s="9">
        <f>IFERROR(__xludf.DUMMYFUNCTION("""COMPUTED_VALUE"""),44733.209782118)</f>
        <v>44733.20978</v>
      </c>
      <c r="D6082" s="15">
        <f>IFERROR(__xludf.DUMMYFUNCTION("""COMPUTED_VALUE"""),1.005)</f>
        <v>1.005</v>
      </c>
      <c r="E6082" s="16">
        <f>IFERROR(__xludf.DUMMYFUNCTION("""COMPUTED_VALUE"""),69.0)</f>
        <v>69</v>
      </c>
      <c r="F6082" s="19" t="str">
        <f>IFERROR(__xludf.DUMMYFUNCTION("""COMPUTED_VALUE"""),"BLACK")</f>
        <v>BLACK</v>
      </c>
      <c r="G6082" s="20" t="str">
        <f>IFERROR(__xludf.DUMMYFUNCTION("""COMPUTED_VALUE"""),"Uncle Sams Cider (5/13/2022)")</f>
        <v>Uncle Sams Cider (5/13/2022)</v>
      </c>
      <c r="H6082" s="19"/>
    </row>
    <row r="6083">
      <c r="A6083" s="9"/>
      <c r="B6083" s="15"/>
      <c r="C6083" s="9">
        <f>IFERROR(__xludf.DUMMYFUNCTION("""COMPUTED_VALUE"""),44733.1993615625)</f>
        <v>44733.19936</v>
      </c>
      <c r="D6083" s="15">
        <f>IFERROR(__xludf.DUMMYFUNCTION("""COMPUTED_VALUE"""),1.005)</f>
        <v>1.005</v>
      </c>
      <c r="E6083" s="16">
        <f>IFERROR(__xludf.DUMMYFUNCTION("""COMPUTED_VALUE"""),69.0)</f>
        <v>69</v>
      </c>
      <c r="F6083" s="19" t="str">
        <f>IFERROR(__xludf.DUMMYFUNCTION("""COMPUTED_VALUE"""),"BLACK")</f>
        <v>BLACK</v>
      </c>
      <c r="G6083" s="20" t="str">
        <f>IFERROR(__xludf.DUMMYFUNCTION("""COMPUTED_VALUE"""),"Uncle Sams Cider (5/13/2022)")</f>
        <v>Uncle Sams Cider (5/13/2022)</v>
      </c>
      <c r="H6083" s="19"/>
    </row>
    <row r="6084">
      <c r="A6084" s="9"/>
      <c r="B6084" s="15"/>
      <c r="C6084" s="9">
        <f>IFERROR(__xludf.DUMMYFUNCTION("""COMPUTED_VALUE"""),44733.1889428356)</f>
        <v>44733.18894</v>
      </c>
      <c r="D6084" s="15">
        <f>IFERROR(__xludf.DUMMYFUNCTION("""COMPUTED_VALUE"""),1.005)</f>
        <v>1.005</v>
      </c>
      <c r="E6084" s="16">
        <f>IFERROR(__xludf.DUMMYFUNCTION("""COMPUTED_VALUE"""),69.0)</f>
        <v>69</v>
      </c>
      <c r="F6084" s="19" t="str">
        <f>IFERROR(__xludf.DUMMYFUNCTION("""COMPUTED_VALUE"""),"BLACK")</f>
        <v>BLACK</v>
      </c>
      <c r="G6084" s="20" t="str">
        <f>IFERROR(__xludf.DUMMYFUNCTION("""COMPUTED_VALUE"""),"Uncle Sams Cider (5/13/2022)")</f>
        <v>Uncle Sams Cider (5/13/2022)</v>
      </c>
      <c r="H6084" s="19"/>
    </row>
    <row r="6085">
      <c r="A6085" s="9"/>
      <c r="B6085" s="15"/>
      <c r="C6085" s="9">
        <f>IFERROR(__xludf.DUMMYFUNCTION("""COMPUTED_VALUE"""),44733.1785226273)</f>
        <v>44733.17852</v>
      </c>
      <c r="D6085" s="15">
        <f>IFERROR(__xludf.DUMMYFUNCTION("""COMPUTED_VALUE"""),1.005)</f>
        <v>1.005</v>
      </c>
      <c r="E6085" s="16">
        <f>IFERROR(__xludf.DUMMYFUNCTION("""COMPUTED_VALUE"""),69.0)</f>
        <v>69</v>
      </c>
      <c r="F6085" s="19" t="str">
        <f>IFERROR(__xludf.DUMMYFUNCTION("""COMPUTED_VALUE"""),"BLACK")</f>
        <v>BLACK</v>
      </c>
      <c r="G6085" s="20" t="str">
        <f>IFERROR(__xludf.DUMMYFUNCTION("""COMPUTED_VALUE"""),"Uncle Sams Cider (5/13/2022)")</f>
        <v>Uncle Sams Cider (5/13/2022)</v>
      </c>
      <c r="H6085" s="19"/>
    </row>
    <row r="6086">
      <c r="A6086" s="9"/>
      <c r="B6086" s="15"/>
      <c r="C6086" s="9">
        <f>IFERROR(__xludf.DUMMYFUNCTION("""COMPUTED_VALUE"""),44733.1681007986)</f>
        <v>44733.1681</v>
      </c>
      <c r="D6086" s="15">
        <f>IFERROR(__xludf.DUMMYFUNCTION("""COMPUTED_VALUE"""),1.005)</f>
        <v>1.005</v>
      </c>
      <c r="E6086" s="16">
        <f>IFERROR(__xludf.DUMMYFUNCTION("""COMPUTED_VALUE"""),69.0)</f>
        <v>69</v>
      </c>
      <c r="F6086" s="19" t="str">
        <f>IFERROR(__xludf.DUMMYFUNCTION("""COMPUTED_VALUE"""),"BLACK")</f>
        <v>BLACK</v>
      </c>
      <c r="G6086" s="20" t="str">
        <f>IFERROR(__xludf.DUMMYFUNCTION("""COMPUTED_VALUE"""),"Uncle Sams Cider (5/13/2022)")</f>
        <v>Uncle Sams Cider (5/13/2022)</v>
      </c>
      <c r="H6086" s="19"/>
    </row>
    <row r="6087">
      <c r="A6087" s="9"/>
      <c r="B6087" s="15"/>
      <c r="C6087" s="9">
        <f>IFERROR(__xludf.DUMMYFUNCTION("""COMPUTED_VALUE"""),44733.1576800925)</f>
        <v>44733.15768</v>
      </c>
      <c r="D6087" s="15">
        <f>IFERROR(__xludf.DUMMYFUNCTION("""COMPUTED_VALUE"""),1.005)</f>
        <v>1.005</v>
      </c>
      <c r="E6087" s="16">
        <f>IFERROR(__xludf.DUMMYFUNCTION("""COMPUTED_VALUE"""),69.0)</f>
        <v>69</v>
      </c>
      <c r="F6087" s="19" t="str">
        <f>IFERROR(__xludf.DUMMYFUNCTION("""COMPUTED_VALUE"""),"BLACK")</f>
        <v>BLACK</v>
      </c>
      <c r="G6087" s="20" t="str">
        <f>IFERROR(__xludf.DUMMYFUNCTION("""COMPUTED_VALUE"""),"Uncle Sams Cider (5/13/2022)")</f>
        <v>Uncle Sams Cider (5/13/2022)</v>
      </c>
      <c r="H6087" s="19"/>
    </row>
    <row r="6088">
      <c r="A6088" s="9"/>
      <c r="B6088" s="15"/>
      <c r="C6088" s="9">
        <f>IFERROR(__xludf.DUMMYFUNCTION("""COMPUTED_VALUE"""),44733.147247905)</f>
        <v>44733.14725</v>
      </c>
      <c r="D6088" s="15">
        <f>IFERROR(__xludf.DUMMYFUNCTION("""COMPUTED_VALUE"""),1.005)</f>
        <v>1.005</v>
      </c>
      <c r="E6088" s="16">
        <f>IFERROR(__xludf.DUMMYFUNCTION("""COMPUTED_VALUE"""),69.0)</f>
        <v>69</v>
      </c>
      <c r="F6088" s="19" t="str">
        <f>IFERROR(__xludf.DUMMYFUNCTION("""COMPUTED_VALUE"""),"BLACK")</f>
        <v>BLACK</v>
      </c>
      <c r="G6088" s="20" t="str">
        <f>IFERROR(__xludf.DUMMYFUNCTION("""COMPUTED_VALUE"""),"Uncle Sams Cider (5/13/2022)")</f>
        <v>Uncle Sams Cider (5/13/2022)</v>
      </c>
      <c r="H6088" s="19"/>
    </row>
    <row r="6089">
      <c r="A6089" s="9"/>
      <c r="B6089" s="15"/>
      <c r="C6089" s="9">
        <f>IFERROR(__xludf.DUMMYFUNCTION("""COMPUTED_VALUE"""),44733.136827662)</f>
        <v>44733.13683</v>
      </c>
      <c r="D6089" s="15">
        <f>IFERROR(__xludf.DUMMYFUNCTION("""COMPUTED_VALUE"""),1.005)</f>
        <v>1.005</v>
      </c>
      <c r="E6089" s="16">
        <f>IFERROR(__xludf.DUMMYFUNCTION("""COMPUTED_VALUE"""),69.0)</f>
        <v>69</v>
      </c>
      <c r="F6089" s="19" t="str">
        <f>IFERROR(__xludf.DUMMYFUNCTION("""COMPUTED_VALUE"""),"BLACK")</f>
        <v>BLACK</v>
      </c>
      <c r="G6089" s="20" t="str">
        <f>IFERROR(__xludf.DUMMYFUNCTION("""COMPUTED_VALUE"""),"Uncle Sams Cider (5/13/2022)")</f>
        <v>Uncle Sams Cider (5/13/2022)</v>
      </c>
      <c r="H6089" s="19"/>
    </row>
    <row r="6090">
      <c r="A6090" s="9"/>
      <c r="B6090" s="15"/>
      <c r="C6090" s="9">
        <f>IFERROR(__xludf.DUMMYFUNCTION("""COMPUTED_VALUE"""),44733.1263944444)</f>
        <v>44733.12639</v>
      </c>
      <c r="D6090" s="15">
        <f>IFERROR(__xludf.DUMMYFUNCTION("""COMPUTED_VALUE"""),1.005)</f>
        <v>1.005</v>
      </c>
      <c r="E6090" s="16">
        <f>IFERROR(__xludf.DUMMYFUNCTION("""COMPUTED_VALUE"""),69.0)</f>
        <v>69</v>
      </c>
      <c r="F6090" s="19" t="str">
        <f>IFERROR(__xludf.DUMMYFUNCTION("""COMPUTED_VALUE"""),"BLACK")</f>
        <v>BLACK</v>
      </c>
      <c r="G6090" s="20" t="str">
        <f>IFERROR(__xludf.DUMMYFUNCTION("""COMPUTED_VALUE"""),"Uncle Sams Cider (5/13/2022)")</f>
        <v>Uncle Sams Cider (5/13/2022)</v>
      </c>
      <c r="H6090" s="19"/>
    </row>
    <row r="6091">
      <c r="A6091" s="9"/>
      <c r="B6091" s="15"/>
      <c r="C6091" s="9">
        <f>IFERROR(__xludf.DUMMYFUNCTION("""COMPUTED_VALUE"""),44733.1159741319)</f>
        <v>44733.11597</v>
      </c>
      <c r="D6091" s="15">
        <f>IFERROR(__xludf.DUMMYFUNCTION("""COMPUTED_VALUE"""),1.005)</f>
        <v>1.005</v>
      </c>
      <c r="E6091" s="16">
        <f>IFERROR(__xludf.DUMMYFUNCTION("""COMPUTED_VALUE"""),69.0)</f>
        <v>69</v>
      </c>
      <c r="F6091" s="19" t="str">
        <f>IFERROR(__xludf.DUMMYFUNCTION("""COMPUTED_VALUE"""),"BLACK")</f>
        <v>BLACK</v>
      </c>
      <c r="G6091" s="20" t="str">
        <f>IFERROR(__xludf.DUMMYFUNCTION("""COMPUTED_VALUE"""),"Uncle Sams Cider (5/13/2022)")</f>
        <v>Uncle Sams Cider (5/13/2022)</v>
      </c>
      <c r="H6091" s="19"/>
    </row>
    <row r="6092">
      <c r="A6092" s="9"/>
      <c r="B6092" s="15"/>
      <c r="C6092" s="9">
        <f>IFERROR(__xludf.DUMMYFUNCTION("""COMPUTED_VALUE"""),44733.105552037)</f>
        <v>44733.10555</v>
      </c>
      <c r="D6092" s="15">
        <f>IFERROR(__xludf.DUMMYFUNCTION("""COMPUTED_VALUE"""),1.005)</f>
        <v>1.005</v>
      </c>
      <c r="E6092" s="16">
        <f>IFERROR(__xludf.DUMMYFUNCTION("""COMPUTED_VALUE"""),69.0)</f>
        <v>69</v>
      </c>
      <c r="F6092" s="19" t="str">
        <f>IFERROR(__xludf.DUMMYFUNCTION("""COMPUTED_VALUE"""),"BLACK")</f>
        <v>BLACK</v>
      </c>
      <c r="G6092" s="20" t="str">
        <f>IFERROR(__xludf.DUMMYFUNCTION("""COMPUTED_VALUE"""),"Uncle Sams Cider (5/13/2022)")</f>
        <v>Uncle Sams Cider (5/13/2022)</v>
      </c>
      <c r="H6092" s="19"/>
    </row>
    <row r="6093">
      <c r="A6093" s="9"/>
      <c r="B6093" s="15"/>
      <c r="C6093" s="9">
        <f>IFERROR(__xludf.DUMMYFUNCTION("""COMPUTED_VALUE"""),44733.0951306481)</f>
        <v>44733.09513</v>
      </c>
      <c r="D6093" s="15">
        <f>IFERROR(__xludf.DUMMYFUNCTION("""COMPUTED_VALUE"""),1.005)</f>
        <v>1.005</v>
      </c>
      <c r="E6093" s="16">
        <f>IFERROR(__xludf.DUMMYFUNCTION("""COMPUTED_VALUE"""),69.0)</f>
        <v>69</v>
      </c>
      <c r="F6093" s="19" t="str">
        <f>IFERROR(__xludf.DUMMYFUNCTION("""COMPUTED_VALUE"""),"BLACK")</f>
        <v>BLACK</v>
      </c>
      <c r="G6093" s="20" t="str">
        <f>IFERROR(__xludf.DUMMYFUNCTION("""COMPUTED_VALUE"""),"Uncle Sams Cider (5/13/2022)")</f>
        <v>Uncle Sams Cider (5/13/2022)</v>
      </c>
      <c r="H6093" s="19"/>
    </row>
    <row r="6094">
      <c r="A6094" s="9"/>
      <c r="B6094" s="15"/>
      <c r="C6094" s="9">
        <f>IFERROR(__xludf.DUMMYFUNCTION("""COMPUTED_VALUE"""),44733.084707905)</f>
        <v>44733.08471</v>
      </c>
      <c r="D6094" s="15">
        <f>IFERROR(__xludf.DUMMYFUNCTION("""COMPUTED_VALUE"""),1.005)</f>
        <v>1.005</v>
      </c>
      <c r="E6094" s="16">
        <f>IFERROR(__xludf.DUMMYFUNCTION("""COMPUTED_VALUE"""),69.0)</f>
        <v>69</v>
      </c>
      <c r="F6094" s="19" t="str">
        <f>IFERROR(__xludf.DUMMYFUNCTION("""COMPUTED_VALUE"""),"BLACK")</f>
        <v>BLACK</v>
      </c>
      <c r="G6094" s="20" t="str">
        <f>IFERROR(__xludf.DUMMYFUNCTION("""COMPUTED_VALUE"""),"Uncle Sams Cider (5/13/2022)")</f>
        <v>Uncle Sams Cider (5/13/2022)</v>
      </c>
      <c r="H6094" s="19"/>
    </row>
    <row r="6095">
      <c r="A6095" s="9"/>
      <c r="B6095" s="15"/>
      <c r="C6095" s="9">
        <f>IFERROR(__xludf.DUMMYFUNCTION("""COMPUTED_VALUE"""),44733.0742867592)</f>
        <v>44733.07429</v>
      </c>
      <c r="D6095" s="15">
        <f>IFERROR(__xludf.DUMMYFUNCTION("""COMPUTED_VALUE"""),1.005)</f>
        <v>1.005</v>
      </c>
      <c r="E6095" s="16">
        <f>IFERROR(__xludf.DUMMYFUNCTION("""COMPUTED_VALUE"""),69.0)</f>
        <v>69</v>
      </c>
      <c r="F6095" s="19" t="str">
        <f>IFERROR(__xludf.DUMMYFUNCTION("""COMPUTED_VALUE"""),"BLACK")</f>
        <v>BLACK</v>
      </c>
      <c r="G6095" s="20" t="str">
        <f>IFERROR(__xludf.DUMMYFUNCTION("""COMPUTED_VALUE"""),"Uncle Sams Cider (5/13/2022)")</f>
        <v>Uncle Sams Cider (5/13/2022)</v>
      </c>
      <c r="H6095" s="19"/>
    </row>
    <row r="6096">
      <c r="A6096" s="9"/>
      <c r="B6096" s="15"/>
      <c r="C6096" s="9">
        <f>IFERROR(__xludf.DUMMYFUNCTION("""COMPUTED_VALUE"""),44733.063863287)</f>
        <v>44733.06386</v>
      </c>
      <c r="D6096" s="15">
        <f>IFERROR(__xludf.DUMMYFUNCTION("""COMPUTED_VALUE"""),1.005)</f>
        <v>1.005</v>
      </c>
      <c r="E6096" s="16">
        <f>IFERROR(__xludf.DUMMYFUNCTION("""COMPUTED_VALUE"""),69.0)</f>
        <v>69</v>
      </c>
      <c r="F6096" s="19" t="str">
        <f>IFERROR(__xludf.DUMMYFUNCTION("""COMPUTED_VALUE"""),"BLACK")</f>
        <v>BLACK</v>
      </c>
      <c r="G6096" s="20" t="str">
        <f>IFERROR(__xludf.DUMMYFUNCTION("""COMPUTED_VALUE"""),"Uncle Sams Cider (5/13/2022)")</f>
        <v>Uncle Sams Cider (5/13/2022)</v>
      </c>
      <c r="H6096" s="19"/>
    </row>
    <row r="6097">
      <c r="A6097" s="9"/>
      <c r="B6097" s="15"/>
      <c r="C6097" s="9">
        <f>IFERROR(__xludf.DUMMYFUNCTION("""COMPUTED_VALUE"""),44733.0534424537)</f>
        <v>44733.05344</v>
      </c>
      <c r="D6097" s="15">
        <f>IFERROR(__xludf.DUMMYFUNCTION("""COMPUTED_VALUE"""),1.005)</f>
        <v>1.005</v>
      </c>
      <c r="E6097" s="16">
        <f>IFERROR(__xludf.DUMMYFUNCTION("""COMPUTED_VALUE"""),69.0)</f>
        <v>69</v>
      </c>
      <c r="F6097" s="19" t="str">
        <f>IFERROR(__xludf.DUMMYFUNCTION("""COMPUTED_VALUE"""),"BLACK")</f>
        <v>BLACK</v>
      </c>
      <c r="G6097" s="20" t="str">
        <f>IFERROR(__xludf.DUMMYFUNCTION("""COMPUTED_VALUE"""),"Uncle Sams Cider (5/13/2022)")</f>
        <v>Uncle Sams Cider (5/13/2022)</v>
      </c>
      <c r="H6097" s="19"/>
    </row>
    <row r="6098">
      <c r="A6098" s="9"/>
      <c r="B6098" s="15"/>
      <c r="C6098" s="9">
        <f>IFERROR(__xludf.DUMMYFUNCTION("""COMPUTED_VALUE"""),44733.0430219791)</f>
        <v>44733.04302</v>
      </c>
      <c r="D6098" s="15">
        <f>IFERROR(__xludf.DUMMYFUNCTION("""COMPUTED_VALUE"""),1.005)</f>
        <v>1.005</v>
      </c>
      <c r="E6098" s="16">
        <f>IFERROR(__xludf.DUMMYFUNCTION("""COMPUTED_VALUE"""),69.0)</f>
        <v>69</v>
      </c>
      <c r="F6098" s="19" t="str">
        <f>IFERROR(__xludf.DUMMYFUNCTION("""COMPUTED_VALUE"""),"BLACK")</f>
        <v>BLACK</v>
      </c>
      <c r="G6098" s="20" t="str">
        <f>IFERROR(__xludf.DUMMYFUNCTION("""COMPUTED_VALUE"""),"Uncle Sams Cider (5/13/2022)")</f>
        <v>Uncle Sams Cider (5/13/2022)</v>
      </c>
      <c r="H6098" s="19"/>
    </row>
    <row r="6099">
      <c r="A6099" s="9"/>
      <c r="B6099" s="15"/>
      <c r="C6099" s="9">
        <f>IFERROR(__xludf.DUMMYFUNCTION("""COMPUTED_VALUE"""),44733.0325914351)</f>
        <v>44733.03259</v>
      </c>
      <c r="D6099" s="15">
        <f>IFERROR(__xludf.DUMMYFUNCTION("""COMPUTED_VALUE"""),1.005)</f>
        <v>1.005</v>
      </c>
      <c r="E6099" s="16">
        <f>IFERROR(__xludf.DUMMYFUNCTION("""COMPUTED_VALUE"""),69.0)</f>
        <v>69</v>
      </c>
      <c r="F6099" s="19" t="str">
        <f>IFERROR(__xludf.DUMMYFUNCTION("""COMPUTED_VALUE"""),"BLACK")</f>
        <v>BLACK</v>
      </c>
      <c r="G6099" s="20" t="str">
        <f>IFERROR(__xludf.DUMMYFUNCTION("""COMPUTED_VALUE"""),"Uncle Sams Cider (5/13/2022)")</f>
        <v>Uncle Sams Cider (5/13/2022)</v>
      </c>
      <c r="H6099" s="19"/>
    </row>
    <row r="6100">
      <c r="A6100" s="9"/>
      <c r="B6100" s="15"/>
      <c r="C6100" s="9">
        <f>IFERROR(__xludf.DUMMYFUNCTION("""COMPUTED_VALUE"""),44733.0221473263)</f>
        <v>44733.02215</v>
      </c>
      <c r="D6100" s="15">
        <f>IFERROR(__xludf.DUMMYFUNCTION("""COMPUTED_VALUE"""),1.005)</f>
        <v>1.005</v>
      </c>
      <c r="E6100" s="16">
        <f>IFERROR(__xludf.DUMMYFUNCTION("""COMPUTED_VALUE"""),69.0)</f>
        <v>69</v>
      </c>
      <c r="F6100" s="19" t="str">
        <f>IFERROR(__xludf.DUMMYFUNCTION("""COMPUTED_VALUE"""),"BLACK")</f>
        <v>BLACK</v>
      </c>
      <c r="G6100" s="20" t="str">
        <f>IFERROR(__xludf.DUMMYFUNCTION("""COMPUTED_VALUE"""),"Uncle Sams Cider (5/13/2022)")</f>
        <v>Uncle Sams Cider (5/13/2022)</v>
      </c>
      <c r="H6100" s="19"/>
    </row>
    <row r="6101">
      <c r="A6101" s="9"/>
      <c r="B6101" s="15"/>
      <c r="C6101" s="9">
        <f>IFERROR(__xludf.DUMMYFUNCTION("""COMPUTED_VALUE"""),44733.011725081)</f>
        <v>44733.01173</v>
      </c>
      <c r="D6101" s="15">
        <f>IFERROR(__xludf.DUMMYFUNCTION("""COMPUTED_VALUE"""),1.005)</f>
        <v>1.005</v>
      </c>
      <c r="E6101" s="16">
        <f>IFERROR(__xludf.DUMMYFUNCTION("""COMPUTED_VALUE"""),69.0)</f>
        <v>69</v>
      </c>
      <c r="F6101" s="19" t="str">
        <f>IFERROR(__xludf.DUMMYFUNCTION("""COMPUTED_VALUE"""),"BLACK")</f>
        <v>BLACK</v>
      </c>
      <c r="G6101" s="20" t="str">
        <f>IFERROR(__xludf.DUMMYFUNCTION("""COMPUTED_VALUE"""),"Uncle Sams Cider (5/13/2022)")</f>
        <v>Uncle Sams Cider (5/13/2022)</v>
      </c>
      <c r="H6101" s="19"/>
    </row>
    <row r="6102">
      <c r="A6102" s="9"/>
      <c r="B6102" s="15"/>
      <c r="C6102" s="9">
        <f>IFERROR(__xludf.DUMMYFUNCTION("""COMPUTED_VALUE"""),44733.0012937615)</f>
        <v>44733.00129</v>
      </c>
      <c r="D6102" s="15">
        <f>IFERROR(__xludf.DUMMYFUNCTION("""COMPUTED_VALUE"""),1.005)</f>
        <v>1.005</v>
      </c>
      <c r="E6102" s="16">
        <f>IFERROR(__xludf.DUMMYFUNCTION("""COMPUTED_VALUE"""),69.0)</f>
        <v>69</v>
      </c>
      <c r="F6102" s="19" t="str">
        <f>IFERROR(__xludf.DUMMYFUNCTION("""COMPUTED_VALUE"""),"BLACK")</f>
        <v>BLACK</v>
      </c>
      <c r="G6102" s="20" t="str">
        <f>IFERROR(__xludf.DUMMYFUNCTION("""COMPUTED_VALUE"""),"Uncle Sams Cider (5/13/2022)")</f>
        <v>Uncle Sams Cider (5/13/2022)</v>
      </c>
      <c r="H6102" s="19"/>
    </row>
    <row r="6103">
      <c r="A6103" s="9"/>
      <c r="B6103" s="15"/>
      <c r="C6103" s="9">
        <f>IFERROR(__xludf.DUMMYFUNCTION("""COMPUTED_VALUE"""),44732.9908626967)</f>
        <v>44732.99086</v>
      </c>
      <c r="D6103" s="15">
        <f>IFERROR(__xludf.DUMMYFUNCTION("""COMPUTED_VALUE"""),1.005)</f>
        <v>1.005</v>
      </c>
      <c r="E6103" s="16">
        <f>IFERROR(__xludf.DUMMYFUNCTION("""COMPUTED_VALUE"""),69.0)</f>
        <v>69</v>
      </c>
      <c r="F6103" s="19" t="str">
        <f>IFERROR(__xludf.DUMMYFUNCTION("""COMPUTED_VALUE"""),"BLACK")</f>
        <v>BLACK</v>
      </c>
      <c r="G6103" s="20" t="str">
        <f>IFERROR(__xludf.DUMMYFUNCTION("""COMPUTED_VALUE"""),"Uncle Sams Cider (5/13/2022)")</f>
        <v>Uncle Sams Cider (5/13/2022)</v>
      </c>
      <c r="H6103" s="19"/>
    </row>
    <row r="6104">
      <c r="A6104" s="9"/>
      <c r="B6104" s="15"/>
      <c r="C6104" s="9">
        <f>IFERROR(__xludf.DUMMYFUNCTION("""COMPUTED_VALUE"""),44732.9804173495)</f>
        <v>44732.98042</v>
      </c>
      <c r="D6104" s="15">
        <f>IFERROR(__xludf.DUMMYFUNCTION("""COMPUTED_VALUE"""),1.005)</f>
        <v>1.005</v>
      </c>
      <c r="E6104" s="16">
        <f>IFERROR(__xludf.DUMMYFUNCTION("""COMPUTED_VALUE"""),69.0)</f>
        <v>69</v>
      </c>
      <c r="F6104" s="19" t="str">
        <f>IFERROR(__xludf.DUMMYFUNCTION("""COMPUTED_VALUE"""),"BLACK")</f>
        <v>BLACK</v>
      </c>
      <c r="G6104" s="20" t="str">
        <f>IFERROR(__xludf.DUMMYFUNCTION("""COMPUTED_VALUE"""),"Uncle Sams Cider (5/13/2022)")</f>
        <v>Uncle Sams Cider (5/13/2022)</v>
      </c>
      <c r="H6104" s="19"/>
    </row>
    <row r="6105">
      <c r="A6105" s="9"/>
      <c r="B6105" s="15"/>
      <c r="C6105" s="9">
        <f>IFERROR(__xludf.DUMMYFUNCTION("""COMPUTED_VALUE"""),44732.9699965277)</f>
        <v>44732.97</v>
      </c>
      <c r="D6105" s="15">
        <f>IFERROR(__xludf.DUMMYFUNCTION("""COMPUTED_VALUE"""),1.005)</f>
        <v>1.005</v>
      </c>
      <c r="E6105" s="16">
        <f>IFERROR(__xludf.DUMMYFUNCTION("""COMPUTED_VALUE"""),69.0)</f>
        <v>69</v>
      </c>
      <c r="F6105" s="19" t="str">
        <f>IFERROR(__xludf.DUMMYFUNCTION("""COMPUTED_VALUE"""),"BLACK")</f>
        <v>BLACK</v>
      </c>
      <c r="G6105" s="20" t="str">
        <f>IFERROR(__xludf.DUMMYFUNCTION("""COMPUTED_VALUE"""),"Uncle Sams Cider (5/13/2022)")</f>
        <v>Uncle Sams Cider (5/13/2022)</v>
      </c>
      <c r="H6105" s="19"/>
    </row>
    <row r="6106">
      <c r="A6106" s="9"/>
      <c r="B6106" s="15"/>
      <c r="C6106" s="9">
        <f>IFERROR(__xludf.DUMMYFUNCTION("""COMPUTED_VALUE"""),44732.9595762963)</f>
        <v>44732.95958</v>
      </c>
      <c r="D6106" s="15">
        <f>IFERROR(__xludf.DUMMYFUNCTION("""COMPUTED_VALUE"""),1.005)</f>
        <v>1.005</v>
      </c>
      <c r="E6106" s="16">
        <f>IFERROR(__xludf.DUMMYFUNCTION("""COMPUTED_VALUE"""),69.0)</f>
        <v>69</v>
      </c>
      <c r="F6106" s="19" t="str">
        <f>IFERROR(__xludf.DUMMYFUNCTION("""COMPUTED_VALUE"""),"BLACK")</f>
        <v>BLACK</v>
      </c>
      <c r="G6106" s="20" t="str">
        <f>IFERROR(__xludf.DUMMYFUNCTION("""COMPUTED_VALUE"""),"Uncle Sams Cider (5/13/2022)")</f>
        <v>Uncle Sams Cider (5/13/2022)</v>
      </c>
      <c r="H6106" s="19"/>
    </row>
    <row r="6107">
      <c r="A6107" s="9"/>
      <c r="B6107" s="15"/>
      <c r="C6107" s="9">
        <f>IFERROR(__xludf.DUMMYFUNCTION("""COMPUTED_VALUE"""),44732.9491540972)</f>
        <v>44732.94915</v>
      </c>
      <c r="D6107" s="15">
        <f>IFERROR(__xludf.DUMMYFUNCTION("""COMPUTED_VALUE"""),1.005)</f>
        <v>1.005</v>
      </c>
      <c r="E6107" s="16">
        <f>IFERROR(__xludf.DUMMYFUNCTION("""COMPUTED_VALUE"""),69.0)</f>
        <v>69</v>
      </c>
      <c r="F6107" s="19" t="str">
        <f>IFERROR(__xludf.DUMMYFUNCTION("""COMPUTED_VALUE"""),"BLACK")</f>
        <v>BLACK</v>
      </c>
      <c r="G6107" s="20" t="str">
        <f>IFERROR(__xludf.DUMMYFUNCTION("""COMPUTED_VALUE"""),"Uncle Sams Cider (5/13/2022)")</f>
        <v>Uncle Sams Cider (5/13/2022)</v>
      </c>
      <c r="H6107" s="19"/>
    </row>
    <row r="6108">
      <c r="A6108" s="9"/>
      <c r="B6108" s="15"/>
      <c r="C6108" s="9">
        <f>IFERROR(__xludf.DUMMYFUNCTION("""COMPUTED_VALUE"""),44732.9386979398)</f>
        <v>44732.9387</v>
      </c>
      <c r="D6108" s="15">
        <f>IFERROR(__xludf.DUMMYFUNCTION("""COMPUTED_VALUE"""),1.005)</f>
        <v>1.005</v>
      </c>
      <c r="E6108" s="16">
        <f>IFERROR(__xludf.DUMMYFUNCTION("""COMPUTED_VALUE"""),69.0)</f>
        <v>69</v>
      </c>
      <c r="F6108" s="19" t="str">
        <f>IFERROR(__xludf.DUMMYFUNCTION("""COMPUTED_VALUE"""),"BLACK")</f>
        <v>BLACK</v>
      </c>
      <c r="G6108" s="20" t="str">
        <f>IFERROR(__xludf.DUMMYFUNCTION("""COMPUTED_VALUE"""),"Uncle Sams Cider (5/13/2022)")</f>
        <v>Uncle Sams Cider (5/13/2022)</v>
      </c>
      <c r="H6108" s="19"/>
    </row>
    <row r="6109">
      <c r="A6109" s="9"/>
      <c r="B6109" s="15"/>
      <c r="C6109" s="9">
        <f>IFERROR(__xludf.DUMMYFUNCTION("""COMPUTED_VALUE"""),44732.9282771412)</f>
        <v>44732.92828</v>
      </c>
      <c r="D6109" s="15">
        <f>IFERROR(__xludf.DUMMYFUNCTION("""COMPUTED_VALUE"""),1.005)</f>
        <v>1.005</v>
      </c>
      <c r="E6109" s="16">
        <f>IFERROR(__xludf.DUMMYFUNCTION("""COMPUTED_VALUE"""),69.0)</f>
        <v>69</v>
      </c>
      <c r="F6109" s="19" t="str">
        <f>IFERROR(__xludf.DUMMYFUNCTION("""COMPUTED_VALUE"""),"BLACK")</f>
        <v>BLACK</v>
      </c>
      <c r="G6109" s="20" t="str">
        <f>IFERROR(__xludf.DUMMYFUNCTION("""COMPUTED_VALUE"""),"Uncle Sams Cider (5/13/2022)")</f>
        <v>Uncle Sams Cider (5/13/2022)</v>
      </c>
      <c r="H6109" s="19"/>
    </row>
    <row r="6110">
      <c r="A6110" s="9"/>
      <c r="B6110" s="15"/>
      <c r="C6110" s="9">
        <f>IFERROR(__xludf.DUMMYFUNCTION("""COMPUTED_VALUE"""),44732.9178455324)</f>
        <v>44732.91785</v>
      </c>
      <c r="D6110" s="15">
        <f>IFERROR(__xludf.DUMMYFUNCTION("""COMPUTED_VALUE"""),1.005)</f>
        <v>1.005</v>
      </c>
      <c r="E6110" s="16">
        <f>IFERROR(__xludf.DUMMYFUNCTION("""COMPUTED_VALUE"""),69.0)</f>
        <v>69</v>
      </c>
      <c r="F6110" s="19" t="str">
        <f>IFERROR(__xludf.DUMMYFUNCTION("""COMPUTED_VALUE"""),"BLACK")</f>
        <v>BLACK</v>
      </c>
      <c r="G6110" s="20" t="str">
        <f>IFERROR(__xludf.DUMMYFUNCTION("""COMPUTED_VALUE"""),"Uncle Sams Cider (5/13/2022)")</f>
        <v>Uncle Sams Cider (5/13/2022)</v>
      </c>
      <c r="H6110" s="19"/>
    </row>
    <row r="6111">
      <c r="A6111" s="9"/>
      <c r="B6111" s="15"/>
      <c r="C6111" s="9">
        <f>IFERROR(__xludf.DUMMYFUNCTION("""COMPUTED_VALUE"""),44732.9074232291)</f>
        <v>44732.90742</v>
      </c>
      <c r="D6111" s="15">
        <f>IFERROR(__xludf.DUMMYFUNCTION("""COMPUTED_VALUE"""),1.005)</f>
        <v>1.005</v>
      </c>
      <c r="E6111" s="16">
        <f>IFERROR(__xludf.DUMMYFUNCTION("""COMPUTED_VALUE"""),69.0)</f>
        <v>69</v>
      </c>
      <c r="F6111" s="19" t="str">
        <f>IFERROR(__xludf.DUMMYFUNCTION("""COMPUTED_VALUE"""),"BLACK")</f>
        <v>BLACK</v>
      </c>
      <c r="G6111" s="20" t="str">
        <f>IFERROR(__xludf.DUMMYFUNCTION("""COMPUTED_VALUE"""),"Uncle Sams Cider (5/13/2022)")</f>
        <v>Uncle Sams Cider (5/13/2022)</v>
      </c>
      <c r="H6111" s="19"/>
    </row>
    <row r="6112">
      <c r="A6112" s="9"/>
      <c r="B6112" s="15"/>
      <c r="C6112" s="9">
        <f>IFERROR(__xludf.DUMMYFUNCTION("""COMPUTED_VALUE"""),44732.8970011226)</f>
        <v>44732.897</v>
      </c>
      <c r="D6112" s="15">
        <f>IFERROR(__xludf.DUMMYFUNCTION("""COMPUTED_VALUE"""),1.005)</f>
        <v>1.005</v>
      </c>
      <c r="E6112" s="16">
        <f>IFERROR(__xludf.DUMMYFUNCTION("""COMPUTED_VALUE"""),69.0)</f>
        <v>69</v>
      </c>
      <c r="F6112" s="19" t="str">
        <f>IFERROR(__xludf.DUMMYFUNCTION("""COMPUTED_VALUE"""),"BLACK")</f>
        <v>BLACK</v>
      </c>
      <c r="G6112" s="20" t="str">
        <f>IFERROR(__xludf.DUMMYFUNCTION("""COMPUTED_VALUE"""),"Uncle Sams Cider (5/13/2022)")</f>
        <v>Uncle Sams Cider (5/13/2022)</v>
      </c>
      <c r="H6112" s="19"/>
    </row>
    <row r="6113">
      <c r="A6113" s="9"/>
      <c r="B6113" s="15"/>
      <c r="C6113" s="9">
        <f>IFERROR(__xludf.DUMMYFUNCTION("""COMPUTED_VALUE"""),44732.886579618)</f>
        <v>44732.88658</v>
      </c>
      <c r="D6113" s="15">
        <f>IFERROR(__xludf.DUMMYFUNCTION("""COMPUTED_VALUE"""),1.005)</f>
        <v>1.005</v>
      </c>
      <c r="E6113" s="16">
        <f>IFERROR(__xludf.DUMMYFUNCTION("""COMPUTED_VALUE"""),69.0)</f>
        <v>69</v>
      </c>
      <c r="F6113" s="19" t="str">
        <f>IFERROR(__xludf.DUMMYFUNCTION("""COMPUTED_VALUE"""),"BLACK")</f>
        <v>BLACK</v>
      </c>
      <c r="G6113" s="20" t="str">
        <f>IFERROR(__xludf.DUMMYFUNCTION("""COMPUTED_VALUE"""),"Uncle Sams Cider (5/13/2022)")</f>
        <v>Uncle Sams Cider (5/13/2022)</v>
      </c>
      <c r="H6113" s="19"/>
    </row>
    <row r="6114">
      <c r="A6114" s="9"/>
      <c r="B6114" s="15"/>
      <c r="C6114" s="9">
        <f>IFERROR(__xludf.DUMMYFUNCTION("""COMPUTED_VALUE"""),44732.8761579976)</f>
        <v>44732.87616</v>
      </c>
      <c r="D6114" s="15">
        <f>IFERROR(__xludf.DUMMYFUNCTION("""COMPUTED_VALUE"""),1.005)</f>
        <v>1.005</v>
      </c>
      <c r="E6114" s="16">
        <f>IFERROR(__xludf.DUMMYFUNCTION("""COMPUTED_VALUE"""),69.0)</f>
        <v>69</v>
      </c>
      <c r="F6114" s="19" t="str">
        <f>IFERROR(__xludf.DUMMYFUNCTION("""COMPUTED_VALUE"""),"BLACK")</f>
        <v>BLACK</v>
      </c>
      <c r="G6114" s="20" t="str">
        <f>IFERROR(__xludf.DUMMYFUNCTION("""COMPUTED_VALUE"""),"Uncle Sams Cider (5/13/2022)")</f>
        <v>Uncle Sams Cider (5/13/2022)</v>
      </c>
      <c r="H6114" s="19"/>
    </row>
    <row r="6115">
      <c r="A6115" s="9"/>
      <c r="B6115" s="15"/>
      <c r="C6115" s="9">
        <f>IFERROR(__xludf.DUMMYFUNCTION("""COMPUTED_VALUE"""),44732.8657382754)</f>
        <v>44732.86574</v>
      </c>
      <c r="D6115" s="15">
        <f>IFERROR(__xludf.DUMMYFUNCTION("""COMPUTED_VALUE"""),1.005)</f>
        <v>1.005</v>
      </c>
      <c r="E6115" s="16">
        <f>IFERROR(__xludf.DUMMYFUNCTION("""COMPUTED_VALUE"""),69.0)</f>
        <v>69</v>
      </c>
      <c r="F6115" s="19" t="str">
        <f>IFERROR(__xludf.DUMMYFUNCTION("""COMPUTED_VALUE"""),"BLACK")</f>
        <v>BLACK</v>
      </c>
      <c r="G6115" s="20" t="str">
        <f>IFERROR(__xludf.DUMMYFUNCTION("""COMPUTED_VALUE"""),"Uncle Sams Cider (5/13/2022)")</f>
        <v>Uncle Sams Cider (5/13/2022)</v>
      </c>
      <c r="H6115" s="19"/>
    </row>
    <row r="6116">
      <c r="A6116" s="9"/>
      <c r="B6116" s="15"/>
      <c r="C6116" s="9">
        <f>IFERROR(__xludf.DUMMYFUNCTION("""COMPUTED_VALUE"""),44732.8553156365)</f>
        <v>44732.85532</v>
      </c>
      <c r="D6116" s="15">
        <f>IFERROR(__xludf.DUMMYFUNCTION("""COMPUTED_VALUE"""),1.005)</f>
        <v>1.005</v>
      </c>
      <c r="E6116" s="16">
        <f>IFERROR(__xludf.DUMMYFUNCTION("""COMPUTED_VALUE"""),69.0)</f>
        <v>69</v>
      </c>
      <c r="F6116" s="19" t="str">
        <f>IFERROR(__xludf.DUMMYFUNCTION("""COMPUTED_VALUE"""),"BLACK")</f>
        <v>BLACK</v>
      </c>
      <c r="G6116" s="20" t="str">
        <f>IFERROR(__xludf.DUMMYFUNCTION("""COMPUTED_VALUE"""),"Uncle Sams Cider (5/13/2022)")</f>
        <v>Uncle Sams Cider (5/13/2022)</v>
      </c>
      <c r="H6116" s="19"/>
    </row>
    <row r="6117">
      <c r="A6117" s="9"/>
      <c r="B6117" s="15"/>
      <c r="C6117" s="9">
        <f>IFERROR(__xludf.DUMMYFUNCTION("""COMPUTED_VALUE"""),44732.8448821875)</f>
        <v>44732.84488</v>
      </c>
      <c r="D6117" s="15">
        <f>IFERROR(__xludf.DUMMYFUNCTION("""COMPUTED_VALUE"""),1.005)</f>
        <v>1.005</v>
      </c>
      <c r="E6117" s="16">
        <f>IFERROR(__xludf.DUMMYFUNCTION("""COMPUTED_VALUE"""),69.0)</f>
        <v>69</v>
      </c>
      <c r="F6117" s="19" t="str">
        <f>IFERROR(__xludf.DUMMYFUNCTION("""COMPUTED_VALUE"""),"BLACK")</f>
        <v>BLACK</v>
      </c>
      <c r="G6117" s="20" t="str">
        <f>IFERROR(__xludf.DUMMYFUNCTION("""COMPUTED_VALUE"""),"Uncle Sams Cider (5/13/2022)")</f>
        <v>Uncle Sams Cider (5/13/2022)</v>
      </c>
      <c r="H6117" s="19"/>
    </row>
    <row r="6118">
      <c r="A6118" s="9"/>
      <c r="B6118" s="15"/>
      <c r="C6118" s="9">
        <f>IFERROR(__xludf.DUMMYFUNCTION("""COMPUTED_VALUE"""),44732.8344631365)</f>
        <v>44732.83446</v>
      </c>
      <c r="D6118" s="15">
        <f>IFERROR(__xludf.DUMMYFUNCTION("""COMPUTED_VALUE"""),1.005)</f>
        <v>1.005</v>
      </c>
      <c r="E6118" s="16">
        <f>IFERROR(__xludf.DUMMYFUNCTION("""COMPUTED_VALUE"""),69.0)</f>
        <v>69</v>
      </c>
      <c r="F6118" s="19" t="str">
        <f>IFERROR(__xludf.DUMMYFUNCTION("""COMPUTED_VALUE"""),"BLACK")</f>
        <v>BLACK</v>
      </c>
      <c r="G6118" s="20" t="str">
        <f>IFERROR(__xludf.DUMMYFUNCTION("""COMPUTED_VALUE"""),"Uncle Sams Cider (5/13/2022)")</f>
        <v>Uncle Sams Cider (5/13/2022)</v>
      </c>
      <c r="H6118" s="19"/>
    </row>
    <row r="6119">
      <c r="A6119" s="9"/>
      <c r="B6119" s="15"/>
      <c r="C6119" s="9">
        <f>IFERROR(__xludf.DUMMYFUNCTION("""COMPUTED_VALUE"""),44732.8240436689)</f>
        <v>44732.82404</v>
      </c>
      <c r="D6119" s="15">
        <f>IFERROR(__xludf.DUMMYFUNCTION("""COMPUTED_VALUE"""),1.005)</f>
        <v>1.005</v>
      </c>
      <c r="E6119" s="16">
        <f>IFERROR(__xludf.DUMMYFUNCTION("""COMPUTED_VALUE"""),69.0)</f>
        <v>69</v>
      </c>
      <c r="F6119" s="19" t="str">
        <f>IFERROR(__xludf.DUMMYFUNCTION("""COMPUTED_VALUE"""),"BLACK")</f>
        <v>BLACK</v>
      </c>
      <c r="G6119" s="20" t="str">
        <f>IFERROR(__xludf.DUMMYFUNCTION("""COMPUTED_VALUE"""),"Uncle Sams Cider (5/13/2022)")</f>
        <v>Uncle Sams Cider (5/13/2022)</v>
      </c>
      <c r="H6119" s="19"/>
    </row>
    <row r="6120">
      <c r="A6120" s="9"/>
      <c r="B6120" s="15"/>
      <c r="C6120" s="9">
        <f>IFERROR(__xludf.DUMMYFUNCTION("""COMPUTED_VALUE"""),44732.8136105439)</f>
        <v>44732.81361</v>
      </c>
      <c r="D6120" s="15">
        <f>IFERROR(__xludf.DUMMYFUNCTION("""COMPUTED_VALUE"""),1.005)</f>
        <v>1.005</v>
      </c>
      <c r="E6120" s="16">
        <f>IFERROR(__xludf.DUMMYFUNCTION("""COMPUTED_VALUE"""),69.0)</f>
        <v>69</v>
      </c>
      <c r="F6120" s="19" t="str">
        <f>IFERROR(__xludf.DUMMYFUNCTION("""COMPUTED_VALUE"""),"BLACK")</f>
        <v>BLACK</v>
      </c>
      <c r="G6120" s="20" t="str">
        <f>IFERROR(__xludf.DUMMYFUNCTION("""COMPUTED_VALUE"""),"Uncle Sams Cider (5/13/2022)")</f>
        <v>Uncle Sams Cider (5/13/2022)</v>
      </c>
      <c r="H6120" s="19"/>
    </row>
    <row r="6121">
      <c r="A6121" s="9"/>
      <c r="B6121" s="15"/>
      <c r="C6121" s="9">
        <f>IFERROR(__xludf.DUMMYFUNCTION("""COMPUTED_VALUE"""),44732.8031880555)</f>
        <v>44732.80319</v>
      </c>
      <c r="D6121" s="15">
        <f>IFERROR(__xludf.DUMMYFUNCTION("""COMPUTED_VALUE"""),1.005)</f>
        <v>1.005</v>
      </c>
      <c r="E6121" s="16">
        <f>IFERROR(__xludf.DUMMYFUNCTION("""COMPUTED_VALUE"""),69.0)</f>
        <v>69</v>
      </c>
      <c r="F6121" s="19" t="str">
        <f>IFERROR(__xludf.DUMMYFUNCTION("""COMPUTED_VALUE"""),"BLACK")</f>
        <v>BLACK</v>
      </c>
      <c r="G6121" s="20" t="str">
        <f>IFERROR(__xludf.DUMMYFUNCTION("""COMPUTED_VALUE"""),"Uncle Sams Cider (5/13/2022)")</f>
        <v>Uncle Sams Cider (5/13/2022)</v>
      </c>
      <c r="H6121" s="19"/>
    </row>
    <row r="6122">
      <c r="A6122" s="9"/>
      <c r="B6122" s="15"/>
      <c r="C6122" s="9">
        <f>IFERROR(__xludf.DUMMYFUNCTION("""COMPUTED_VALUE"""),44732.7927669444)</f>
        <v>44732.79277</v>
      </c>
      <c r="D6122" s="15">
        <f>IFERROR(__xludf.DUMMYFUNCTION("""COMPUTED_VALUE"""),1.005)</f>
        <v>1.005</v>
      </c>
      <c r="E6122" s="16">
        <f>IFERROR(__xludf.DUMMYFUNCTION("""COMPUTED_VALUE"""),69.0)</f>
        <v>69</v>
      </c>
      <c r="F6122" s="19" t="str">
        <f>IFERROR(__xludf.DUMMYFUNCTION("""COMPUTED_VALUE"""),"BLACK")</f>
        <v>BLACK</v>
      </c>
      <c r="G6122" s="20" t="str">
        <f>IFERROR(__xludf.DUMMYFUNCTION("""COMPUTED_VALUE"""),"Uncle Sams Cider (5/13/2022)")</f>
        <v>Uncle Sams Cider (5/13/2022)</v>
      </c>
      <c r="H6122" s="19"/>
    </row>
    <row r="6123">
      <c r="A6123" s="9"/>
      <c r="B6123" s="15"/>
      <c r="C6123" s="9">
        <f>IFERROR(__xludf.DUMMYFUNCTION("""COMPUTED_VALUE"""),44732.7823457638)</f>
        <v>44732.78235</v>
      </c>
      <c r="D6123" s="15">
        <f>IFERROR(__xludf.DUMMYFUNCTION("""COMPUTED_VALUE"""),1.005)</f>
        <v>1.005</v>
      </c>
      <c r="E6123" s="16">
        <f>IFERROR(__xludf.DUMMYFUNCTION("""COMPUTED_VALUE"""),69.0)</f>
        <v>69</v>
      </c>
      <c r="F6123" s="19" t="str">
        <f>IFERROR(__xludf.DUMMYFUNCTION("""COMPUTED_VALUE"""),"BLACK")</f>
        <v>BLACK</v>
      </c>
      <c r="G6123" s="20" t="str">
        <f>IFERROR(__xludf.DUMMYFUNCTION("""COMPUTED_VALUE"""),"Uncle Sams Cider (5/13/2022)")</f>
        <v>Uncle Sams Cider (5/13/2022)</v>
      </c>
      <c r="H6123" s="19"/>
    </row>
    <row r="6124">
      <c r="A6124" s="9"/>
      <c r="B6124" s="15"/>
      <c r="C6124" s="9">
        <f>IFERROR(__xludf.DUMMYFUNCTION("""COMPUTED_VALUE"""),44732.7719249537)</f>
        <v>44732.77192</v>
      </c>
      <c r="D6124" s="15">
        <f>IFERROR(__xludf.DUMMYFUNCTION("""COMPUTED_VALUE"""),1.005)</f>
        <v>1.005</v>
      </c>
      <c r="E6124" s="16">
        <f>IFERROR(__xludf.DUMMYFUNCTION("""COMPUTED_VALUE"""),69.0)</f>
        <v>69</v>
      </c>
      <c r="F6124" s="19" t="str">
        <f>IFERROR(__xludf.DUMMYFUNCTION("""COMPUTED_VALUE"""),"BLACK")</f>
        <v>BLACK</v>
      </c>
      <c r="G6124" s="20" t="str">
        <f>IFERROR(__xludf.DUMMYFUNCTION("""COMPUTED_VALUE"""),"Uncle Sams Cider (5/13/2022)")</f>
        <v>Uncle Sams Cider (5/13/2022)</v>
      </c>
      <c r="H6124" s="19"/>
    </row>
    <row r="6125">
      <c r="A6125" s="9"/>
      <c r="B6125" s="15"/>
      <c r="C6125" s="9">
        <f>IFERROR(__xludf.DUMMYFUNCTION("""COMPUTED_VALUE"""),44732.7615021412)</f>
        <v>44732.7615</v>
      </c>
      <c r="D6125" s="15">
        <f>IFERROR(__xludf.DUMMYFUNCTION("""COMPUTED_VALUE"""),1.005)</f>
        <v>1.005</v>
      </c>
      <c r="E6125" s="16">
        <f>IFERROR(__xludf.DUMMYFUNCTION("""COMPUTED_VALUE"""),69.0)</f>
        <v>69</v>
      </c>
      <c r="F6125" s="19" t="str">
        <f>IFERROR(__xludf.DUMMYFUNCTION("""COMPUTED_VALUE"""),"BLACK")</f>
        <v>BLACK</v>
      </c>
      <c r="G6125" s="20" t="str">
        <f>IFERROR(__xludf.DUMMYFUNCTION("""COMPUTED_VALUE"""),"Uncle Sams Cider (5/13/2022)")</f>
        <v>Uncle Sams Cider (5/13/2022)</v>
      </c>
      <c r="H6125" s="19"/>
    </row>
    <row r="6126">
      <c r="A6126" s="9"/>
      <c r="B6126" s="15"/>
      <c r="C6126" s="9">
        <f>IFERROR(__xludf.DUMMYFUNCTION("""COMPUTED_VALUE"""),44732.7510811921)</f>
        <v>44732.75108</v>
      </c>
      <c r="D6126" s="15">
        <f>IFERROR(__xludf.DUMMYFUNCTION("""COMPUTED_VALUE"""),1.005)</f>
        <v>1.005</v>
      </c>
      <c r="E6126" s="16">
        <f>IFERROR(__xludf.DUMMYFUNCTION("""COMPUTED_VALUE"""),69.0)</f>
        <v>69</v>
      </c>
      <c r="F6126" s="19" t="str">
        <f>IFERROR(__xludf.DUMMYFUNCTION("""COMPUTED_VALUE"""),"BLACK")</f>
        <v>BLACK</v>
      </c>
      <c r="G6126" s="20" t="str">
        <f>IFERROR(__xludf.DUMMYFUNCTION("""COMPUTED_VALUE"""),"Uncle Sams Cider (5/13/2022)")</f>
        <v>Uncle Sams Cider (5/13/2022)</v>
      </c>
      <c r="H6126" s="19"/>
    </row>
    <row r="6127">
      <c r="A6127" s="9"/>
      <c r="B6127" s="15"/>
      <c r="C6127" s="9">
        <f>IFERROR(__xludf.DUMMYFUNCTION("""COMPUTED_VALUE"""),44732.7406476157)</f>
        <v>44732.74065</v>
      </c>
      <c r="D6127" s="15">
        <f>IFERROR(__xludf.DUMMYFUNCTION("""COMPUTED_VALUE"""),1.005)</f>
        <v>1.005</v>
      </c>
      <c r="E6127" s="16">
        <f>IFERROR(__xludf.DUMMYFUNCTION("""COMPUTED_VALUE"""),69.0)</f>
        <v>69</v>
      </c>
      <c r="F6127" s="19" t="str">
        <f>IFERROR(__xludf.DUMMYFUNCTION("""COMPUTED_VALUE"""),"BLACK")</f>
        <v>BLACK</v>
      </c>
      <c r="G6127" s="20" t="str">
        <f>IFERROR(__xludf.DUMMYFUNCTION("""COMPUTED_VALUE"""),"Uncle Sams Cider (5/13/2022)")</f>
        <v>Uncle Sams Cider (5/13/2022)</v>
      </c>
      <c r="H6127" s="19"/>
    </row>
    <row r="6128">
      <c r="A6128" s="9"/>
      <c r="B6128" s="15"/>
      <c r="C6128" s="9">
        <f>IFERROR(__xludf.DUMMYFUNCTION("""COMPUTED_VALUE"""),44732.7302242708)</f>
        <v>44732.73022</v>
      </c>
      <c r="D6128" s="15">
        <f>IFERROR(__xludf.DUMMYFUNCTION("""COMPUTED_VALUE"""),1.005)</f>
        <v>1.005</v>
      </c>
      <c r="E6128" s="16">
        <f>IFERROR(__xludf.DUMMYFUNCTION("""COMPUTED_VALUE"""),69.0)</f>
        <v>69</v>
      </c>
      <c r="F6128" s="19" t="str">
        <f>IFERROR(__xludf.DUMMYFUNCTION("""COMPUTED_VALUE"""),"BLACK")</f>
        <v>BLACK</v>
      </c>
      <c r="G6128" s="20" t="str">
        <f>IFERROR(__xludf.DUMMYFUNCTION("""COMPUTED_VALUE"""),"Uncle Sams Cider (5/13/2022)")</f>
        <v>Uncle Sams Cider (5/13/2022)</v>
      </c>
      <c r="H6128" s="19"/>
    </row>
    <row r="6129">
      <c r="A6129" s="9"/>
      <c r="B6129" s="15"/>
      <c r="C6129" s="9">
        <f>IFERROR(__xludf.DUMMYFUNCTION("""COMPUTED_VALUE"""),44732.7198040393)</f>
        <v>44732.7198</v>
      </c>
      <c r="D6129" s="15">
        <f>IFERROR(__xludf.DUMMYFUNCTION("""COMPUTED_VALUE"""),1.005)</f>
        <v>1.005</v>
      </c>
      <c r="E6129" s="16">
        <f>IFERROR(__xludf.DUMMYFUNCTION("""COMPUTED_VALUE"""),69.0)</f>
        <v>69</v>
      </c>
      <c r="F6129" s="19" t="str">
        <f>IFERROR(__xludf.DUMMYFUNCTION("""COMPUTED_VALUE"""),"BLACK")</f>
        <v>BLACK</v>
      </c>
      <c r="G6129" s="20" t="str">
        <f>IFERROR(__xludf.DUMMYFUNCTION("""COMPUTED_VALUE"""),"Uncle Sams Cider (5/13/2022)")</f>
        <v>Uncle Sams Cider (5/13/2022)</v>
      </c>
      <c r="H6129" s="19"/>
    </row>
    <row r="6130">
      <c r="A6130" s="9"/>
      <c r="B6130" s="15"/>
      <c r="C6130" s="9">
        <f>IFERROR(__xludf.DUMMYFUNCTION("""COMPUTED_VALUE"""),44732.7093706944)</f>
        <v>44732.70937</v>
      </c>
      <c r="D6130" s="15">
        <f>IFERROR(__xludf.DUMMYFUNCTION("""COMPUTED_VALUE"""),1.005)</f>
        <v>1.005</v>
      </c>
      <c r="E6130" s="16">
        <f>IFERROR(__xludf.DUMMYFUNCTION("""COMPUTED_VALUE"""),69.0)</f>
        <v>69</v>
      </c>
      <c r="F6130" s="19" t="str">
        <f>IFERROR(__xludf.DUMMYFUNCTION("""COMPUTED_VALUE"""),"BLACK")</f>
        <v>BLACK</v>
      </c>
      <c r="G6130" s="20" t="str">
        <f>IFERROR(__xludf.DUMMYFUNCTION("""COMPUTED_VALUE"""),"Uncle Sams Cider (5/13/2022)")</f>
        <v>Uncle Sams Cider (5/13/2022)</v>
      </c>
      <c r="H6130" s="19"/>
    </row>
    <row r="6131">
      <c r="A6131" s="9"/>
      <c r="B6131" s="15"/>
      <c r="C6131" s="9">
        <f>IFERROR(__xludf.DUMMYFUNCTION("""COMPUTED_VALUE"""),44732.6989489004)</f>
        <v>44732.69895</v>
      </c>
      <c r="D6131" s="15">
        <f>IFERROR(__xludf.DUMMYFUNCTION("""COMPUTED_VALUE"""),1.005)</f>
        <v>1.005</v>
      </c>
      <c r="E6131" s="16">
        <f>IFERROR(__xludf.DUMMYFUNCTION("""COMPUTED_VALUE"""),69.0)</f>
        <v>69</v>
      </c>
      <c r="F6131" s="19" t="str">
        <f>IFERROR(__xludf.DUMMYFUNCTION("""COMPUTED_VALUE"""),"BLACK")</f>
        <v>BLACK</v>
      </c>
      <c r="G6131" s="20" t="str">
        <f>IFERROR(__xludf.DUMMYFUNCTION("""COMPUTED_VALUE"""),"Uncle Sams Cider (5/13/2022)")</f>
        <v>Uncle Sams Cider (5/13/2022)</v>
      </c>
      <c r="H6131" s="19"/>
    </row>
    <row r="6132">
      <c r="A6132" s="9"/>
      <c r="B6132" s="15"/>
      <c r="C6132" s="9">
        <f>IFERROR(__xludf.DUMMYFUNCTION("""COMPUTED_VALUE"""),44732.6885287152)</f>
        <v>44732.68853</v>
      </c>
      <c r="D6132" s="15">
        <f>IFERROR(__xludf.DUMMYFUNCTION("""COMPUTED_VALUE"""),1.005)</f>
        <v>1.005</v>
      </c>
      <c r="E6132" s="16">
        <f>IFERROR(__xludf.DUMMYFUNCTION("""COMPUTED_VALUE"""),69.0)</f>
        <v>69</v>
      </c>
      <c r="F6132" s="19" t="str">
        <f>IFERROR(__xludf.DUMMYFUNCTION("""COMPUTED_VALUE"""),"BLACK")</f>
        <v>BLACK</v>
      </c>
      <c r="G6132" s="20" t="str">
        <f>IFERROR(__xludf.DUMMYFUNCTION("""COMPUTED_VALUE"""),"Uncle Sams Cider (5/13/2022)")</f>
        <v>Uncle Sams Cider (5/13/2022)</v>
      </c>
      <c r="H6132" s="19"/>
    </row>
    <row r="6133">
      <c r="A6133" s="9"/>
      <c r="B6133" s="15"/>
      <c r="C6133" s="9">
        <f>IFERROR(__xludf.DUMMYFUNCTION("""COMPUTED_VALUE"""),44732.6781093518)</f>
        <v>44732.67811</v>
      </c>
      <c r="D6133" s="15">
        <f>IFERROR(__xludf.DUMMYFUNCTION("""COMPUTED_VALUE"""),1.005)</f>
        <v>1.005</v>
      </c>
      <c r="E6133" s="16">
        <f>IFERROR(__xludf.DUMMYFUNCTION("""COMPUTED_VALUE"""),69.0)</f>
        <v>69</v>
      </c>
      <c r="F6133" s="19" t="str">
        <f>IFERROR(__xludf.DUMMYFUNCTION("""COMPUTED_VALUE"""),"BLACK")</f>
        <v>BLACK</v>
      </c>
      <c r="G6133" s="20" t="str">
        <f>IFERROR(__xludf.DUMMYFUNCTION("""COMPUTED_VALUE"""),"Uncle Sams Cider (5/13/2022)")</f>
        <v>Uncle Sams Cider (5/13/2022)</v>
      </c>
      <c r="H6133" s="19"/>
    </row>
    <row r="6134">
      <c r="A6134" s="9"/>
      <c r="B6134" s="15"/>
      <c r="C6134" s="9">
        <f>IFERROR(__xludf.DUMMYFUNCTION("""COMPUTED_VALUE"""),44732.6676778935)</f>
        <v>44732.66768</v>
      </c>
      <c r="D6134" s="15">
        <f>IFERROR(__xludf.DUMMYFUNCTION("""COMPUTED_VALUE"""),1.005)</f>
        <v>1.005</v>
      </c>
      <c r="E6134" s="16">
        <f>IFERROR(__xludf.DUMMYFUNCTION("""COMPUTED_VALUE"""),69.0)</f>
        <v>69</v>
      </c>
      <c r="F6134" s="19" t="str">
        <f>IFERROR(__xludf.DUMMYFUNCTION("""COMPUTED_VALUE"""),"BLACK")</f>
        <v>BLACK</v>
      </c>
      <c r="G6134" s="20" t="str">
        <f>IFERROR(__xludf.DUMMYFUNCTION("""COMPUTED_VALUE"""),"Uncle Sams Cider (5/13/2022)")</f>
        <v>Uncle Sams Cider (5/13/2022)</v>
      </c>
      <c r="H6134" s="19"/>
    </row>
    <row r="6135">
      <c r="A6135" s="9"/>
      <c r="B6135" s="15"/>
      <c r="C6135" s="9">
        <f>IFERROR(__xludf.DUMMYFUNCTION("""COMPUTED_VALUE"""),44732.6572570833)</f>
        <v>44732.65726</v>
      </c>
      <c r="D6135" s="15">
        <f>IFERROR(__xludf.DUMMYFUNCTION("""COMPUTED_VALUE"""),1.006)</f>
        <v>1.006</v>
      </c>
      <c r="E6135" s="16">
        <f>IFERROR(__xludf.DUMMYFUNCTION("""COMPUTED_VALUE"""),69.0)</f>
        <v>69</v>
      </c>
      <c r="F6135" s="19" t="str">
        <f>IFERROR(__xludf.DUMMYFUNCTION("""COMPUTED_VALUE"""),"BLACK")</f>
        <v>BLACK</v>
      </c>
      <c r="G6135" s="20" t="str">
        <f>IFERROR(__xludf.DUMMYFUNCTION("""COMPUTED_VALUE"""),"Uncle Sams Cider (5/13/2022)")</f>
        <v>Uncle Sams Cider (5/13/2022)</v>
      </c>
      <c r="H6135" s="19"/>
    </row>
    <row r="6136">
      <c r="A6136" s="9"/>
      <c r="B6136" s="15"/>
      <c r="C6136" s="9">
        <f>IFERROR(__xludf.DUMMYFUNCTION("""COMPUTED_VALUE"""),44732.64683353)</f>
        <v>44732.64683</v>
      </c>
      <c r="D6136" s="15">
        <f>IFERROR(__xludf.DUMMYFUNCTION("""COMPUTED_VALUE"""),1.005)</f>
        <v>1.005</v>
      </c>
      <c r="E6136" s="16">
        <f>IFERROR(__xludf.DUMMYFUNCTION("""COMPUTED_VALUE"""),69.0)</f>
        <v>69</v>
      </c>
      <c r="F6136" s="19" t="str">
        <f>IFERROR(__xludf.DUMMYFUNCTION("""COMPUTED_VALUE"""),"BLACK")</f>
        <v>BLACK</v>
      </c>
      <c r="G6136" s="20" t="str">
        <f>IFERROR(__xludf.DUMMYFUNCTION("""COMPUTED_VALUE"""),"Uncle Sams Cider (5/13/2022)")</f>
        <v>Uncle Sams Cider (5/13/2022)</v>
      </c>
      <c r="H6136" s="19"/>
    </row>
    <row r="6137">
      <c r="A6137" s="9"/>
      <c r="B6137" s="15"/>
      <c r="C6137" s="9">
        <f>IFERROR(__xludf.DUMMYFUNCTION("""COMPUTED_VALUE"""),44732.63641228)</f>
        <v>44732.63641</v>
      </c>
      <c r="D6137" s="15">
        <f>IFERROR(__xludf.DUMMYFUNCTION("""COMPUTED_VALUE"""),1.005)</f>
        <v>1.005</v>
      </c>
      <c r="E6137" s="16">
        <f>IFERROR(__xludf.DUMMYFUNCTION("""COMPUTED_VALUE"""),69.0)</f>
        <v>69</v>
      </c>
      <c r="F6137" s="19" t="str">
        <f>IFERROR(__xludf.DUMMYFUNCTION("""COMPUTED_VALUE"""),"BLACK")</f>
        <v>BLACK</v>
      </c>
      <c r="G6137" s="20" t="str">
        <f>IFERROR(__xludf.DUMMYFUNCTION("""COMPUTED_VALUE"""),"Uncle Sams Cider (5/13/2022)")</f>
        <v>Uncle Sams Cider (5/13/2022)</v>
      </c>
      <c r="H6137" s="19"/>
    </row>
    <row r="6138">
      <c r="A6138" s="9"/>
      <c r="B6138" s="15"/>
      <c r="C6138" s="9">
        <f>IFERROR(__xludf.DUMMYFUNCTION("""COMPUTED_VALUE"""),44732.6259911689)</f>
        <v>44732.62599</v>
      </c>
      <c r="D6138" s="15">
        <f>IFERROR(__xludf.DUMMYFUNCTION("""COMPUTED_VALUE"""),1.005)</f>
        <v>1.005</v>
      </c>
      <c r="E6138" s="16">
        <f>IFERROR(__xludf.DUMMYFUNCTION("""COMPUTED_VALUE"""),69.0)</f>
        <v>69</v>
      </c>
      <c r="F6138" s="19" t="str">
        <f>IFERROR(__xludf.DUMMYFUNCTION("""COMPUTED_VALUE"""),"BLACK")</f>
        <v>BLACK</v>
      </c>
      <c r="G6138" s="20" t="str">
        <f>IFERROR(__xludf.DUMMYFUNCTION("""COMPUTED_VALUE"""),"Uncle Sams Cider (5/13/2022)")</f>
        <v>Uncle Sams Cider (5/13/2022)</v>
      </c>
      <c r="H6138" s="19"/>
    </row>
    <row r="6139">
      <c r="A6139" s="9"/>
      <c r="B6139" s="15"/>
      <c r="C6139" s="9">
        <f>IFERROR(__xludf.DUMMYFUNCTION("""COMPUTED_VALUE"""),44732.6155705671)</f>
        <v>44732.61557</v>
      </c>
      <c r="D6139" s="15">
        <f>IFERROR(__xludf.DUMMYFUNCTION("""COMPUTED_VALUE"""),1.005)</f>
        <v>1.005</v>
      </c>
      <c r="E6139" s="16">
        <f>IFERROR(__xludf.DUMMYFUNCTION("""COMPUTED_VALUE"""),69.0)</f>
        <v>69</v>
      </c>
      <c r="F6139" s="19" t="str">
        <f>IFERROR(__xludf.DUMMYFUNCTION("""COMPUTED_VALUE"""),"BLACK")</f>
        <v>BLACK</v>
      </c>
      <c r="G6139" s="20" t="str">
        <f>IFERROR(__xludf.DUMMYFUNCTION("""COMPUTED_VALUE"""),"Uncle Sams Cider (5/13/2022)")</f>
        <v>Uncle Sams Cider (5/13/2022)</v>
      </c>
      <c r="H6139" s="19"/>
    </row>
    <row r="6140">
      <c r="A6140" s="9"/>
      <c r="B6140" s="15"/>
      <c r="C6140" s="9">
        <f>IFERROR(__xludf.DUMMYFUNCTION("""COMPUTED_VALUE"""),44732.6051490162)</f>
        <v>44732.60515</v>
      </c>
      <c r="D6140" s="15">
        <f>IFERROR(__xludf.DUMMYFUNCTION("""COMPUTED_VALUE"""),1.005)</f>
        <v>1.005</v>
      </c>
      <c r="E6140" s="16">
        <f>IFERROR(__xludf.DUMMYFUNCTION("""COMPUTED_VALUE"""),69.0)</f>
        <v>69</v>
      </c>
      <c r="F6140" s="19" t="str">
        <f>IFERROR(__xludf.DUMMYFUNCTION("""COMPUTED_VALUE"""),"BLACK")</f>
        <v>BLACK</v>
      </c>
      <c r="G6140" s="20" t="str">
        <f>IFERROR(__xludf.DUMMYFUNCTION("""COMPUTED_VALUE"""),"Uncle Sams Cider (5/13/2022)")</f>
        <v>Uncle Sams Cider (5/13/2022)</v>
      </c>
      <c r="H6140" s="19"/>
    </row>
    <row r="6141">
      <c r="A6141" s="9"/>
      <c r="B6141" s="15"/>
      <c r="C6141" s="9">
        <f>IFERROR(__xludf.DUMMYFUNCTION("""COMPUTED_VALUE"""),44732.5947285879)</f>
        <v>44732.59473</v>
      </c>
      <c r="D6141" s="15">
        <f>IFERROR(__xludf.DUMMYFUNCTION("""COMPUTED_VALUE"""),1.006)</f>
        <v>1.006</v>
      </c>
      <c r="E6141" s="16">
        <f>IFERROR(__xludf.DUMMYFUNCTION("""COMPUTED_VALUE"""),69.0)</f>
        <v>69</v>
      </c>
      <c r="F6141" s="19" t="str">
        <f>IFERROR(__xludf.DUMMYFUNCTION("""COMPUTED_VALUE"""),"BLACK")</f>
        <v>BLACK</v>
      </c>
      <c r="G6141" s="20" t="str">
        <f>IFERROR(__xludf.DUMMYFUNCTION("""COMPUTED_VALUE"""),"Uncle Sams Cider (5/13/2022)")</f>
        <v>Uncle Sams Cider (5/13/2022)</v>
      </c>
      <c r="H6141" s="19"/>
    </row>
    <row r="6142">
      <c r="A6142" s="9"/>
      <c r="B6142" s="15"/>
      <c r="C6142" s="9">
        <f>IFERROR(__xludf.DUMMYFUNCTION("""COMPUTED_VALUE"""),44732.5843060648)</f>
        <v>44732.58431</v>
      </c>
      <c r="D6142" s="15">
        <f>IFERROR(__xludf.DUMMYFUNCTION("""COMPUTED_VALUE"""),1.005)</f>
        <v>1.005</v>
      </c>
      <c r="E6142" s="16">
        <f>IFERROR(__xludf.DUMMYFUNCTION("""COMPUTED_VALUE"""),69.0)</f>
        <v>69</v>
      </c>
      <c r="F6142" s="19" t="str">
        <f>IFERROR(__xludf.DUMMYFUNCTION("""COMPUTED_VALUE"""),"BLACK")</f>
        <v>BLACK</v>
      </c>
      <c r="G6142" s="20" t="str">
        <f>IFERROR(__xludf.DUMMYFUNCTION("""COMPUTED_VALUE"""),"Uncle Sams Cider (5/13/2022)")</f>
        <v>Uncle Sams Cider (5/13/2022)</v>
      </c>
      <c r="H6142" s="19"/>
    </row>
    <row r="6143">
      <c r="A6143" s="9"/>
      <c r="B6143" s="15"/>
      <c r="C6143" s="9">
        <f>IFERROR(__xludf.DUMMYFUNCTION("""COMPUTED_VALUE"""),44732.5738842361)</f>
        <v>44732.57388</v>
      </c>
      <c r="D6143" s="15">
        <f>IFERROR(__xludf.DUMMYFUNCTION("""COMPUTED_VALUE"""),1.005)</f>
        <v>1.005</v>
      </c>
      <c r="E6143" s="16">
        <f>IFERROR(__xludf.DUMMYFUNCTION("""COMPUTED_VALUE"""),69.0)</f>
        <v>69</v>
      </c>
      <c r="F6143" s="19" t="str">
        <f>IFERROR(__xludf.DUMMYFUNCTION("""COMPUTED_VALUE"""),"BLACK")</f>
        <v>BLACK</v>
      </c>
      <c r="G6143" s="20" t="str">
        <f>IFERROR(__xludf.DUMMYFUNCTION("""COMPUTED_VALUE"""),"Uncle Sams Cider (5/13/2022)")</f>
        <v>Uncle Sams Cider (5/13/2022)</v>
      </c>
      <c r="H6143" s="19"/>
    </row>
    <row r="6144">
      <c r="A6144" s="9"/>
      <c r="B6144" s="15"/>
      <c r="C6144" s="9">
        <f>IFERROR(__xludf.DUMMYFUNCTION("""COMPUTED_VALUE"""),44732.563461655)</f>
        <v>44732.56346</v>
      </c>
      <c r="D6144" s="15">
        <f>IFERROR(__xludf.DUMMYFUNCTION("""COMPUTED_VALUE"""),1.006)</f>
        <v>1.006</v>
      </c>
      <c r="E6144" s="16">
        <f>IFERROR(__xludf.DUMMYFUNCTION("""COMPUTED_VALUE"""),69.0)</f>
        <v>69</v>
      </c>
      <c r="F6144" s="19" t="str">
        <f>IFERROR(__xludf.DUMMYFUNCTION("""COMPUTED_VALUE"""),"BLACK")</f>
        <v>BLACK</v>
      </c>
      <c r="G6144" s="20" t="str">
        <f>IFERROR(__xludf.DUMMYFUNCTION("""COMPUTED_VALUE"""),"Uncle Sams Cider (5/13/2022)")</f>
        <v>Uncle Sams Cider (5/13/2022)</v>
      </c>
      <c r="H6144" s="19"/>
    </row>
    <row r="6145">
      <c r="A6145" s="9"/>
      <c r="B6145" s="15"/>
      <c r="C6145" s="9">
        <f>IFERROR(__xludf.DUMMYFUNCTION("""COMPUTED_VALUE"""),44732.5530403125)</f>
        <v>44732.55304</v>
      </c>
      <c r="D6145" s="15">
        <f>IFERROR(__xludf.DUMMYFUNCTION("""COMPUTED_VALUE"""),1.005)</f>
        <v>1.005</v>
      </c>
      <c r="E6145" s="16">
        <f>IFERROR(__xludf.DUMMYFUNCTION("""COMPUTED_VALUE"""),69.0)</f>
        <v>69</v>
      </c>
      <c r="F6145" s="19" t="str">
        <f>IFERROR(__xludf.DUMMYFUNCTION("""COMPUTED_VALUE"""),"BLACK")</f>
        <v>BLACK</v>
      </c>
      <c r="G6145" s="20" t="str">
        <f>IFERROR(__xludf.DUMMYFUNCTION("""COMPUTED_VALUE"""),"Uncle Sams Cider (5/13/2022)")</f>
        <v>Uncle Sams Cider (5/13/2022)</v>
      </c>
      <c r="H6145" s="19"/>
    </row>
    <row r="6146">
      <c r="A6146" s="9"/>
      <c r="B6146" s="15"/>
      <c r="C6146" s="9">
        <f>IFERROR(__xludf.DUMMYFUNCTION("""COMPUTED_VALUE"""),44732.5426185185)</f>
        <v>44732.54262</v>
      </c>
      <c r="D6146" s="15">
        <f>IFERROR(__xludf.DUMMYFUNCTION("""COMPUTED_VALUE"""),1.005)</f>
        <v>1.005</v>
      </c>
      <c r="E6146" s="16">
        <f>IFERROR(__xludf.DUMMYFUNCTION("""COMPUTED_VALUE"""),69.0)</f>
        <v>69</v>
      </c>
      <c r="F6146" s="19" t="str">
        <f>IFERROR(__xludf.DUMMYFUNCTION("""COMPUTED_VALUE"""),"BLACK")</f>
        <v>BLACK</v>
      </c>
      <c r="G6146" s="20" t="str">
        <f>IFERROR(__xludf.DUMMYFUNCTION("""COMPUTED_VALUE"""),"Uncle Sams Cider (5/13/2022)")</f>
        <v>Uncle Sams Cider (5/13/2022)</v>
      </c>
      <c r="H6146" s="19"/>
    </row>
    <row r="6147">
      <c r="A6147" s="9"/>
      <c r="B6147" s="15"/>
      <c r="C6147" s="9">
        <f>IFERROR(__xludf.DUMMYFUNCTION("""COMPUTED_VALUE"""),44732.5321970833)</f>
        <v>44732.5322</v>
      </c>
      <c r="D6147" s="15">
        <f>IFERROR(__xludf.DUMMYFUNCTION("""COMPUTED_VALUE"""),1.005)</f>
        <v>1.005</v>
      </c>
      <c r="E6147" s="16">
        <f>IFERROR(__xludf.DUMMYFUNCTION("""COMPUTED_VALUE"""),69.0)</f>
        <v>69</v>
      </c>
      <c r="F6147" s="19" t="str">
        <f>IFERROR(__xludf.DUMMYFUNCTION("""COMPUTED_VALUE"""),"BLACK")</f>
        <v>BLACK</v>
      </c>
      <c r="G6147" s="20" t="str">
        <f>IFERROR(__xludf.DUMMYFUNCTION("""COMPUTED_VALUE"""),"Uncle Sams Cider (5/13/2022)")</f>
        <v>Uncle Sams Cider (5/13/2022)</v>
      </c>
      <c r="H6147" s="19"/>
    </row>
    <row r="6148">
      <c r="A6148" s="9"/>
      <c r="B6148" s="15"/>
      <c r="C6148" s="9">
        <f>IFERROR(__xludf.DUMMYFUNCTION("""COMPUTED_VALUE"""),44732.5217768518)</f>
        <v>44732.52178</v>
      </c>
      <c r="D6148" s="15">
        <f>IFERROR(__xludf.DUMMYFUNCTION("""COMPUTED_VALUE"""),1.005)</f>
        <v>1.005</v>
      </c>
      <c r="E6148" s="16">
        <f>IFERROR(__xludf.DUMMYFUNCTION("""COMPUTED_VALUE"""),69.0)</f>
        <v>69</v>
      </c>
      <c r="F6148" s="19" t="str">
        <f>IFERROR(__xludf.DUMMYFUNCTION("""COMPUTED_VALUE"""),"BLACK")</f>
        <v>BLACK</v>
      </c>
      <c r="G6148" s="20" t="str">
        <f>IFERROR(__xludf.DUMMYFUNCTION("""COMPUTED_VALUE"""),"Uncle Sams Cider (5/13/2022)")</f>
        <v>Uncle Sams Cider (5/13/2022)</v>
      </c>
      <c r="H6148" s="19"/>
    </row>
    <row r="6149">
      <c r="A6149" s="9"/>
      <c r="B6149" s="15"/>
      <c r="C6149" s="9">
        <f>IFERROR(__xludf.DUMMYFUNCTION("""COMPUTED_VALUE"""),44732.5113572801)</f>
        <v>44732.51136</v>
      </c>
      <c r="D6149" s="15">
        <f>IFERROR(__xludf.DUMMYFUNCTION("""COMPUTED_VALUE"""),1.005)</f>
        <v>1.005</v>
      </c>
      <c r="E6149" s="16">
        <f>IFERROR(__xludf.DUMMYFUNCTION("""COMPUTED_VALUE"""),69.0)</f>
        <v>69</v>
      </c>
      <c r="F6149" s="19" t="str">
        <f>IFERROR(__xludf.DUMMYFUNCTION("""COMPUTED_VALUE"""),"BLACK")</f>
        <v>BLACK</v>
      </c>
      <c r="G6149" s="20" t="str">
        <f>IFERROR(__xludf.DUMMYFUNCTION("""COMPUTED_VALUE"""),"Uncle Sams Cider (5/13/2022)")</f>
        <v>Uncle Sams Cider (5/13/2022)</v>
      </c>
      <c r="H6149" s="19"/>
    </row>
    <row r="6150">
      <c r="A6150" s="9"/>
      <c r="B6150" s="15"/>
      <c r="C6150" s="9">
        <f>IFERROR(__xludf.DUMMYFUNCTION("""COMPUTED_VALUE"""),44732.5009359259)</f>
        <v>44732.50094</v>
      </c>
      <c r="D6150" s="15">
        <f>IFERROR(__xludf.DUMMYFUNCTION("""COMPUTED_VALUE"""),1.005)</f>
        <v>1.005</v>
      </c>
      <c r="E6150" s="16">
        <f>IFERROR(__xludf.DUMMYFUNCTION("""COMPUTED_VALUE"""),69.0)</f>
        <v>69</v>
      </c>
      <c r="F6150" s="19" t="str">
        <f>IFERROR(__xludf.DUMMYFUNCTION("""COMPUTED_VALUE"""),"BLACK")</f>
        <v>BLACK</v>
      </c>
      <c r="G6150" s="20" t="str">
        <f>IFERROR(__xludf.DUMMYFUNCTION("""COMPUTED_VALUE"""),"Uncle Sams Cider (5/13/2022)")</f>
        <v>Uncle Sams Cider (5/13/2022)</v>
      </c>
      <c r="H6150" s="19"/>
    </row>
    <row r="6151">
      <c r="A6151" s="9"/>
      <c r="B6151" s="15"/>
      <c r="C6151" s="9">
        <f>IFERROR(__xludf.DUMMYFUNCTION("""COMPUTED_VALUE"""),44732.4905031134)</f>
        <v>44732.4905</v>
      </c>
      <c r="D6151" s="15">
        <f>IFERROR(__xludf.DUMMYFUNCTION("""COMPUTED_VALUE"""),1.005)</f>
        <v>1.005</v>
      </c>
      <c r="E6151" s="16">
        <f>IFERROR(__xludf.DUMMYFUNCTION("""COMPUTED_VALUE"""),69.0)</f>
        <v>69</v>
      </c>
      <c r="F6151" s="19" t="str">
        <f>IFERROR(__xludf.DUMMYFUNCTION("""COMPUTED_VALUE"""),"BLACK")</f>
        <v>BLACK</v>
      </c>
      <c r="G6151" s="20" t="str">
        <f>IFERROR(__xludf.DUMMYFUNCTION("""COMPUTED_VALUE"""),"Uncle Sams Cider (5/13/2022)")</f>
        <v>Uncle Sams Cider (5/13/2022)</v>
      </c>
      <c r="H6151" s="19"/>
    </row>
    <row r="6152">
      <c r="A6152" s="9"/>
      <c r="B6152" s="15"/>
      <c r="C6152" s="9">
        <f>IFERROR(__xludf.DUMMYFUNCTION("""COMPUTED_VALUE"""),44732.4800809259)</f>
        <v>44732.48008</v>
      </c>
      <c r="D6152" s="15">
        <f>IFERROR(__xludf.DUMMYFUNCTION("""COMPUTED_VALUE"""),1.005)</f>
        <v>1.005</v>
      </c>
      <c r="E6152" s="16">
        <f>IFERROR(__xludf.DUMMYFUNCTION("""COMPUTED_VALUE"""),69.0)</f>
        <v>69</v>
      </c>
      <c r="F6152" s="19" t="str">
        <f>IFERROR(__xludf.DUMMYFUNCTION("""COMPUTED_VALUE"""),"BLACK")</f>
        <v>BLACK</v>
      </c>
      <c r="G6152" s="20" t="str">
        <f>IFERROR(__xludf.DUMMYFUNCTION("""COMPUTED_VALUE"""),"Uncle Sams Cider (5/13/2022)")</f>
        <v>Uncle Sams Cider (5/13/2022)</v>
      </c>
      <c r="H6152" s="19"/>
    </row>
    <row r="6153">
      <c r="A6153" s="9"/>
      <c r="B6153" s="15"/>
      <c r="C6153" s="9">
        <f>IFERROR(__xludf.DUMMYFUNCTION("""COMPUTED_VALUE"""),44732.4696605555)</f>
        <v>44732.46966</v>
      </c>
      <c r="D6153" s="15">
        <f>IFERROR(__xludf.DUMMYFUNCTION("""COMPUTED_VALUE"""),1.005)</f>
        <v>1.005</v>
      </c>
      <c r="E6153" s="16">
        <f>IFERROR(__xludf.DUMMYFUNCTION("""COMPUTED_VALUE"""),69.0)</f>
        <v>69</v>
      </c>
      <c r="F6153" s="19" t="str">
        <f>IFERROR(__xludf.DUMMYFUNCTION("""COMPUTED_VALUE"""),"BLACK")</f>
        <v>BLACK</v>
      </c>
      <c r="G6153" s="20" t="str">
        <f>IFERROR(__xludf.DUMMYFUNCTION("""COMPUTED_VALUE"""),"Uncle Sams Cider (5/13/2022)")</f>
        <v>Uncle Sams Cider (5/13/2022)</v>
      </c>
      <c r="H6153" s="19"/>
    </row>
    <row r="6154">
      <c r="A6154" s="9"/>
      <c r="B6154" s="15"/>
      <c r="C6154" s="9">
        <f>IFERROR(__xludf.DUMMYFUNCTION("""COMPUTED_VALUE"""),44732.459226875)</f>
        <v>44732.45923</v>
      </c>
      <c r="D6154" s="15">
        <f>IFERROR(__xludf.DUMMYFUNCTION("""COMPUTED_VALUE"""),1.005)</f>
        <v>1.005</v>
      </c>
      <c r="E6154" s="16">
        <f>IFERROR(__xludf.DUMMYFUNCTION("""COMPUTED_VALUE"""),69.0)</f>
        <v>69</v>
      </c>
      <c r="F6154" s="19" t="str">
        <f>IFERROR(__xludf.DUMMYFUNCTION("""COMPUTED_VALUE"""),"BLACK")</f>
        <v>BLACK</v>
      </c>
      <c r="G6154" s="20" t="str">
        <f>IFERROR(__xludf.DUMMYFUNCTION("""COMPUTED_VALUE"""),"Uncle Sams Cider (5/13/2022)")</f>
        <v>Uncle Sams Cider (5/13/2022)</v>
      </c>
      <c r="H6154" s="19"/>
    </row>
    <row r="6155">
      <c r="A6155" s="9"/>
      <c r="B6155" s="15"/>
      <c r="C6155" s="9">
        <f>IFERROR(__xludf.DUMMYFUNCTION("""COMPUTED_VALUE"""),44732.4488050347)</f>
        <v>44732.44881</v>
      </c>
      <c r="D6155" s="15">
        <f>IFERROR(__xludf.DUMMYFUNCTION("""COMPUTED_VALUE"""),1.005)</f>
        <v>1.005</v>
      </c>
      <c r="E6155" s="16">
        <f>IFERROR(__xludf.DUMMYFUNCTION("""COMPUTED_VALUE"""),69.0)</f>
        <v>69</v>
      </c>
      <c r="F6155" s="19" t="str">
        <f>IFERROR(__xludf.DUMMYFUNCTION("""COMPUTED_VALUE"""),"BLACK")</f>
        <v>BLACK</v>
      </c>
      <c r="G6155" s="20" t="str">
        <f>IFERROR(__xludf.DUMMYFUNCTION("""COMPUTED_VALUE"""),"Uncle Sams Cider (5/13/2022)")</f>
        <v>Uncle Sams Cider (5/13/2022)</v>
      </c>
      <c r="H6155" s="19"/>
    </row>
    <row r="6156">
      <c r="A6156" s="9"/>
      <c r="B6156" s="15"/>
      <c r="C6156" s="9">
        <f>IFERROR(__xludf.DUMMYFUNCTION("""COMPUTED_VALUE"""),44732.4383722222)</f>
        <v>44732.43837</v>
      </c>
      <c r="D6156" s="15">
        <f>IFERROR(__xludf.DUMMYFUNCTION("""COMPUTED_VALUE"""),1.005)</f>
        <v>1.005</v>
      </c>
      <c r="E6156" s="16">
        <f>IFERROR(__xludf.DUMMYFUNCTION("""COMPUTED_VALUE"""),69.0)</f>
        <v>69</v>
      </c>
      <c r="F6156" s="19" t="str">
        <f>IFERROR(__xludf.DUMMYFUNCTION("""COMPUTED_VALUE"""),"BLACK")</f>
        <v>BLACK</v>
      </c>
      <c r="G6156" s="20" t="str">
        <f>IFERROR(__xludf.DUMMYFUNCTION("""COMPUTED_VALUE"""),"Uncle Sams Cider (5/13/2022)")</f>
        <v>Uncle Sams Cider (5/13/2022)</v>
      </c>
      <c r="H6156" s="19"/>
    </row>
    <row r="6157">
      <c r="A6157" s="9"/>
      <c r="B6157" s="15"/>
      <c r="C6157" s="9">
        <f>IFERROR(__xludf.DUMMYFUNCTION("""COMPUTED_VALUE"""),44732.4279516666)</f>
        <v>44732.42795</v>
      </c>
      <c r="D6157" s="15">
        <f>IFERROR(__xludf.DUMMYFUNCTION("""COMPUTED_VALUE"""),1.005)</f>
        <v>1.005</v>
      </c>
      <c r="E6157" s="16">
        <f>IFERROR(__xludf.DUMMYFUNCTION("""COMPUTED_VALUE"""),69.0)</f>
        <v>69</v>
      </c>
      <c r="F6157" s="19" t="str">
        <f>IFERROR(__xludf.DUMMYFUNCTION("""COMPUTED_VALUE"""),"BLACK")</f>
        <v>BLACK</v>
      </c>
      <c r="G6157" s="20" t="str">
        <f>IFERROR(__xludf.DUMMYFUNCTION("""COMPUTED_VALUE"""),"Uncle Sams Cider (5/13/2022)")</f>
        <v>Uncle Sams Cider (5/13/2022)</v>
      </c>
      <c r="H6157" s="19"/>
    </row>
    <row r="6158">
      <c r="A6158" s="9"/>
      <c r="B6158" s="15"/>
      <c r="C6158" s="9">
        <f>IFERROR(__xludf.DUMMYFUNCTION("""COMPUTED_VALUE"""),44732.4175301273)</f>
        <v>44732.41753</v>
      </c>
      <c r="D6158" s="15">
        <f>IFERROR(__xludf.DUMMYFUNCTION("""COMPUTED_VALUE"""),1.005)</f>
        <v>1.005</v>
      </c>
      <c r="E6158" s="16">
        <f>IFERROR(__xludf.DUMMYFUNCTION("""COMPUTED_VALUE"""),69.0)</f>
        <v>69</v>
      </c>
      <c r="F6158" s="19" t="str">
        <f>IFERROR(__xludf.DUMMYFUNCTION("""COMPUTED_VALUE"""),"BLACK")</f>
        <v>BLACK</v>
      </c>
      <c r="G6158" s="20" t="str">
        <f>IFERROR(__xludf.DUMMYFUNCTION("""COMPUTED_VALUE"""),"Uncle Sams Cider (5/13/2022)")</f>
        <v>Uncle Sams Cider (5/13/2022)</v>
      </c>
      <c r="H6158" s="19"/>
    </row>
    <row r="6159">
      <c r="A6159" s="9"/>
      <c r="B6159" s="15"/>
      <c r="C6159" s="9">
        <f>IFERROR(__xludf.DUMMYFUNCTION("""COMPUTED_VALUE"""),44732.4071093171)</f>
        <v>44732.40711</v>
      </c>
      <c r="D6159" s="15">
        <f>IFERROR(__xludf.DUMMYFUNCTION("""COMPUTED_VALUE"""),1.005)</f>
        <v>1.005</v>
      </c>
      <c r="E6159" s="16">
        <f>IFERROR(__xludf.DUMMYFUNCTION("""COMPUTED_VALUE"""),69.0)</f>
        <v>69</v>
      </c>
      <c r="F6159" s="19" t="str">
        <f>IFERROR(__xludf.DUMMYFUNCTION("""COMPUTED_VALUE"""),"BLACK")</f>
        <v>BLACK</v>
      </c>
      <c r="G6159" s="20" t="str">
        <f>IFERROR(__xludf.DUMMYFUNCTION("""COMPUTED_VALUE"""),"Uncle Sams Cider (5/13/2022)")</f>
        <v>Uncle Sams Cider (5/13/2022)</v>
      </c>
      <c r="H6159" s="19"/>
    </row>
    <row r="6160">
      <c r="A6160" s="9"/>
      <c r="B6160" s="15"/>
      <c r="C6160" s="9">
        <f>IFERROR(__xludf.DUMMYFUNCTION("""COMPUTED_VALUE"""),44732.3966900925)</f>
        <v>44732.39669</v>
      </c>
      <c r="D6160" s="15">
        <f>IFERROR(__xludf.DUMMYFUNCTION("""COMPUTED_VALUE"""),1.005)</f>
        <v>1.005</v>
      </c>
      <c r="E6160" s="16">
        <f>IFERROR(__xludf.DUMMYFUNCTION("""COMPUTED_VALUE"""),69.0)</f>
        <v>69</v>
      </c>
      <c r="F6160" s="19" t="str">
        <f>IFERROR(__xludf.DUMMYFUNCTION("""COMPUTED_VALUE"""),"BLACK")</f>
        <v>BLACK</v>
      </c>
      <c r="G6160" s="20" t="str">
        <f>IFERROR(__xludf.DUMMYFUNCTION("""COMPUTED_VALUE"""),"Uncle Sams Cider (5/13/2022)")</f>
        <v>Uncle Sams Cider (5/13/2022)</v>
      </c>
      <c r="H6160" s="19"/>
    </row>
    <row r="6161">
      <c r="A6161" s="9"/>
      <c r="B6161" s="15"/>
      <c r="C6161" s="9">
        <f>IFERROR(__xludf.DUMMYFUNCTION("""COMPUTED_VALUE"""),44732.3862566666)</f>
        <v>44732.38626</v>
      </c>
      <c r="D6161" s="15">
        <f>IFERROR(__xludf.DUMMYFUNCTION("""COMPUTED_VALUE"""),1.005)</f>
        <v>1.005</v>
      </c>
      <c r="E6161" s="16">
        <f>IFERROR(__xludf.DUMMYFUNCTION("""COMPUTED_VALUE"""),69.0)</f>
        <v>69</v>
      </c>
      <c r="F6161" s="19" t="str">
        <f>IFERROR(__xludf.DUMMYFUNCTION("""COMPUTED_VALUE"""),"BLACK")</f>
        <v>BLACK</v>
      </c>
      <c r="G6161" s="20" t="str">
        <f>IFERROR(__xludf.DUMMYFUNCTION("""COMPUTED_VALUE"""),"Uncle Sams Cider (5/13/2022)")</f>
        <v>Uncle Sams Cider (5/13/2022)</v>
      </c>
      <c r="H6161" s="19"/>
    </row>
    <row r="6162">
      <c r="A6162" s="9"/>
      <c r="B6162" s="15"/>
      <c r="C6162" s="9">
        <f>IFERROR(__xludf.DUMMYFUNCTION("""COMPUTED_VALUE"""),44732.3758371759)</f>
        <v>44732.37584</v>
      </c>
      <c r="D6162" s="15">
        <f>IFERROR(__xludf.DUMMYFUNCTION("""COMPUTED_VALUE"""),1.005)</f>
        <v>1.005</v>
      </c>
      <c r="E6162" s="16">
        <f>IFERROR(__xludf.DUMMYFUNCTION("""COMPUTED_VALUE"""),69.0)</f>
        <v>69</v>
      </c>
      <c r="F6162" s="19" t="str">
        <f>IFERROR(__xludf.DUMMYFUNCTION("""COMPUTED_VALUE"""),"BLACK")</f>
        <v>BLACK</v>
      </c>
      <c r="G6162" s="20" t="str">
        <f>IFERROR(__xludf.DUMMYFUNCTION("""COMPUTED_VALUE"""),"Uncle Sams Cider (5/13/2022)")</f>
        <v>Uncle Sams Cider (5/13/2022)</v>
      </c>
      <c r="H6162" s="19"/>
    </row>
    <row r="6163">
      <c r="A6163" s="9"/>
      <c r="B6163" s="15"/>
      <c r="C6163" s="9">
        <f>IFERROR(__xludf.DUMMYFUNCTION("""COMPUTED_VALUE"""),44732.3654169097)</f>
        <v>44732.36542</v>
      </c>
      <c r="D6163" s="15">
        <f>IFERROR(__xludf.DUMMYFUNCTION("""COMPUTED_VALUE"""),1.005)</f>
        <v>1.005</v>
      </c>
      <c r="E6163" s="16">
        <f>IFERROR(__xludf.DUMMYFUNCTION("""COMPUTED_VALUE"""),69.0)</f>
        <v>69</v>
      </c>
      <c r="F6163" s="19" t="str">
        <f>IFERROR(__xludf.DUMMYFUNCTION("""COMPUTED_VALUE"""),"BLACK")</f>
        <v>BLACK</v>
      </c>
      <c r="G6163" s="20" t="str">
        <f>IFERROR(__xludf.DUMMYFUNCTION("""COMPUTED_VALUE"""),"Uncle Sams Cider (5/13/2022)")</f>
        <v>Uncle Sams Cider (5/13/2022)</v>
      </c>
      <c r="H6163" s="19"/>
    </row>
    <row r="6164">
      <c r="A6164" s="9"/>
      <c r="B6164" s="15"/>
      <c r="C6164" s="9">
        <f>IFERROR(__xludf.DUMMYFUNCTION("""COMPUTED_VALUE"""),44732.3549945601)</f>
        <v>44732.35499</v>
      </c>
      <c r="D6164" s="15">
        <f>IFERROR(__xludf.DUMMYFUNCTION("""COMPUTED_VALUE"""),1.005)</f>
        <v>1.005</v>
      </c>
      <c r="E6164" s="16">
        <f>IFERROR(__xludf.DUMMYFUNCTION("""COMPUTED_VALUE"""),69.0)</f>
        <v>69</v>
      </c>
      <c r="F6164" s="19" t="str">
        <f>IFERROR(__xludf.DUMMYFUNCTION("""COMPUTED_VALUE"""),"BLACK")</f>
        <v>BLACK</v>
      </c>
      <c r="G6164" s="20" t="str">
        <f>IFERROR(__xludf.DUMMYFUNCTION("""COMPUTED_VALUE"""),"Uncle Sams Cider (5/13/2022)")</f>
        <v>Uncle Sams Cider (5/13/2022)</v>
      </c>
      <c r="H6164" s="19"/>
    </row>
    <row r="6165">
      <c r="A6165" s="9"/>
      <c r="B6165" s="15"/>
      <c r="C6165" s="9">
        <f>IFERROR(__xludf.DUMMYFUNCTION("""COMPUTED_VALUE"""),44732.3445736689)</f>
        <v>44732.34457</v>
      </c>
      <c r="D6165" s="15">
        <f>IFERROR(__xludf.DUMMYFUNCTION("""COMPUTED_VALUE"""),1.005)</f>
        <v>1.005</v>
      </c>
      <c r="E6165" s="16">
        <f>IFERROR(__xludf.DUMMYFUNCTION("""COMPUTED_VALUE"""),69.0)</f>
        <v>69</v>
      </c>
      <c r="F6165" s="19" t="str">
        <f>IFERROR(__xludf.DUMMYFUNCTION("""COMPUTED_VALUE"""),"BLACK")</f>
        <v>BLACK</v>
      </c>
      <c r="G6165" s="20" t="str">
        <f>IFERROR(__xludf.DUMMYFUNCTION("""COMPUTED_VALUE"""),"Uncle Sams Cider (5/13/2022)")</f>
        <v>Uncle Sams Cider (5/13/2022)</v>
      </c>
      <c r="H6165" s="19"/>
    </row>
    <row r="6166">
      <c r="A6166" s="9"/>
      <c r="B6166" s="15"/>
      <c r="C6166" s="9">
        <f>IFERROR(__xludf.DUMMYFUNCTION("""COMPUTED_VALUE"""),44732.3341534259)</f>
        <v>44732.33415</v>
      </c>
      <c r="D6166" s="15">
        <f>IFERROR(__xludf.DUMMYFUNCTION("""COMPUTED_VALUE"""),1.005)</f>
        <v>1.005</v>
      </c>
      <c r="E6166" s="16">
        <f>IFERROR(__xludf.DUMMYFUNCTION("""COMPUTED_VALUE"""),69.0)</f>
        <v>69</v>
      </c>
      <c r="F6166" s="19" t="str">
        <f>IFERROR(__xludf.DUMMYFUNCTION("""COMPUTED_VALUE"""),"BLACK")</f>
        <v>BLACK</v>
      </c>
      <c r="G6166" s="20" t="str">
        <f>IFERROR(__xludf.DUMMYFUNCTION("""COMPUTED_VALUE"""),"Uncle Sams Cider (5/13/2022)")</f>
        <v>Uncle Sams Cider (5/13/2022)</v>
      </c>
      <c r="H6166" s="19"/>
    </row>
    <row r="6167">
      <c r="A6167" s="9"/>
      <c r="B6167" s="15"/>
      <c r="C6167" s="9">
        <f>IFERROR(__xludf.DUMMYFUNCTION("""COMPUTED_VALUE"""),44732.3237333333)</f>
        <v>44732.32373</v>
      </c>
      <c r="D6167" s="15">
        <f>IFERROR(__xludf.DUMMYFUNCTION("""COMPUTED_VALUE"""),1.005)</f>
        <v>1.005</v>
      </c>
      <c r="E6167" s="16">
        <f>IFERROR(__xludf.DUMMYFUNCTION("""COMPUTED_VALUE"""),69.0)</f>
        <v>69</v>
      </c>
      <c r="F6167" s="19" t="str">
        <f>IFERROR(__xludf.DUMMYFUNCTION("""COMPUTED_VALUE"""),"BLACK")</f>
        <v>BLACK</v>
      </c>
      <c r="G6167" s="20" t="str">
        <f>IFERROR(__xludf.DUMMYFUNCTION("""COMPUTED_VALUE"""),"Uncle Sams Cider (5/13/2022)")</f>
        <v>Uncle Sams Cider (5/13/2022)</v>
      </c>
      <c r="H6167" s="19"/>
    </row>
    <row r="6168">
      <c r="A6168" s="9"/>
      <c r="B6168" s="15"/>
      <c r="C6168" s="9">
        <f>IFERROR(__xludf.DUMMYFUNCTION("""COMPUTED_VALUE"""),44732.3133023495)</f>
        <v>44732.3133</v>
      </c>
      <c r="D6168" s="15">
        <f>IFERROR(__xludf.DUMMYFUNCTION("""COMPUTED_VALUE"""),1.005)</f>
        <v>1.005</v>
      </c>
      <c r="E6168" s="16">
        <f>IFERROR(__xludf.DUMMYFUNCTION("""COMPUTED_VALUE"""),69.0)</f>
        <v>69</v>
      </c>
      <c r="F6168" s="19" t="str">
        <f>IFERROR(__xludf.DUMMYFUNCTION("""COMPUTED_VALUE"""),"BLACK")</f>
        <v>BLACK</v>
      </c>
      <c r="G6168" s="20" t="str">
        <f>IFERROR(__xludf.DUMMYFUNCTION("""COMPUTED_VALUE"""),"Uncle Sams Cider (5/13/2022)")</f>
        <v>Uncle Sams Cider (5/13/2022)</v>
      </c>
      <c r="H6168" s="19"/>
    </row>
    <row r="6169">
      <c r="A6169" s="9"/>
      <c r="B6169" s="15"/>
      <c r="C6169" s="9">
        <f>IFERROR(__xludf.DUMMYFUNCTION("""COMPUTED_VALUE"""),44732.3028697453)</f>
        <v>44732.30287</v>
      </c>
      <c r="D6169" s="15">
        <f>IFERROR(__xludf.DUMMYFUNCTION("""COMPUTED_VALUE"""),1.005)</f>
        <v>1.005</v>
      </c>
      <c r="E6169" s="16">
        <f>IFERROR(__xludf.DUMMYFUNCTION("""COMPUTED_VALUE"""),69.0)</f>
        <v>69</v>
      </c>
      <c r="F6169" s="19" t="str">
        <f>IFERROR(__xludf.DUMMYFUNCTION("""COMPUTED_VALUE"""),"BLACK")</f>
        <v>BLACK</v>
      </c>
      <c r="G6169" s="20" t="str">
        <f>IFERROR(__xludf.DUMMYFUNCTION("""COMPUTED_VALUE"""),"Uncle Sams Cider (5/13/2022)")</f>
        <v>Uncle Sams Cider (5/13/2022)</v>
      </c>
      <c r="H6169" s="19"/>
    </row>
    <row r="6170">
      <c r="A6170" s="9"/>
      <c r="B6170" s="15"/>
      <c r="C6170" s="9">
        <f>IFERROR(__xludf.DUMMYFUNCTION("""COMPUTED_VALUE"""),44732.2924466203)</f>
        <v>44732.29245</v>
      </c>
      <c r="D6170" s="15">
        <f>IFERROR(__xludf.DUMMYFUNCTION("""COMPUTED_VALUE"""),1.005)</f>
        <v>1.005</v>
      </c>
      <c r="E6170" s="16">
        <f>IFERROR(__xludf.DUMMYFUNCTION("""COMPUTED_VALUE"""),69.0)</f>
        <v>69</v>
      </c>
      <c r="F6170" s="19" t="str">
        <f>IFERROR(__xludf.DUMMYFUNCTION("""COMPUTED_VALUE"""),"BLACK")</f>
        <v>BLACK</v>
      </c>
      <c r="G6170" s="20" t="str">
        <f>IFERROR(__xludf.DUMMYFUNCTION("""COMPUTED_VALUE"""),"Uncle Sams Cider (5/13/2022)")</f>
        <v>Uncle Sams Cider (5/13/2022)</v>
      </c>
      <c r="H6170" s="19"/>
    </row>
    <row r="6171">
      <c r="A6171" s="9"/>
      <c r="B6171" s="15"/>
      <c r="C6171" s="9">
        <f>IFERROR(__xludf.DUMMYFUNCTION("""COMPUTED_VALUE"""),44732.2820137152)</f>
        <v>44732.28201</v>
      </c>
      <c r="D6171" s="15">
        <f>IFERROR(__xludf.DUMMYFUNCTION("""COMPUTED_VALUE"""),1.005)</f>
        <v>1.005</v>
      </c>
      <c r="E6171" s="16">
        <f>IFERROR(__xludf.DUMMYFUNCTION("""COMPUTED_VALUE"""),69.0)</f>
        <v>69</v>
      </c>
      <c r="F6171" s="19" t="str">
        <f>IFERROR(__xludf.DUMMYFUNCTION("""COMPUTED_VALUE"""),"BLACK")</f>
        <v>BLACK</v>
      </c>
      <c r="G6171" s="20" t="str">
        <f>IFERROR(__xludf.DUMMYFUNCTION("""COMPUTED_VALUE"""),"Uncle Sams Cider (5/13/2022)")</f>
        <v>Uncle Sams Cider (5/13/2022)</v>
      </c>
      <c r="H6171" s="19"/>
    </row>
    <row r="6172">
      <c r="A6172" s="9"/>
      <c r="B6172" s="15"/>
      <c r="C6172" s="9">
        <f>IFERROR(__xludf.DUMMYFUNCTION("""COMPUTED_VALUE"""),44732.2715923379)</f>
        <v>44732.27159</v>
      </c>
      <c r="D6172" s="15">
        <f>IFERROR(__xludf.DUMMYFUNCTION("""COMPUTED_VALUE"""),1.005)</f>
        <v>1.005</v>
      </c>
      <c r="E6172" s="16">
        <f>IFERROR(__xludf.DUMMYFUNCTION("""COMPUTED_VALUE"""),69.0)</f>
        <v>69</v>
      </c>
      <c r="F6172" s="19" t="str">
        <f>IFERROR(__xludf.DUMMYFUNCTION("""COMPUTED_VALUE"""),"BLACK")</f>
        <v>BLACK</v>
      </c>
      <c r="G6172" s="20" t="str">
        <f>IFERROR(__xludf.DUMMYFUNCTION("""COMPUTED_VALUE"""),"Uncle Sams Cider (5/13/2022)")</f>
        <v>Uncle Sams Cider (5/13/2022)</v>
      </c>
      <c r="H6172" s="19"/>
    </row>
    <row r="6173">
      <c r="A6173" s="9"/>
      <c r="B6173" s="15"/>
      <c r="C6173" s="9">
        <f>IFERROR(__xludf.DUMMYFUNCTION("""COMPUTED_VALUE"""),44732.2611715046)</f>
        <v>44732.26117</v>
      </c>
      <c r="D6173" s="15">
        <f>IFERROR(__xludf.DUMMYFUNCTION("""COMPUTED_VALUE"""),1.005)</f>
        <v>1.005</v>
      </c>
      <c r="E6173" s="16">
        <f>IFERROR(__xludf.DUMMYFUNCTION("""COMPUTED_VALUE"""),69.0)</f>
        <v>69</v>
      </c>
      <c r="F6173" s="19" t="str">
        <f>IFERROR(__xludf.DUMMYFUNCTION("""COMPUTED_VALUE"""),"BLACK")</f>
        <v>BLACK</v>
      </c>
      <c r="G6173" s="20" t="str">
        <f>IFERROR(__xludf.DUMMYFUNCTION("""COMPUTED_VALUE"""),"Uncle Sams Cider (5/13/2022)")</f>
        <v>Uncle Sams Cider (5/13/2022)</v>
      </c>
      <c r="H6173" s="19"/>
    </row>
    <row r="6174">
      <c r="A6174" s="9"/>
      <c r="B6174" s="15"/>
      <c r="C6174" s="9">
        <f>IFERROR(__xludf.DUMMYFUNCTION("""COMPUTED_VALUE"""),44732.250750405)</f>
        <v>44732.25075</v>
      </c>
      <c r="D6174" s="15">
        <f>IFERROR(__xludf.DUMMYFUNCTION("""COMPUTED_VALUE"""),1.006)</f>
        <v>1.006</v>
      </c>
      <c r="E6174" s="16">
        <f>IFERROR(__xludf.DUMMYFUNCTION("""COMPUTED_VALUE"""),69.0)</f>
        <v>69</v>
      </c>
      <c r="F6174" s="19" t="str">
        <f>IFERROR(__xludf.DUMMYFUNCTION("""COMPUTED_VALUE"""),"BLACK")</f>
        <v>BLACK</v>
      </c>
      <c r="G6174" s="20" t="str">
        <f>IFERROR(__xludf.DUMMYFUNCTION("""COMPUTED_VALUE"""),"Uncle Sams Cider (5/13/2022)")</f>
        <v>Uncle Sams Cider (5/13/2022)</v>
      </c>
      <c r="H6174" s="19"/>
    </row>
    <row r="6175">
      <c r="A6175" s="9"/>
      <c r="B6175" s="15"/>
      <c r="C6175" s="9">
        <f>IFERROR(__xludf.DUMMYFUNCTION("""COMPUTED_VALUE"""),44732.2403172569)</f>
        <v>44732.24032</v>
      </c>
      <c r="D6175" s="15">
        <f>IFERROR(__xludf.DUMMYFUNCTION("""COMPUTED_VALUE"""),1.005)</f>
        <v>1.005</v>
      </c>
      <c r="E6175" s="16">
        <f>IFERROR(__xludf.DUMMYFUNCTION("""COMPUTED_VALUE"""),69.0)</f>
        <v>69</v>
      </c>
      <c r="F6175" s="19" t="str">
        <f>IFERROR(__xludf.DUMMYFUNCTION("""COMPUTED_VALUE"""),"BLACK")</f>
        <v>BLACK</v>
      </c>
      <c r="G6175" s="20" t="str">
        <f>IFERROR(__xludf.DUMMYFUNCTION("""COMPUTED_VALUE"""),"Uncle Sams Cider (5/13/2022)")</f>
        <v>Uncle Sams Cider (5/13/2022)</v>
      </c>
      <c r="H6175" s="19"/>
    </row>
    <row r="6176">
      <c r="A6176" s="9"/>
      <c r="B6176" s="15"/>
      <c r="C6176" s="9">
        <f>IFERROR(__xludf.DUMMYFUNCTION("""COMPUTED_VALUE"""),44732.2298954051)</f>
        <v>44732.2299</v>
      </c>
      <c r="D6176" s="15">
        <f>IFERROR(__xludf.DUMMYFUNCTION("""COMPUTED_VALUE"""),1.005)</f>
        <v>1.005</v>
      </c>
      <c r="E6176" s="16">
        <f>IFERROR(__xludf.DUMMYFUNCTION("""COMPUTED_VALUE"""),69.0)</f>
        <v>69</v>
      </c>
      <c r="F6176" s="19" t="str">
        <f>IFERROR(__xludf.DUMMYFUNCTION("""COMPUTED_VALUE"""),"BLACK")</f>
        <v>BLACK</v>
      </c>
      <c r="G6176" s="20" t="str">
        <f>IFERROR(__xludf.DUMMYFUNCTION("""COMPUTED_VALUE"""),"Uncle Sams Cider (5/13/2022)")</f>
        <v>Uncle Sams Cider (5/13/2022)</v>
      </c>
      <c r="H6176" s="19"/>
    </row>
    <row r="6177">
      <c r="A6177" s="9"/>
      <c r="B6177" s="15"/>
      <c r="C6177" s="9">
        <f>IFERROR(__xludf.DUMMYFUNCTION("""COMPUTED_VALUE"""),44732.2194728356)</f>
        <v>44732.21947</v>
      </c>
      <c r="D6177" s="15">
        <f>IFERROR(__xludf.DUMMYFUNCTION("""COMPUTED_VALUE"""),1.005)</f>
        <v>1.005</v>
      </c>
      <c r="E6177" s="16">
        <f>IFERROR(__xludf.DUMMYFUNCTION("""COMPUTED_VALUE"""),69.0)</f>
        <v>69</v>
      </c>
      <c r="F6177" s="19" t="str">
        <f>IFERROR(__xludf.DUMMYFUNCTION("""COMPUTED_VALUE"""),"BLACK")</f>
        <v>BLACK</v>
      </c>
      <c r="G6177" s="20" t="str">
        <f>IFERROR(__xludf.DUMMYFUNCTION("""COMPUTED_VALUE"""),"Uncle Sams Cider (5/13/2022)")</f>
        <v>Uncle Sams Cider (5/13/2022)</v>
      </c>
      <c r="H6177" s="19"/>
    </row>
    <row r="6178">
      <c r="A6178" s="9"/>
      <c r="B6178" s="15"/>
      <c r="C6178" s="9">
        <f>IFERROR(__xludf.DUMMYFUNCTION("""COMPUTED_VALUE"""),44732.2090387384)</f>
        <v>44732.20904</v>
      </c>
      <c r="D6178" s="15">
        <f>IFERROR(__xludf.DUMMYFUNCTION("""COMPUTED_VALUE"""),1.005)</f>
        <v>1.005</v>
      </c>
      <c r="E6178" s="16">
        <f>IFERROR(__xludf.DUMMYFUNCTION("""COMPUTED_VALUE"""),69.0)</f>
        <v>69</v>
      </c>
      <c r="F6178" s="19" t="str">
        <f>IFERROR(__xludf.DUMMYFUNCTION("""COMPUTED_VALUE"""),"BLACK")</f>
        <v>BLACK</v>
      </c>
      <c r="G6178" s="20" t="str">
        <f>IFERROR(__xludf.DUMMYFUNCTION("""COMPUTED_VALUE"""),"Uncle Sams Cider (5/13/2022)")</f>
        <v>Uncle Sams Cider (5/13/2022)</v>
      </c>
      <c r="H6178" s="19"/>
    </row>
    <row r="6179">
      <c r="A6179" s="9"/>
      <c r="B6179" s="15"/>
      <c r="C6179" s="9">
        <f>IFERROR(__xludf.DUMMYFUNCTION("""COMPUTED_VALUE"""),44732.1986181018)</f>
        <v>44732.19862</v>
      </c>
      <c r="D6179" s="15">
        <f>IFERROR(__xludf.DUMMYFUNCTION("""COMPUTED_VALUE"""),1.005)</f>
        <v>1.005</v>
      </c>
      <c r="E6179" s="16">
        <f>IFERROR(__xludf.DUMMYFUNCTION("""COMPUTED_VALUE"""),69.0)</f>
        <v>69</v>
      </c>
      <c r="F6179" s="19" t="str">
        <f>IFERROR(__xludf.DUMMYFUNCTION("""COMPUTED_VALUE"""),"BLACK")</f>
        <v>BLACK</v>
      </c>
      <c r="G6179" s="20" t="str">
        <f>IFERROR(__xludf.DUMMYFUNCTION("""COMPUTED_VALUE"""),"Uncle Sams Cider (5/13/2022)")</f>
        <v>Uncle Sams Cider (5/13/2022)</v>
      </c>
      <c r="H6179" s="19"/>
    </row>
    <row r="6180">
      <c r="A6180" s="9"/>
      <c r="B6180" s="15"/>
      <c r="C6180" s="9">
        <f>IFERROR(__xludf.DUMMYFUNCTION("""COMPUTED_VALUE"""),44732.1881959375)</f>
        <v>44732.1882</v>
      </c>
      <c r="D6180" s="15">
        <f>IFERROR(__xludf.DUMMYFUNCTION("""COMPUTED_VALUE"""),1.005)</f>
        <v>1.005</v>
      </c>
      <c r="E6180" s="16">
        <f>IFERROR(__xludf.DUMMYFUNCTION("""COMPUTED_VALUE"""),69.0)</f>
        <v>69</v>
      </c>
      <c r="F6180" s="19" t="str">
        <f>IFERROR(__xludf.DUMMYFUNCTION("""COMPUTED_VALUE"""),"BLACK")</f>
        <v>BLACK</v>
      </c>
      <c r="G6180" s="20" t="str">
        <f>IFERROR(__xludf.DUMMYFUNCTION("""COMPUTED_VALUE"""),"Uncle Sams Cider (5/13/2022)")</f>
        <v>Uncle Sams Cider (5/13/2022)</v>
      </c>
      <c r="H6180" s="19"/>
    </row>
    <row r="6181">
      <c r="A6181" s="9"/>
      <c r="B6181" s="15"/>
      <c r="C6181" s="9">
        <f>IFERROR(__xludf.DUMMYFUNCTION("""COMPUTED_VALUE"""),44732.1777746296)</f>
        <v>44732.17777</v>
      </c>
      <c r="D6181" s="15">
        <f>IFERROR(__xludf.DUMMYFUNCTION("""COMPUTED_VALUE"""),1.005)</f>
        <v>1.005</v>
      </c>
      <c r="E6181" s="16">
        <f>IFERROR(__xludf.DUMMYFUNCTION("""COMPUTED_VALUE"""),69.0)</f>
        <v>69</v>
      </c>
      <c r="F6181" s="19" t="str">
        <f>IFERROR(__xludf.DUMMYFUNCTION("""COMPUTED_VALUE"""),"BLACK")</f>
        <v>BLACK</v>
      </c>
      <c r="G6181" s="20" t="str">
        <f>IFERROR(__xludf.DUMMYFUNCTION("""COMPUTED_VALUE"""),"Uncle Sams Cider (5/13/2022)")</f>
        <v>Uncle Sams Cider (5/13/2022)</v>
      </c>
      <c r="H6181" s="19"/>
    </row>
    <row r="6182">
      <c r="A6182" s="9"/>
      <c r="B6182" s="15"/>
      <c r="C6182" s="9">
        <f>IFERROR(__xludf.DUMMYFUNCTION("""COMPUTED_VALUE"""),44732.167354074)</f>
        <v>44732.16735</v>
      </c>
      <c r="D6182" s="15">
        <f>IFERROR(__xludf.DUMMYFUNCTION("""COMPUTED_VALUE"""),1.005)</f>
        <v>1.005</v>
      </c>
      <c r="E6182" s="16">
        <f>IFERROR(__xludf.DUMMYFUNCTION("""COMPUTED_VALUE"""),69.0)</f>
        <v>69</v>
      </c>
      <c r="F6182" s="19" t="str">
        <f>IFERROR(__xludf.DUMMYFUNCTION("""COMPUTED_VALUE"""),"BLACK")</f>
        <v>BLACK</v>
      </c>
      <c r="G6182" s="20" t="str">
        <f>IFERROR(__xludf.DUMMYFUNCTION("""COMPUTED_VALUE"""),"Uncle Sams Cider (5/13/2022)")</f>
        <v>Uncle Sams Cider (5/13/2022)</v>
      </c>
      <c r="H6182" s="19"/>
    </row>
    <row r="6183">
      <c r="A6183" s="9"/>
      <c r="B6183" s="15"/>
      <c r="C6183" s="9">
        <f>IFERROR(__xludf.DUMMYFUNCTION("""COMPUTED_VALUE"""),44732.1569232523)</f>
        <v>44732.15692</v>
      </c>
      <c r="D6183" s="15">
        <f>IFERROR(__xludf.DUMMYFUNCTION("""COMPUTED_VALUE"""),1.005)</f>
        <v>1.005</v>
      </c>
      <c r="E6183" s="16">
        <f>IFERROR(__xludf.DUMMYFUNCTION("""COMPUTED_VALUE"""),69.0)</f>
        <v>69</v>
      </c>
      <c r="F6183" s="19" t="str">
        <f>IFERROR(__xludf.DUMMYFUNCTION("""COMPUTED_VALUE"""),"BLACK")</f>
        <v>BLACK</v>
      </c>
      <c r="G6183" s="20" t="str">
        <f>IFERROR(__xludf.DUMMYFUNCTION("""COMPUTED_VALUE"""),"Uncle Sams Cider (5/13/2022)")</f>
        <v>Uncle Sams Cider (5/13/2022)</v>
      </c>
      <c r="H6183" s="19"/>
    </row>
    <row r="6184">
      <c r="A6184" s="9"/>
      <c r="B6184" s="15"/>
      <c r="C6184" s="9">
        <f>IFERROR(__xludf.DUMMYFUNCTION("""COMPUTED_VALUE"""),44732.1465022338)</f>
        <v>44732.1465</v>
      </c>
      <c r="D6184" s="15">
        <f>IFERROR(__xludf.DUMMYFUNCTION("""COMPUTED_VALUE"""),1.005)</f>
        <v>1.005</v>
      </c>
      <c r="E6184" s="16">
        <f>IFERROR(__xludf.DUMMYFUNCTION("""COMPUTED_VALUE"""),69.0)</f>
        <v>69</v>
      </c>
      <c r="F6184" s="19" t="str">
        <f>IFERROR(__xludf.DUMMYFUNCTION("""COMPUTED_VALUE"""),"BLACK")</f>
        <v>BLACK</v>
      </c>
      <c r="G6184" s="20" t="str">
        <f>IFERROR(__xludf.DUMMYFUNCTION("""COMPUTED_VALUE"""),"Uncle Sams Cider (5/13/2022)")</f>
        <v>Uncle Sams Cider (5/13/2022)</v>
      </c>
      <c r="H6184" s="19"/>
    </row>
    <row r="6185">
      <c r="A6185" s="9"/>
      <c r="B6185" s="15"/>
      <c r="C6185" s="9">
        <f>IFERROR(__xludf.DUMMYFUNCTION("""COMPUTED_VALUE"""),44732.1360819791)</f>
        <v>44732.13608</v>
      </c>
      <c r="D6185" s="15">
        <f>IFERROR(__xludf.DUMMYFUNCTION("""COMPUTED_VALUE"""),1.005)</f>
        <v>1.005</v>
      </c>
      <c r="E6185" s="16">
        <f>IFERROR(__xludf.DUMMYFUNCTION("""COMPUTED_VALUE"""),69.0)</f>
        <v>69</v>
      </c>
      <c r="F6185" s="19" t="str">
        <f>IFERROR(__xludf.DUMMYFUNCTION("""COMPUTED_VALUE"""),"BLACK")</f>
        <v>BLACK</v>
      </c>
      <c r="G6185" s="20" t="str">
        <f>IFERROR(__xludf.DUMMYFUNCTION("""COMPUTED_VALUE"""),"Uncle Sams Cider (5/13/2022)")</f>
        <v>Uncle Sams Cider (5/13/2022)</v>
      </c>
      <c r="H6185" s="19"/>
    </row>
    <row r="6186">
      <c r="A6186" s="9"/>
      <c r="B6186" s="15"/>
      <c r="C6186" s="9">
        <f>IFERROR(__xludf.DUMMYFUNCTION("""COMPUTED_VALUE"""),44732.1256477546)</f>
        <v>44732.12565</v>
      </c>
      <c r="D6186" s="15">
        <f>IFERROR(__xludf.DUMMYFUNCTION("""COMPUTED_VALUE"""),1.005)</f>
        <v>1.005</v>
      </c>
      <c r="E6186" s="16">
        <f>IFERROR(__xludf.DUMMYFUNCTION("""COMPUTED_VALUE"""),69.0)</f>
        <v>69</v>
      </c>
      <c r="F6186" s="19" t="str">
        <f>IFERROR(__xludf.DUMMYFUNCTION("""COMPUTED_VALUE"""),"BLACK")</f>
        <v>BLACK</v>
      </c>
      <c r="G6186" s="20" t="str">
        <f>IFERROR(__xludf.DUMMYFUNCTION("""COMPUTED_VALUE"""),"Uncle Sams Cider (5/13/2022)")</f>
        <v>Uncle Sams Cider (5/13/2022)</v>
      </c>
      <c r="H6186" s="19"/>
    </row>
    <row r="6187">
      <c r="A6187" s="9"/>
      <c r="B6187" s="15"/>
      <c r="C6187" s="9">
        <f>IFERROR(__xludf.DUMMYFUNCTION("""COMPUTED_VALUE"""),44732.1152250231)</f>
        <v>44732.11523</v>
      </c>
      <c r="D6187" s="15">
        <f>IFERROR(__xludf.DUMMYFUNCTION("""COMPUTED_VALUE"""),1.005)</f>
        <v>1.005</v>
      </c>
      <c r="E6187" s="16">
        <f>IFERROR(__xludf.DUMMYFUNCTION("""COMPUTED_VALUE"""),69.0)</f>
        <v>69</v>
      </c>
      <c r="F6187" s="19" t="str">
        <f>IFERROR(__xludf.DUMMYFUNCTION("""COMPUTED_VALUE"""),"BLACK")</f>
        <v>BLACK</v>
      </c>
      <c r="G6187" s="20" t="str">
        <f>IFERROR(__xludf.DUMMYFUNCTION("""COMPUTED_VALUE"""),"Uncle Sams Cider (5/13/2022)")</f>
        <v>Uncle Sams Cider (5/13/2022)</v>
      </c>
      <c r="H6187" s="19"/>
    </row>
    <row r="6188">
      <c r="A6188" s="9"/>
      <c r="B6188" s="15"/>
      <c r="C6188" s="9">
        <f>IFERROR(__xludf.DUMMYFUNCTION("""COMPUTED_VALUE"""),44732.1048039583)</f>
        <v>44732.1048</v>
      </c>
      <c r="D6188" s="15">
        <f>IFERROR(__xludf.DUMMYFUNCTION("""COMPUTED_VALUE"""),1.005)</f>
        <v>1.005</v>
      </c>
      <c r="E6188" s="16">
        <f>IFERROR(__xludf.DUMMYFUNCTION("""COMPUTED_VALUE"""),69.0)</f>
        <v>69</v>
      </c>
      <c r="F6188" s="19" t="str">
        <f>IFERROR(__xludf.DUMMYFUNCTION("""COMPUTED_VALUE"""),"BLACK")</f>
        <v>BLACK</v>
      </c>
      <c r="G6188" s="20" t="str">
        <f>IFERROR(__xludf.DUMMYFUNCTION("""COMPUTED_VALUE"""),"Uncle Sams Cider (5/13/2022)")</f>
        <v>Uncle Sams Cider (5/13/2022)</v>
      </c>
      <c r="H6188" s="19"/>
    </row>
    <row r="6189">
      <c r="A6189" s="9"/>
      <c r="B6189" s="15"/>
      <c r="C6189" s="9">
        <f>IFERROR(__xludf.DUMMYFUNCTION("""COMPUTED_VALUE"""),44732.0943825)</f>
        <v>44732.09438</v>
      </c>
      <c r="D6189" s="15">
        <f>IFERROR(__xludf.DUMMYFUNCTION("""COMPUTED_VALUE"""),1.005)</f>
        <v>1.005</v>
      </c>
      <c r="E6189" s="16">
        <f>IFERROR(__xludf.DUMMYFUNCTION("""COMPUTED_VALUE"""),69.0)</f>
        <v>69</v>
      </c>
      <c r="F6189" s="19" t="str">
        <f>IFERROR(__xludf.DUMMYFUNCTION("""COMPUTED_VALUE"""),"BLACK")</f>
        <v>BLACK</v>
      </c>
      <c r="G6189" s="20" t="str">
        <f>IFERROR(__xludf.DUMMYFUNCTION("""COMPUTED_VALUE"""),"Uncle Sams Cider (5/13/2022)")</f>
        <v>Uncle Sams Cider (5/13/2022)</v>
      </c>
      <c r="H6189" s="19"/>
    </row>
    <row r="6190">
      <c r="A6190" s="9"/>
      <c r="B6190" s="15"/>
      <c r="C6190" s="9">
        <f>IFERROR(__xludf.DUMMYFUNCTION("""COMPUTED_VALUE"""),44732.083962199)</f>
        <v>44732.08396</v>
      </c>
      <c r="D6190" s="15">
        <f>IFERROR(__xludf.DUMMYFUNCTION("""COMPUTED_VALUE"""),1.005)</f>
        <v>1.005</v>
      </c>
      <c r="E6190" s="16">
        <f>IFERROR(__xludf.DUMMYFUNCTION("""COMPUTED_VALUE"""),69.0)</f>
        <v>69</v>
      </c>
      <c r="F6190" s="19" t="str">
        <f>IFERROR(__xludf.DUMMYFUNCTION("""COMPUTED_VALUE"""),"BLACK")</f>
        <v>BLACK</v>
      </c>
      <c r="G6190" s="20" t="str">
        <f>IFERROR(__xludf.DUMMYFUNCTION("""COMPUTED_VALUE"""),"Uncle Sams Cider (5/13/2022)")</f>
        <v>Uncle Sams Cider (5/13/2022)</v>
      </c>
      <c r="H6190" s="19"/>
    </row>
    <row r="6191">
      <c r="A6191" s="9"/>
      <c r="B6191" s="15"/>
      <c r="C6191" s="9">
        <f>IFERROR(__xludf.DUMMYFUNCTION("""COMPUTED_VALUE"""),44732.0735406944)</f>
        <v>44732.07354</v>
      </c>
      <c r="D6191" s="15">
        <f>IFERROR(__xludf.DUMMYFUNCTION("""COMPUTED_VALUE"""),1.006)</f>
        <v>1.006</v>
      </c>
      <c r="E6191" s="16">
        <f>IFERROR(__xludf.DUMMYFUNCTION("""COMPUTED_VALUE"""),69.0)</f>
        <v>69</v>
      </c>
      <c r="F6191" s="19" t="str">
        <f>IFERROR(__xludf.DUMMYFUNCTION("""COMPUTED_VALUE"""),"BLACK")</f>
        <v>BLACK</v>
      </c>
      <c r="G6191" s="20" t="str">
        <f>IFERROR(__xludf.DUMMYFUNCTION("""COMPUTED_VALUE"""),"Uncle Sams Cider (5/13/2022)")</f>
        <v>Uncle Sams Cider (5/13/2022)</v>
      </c>
      <c r="H6191" s="19"/>
    </row>
    <row r="6192">
      <c r="A6192" s="9"/>
      <c r="B6192" s="15"/>
      <c r="C6192" s="9">
        <f>IFERROR(__xludf.DUMMYFUNCTION("""COMPUTED_VALUE"""),44732.0631192129)</f>
        <v>44732.06312</v>
      </c>
      <c r="D6192" s="15">
        <f>IFERROR(__xludf.DUMMYFUNCTION("""COMPUTED_VALUE"""),1.005)</f>
        <v>1.005</v>
      </c>
      <c r="E6192" s="16">
        <f>IFERROR(__xludf.DUMMYFUNCTION("""COMPUTED_VALUE"""),69.0)</f>
        <v>69</v>
      </c>
      <c r="F6192" s="19" t="str">
        <f>IFERROR(__xludf.DUMMYFUNCTION("""COMPUTED_VALUE"""),"BLACK")</f>
        <v>BLACK</v>
      </c>
      <c r="G6192" s="20" t="str">
        <f>IFERROR(__xludf.DUMMYFUNCTION("""COMPUTED_VALUE"""),"Uncle Sams Cider (5/13/2022)")</f>
        <v>Uncle Sams Cider (5/13/2022)</v>
      </c>
      <c r="H6192" s="19"/>
    </row>
    <row r="6193">
      <c r="A6193" s="9"/>
      <c r="B6193" s="15"/>
      <c r="C6193" s="9">
        <f>IFERROR(__xludf.DUMMYFUNCTION("""COMPUTED_VALUE"""),44732.0526982754)</f>
        <v>44732.0527</v>
      </c>
      <c r="D6193" s="15">
        <f>IFERROR(__xludf.DUMMYFUNCTION("""COMPUTED_VALUE"""),1.005)</f>
        <v>1.005</v>
      </c>
      <c r="E6193" s="16">
        <f>IFERROR(__xludf.DUMMYFUNCTION("""COMPUTED_VALUE"""),69.0)</f>
        <v>69</v>
      </c>
      <c r="F6193" s="19" t="str">
        <f>IFERROR(__xludf.DUMMYFUNCTION("""COMPUTED_VALUE"""),"BLACK")</f>
        <v>BLACK</v>
      </c>
      <c r="G6193" s="20" t="str">
        <f>IFERROR(__xludf.DUMMYFUNCTION("""COMPUTED_VALUE"""),"Uncle Sams Cider (5/13/2022)")</f>
        <v>Uncle Sams Cider (5/13/2022)</v>
      </c>
      <c r="H6193" s="19"/>
    </row>
    <row r="6194">
      <c r="A6194" s="9"/>
      <c r="B6194" s="15"/>
      <c r="C6194" s="9">
        <f>IFERROR(__xludf.DUMMYFUNCTION("""COMPUTED_VALUE"""),44732.0422759606)</f>
        <v>44732.04228</v>
      </c>
      <c r="D6194" s="15">
        <f>IFERROR(__xludf.DUMMYFUNCTION("""COMPUTED_VALUE"""),1.005)</f>
        <v>1.005</v>
      </c>
      <c r="E6194" s="16">
        <f>IFERROR(__xludf.DUMMYFUNCTION("""COMPUTED_VALUE"""),69.0)</f>
        <v>69</v>
      </c>
      <c r="F6194" s="19" t="str">
        <f>IFERROR(__xludf.DUMMYFUNCTION("""COMPUTED_VALUE"""),"BLACK")</f>
        <v>BLACK</v>
      </c>
      <c r="G6194" s="20" t="str">
        <f>IFERROR(__xludf.DUMMYFUNCTION("""COMPUTED_VALUE"""),"Uncle Sams Cider (5/13/2022)")</f>
        <v>Uncle Sams Cider (5/13/2022)</v>
      </c>
      <c r="H6194" s="19"/>
    </row>
    <row r="6195">
      <c r="A6195" s="9"/>
      <c r="B6195" s="15"/>
      <c r="C6195" s="9">
        <f>IFERROR(__xludf.DUMMYFUNCTION("""COMPUTED_VALUE"""),44732.0318542824)</f>
        <v>44732.03185</v>
      </c>
      <c r="D6195" s="15">
        <f>IFERROR(__xludf.DUMMYFUNCTION("""COMPUTED_VALUE"""),1.005)</f>
        <v>1.005</v>
      </c>
      <c r="E6195" s="16">
        <f>IFERROR(__xludf.DUMMYFUNCTION("""COMPUTED_VALUE"""),69.0)</f>
        <v>69</v>
      </c>
      <c r="F6195" s="19" t="str">
        <f>IFERROR(__xludf.DUMMYFUNCTION("""COMPUTED_VALUE"""),"BLACK")</f>
        <v>BLACK</v>
      </c>
      <c r="G6195" s="20" t="str">
        <f>IFERROR(__xludf.DUMMYFUNCTION("""COMPUTED_VALUE"""),"Uncle Sams Cider (5/13/2022)")</f>
        <v>Uncle Sams Cider (5/13/2022)</v>
      </c>
      <c r="H6195" s="19"/>
    </row>
    <row r="6196">
      <c r="A6196" s="9"/>
      <c r="B6196" s="15"/>
      <c r="C6196" s="9">
        <f>IFERROR(__xludf.DUMMYFUNCTION("""COMPUTED_VALUE"""),44732.0214353819)</f>
        <v>44732.02144</v>
      </c>
      <c r="D6196" s="15">
        <f>IFERROR(__xludf.DUMMYFUNCTION("""COMPUTED_VALUE"""),1.005)</f>
        <v>1.005</v>
      </c>
      <c r="E6196" s="16">
        <f>IFERROR(__xludf.DUMMYFUNCTION("""COMPUTED_VALUE"""),69.0)</f>
        <v>69</v>
      </c>
      <c r="F6196" s="19" t="str">
        <f>IFERROR(__xludf.DUMMYFUNCTION("""COMPUTED_VALUE"""),"BLACK")</f>
        <v>BLACK</v>
      </c>
      <c r="G6196" s="20" t="str">
        <f>IFERROR(__xludf.DUMMYFUNCTION("""COMPUTED_VALUE"""),"Uncle Sams Cider (5/13/2022)")</f>
        <v>Uncle Sams Cider (5/13/2022)</v>
      </c>
      <c r="H6196" s="19"/>
    </row>
    <row r="6197">
      <c r="A6197" s="9"/>
      <c r="B6197" s="15"/>
      <c r="C6197" s="9">
        <f>IFERROR(__xludf.DUMMYFUNCTION("""COMPUTED_VALUE"""),44732.0110151504)</f>
        <v>44732.01102</v>
      </c>
      <c r="D6197" s="15">
        <f>IFERROR(__xludf.DUMMYFUNCTION("""COMPUTED_VALUE"""),1.005)</f>
        <v>1.005</v>
      </c>
      <c r="E6197" s="16">
        <f>IFERROR(__xludf.DUMMYFUNCTION("""COMPUTED_VALUE"""),69.0)</f>
        <v>69</v>
      </c>
      <c r="F6197" s="19" t="str">
        <f>IFERROR(__xludf.DUMMYFUNCTION("""COMPUTED_VALUE"""),"BLACK")</f>
        <v>BLACK</v>
      </c>
      <c r="G6197" s="20" t="str">
        <f>IFERROR(__xludf.DUMMYFUNCTION("""COMPUTED_VALUE"""),"Uncle Sams Cider (5/13/2022)")</f>
        <v>Uncle Sams Cider (5/13/2022)</v>
      </c>
      <c r="H6197" s="19"/>
    </row>
    <row r="6198">
      <c r="A6198" s="9"/>
      <c r="B6198" s="15"/>
      <c r="C6198" s="9">
        <f>IFERROR(__xludf.DUMMYFUNCTION("""COMPUTED_VALUE"""),44732.000592662)</f>
        <v>44732.00059</v>
      </c>
      <c r="D6198" s="15">
        <f>IFERROR(__xludf.DUMMYFUNCTION("""COMPUTED_VALUE"""),1.005)</f>
        <v>1.005</v>
      </c>
      <c r="E6198" s="16">
        <f>IFERROR(__xludf.DUMMYFUNCTION("""COMPUTED_VALUE"""),69.0)</f>
        <v>69</v>
      </c>
      <c r="F6198" s="19" t="str">
        <f>IFERROR(__xludf.DUMMYFUNCTION("""COMPUTED_VALUE"""),"BLACK")</f>
        <v>BLACK</v>
      </c>
      <c r="G6198" s="20" t="str">
        <f>IFERROR(__xludf.DUMMYFUNCTION("""COMPUTED_VALUE"""),"Uncle Sams Cider (5/13/2022)")</f>
        <v>Uncle Sams Cider (5/13/2022)</v>
      </c>
      <c r="H6198" s="19"/>
    </row>
    <row r="6199">
      <c r="A6199" s="9"/>
      <c r="B6199" s="15"/>
      <c r="C6199" s="9">
        <f>IFERROR(__xludf.DUMMYFUNCTION("""COMPUTED_VALUE"""),44731.9901715972)</f>
        <v>44731.99017</v>
      </c>
      <c r="D6199" s="15">
        <f>IFERROR(__xludf.DUMMYFUNCTION("""COMPUTED_VALUE"""),1.005)</f>
        <v>1.005</v>
      </c>
      <c r="E6199" s="16">
        <f>IFERROR(__xludf.DUMMYFUNCTION("""COMPUTED_VALUE"""),69.0)</f>
        <v>69</v>
      </c>
      <c r="F6199" s="19" t="str">
        <f>IFERROR(__xludf.DUMMYFUNCTION("""COMPUTED_VALUE"""),"BLACK")</f>
        <v>BLACK</v>
      </c>
      <c r="G6199" s="20" t="str">
        <f>IFERROR(__xludf.DUMMYFUNCTION("""COMPUTED_VALUE"""),"Uncle Sams Cider (5/13/2022)")</f>
        <v>Uncle Sams Cider (5/13/2022)</v>
      </c>
      <c r="H6199" s="19"/>
    </row>
    <row r="6200">
      <c r="A6200" s="9"/>
      <c r="B6200" s="15"/>
      <c r="C6200" s="9">
        <f>IFERROR(__xludf.DUMMYFUNCTION("""COMPUTED_VALUE"""),44731.9797498263)</f>
        <v>44731.97975</v>
      </c>
      <c r="D6200" s="15">
        <f>IFERROR(__xludf.DUMMYFUNCTION("""COMPUTED_VALUE"""),1.005)</f>
        <v>1.005</v>
      </c>
      <c r="E6200" s="16">
        <f>IFERROR(__xludf.DUMMYFUNCTION("""COMPUTED_VALUE"""),69.0)</f>
        <v>69</v>
      </c>
      <c r="F6200" s="19" t="str">
        <f>IFERROR(__xludf.DUMMYFUNCTION("""COMPUTED_VALUE"""),"BLACK")</f>
        <v>BLACK</v>
      </c>
      <c r="G6200" s="20" t="str">
        <f>IFERROR(__xludf.DUMMYFUNCTION("""COMPUTED_VALUE"""),"Uncle Sams Cider (5/13/2022)")</f>
        <v>Uncle Sams Cider (5/13/2022)</v>
      </c>
      <c r="H6200" s="19"/>
    </row>
    <row r="6201">
      <c r="A6201" s="9"/>
      <c r="B6201" s="15"/>
      <c r="C6201" s="9">
        <f>IFERROR(__xludf.DUMMYFUNCTION("""COMPUTED_VALUE"""),44731.9693283564)</f>
        <v>44731.96933</v>
      </c>
      <c r="D6201" s="15">
        <f>IFERROR(__xludf.DUMMYFUNCTION("""COMPUTED_VALUE"""),1.005)</f>
        <v>1.005</v>
      </c>
      <c r="E6201" s="16">
        <f>IFERROR(__xludf.DUMMYFUNCTION("""COMPUTED_VALUE"""),69.0)</f>
        <v>69</v>
      </c>
      <c r="F6201" s="19" t="str">
        <f>IFERROR(__xludf.DUMMYFUNCTION("""COMPUTED_VALUE"""),"BLACK")</f>
        <v>BLACK</v>
      </c>
      <c r="G6201" s="20" t="str">
        <f>IFERROR(__xludf.DUMMYFUNCTION("""COMPUTED_VALUE"""),"Uncle Sams Cider (5/13/2022)")</f>
        <v>Uncle Sams Cider (5/13/2022)</v>
      </c>
      <c r="H6201" s="19"/>
    </row>
    <row r="6202">
      <c r="A6202" s="9"/>
      <c r="B6202" s="15"/>
      <c r="C6202" s="9">
        <f>IFERROR(__xludf.DUMMYFUNCTION("""COMPUTED_VALUE"""),44731.9589059606)</f>
        <v>44731.95891</v>
      </c>
      <c r="D6202" s="15">
        <f>IFERROR(__xludf.DUMMYFUNCTION("""COMPUTED_VALUE"""),1.005)</f>
        <v>1.005</v>
      </c>
      <c r="E6202" s="16">
        <f>IFERROR(__xludf.DUMMYFUNCTION("""COMPUTED_VALUE"""),69.0)</f>
        <v>69</v>
      </c>
      <c r="F6202" s="19" t="str">
        <f>IFERROR(__xludf.DUMMYFUNCTION("""COMPUTED_VALUE"""),"BLACK")</f>
        <v>BLACK</v>
      </c>
      <c r="G6202" s="20" t="str">
        <f>IFERROR(__xludf.DUMMYFUNCTION("""COMPUTED_VALUE"""),"Uncle Sams Cider (5/13/2022)")</f>
        <v>Uncle Sams Cider (5/13/2022)</v>
      </c>
      <c r="H6202" s="19"/>
    </row>
    <row r="6203">
      <c r="A6203" s="9"/>
      <c r="B6203" s="15"/>
      <c r="C6203" s="9">
        <f>IFERROR(__xludf.DUMMYFUNCTION("""COMPUTED_VALUE"""),44731.9484838078)</f>
        <v>44731.94848</v>
      </c>
      <c r="D6203" s="15">
        <f>IFERROR(__xludf.DUMMYFUNCTION("""COMPUTED_VALUE"""),1.005)</f>
        <v>1.005</v>
      </c>
      <c r="E6203" s="16">
        <f>IFERROR(__xludf.DUMMYFUNCTION("""COMPUTED_VALUE"""),69.0)</f>
        <v>69</v>
      </c>
      <c r="F6203" s="19" t="str">
        <f>IFERROR(__xludf.DUMMYFUNCTION("""COMPUTED_VALUE"""),"BLACK")</f>
        <v>BLACK</v>
      </c>
      <c r="G6203" s="20" t="str">
        <f>IFERROR(__xludf.DUMMYFUNCTION("""COMPUTED_VALUE"""),"Uncle Sams Cider (5/13/2022)")</f>
        <v>Uncle Sams Cider (5/13/2022)</v>
      </c>
      <c r="H6203" s="19"/>
    </row>
    <row r="6204">
      <c r="A6204" s="9"/>
      <c r="B6204" s="15"/>
      <c r="C6204" s="9">
        <f>IFERROR(__xludf.DUMMYFUNCTION("""COMPUTED_VALUE"""),44731.9380645717)</f>
        <v>44731.93806</v>
      </c>
      <c r="D6204" s="15">
        <f>IFERROR(__xludf.DUMMYFUNCTION("""COMPUTED_VALUE"""),1.005)</f>
        <v>1.005</v>
      </c>
      <c r="E6204" s="16">
        <f>IFERROR(__xludf.DUMMYFUNCTION("""COMPUTED_VALUE"""),69.0)</f>
        <v>69</v>
      </c>
      <c r="F6204" s="19" t="str">
        <f>IFERROR(__xludf.DUMMYFUNCTION("""COMPUTED_VALUE"""),"BLACK")</f>
        <v>BLACK</v>
      </c>
      <c r="G6204" s="20" t="str">
        <f>IFERROR(__xludf.DUMMYFUNCTION("""COMPUTED_VALUE"""),"Uncle Sams Cider (5/13/2022)")</f>
        <v>Uncle Sams Cider (5/13/2022)</v>
      </c>
      <c r="H6204" s="19"/>
    </row>
    <row r="6205">
      <c r="A6205" s="9"/>
      <c r="B6205" s="15"/>
      <c r="C6205" s="9">
        <f>IFERROR(__xludf.DUMMYFUNCTION("""COMPUTED_VALUE"""),44731.927632118)</f>
        <v>44731.92763</v>
      </c>
      <c r="D6205" s="15">
        <f>IFERROR(__xludf.DUMMYFUNCTION("""COMPUTED_VALUE"""),1.005)</f>
        <v>1.005</v>
      </c>
      <c r="E6205" s="16">
        <f>IFERROR(__xludf.DUMMYFUNCTION("""COMPUTED_VALUE"""),68.0)</f>
        <v>68</v>
      </c>
      <c r="F6205" s="19" t="str">
        <f>IFERROR(__xludf.DUMMYFUNCTION("""COMPUTED_VALUE"""),"BLACK")</f>
        <v>BLACK</v>
      </c>
      <c r="G6205" s="20" t="str">
        <f>IFERROR(__xludf.DUMMYFUNCTION("""COMPUTED_VALUE"""),"Uncle Sams Cider (5/13/2022)")</f>
        <v>Uncle Sams Cider (5/13/2022)</v>
      </c>
      <c r="H6205" s="19"/>
    </row>
    <row r="6206">
      <c r="A6206" s="9"/>
      <c r="B6206" s="15"/>
      <c r="C6206" s="9">
        <f>IFERROR(__xludf.DUMMYFUNCTION("""COMPUTED_VALUE"""),44731.9171968865)</f>
        <v>44731.9172</v>
      </c>
      <c r="D6206" s="15">
        <f>IFERROR(__xludf.DUMMYFUNCTION("""COMPUTED_VALUE"""),1.005)</f>
        <v>1.005</v>
      </c>
      <c r="E6206" s="16">
        <f>IFERROR(__xludf.DUMMYFUNCTION("""COMPUTED_VALUE"""),68.0)</f>
        <v>68</v>
      </c>
      <c r="F6206" s="19" t="str">
        <f>IFERROR(__xludf.DUMMYFUNCTION("""COMPUTED_VALUE"""),"BLACK")</f>
        <v>BLACK</v>
      </c>
      <c r="G6206" s="20" t="str">
        <f>IFERROR(__xludf.DUMMYFUNCTION("""COMPUTED_VALUE"""),"Uncle Sams Cider (5/13/2022)")</f>
        <v>Uncle Sams Cider (5/13/2022)</v>
      </c>
      <c r="H6206" s="19"/>
    </row>
    <row r="6207">
      <c r="A6207" s="9"/>
      <c r="B6207" s="15"/>
      <c r="C6207" s="9">
        <f>IFERROR(__xludf.DUMMYFUNCTION("""COMPUTED_VALUE"""),44731.9067645949)</f>
        <v>44731.90676</v>
      </c>
      <c r="D6207" s="15">
        <f>IFERROR(__xludf.DUMMYFUNCTION("""COMPUTED_VALUE"""),1.005)</f>
        <v>1.005</v>
      </c>
      <c r="E6207" s="16">
        <f>IFERROR(__xludf.DUMMYFUNCTION("""COMPUTED_VALUE"""),69.0)</f>
        <v>69</v>
      </c>
      <c r="F6207" s="19" t="str">
        <f>IFERROR(__xludf.DUMMYFUNCTION("""COMPUTED_VALUE"""),"BLACK")</f>
        <v>BLACK</v>
      </c>
      <c r="G6207" s="20" t="str">
        <f>IFERROR(__xludf.DUMMYFUNCTION("""COMPUTED_VALUE"""),"Uncle Sams Cider (5/13/2022)")</f>
        <v>Uncle Sams Cider (5/13/2022)</v>
      </c>
      <c r="H6207" s="19"/>
    </row>
    <row r="6208">
      <c r="A6208" s="9"/>
      <c r="B6208" s="15"/>
      <c r="C6208" s="9">
        <f>IFERROR(__xludf.DUMMYFUNCTION("""COMPUTED_VALUE"""),44731.8963447106)</f>
        <v>44731.89634</v>
      </c>
      <c r="D6208" s="15">
        <f>IFERROR(__xludf.DUMMYFUNCTION("""COMPUTED_VALUE"""),1.005)</f>
        <v>1.005</v>
      </c>
      <c r="E6208" s="16">
        <f>IFERROR(__xludf.DUMMYFUNCTION("""COMPUTED_VALUE"""),68.0)</f>
        <v>68</v>
      </c>
      <c r="F6208" s="19" t="str">
        <f>IFERROR(__xludf.DUMMYFUNCTION("""COMPUTED_VALUE"""),"BLACK")</f>
        <v>BLACK</v>
      </c>
      <c r="G6208" s="20" t="str">
        <f>IFERROR(__xludf.DUMMYFUNCTION("""COMPUTED_VALUE"""),"Uncle Sams Cider (5/13/2022)")</f>
        <v>Uncle Sams Cider (5/13/2022)</v>
      </c>
      <c r="H6208" s="19"/>
    </row>
    <row r="6209">
      <c r="A6209" s="9"/>
      <c r="B6209" s="15"/>
      <c r="C6209" s="9">
        <f>IFERROR(__xludf.DUMMYFUNCTION("""COMPUTED_VALUE"""),44731.8859245486)</f>
        <v>44731.88592</v>
      </c>
      <c r="D6209" s="15">
        <f>IFERROR(__xludf.DUMMYFUNCTION("""COMPUTED_VALUE"""),1.005)</f>
        <v>1.005</v>
      </c>
      <c r="E6209" s="16">
        <f>IFERROR(__xludf.DUMMYFUNCTION("""COMPUTED_VALUE"""),68.0)</f>
        <v>68</v>
      </c>
      <c r="F6209" s="19" t="str">
        <f>IFERROR(__xludf.DUMMYFUNCTION("""COMPUTED_VALUE"""),"BLACK")</f>
        <v>BLACK</v>
      </c>
      <c r="G6209" s="20" t="str">
        <f>IFERROR(__xludf.DUMMYFUNCTION("""COMPUTED_VALUE"""),"Uncle Sams Cider (5/13/2022)")</f>
        <v>Uncle Sams Cider (5/13/2022)</v>
      </c>
      <c r="H6209" s="19"/>
    </row>
    <row r="6210">
      <c r="A6210" s="9"/>
      <c r="B6210" s="15"/>
      <c r="C6210" s="9">
        <f>IFERROR(__xludf.DUMMYFUNCTION("""COMPUTED_VALUE"""),44731.8755021296)</f>
        <v>44731.8755</v>
      </c>
      <c r="D6210" s="15">
        <f>IFERROR(__xludf.DUMMYFUNCTION("""COMPUTED_VALUE"""),1.005)</f>
        <v>1.005</v>
      </c>
      <c r="E6210" s="16">
        <f>IFERROR(__xludf.DUMMYFUNCTION("""COMPUTED_VALUE"""),68.0)</f>
        <v>68</v>
      </c>
      <c r="F6210" s="19" t="str">
        <f>IFERROR(__xludf.DUMMYFUNCTION("""COMPUTED_VALUE"""),"BLACK")</f>
        <v>BLACK</v>
      </c>
      <c r="G6210" s="20" t="str">
        <f>IFERROR(__xludf.DUMMYFUNCTION("""COMPUTED_VALUE"""),"Uncle Sams Cider (5/13/2022)")</f>
        <v>Uncle Sams Cider (5/13/2022)</v>
      </c>
      <c r="H6210" s="19"/>
    </row>
    <row r="6211">
      <c r="A6211" s="9"/>
      <c r="B6211" s="15"/>
      <c r="C6211" s="9">
        <f>IFERROR(__xludf.DUMMYFUNCTION("""COMPUTED_VALUE"""),44731.8650805787)</f>
        <v>44731.86508</v>
      </c>
      <c r="D6211" s="15">
        <f>IFERROR(__xludf.DUMMYFUNCTION("""COMPUTED_VALUE"""),1.005)</f>
        <v>1.005</v>
      </c>
      <c r="E6211" s="16">
        <f>IFERROR(__xludf.DUMMYFUNCTION("""COMPUTED_VALUE"""),68.0)</f>
        <v>68</v>
      </c>
      <c r="F6211" s="19" t="str">
        <f>IFERROR(__xludf.DUMMYFUNCTION("""COMPUTED_VALUE"""),"BLACK")</f>
        <v>BLACK</v>
      </c>
      <c r="G6211" s="20" t="str">
        <f>IFERROR(__xludf.DUMMYFUNCTION("""COMPUTED_VALUE"""),"Uncle Sams Cider (5/13/2022)")</f>
        <v>Uncle Sams Cider (5/13/2022)</v>
      </c>
      <c r="H6211" s="19"/>
    </row>
    <row r="6212">
      <c r="A6212" s="9"/>
      <c r="B6212" s="15"/>
      <c r="C6212" s="9">
        <f>IFERROR(__xludf.DUMMYFUNCTION("""COMPUTED_VALUE"""),44731.85465875)</f>
        <v>44731.85466</v>
      </c>
      <c r="D6212" s="15">
        <f>IFERROR(__xludf.DUMMYFUNCTION("""COMPUTED_VALUE"""),1.005)</f>
        <v>1.005</v>
      </c>
      <c r="E6212" s="16">
        <f>IFERROR(__xludf.DUMMYFUNCTION("""COMPUTED_VALUE"""),68.0)</f>
        <v>68</v>
      </c>
      <c r="F6212" s="19" t="str">
        <f>IFERROR(__xludf.DUMMYFUNCTION("""COMPUTED_VALUE"""),"BLACK")</f>
        <v>BLACK</v>
      </c>
      <c r="G6212" s="20" t="str">
        <f>IFERROR(__xludf.DUMMYFUNCTION("""COMPUTED_VALUE"""),"Uncle Sams Cider (5/13/2022)")</f>
        <v>Uncle Sams Cider (5/13/2022)</v>
      </c>
      <c r="H6212" s="19"/>
    </row>
    <row r="6213">
      <c r="A6213" s="9"/>
      <c r="B6213" s="15"/>
      <c r="C6213" s="9">
        <f>IFERROR(__xludf.DUMMYFUNCTION("""COMPUTED_VALUE"""),44731.8442372106)</f>
        <v>44731.84424</v>
      </c>
      <c r="D6213" s="15">
        <f>IFERROR(__xludf.DUMMYFUNCTION("""COMPUTED_VALUE"""),1.005)</f>
        <v>1.005</v>
      </c>
      <c r="E6213" s="16">
        <f>IFERROR(__xludf.DUMMYFUNCTION("""COMPUTED_VALUE"""),68.0)</f>
        <v>68</v>
      </c>
      <c r="F6213" s="19" t="str">
        <f>IFERROR(__xludf.DUMMYFUNCTION("""COMPUTED_VALUE"""),"BLACK")</f>
        <v>BLACK</v>
      </c>
      <c r="G6213" s="20" t="str">
        <f>IFERROR(__xludf.DUMMYFUNCTION("""COMPUTED_VALUE"""),"Uncle Sams Cider (5/13/2022)")</f>
        <v>Uncle Sams Cider (5/13/2022)</v>
      </c>
      <c r="H6213" s="19"/>
    </row>
    <row r="6214">
      <c r="A6214" s="9"/>
      <c r="B6214" s="15"/>
      <c r="C6214" s="9">
        <f>IFERROR(__xludf.DUMMYFUNCTION("""COMPUTED_VALUE"""),44731.8338182754)</f>
        <v>44731.83382</v>
      </c>
      <c r="D6214" s="15">
        <f>IFERROR(__xludf.DUMMYFUNCTION("""COMPUTED_VALUE"""),1.005)</f>
        <v>1.005</v>
      </c>
      <c r="E6214" s="16">
        <f>IFERROR(__xludf.DUMMYFUNCTION("""COMPUTED_VALUE"""),68.0)</f>
        <v>68</v>
      </c>
      <c r="F6214" s="19" t="str">
        <f>IFERROR(__xludf.DUMMYFUNCTION("""COMPUTED_VALUE"""),"BLACK")</f>
        <v>BLACK</v>
      </c>
      <c r="G6214" s="20" t="str">
        <f>IFERROR(__xludf.DUMMYFUNCTION("""COMPUTED_VALUE"""),"Uncle Sams Cider (5/13/2022)")</f>
        <v>Uncle Sams Cider (5/13/2022)</v>
      </c>
      <c r="H6214" s="19"/>
    </row>
    <row r="6215">
      <c r="A6215" s="9"/>
      <c r="B6215" s="15"/>
      <c r="C6215" s="9">
        <f>IFERROR(__xludf.DUMMYFUNCTION("""COMPUTED_VALUE"""),44731.8233964814)</f>
        <v>44731.8234</v>
      </c>
      <c r="D6215" s="15">
        <f>IFERROR(__xludf.DUMMYFUNCTION("""COMPUTED_VALUE"""),1.005)</f>
        <v>1.005</v>
      </c>
      <c r="E6215" s="16">
        <f>IFERROR(__xludf.DUMMYFUNCTION("""COMPUTED_VALUE"""),68.0)</f>
        <v>68</v>
      </c>
      <c r="F6215" s="19" t="str">
        <f>IFERROR(__xludf.DUMMYFUNCTION("""COMPUTED_VALUE"""),"BLACK")</f>
        <v>BLACK</v>
      </c>
      <c r="G6215" s="20" t="str">
        <f>IFERROR(__xludf.DUMMYFUNCTION("""COMPUTED_VALUE"""),"Uncle Sams Cider (5/13/2022)")</f>
        <v>Uncle Sams Cider (5/13/2022)</v>
      </c>
      <c r="H6215" s="19"/>
    </row>
    <row r="6216">
      <c r="A6216" s="9"/>
      <c r="B6216" s="15"/>
      <c r="C6216" s="9">
        <f>IFERROR(__xludf.DUMMYFUNCTION("""COMPUTED_VALUE"""),44731.8129511574)</f>
        <v>44731.81295</v>
      </c>
      <c r="D6216" s="15">
        <f>IFERROR(__xludf.DUMMYFUNCTION("""COMPUTED_VALUE"""),1.005)</f>
        <v>1.005</v>
      </c>
      <c r="E6216" s="16">
        <f>IFERROR(__xludf.DUMMYFUNCTION("""COMPUTED_VALUE"""),68.0)</f>
        <v>68</v>
      </c>
      <c r="F6216" s="19" t="str">
        <f>IFERROR(__xludf.DUMMYFUNCTION("""COMPUTED_VALUE"""),"BLACK")</f>
        <v>BLACK</v>
      </c>
      <c r="G6216" s="20" t="str">
        <f>IFERROR(__xludf.DUMMYFUNCTION("""COMPUTED_VALUE"""),"Uncle Sams Cider (5/13/2022)")</f>
        <v>Uncle Sams Cider (5/13/2022)</v>
      </c>
      <c r="H6216" s="19"/>
    </row>
    <row r="6217">
      <c r="A6217" s="9"/>
      <c r="B6217" s="15"/>
      <c r="C6217" s="9">
        <f>IFERROR(__xludf.DUMMYFUNCTION("""COMPUTED_VALUE"""),44731.8025184606)</f>
        <v>44731.80252</v>
      </c>
      <c r="D6217" s="15">
        <f>IFERROR(__xludf.DUMMYFUNCTION("""COMPUTED_VALUE"""),1.005)</f>
        <v>1.005</v>
      </c>
      <c r="E6217" s="16">
        <f>IFERROR(__xludf.DUMMYFUNCTION("""COMPUTED_VALUE"""),68.0)</f>
        <v>68</v>
      </c>
      <c r="F6217" s="19" t="str">
        <f>IFERROR(__xludf.DUMMYFUNCTION("""COMPUTED_VALUE"""),"BLACK")</f>
        <v>BLACK</v>
      </c>
      <c r="G6217" s="20" t="str">
        <f>IFERROR(__xludf.DUMMYFUNCTION("""COMPUTED_VALUE"""),"Uncle Sams Cider (5/13/2022)")</f>
        <v>Uncle Sams Cider (5/13/2022)</v>
      </c>
      <c r="H6217" s="19"/>
    </row>
    <row r="6218">
      <c r="A6218" s="9"/>
      <c r="B6218" s="15"/>
      <c r="C6218" s="9">
        <f>IFERROR(__xludf.DUMMYFUNCTION("""COMPUTED_VALUE"""),44731.7920980092)</f>
        <v>44731.7921</v>
      </c>
      <c r="D6218" s="15">
        <f>IFERROR(__xludf.DUMMYFUNCTION("""COMPUTED_VALUE"""),1.005)</f>
        <v>1.005</v>
      </c>
      <c r="E6218" s="16">
        <f>IFERROR(__xludf.DUMMYFUNCTION("""COMPUTED_VALUE"""),68.0)</f>
        <v>68</v>
      </c>
      <c r="F6218" s="19" t="str">
        <f>IFERROR(__xludf.DUMMYFUNCTION("""COMPUTED_VALUE"""),"BLACK")</f>
        <v>BLACK</v>
      </c>
      <c r="G6218" s="20" t="str">
        <f>IFERROR(__xludf.DUMMYFUNCTION("""COMPUTED_VALUE"""),"Uncle Sams Cider (5/13/2022)")</f>
        <v>Uncle Sams Cider (5/13/2022)</v>
      </c>
      <c r="H6218" s="19"/>
    </row>
    <row r="6219">
      <c r="A6219" s="9"/>
      <c r="B6219" s="15"/>
      <c r="C6219" s="9">
        <f>IFERROR(__xludf.DUMMYFUNCTION("""COMPUTED_VALUE"""),44731.7816787847)</f>
        <v>44731.78168</v>
      </c>
      <c r="D6219" s="15">
        <f>IFERROR(__xludf.DUMMYFUNCTION("""COMPUTED_VALUE"""),1.005)</f>
        <v>1.005</v>
      </c>
      <c r="E6219" s="16">
        <f>IFERROR(__xludf.DUMMYFUNCTION("""COMPUTED_VALUE"""),68.0)</f>
        <v>68</v>
      </c>
      <c r="F6219" s="19" t="str">
        <f>IFERROR(__xludf.DUMMYFUNCTION("""COMPUTED_VALUE"""),"BLACK")</f>
        <v>BLACK</v>
      </c>
      <c r="G6219" s="20" t="str">
        <f>IFERROR(__xludf.DUMMYFUNCTION("""COMPUTED_VALUE"""),"Uncle Sams Cider (5/13/2022)")</f>
        <v>Uncle Sams Cider (5/13/2022)</v>
      </c>
      <c r="H6219" s="19"/>
    </row>
    <row r="6220">
      <c r="A6220" s="9"/>
      <c r="B6220" s="15"/>
      <c r="C6220" s="9">
        <f>IFERROR(__xludf.DUMMYFUNCTION("""COMPUTED_VALUE"""),44731.7712321875)</f>
        <v>44731.77123</v>
      </c>
      <c r="D6220" s="15">
        <f>IFERROR(__xludf.DUMMYFUNCTION("""COMPUTED_VALUE"""),1.005)</f>
        <v>1.005</v>
      </c>
      <c r="E6220" s="16">
        <f>IFERROR(__xludf.DUMMYFUNCTION("""COMPUTED_VALUE"""),68.0)</f>
        <v>68</v>
      </c>
      <c r="F6220" s="19" t="str">
        <f>IFERROR(__xludf.DUMMYFUNCTION("""COMPUTED_VALUE"""),"BLACK")</f>
        <v>BLACK</v>
      </c>
      <c r="G6220" s="20" t="str">
        <f>IFERROR(__xludf.DUMMYFUNCTION("""COMPUTED_VALUE"""),"Uncle Sams Cider (5/13/2022)")</f>
        <v>Uncle Sams Cider (5/13/2022)</v>
      </c>
      <c r="H6220" s="19"/>
    </row>
    <row r="6221">
      <c r="A6221" s="9"/>
      <c r="B6221" s="15"/>
      <c r="C6221" s="9">
        <f>IFERROR(__xludf.DUMMYFUNCTION("""COMPUTED_VALUE"""),44731.7608113425)</f>
        <v>44731.76081</v>
      </c>
      <c r="D6221" s="15">
        <f>IFERROR(__xludf.DUMMYFUNCTION("""COMPUTED_VALUE"""),1.005)</f>
        <v>1.005</v>
      </c>
      <c r="E6221" s="16">
        <f>IFERROR(__xludf.DUMMYFUNCTION("""COMPUTED_VALUE"""),68.0)</f>
        <v>68</v>
      </c>
      <c r="F6221" s="19" t="str">
        <f>IFERROR(__xludf.DUMMYFUNCTION("""COMPUTED_VALUE"""),"BLACK")</f>
        <v>BLACK</v>
      </c>
      <c r="G6221" s="20" t="str">
        <f>IFERROR(__xludf.DUMMYFUNCTION("""COMPUTED_VALUE"""),"Uncle Sams Cider (5/13/2022)")</f>
        <v>Uncle Sams Cider (5/13/2022)</v>
      </c>
      <c r="H6221" s="19"/>
    </row>
    <row r="6222">
      <c r="A6222" s="9"/>
      <c r="B6222" s="15"/>
      <c r="C6222" s="9">
        <f>IFERROR(__xludf.DUMMYFUNCTION("""COMPUTED_VALUE"""),44731.7503906828)</f>
        <v>44731.75039</v>
      </c>
      <c r="D6222" s="15">
        <f>IFERROR(__xludf.DUMMYFUNCTION("""COMPUTED_VALUE"""),1.005)</f>
        <v>1.005</v>
      </c>
      <c r="E6222" s="16">
        <f>IFERROR(__xludf.DUMMYFUNCTION("""COMPUTED_VALUE"""),68.0)</f>
        <v>68</v>
      </c>
      <c r="F6222" s="19" t="str">
        <f>IFERROR(__xludf.DUMMYFUNCTION("""COMPUTED_VALUE"""),"BLACK")</f>
        <v>BLACK</v>
      </c>
      <c r="G6222" s="20" t="str">
        <f>IFERROR(__xludf.DUMMYFUNCTION("""COMPUTED_VALUE"""),"Uncle Sams Cider (5/13/2022)")</f>
        <v>Uncle Sams Cider (5/13/2022)</v>
      </c>
      <c r="H6222" s="19"/>
    </row>
    <row r="6223">
      <c r="A6223" s="9"/>
      <c r="B6223" s="15"/>
      <c r="C6223" s="9">
        <f>IFERROR(__xludf.DUMMYFUNCTION("""COMPUTED_VALUE"""),44731.7399700115)</f>
        <v>44731.73997</v>
      </c>
      <c r="D6223" s="15">
        <f>IFERROR(__xludf.DUMMYFUNCTION("""COMPUTED_VALUE"""),1.005)</f>
        <v>1.005</v>
      </c>
      <c r="E6223" s="16">
        <f>IFERROR(__xludf.DUMMYFUNCTION("""COMPUTED_VALUE"""),68.0)</f>
        <v>68</v>
      </c>
      <c r="F6223" s="19" t="str">
        <f>IFERROR(__xludf.DUMMYFUNCTION("""COMPUTED_VALUE"""),"BLACK")</f>
        <v>BLACK</v>
      </c>
      <c r="G6223" s="20" t="str">
        <f>IFERROR(__xludf.DUMMYFUNCTION("""COMPUTED_VALUE"""),"Uncle Sams Cider (5/13/2022)")</f>
        <v>Uncle Sams Cider (5/13/2022)</v>
      </c>
      <c r="H6223" s="19"/>
    </row>
    <row r="6224">
      <c r="A6224" s="9"/>
      <c r="B6224" s="15"/>
      <c r="C6224" s="9">
        <f>IFERROR(__xludf.DUMMYFUNCTION("""COMPUTED_VALUE"""),44731.7295370254)</f>
        <v>44731.72954</v>
      </c>
      <c r="D6224" s="15">
        <f>IFERROR(__xludf.DUMMYFUNCTION("""COMPUTED_VALUE"""),1.006)</f>
        <v>1.006</v>
      </c>
      <c r="E6224" s="16">
        <f>IFERROR(__xludf.DUMMYFUNCTION("""COMPUTED_VALUE"""),68.0)</f>
        <v>68</v>
      </c>
      <c r="F6224" s="19" t="str">
        <f>IFERROR(__xludf.DUMMYFUNCTION("""COMPUTED_VALUE"""),"BLACK")</f>
        <v>BLACK</v>
      </c>
      <c r="G6224" s="20" t="str">
        <f>IFERROR(__xludf.DUMMYFUNCTION("""COMPUTED_VALUE"""),"Uncle Sams Cider (5/13/2022)")</f>
        <v>Uncle Sams Cider (5/13/2022)</v>
      </c>
      <c r="H6224" s="19"/>
    </row>
    <row r="6225">
      <c r="A6225" s="9"/>
      <c r="B6225" s="15"/>
      <c r="C6225" s="9">
        <f>IFERROR(__xludf.DUMMYFUNCTION("""COMPUTED_VALUE"""),44731.7191042013)</f>
        <v>44731.7191</v>
      </c>
      <c r="D6225" s="15">
        <f>IFERROR(__xludf.DUMMYFUNCTION("""COMPUTED_VALUE"""),1.005)</f>
        <v>1.005</v>
      </c>
      <c r="E6225" s="16">
        <f>IFERROR(__xludf.DUMMYFUNCTION("""COMPUTED_VALUE"""),68.0)</f>
        <v>68</v>
      </c>
      <c r="F6225" s="19" t="str">
        <f>IFERROR(__xludf.DUMMYFUNCTION("""COMPUTED_VALUE"""),"BLACK")</f>
        <v>BLACK</v>
      </c>
      <c r="G6225" s="20" t="str">
        <f>IFERROR(__xludf.DUMMYFUNCTION("""COMPUTED_VALUE"""),"Uncle Sams Cider (5/13/2022)")</f>
        <v>Uncle Sams Cider (5/13/2022)</v>
      </c>
      <c r="H6225" s="19"/>
    </row>
    <row r="6226">
      <c r="A6226" s="9"/>
      <c r="B6226" s="15"/>
      <c r="C6226" s="9">
        <f>IFERROR(__xludf.DUMMYFUNCTION("""COMPUTED_VALUE"""),44731.7086837615)</f>
        <v>44731.70868</v>
      </c>
      <c r="D6226" s="15">
        <f>IFERROR(__xludf.DUMMYFUNCTION("""COMPUTED_VALUE"""),1.005)</f>
        <v>1.005</v>
      </c>
      <c r="E6226" s="16">
        <f>IFERROR(__xludf.DUMMYFUNCTION("""COMPUTED_VALUE"""),68.0)</f>
        <v>68</v>
      </c>
      <c r="F6226" s="19" t="str">
        <f>IFERROR(__xludf.DUMMYFUNCTION("""COMPUTED_VALUE"""),"BLACK")</f>
        <v>BLACK</v>
      </c>
      <c r="G6226" s="20" t="str">
        <f>IFERROR(__xludf.DUMMYFUNCTION("""COMPUTED_VALUE"""),"Uncle Sams Cider (5/13/2022)")</f>
        <v>Uncle Sams Cider (5/13/2022)</v>
      </c>
      <c r="H6226" s="19"/>
    </row>
    <row r="6227">
      <c r="A6227" s="9"/>
      <c r="B6227" s="15"/>
      <c r="C6227" s="9">
        <f>IFERROR(__xludf.DUMMYFUNCTION("""COMPUTED_VALUE"""),44731.6982512384)</f>
        <v>44731.69825</v>
      </c>
      <c r="D6227" s="15">
        <f>IFERROR(__xludf.DUMMYFUNCTION("""COMPUTED_VALUE"""),1.005)</f>
        <v>1.005</v>
      </c>
      <c r="E6227" s="16">
        <f>IFERROR(__xludf.DUMMYFUNCTION("""COMPUTED_VALUE"""),68.0)</f>
        <v>68</v>
      </c>
      <c r="F6227" s="19" t="str">
        <f>IFERROR(__xludf.DUMMYFUNCTION("""COMPUTED_VALUE"""),"BLACK")</f>
        <v>BLACK</v>
      </c>
      <c r="G6227" s="20" t="str">
        <f>IFERROR(__xludf.DUMMYFUNCTION("""COMPUTED_VALUE"""),"Uncle Sams Cider (5/13/2022)")</f>
        <v>Uncle Sams Cider (5/13/2022)</v>
      </c>
      <c r="H6227" s="19"/>
    </row>
    <row r="6228">
      <c r="A6228" s="9"/>
      <c r="B6228" s="15"/>
      <c r="C6228" s="9">
        <f>IFERROR(__xludf.DUMMYFUNCTION("""COMPUTED_VALUE"""),44731.6878289583)</f>
        <v>44731.68783</v>
      </c>
      <c r="D6228" s="15">
        <f>IFERROR(__xludf.DUMMYFUNCTION("""COMPUTED_VALUE"""),1.005)</f>
        <v>1.005</v>
      </c>
      <c r="E6228" s="16">
        <f>IFERROR(__xludf.DUMMYFUNCTION("""COMPUTED_VALUE"""),68.0)</f>
        <v>68</v>
      </c>
      <c r="F6228" s="19" t="str">
        <f>IFERROR(__xludf.DUMMYFUNCTION("""COMPUTED_VALUE"""),"BLACK")</f>
        <v>BLACK</v>
      </c>
      <c r="G6228" s="20" t="str">
        <f>IFERROR(__xludf.DUMMYFUNCTION("""COMPUTED_VALUE"""),"Uncle Sams Cider (5/13/2022)")</f>
        <v>Uncle Sams Cider (5/13/2022)</v>
      </c>
      <c r="H6228" s="19"/>
    </row>
    <row r="6229">
      <c r="A6229" s="9"/>
      <c r="B6229" s="15"/>
      <c r="C6229" s="9">
        <f>IFERROR(__xludf.DUMMYFUNCTION("""COMPUTED_VALUE"""),44731.6773952199)</f>
        <v>44731.6774</v>
      </c>
      <c r="D6229" s="15">
        <f>IFERROR(__xludf.DUMMYFUNCTION("""COMPUTED_VALUE"""),1.005)</f>
        <v>1.005</v>
      </c>
      <c r="E6229" s="16">
        <f>IFERROR(__xludf.DUMMYFUNCTION("""COMPUTED_VALUE"""),68.0)</f>
        <v>68</v>
      </c>
      <c r="F6229" s="19" t="str">
        <f>IFERROR(__xludf.DUMMYFUNCTION("""COMPUTED_VALUE"""),"BLACK")</f>
        <v>BLACK</v>
      </c>
      <c r="G6229" s="20" t="str">
        <f>IFERROR(__xludf.DUMMYFUNCTION("""COMPUTED_VALUE"""),"Uncle Sams Cider (5/13/2022)")</f>
        <v>Uncle Sams Cider (5/13/2022)</v>
      </c>
      <c r="H6229" s="19"/>
    </row>
    <row r="6230">
      <c r="A6230" s="9"/>
      <c r="B6230" s="15"/>
      <c r="C6230" s="9">
        <f>IFERROR(__xludf.DUMMYFUNCTION("""COMPUTED_VALUE"""),44731.666961875)</f>
        <v>44731.66696</v>
      </c>
      <c r="D6230" s="15">
        <f>IFERROR(__xludf.DUMMYFUNCTION("""COMPUTED_VALUE"""),1.005)</f>
        <v>1.005</v>
      </c>
      <c r="E6230" s="16">
        <f>IFERROR(__xludf.DUMMYFUNCTION("""COMPUTED_VALUE"""),68.0)</f>
        <v>68</v>
      </c>
      <c r="F6230" s="19" t="str">
        <f>IFERROR(__xludf.DUMMYFUNCTION("""COMPUTED_VALUE"""),"BLACK")</f>
        <v>BLACK</v>
      </c>
      <c r="G6230" s="20" t="str">
        <f>IFERROR(__xludf.DUMMYFUNCTION("""COMPUTED_VALUE"""),"Uncle Sams Cider (5/13/2022)")</f>
        <v>Uncle Sams Cider (5/13/2022)</v>
      </c>
      <c r="H6230" s="19"/>
    </row>
    <row r="6231">
      <c r="A6231" s="9"/>
      <c r="B6231" s="15"/>
      <c r="C6231" s="9">
        <f>IFERROR(__xludf.DUMMYFUNCTION("""COMPUTED_VALUE"""),44731.6565406018)</f>
        <v>44731.65654</v>
      </c>
      <c r="D6231" s="15">
        <f>IFERROR(__xludf.DUMMYFUNCTION("""COMPUTED_VALUE"""),1.006)</f>
        <v>1.006</v>
      </c>
      <c r="E6231" s="16">
        <f>IFERROR(__xludf.DUMMYFUNCTION("""COMPUTED_VALUE"""),68.0)</f>
        <v>68</v>
      </c>
      <c r="F6231" s="19" t="str">
        <f>IFERROR(__xludf.DUMMYFUNCTION("""COMPUTED_VALUE"""),"BLACK")</f>
        <v>BLACK</v>
      </c>
      <c r="G6231" s="20" t="str">
        <f>IFERROR(__xludf.DUMMYFUNCTION("""COMPUTED_VALUE"""),"Uncle Sams Cider (5/13/2022)")</f>
        <v>Uncle Sams Cider (5/13/2022)</v>
      </c>
      <c r="H6231" s="19"/>
    </row>
    <row r="6232">
      <c r="A6232" s="9"/>
      <c r="B6232" s="15"/>
      <c r="C6232" s="9">
        <f>IFERROR(__xludf.DUMMYFUNCTION("""COMPUTED_VALUE"""),44731.6461074652)</f>
        <v>44731.64611</v>
      </c>
      <c r="D6232" s="15">
        <f>IFERROR(__xludf.DUMMYFUNCTION("""COMPUTED_VALUE"""),1.005)</f>
        <v>1.005</v>
      </c>
      <c r="E6232" s="16">
        <f>IFERROR(__xludf.DUMMYFUNCTION("""COMPUTED_VALUE"""),68.0)</f>
        <v>68</v>
      </c>
      <c r="F6232" s="19" t="str">
        <f>IFERROR(__xludf.DUMMYFUNCTION("""COMPUTED_VALUE"""),"BLACK")</f>
        <v>BLACK</v>
      </c>
      <c r="G6232" s="20" t="str">
        <f>IFERROR(__xludf.DUMMYFUNCTION("""COMPUTED_VALUE"""),"Uncle Sams Cider (5/13/2022)")</f>
        <v>Uncle Sams Cider (5/13/2022)</v>
      </c>
      <c r="H6232" s="19"/>
    </row>
    <row r="6233">
      <c r="A6233" s="9"/>
      <c r="B6233" s="15"/>
      <c r="C6233" s="9">
        <f>IFERROR(__xludf.DUMMYFUNCTION("""COMPUTED_VALUE"""),44731.6356860532)</f>
        <v>44731.63569</v>
      </c>
      <c r="D6233" s="15">
        <f>IFERROR(__xludf.DUMMYFUNCTION("""COMPUTED_VALUE"""),1.005)</f>
        <v>1.005</v>
      </c>
      <c r="E6233" s="16">
        <f>IFERROR(__xludf.DUMMYFUNCTION("""COMPUTED_VALUE"""),68.0)</f>
        <v>68</v>
      </c>
      <c r="F6233" s="19" t="str">
        <f>IFERROR(__xludf.DUMMYFUNCTION("""COMPUTED_VALUE"""),"BLACK")</f>
        <v>BLACK</v>
      </c>
      <c r="G6233" s="20" t="str">
        <f>IFERROR(__xludf.DUMMYFUNCTION("""COMPUTED_VALUE"""),"Uncle Sams Cider (5/13/2022)")</f>
        <v>Uncle Sams Cider (5/13/2022)</v>
      </c>
      <c r="H6233" s="19"/>
    </row>
    <row r="6234">
      <c r="A6234" s="9"/>
      <c r="B6234" s="15"/>
      <c r="C6234" s="9">
        <f>IFERROR(__xludf.DUMMYFUNCTION("""COMPUTED_VALUE"""),44731.625264618)</f>
        <v>44731.62526</v>
      </c>
      <c r="D6234" s="15">
        <f>IFERROR(__xludf.DUMMYFUNCTION("""COMPUTED_VALUE"""),1.006)</f>
        <v>1.006</v>
      </c>
      <c r="E6234" s="16">
        <f>IFERROR(__xludf.DUMMYFUNCTION("""COMPUTED_VALUE"""),68.0)</f>
        <v>68</v>
      </c>
      <c r="F6234" s="19" t="str">
        <f>IFERROR(__xludf.DUMMYFUNCTION("""COMPUTED_VALUE"""),"BLACK")</f>
        <v>BLACK</v>
      </c>
      <c r="G6234" s="20" t="str">
        <f>IFERROR(__xludf.DUMMYFUNCTION("""COMPUTED_VALUE"""),"Uncle Sams Cider (5/13/2022)")</f>
        <v>Uncle Sams Cider (5/13/2022)</v>
      </c>
      <c r="H6234" s="19"/>
    </row>
    <row r="6235">
      <c r="A6235" s="9"/>
      <c r="B6235" s="15"/>
      <c r="C6235" s="9">
        <f>IFERROR(__xludf.DUMMYFUNCTION("""COMPUTED_VALUE"""),44731.6148318634)</f>
        <v>44731.61483</v>
      </c>
      <c r="D6235" s="15">
        <f>IFERROR(__xludf.DUMMYFUNCTION("""COMPUTED_VALUE"""),1.006)</f>
        <v>1.006</v>
      </c>
      <c r="E6235" s="16">
        <f>IFERROR(__xludf.DUMMYFUNCTION("""COMPUTED_VALUE"""),68.0)</f>
        <v>68</v>
      </c>
      <c r="F6235" s="19" t="str">
        <f>IFERROR(__xludf.DUMMYFUNCTION("""COMPUTED_VALUE"""),"BLACK")</f>
        <v>BLACK</v>
      </c>
      <c r="G6235" s="20" t="str">
        <f>IFERROR(__xludf.DUMMYFUNCTION("""COMPUTED_VALUE"""),"Uncle Sams Cider (5/13/2022)")</f>
        <v>Uncle Sams Cider (5/13/2022)</v>
      </c>
      <c r="H6235" s="19"/>
    </row>
    <row r="6236">
      <c r="A6236" s="9"/>
      <c r="B6236" s="15"/>
      <c r="C6236" s="9">
        <f>IFERROR(__xludf.DUMMYFUNCTION("""COMPUTED_VALUE"""),44731.60438603)</f>
        <v>44731.60439</v>
      </c>
      <c r="D6236" s="15">
        <f>IFERROR(__xludf.DUMMYFUNCTION("""COMPUTED_VALUE"""),1.005)</f>
        <v>1.005</v>
      </c>
      <c r="E6236" s="16">
        <f>IFERROR(__xludf.DUMMYFUNCTION("""COMPUTED_VALUE"""),68.0)</f>
        <v>68</v>
      </c>
      <c r="F6236" s="19" t="str">
        <f>IFERROR(__xludf.DUMMYFUNCTION("""COMPUTED_VALUE"""),"BLACK")</f>
        <v>BLACK</v>
      </c>
      <c r="G6236" s="20" t="str">
        <f>IFERROR(__xludf.DUMMYFUNCTION("""COMPUTED_VALUE"""),"Uncle Sams Cider (5/13/2022)")</f>
        <v>Uncle Sams Cider (5/13/2022)</v>
      </c>
      <c r="H6236" s="19"/>
    </row>
    <row r="6237">
      <c r="A6237" s="9"/>
      <c r="B6237" s="15"/>
      <c r="C6237" s="9">
        <f>IFERROR(__xludf.DUMMYFUNCTION("""COMPUTED_VALUE"""),44731.5939640625)</f>
        <v>44731.59396</v>
      </c>
      <c r="D6237" s="15">
        <f>IFERROR(__xludf.DUMMYFUNCTION("""COMPUTED_VALUE"""),1.006)</f>
        <v>1.006</v>
      </c>
      <c r="E6237" s="16">
        <f>IFERROR(__xludf.DUMMYFUNCTION("""COMPUTED_VALUE"""),68.0)</f>
        <v>68</v>
      </c>
      <c r="F6237" s="19" t="str">
        <f>IFERROR(__xludf.DUMMYFUNCTION("""COMPUTED_VALUE"""),"BLACK")</f>
        <v>BLACK</v>
      </c>
      <c r="G6237" s="20" t="str">
        <f>IFERROR(__xludf.DUMMYFUNCTION("""COMPUTED_VALUE"""),"Uncle Sams Cider (5/13/2022)")</f>
        <v>Uncle Sams Cider (5/13/2022)</v>
      </c>
      <c r="H6237" s="19"/>
    </row>
    <row r="6238">
      <c r="A6238" s="9"/>
      <c r="B6238" s="15"/>
      <c r="C6238" s="9">
        <f>IFERROR(__xludf.DUMMYFUNCTION("""COMPUTED_VALUE"""),44731.58354228)</f>
        <v>44731.58354</v>
      </c>
      <c r="D6238" s="15">
        <f>IFERROR(__xludf.DUMMYFUNCTION("""COMPUTED_VALUE"""),1.005)</f>
        <v>1.005</v>
      </c>
      <c r="E6238" s="16">
        <f>IFERROR(__xludf.DUMMYFUNCTION("""COMPUTED_VALUE"""),68.0)</f>
        <v>68</v>
      </c>
      <c r="F6238" s="19" t="str">
        <f>IFERROR(__xludf.DUMMYFUNCTION("""COMPUTED_VALUE"""),"BLACK")</f>
        <v>BLACK</v>
      </c>
      <c r="G6238" s="20" t="str">
        <f>IFERROR(__xludf.DUMMYFUNCTION("""COMPUTED_VALUE"""),"Uncle Sams Cider (5/13/2022)")</f>
        <v>Uncle Sams Cider (5/13/2022)</v>
      </c>
      <c r="H6238" s="19"/>
    </row>
    <row r="6239">
      <c r="A6239" s="9"/>
      <c r="B6239" s="15"/>
      <c r="C6239" s="9">
        <f>IFERROR(__xludf.DUMMYFUNCTION("""COMPUTED_VALUE"""),44731.5731186574)</f>
        <v>44731.57312</v>
      </c>
      <c r="D6239" s="15">
        <f>IFERROR(__xludf.DUMMYFUNCTION("""COMPUTED_VALUE"""),1.005)</f>
        <v>1.005</v>
      </c>
      <c r="E6239" s="16">
        <f>IFERROR(__xludf.DUMMYFUNCTION("""COMPUTED_VALUE"""),68.0)</f>
        <v>68</v>
      </c>
      <c r="F6239" s="19" t="str">
        <f>IFERROR(__xludf.DUMMYFUNCTION("""COMPUTED_VALUE"""),"BLACK")</f>
        <v>BLACK</v>
      </c>
      <c r="G6239" s="20" t="str">
        <f>IFERROR(__xludf.DUMMYFUNCTION("""COMPUTED_VALUE"""),"Uncle Sams Cider (5/13/2022)")</f>
        <v>Uncle Sams Cider (5/13/2022)</v>
      </c>
      <c r="H6239" s="19"/>
    </row>
    <row r="6240">
      <c r="A6240" s="9"/>
      <c r="B6240" s="15"/>
      <c r="C6240" s="9">
        <f>IFERROR(__xludf.DUMMYFUNCTION("""COMPUTED_VALUE"""),44731.5626965277)</f>
        <v>44731.5627</v>
      </c>
      <c r="D6240" s="15">
        <f>IFERROR(__xludf.DUMMYFUNCTION("""COMPUTED_VALUE"""),1.005)</f>
        <v>1.005</v>
      </c>
      <c r="E6240" s="16">
        <f>IFERROR(__xludf.DUMMYFUNCTION("""COMPUTED_VALUE"""),68.0)</f>
        <v>68</v>
      </c>
      <c r="F6240" s="19" t="str">
        <f>IFERROR(__xludf.DUMMYFUNCTION("""COMPUTED_VALUE"""),"BLACK")</f>
        <v>BLACK</v>
      </c>
      <c r="G6240" s="20" t="str">
        <f>IFERROR(__xludf.DUMMYFUNCTION("""COMPUTED_VALUE"""),"Uncle Sams Cider (5/13/2022)")</f>
        <v>Uncle Sams Cider (5/13/2022)</v>
      </c>
      <c r="H6240" s="19"/>
    </row>
    <row r="6241">
      <c r="A6241" s="9"/>
      <c r="B6241" s="15"/>
      <c r="C6241" s="9">
        <f>IFERROR(__xludf.DUMMYFUNCTION("""COMPUTED_VALUE"""),44731.5522753588)</f>
        <v>44731.55228</v>
      </c>
      <c r="D6241" s="15">
        <f>IFERROR(__xludf.DUMMYFUNCTION("""COMPUTED_VALUE"""),1.005)</f>
        <v>1.005</v>
      </c>
      <c r="E6241" s="16">
        <f>IFERROR(__xludf.DUMMYFUNCTION("""COMPUTED_VALUE"""),68.0)</f>
        <v>68</v>
      </c>
      <c r="F6241" s="19" t="str">
        <f>IFERROR(__xludf.DUMMYFUNCTION("""COMPUTED_VALUE"""),"BLACK")</f>
        <v>BLACK</v>
      </c>
      <c r="G6241" s="20" t="str">
        <f>IFERROR(__xludf.DUMMYFUNCTION("""COMPUTED_VALUE"""),"Uncle Sams Cider (5/13/2022)")</f>
        <v>Uncle Sams Cider (5/13/2022)</v>
      </c>
      <c r="H6241" s="19"/>
    </row>
    <row r="6242">
      <c r="A6242" s="9"/>
      <c r="B6242" s="15"/>
      <c r="C6242" s="9">
        <f>IFERROR(__xludf.DUMMYFUNCTION("""COMPUTED_VALUE"""),44731.5418543402)</f>
        <v>44731.54185</v>
      </c>
      <c r="D6242" s="15">
        <f>IFERROR(__xludf.DUMMYFUNCTION("""COMPUTED_VALUE"""),1.005)</f>
        <v>1.005</v>
      </c>
      <c r="E6242" s="16">
        <f>IFERROR(__xludf.DUMMYFUNCTION("""COMPUTED_VALUE"""),68.0)</f>
        <v>68</v>
      </c>
      <c r="F6242" s="19" t="str">
        <f>IFERROR(__xludf.DUMMYFUNCTION("""COMPUTED_VALUE"""),"BLACK")</f>
        <v>BLACK</v>
      </c>
      <c r="G6242" s="20" t="str">
        <f>IFERROR(__xludf.DUMMYFUNCTION("""COMPUTED_VALUE"""),"Uncle Sams Cider (5/13/2022)")</f>
        <v>Uncle Sams Cider (5/13/2022)</v>
      </c>
      <c r="H6242" s="19"/>
    </row>
    <row r="6243">
      <c r="A6243" s="9"/>
      <c r="B6243" s="15"/>
      <c r="C6243" s="9">
        <f>IFERROR(__xludf.DUMMYFUNCTION("""COMPUTED_VALUE"""),44731.5314336805)</f>
        <v>44731.53143</v>
      </c>
      <c r="D6243" s="15">
        <f>IFERROR(__xludf.DUMMYFUNCTION("""COMPUTED_VALUE"""),1.005)</f>
        <v>1.005</v>
      </c>
      <c r="E6243" s="16">
        <f>IFERROR(__xludf.DUMMYFUNCTION("""COMPUTED_VALUE"""),68.0)</f>
        <v>68</v>
      </c>
      <c r="F6243" s="19" t="str">
        <f>IFERROR(__xludf.DUMMYFUNCTION("""COMPUTED_VALUE"""),"BLACK")</f>
        <v>BLACK</v>
      </c>
      <c r="G6243" s="20" t="str">
        <f>IFERROR(__xludf.DUMMYFUNCTION("""COMPUTED_VALUE"""),"Uncle Sams Cider (5/13/2022)")</f>
        <v>Uncle Sams Cider (5/13/2022)</v>
      </c>
      <c r="H6243" s="19"/>
    </row>
    <row r="6244">
      <c r="A6244" s="9"/>
      <c r="B6244" s="15"/>
      <c r="C6244" s="9">
        <f>IFERROR(__xludf.DUMMYFUNCTION("""COMPUTED_VALUE"""),44731.5210147685)</f>
        <v>44731.52101</v>
      </c>
      <c r="D6244" s="15">
        <f>IFERROR(__xludf.DUMMYFUNCTION("""COMPUTED_VALUE"""),1.005)</f>
        <v>1.005</v>
      </c>
      <c r="E6244" s="16">
        <f>IFERROR(__xludf.DUMMYFUNCTION("""COMPUTED_VALUE"""),68.0)</f>
        <v>68</v>
      </c>
      <c r="F6244" s="19" t="str">
        <f>IFERROR(__xludf.DUMMYFUNCTION("""COMPUTED_VALUE"""),"BLACK")</f>
        <v>BLACK</v>
      </c>
      <c r="G6244" s="20" t="str">
        <f>IFERROR(__xludf.DUMMYFUNCTION("""COMPUTED_VALUE"""),"Uncle Sams Cider (5/13/2022)")</f>
        <v>Uncle Sams Cider (5/13/2022)</v>
      </c>
      <c r="H6244" s="19"/>
    </row>
    <row r="6245">
      <c r="A6245" s="9"/>
      <c r="B6245" s="15"/>
      <c r="C6245" s="9">
        <f>IFERROR(__xludf.DUMMYFUNCTION("""COMPUTED_VALUE"""),44731.5105825463)</f>
        <v>44731.51058</v>
      </c>
      <c r="D6245" s="15">
        <f>IFERROR(__xludf.DUMMYFUNCTION("""COMPUTED_VALUE"""),1.005)</f>
        <v>1.005</v>
      </c>
      <c r="E6245" s="16">
        <f>IFERROR(__xludf.DUMMYFUNCTION("""COMPUTED_VALUE"""),68.0)</f>
        <v>68</v>
      </c>
      <c r="F6245" s="19" t="str">
        <f>IFERROR(__xludf.DUMMYFUNCTION("""COMPUTED_VALUE"""),"BLACK")</f>
        <v>BLACK</v>
      </c>
      <c r="G6245" s="20" t="str">
        <f>IFERROR(__xludf.DUMMYFUNCTION("""COMPUTED_VALUE"""),"Uncle Sams Cider (5/13/2022)")</f>
        <v>Uncle Sams Cider (5/13/2022)</v>
      </c>
      <c r="H6245" s="19"/>
    </row>
    <row r="6246">
      <c r="A6246" s="9"/>
      <c r="B6246" s="15"/>
      <c r="C6246" s="9">
        <f>IFERROR(__xludf.DUMMYFUNCTION("""COMPUTED_VALUE"""),44731.5001614236)</f>
        <v>44731.50016</v>
      </c>
      <c r="D6246" s="15">
        <f>IFERROR(__xludf.DUMMYFUNCTION("""COMPUTED_VALUE"""),1.005)</f>
        <v>1.005</v>
      </c>
      <c r="E6246" s="16">
        <f>IFERROR(__xludf.DUMMYFUNCTION("""COMPUTED_VALUE"""),68.0)</f>
        <v>68</v>
      </c>
      <c r="F6246" s="19" t="str">
        <f>IFERROR(__xludf.DUMMYFUNCTION("""COMPUTED_VALUE"""),"BLACK")</f>
        <v>BLACK</v>
      </c>
      <c r="G6246" s="20" t="str">
        <f>IFERROR(__xludf.DUMMYFUNCTION("""COMPUTED_VALUE"""),"Uncle Sams Cider (5/13/2022)")</f>
        <v>Uncle Sams Cider (5/13/2022)</v>
      </c>
      <c r="H6246" s="19"/>
    </row>
    <row r="6247">
      <c r="A6247" s="9"/>
      <c r="B6247" s="15"/>
      <c r="C6247" s="9">
        <f>IFERROR(__xludf.DUMMYFUNCTION("""COMPUTED_VALUE"""),44731.4897406018)</f>
        <v>44731.48974</v>
      </c>
      <c r="D6247" s="15">
        <f>IFERROR(__xludf.DUMMYFUNCTION("""COMPUTED_VALUE"""),1.005)</f>
        <v>1.005</v>
      </c>
      <c r="E6247" s="16">
        <f>IFERROR(__xludf.DUMMYFUNCTION("""COMPUTED_VALUE"""),68.0)</f>
        <v>68</v>
      </c>
      <c r="F6247" s="19" t="str">
        <f>IFERROR(__xludf.DUMMYFUNCTION("""COMPUTED_VALUE"""),"BLACK")</f>
        <v>BLACK</v>
      </c>
      <c r="G6247" s="20" t="str">
        <f>IFERROR(__xludf.DUMMYFUNCTION("""COMPUTED_VALUE"""),"Uncle Sams Cider (5/13/2022)")</f>
        <v>Uncle Sams Cider (5/13/2022)</v>
      </c>
      <c r="H6247" s="19"/>
    </row>
    <row r="6248">
      <c r="A6248" s="9"/>
      <c r="B6248" s="15"/>
      <c r="C6248" s="9">
        <f>IFERROR(__xludf.DUMMYFUNCTION("""COMPUTED_VALUE"""),44731.4793197453)</f>
        <v>44731.47932</v>
      </c>
      <c r="D6248" s="15">
        <f>IFERROR(__xludf.DUMMYFUNCTION("""COMPUTED_VALUE"""),1.006)</f>
        <v>1.006</v>
      </c>
      <c r="E6248" s="16">
        <f>IFERROR(__xludf.DUMMYFUNCTION("""COMPUTED_VALUE"""),68.0)</f>
        <v>68</v>
      </c>
      <c r="F6248" s="19" t="str">
        <f>IFERROR(__xludf.DUMMYFUNCTION("""COMPUTED_VALUE"""),"BLACK")</f>
        <v>BLACK</v>
      </c>
      <c r="G6248" s="20" t="str">
        <f>IFERROR(__xludf.DUMMYFUNCTION("""COMPUTED_VALUE"""),"Uncle Sams Cider (5/13/2022)")</f>
        <v>Uncle Sams Cider (5/13/2022)</v>
      </c>
      <c r="H6248" s="19"/>
    </row>
    <row r="6249">
      <c r="A6249" s="9"/>
      <c r="B6249" s="15"/>
      <c r="C6249" s="9">
        <f>IFERROR(__xludf.DUMMYFUNCTION("""COMPUTED_VALUE"""),44731.4688976388)</f>
        <v>44731.4689</v>
      </c>
      <c r="D6249" s="15">
        <f>IFERROR(__xludf.DUMMYFUNCTION("""COMPUTED_VALUE"""),1.006)</f>
        <v>1.006</v>
      </c>
      <c r="E6249" s="16">
        <f>IFERROR(__xludf.DUMMYFUNCTION("""COMPUTED_VALUE"""),68.0)</f>
        <v>68</v>
      </c>
      <c r="F6249" s="19" t="str">
        <f>IFERROR(__xludf.DUMMYFUNCTION("""COMPUTED_VALUE"""),"BLACK")</f>
        <v>BLACK</v>
      </c>
      <c r="G6249" s="20" t="str">
        <f>IFERROR(__xludf.DUMMYFUNCTION("""COMPUTED_VALUE"""),"Uncle Sams Cider (5/13/2022)")</f>
        <v>Uncle Sams Cider (5/13/2022)</v>
      </c>
      <c r="H6249" s="19"/>
    </row>
    <row r="6250">
      <c r="A6250" s="9"/>
      <c r="B6250" s="15"/>
      <c r="C6250" s="9">
        <f>IFERROR(__xludf.DUMMYFUNCTION("""COMPUTED_VALUE"""),44731.45847603)</f>
        <v>44731.45848</v>
      </c>
      <c r="D6250" s="15">
        <f>IFERROR(__xludf.DUMMYFUNCTION("""COMPUTED_VALUE"""),1.005)</f>
        <v>1.005</v>
      </c>
      <c r="E6250" s="16">
        <f>IFERROR(__xludf.DUMMYFUNCTION("""COMPUTED_VALUE"""),68.0)</f>
        <v>68</v>
      </c>
      <c r="F6250" s="19" t="str">
        <f>IFERROR(__xludf.DUMMYFUNCTION("""COMPUTED_VALUE"""),"BLACK")</f>
        <v>BLACK</v>
      </c>
      <c r="G6250" s="20" t="str">
        <f>IFERROR(__xludf.DUMMYFUNCTION("""COMPUTED_VALUE"""),"Uncle Sams Cider (5/13/2022)")</f>
        <v>Uncle Sams Cider (5/13/2022)</v>
      </c>
      <c r="H6250" s="19"/>
    </row>
    <row r="6251">
      <c r="A6251" s="9"/>
      <c r="B6251" s="15"/>
      <c r="C6251" s="9">
        <f>IFERROR(__xludf.DUMMYFUNCTION("""COMPUTED_VALUE"""),44731.448042824)</f>
        <v>44731.44804</v>
      </c>
      <c r="D6251" s="15">
        <f>IFERROR(__xludf.DUMMYFUNCTION("""COMPUTED_VALUE"""),1.005)</f>
        <v>1.005</v>
      </c>
      <c r="E6251" s="16">
        <f>IFERROR(__xludf.DUMMYFUNCTION("""COMPUTED_VALUE"""),68.0)</f>
        <v>68</v>
      </c>
      <c r="F6251" s="19" t="str">
        <f>IFERROR(__xludf.DUMMYFUNCTION("""COMPUTED_VALUE"""),"BLACK")</f>
        <v>BLACK</v>
      </c>
      <c r="G6251" s="20" t="str">
        <f>IFERROR(__xludf.DUMMYFUNCTION("""COMPUTED_VALUE"""),"Uncle Sams Cider (5/13/2022)")</f>
        <v>Uncle Sams Cider (5/13/2022)</v>
      </c>
      <c r="H6251" s="19"/>
    </row>
    <row r="6252">
      <c r="A6252" s="9"/>
      <c r="B6252" s="15"/>
      <c r="C6252" s="9">
        <f>IFERROR(__xludf.DUMMYFUNCTION("""COMPUTED_VALUE"""),44731.4376105092)</f>
        <v>44731.43761</v>
      </c>
      <c r="D6252" s="15">
        <f>IFERROR(__xludf.DUMMYFUNCTION("""COMPUTED_VALUE"""),1.005)</f>
        <v>1.005</v>
      </c>
      <c r="E6252" s="16">
        <f>IFERROR(__xludf.DUMMYFUNCTION("""COMPUTED_VALUE"""),68.0)</f>
        <v>68</v>
      </c>
      <c r="F6252" s="19" t="str">
        <f>IFERROR(__xludf.DUMMYFUNCTION("""COMPUTED_VALUE"""),"BLACK")</f>
        <v>BLACK</v>
      </c>
      <c r="G6252" s="20" t="str">
        <f>IFERROR(__xludf.DUMMYFUNCTION("""COMPUTED_VALUE"""),"Uncle Sams Cider (5/13/2022)")</f>
        <v>Uncle Sams Cider (5/13/2022)</v>
      </c>
      <c r="H6252" s="19"/>
    </row>
    <row r="6253">
      <c r="A6253" s="9"/>
      <c r="B6253" s="15"/>
      <c r="C6253" s="9">
        <f>IFERROR(__xludf.DUMMYFUNCTION("""COMPUTED_VALUE"""),44731.4271438078)</f>
        <v>44731.42714</v>
      </c>
      <c r="D6253" s="15">
        <f>IFERROR(__xludf.DUMMYFUNCTION("""COMPUTED_VALUE"""),1.005)</f>
        <v>1.005</v>
      </c>
      <c r="E6253" s="16">
        <f>IFERROR(__xludf.DUMMYFUNCTION("""COMPUTED_VALUE"""),68.0)</f>
        <v>68</v>
      </c>
      <c r="F6253" s="19" t="str">
        <f>IFERROR(__xludf.DUMMYFUNCTION("""COMPUTED_VALUE"""),"BLACK")</f>
        <v>BLACK</v>
      </c>
      <c r="G6253" s="20" t="str">
        <f>IFERROR(__xludf.DUMMYFUNCTION("""COMPUTED_VALUE"""),"Uncle Sams Cider (5/13/2022)")</f>
        <v>Uncle Sams Cider (5/13/2022)</v>
      </c>
      <c r="H6253" s="19"/>
    </row>
    <row r="6254">
      <c r="A6254" s="9"/>
      <c r="B6254" s="15"/>
      <c r="C6254" s="9">
        <f>IFERROR(__xludf.DUMMYFUNCTION("""COMPUTED_VALUE"""),44731.4167117129)</f>
        <v>44731.41671</v>
      </c>
      <c r="D6254" s="15">
        <f>IFERROR(__xludf.DUMMYFUNCTION("""COMPUTED_VALUE"""),1.006)</f>
        <v>1.006</v>
      </c>
      <c r="E6254" s="16">
        <f>IFERROR(__xludf.DUMMYFUNCTION("""COMPUTED_VALUE"""),68.0)</f>
        <v>68</v>
      </c>
      <c r="F6254" s="19" t="str">
        <f>IFERROR(__xludf.DUMMYFUNCTION("""COMPUTED_VALUE"""),"BLACK")</f>
        <v>BLACK</v>
      </c>
      <c r="G6254" s="20" t="str">
        <f>IFERROR(__xludf.DUMMYFUNCTION("""COMPUTED_VALUE"""),"Uncle Sams Cider (5/13/2022)")</f>
        <v>Uncle Sams Cider (5/13/2022)</v>
      </c>
      <c r="H6254" s="19"/>
    </row>
    <row r="6255">
      <c r="A6255" s="9"/>
      <c r="B6255" s="15"/>
      <c r="C6255" s="9">
        <f>IFERROR(__xludf.DUMMYFUNCTION("""COMPUTED_VALUE"""),44731.4062786805)</f>
        <v>44731.40628</v>
      </c>
      <c r="D6255" s="15">
        <f>IFERROR(__xludf.DUMMYFUNCTION("""COMPUTED_VALUE"""),1.005)</f>
        <v>1.005</v>
      </c>
      <c r="E6255" s="16">
        <f>IFERROR(__xludf.DUMMYFUNCTION("""COMPUTED_VALUE"""),68.0)</f>
        <v>68</v>
      </c>
      <c r="F6255" s="19" t="str">
        <f>IFERROR(__xludf.DUMMYFUNCTION("""COMPUTED_VALUE"""),"BLACK")</f>
        <v>BLACK</v>
      </c>
      <c r="G6255" s="20" t="str">
        <f>IFERROR(__xludf.DUMMYFUNCTION("""COMPUTED_VALUE"""),"Uncle Sams Cider (5/13/2022)")</f>
        <v>Uncle Sams Cider (5/13/2022)</v>
      </c>
      <c r="H6255" s="19"/>
    </row>
    <row r="6256">
      <c r="A6256" s="9"/>
      <c r="B6256" s="15"/>
      <c r="C6256" s="9">
        <f>IFERROR(__xludf.DUMMYFUNCTION("""COMPUTED_VALUE"""),44731.3958577199)</f>
        <v>44731.39586</v>
      </c>
      <c r="D6256" s="15">
        <f>IFERROR(__xludf.DUMMYFUNCTION("""COMPUTED_VALUE"""),1.006)</f>
        <v>1.006</v>
      </c>
      <c r="E6256" s="16">
        <f>IFERROR(__xludf.DUMMYFUNCTION("""COMPUTED_VALUE"""),68.0)</f>
        <v>68</v>
      </c>
      <c r="F6256" s="19" t="str">
        <f>IFERROR(__xludf.DUMMYFUNCTION("""COMPUTED_VALUE"""),"BLACK")</f>
        <v>BLACK</v>
      </c>
      <c r="G6256" s="20" t="str">
        <f>IFERROR(__xludf.DUMMYFUNCTION("""COMPUTED_VALUE"""),"Uncle Sams Cider (5/13/2022)")</f>
        <v>Uncle Sams Cider (5/13/2022)</v>
      </c>
      <c r="H6256" s="19"/>
    </row>
    <row r="6257">
      <c r="A6257" s="9"/>
      <c r="B6257" s="15"/>
      <c r="C6257" s="9">
        <f>IFERROR(__xludf.DUMMYFUNCTION("""COMPUTED_VALUE"""),44731.3854378472)</f>
        <v>44731.38544</v>
      </c>
      <c r="D6257" s="15">
        <f>IFERROR(__xludf.DUMMYFUNCTION("""COMPUTED_VALUE"""),1.005)</f>
        <v>1.005</v>
      </c>
      <c r="E6257" s="16">
        <f>IFERROR(__xludf.DUMMYFUNCTION("""COMPUTED_VALUE"""),68.0)</f>
        <v>68</v>
      </c>
      <c r="F6257" s="19" t="str">
        <f>IFERROR(__xludf.DUMMYFUNCTION("""COMPUTED_VALUE"""),"BLACK")</f>
        <v>BLACK</v>
      </c>
      <c r="G6257" s="20" t="str">
        <f>IFERROR(__xludf.DUMMYFUNCTION("""COMPUTED_VALUE"""),"Uncle Sams Cider (5/13/2022)")</f>
        <v>Uncle Sams Cider (5/13/2022)</v>
      </c>
      <c r="H6257" s="19"/>
    </row>
    <row r="6258">
      <c r="A6258" s="9"/>
      <c r="B6258" s="15"/>
      <c r="C6258" s="9">
        <f>IFERROR(__xludf.DUMMYFUNCTION("""COMPUTED_VALUE"""),44731.374993287)</f>
        <v>44731.37499</v>
      </c>
      <c r="D6258" s="15">
        <f>IFERROR(__xludf.DUMMYFUNCTION("""COMPUTED_VALUE"""),1.006)</f>
        <v>1.006</v>
      </c>
      <c r="E6258" s="16">
        <f>IFERROR(__xludf.DUMMYFUNCTION("""COMPUTED_VALUE"""),68.0)</f>
        <v>68</v>
      </c>
      <c r="F6258" s="19" t="str">
        <f>IFERROR(__xludf.DUMMYFUNCTION("""COMPUTED_VALUE"""),"BLACK")</f>
        <v>BLACK</v>
      </c>
      <c r="G6258" s="20" t="str">
        <f>IFERROR(__xludf.DUMMYFUNCTION("""COMPUTED_VALUE"""),"Uncle Sams Cider (5/13/2022)")</f>
        <v>Uncle Sams Cider (5/13/2022)</v>
      </c>
      <c r="H6258" s="19"/>
    </row>
    <row r="6259">
      <c r="A6259" s="9"/>
      <c r="B6259" s="15"/>
      <c r="C6259" s="9">
        <f>IFERROR(__xludf.DUMMYFUNCTION("""COMPUTED_VALUE"""),44731.3645723495)</f>
        <v>44731.36457</v>
      </c>
      <c r="D6259" s="15">
        <f>IFERROR(__xludf.DUMMYFUNCTION("""COMPUTED_VALUE"""),1.005)</f>
        <v>1.005</v>
      </c>
      <c r="E6259" s="16">
        <f>IFERROR(__xludf.DUMMYFUNCTION("""COMPUTED_VALUE"""),68.0)</f>
        <v>68</v>
      </c>
      <c r="F6259" s="19" t="str">
        <f>IFERROR(__xludf.DUMMYFUNCTION("""COMPUTED_VALUE"""),"BLACK")</f>
        <v>BLACK</v>
      </c>
      <c r="G6259" s="20" t="str">
        <f>IFERROR(__xludf.DUMMYFUNCTION("""COMPUTED_VALUE"""),"Uncle Sams Cider (5/13/2022)")</f>
        <v>Uncle Sams Cider (5/13/2022)</v>
      </c>
      <c r="H6259" s="19"/>
    </row>
    <row r="6260">
      <c r="A6260" s="9"/>
      <c r="B6260" s="15"/>
      <c r="C6260" s="9">
        <f>IFERROR(__xludf.DUMMYFUNCTION("""COMPUTED_VALUE"""),44731.3541501157)</f>
        <v>44731.35415</v>
      </c>
      <c r="D6260" s="15">
        <f>IFERROR(__xludf.DUMMYFUNCTION("""COMPUTED_VALUE"""),1.005)</f>
        <v>1.005</v>
      </c>
      <c r="E6260" s="16">
        <f>IFERROR(__xludf.DUMMYFUNCTION("""COMPUTED_VALUE"""),68.0)</f>
        <v>68</v>
      </c>
      <c r="F6260" s="19" t="str">
        <f>IFERROR(__xludf.DUMMYFUNCTION("""COMPUTED_VALUE"""),"BLACK")</f>
        <v>BLACK</v>
      </c>
      <c r="G6260" s="20" t="str">
        <f>IFERROR(__xludf.DUMMYFUNCTION("""COMPUTED_VALUE"""),"Uncle Sams Cider (5/13/2022)")</f>
        <v>Uncle Sams Cider (5/13/2022)</v>
      </c>
      <c r="H6260" s="19"/>
    </row>
    <row r="6261">
      <c r="A6261" s="9"/>
      <c r="B6261" s="15"/>
      <c r="C6261" s="9">
        <f>IFERROR(__xludf.DUMMYFUNCTION("""COMPUTED_VALUE"""),44731.3437298958)</f>
        <v>44731.34373</v>
      </c>
      <c r="D6261" s="15">
        <f>IFERROR(__xludf.DUMMYFUNCTION("""COMPUTED_VALUE"""),1.005)</f>
        <v>1.005</v>
      </c>
      <c r="E6261" s="16">
        <f>IFERROR(__xludf.DUMMYFUNCTION("""COMPUTED_VALUE"""),68.0)</f>
        <v>68</v>
      </c>
      <c r="F6261" s="19" t="str">
        <f>IFERROR(__xludf.DUMMYFUNCTION("""COMPUTED_VALUE"""),"BLACK")</f>
        <v>BLACK</v>
      </c>
      <c r="G6261" s="20" t="str">
        <f>IFERROR(__xludf.DUMMYFUNCTION("""COMPUTED_VALUE"""),"Uncle Sams Cider (5/13/2022)")</f>
        <v>Uncle Sams Cider (5/13/2022)</v>
      </c>
      <c r="H6261" s="19"/>
    </row>
    <row r="6262">
      <c r="A6262" s="9"/>
      <c r="B6262" s="15"/>
      <c r="C6262" s="9">
        <f>IFERROR(__xludf.DUMMYFUNCTION("""COMPUTED_VALUE"""),44731.3333082986)</f>
        <v>44731.33331</v>
      </c>
      <c r="D6262" s="15">
        <f>IFERROR(__xludf.DUMMYFUNCTION("""COMPUTED_VALUE"""),1.005)</f>
        <v>1.005</v>
      </c>
      <c r="E6262" s="16">
        <f>IFERROR(__xludf.DUMMYFUNCTION("""COMPUTED_VALUE"""),68.0)</f>
        <v>68</v>
      </c>
      <c r="F6262" s="19" t="str">
        <f>IFERROR(__xludf.DUMMYFUNCTION("""COMPUTED_VALUE"""),"BLACK")</f>
        <v>BLACK</v>
      </c>
      <c r="G6262" s="20" t="str">
        <f>IFERROR(__xludf.DUMMYFUNCTION("""COMPUTED_VALUE"""),"Uncle Sams Cider (5/13/2022)")</f>
        <v>Uncle Sams Cider (5/13/2022)</v>
      </c>
      <c r="H6262" s="19"/>
    </row>
    <row r="6263">
      <c r="A6263" s="9"/>
      <c r="B6263" s="15"/>
      <c r="C6263" s="9">
        <f>IFERROR(__xludf.DUMMYFUNCTION("""COMPUTED_VALUE"""),44731.3228878125)</f>
        <v>44731.32289</v>
      </c>
      <c r="D6263" s="15">
        <f>IFERROR(__xludf.DUMMYFUNCTION("""COMPUTED_VALUE"""),1.005)</f>
        <v>1.005</v>
      </c>
      <c r="E6263" s="16">
        <f>IFERROR(__xludf.DUMMYFUNCTION("""COMPUTED_VALUE"""),68.0)</f>
        <v>68</v>
      </c>
      <c r="F6263" s="19" t="str">
        <f>IFERROR(__xludf.DUMMYFUNCTION("""COMPUTED_VALUE"""),"BLACK")</f>
        <v>BLACK</v>
      </c>
      <c r="G6263" s="20" t="str">
        <f>IFERROR(__xludf.DUMMYFUNCTION("""COMPUTED_VALUE"""),"Uncle Sams Cider (5/13/2022)")</f>
        <v>Uncle Sams Cider (5/13/2022)</v>
      </c>
      <c r="H6263" s="19"/>
    </row>
    <row r="6264">
      <c r="A6264" s="9"/>
      <c r="B6264" s="15"/>
      <c r="C6264" s="9">
        <f>IFERROR(__xludf.DUMMYFUNCTION("""COMPUTED_VALUE"""),44731.3124656134)</f>
        <v>44731.31247</v>
      </c>
      <c r="D6264" s="15">
        <f>IFERROR(__xludf.DUMMYFUNCTION("""COMPUTED_VALUE"""),1.005)</f>
        <v>1.005</v>
      </c>
      <c r="E6264" s="16">
        <f>IFERROR(__xludf.DUMMYFUNCTION("""COMPUTED_VALUE"""),68.0)</f>
        <v>68</v>
      </c>
      <c r="F6264" s="19" t="str">
        <f>IFERROR(__xludf.DUMMYFUNCTION("""COMPUTED_VALUE"""),"BLACK")</f>
        <v>BLACK</v>
      </c>
      <c r="G6264" s="20" t="str">
        <f>IFERROR(__xludf.DUMMYFUNCTION("""COMPUTED_VALUE"""),"Uncle Sams Cider (5/13/2022)")</f>
        <v>Uncle Sams Cider (5/13/2022)</v>
      </c>
      <c r="H6264" s="19"/>
    </row>
    <row r="6265">
      <c r="A6265" s="9"/>
      <c r="B6265" s="15"/>
      <c r="C6265" s="9">
        <f>IFERROR(__xludf.DUMMYFUNCTION("""COMPUTED_VALUE"""),44731.3020322685)</f>
        <v>44731.30203</v>
      </c>
      <c r="D6265" s="15">
        <f>IFERROR(__xludf.DUMMYFUNCTION("""COMPUTED_VALUE"""),1.005)</f>
        <v>1.005</v>
      </c>
      <c r="E6265" s="16">
        <f>IFERROR(__xludf.DUMMYFUNCTION("""COMPUTED_VALUE"""),68.0)</f>
        <v>68</v>
      </c>
      <c r="F6265" s="19" t="str">
        <f>IFERROR(__xludf.DUMMYFUNCTION("""COMPUTED_VALUE"""),"BLACK")</f>
        <v>BLACK</v>
      </c>
      <c r="G6265" s="20" t="str">
        <f>IFERROR(__xludf.DUMMYFUNCTION("""COMPUTED_VALUE"""),"Uncle Sams Cider (5/13/2022)")</f>
        <v>Uncle Sams Cider (5/13/2022)</v>
      </c>
      <c r="H6265" s="19"/>
    </row>
    <row r="6266">
      <c r="A6266" s="9"/>
      <c r="B6266" s="15"/>
      <c r="C6266" s="9">
        <f>IFERROR(__xludf.DUMMYFUNCTION("""COMPUTED_VALUE"""),44731.2916104282)</f>
        <v>44731.29161</v>
      </c>
      <c r="D6266" s="15">
        <f>IFERROR(__xludf.DUMMYFUNCTION("""COMPUTED_VALUE"""),1.006)</f>
        <v>1.006</v>
      </c>
      <c r="E6266" s="16">
        <f>IFERROR(__xludf.DUMMYFUNCTION("""COMPUTED_VALUE"""),68.0)</f>
        <v>68</v>
      </c>
      <c r="F6266" s="19" t="str">
        <f>IFERROR(__xludf.DUMMYFUNCTION("""COMPUTED_VALUE"""),"BLACK")</f>
        <v>BLACK</v>
      </c>
      <c r="G6266" s="20" t="str">
        <f>IFERROR(__xludf.DUMMYFUNCTION("""COMPUTED_VALUE"""),"Uncle Sams Cider (5/13/2022)")</f>
        <v>Uncle Sams Cider (5/13/2022)</v>
      </c>
      <c r="H6266" s="19"/>
    </row>
    <row r="6267">
      <c r="A6267" s="9"/>
      <c r="B6267" s="15"/>
      <c r="C6267" s="9">
        <f>IFERROR(__xludf.DUMMYFUNCTION("""COMPUTED_VALUE"""),44731.2811656828)</f>
        <v>44731.28117</v>
      </c>
      <c r="D6267" s="15">
        <f>IFERROR(__xludf.DUMMYFUNCTION("""COMPUTED_VALUE"""),1.006)</f>
        <v>1.006</v>
      </c>
      <c r="E6267" s="16">
        <f>IFERROR(__xludf.DUMMYFUNCTION("""COMPUTED_VALUE"""),68.0)</f>
        <v>68</v>
      </c>
      <c r="F6267" s="19" t="str">
        <f>IFERROR(__xludf.DUMMYFUNCTION("""COMPUTED_VALUE"""),"BLACK")</f>
        <v>BLACK</v>
      </c>
      <c r="G6267" s="20" t="str">
        <f>IFERROR(__xludf.DUMMYFUNCTION("""COMPUTED_VALUE"""),"Uncle Sams Cider (5/13/2022)")</f>
        <v>Uncle Sams Cider (5/13/2022)</v>
      </c>
      <c r="H6267" s="19"/>
    </row>
    <row r="6268">
      <c r="A6268" s="9"/>
      <c r="B6268" s="15"/>
      <c r="C6268" s="9">
        <f>IFERROR(__xludf.DUMMYFUNCTION("""COMPUTED_VALUE"""),44731.2707330092)</f>
        <v>44731.27073</v>
      </c>
      <c r="D6268" s="15">
        <f>IFERROR(__xludf.DUMMYFUNCTION("""COMPUTED_VALUE"""),1.006)</f>
        <v>1.006</v>
      </c>
      <c r="E6268" s="16">
        <f>IFERROR(__xludf.DUMMYFUNCTION("""COMPUTED_VALUE"""),68.0)</f>
        <v>68</v>
      </c>
      <c r="F6268" s="19" t="str">
        <f>IFERROR(__xludf.DUMMYFUNCTION("""COMPUTED_VALUE"""),"BLACK")</f>
        <v>BLACK</v>
      </c>
      <c r="G6268" s="20" t="str">
        <f>IFERROR(__xludf.DUMMYFUNCTION("""COMPUTED_VALUE"""),"Uncle Sams Cider (5/13/2022)")</f>
        <v>Uncle Sams Cider (5/13/2022)</v>
      </c>
      <c r="H6268" s="19"/>
    </row>
    <row r="6269">
      <c r="A6269" s="9"/>
      <c r="B6269" s="15"/>
      <c r="C6269" s="9">
        <f>IFERROR(__xludf.DUMMYFUNCTION("""COMPUTED_VALUE"""),44731.2603116782)</f>
        <v>44731.26031</v>
      </c>
      <c r="D6269" s="15">
        <f>IFERROR(__xludf.DUMMYFUNCTION("""COMPUTED_VALUE"""),1.006)</f>
        <v>1.006</v>
      </c>
      <c r="E6269" s="16">
        <f>IFERROR(__xludf.DUMMYFUNCTION("""COMPUTED_VALUE"""),68.0)</f>
        <v>68</v>
      </c>
      <c r="F6269" s="19" t="str">
        <f>IFERROR(__xludf.DUMMYFUNCTION("""COMPUTED_VALUE"""),"BLACK")</f>
        <v>BLACK</v>
      </c>
      <c r="G6269" s="20" t="str">
        <f>IFERROR(__xludf.DUMMYFUNCTION("""COMPUTED_VALUE"""),"Uncle Sams Cider (5/13/2022)")</f>
        <v>Uncle Sams Cider (5/13/2022)</v>
      </c>
      <c r="H6269" s="19"/>
    </row>
    <row r="6270">
      <c r="A6270" s="9"/>
      <c r="B6270" s="15"/>
      <c r="C6270" s="9">
        <f>IFERROR(__xludf.DUMMYFUNCTION("""COMPUTED_VALUE"""),44731.2498915046)</f>
        <v>44731.24989</v>
      </c>
      <c r="D6270" s="15">
        <f>IFERROR(__xludf.DUMMYFUNCTION("""COMPUTED_VALUE"""),1.006)</f>
        <v>1.006</v>
      </c>
      <c r="E6270" s="16">
        <f>IFERROR(__xludf.DUMMYFUNCTION("""COMPUTED_VALUE"""),68.0)</f>
        <v>68</v>
      </c>
      <c r="F6270" s="19" t="str">
        <f>IFERROR(__xludf.DUMMYFUNCTION("""COMPUTED_VALUE"""),"BLACK")</f>
        <v>BLACK</v>
      </c>
      <c r="G6270" s="20" t="str">
        <f>IFERROR(__xludf.DUMMYFUNCTION("""COMPUTED_VALUE"""),"Uncle Sams Cider (5/13/2022)")</f>
        <v>Uncle Sams Cider (5/13/2022)</v>
      </c>
      <c r="H6270" s="19"/>
    </row>
    <row r="6271">
      <c r="A6271" s="9"/>
      <c r="B6271" s="15"/>
      <c r="C6271" s="9">
        <f>IFERROR(__xludf.DUMMYFUNCTION("""COMPUTED_VALUE"""),44731.2394698958)</f>
        <v>44731.23947</v>
      </c>
      <c r="D6271" s="15">
        <f>IFERROR(__xludf.DUMMYFUNCTION("""COMPUTED_VALUE"""),1.005)</f>
        <v>1.005</v>
      </c>
      <c r="E6271" s="16">
        <f>IFERROR(__xludf.DUMMYFUNCTION("""COMPUTED_VALUE"""),68.0)</f>
        <v>68</v>
      </c>
      <c r="F6271" s="19" t="str">
        <f>IFERROR(__xludf.DUMMYFUNCTION("""COMPUTED_VALUE"""),"BLACK")</f>
        <v>BLACK</v>
      </c>
      <c r="G6271" s="20" t="str">
        <f>IFERROR(__xludf.DUMMYFUNCTION("""COMPUTED_VALUE"""),"Uncle Sams Cider (5/13/2022)")</f>
        <v>Uncle Sams Cider (5/13/2022)</v>
      </c>
      <c r="H6271" s="19"/>
    </row>
    <row r="6272">
      <c r="A6272" s="9"/>
      <c r="B6272" s="15"/>
      <c r="C6272" s="9">
        <f>IFERROR(__xludf.DUMMYFUNCTION("""COMPUTED_VALUE"""),44731.2290364351)</f>
        <v>44731.22904</v>
      </c>
      <c r="D6272" s="15">
        <f>IFERROR(__xludf.DUMMYFUNCTION("""COMPUTED_VALUE"""),1.005)</f>
        <v>1.005</v>
      </c>
      <c r="E6272" s="16">
        <f>IFERROR(__xludf.DUMMYFUNCTION("""COMPUTED_VALUE"""),68.0)</f>
        <v>68</v>
      </c>
      <c r="F6272" s="19" t="str">
        <f>IFERROR(__xludf.DUMMYFUNCTION("""COMPUTED_VALUE"""),"BLACK")</f>
        <v>BLACK</v>
      </c>
      <c r="G6272" s="20" t="str">
        <f>IFERROR(__xludf.DUMMYFUNCTION("""COMPUTED_VALUE"""),"Uncle Sams Cider (5/13/2022)")</f>
        <v>Uncle Sams Cider (5/13/2022)</v>
      </c>
      <c r="H6272" s="19"/>
    </row>
    <row r="6273">
      <c r="A6273" s="9"/>
      <c r="B6273" s="15"/>
      <c r="C6273" s="9">
        <f>IFERROR(__xludf.DUMMYFUNCTION("""COMPUTED_VALUE"""),44731.218613287)</f>
        <v>44731.21861</v>
      </c>
      <c r="D6273" s="15">
        <f>IFERROR(__xludf.DUMMYFUNCTION("""COMPUTED_VALUE"""),1.006)</f>
        <v>1.006</v>
      </c>
      <c r="E6273" s="16">
        <f>IFERROR(__xludf.DUMMYFUNCTION("""COMPUTED_VALUE"""),68.0)</f>
        <v>68</v>
      </c>
      <c r="F6273" s="19" t="str">
        <f>IFERROR(__xludf.DUMMYFUNCTION("""COMPUTED_VALUE"""),"BLACK")</f>
        <v>BLACK</v>
      </c>
      <c r="G6273" s="20" t="str">
        <f>IFERROR(__xludf.DUMMYFUNCTION("""COMPUTED_VALUE"""),"Uncle Sams Cider (5/13/2022)")</f>
        <v>Uncle Sams Cider (5/13/2022)</v>
      </c>
      <c r="H6273" s="19"/>
    </row>
    <row r="6274">
      <c r="A6274" s="9"/>
      <c r="B6274" s="15"/>
      <c r="C6274" s="9">
        <f>IFERROR(__xludf.DUMMYFUNCTION("""COMPUTED_VALUE"""),44731.2081792592)</f>
        <v>44731.20818</v>
      </c>
      <c r="D6274" s="15">
        <f>IFERROR(__xludf.DUMMYFUNCTION("""COMPUTED_VALUE"""),1.005)</f>
        <v>1.005</v>
      </c>
      <c r="E6274" s="16">
        <f>IFERROR(__xludf.DUMMYFUNCTION("""COMPUTED_VALUE"""),68.0)</f>
        <v>68</v>
      </c>
      <c r="F6274" s="19" t="str">
        <f>IFERROR(__xludf.DUMMYFUNCTION("""COMPUTED_VALUE"""),"BLACK")</f>
        <v>BLACK</v>
      </c>
      <c r="G6274" s="20" t="str">
        <f>IFERROR(__xludf.DUMMYFUNCTION("""COMPUTED_VALUE"""),"Uncle Sams Cider (5/13/2022)")</f>
        <v>Uncle Sams Cider (5/13/2022)</v>
      </c>
      <c r="H6274" s="19"/>
    </row>
    <row r="6275">
      <c r="A6275" s="9"/>
      <c r="B6275" s="15"/>
      <c r="C6275" s="9">
        <f>IFERROR(__xludf.DUMMYFUNCTION("""COMPUTED_VALUE"""),44731.1977576851)</f>
        <v>44731.19776</v>
      </c>
      <c r="D6275" s="15">
        <f>IFERROR(__xludf.DUMMYFUNCTION("""COMPUTED_VALUE"""),1.005)</f>
        <v>1.005</v>
      </c>
      <c r="E6275" s="16">
        <f>IFERROR(__xludf.DUMMYFUNCTION("""COMPUTED_VALUE"""),68.0)</f>
        <v>68</v>
      </c>
      <c r="F6275" s="19" t="str">
        <f>IFERROR(__xludf.DUMMYFUNCTION("""COMPUTED_VALUE"""),"BLACK")</f>
        <v>BLACK</v>
      </c>
      <c r="G6275" s="20" t="str">
        <f>IFERROR(__xludf.DUMMYFUNCTION("""COMPUTED_VALUE"""),"Uncle Sams Cider (5/13/2022)")</f>
        <v>Uncle Sams Cider (5/13/2022)</v>
      </c>
      <c r="H6275" s="19"/>
    </row>
    <row r="6276">
      <c r="A6276" s="9"/>
      <c r="B6276" s="15"/>
      <c r="C6276" s="9">
        <f>IFERROR(__xludf.DUMMYFUNCTION("""COMPUTED_VALUE"""),44731.1873253125)</f>
        <v>44731.18733</v>
      </c>
      <c r="D6276" s="15">
        <f>IFERROR(__xludf.DUMMYFUNCTION("""COMPUTED_VALUE"""),1.006)</f>
        <v>1.006</v>
      </c>
      <c r="E6276" s="16">
        <f>IFERROR(__xludf.DUMMYFUNCTION("""COMPUTED_VALUE"""),68.0)</f>
        <v>68</v>
      </c>
      <c r="F6276" s="19" t="str">
        <f>IFERROR(__xludf.DUMMYFUNCTION("""COMPUTED_VALUE"""),"BLACK")</f>
        <v>BLACK</v>
      </c>
      <c r="G6276" s="20" t="str">
        <f>IFERROR(__xludf.DUMMYFUNCTION("""COMPUTED_VALUE"""),"Uncle Sams Cider (5/13/2022)")</f>
        <v>Uncle Sams Cider (5/13/2022)</v>
      </c>
      <c r="H6276" s="19"/>
    </row>
    <row r="6277">
      <c r="A6277" s="9"/>
      <c r="B6277" s="15"/>
      <c r="C6277" s="9">
        <f>IFERROR(__xludf.DUMMYFUNCTION("""COMPUTED_VALUE"""),44731.1769043981)</f>
        <v>44731.1769</v>
      </c>
      <c r="D6277" s="15">
        <f>IFERROR(__xludf.DUMMYFUNCTION("""COMPUTED_VALUE"""),1.005)</f>
        <v>1.005</v>
      </c>
      <c r="E6277" s="16">
        <f>IFERROR(__xludf.DUMMYFUNCTION("""COMPUTED_VALUE"""),68.0)</f>
        <v>68</v>
      </c>
      <c r="F6277" s="19" t="str">
        <f>IFERROR(__xludf.DUMMYFUNCTION("""COMPUTED_VALUE"""),"BLACK")</f>
        <v>BLACK</v>
      </c>
      <c r="G6277" s="20" t="str">
        <f>IFERROR(__xludf.DUMMYFUNCTION("""COMPUTED_VALUE"""),"Uncle Sams Cider (5/13/2022)")</f>
        <v>Uncle Sams Cider (5/13/2022)</v>
      </c>
      <c r="H6277" s="19"/>
    </row>
    <row r="6278">
      <c r="A6278" s="9"/>
      <c r="B6278" s="15"/>
      <c r="C6278" s="9">
        <f>IFERROR(__xludf.DUMMYFUNCTION("""COMPUTED_VALUE"""),44731.1664837384)</f>
        <v>44731.16648</v>
      </c>
      <c r="D6278" s="15">
        <f>IFERROR(__xludf.DUMMYFUNCTION("""COMPUTED_VALUE"""),1.006)</f>
        <v>1.006</v>
      </c>
      <c r="E6278" s="16">
        <f>IFERROR(__xludf.DUMMYFUNCTION("""COMPUTED_VALUE"""),68.0)</f>
        <v>68</v>
      </c>
      <c r="F6278" s="19" t="str">
        <f>IFERROR(__xludf.DUMMYFUNCTION("""COMPUTED_VALUE"""),"BLACK")</f>
        <v>BLACK</v>
      </c>
      <c r="G6278" s="20" t="str">
        <f>IFERROR(__xludf.DUMMYFUNCTION("""COMPUTED_VALUE"""),"Uncle Sams Cider (5/13/2022)")</f>
        <v>Uncle Sams Cider (5/13/2022)</v>
      </c>
      <c r="H6278" s="19"/>
    </row>
    <row r="6279">
      <c r="A6279" s="9"/>
      <c r="B6279" s="15"/>
      <c r="C6279" s="9">
        <f>IFERROR(__xludf.DUMMYFUNCTION("""COMPUTED_VALUE"""),44731.1560505671)</f>
        <v>44731.15605</v>
      </c>
      <c r="D6279" s="15">
        <f>IFERROR(__xludf.DUMMYFUNCTION("""COMPUTED_VALUE"""),1.005)</f>
        <v>1.005</v>
      </c>
      <c r="E6279" s="16">
        <f>IFERROR(__xludf.DUMMYFUNCTION("""COMPUTED_VALUE"""),68.0)</f>
        <v>68</v>
      </c>
      <c r="F6279" s="19" t="str">
        <f>IFERROR(__xludf.DUMMYFUNCTION("""COMPUTED_VALUE"""),"BLACK")</f>
        <v>BLACK</v>
      </c>
      <c r="G6279" s="20" t="str">
        <f>IFERROR(__xludf.DUMMYFUNCTION("""COMPUTED_VALUE"""),"Uncle Sams Cider (5/13/2022)")</f>
        <v>Uncle Sams Cider (5/13/2022)</v>
      </c>
      <c r="H6279" s="19"/>
    </row>
    <row r="6280">
      <c r="A6280" s="9"/>
      <c r="B6280" s="15"/>
      <c r="C6280" s="9">
        <f>IFERROR(__xludf.DUMMYFUNCTION("""COMPUTED_VALUE"""),44731.1456293287)</f>
        <v>44731.14563</v>
      </c>
      <c r="D6280" s="15">
        <f>IFERROR(__xludf.DUMMYFUNCTION("""COMPUTED_VALUE"""),1.005)</f>
        <v>1.005</v>
      </c>
      <c r="E6280" s="16">
        <f>IFERROR(__xludf.DUMMYFUNCTION("""COMPUTED_VALUE"""),68.0)</f>
        <v>68</v>
      </c>
      <c r="F6280" s="19" t="str">
        <f>IFERROR(__xludf.DUMMYFUNCTION("""COMPUTED_VALUE"""),"BLACK")</f>
        <v>BLACK</v>
      </c>
      <c r="G6280" s="20" t="str">
        <f>IFERROR(__xludf.DUMMYFUNCTION("""COMPUTED_VALUE"""),"Uncle Sams Cider (5/13/2022)")</f>
        <v>Uncle Sams Cider (5/13/2022)</v>
      </c>
      <c r="H6280" s="19"/>
    </row>
    <row r="6281">
      <c r="A6281" s="9"/>
      <c r="B6281" s="15"/>
      <c r="C6281" s="9">
        <f>IFERROR(__xludf.DUMMYFUNCTION("""COMPUTED_VALUE"""),44731.1352086226)</f>
        <v>44731.13521</v>
      </c>
      <c r="D6281" s="15">
        <f>IFERROR(__xludf.DUMMYFUNCTION("""COMPUTED_VALUE"""),1.006)</f>
        <v>1.006</v>
      </c>
      <c r="E6281" s="16">
        <f>IFERROR(__xludf.DUMMYFUNCTION("""COMPUTED_VALUE"""),68.0)</f>
        <v>68</v>
      </c>
      <c r="F6281" s="19" t="str">
        <f>IFERROR(__xludf.DUMMYFUNCTION("""COMPUTED_VALUE"""),"BLACK")</f>
        <v>BLACK</v>
      </c>
      <c r="G6281" s="20" t="str">
        <f>IFERROR(__xludf.DUMMYFUNCTION("""COMPUTED_VALUE"""),"Uncle Sams Cider (5/13/2022)")</f>
        <v>Uncle Sams Cider (5/13/2022)</v>
      </c>
      <c r="H6281" s="19"/>
    </row>
    <row r="6282">
      <c r="A6282" s="9"/>
      <c r="B6282" s="15"/>
      <c r="C6282" s="9">
        <f>IFERROR(__xludf.DUMMYFUNCTION("""COMPUTED_VALUE"""),44731.1247855671)</f>
        <v>44731.12479</v>
      </c>
      <c r="D6282" s="15">
        <f>IFERROR(__xludf.DUMMYFUNCTION("""COMPUTED_VALUE"""),1.006)</f>
        <v>1.006</v>
      </c>
      <c r="E6282" s="16">
        <f>IFERROR(__xludf.DUMMYFUNCTION("""COMPUTED_VALUE"""),68.0)</f>
        <v>68</v>
      </c>
      <c r="F6282" s="19" t="str">
        <f>IFERROR(__xludf.DUMMYFUNCTION("""COMPUTED_VALUE"""),"BLACK")</f>
        <v>BLACK</v>
      </c>
      <c r="G6282" s="20" t="str">
        <f>IFERROR(__xludf.DUMMYFUNCTION("""COMPUTED_VALUE"""),"Uncle Sams Cider (5/13/2022)")</f>
        <v>Uncle Sams Cider (5/13/2022)</v>
      </c>
      <c r="H6282" s="19"/>
    </row>
    <row r="6283">
      <c r="A6283" s="9"/>
      <c r="B6283" s="15"/>
      <c r="C6283" s="9">
        <f>IFERROR(__xludf.DUMMYFUNCTION("""COMPUTED_VALUE"""),44731.1143647222)</f>
        <v>44731.11436</v>
      </c>
      <c r="D6283" s="15">
        <f>IFERROR(__xludf.DUMMYFUNCTION("""COMPUTED_VALUE"""),1.005)</f>
        <v>1.005</v>
      </c>
      <c r="E6283" s="16">
        <f>IFERROR(__xludf.DUMMYFUNCTION("""COMPUTED_VALUE"""),68.0)</f>
        <v>68</v>
      </c>
      <c r="F6283" s="19" t="str">
        <f>IFERROR(__xludf.DUMMYFUNCTION("""COMPUTED_VALUE"""),"BLACK")</f>
        <v>BLACK</v>
      </c>
      <c r="G6283" s="20" t="str">
        <f>IFERROR(__xludf.DUMMYFUNCTION("""COMPUTED_VALUE"""),"Uncle Sams Cider (5/13/2022)")</f>
        <v>Uncle Sams Cider (5/13/2022)</v>
      </c>
      <c r="H6283" s="19"/>
    </row>
    <row r="6284">
      <c r="A6284" s="9"/>
      <c r="B6284" s="15"/>
      <c r="C6284" s="9">
        <f>IFERROR(__xludf.DUMMYFUNCTION("""COMPUTED_VALUE"""),44731.1039315046)</f>
        <v>44731.10393</v>
      </c>
      <c r="D6284" s="15">
        <f>IFERROR(__xludf.DUMMYFUNCTION("""COMPUTED_VALUE"""),1.006)</f>
        <v>1.006</v>
      </c>
      <c r="E6284" s="16">
        <f>IFERROR(__xludf.DUMMYFUNCTION("""COMPUTED_VALUE"""),68.0)</f>
        <v>68</v>
      </c>
      <c r="F6284" s="19" t="str">
        <f>IFERROR(__xludf.DUMMYFUNCTION("""COMPUTED_VALUE"""),"BLACK")</f>
        <v>BLACK</v>
      </c>
      <c r="G6284" s="20" t="str">
        <f>IFERROR(__xludf.DUMMYFUNCTION("""COMPUTED_VALUE"""),"Uncle Sams Cider (5/13/2022)")</f>
        <v>Uncle Sams Cider (5/13/2022)</v>
      </c>
      <c r="H6284" s="19"/>
    </row>
    <row r="6285">
      <c r="A6285" s="9"/>
      <c r="B6285" s="15"/>
      <c r="C6285" s="9">
        <f>IFERROR(__xludf.DUMMYFUNCTION("""COMPUTED_VALUE"""),44731.0935096064)</f>
        <v>44731.09351</v>
      </c>
      <c r="D6285" s="15">
        <f>IFERROR(__xludf.DUMMYFUNCTION("""COMPUTED_VALUE"""),1.006)</f>
        <v>1.006</v>
      </c>
      <c r="E6285" s="16">
        <f>IFERROR(__xludf.DUMMYFUNCTION("""COMPUTED_VALUE"""),68.0)</f>
        <v>68</v>
      </c>
      <c r="F6285" s="19" t="str">
        <f>IFERROR(__xludf.DUMMYFUNCTION("""COMPUTED_VALUE"""),"BLACK")</f>
        <v>BLACK</v>
      </c>
      <c r="G6285" s="20" t="str">
        <f>IFERROR(__xludf.DUMMYFUNCTION("""COMPUTED_VALUE"""),"Uncle Sams Cider (5/13/2022)")</f>
        <v>Uncle Sams Cider (5/13/2022)</v>
      </c>
      <c r="H6285" s="19"/>
    </row>
    <row r="6286">
      <c r="A6286" s="9"/>
      <c r="B6286" s="15"/>
      <c r="C6286" s="9">
        <f>IFERROR(__xludf.DUMMYFUNCTION("""COMPUTED_VALUE"""),44731.0830904282)</f>
        <v>44731.08309</v>
      </c>
      <c r="D6286" s="15">
        <f>IFERROR(__xludf.DUMMYFUNCTION("""COMPUTED_VALUE"""),1.006)</f>
        <v>1.006</v>
      </c>
      <c r="E6286" s="16">
        <f>IFERROR(__xludf.DUMMYFUNCTION("""COMPUTED_VALUE"""),68.0)</f>
        <v>68</v>
      </c>
      <c r="F6286" s="19" t="str">
        <f>IFERROR(__xludf.DUMMYFUNCTION("""COMPUTED_VALUE"""),"BLACK")</f>
        <v>BLACK</v>
      </c>
      <c r="G6286" s="20" t="str">
        <f>IFERROR(__xludf.DUMMYFUNCTION("""COMPUTED_VALUE"""),"Uncle Sams Cider (5/13/2022)")</f>
        <v>Uncle Sams Cider (5/13/2022)</v>
      </c>
      <c r="H6286" s="19"/>
    </row>
    <row r="6287">
      <c r="A6287" s="9"/>
      <c r="B6287" s="15"/>
      <c r="C6287" s="9">
        <f>IFERROR(__xludf.DUMMYFUNCTION("""COMPUTED_VALUE"""),44731.0726695486)</f>
        <v>44731.07267</v>
      </c>
      <c r="D6287" s="15">
        <f>IFERROR(__xludf.DUMMYFUNCTION("""COMPUTED_VALUE"""),1.005)</f>
        <v>1.005</v>
      </c>
      <c r="E6287" s="16">
        <f>IFERROR(__xludf.DUMMYFUNCTION("""COMPUTED_VALUE"""),68.0)</f>
        <v>68</v>
      </c>
      <c r="F6287" s="19" t="str">
        <f>IFERROR(__xludf.DUMMYFUNCTION("""COMPUTED_VALUE"""),"BLACK")</f>
        <v>BLACK</v>
      </c>
      <c r="G6287" s="20" t="str">
        <f>IFERROR(__xludf.DUMMYFUNCTION("""COMPUTED_VALUE"""),"Uncle Sams Cider (5/13/2022)")</f>
        <v>Uncle Sams Cider (5/13/2022)</v>
      </c>
      <c r="H6287" s="19"/>
    </row>
    <row r="6288">
      <c r="A6288" s="9"/>
      <c r="B6288" s="15"/>
      <c r="C6288" s="9">
        <f>IFERROR(__xludf.DUMMYFUNCTION("""COMPUTED_VALUE"""),44731.062225405)</f>
        <v>44731.06223</v>
      </c>
      <c r="D6288" s="15">
        <f>IFERROR(__xludf.DUMMYFUNCTION("""COMPUTED_VALUE"""),1.005)</f>
        <v>1.005</v>
      </c>
      <c r="E6288" s="16">
        <f>IFERROR(__xludf.DUMMYFUNCTION("""COMPUTED_VALUE"""),68.0)</f>
        <v>68</v>
      </c>
      <c r="F6288" s="19" t="str">
        <f>IFERROR(__xludf.DUMMYFUNCTION("""COMPUTED_VALUE"""),"BLACK")</f>
        <v>BLACK</v>
      </c>
      <c r="G6288" s="20" t="str">
        <f>IFERROR(__xludf.DUMMYFUNCTION("""COMPUTED_VALUE"""),"Uncle Sams Cider (5/13/2022)")</f>
        <v>Uncle Sams Cider (5/13/2022)</v>
      </c>
      <c r="H6288" s="19"/>
    </row>
    <row r="6289">
      <c r="A6289" s="9"/>
      <c r="B6289" s="15"/>
      <c r="C6289" s="9">
        <f>IFERROR(__xludf.DUMMYFUNCTION("""COMPUTED_VALUE"""),44731.0518028819)</f>
        <v>44731.0518</v>
      </c>
      <c r="D6289" s="15">
        <f>IFERROR(__xludf.DUMMYFUNCTION("""COMPUTED_VALUE"""),1.006)</f>
        <v>1.006</v>
      </c>
      <c r="E6289" s="16">
        <f>IFERROR(__xludf.DUMMYFUNCTION("""COMPUTED_VALUE"""),68.0)</f>
        <v>68</v>
      </c>
      <c r="F6289" s="19" t="str">
        <f>IFERROR(__xludf.DUMMYFUNCTION("""COMPUTED_VALUE"""),"BLACK")</f>
        <v>BLACK</v>
      </c>
      <c r="G6289" s="20" t="str">
        <f>IFERROR(__xludf.DUMMYFUNCTION("""COMPUTED_VALUE"""),"Uncle Sams Cider (5/13/2022)")</f>
        <v>Uncle Sams Cider (5/13/2022)</v>
      </c>
      <c r="H6289" s="19"/>
    </row>
    <row r="6290">
      <c r="A6290" s="9"/>
      <c r="B6290" s="15"/>
      <c r="C6290" s="9">
        <f>IFERROR(__xludf.DUMMYFUNCTION("""COMPUTED_VALUE"""),44731.0413708101)</f>
        <v>44731.04137</v>
      </c>
      <c r="D6290" s="15">
        <f>IFERROR(__xludf.DUMMYFUNCTION("""COMPUTED_VALUE"""),1.005)</f>
        <v>1.005</v>
      </c>
      <c r="E6290" s="16">
        <f>IFERROR(__xludf.DUMMYFUNCTION("""COMPUTED_VALUE"""),68.0)</f>
        <v>68</v>
      </c>
      <c r="F6290" s="19" t="str">
        <f>IFERROR(__xludf.DUMMYFUNCTION("""COMPUTED_VALUE"""),"BLACK")</f>
        <v>BLACK</v>
      </c>
      <c r="G6290" s="20" t="str">
        <f>IFERROR(__xludf.DUMMYFUNCTION("""COMPUTED_VALUE"""),"Uncle Sams Cider (5/13/2022)")</f>
        <v>Uncle Sams Cider (5/13/2022)</v>
      </c>
      <c r="H6290" s="19"/>
    </row>
    <row r="6291">
      <c r="A6291" s="9"/>
      <c r="B6291" s="15"/>
      <c r="C6291" s="9">
        <f>IFERROR(__xludf.DUMMYFUNCTION("""COMPUTED_VALUE"""),44731.0309258449)</f>
        <v>44731.03093</v>
      </c>
      <c r="D6291" s="15">
        <f>IFERROR(__xludf.DUMMYFUNCTION("""COMPUTED_VALUE"""),1.005)</f>
        <v>1.005</v>
      </c>
      <c r="E6291" s="16">
        <f>IFERROR(__xludf.DUMMYFUNCTION("""COMPUTED_VALUE"""),68.0)</f>
        <v>68</v>
      </c>
      <c r="F6291" s="19" t="str">
        <f>IFERROR(__xludf.DUMMYFUNCTION("""COMPUTED_VALUE"""),"BLACK")</f>
        <v>BLACK</v>
      </c>
      <c r="G6291" s="20" t="str">
        <f>IFERROR(__xludf.DUMMYFUNCTION("""COMPUTED_VALUE"""),"Uncle Sams Cider (5/13/2022)")</f>
        <v>Uncle Sams Cider (5/13/2022)</v>
      </c>
      <c r="H6291" s="19"/>
    </row>
    <row r="6292">
      <c r="A6292" s="9"/>
      <c r="B6292" s="15"/>
      <c r="C6292" s="9">
        <f>IFERROR(__xludf.DUMMYFUNCTION("""COMPUTED_VALUE"""),44731.020504375)</f>
        <v>44731.0205</v>
      </c>
      <c r="D6292" s="15">
        <f>IFERROR(__xludf.DUMMYFUNCTION("""COMPUTED_VALUE"""),1.005)</f>
        <v>1.005</v>
      </c>
      <c r="E6292" s="16">
        <f>IFERROR(__xludf.DUMMYFUNCTION("""COMPUTED_VALUE"""),68.0)</f>
        <v>68</v>
      </c>
      <c r="F6292" s="19" t="str">
        <f>IFERROR(__xludf.DUMMYFUNCTION("""COMPUTED_VALUE"""),"BLACK")</f>
        <v>BLACK</v>
      </c>
      <c r="G6292" s="20" t="str">
        <f>IFERROR(__xludf.DUMMYFUNCTION("""COMPUTED_VALUE"""),"Uncle Sams Cider (5/13/2022)")</f>
        <v>Uncle Sams Cider (5/13/2022)</v>
      </c>
      <c r="H6292" s="19"/>
    </row>
    <row r="6293">
      <c r="A6293" s="9"/>
      <c r="B6293" s="15"/>
      <c r="C6293" s="9">
        <f>IFERROR(__xludf.DUMMYFUNCTION("""COMPUTED_VALUE"""),44731.0100827083)</f>
        <v>44731.01008</v>
      </c>
      <c r="D6293" s="15">
        <f>IFERROR(__xludf.DUMMYFUNCTION("""COMPUTED_VALUE"""),1.006)</f>
        <v>1.006</v>
      </c>
      <c r="E6293" s="16">
        <f>IFERROR(__xludf.DUMMYFUNCTION("""COMPUTED_VALUE"""),68.0)</f>
        <v>68</v>
      </c>
      <c r="F6293" s="19" t="str">
        <f>IFERROR(__xludf.DUMMYFUNCTION("""COMPUTED_VALUE"""),"BLACK")</f>
        <v>BLACK</v>
      </c>
      <c r="G6293" s="20" t="str">
        <f>IFERROR(__xludf.DUMMYFUNCTION("""COMPUTED_VALUE"""),"Uncle Sams Cider (5/13/2022)")</f>
        <v>Uncle Sams Cider (5/13/2022)</v>
      </c>
      <c r="H6293" s="19"/>
    </row>
    <row r="6294">
      <c r="A6294" s="9"/>
      <c r="B6294" s="15"/>
      <c r="C6294" s="9">
        <f>IFERROR(__xludf.DUMMYFUNCTION("""COMPUTED_VALUE"""),44730.9996631828)</f>
        <v>44730.99966</v>
      </c>
      <c r="D6294" s="15">
        <f>IFERROR(__xludf.DUMMYFUNCTION("""COMPUTED_VALUE"""),1.006)</f>
        <v>1.006</v>
      </c>
      <c r="E6294" s="16">
        <f>IFERROR(__xludf.DUMMYFUNCTION("""COMPUTED_VALUE"""),68.0)</f>
        <v>68</v>
      </c>
      <c r="F6294" s="19" t="str">
        <f>IFERROR(__xludf.DUMMYFUNCTION("""COMPUTED_VALUE"""),"BLACK")</f>
        <v>BLACK</v>
      </c>
      <c r="G6294" s="20" t="str">
        <f>IFERROR(__xludf.DUMMYFUNCTION("""COMPUTED_VALUE"""),"Uncle Sams Cider (5/13/2022)")</f>
        <v>Uncle Sams Cider (5/13/2022)</v>
      </c>
      <c r="H6294" s="19"/>
    </row>
    <row r="6295">
      <c r="A6295" s="9"/>
      <c r="B6295" s="15"/>
      <c r="C6295" s="9">
        <f>IFERROR(__xludf.DUMMYFUNCTION("""COMPUTED_VALUE"""),44730.9892426273)</f>
        <v>44730.98924</v>
      </c>
      <c r="D6295" s="15">
        <f>IFERROR(__xludf.DUMMYFUNCTION("""COMPUTED_VALUE"""),1.006)</f>
        <v>1.006</v>
      </c>
      <c r="E6295" s="16">
        <f>IFERROR(__xludf.DUMMYFUNCTION("""COMPUTED_VALUE"""),68.0)</f>
        <v>68</v>
      </c>
      <c r="F6295" s="19" t="str">
        <f>IFERROR(__xludf.DUMMYFUNCTION("""COMPUTED_VALUE"""),"BLACK")</f>
        <v>BLACK</v>
      </c>
      <c r="G6295" s="20" t="str">
        <f>IFERROR(__xludf.DUMMYFUNCTION("""COMPUTED_VALUE"""),"Uncle Sams Cider (5/13/2022)")</f>
        <v>Uncle Sams Cider (5/13/2022)</v>
      </c>
      <c r="H6295" s="19"/>
    </row>
    <row r="6296">
      <c r="A6296" s="9"/>
      <c r="B6296" s="15"/>
      <c r="C6296" s="9">
        <f>IFERROR(__xludf.DUMMYFUNCTION("""COMPUTED_VALUE"""),44730.9787974652)</f>
        <v>44730.9788</v>
      </c>
      <c r="D6296" s="15">
        <f>IFERROR(__xludf.DUMMYFUNCTION("""COMPUTED_VALUE"""),1.005)</f>
        <v>1.005</v>
      </c>
      <c r="E6296" s="16">
        <f>IFERROR(__xludf.DUMMYFUNCTION("""COMPUTED_VALUE"""),68.0)</f>
        <v>68</v>
      </c>
      <c r="F6296" s="19" t="str">
        <f>IFERROR(__xludf.DUMMYFUNCTION("""COMPUTED_VALUE"""),"BLACK")</f>
        <v>BLACK</v>
      </c>
      <c r="G6296" s="20" t="str">
        <f>IFERROR(__xludf.DUMMYFUNCTION("""COMPUTED_VALUE"""),"Uncle Sams Cider (5/13/2022)")</f>
        <v>Uncle Sams Cider (5/13/2022)</v>
      </c>
      <c r="H6296" s="19"/>
    </row>
    <row r="6297">
      <c r="A6297" s="9"/>
      <c r="B6297" s="15"/>
      <c r="C6297" s="9">
        <f>IFERROR(__xludf.DUMMYFUNCTION("""COMPUTED_VALUE"""),44730.9683632638)</f>
        <v>44730.96836</v>
      </c>
      <c r="D6297" s="15">
        <f>IFERROR(__xludf.DUMMYFUNCTION("""COMPUTED_VALUE"""),1.006)</f>
        <v>1.006</v>
      </c>
      <c r="E6297" s="16">
        <f>IFERROR(__xludf.DUMMYFUNCTION("""COMPUTED_VALUE"""),67.0)</f>
        <v>67</v>
      </c>
      <c r="F6297" s="19" t="str">
        <f>IFERROR(__xludf.DUMMYFUNCTION("""COMPUTED_VALUE"""),"BLACK")</f>
        <v>BLACK</v>
      </c>
      <c r="G6297" s="20" t="str">
        <f>IFERROR(__xludf.DUMMYFUNCTION("""COMPUTED_VALUE"""),"Uncle Sams Cider (5/13/2022)")</f>
        <v>Uncle Sams Cider (5/13/2022)</v>
      </c>
      <c r="H6297" s="19"/>
    </row>
    <row r="6298">
      <c r="A6298" s="9"/>
      <c r="B6298" s="15"/>
      <c r="C6298" s="9">
        <f>IFERROR(__xludf.DUMMYFUNCTION("""COMPUTED_VALUE"""),44730.9579406828)</f>
        <v>44730.95794</v>
      </c>
      <c r="D6298" s="15">
        <f>IFERROR(__xludf.DUMMYFUNCTION("""COMPUTED_VALUE"""),1.006)</f>
        <v>1.006</v>
      </c>
      <c r="E6298" s="16">
        <f>IFERROR(__xludf.DUMMYFUNCTION("""COMPUTED_VALUE"""),68.0)</f>
        <v>68</v>
      </c>
      <c r="F6298" s="19" t="str">
        <f>IFERROR(__xludf.DUMMYFUNCTION("""COMPUTED_VALUE"""),"BLACK")</f>
        <v>BLACK</v>
      </c>
      <c r="G6298" s="20" t="str">
        <f>IFERROR(__xludf.DUMMYFUNCTION("""COMPUTED_VALUE"""),"Uncle Sams Cider (5/13/2022)")</f>
        <v>Uncle Sams Cider (5/13/2022)</v>
      </c>
      <c r="H6298" s="19"/>
    </row>
    <row r="6299">
      <c r="A6299" s="9"/>
      <c r="B6299" s="15"/>
      <c r="C6299" s="9">
        <f>IFERROR(__xludf.DUMMYFUNCTION("""COMPUTED_VALUE"""),44730.9475206018)</f>
        <v>44730.94752</v>
      </c>
      <c r="D6299" s="15">
        <f>IFERROR(__xludf.DUMMYFUNCTION("""COMPUTED_VALUE"""),1.005)</f>
        <v>1.005</v>
      </c>
      <c r="E6299" s="16">
        <f>IFERROR(__xludf.DUMMYFUNCTION("""COMPUTED_VALUE"""),68.0)</f>
        <v>68</v>
      </c>
      <c r="F6299" s="19" t="str">
        <f>IFERROR(__xludf.DUMMYFUNCTION("""COMPUTED_VALUE"""),"BLACK")</f>
        <v>BLACK</v>
      </c>
      <c r="G6299" s="20" t="str">
        <f>IFERROR(__xludf.DUMMYFUNCTION("""COMPUTED_VALUE"""),"Uncle Sams Cider (5/13/2022)")</f>
        <v>Uncle Sams Cider (5/13/2022)</v>
      </c>
      <c r="H6299" s="19"/>
    </row>
    <row r="6300">
      <c r="A6300" s="9"/>
      <c r="B6300" s="15"/>
      <c r="C6300" s="9">
        <f>IFERROR(__xludf.DUMMYFUNCTION("""COMPUTED_VALUE"""),44730.9370993287)</f>
        <v>44730.9371</v>
      </c>
      <c r="D6300" s="15">
        <f>IFERROR(__xludf.DUMMYFUNCTION("""COMPUTED_VALUE"""),1.006)</f>
        <v>1.006</v>
      </c>
      <c r="E6300" s="16">
        <f>IFERROR(__xludf.DUMMYFUNCTION("""COMPUTED_VALUE"""),67.0)</f>
        <v>67</v>
      </c>
      <c r="F6300" s="19" t="str">
        <f>IFERROR(__xludf.DUMMYFUNCTION("""COMPUTED_VALUE"""),"BLACK")</f>
        <v>BLACK</v>
      </c>
      <c r="G6300" s="20" t="str">
        <f>IFERROR(__xludf.DUMMYFUNCTION("""COMPUTED_VALUE"""),"Uncle Sams Cider (5/13/2022)")</f>
        <v>Uncle Sams Cider (5/13/2022)</v>
      </c>
      <c r="H6300" s="19"/>
    </row>
    <row r="6301">
      <c r="A6301" s="9"/>
      <c r="B6301" s="15"/>
      <c r="C6301" s="9">
        <f>IFERROR(__xludf.DUMMYFUNCTION("""COMPUTED_VALUE"""),44730.926678287)</f>
        <v>44730.92668</v>
      </c>
      <c r="D6301" s="15">
        <f>IFERROR(__xludf.DUMMYFUNCTION("""COMPUTED_VALUE"""),1.006)</f>
        <v>1.006</v>
      </c>
      <c r="E6301" s="16">
        <f>IFERROR(__xludf.DUMMYFUNCTION("""COMPUTED_VALUE"""),67.0)</f>
        <v>67</v>
      </c>
      <c r="F6301" s="19" t="str">
        <f>IFERROR(__xludf.DUMMYFUNCTION("""COMPUTED_VALUE"""),"BLACK")</f>
        <v>BLACK</v>
      </c>
      <c r="G6301" s="20" t="str">
        <f>IFERROR(__xludf.DUMMYFUNCTION("""COMPUTED_VALUE"""),"Uncle Sams Cider (5/13/2022)")</f>
        <v>Uncle Sams Cider (5/13/2022)</v>
      </c>
      <c r="H6301" s="19"/>
    </row>
    <row r="6302">
      <c r="A6302" s="9"/>
      <c r="B6302" s="15"/>
      <c r="C6302" s="9">
        <f>IFERROR(__xludf.DUMMYFUNCTION("""COMPUTED_VALUE"""),44730.9162563078)</f>
        <v>44730.91626</v>
      </c>
      <c r="D6302" s="15">
        <f>IFERROR(__xludf.DUMMYFUNCTION("""COMPUTED_VALUE"""),1.006)</f>
        <v>1.006</v>
      </c>
      <c r="E6302" s="16">
        <f>IFERROR(__xludf.DUMMYFUNCTION("""COMPUTED_VALUE"""),67.0)</f>
        <v>67</v>
      </c>
      <c r="F6302" s="19" t="str">
        <f>IFERROR(__xludf.DUMMYFUNCTION("""COMPUTED_VALUE"""),"BLACK")</f>
        <v>BLACK</v>
      </c>
      <c r="G6302" s="20" t="str">
        <f>IFERROR(__xludf.DUMMYFUNCTION("""COMPUTED_VALUE"""),"Uncle Sams Cider (5/13/2022)")</f>
        <v>Uncle Sams Cider (5/13/2022)</v>
      </c>
      <c r="H6302" s="19"/>
    </row>
    <row r="6303">
      <c r="A6303" s="9"/>
      <c r="B6303" s="15"/>
      <c r="C6303" s="9">
        <f>IFERROR(__xludf.DUMMYFUNCTION("""COMPUTED_VALUE"""),44730.9058345023)</f>
        <v>44730.90583</v>
      </c>
      <c r="D6303" s="15">
        <f>IFERROR(__xludf.DUMMYFUNCTION("""COMPUTED_VALUE"""),1.006)</f>
        <v>1.006</v>
      </c>
      <c r="E6303" s="16">
        <f>IFERROR(__xludf.DUMMYFUNCTION("""COMPUTED_VALUE"""),67.0)</f>
        <v>67</v>
      </c>
      <c r="F6303" s="19" t="str">
        <f>IFERROR(__xludf.DUMMYFUNCTION("""COMPUTED_VALUE"""),"BLACK")</f>
        <v>BLACK</v>
      </c>
      <c r="G6303" s="20" t="str">
        <f>IFERROR(__xludf.DUMMYFUNCTION("""COMPUTED_VALUE"""),"Uncle Sams Cider (5/13/2022)")</f>
        <v>Uncle Sams Cider (5/13/2022)</v>
      </c>
      <c r="H6303" s="19"/>
    </row>
    <row r="6304">
      <c r="A6304" s="9"/>
      <c r="B6304" s="15"/>
      <c r="C6304" s="9">
        <f>IFERROR(__xludf.DUMMYFUNCTION("""COMPUTED_VALUE"""),44730.8954122106)</f>
        <v>44730.89541</v>
      </c>
      <c r="D6304" s="15">
        <f>IFERROR(__xludf.DUMMYFUNCTION("""COMPUTED_VALUE"""),1.006)</f>
        <v>1.006</v>
      </c>
      <c r="E6304" s="16">
        <f>IFERROR(__xludf.DUMMYFUNCTION("""COMPUTED_VALUE"""),67.0)</f>
        <v>67</v>
      </c>
      <c r="F6304" s="19" t="str">
        <f>IFERROR(__xludf.DUMMYFUNCTION("""COMPUTED_VALUE"""),"BLACK")</f>
        <v>BLACK</v>
      </c>
      <c r="G6304" s="20" t="str">
        <f>IFERROR(__xludf.DUMMYFUNCTION("""COMPUTED_VALUE"""),"Uncle Sams Cider (5/13/2022)")</f>
        <v>Uncle Sams Cider (5/13/2022)</v>
      </c>
      <c r="H6304" s="19"/>
    </row>
    <row r="6305">
      <c r="A6305" s="9"/>
      <c r="B6305" s="15"/>
      <c r="C6305" s="9">
        <f>IFERROR(__xludf.DUMMYFUNCTION("""COMPUTED_VALUE"""),44730.8849919675)</f>
        <v>44730.88499</v>
      </c>
      <c r="D6305" s="15">
        <f>IFERROR(__xludf.DUMMYFUNCTION("""COMPUTED_VALUE"""),1.006)</f>
        <v>1.006</v>
      </c>
      <c r="E6305" s="16">
        <f>IFERROR(__xludf.DUMMYFUNCTION("""COMPUTED_VALUE"""),67.0)</f>
        <v>67</v>
      </c>
      <c r="F6305" s="19" t="str">
        <f>IFERROR(__xludf.DUMMYFUNCTION("""COMPUTED_VALUE"""),"BLACK")</f>
        <v>BLACK</v>
      </c>
      <c r="G6305" s="20" t="str">
        <f>IFERROR(__xludf.DUMMYFUNCTION("""COMPUTED_VALUE"""),"Uncle Sams Cider (5/13/2022)")</f>
        <v>Uncle Sams Cider (5/13/2022)</v>
      </c>
      <c r="H6305" s="19"/>
    </row>
    <row r="6306">
      <c r="A6306" s="9"/>
      <c r="B6306" s="15"/>
      <c r="C6306" s="9">
        <f>IFERROR(__xludf.DUMMYFUNCTION("""COMPUTED_VALUE"""),44730.8745708333)</f>
        <v>44730.87457</v>
      </c>
      <c r="D6306" s="15">
        <f>IFERROR(__xludf.DUMMYFUNCTION("""COMPUTED_VALUE"""),1.006)</f>
        <v>1.006</v>
      </c>
      <c r="E6306" s="16">
        <f>IFERROR(__xludf.DUMMYFUNCTION("""COMPUTED_VALUE"""),67.0)</f>
        <v>67</v>
      </c>
      <c r="F6306" s="19" t="str">
        <f>IFERROR(__xludf.DUMMYFUNCTION("""COMPUTED_VALUE"""),"BLACK")</f>
        <v>BLACK</v>
      </c>
      <c r="G6306" s="20" t="str">
        <f>IFERROR(__xludf.DUMMYFUNCTION("""COMPUTED_VALUE"""),"Uncle Sams Cider (5/13/2022)")</f>
        <v>Uncle Sams Cider (5/13/2022)</v>
      </c>
      <c r="H6306" s="19"/>
    </row>
    <row r="6307">
      <c r="A6307" s="9"/>
      <c r="B6307" s="15"/>
      <c r="C6307" s="9">
        <f>IFERROR(__xludf.DUMMYFUNCTION("""COMPUTED_VALUE"""),44730.8641492129)</f>
        <v>44730.86415</v>
      </c>
      <c r="D6307" s="15">
        <f>IFERROR(__xludf.DUMMYFUNCTION("""COMPUTED_VALUE"""),1.006)</f>
        <v>1.006</v>
      </c>
      <c r="E6307" s="16">
        <f>IFERROR(__xludf.DUMMYFUNCTION("""COMPUTED_VALUE"""),67.0)</f>
        <v>67</v>
      </c>
      <c r="F6307" s="19" t="str">
        <f>IFERROR(__xludf.DUMMYFUNCTION("""COMPUTED_VALUE"""),"BLACK")</f>
        <v>BLACK</v>
      </c>
      <c r="G6307" s="20" t="str">
        <f>IFERROR(__xludf.DUMMYFUNCTION("""COMPUTED_VALUE"""),"Uncle Sams Cider (5/13/2022)")</f>
        <v>Uncle Sams Cider (5/13/2022)</v>
      </c>
      <c r="H6307" s="19"/>
    </row>
    <row r="6308">
      <c r="A6308" s="9"/>
      <c r="B6308" s="15"/>
      <c r="C6308" s="9">
        <f>IFERROR(__xludf.DUMMYFUNCTION("""COMPUTED_VALUE"""),44730.8537278125)</f>
        <v>44730.85373</v>
      </c>
      <c r="D6308" s="15">
        <f>IFERROR(__xludf.DUMMYFUNCTION("""COMPUTED_VALUE"""),1.006)</f>
        <v>1.006</v>
      </c>
      <c r="E6308" s="16">
        <f>IFERROR(__xludf.DUMMYFUNCTION("""COMPUTED_VALUE"""),67.0)</f>
        <v>67</v>
      </c>
      <c r="F6308" s="19" t="str">
        <f>IFERROR(__xludf.DUMMYFUNCTION("""COMPUTED_VALUE"""),"BLACK")</f>
        <v>BLACK</v>
      </c>
      <c r="G6308" s="20" t="str">
        <f>IFERROR(__xludf.DUMMYFUNCTION("""COMPUTED_VALUE"""),"Uncle Sams Cider (5/13/2022)")</f>
        <v>Uncle Sams Cider (5/13/2022)</v>
      </c>
      <c r="H6308" s="19"/>
    </row>
    <row r="6309">
      <c r="A6309" s="9"/>
      <c r="B6309" s="15"/>
      <c r="C6309" s="9">
        <f>IFERROR(__xludf.DUMMYFUNCTION("""COMPUTED_VALUE"""),44730.8433059375)</f>
        <v>44730.84331</v>
      </c>
      <c r="D6309" s="15">
        <f>IFERROR(__xludf.DUMMYFUNCTION("""COMPUTED_VALUE"""),1.006)</f>
        <v>1.006</v>
      </c>
      <c r="E6309" s="16">
        <f>IFERROR(__xludf.DUMMYFUNCTION("""COMPUTED_VALUE"""),67.0)</f>
        <v>67</v>
      </c>
      <c r="F6309" s="19" t="str">
        <f>IFERROR(__xludf.DUMMYFUNCTION("""COMPUTED_VALUE"""),"BLACK")</f>
        <v>BLACK</v>
      </c>
      <c r="G6309" s="20" t="str">
        <f>IFERROR(__xludf.DUMMYFUNCTION("""COMPUTED_VALUE"""),"Uncle Sams Cider (5/13/2022)")</f>
        <v>Uncle Sams Cider (5/13/2022)</v>
      </c>
      <c r="H6309" s="19"/>
    </row>
    <row r="6310">
      <c r="A6310" s="9"/>
      <c r="B6310" s="15"/>
      <c r="C6310" s="9">
        <f>IFERROR(__xludf.DUMMYFUNCTION("""COMPUTED_VALUE"""),44730.8328849884)</f>
        <v>44730.83288</v>
      </c>
      <c r="D6310" s="15">
        <f>IFERROR(__xludf.DUMMYFUNCTION("""COMPUTED_VALUE"""),1.005)</f>
        <v>1.005</v>
      </c>
      <c r="E6310" s="16">
        <f>IFERROR(__xludf.DUMMYFUNCTION("""COMPUTED_VALUE"""),67.0)</f>
        <v>67</v>
      </c>
      <c r="F6310" s="19" t="str">
        <f>IFERROR(__xludf.DUMMYFUNCTION("""COMPUTED_VALUE"""),"BLACK")</f>
        <v>BLACK</v>
      </c>
      <c r="G6310" s="20" t="str">
        <f>IFERROR(__xludf.DUMMYFUNCTION("""COMPUTED_VALUE"""),"Uncle Sams Cider (5/13/2022)")</f>
        <v>Uncle Sams Cider (5/13/2022)</v>
      </c>
      <c r="H6310" s="19"/>
    </row>
    <row r="6311">
      <c r="A6311" s="9"/>
      <c r="B6311" s="15"/>
      <c r="C6311" s="9">
        <f>IFERROR(__xludf.DUMMYFUNCTION("""COMPUTED_VALUE"""),44730.8224650347)</f>
        <v>44730.82247</v>
      </c>
      <c r="D6311" s="15">
        <f>IFERROR(__xludf.DUMMYFUNCTION("""COMPUTED_VALUE"""),1.006)</f>
        <v>1.006</v>
      </c>
      <c r="E6311" s="16">
        <f>IFERROR(__xludf.DUMMYFUNCTION("""COMPUTED_VALUE"""),67.0)</f>
        <v>67</v>
      </c>
      <c r="F6311" s="19" t="str">
        <f>IFERROR(__xludf.DUMMYFUNCTION("""COMPUTED_VALUE"""),"BLACK")</f>
        <v>BLACK</v>
      </c>
      <c r="G6311" s="20" t="str">
        <f>IFERROR(__xludf.DUMMYFUNCTION("""COMPUTED_VALUE"""),"Uncle Sams Cider (5/13/2022)")</f>
        <v>Uncle Sams Cider (5/13/2022)</v>
      </c>
      <c r="H6311" s="19"/>
    </row>
    <row r="6312">
      <c r="A6312" s="9"/>
      <c r="B6312" s="15"/>
      <c r="C6312" s="9">
        <f>IFERROR(__xludf.DUMMYFUNCTION("""COMPUTED_VALUE"""),44730.8120443981)</f>
        <v>44730.81204</v>
      </c>
      <c r="D6312" s="15">
        <f>IFERROR(__xludf.DUMMYFUNCTION("""COMPUTED_VALUE"""),1.006)</f>
        <v>1.006</v>
      </c>
      <c r="E6312" s="16">
        <f>IFERROR(__xludf.DUMMYFUNCTION("""COMPUTED_VALUE"""),67.0)</f>
        <v>67</v>
      </c>
      <c r="F6312" s="19" t="str">
        <f>IFERROR(__xludf.DUMMYFUNCTION("""COMPUTED_VALUE"""),"BLACK")</f>
        <v>BLACK</v>
      </c>
      <c r="G6312" s="20" t="str">
        <f>IFERROR(__xludf.DUMMYFUNCTION("""COMPUTED_VALUE"""),"Uncle Sams Cider (5/13/2022)")</f>
        <v>Uncle Sams Cider (5/13/2022)</v>
      </c>
      <c r="H6312" s="19"/>
    </row>
    <row r="6313">
      <c r="A6313" s="9"/>
      <c r="B6313" s="15"/>
      <c r="C6313" s="9">
        <f>IFERROR(__xludf.DUMMYFUNCTION("""COMPUTED_VALUE"""),44730.8016232407)</f>
        <v>44730.80162</v>
      </c>
      <c r="D6313" s="15">
        <f>IFERROR(__xludf.DUMMYFUNCTION("""COMPUTED_VALUE"""),1.006)</f>
        <v>1.006</v>
      </c>
      <c r="E6313" s="16">
        <f>IFERROR(__xludf.DUMMYFUNCTION("""COMPUTED_VALUE"""),67.0)</f>
        <v>67</v>
      </c>
      <c r="F6313" s="19" t="str">
        <f>IFERROR(__xludf.DUMMYFUNCTION("""COMPUTED_VALUE"""),"BLACK")</f>
        <v>BLACK</v>
      </c>
      <c r="G6313" s="20" t="str">
        <f>IFERROR(__xludf.DUMMYFUNCTION("""COMPUTED_VALUE"""),"Uncle Sams Cider (5/13/2022)")</f>
        <v>Uncle Sams Cider (5/13/2022)</v>
      </c>
      <c r="H6313" s="19"/>
    </row>
    <row r="6314">
      <c r="A6314" s="9"/>
      <c r="B6314" s="15"/>
      <c r="C6314" s="9">
        <f>IFERROR(__xludf.DUMMYFUNCTION("""COMPUTED_VALUE"""),44730.7912018981)</f>
        <v>44730.7912</v>
      </c>
      <c r="D6314" s="15">
        <f>IFERROR(__xludf.DUMMYFUNCTION("""COMPUTED_VALUE"""),1.006)</f>
        <v>1.006</v>
      </c>
      <c r="E6314" s="16">
        <f>IFERROR(__xludf.DUMMYFUNCTION("""COMPUTED_VALUE"""),67.0)</f>
        <v>67</v>
      </c>
      <c r="F6314" s="19" t="str">
        <f>IFERROR(__xludf.DUMMYFUNCTION("""COMPUTED_VALUE"""),"BLACK")</f>
        <v>BLACK</v>
      </c>
      <c r="G6314" s="20" t="str">
        <f>IFERROR(__xludf.DUMMYFUNCTION("""COMPUTED_VALUE"""),"Uncle Sams Cider (5/13/2022)")</f>
        <v>Uncle Sams Cider (5/13/2022)</v>
      </c>
      <c r="H6314" s="19"/>
    </row>
    <row r="6315">
      <c r="A6315" s="9"/>
      <c r="B6315" s="15"/>
      <c r="C6315" s="9">
        <f>IFERROR(__xludf.DUMMYFUNCTION("""COMPUTED_VALUE"""),44730.7807804282)</f>
        <v>44730.78078</v>
      </c>
      <c r="D6315" s="15">
        <f>IFERROR(__xludf.DUMMYFUNCTION("""COMPUTED_VALUE"""),1.006)</f>
        <v>1.006</v>
      </c>
      <c r="E6315" s="16">
        <f>IFERROR(__xludf.DUMMYFUNCTION("""COMPUTED_VALUE"""),67.0)</f>
        <v>67</v>
      </c>
      <c r="F6315" s="19" t="str">
        <f>IFERROR(__xludf.DUMMYFUNCTION("""COMPUTED_VALUE"""),"BLACK")</f>
        <v>BLACK</v>
      </c>
      <c r="G6315" s="20" t="str">
        <f>IFERROR(__xludf.DUMMYFUNCTION("""COMPUTED_VALUE"""),"Uncle Sams Cider (5/13/2022)")</f>
        <v>Uncle Sams Cider (5/13/2022)</v>
      </c>
      <c r="H6315" s="19"/>
    </row>
    <row r="6316">
      <c r="A6316" s="9"/>
      <c r="B6316" s="15"/>
      <c r="C6316" s="9">
        <f>IFERROR(__xludf.DUMMYFUNCTION("""COMPUTED_VALUE"""),44730.7703462963)</f>
        <v>44730.77035</v>
      </c>
      <c r="D6316" s="15">
        <f>IFERROR(__xludf.DUMMYFUNCTION("""COMPUTED_VALUE"""),1.006)</f>
        <v>1.006</v>
      </c>
      <c r="E6316" s="16">
        <f>IFERROR(__xludf.DUMMYFUNCTION("""COMPUTED_VALUE"""),67.0)</f>
        <v>67</v>
      </c>
      <c r="F6316" s="19" t="str">
        <f>IFERROR(__xludf.DUMMYFUNCTION("""COMPUTED_VALUE"""),"BLACK")</f>
        <v>BLACK</v>
      </c>
      <c r="G6316" s="20" t="str">
        <f>IFERROR(__xludf.DUMMYFUNCTION("""COMPUTED_VALUE"""),"Uncle Sams Cider (5/13/2022)")</f>
        <v>Uncle Sams Cider (5/13/2022)</v>
      </c>
      <c r="H6316" s="19"/>
    </row>
    <row r="6317">
      <c r="A6317" s="9"/>
      <c r="B6317" s="15"/>
      <c r="C6317" s="9">
        <f>IFERROR(__xludf.DUMMYFUNCTION("""COMPUTED_VALUE"""),44730.7599131944)</f>
        <v>44730.75991</v>
      </c>
      <c r="D6317" s="15">
        <f>IFERROR(__xludf.DUMMYFUNCTION("""COMPUTED_VALUE"""),1.005)</f>
        <v>1.005</v>
      </c>
      <c r="E6317" s="16">
        <f>IFERROR(__xludf.DUMMYFUNCTION("""COMPUTED_VALUE"""),67.0)</f>
        <v>67</v>
      </c>
      <c r="F6317" s="19" t="str">
        <f>IFERROR(__xludf.DUMMYFUNCTION("""COMPUTED_VALUE"""),"BLACK")</f>
        <v>BLACK</v>
      </c>
      <c r="G6317" s="20" t="str">
        <f>IFERROR(__xludf.DUMMYFUNCTION("""COMPUTED_VALUE"""),"Uncle Sams Cider (5/13/2022)")</f>
        <v>Uncle Sams Cider (5/13/2022)</v>
      </c>
      <c r="H6317" s="19"/>
    </row>
    <row r="6318">
      <c r="A6318" s="9"/>
      <c r="B6318" s="15"/>
      <c r="C6318" s="9">
        <f>IFERROR(__xludf.DUMMYFUNCTION("""COMPUTED_VALUE"""),44730.7494689467)</f>
        <v>44730.74947</v>
      </c>
      <c r="D6318" s="15">
        <f>IFERROR(__xludf.DUMMYFUNCTION("""COMPUTED_VALUE"""),1.005)</f>
        <v>1.005</v>
      </c>
      <c r="E6318" s="16">
        <f>IFERROR(__xludf.DUMMYFUNCTION("""COMPUTED_VALUE"""),67.0)</f>
        <v>67</v>
      </c>
      <c r="F6318" s="19" t="str">
        <f>IFERROR(__xludf.DUMMYFUNCTION("""COMPUTED_VALUE"""),"BLACK")</f>
        <v>BLACK</v>
      </c>
      <c r="G6318" s="20" t="str">
        <f>IFERROR(__xludf.DUMMYFUNCTION("""COMPUTED_VALUE"""),"Uncle Sams Cider (5/13/2022)")</f>
        <v>Uncle Sams Cider (5/13/2022)</v>
      </c>
      <c r="H6318" s="19"/>
    </row>
    <row r="6319">
      <c r="A6319" s="9"/>
      <c r="B6319" s="15"/>
      <c r="C6319" s="9">
        <f>IFERROR(__xludf.DUMMYFUNCTION("""COMPUTED_VALUE"""),44730.7390373148)</f>
        <v>44730.73904</v>
      </c>
      <c r="D6319" s="15">
        <f>IFERROR(__xludf.DUMMYFUNCTION("""COMPUTED_VALUE"""),1.006)</f>
        <v>1.006</v>
      </c>
      <c r="E6319" s="16">
        <f>IFERROR(__xludf.DUMMYFUNCTION("""COMPUTED_VALUE"""),67.0)</f>
        <v>67</v>
      </c>
      <c r="F6319" s="19" t="str">
        <f>IFERROR(__xludf.DUMMYFUNCTION("""COMPUTED_VALUE"""),"BLACK")</f>
        <v>BLACK</v>
      </c>
      <c r="G6319" s="20" t="str">
        <f>IFERROR(__xludf.DUMMYFUNCTION("""COMPUTED_VALUE"""),"Uncle Sams Cider (5/13/2022)")</f>
        <v>Uncle Sams Cider (5/13/2022)</v>
      </c>
      <c r="H6319" s="19"/>
    </row>
    <row r="6320">
      <c r="A6320" s="9"/>
      <c r="B6320" s="15"/>
      <c r="C6320" s="9">
        <f>IFERROR(__xludf.DUMMYFUNCTION("""COMPUTED_VALUE"""),44730.7286151157)</f>
        <v>44730.72862</v>
      </c>
      <c r="D6320" s="15">
        <f>IFERROR(__xludf.DUMMYFUNCTION("""COMPUTED_VALUE"""),1.006)</f>
        <v>1.006</v>
      </c>
      <c r="E6320" s="16">
        <f>IFERROR(__xludf.DUMMYFUNCTION("""COMPUTED_VALUE"""),67.0)</f>
        <v>67</v>
      </c>
      <c r="F6320" s="19" t="str">
        <f>IFERROR(__xludf.DUMMYFUNCTION("""COMPUTED_VALUE"""),"BLACK")</f>
        <v>BLACK</v>
      </c>
      <c r="G6320" s="20" t="str">
        <f>IFERROR(__xludf.DUMMYFUNCTION("""COMPUTED_VALUE"""),"Uncle Sams Cider (5/13/2022)")</f>
        <v>Uncle Sams Cider (5/13/2022)</v>
      </c>
      <c r="H6320" s="19"/>
    </row>
    <row r="6321">
      <c r="A6321" s="9"/>
      <c r="B6321" s="15"/>
      <c r="C6321" s="9">
        <f>IFERROR(__xludf.DUMMYFUNCTION("""COMPUTED_VALUE"""),44730.7181936921)</f>
        <v>44730.71819</v>
      </c>
      <c r="D6321" s="15">
        <f>IFERROR(__xludf.DUMMYFUNCTION("""COMPUTED_VALUE"""),1.006)</f>
        <v>1.006</v>
      </c>
      <c r="E6321" s="16">
        <f>IFERROR(__xludf.DUMMYFUNCTION("""COMPUTED_VALUE"""),67.0)</f>
        <v>67</v>
      </c>
      <c r="F6321" s="19" t="str">
        <f>IFERROR(__xludf.DUMMYFUNCTION("""COMPUTED_VALUE"""),"BLACK")</f>
        <v>BLACK</v>
      </c>
      <c r="G6321" s="20" t="str">
        <f>IFERROR(__xludf.DUMMYFUNCTION("""COMPUTED_VALUE"""),"Uncle Sams Cider (5/13/2022)")</f>
        <v>Uncle Sams Cider (5/13/2022)</v>
      </c>
      <c r="H6321" s="19"/>
    </row>
    <row r="6322">
      <c r="A6322" s="9"/>
      <c r="B6322" s="15"/>
      <c r="C6322" s="9">
        <f>IFERROR(__xludf.DUMMYFUNCTION("""COMPUTED_VALUE"""),44730.7077730324)</f>
        <v>44730.70777</v>
      </c>
      <c r="D6322" s="15">
        <f>IFERROR(__xludf.DUMMYFUNCTION("""COMPUTED_VALUE"""),1.005)</f>
        <v>1.005</v>
      </c>
      <c r="E6322" s="16">
        <f>IFERROR(__xludf.DUMMYFUNCTION("""COMPUTED_VALUE"""),67.0)</f>
        <v>67</v>
      </c>
      <c r="F6322" s="19" t="str">
        <f>IFERROR(__xludf.DUMMYFUNCTION("""COMPUTED_VALUE"""),"BLACK")</f>
        <v>BLACK</v>
      </c>
      <c r="G6322" s="20" t="str">
        <f>IFERROR(__xludf.DUMMYFUNCTION("""COMPUTED_VALUE"""),"Uncle Sams Cider (5/13/2022)")</f>
        <v>Uncle Sams Cider (5/13/2022)</v>
      </c>
      <c r="H6322" s="19"/>
    </row>
    <row r="6323">
      <c r="A6323" s="9"/>
      <c r="B6323" s="15"/>
      <c r="C6323" s="9">
        <f>IFERROR(__xludf.DUMMYFUNCTION("""COMPUTED_VALUE"""),44730.6973389467)</f>
        <v>44730.69734</v>
      </c>
      <c r="D6323" s="15">
        <f>IFERROR(__xludf.DUMMYFUNCTION("""COMPUTED_VALUE"""),1.006)</f>
        <v>1.006</v>
      </c>
      <c r="E6323" s="16">
        <f>IFERROR(__xludf.DUMMYFUNCTION("""COMPUTED_VALUE"""),67.0)</f>
        <v>67</v>
      </c>
      <c r="F6323" s="19" t="str">
        <f>IFERROR(__xludf.DUMMYFUNCTION("""COMPUTED_VALUE"""),"BLACK")</f>
        <v>BLACK</v>
      </c>
      <c r="G6323" s="20" t="str">
        <f>IFERROR(__xludf.DUMMYFUNCTION("""COMPUTED_VALUE"""),"Uncle Sams Cider (5/13/2022)")</f>
        <v>Uncle Sams Cider (5/13/2022)</v>
      </c>
      <c r="H6323" s="19"/>
    </row>
    <row r="6324">
      <c r="A6324" s="9"/>
      <c r="B6324" s="15"/>
      <c r="C6324" s="9">
        <f>IFERROR(__xludf.DUMMYFUNCTION("""COMPUTED_VALUE"""),44730.6869180092)</f>
        <v>44730.68692</v>
      </c>
      <c r="D6324" s="15">
        <f>IFERROR(__xludf.DUMMYFUNCTION("""COMPUTED_VALUE"""),1.006)</f>
        <v>1.006</v>
      </c>
      <c r="E6324" s="16">
        <f>IFERROR(__xludf.DUMMYFUNCTION("""COMPUTED_VALUE"""),67.0)</f>
        <v>67</v>
      </c>
      <c r="F6324" s="19" t="str">
        <f>IFERROR(__xludf.DUMMYFUNCTION("""COMPUTED_VALUE"""),"BLACK")</f>
        <v>BLACK</v>
      </c>
      <c r="G6324" s="20" t="str">
        <f>IFERROR(__xludf.DUMMYFUNCTION("""COMPUTED_VALUE"""),"Uncle Sams Cider (5/13/2022)")</f>
        <v>Uncle Sams Cider (5/13/2022)</v>
      </c>
      <c r="H6324" s="19"/>
    </row>
    <row r="6325">
      <c r="A6325" s="9"/>
      <c r="B6325" s="15"/>
      <c r="C6325" s="9">
        <f>IFERROR(__xludf.DUMMYFUNCTION("""COMPUTED_VALUE"""),44730.6764937615)</f>
        <v>44730.67649</v>
      </c>
      <c r="D6325" s="15">
        <f>IFERROR(__xludf.DUMMYFUNCTION("""COMPUTED_VALUE"""),1.005)</f>
        <v>1.005</v>
      </c>
      <c r="E6325" s="16">
        <f>IFERROR(__xludf.DUMMYFUNCTION("""COMPUTED_VALUE"""),67.0)</f>
        <v>67</v>
      </c>
      <c r="F6325" s="19" t="str">
        <f>IFERROR(__xludf.DUMMYFUNCTION("""COMPUTED_VALUE"""),"BLACK")</f>
        <v>BLACK</v>
      </c>
      <c r="G6325" s="20" t="str">
        <f>IFERROR(__xludf.DUMMYFUNCTION("""COMPUTED_VALUE"""),"Uncle Sams Cider (5/13/2022)")</f>
        <v>Uncle Sams Cider (5/13/2022)</v>
      </c>
      <c r="H6325" s="19"/>
    </row>
    <row r="6326">
      <c r="A6326" s="9"/>
      <c r="B6326" s="15"/>
      <c r="C6326" s="9">
        <f>IFERROR(__xludf.DUMMYFUNCTION("""COMPUTED_VALUE"""),44730.6660699189)</f>
        <v>44730.66607</v>
      </c>
      <c r="D6326" s="15">
        <f>IFERROR(__xludf.DUMMYFUNCTION("""COMPUTED_VALUE"""),1.005)</f>
        <v>1.005</v>
      </c>
      <c r="E6326" s="16">
        <f>IFERROR(__xludf.DUMMYFUNCTION("""COMPUTED_VALUE"""),67.0)</f>
        <v>67</v>
      </c>
      <c r="F6326" s="19" t="str">
        <f>IFERROR(__xludf.DUMMYFUNCTION("""COMPUTED_VALUE"""),"BLACK")</f>
        <v>BLACK</v>
      </c>
      <c r="G6326" s="20" t="str">
        <f>IFERROR(__xludf.DUMMYFUNCTION("""COMPUTED_VALUE"""),"Uncle Sams Cider (5/13/2022)")</f>
        <v>Uncle Sams Cider (5/13/2022)</v>
      </c>
      <c r="H6326" s="19"/>
    </row>
    <row r="6327">
      <c r="A6327" s="9"/>
      <c r="B6327" s="15"/>
      <c r="C6327" s="9">
        <f>IFERROR(__xludf.DUMMYFUNCTION("""COMPUTED_VALUE"""),44730.6556487847)</f>
        <v>44730.65565</v>
      </c>
      <c r="D6327" s="15">
        <f>IFERROR(__xludf.DUMMYFUNCTION("""COMPUTED_VALUE"""),1.006)</f>
        <v>1.006</v>
      </c>
      <c r="E6327" s="16">
        <f>IFERROR(__xludf.DUMMYFUNCTION("""COMPUTED_VALUE"""),67.0)</f>
        <v>67</v>
      </c>
      <c r="F6327" s="19" t="str">
        <f>IFERROR(__xludf.DUMMYFUNCTION("""COMPUTED_VALUE"""),"BLACK")</f>
        <v>BLACK</v>
      </c>
      <c r="G6327" s="20" t="str">
        <f>IFERROR(__xludf.DUMMYFUNCTION("""COMPUTED_VALUE"""),"Uncle Sams Cider (5/13/2022)")</f>
        <v>Uncle Sams Cider (5/13/2022)</v>
      </c>
      <c r="H6327" s="19"/>
    </row>
    <row r="6328">
      <c r="A6328" s="9"/>
      <c r="B6328" s="15"/>
      <c r="C6328" s="9">
        <f>IFERROR(__xludf.DUMMYFUNCTION("""COMPUTED_VALUE"""),44730.6452266087)</f>
        <v>44730.64523</v>
      </c>
      <c r="D6328" s="15">
        <f>IFERROR(__xludf.DUMMYFUNCTION("""COMPUTED_VALUE"""),1.006)</f>
        <v>1.006</v>
      </c>
      <c r="E6328" s="16">
        <f>IFERROR(__xludf.DUMMYFUNCTION("""COMPUTED_VALUE"""),67.0)</f>
        <v>67</v>
      </c>
      <c r="F6328" s="19" t="str">
        <f>IFERROR(__xludf.DUMMYFUNCTION("""COMPUTED_VALUE"""),"BLACK")</f>
        <v>BLACK</v>
      </c>
      <c r="G6328" s="20" t="str">
        <f>IFERROR(__xludf.DUMMYFUNCTION("""COMPUTED_VALUE"""),"Uncle Sams Cider (5/13/2022)")</f>
        <v>Uncle Sams Cider (5/13/2022)</v>
      </c>
      <c r="H6328" s="19"/>
    </row>
    <row r="6329">
      <c r="A6329" s="9"/>
      <c r="B6329" s="15"/>
      <c r="C6329" s="9">
        <f>IFERROR(__xludf.DUMMYFUNCTION("""COMPUTED_VALUE"""),44730.6347951851)</f>
        <v>44730.6348</v>
      </c>
      <c r="D6329" s="15">
        <f>IFERROR(__xludf.DUMMYFUNCTION("""COMPUTED_VALUE"""),1.006)</f>
        <v>1.006</v>
      </c>
      <c r="E6329" s="16">
        <f>IFERROR(__xludf.DUMMYFUNCTION("""COMPUTED_VALUE"""),67.0)</f>
        <v>67</v>
      </c>
      <c r="F6329" s="19" t="str">
        <f>IFERROR(__xludf.DUMMYFUNCTION("""COMPUTED_VALUE"""),"BLACK")</f>
        <v>BLACK</v>
      </c>
      <c r="G6329" s="20" t="str">
        <f>IFERROR(__xludf.DUMMYFUNCTION("""COMPUTED_VALUE"""),"Uncle Sams Cider (5/13/2022)")</f>
        <v>Uncle Sams Cider (5/13/2022)</v>
      </c>
      <c r="H6329" s="19"/>
    </row>
    <row r="6330">
      <c r="A6330" s="9"/>
      <c r="B6330" s="15"/>
      <c r="C6330" s="9">
        <f>IFERROR(__xludf.DUMMYFUNCTION("""COMPUTED_VALUE"""),44730.6243732523)</f>
        <v>44730.62437</v>
      </c>
      <c r="D6330" s="15">
        <f>IFERROR(__xludf.DUMMYFUNCTION("""COMPUTED_VALUE"""),1.005)</f>
        <v>1.005</v>
      </c>
      <c r="E6330" s="16">
        <f>IFERROR(__xludf.DUMMYFUNCTION("""COMPUTED_VALUE"""),67.0)</f>
        <v>67</v>
      </c>
      <c r="F6330" s="19" t="str">
        <f>IFERROR(__xludf.DUMMYFUNCTION("""COMPUTED_VALUE"""),"BLACK")</f>
        <v>BLACK</v>
      </c>
      <c r="G6330" s="20" t="str">
        <f>IFERROR(__xludf.DUMMYFUNCTION("""COMPUTED_VALUE"""),"Uncle Sams Cider (5/13/2022)")</f>
        <v>Uncle Sams Cider (5/13/2022)</v>
      </c>
      <c r="H6330" s="19"/>
    </row>
    <row r="6331">
      <c r="A6331" s="9"/>
      <c r="B6331" s="15"/>
      <c r="C6331" s="9">
        <f>IFERROR(__xludf.DUMMYFUNCTION("""COMPUTED_VALUE"""),44730.6139409722)</f>
        <v>44730.61394</v>
      </c>
      <c r="D6331" s="15">
        <f>IFERROR(__xludf.DUMMYFUNCTION("""COMPUTED_VALUE"""),1.005)</f>
        <v>1.005</v>
      </c>
      <c r="E6331" s="16">
        <f>IFERROR(__xludf.DUMMYFUNCTION("""COMPUTED_VALUE"""),67.0)</f>
        <v>67</v>
      </c>
      <c r="F6331" s="19" t="str">
        <f>IFERROR(__xludf.DUMMYFUNCTION("""COMPUTED_VALUE"""),"BLACK")</f>
        <v>BLACK</v>
      </c>
      <c r="G6331" s="20" t="str">
        <f>IFERROR(__xludf.DUMMYFUNCTION("""COMPUTED_VALUE"""),"Uncle Sams Cider (5/13/2022)")</f>
        <v>Uncle Sams Cider (5/13/2022)</v>
      </c>
      <c r="H6331" s="19"/>
    </row>
    <row r="6332">
      <c r="A6332" s="9"/>
      <c r="B6332" s="15"/>
      <c r="C6332" s="9">
        <f>IFERROR(__xludf.DUMMYFUNCTION("""COMPUTED_VALUE"""),44730.6035204398)</f>
        <v>44730.60352</v>
      </c>
      <c r="D6332" s="15">
        <f>IFERROR(__xludf.DUMMYFUNCTION("""COMPUTED_VALUE"""),1.005)</f>
        <v>1.005</v>
      </c>
      <c r="E6332" s="16">
        <f>IFERROR(__xludf.DUMMYFUNCTION("""COMPUTED_VALUE"""),67.0)</f>
        <v>67</v>
      </c>
      <c r="F6332" s="19" t="str">
        <f>IFERROR(__xludf.DUMMYFUNCTION("""COMPUTED_VALUE"""),"BLACK")</f>
        <v>BLACK</v>
      </c>
      <c r="G6332" s="20" t="str">
        <f>IFERROR(__xludf.DUMMYFUNCTION("""COMPUTED_VALUE"""),"Uncle Sams Cider (5/13/2022)")</f>
        <v>Uncle Sams Cider (5/13/2022)</v>
      </c>
      <c r="H6332" s="19"/>
    </row>
    <row r="6333">
      <c r="A6333" s="9"/>
      <c r="B6333" s="15"/>
      <c r="C6333" s="9">
        <f>IFERROR(__xludf.DUMMYFUNCTION("""COMPUTED_VALUE"""),44730.593100243)</f>
        <v>44730.5931</v>
      </c>
      <c r="D6333" s="15">
        <f>IFERROR(__xludf.DUMMYFUNCTION("""COMPUTED_VALUE"""),1.006)</f>
        <v>1.006</v>
      </c>
      <c r="E6333" s="16">
        <f>IFERROR(__xludf.DUMMYFUNCTION("""COMPUTED_VALUE"""),67.0)</f>
        <v>67</v>
      </c>
      <c r="F6333" s="19" t="str">
        <f>IFERROR(__xludf.DUMMYFUNCTION("""COMPUTED_VALUE"""),"BLACK")</f>
        <v>BLACK</v>
      </c>
      <c r="G6333" s="20" t="str">
        <f>IFERROR(__xludf.DUMMYFUNCTION("""COMPUTED_VALUE"""),"Uncle Sams Cider (5/13/2022)")</f>
        <v>Uncle Sams Cider (5/13/2022)</v>
      </c>
      <c r="H6333" s="19"/>
    </row>
    <row r="6334">
      <c r="A6334" s="9"/>
      <c r="B6334" s="15"/>
      <c r="C6334" s="9">
        <f>IFERROR(__xludf.DUMMYFUNCTION("""COMPUTED_VALUE"""),44730.582677581)</f>
        <v>44730.58268</v>
      </c>
      <c r="D6334" s="15">
        <f>IFERROR(__xludf.DUMMYFUNCTION("""COMPUTED_VALUE"""),1.005)</f>
        <v>1.005</v>
      </c>
      <c r="E6334" s="16">
        <f>IFERROR(__xludf.DUMMYFUNCTION("""COMPUTED_VALUE"""),67.0)</f>
        <v>67</v>
      </c>
      <c r="F6334" s="19" t="str">
        <f>IFERROR(__xludf.DUMMYFUNCTION("""COMPUTED_VALUE"""),"BLACK")</f>
        <v>BLACK</v>
      </c>
      <c r="G6334" s="20" t="str">
        <f>IFERROR(__xludf.DUMMYFUNCTION("""COMPUTED_VALUE"""),"Uncle Sams Cider (5/13/2022)")</f>
        <v>Uncle Sams Cider (5/13/2022)</v>
      </c>
      <c r="H6334" s="19"/>
    </row>
    <row r="6335">
      <c r="A6335" s="9"/>
      <c r="B6335" s="15"/>
      <c r="C6335" s="9">
        <f>IFERROR(__xludf.DUMMYFUNCTION("""COMPUTED_VALUE"""),44730.5722571875)</f>
        <v>44730.57226</v>
      </c>
      <c r="D6335" s="15">
        <f>IFERROR(__xludf.DUMMYFUNCTION("""COMPUTED_VALUE"""),1.006)</f>
        <v>1.006</v>
      </c>
      <c r="E6335" s="16">
        <f>IFERROR(__xludf.DUMMYFUNCTION("""COMPUTED_VALUE"""),67.0)</f>
        <v>67</v>
      </c>
      <c r="F6335" s="19" t="str">
        <f>IFERROR(__xludf.DUMMYFUNCTION("""COMPUTED_VALUE"""),"BLACK")</f>
        <v>BLACK</v>
      </c>
      <c r="G6335" s="20" t="str">
        <f>IFERROR(__xludf.DUMMYFUNCTION("""COMPUTED_VALUE"""),"Uncle Sams Cider (5/13/2022)")</f>
        <v>Uncle Sams Cider (5/13/2022)</v>
      </c>
      <c r="H6335" s="19"/>
    </row>
    <row r="6336">
      <c r="A6336" s="9"/>
      <c r="B6336" s="15"/>
      <c r="C6336" s="9">
        <f>IFERROR(__xludf.DUMMYFUNCTION("""COMPUTED_VALUE"""),44730.5618366898)</f>
        <v>44730.56184</v>
      </c>
      <c r="D6336" s="15">
        <f>IFERROR(__xludf.DUMMYFUNCTION("""COMPUTED_VALUE"""),1.005)</f>
        <v>1.005</v>
      </c>
      <c r="E6336" s="16">
        <f>IFERROR(__xludf.DUMMYFUNCTION("""COMPUTED_VALUE"""),67.0)</f>
        <v>67</v>
      </c>
      <c r="F6336" s="19" t="str">
        <f>IFERROR(__xludf.DUMMYFUNCTION("""COMPUTED_VALUE"""),"BLACK")</f>
        <v>BLACK</v>
      </c>
      <c r="G6336" s="20" t="str">
        <f>IFERROR(__xludf.DUMMYFUNCTION("""COMPUTED_VALUE"""),"Uncle Sams Cider (5/13/2022)")</f>
        <v>Uncle Sams Cider (5/13/2022)</v>
      </c>
      <c r="H6336" s="19"/>
    </row>
    <row r="6337">
      <c r="A6337" s="9"/>
      <c r="B6337" s="15"/>
      <c r="C6337" s="9">
        <f>IFERROR(__xludf.DUMMYFUNCTION("""COMPUTED_VALUE"""),44730.5514151041)</f>
        <v>44730.55142</v>
      </c>
      <c r="D6337" s="15">
        <f>IFERROR(__xludf.DUMMYFUNCTION("""COMPUTED_VALUE"""),1.006)</f>
        <v>1.006</v>
      </c>
      <c r="E6337" s="16">
        <f>IFERROR(__xludf.DUMMYFUNCTION("""COMPUTED_VALUE"""),67.0)</f>
        <v>67</v>
      </c>
      <c r="F6337" s="19" t="str">
        <f>IFERROR(__xludf.DUMMYFUNCTION("""COMPUTED_VALUE"""),"BLACK")</f>
        <v>BLACK</v>
      </c>
      <c r="G6337" s="20" t="str">
        <f>IFERROR(__xludf.DUMMYFUNCTION("""COMPUTED_VALUE"""),"Uncle Sams Cider (5/13/2022)")</f>
        <v>Uncle Sams Cider (5/13/2022)</v>
      </c>
      <c r="H6337" s="19"/>
    </row>
    <row r="6338">
      <c r="A6338" s="9"/>
      <c r="B6338" s="15"/>
      <c r="C6338" s="9">
        <f>IFERROR(__xludf.DUMMYFUNCTION("""COMPUTED_VALUE"""),44730.5409944212)</f>
        <v>44730.54099</v>
      </c>
      <c r="D6338" s="15">
        <f>IFERROR(__xludf.DUMMYFUNCTION("""COMPUTED_VALUE"""),1.006)</f>
        <v>1.006</v>
      </c>
      <c r="E6338" s="16">
        <f>IFERROR(__xludf.DUMMYFUNCTION("""COMPUTED_VALUE"""),67.0)</f>
        <v>67</v>
      </c>
      <c r="F6338" s="19" t="str">
        <f>IFERROR(__xludf.DUMMYFUNCTION("""COMPUTED_VALUE"""),"BLACK")</f>
        <v>BLACK</v>
      </c>
      <c r="G6338" s="20" t="str">
        <f>IFERROR(__xludf.DUMMYFUNCTION("""COMPUTED_VALUE"""),"Uncle Sams Cider (5/13/2022)")</f>
        <v>Uncle Sams Cider (5/13/2022)</v>
      </c>
      <c r="H6338" s="19"/>
    </row>
    <row r="6339">
      <c r="A6339" s="9"/>
      <c r="B6339" s="15"/>
      <c r="C6339" s="9">
        <f>IFERROR(__xludf.DUMMYFUNCTION("""COMPUTED_VALUE"""),44730.5305727314)</f>
        <v>44730.53057</v>
      </c>
      <c r="D6339" s="15">
        <f>IFERROR(__xludf.DUMMYFUNCTION("""COMPUTED_VALUE"""),1.005)</f>
        <v>1.005</v>
      </c>
      <c r="E6339" s="16">
        <f>IFERROR(__xludf.DUMMYFUNCTION("""COMPUTED_VALUE"""),67.0)</f>
        <v>67</v>
      </c>
      <c r="F6339" s="19" t="str">
        <f>IFERROR(__xludf.DUMMYFUNCTION("""COMPUTED_VALUE"""),"BLACK")</f>
        <v>BLACK</v>
      </c>
      <c r="G6339" s="20" t="str">
        <f>IFERROR(__xludf.DUMMYFUNCTION("""COMPUTED_VALUE"""),"Uncle Sams Cider (5/13/2022)")</f>
        <v>Uncle Sams Cider (5/13/2022)</v>
      </c>
      <c r="H6339" s="19"/>
    </row>
    <row r="6340">
      <c r="A6340" s="9"/>
      <c r="B6340" s="15"/>
      <c r="C6340" s="9">
        <f>IFERROR(__xludf.DUMMYFUNCTION("""COMPUTED_VALUE"""),44730.520151331)</f>
        <v>44730.52015</v>
      </c>
      <c r="D6340" s="15">
        <f>IFERROR(__xludf.DUMMYFUNCTION("""COMPUTED_VALUE"""),1.006)</f>
        <v>1.006</v>
      </c>
      <c r="E6340" s="16">
        <f>IFERROR(__xludf.DUMMYFUNCTION("""COMPUTED_VALUE"""),67.0)</f>
        <v>67</v>
      </c>
      <c r="F6340" s="19" t="str">
        <f>IFERROR(__xludf.DUMMYFUNCTION("""COMPUTED_VALUE"""),"BLACK")</f>
        <v>BLACK</v>
      </c>
      <c r="G6340" s="20" t="str">
        <f>IFERROR(__xludf.DUMMYFUNCTION("""COMPUTED_VALUE"""),"Uncle Sams Cider (5/13/2022)")</f>
        <v>Uncle Sams Cider (5/13/2022)</v>
      </c>
      <c r="H6340" s="19"/>
    </row>
    <row r="6341">
      <c r="A6341" s="9"/>
      <c r="B6341" s="15"/>
      <c r="C6341" s="9">
        <f>IFERROR(__xludf.DUMMYFUNCTION("""COMPUTED_VALUE"""),44730.5097190046)</f>
        <v>44730.50972</v>
      </c>
      <c r="D6341" s="15">
        <f>IFERROR(__xludf.DUMMYFUNCTION("""COMPUTED_VALUE"""),1.006)</f>
        <v>1.006</v>
      </c>
      <c r="E6341" s="16">
        <f>IFERROR(__xludf.DUMMYFUNCTION("""COMPUTED_VALUE"""),67.0)</f>
        <v>67</v>
      </c>
      <c r="F6341" s="19" t="str">
        <f>IFERROR(__xludf.DUMMYFUNCTION("""COMPUTED_VALUE"""),"BLACK")</f>
        <v>BLACK</v>
      </c>
      <c r="G6341" s="20" t="str">
        <f>IFERROR(__xludf.DUMMYFUNCTION("""COMPUTED_VALUE"""),"Uncle Sams Cider (5/13/2022)")</f>
        <v>Uncle Sams Cider (5/13/2022)</v>
      </c>
      <c r="H6341" s="19"/>
    </row>
    <row r="6342">
      <c r="A6342" s="9"/>
      <c r="B6342" s="15"/>
      <c r="C6342" s="9">
        <f>IFERROR(__xludf.DUMMYFUNCTION("""COMPUTED_VALUE"""),44730.4992984143)</f>
        <v>44730.4993</v>
      </c>
      <c r="D6342" s="15">
        <f>IFERROR(__xludf.DUMMYFUNCTION("""COMPUTED_VALUE"""),1.005)</f>
        <v>1.005</v>
      </c>
      <c r="E6342" s="16">
        <f>IFERROR(__xludf.DUMMYFUNCTION("""COMPUTED_VALUE"""),67.0)</f>
        <v>67</v>
      </c>
      <c r="F6342" s="19" t="str">
        <f>IFERROR(__xludf.DUMMYFUNCTION("""COMPUTED_VALUE"""),"BLACK")</f>
        <v>BLACK</v>
      </c>
      <c r="G6342" s="20" t="str">
        <f>IFERROR(__xludf.DUMMYFUNCTION("""COMPUTED_VALUE"""),"Uncle Sams Cider (5/13/2022)")</f>
        <v>Uncle Sams Cider (5/13/2022)</v>
      </c>
      <c r="H6342" s="19"/>
    </row>
    <row r="6343">
      <c r="A6343" s="9"/>
      <c r="B6343" s="15"/>
      <c r="C6343" s="9">
        <f>IFERROR(__xludf.DUMMYFUNCTION("""COMPUTED_VALUE"""),44730.4888772916)</f>
        <v>44730.48888</v>
      </c>
      <c r="D6343" s="15">
        <f>IFERROR(__xludf.DUMMYFUNCTION("""COMPUTED_VALUE"""),1.006)</f>
        <v>1.006</v>
      </c>
      <c r="E6343" s="16">
        <f>IFERROR(__xludf.DUMMYFUNCTION("""COMPUTED_VALUE"""),67.0)</f>
        <v>67</v>
      </c>
      <c r="F6343" s="19" t="str">
        <f>IFERROR(__xludf.DUMMYFUNCTION("""COMPUTED_VALUE"""),"BLACK")</f>
        <v>BLACK</v>
      </c>
      <c r="G6343" s="20" t="str">
        <f>IFERROR(__xludf.DUMMYFUNCTION("""COMPUTED_VALUE"""),"Uncle Sams Cider (5/13/2022)")</f>
        <v>Uncle Sams Cider (5/13/2022)</v>
      </c>
      <c r="H6343" s="19"/>
    </row>
    <row r="6344">
      <c r="A6344" s="9"/>
      <c r="B6344" s="15"/>
      <c r="C6344" s="9">
        <f>IFERROR(__xludf.DUMMYFUNCTION("""COMPUTED_VALUE"""),44730.4784578703)</f>
        <v>44730.47846</v>
      </c>
      <c r="D6344" s="15">
        <f>IFERROR(__xludf.DUMMYFUNCTION("""COMPUTED_VALUE"""),1.006)</f>
        <v>1.006</v>
      </c>
      <c r="E6344" s="16">
        <f>IFERROR(__xludf.DUMMYFUNCTION("""COMPUTED_VALUE"""),67.0)</f>
        <v>67</v>
      </c>
      <c r="F6344" s="19" t="str">
        <f>IFERROR(__xludf.DUMMYFUNCTION("""COMPUTED_VALUE"""),"BLACK")</f>
        <v>BLACK</v>
      </c>
      <c r="G6344" s="20" t="str">
        <f>IFERROR(__xludf.DUMMYFUNCTION("""COMPUTED_VALUE"""),"Uncle Sams Cider (5/13/2022)")</f>
        <v>Uncle Sams Cider (5/13/2022)</v>
      </c>
      <c r="H6344" s="19"/>
    </row>
    <row r="6345">
      <c r="A6345" s="9"/>
      <c r="B6345" s="15"/>
      <c r="C6345" s="9">
        <f>IFERROR(__xludf.DUMMYFUNCTION("""COMPUTED_VALUE"""),44730.468034537)</f>
        <v>44730.46803</v>
      </c>
      <c r="D6345" s="15">
        <f>IFERROR(__xludf.DUMMYFUNCTION("""COMPUTED_VALUE"""),1.006)</f>
        <v>1.006</v>
      </c>
      <c r="E6345" s="16">
        <f>IFERROR(__xludf.DUMMYFUNCTION("""COMPUTED_VALUE"""),67.0)</f>
        <v>67</v>
      </c>
      <c r="F6345" s="19" t="str">
        <f>IFERROR(__xludf.DUMMYFUNCTION("""COMPUTED_VALUE"""),"BLACK")</f>
        <v>BLACK</v>
      </c>
      <c r="G6345" s="20" t="str">
        <f>IFERROR(__xludf.DUMMYFUNCTION("""COMPUTED_VALUE"""),"Uncle Sams Cider (5/13/2022)")</f>
        <v>Uncle Sams Cider (5/13/2022)</v>
      </c>
      <c r="H6345" s="19"/>
    </row>
    <row r="6346">
      <c r="A6346" s="9"/>
      <c r="B6346" s="15"/>
      <c r="C6346" s="9">
        <f>IFERROR(__xludf.DUMMYFUNCTION("""COMPUTED_VALUE"""),44730.4576125347)</f>
        <v>44730.45761</v>
      </c>
      <c r="D6346" s="15">
        <f>IFERROR(__xludf.DUMMYFUNCTION("""COMPUTED_VALUE"""),1.006)</f>
        <v>1.006</v>
      </c>
      <c r="E6346" s="16">
        <f>IFERROR(__xludf.DUMMYFUNCTION("""COMPUTED_VALUE"""),67.0)</f>
        <v>67</v>
      </c>
      <c r="F6346" s="19" t="str">
        <f>IFERROR(__xludf.DUMMYFUNCTION("""COMPUTED_VALUE"""),"BLACK")</f>
        <v>BLACK</v>
      </c>
      <c r="G6346" s="20" t="str">
        <f>IFERROR(__xludf.DUMMYFUNCTION("""COMPUTED_VALUE"""),"Uncle Sams Cider (5/13/2022)")</f>
        <v>Uncle Sams Cider (5/13/2022)</v>
      </c>
      <c r="H6346" s="19"/>
    </row>
    <row r="6347">
      <c r="A6347" s="9"/>
      <c r="B6347" s="15"/>
      <c r="C6347" s="9">
        <f>IFERROR(__xludf.DUMMYFUNCTION("""COMPUTED_VALUE"""),44730.4471438773)</f>
        <v>44730.44714</v>
      </c>
      <c r="D6347" s="15">
        <f>IFERROR(__xludf.DUMMYFUNCTION("""COMPUTED_VALUE"""),1.006)</f>
        <v>1.006</v>
      </c>
      <c r="E6347" s="16">
        <f>IFERROR(__xludf.DUMMYFUNCTION("""COMPUTED_VALUE"""),67.0)</f>
        <v>67</v>
      </c>
      <c r="F6347" s="19" t="str">
        <f>IFERROR(__xludf.DUMMYFUNCTION("""COMPUTED_VALUE"""),"BLACK")</f>
        <v>BLACK</v>
      </c>
      <c r="G6347" s="20" t="str">
        <f>IFERROR(__xludf.DUMMYFUNCTION("""COMPUTED_VALUE"""),"Uncle Sams Cider (5/13/2022)")</f>
        <v>Uncle Sams Cider (5/13/2022)</v>
      </c>
      <c r="H6347" s="19"/>
    </row>
    <row r="6348">
      <c r="A6348" s="9"/>
      <c r="B6348" s="15"/>
      <c r="C6348" s="9">
        <f>IFERROR(__xludf.DUMMYFUNCTION("""COMPUTED_VALUE"""),44730.4367239236)</f>
        <v>44730.43672</v>
      </c>
      <c r="D6348" s="15">
        <f>IFERROR(__xludf.DUMMYFUNCTION("""COMPUTED_VALUE"""),1.006)</f>
        <v>1.006</v>
      </c>
      <c r="E6348" s="16">
        <f>IFERROR(__xludf.DUMMYFUNCTION("""COMPUTED_VALUE"""),67.0)</f>
        <v>67</v>
      </c>
      <c r="F6348" s="19" t="str">
        <f>IFERROR(__xludf.DUMMYFUNCTION("""COMPUTED_VALUE"""),"BLACK")</f>
        <v>BLACK</v>
      </c>
      <c r="G6348" s="20" t="str">
        <f>IFERROR(__xludf.DUMMYFUNCTION("""COMPUTED_VALUE"""),"Uncle Sams Cider (5/13/2022)")</f>
        <v>Uncle Sams Cider (5/13/2022)</v>
      </c>
      <c r="H6348" s="19"/>
    </row>
    <row r="6349">
      <c r="A6349" s="9"/>
      <c r="B6349" s="15"/>
      <c r="C6349" s="9">
        <f>IFERROR(__xludf.DUMMYFUNCTION("""COMPUTED_VALUE"""),44730.4262893287)</f>
        <v>44730.42629</v>
      </c>
      <c r="D6349" s="15">
        <f>IFERROR(__xludf.DUMMYFUNCTION("""COMPUTED_VALUE"""),1.006)</f>
        <v>1.006</v>
      </c>
      <c r="E6349" s="16">
        <f>IFERROR(__xludf.DUMMYFUNCTION("""COMPUTED_VALUE"""),67.0)</f>
        <v>67</v>
      </c>
      <c r="F6349" s="19" t="str">
        <f>IFERROR(__xludf.DUMMYFUNCTION("""COMPUTED_VALUE"""),"BLACK")</f>
        <v>BLACK</v>
      </c>
      <c r="G6349" s="20" t="str">
        <f>IFERROR(__xludf.DUMMYFUNCTION("""COMPUTED_VALUE"""),"Uncle Sams Cider (5/13/2022)")</f>
        <v>Uncle Sams Cider (5/13/2022)</v>
      </c>
      <c r="H6349" s="19"/>
    </row>
    <row r="6350">
      <c r="A6350" s="9"/>
      <c r="B6350" s="15"/>
      <c r="C6350" s="9">
        <f>IFERROR(__xludf.DUMMYFUNCTION("""COMPUTED_VALUE"""),44730.4158673611)</f>
        <v>44730.41587</v>
      </c>
      <c r="D6350" s="15">
        <f>IFERROR(__xludf.DUMMYFUNCTION("""COMPUTED_VALUE"""),1.006)</f>
        <v>1.006</v>
      </c>
      <c r="E6350" s="16">
        <f>IFERROR(__xludf.DUMMYFUNCTION("""COMPUTED_VALUE"""),67.0)</f>
        <v>67</v>
      </c>
      <c r="F6350" s="19" t="str">
        <f>IFERROR(__xludf.DUMMYFUNCTION("""COMPUTED_VALUE"""),"BLACK")</f>
        <v>BLACK</v>
      </c>
      <c r="G6350" s="20" t="str">
        <f>IFERROR(__xludf.DUMMYFUNCTION("""COMPUTED_VALUE"""),"Uncle Sams Cider (5/13/2022)")</f>
        <v>Uncle Sams Cider (5/13/2022)</v>
      </c>
      <c r="H6350" s="19"/>
    </row>
    <row r="6351">
      <c r="A6351" s="9"/>
      <c r="B6351" s="15"/>
      <c r="C6351" s="9">
        <f>IFERROR(__xludf.DUMMYFUNCTION("""COMPUTED_VALUE"""),44730.4054474421)</f>
        <v>44730.40545</v>
      </c>
      <c r="D6351" s="15">
        <f>IFERROR(__xludf.DUMMYFUNCTION("""COMPUTED_VALUE"""),1.005)</f>
        <v>1.005</v>
      </c>
      <c r="E6351" s="16">
        <f>IFERROR(__xludf.DUMMYFUNCTION("""COMPUTED_VALUE"""),67.0)</f>
        <v>67</v>
      </c>
      <c r="F6351" s="19" t="str">
        <f>IFERROR(__xludf.DUMMYFUNCTION("""COMPUTED_VALUE"""),"BLACK")</f>
        <v>BLACK</v>
      </c>
      <c r="G6351" s="20" t="str">
        <f>IFERROR(__xludf.DUMMYFUNCTION("""COMPUTED_VALUE"""),"Uncle Sams Cider (5/13/2022)")</f>
        <v>Uncle Sams Cider (5/13/2022)</v>
      </c>
      <c r="H6351" s="19"/>
    </row>
    <row r="6352">
      <c r="A6352" s="9"/>
      <c r="B6352" s="15"/>
      <c r="C6352" s="9">
        <f>IFERROR(__xludf.DUMMYFUNCTION("""COMPUTED_VALUE"""),44730.395027581)</f>
        <v>44730.39503</v>
      </c>
      <c r="D6352" s="15">
        <f>IFERROR(__xludf.DUMMYFUNCTION("""COMPUTED_VALUE"""),1.006)</f>
        <v>1.006</v>
      </c>
      <c r="E6352" s="16">
        <f>IFERROR(__xludf.DUMMYFUNCTION("""COMPUTED_VALUE"""),67.0)</f>
        <v>67</v>
      </c>
      <c r="F6352" s="19" t="str">
        <f>IFERROR(__xludf.DUMMYFUNCTION("""COMPUTED_VALUE"""),"BLACK")</f>
        <v>BLACK</v>
      </c>
      <c r="G6352" s="20" t="str">
        <f>IFERROR(__xludf.DUMMYFUNCTION("""COMPUTED_VALUE"""),"Uncle Sams Cider (5/13/2022)")</f>
        <v>Uncle Sams Cider (5/13/2022)</v>
      </c>
      <c r="H6352" s="19"/>
    </row>
    <row r="6353">
      <c r="A6353" s="9"/>
      <c r="B6353" s="15"/>
      <c r="C6353" s="9">
        <f>IFERROR(__xludf.DUMMYFUNCTION("""COMPUTED_VALUE"""),44730.3846041319)</f>
        <v>44730.3846</v>
      </c>
      <c r="D6353" s="15">
        <f>IFERROR(__xludf.DUMMYFUNCTION("""COMPUTED_VALUE"""),1.006)</f>
        <v>1.006</v>
      </c>
      <c r="E6353" s="16">
        <f>IFERROR(__xludf.DUMMYFUNCTION("""COMPUTED_VALUE"""),67.0)</f>
        <v>67</v>
      </c>
      <c r="F6353" s="19" t="str">
        <f>IFERROR(__xludf.DUMMYFUNCTION("""COMPUTED_VALUE"""),"BLACK")</f>
        <v>BLACK</v>
      </c>
      <c r="G6353" s="20" t="str">
        <f>IFERROR(__xludf.DUMMYFUNCTION("""COMPUTED_VALUE"""),"Uncle Sams Cider (5/13/2022)")</f>
        <v>Uncle Sams Cider (5/13/2022)</v>
      </c>
      <c r="H6353" s="19"/>
    </row>
    <row r="6354">
      <c r="A6354" s="9"/>
      <c r="B6354" s="15"/>
      <c r="C6354" s="9">
        <f>IFERROR(__xludf.DUMMYFUNCTION("""COMPUTED_VALUE"""),44730.3741836111)</f>
        <v>44730.37418</v>
      </c>
      <c r="D6354" s="15">
        <f>IFERROR(__xludf.DUMMYFUNCTION("""COMPUTED_VALUE"""),1.006)</f>
        <v>1.006</v>
      </c>
      <c r="E6354" s="16">
        <f>IFERROR(__xludf.DUMMYFUNCTION("""COMPUTED_VALUE"""),67.0)</f>
        <v>67</v>
      </c>
      <c r="F6354" s="19" t="str">
        <f>IFERROR(__xludf.DUMMYFUNCTION("""COMPUTED_VALUE"""),"BLACK")</f>
        <v>BLACK</v>
      </c>
      <c r="G6354" s="20" t="str">
        <f>IFERROR(__xludf.DUMMYFUNCTION("""COMPUTED_VALUE"""),"Uncle Sams Cider (5/13/2022)")</f>
        <v>Uncle Sams Cider (5/13/2022)</v>
      </c>
      <c r="H6354" s="19"/>
    </row>
    <row r="6355">
      <c r="A6355" s="9"/>
      <c r="B6355" s="15"/>
      <c r="C6355" s="9">
        <f>IFERROR(__xludf.DUMMYFUNCTION("""COMPUTED_VALUE"""),44730.3637636574)</f>
        <v>44730.36376</v>
      </c>
      <c r="D6355" s="15">
        <f>IFERROR(__xludf.DUMMYFUNCTION("""COMPUTED_VALUE"""),1.006)</f>
        <v>1.006</v>
      </c>
      <c r="E6355" s="16">
        <f>IFERROR(__xludf.DUMMYFUNCTION("""COMPUTED_VALUE"""),66.0)</f>
        <v>66</v>
      </c>
      <c r="F6355" s="19" t="str">
        <f>IFERROR(__xludf.DUMMYFUNCTION("""COMPUTED_VALUE"""),"BLACK")</f>
        <v>BLACK</v>
      </c>
      <c r="G6355" s="20" t="str">
        <f>IFERROR(__xludf.DUMMYFUNCTION("""COMPUTED_VALUE"""),"Uncle Sams Cider (5/13/2022)")</f>
        <v>Uncle Sams Cider (5/13/2022)</v>
      </c>
      <c r="H6355" s="19"/>
    </row>
    <row r="6356">
      <c r="A6356" s="9"/>
      <c r="B6356" s="15"/>
      <c r="C6356" s="9">
        <f>IFERROR(__xludf.DUMMYFUNCTION("""COMPUTED_VALUE"""),44730.353330868)</f>
        <v>44730.35333</v>
      </c>
      <c r="D6356" s="15">
        <f>IFERROR(__xludf.DUMMYFUNCTION("""COMPUTED_VALUE"""),1.006)</f>
        <v>1.006</v>
      </c>
      <c r="E6356" s="16">
        <f>IFERROR(__xludf.DUMMYFUNCTION("""COMPUTED_VALUE"""),66.0)</f>
        <v>66</v>
      </c>
      <c r="F6356" s="19" t="str">
        <f>IFERROR(__xludf.DUMMYFUNCTION("""COMPUTED_VALUE"""),"BLACK")</f>
        <v>BLACK</v>
      </c>
      <c r="G6356" s="20" t="str">
        <f>IFERROR(__xludf.DUMMYFUNCTION("""COMPUTED_VALUE"""),"Uncle Sams Cider (5/13/2022)")</f>
        <v>Uncle Sams Cider (5/13/2022)</v>
      </c>
      <c r="H6356" s="19"/>
    </row>
    <row r="6357">
      <c r="A6357" s="9"/>
      <c r="B6357" s="15"/>
      <c r="C6357" s="9">
        <f>IFERROR(__xludf.DUMMYFUNCTION("""COMPUTED_VALUE"""),44730.3429098726)</f>
        <v>44730.34291</v>
      </c>
      <c r="D6357" s="15">
        <f>IFERROR(__xludf.DUMMYFUNCTION("""COMPUTED_VALUE"""),1.005)</f>
        <v>1.005</v>
      </c>
      <c r="E6357" s="16">
        <f>IFERROR(__xludf.DUMMYFUNCTION("""COMPUTED_VALUE"""),66.0)</f>
        <v>66</v>
      </c>
      <c r="F6357" s="19" t="str">
        <f>IFERROR(__xludf.DUMMYFUNCTION("""COMPUTED_VALUE"""),"BLACK")</f>
        <v>BLACK</v>
      </c>
      <c r="G6357" s="20" t="str">
        <f>IFERROR(__xludf.DUMMYFUNCTION("""COMPUTED_VALUE"""),"Uncle Sams Cider (5/13/2022)")</f>
        <v>Uncle Sams Cider (5/13/2022)</v>
      </c>
      <c r="H6357" s="19"/>
    </row>
    <row r="6358">
      <c r="A6358" s="9"/>
      <c r="B6358" s="15"/>
      <c r="C6358" s="9">
        <f>IFERROR(__xludf.DUMMYFUNCTION("""COMPUTED_VALUE"""),44730.3324887731)</f>
        <v>44730.33249</v>
      </c>
      <c r="D6358" s="15">
        <f>IFERROR(__xludf.DUMMYFUNCTION("""COMPUTED_VALUE"""),1.005)</f>
        <v>1.005</v>
      </c>
      <c r="E6358" s="16">
        <f>IFERROR(__xludf.DUMMYFUNCTION("""COMPUTED_VALUE"""),67.0)</f>
        <v>67</v>
      </c>
      <c r="F6358" s="19" t="str">
        <f>IFERROR(__xludf.DUMMYFUNCTION("""COMPUTED_VALUE"""),"BLACK")</f>
        <v>BLACK</v>
      </c>
      <c r="G6358" s="20" t="str">
        <f>IFERROR(__xludf.DUMMYFUNCTION("""COMPUTED_VALUE"""),"Uncle Sams Cider (5/13/2022)")</f>
        <v>Uncle Sams Cider (5/13/2022)</v>
      </c>
      <c r="H6358" s="19"/>
    </row>
    <row r="6359">
      <c r="A6359" s="9"/>
      <c r="B6359" s="15"/>
      <c r="C6359" s="9">
        <f>IFERROR(__xludf.DUMMYFUNCTION("""COMPUTED_VALUE"""),44730.3220547569)</f>
        <v>44730.32205</v>
      </c>
      <c r="D6359" s="15">
        <f>IFERROR(__xludf.DUMMYFUNCTION("""COMPUTED_VALUE"""),1.006)</f>
        <v>1.006</v>
      </c>
      <c r="E6359" s="16">
        <f>IFERROR(__xludf.DUMMYFUNCTION("""COMPUTED_VALUE"""),66.0)</f>
        <v>66</v>
      </c>
      <c r="F6359" s="19" t="str">
        <f>IFERROR(__xludf.DUMMYFUNCTION("""COMPUTED_VALUE"""),"BLACK")</f>
        <v>BLACK</v>
      </c>
      <c r="G6359" s="20" t="str">
        <f>IFERROR(__xludf.DUMMYFUNCTION("""COMPUTED_VALUE"""),"Uncle Sams Cider (5/13/2022)")</f>
        <v>Uncle Sams Cider (5/13/2022)</v>
      </c>
      <c r="H6359" s="19"/>
    </row>
    <row r="6360">
      <c r="A6360" s="9"/>
      <c r="B6360" s="15"/>
      <c r="C6360" s="9">
        <f>IFERROR(__xludf.DUMMYFUNCTION("""COMPUTED_VALUE"""),44730.3116215972)</f>
        <v>44730.31162</v>
      </c>
      <c r="D6360" s="15">
        <f>IFERROR(__xludf.DUMMYFUNCTION("""COMPUTED_VALUE"""),1.006)</f>
        <v>1.006</v>
      </c>
      <c r="E6360" s="16">
        <f>IFERROR(__xludf.DUMMYFUNCTION("""COMPUTED_VALUE"""),67.0)</f>
        <v>67</v>
      </c>
      <c r="F6360" s="19" t="str">
        <f>IFERROR(__xludf.DUMMYFUNCTION("""COMPUTED_VALUE"""),"BLACK")</f>
        <v>BLACK</v>
      </c>
      <c r="G6360" s="20" t="str">
        <f>IFERROR(__xludf.DUMMYFUNCTION("""COMPUTED_VALUE"""),"Uncle Sams Cider (5/13/2022)")</f>
        <v>Uncle Sams Cider (5/13/2022)</v>
      </c>
      <c r="H6360" s="19"/>
    </row>
    <row r="6361">
      <c r="A6361" s="9"/>
      <c r="B6361" s="15"/>
      <c r="C6361" s="9">
        <f>IFERROR(__xludf.DUMMYFUNCTION("""COMPUTED_VALUE"""),44730.3012002546)</f>
        <v>44730.3012</v>
      </c>
      <c r="D6361" s="15">
        <f>IFERROR(__xludf.DUMMYFUNCTION("""COMPUTED_VALUE"""),1.006)</f>
        <v>1.006</v>
      </c>
      <c r="E6361" s="16">
        <f>IFERROR(__xludf.DUMMYFUNCTION("""COMPUTED_VALUE"""),66.0)</f>
        <v>66</v>
      </c>
      <c r="F6361" s="19" t="str">
        <f>IFERROR(__xludf.DUMMYFUNCTION("""COMPUTED_VALUE"""),"BLACK")</f>
        <v>BLACK</v>
      </c>
      <c r="G6361" s="20" t="str">
        <f>IFERROR(__xludf.DUMMYFUNCTION("""COMPUTED_VALUE"""),"Uncle Sams Cider (5/13/2022)")</f>
        <v>Uncle Sams Cider (5/13/2022)</v>
      </c>
      <c r="H6361" s="19"/>
    </row>
    <row r="6362">
      <c r="A6362" s="9"/>
      <c r="B6362" s="15"/>
      <c r="C6362" s="9">
        <f>IFERROR(__xludf.DUMMYFUNCTION("""COMPUTED_VALUE"""),44730.2907784375)</f>
        <v>44730.29078</v>
      </c>
      <c r="D6362" s="15">
        <f>IFERROR(__xludf.DUMMYFUNCTION("""COMPUTED_VALUE"""),1.006)</f>
        <v>1.006</v>
      </c>
      <c r="E6362" s="16">
        <f>IFERROR(__xludf.DUMMYFUNCTION("""COMPUTED_VALUE"""),66.0)</f>
        <v>66</v>
      </c>
      <c r="F6362" s="19" t="str">
        <f>IFERROR(__xludf.DUMMYFUNCTION("""COMPUTED_VALUE"""),"BLACK")</f>
        <v>BLACK</v>
      </c>
      <c r="G6362" s="20" t="str">
        <f>IFERROR(__xludf.DUMMYFUNCTION("""COMPUTED_VALUE"""),"Uncle Sams Cider (5/13/2022)")</f>
        <v>Uncle Sams Cider (5/13/2022)</v>
      </c>
      <c r="H6362" s="19"/>
    </row>
    <row r="6363">
      <c r="A6363" s="9"/>
      <c r="B6363" s="15"/>
      <c r="C6363" s="9">
        <f>IFERROR(__xludf.DUMMYFUNCTION("""COMPUTED_VALUE"""),44730.2803458101)</f>
        <v>44730.28035</v>
      </c>
      <c r="D6363" s="15">
        <f>IFERROR(__xludf.DUMMYFUNCTION("""COMPUTED_VALUE"""),1.006)</f>
        <v>1.006</v>
      </c>
      <c r="E6363" s="16">
        <f>IFERROR(__xludf.DUMMYFUNCTION("""COMPUTED_VALUE"""),66.0)</f>
        <v>66</v>
      </c>
      <c r="F6363" s="19" t="str">
        <f>IFERROR(__xludf.DUMMYFUNCTION("""COMPUTED_VALUE"""),"BLACK")</f>
        <v>BLACK</v>
      </c>
      <c r="G6363" s="20" t="str">
        <f>IFERROR(__xludf.DUMMYFUNCTION("""COMPUTED_VALUE"""),"Uncle Sams Cider (5/13/2022)")</f>
        <v>Uncle Sams Cider (5/13/2022)</v>
      </c>
      <c r="H6363" s="19"/>
    </row>
    <row r="6364">
      <c r="A6364" s="9"/>
      <c r="B6364" s="15"/>
      <c r="C6364" s="9">
        <f>IFERROR(__xludf.DUMMYFUNCTION("""COMPUTED_VALUE"""),44730.2699226273)</f>
        <v>44730.26992</v>
      </c>
      <c r="D6364" s="15">
        <f>IFERROR(__xludf.DUMMYFUNCTION("""COMPUTED_VALUE"""),1.005)</f>
        <v>1.005</v>
      </c>
      <c r="E6364" s="16">
        <f>IFERROR(__xludf.DUMMYFUNCTION("""COMPUTED_VALUE"""),66.0)</f>
        <v>66</v>
      </c>
      <c r="F6364" s="19" t="str">
        <f>IFERROR(__xludf.DUMMYFUNCTION("""COMPUTED_VALUE"""),"BLACK")</f>
        <v>BLACK</v>
      </c>
      <c r="G6364" s="20" t="str">
        <f>IFERROR(__xludf.DUMMYFUNCTION("""COMPUTED_VALUE"""),"Uncle Sams Cider (5/13/2022)")</f>
        <v>Uncle Sams Cider (5/13/2022)</v>
      </c>
      <c r="H6364" s="19"/>
    </row>
    <row r="6365">
      <c r="A6365" s="9"/>
      <c r="B6365" s="15"/>
      <c r="C6365" s="9">
        <f>IFERROR(__xludf.DUMMYFUNCTION("""COMPUTED_VALUE"""),44730.2595001041)</f>
        <v>44730.2595</v>
      </c>
      <c r="D6365" s="15">
        <f>IFERROR(__xludf.DUMMYFUNCTION("""COMPUTED_VALUE"""),1.006)</f>
        <v>1.006</v>
      </c>
      <c r="E6365" s="16">
        <f>IFERROR(__xludf.DUMMYFUNCTION("""COMPUTED_VALUE"""),66.0)</f>
        <v>66</v>
      </c>
      <c r="F6365" s="19" t="str">
        <f>IFERROR(__xludf.DUMMYFUNCTION("""COMPUTED_VALUE"""),"BLACK")</f>
        <v>BLACK</v>
      </c>
      <c r="G6365" s="20" t="str">
        <f>IFERROR(__xludf.DUMMYFUNCTION("""COMPUTED_VALUE"""),"Uncle Sams Cider (5/13/2022)")</f>
        <v>Uncle Sams Cider (5/13/2022)</v>
      </c>
      <c r="H6365" s="19"/>
    </row>
    <row r="6366">
      <c r="A6366" s="9"/>
      <c r="B6366" s="15"/>
      <c r="C6366" s="9">
        <f>IFERROR(__xludf.DUMMYFUNCTION("""COMPUTED_VALUE"""),44730.2490674305)</f>
        <v>44730.24907</v>
      </c>
      <c r="D6366" s="15">
        <f>IFERROR(__xludf.DUMMYFUNCTION("""COMPUTED_VALUE"""),1.006)</f>
        <v>1.006</v>
      </c>
      <c r="E6366" s="16">
        <f>IFERROR(__xludf.DUMMYFUNCTION("""COMPUTED_VALUE"""),66.0)</f>
        <v>66</v>
      </c>
      <c r="F6366" s="19" t="str">
        <f>IFERROR(__xludf.DUMMYFUNCTION("""COMPUTED_VALUE"""),"BLACK")</f>
        <v>BLACK</v>
      </c>
      <c r="G6366" s="20" t="str">
        <f>IFERROR(__xludf.DUMMYFUNCTION("""COMPUTED_VALUE"""),"Uncle Sams Cider (5/13/2022)")</f>
        <v>Uncle Sams Cider (5/13/2022)</v>
      </c>
      <c r="H6366" s="19"/>
    </row>
    <row r="6367">
      <c r="A6367" s="9"/>
      <c r="B6367" s="15"/>
      <c r="C6367" s="9">
        <f>IFERROR(__xludf.DUMMYFUNCTION("""COMPUTED_VALUE"""),44730.2386448726)</f>
        <v>44730.23864</v>
      </c>
      <c r="D6367" s="15">
        <f>IFERROR(__xludf.DUMMYFUNCTION("""COMPUTED_VALUE"""),1.006)</f>
        <v>1.006</v>
      </c>
      <c r="E6367" s="16">
        <f>IFERROR(__xludf.DUMMYFUNCTION("""COMPUTED_VALUE"""),66.0)</f>
        <v>66</v>
      </c>
      <c r="F6367" s="19" t="str">
        <f>IFERROR(__xludf.DUMMYFUNCTION("""COMPUTED_VALUE"""),"BLACK")</f>
        <v>BLACK</v>
      </c>
      <c r="G6367" s="20" t="str">
        <f>IFERROR(__xludf.DUMMYFUNCTION("""COMPUTED_VALUE"""),"Uncle Sams Cider (5/13/2022)")</f>
        <v>Uncle Sams Cider (5/13/2022)</v>
      </c>
      <c r="H6367" s="19"/>
    </row>
    <row r="6368">
      <c r="A6368" s="9"/>
      <c r="B6368" s="15"/>
      <c r="C6368" s="9">
        <f>IFERROR(__xludf.DUMMYFUNCTION("""COMPUTED_VALUE"""),44730.2282239236)</f>
        <v>44730.22822</v>
      </c>
      <c r="D6368" s="15">
        <f>IFERROR(__xludf.DUMMYFUNCTION("""COMPUTED_VALUE"""),1.005)</f>
        <v>1.005</v>
      </c>
      <c r="E6368" s="16">
        <f>IFERROR(__xludf.DUMMYFUNCTION("""COMPUTED_VALUE"""),66.0)</f>
        <v>66</v>
      </c>
      <c r="F6368" s="19" t="str">
        <f>IFERROR(__xludf.DUMMYFUNCTION("""COMPUTED_VALUE"""),"BLACK")</f>
        <v>BLACK</v>
      </c>
      <c r="G6368" s="20" t="str">
        <f>IFERROR(__xludf.DUMMYFUNCTION("""COMPUTED_VALUE"""),"Uncle Sams Cider (5/13/2022)")</f>
        <v>Uncle Sams Cider (5/13/2022)</v>
      </c>
      <c r="H6368" s="19"/>
    </row>
    <row r="6369">
      <c r="A6369" s="9"/>
      <c r="B6369" s="15"/>
      <c r="C6369" s="9">
        <f>IFERROR(__xludf.DUMMYFUNCTION("""COMPUTED_VALUE"""),44730.2178012152)</f>
        <v>44730.2178</v>
      </c>
      <c r="D6369" s="15">
        <f>IFERROR(__xludf.DUMMYFUNCTION("""COMPUTED_VALUE"""),1.006)</f>
        <v>1.006</v>
      </c>
      <c r="E6369" s="16">
        <f>IFERROR(__xludf.DUMMYFUNCTION("""COMPUTED_VALUE"""),66.0)</f>
        <v>66</v>
      </c>
      <c r="F6369" s="19" t="str">
        <f>IFERROR(__xludf.DUMMYFUNCTION("""COMPUTED_VALUE"""),"BLACK")</f>
        <v>BLACK</v>
      </c>
      <c r="G6369" s="20" t="str">
        <f>IFERROR(__xludf.DUMMYFUNCTION("""COMPUTED_VALUE"""),"Uncle Sams Cider (5/13/2022)")</f>
        <v>Uncle Sams Cider (5/13/2022)</v>
      </c>
      <c r="H6369" s="19"/>
    </row>
    <row r="6370">
      <c r="A6370" s="9"/>
      <c r="B6370" s="15"/>
      <c r="C6370" s="9">
        <f>IFERROR(__xludf.DUMMYFUNCTION("""COMPUTED_VALUE"""),44730.2073808217)</f>
        <v>44730.20738</v>
      </c>
      <c r="D6370" s="15">
        <f>IFERROR(__xludf.DUMMYFUNCTION("""COMPUTED_VALUE"""),1.006)</f>
        <v>1.006</v>
      </c>
      <c r="E6370" s="16">
        <f>IFERROR(__xludf.DUMMYFUNCTION("""COMPUTED_VALUE"""),66.0)</f>
        <v>66</v>
      </c>
      <c r="F6370" s="19" t="str">
        <f>IFERROR(__xludf.DUMMYFUNCTION("""COMPUTED_VALUE"""),"BLACK")</f>
        <v>BLACK</v>
      </c>
      <c r="G6370" s="20" t="str">
        <f>IFERROR(__xludf.DUMMYFUNCTION("""COMPUTED_VALUE"""),"Uncle Sams Cider (5/13/2022)")</f>
        <v>Uncle Sams Cider (5/13/2022)</v>
      </c>
      <c r="H6370" s="19"/>
    </row>
    <row r="6371">
      <c r="A6371" s="9"/>
      <c r="B6371" s="15"/>
      <c r="C6371" s="9">
        <f>IFERROR(__xludf.DUMMYFUNCTION("""COMPUTED_VALUE"""),44730.1969598842)</f>
        <v>44730.19696</v>
      </c>
      <c r="D6371" s="15">
        <f>IFERROR(__xludf.DUMMYFUNCTION("""COMPUTED_VALUE"""),1.005)</f>
        <v>1.005</v>
      </c>
      <c r="E6371" s="16">
        <f>IFERROR(__xludf.DUMMYFUNCTION("""COMPUTED_VALUE"""),66.0)</f>
        <v>66</v>
      </c>
      <c r="F6371" s="19" t="str">
        <f>IFERROR(__xludf.DUMMYFUNCTION("""COMPUTED_VALUE"""),"BLACK")</f>
        <v>BLACK</v>
      </c>
      <c r="G6371" s="20" t="str">
        <f>IFERROR(__xludf.DUMMYFUNCTION("""COMPUTED_VALUE"""),"Uncle Sams Cider (5/13/2022)")</f>
        <v>Uncle Sams Cider (5/13/2022)</v>
      </c>
      <c r="H6371" s="19"/>
    </row>
    <row r="6372">
      <c r="A6372" s="9"/>
      <c r="B6372" s="15"/>
      <c r="C6372" s="9">
        <f>IFERROR(__xludf.DUMMYFUNCTION("""COMPUTED_VALUE"""),44730.1865274074)</f>
        <v>44730.18653</v>
      </c>
      <c r="D6372" s="15">
        <f>IFERROR(__xludf.DUMMYFUNCTION("""COMPUTED_VALUE"""),1.006)</f>
        <v>1.006</v>
      </c>
      <c r="E6372" s="16">
        <f>IFERROR(__xludf.DUMMYFUNCTION("""COMPUTED_VALUE"""),66.0)</f>
        <v>66</v>
      </c>
      <c r="F6372" s="19" t="str">
        <f>IFERROR(__xludf.DUMMYFUNCTION("""COMPUTED_VALUE"""),"BLACK")</f>
        <v>BLACK</v>
      </c>
      <c r="G6372" s="20" t="str">
        <f>IFERROR(__xludf.DUMMYFUNCTION("""COMPUTED_VALUE"""),"Uncle Sams Cider (5/13/2022)")</f>
        <v>Uncle Sams Cider (5/13/2022)</v>
      </c>
      <c r="H6372" s="19"/>
    </row>
    <row r="6373">
      <c r="A6373" s="9"/>
      <c r="B6373" s="15"/>
      <c r="C6373" s="9">
        <f>IFERROR(__xludf.DUMMYFUNCTION("""COMPUTED_VALUE"""),44730.1761056712)</f>
        <v>44730.17611</v>
      </c>
      <c r="D6373" s="15">
        <f>IFERROR(__xludf.DUMMYFUNCTION("""COMPUTED_VALUE"""),1.006)</f>
        <v>1.006</v>
      </c>
      <c r="E6373" s="16">
        <f>IFERROR(__xludf.DUMMYFUNCTION("""COMPUTED_VALUE"""),66.0)</f>
        <v>66</v>
      </c>
      <c r="F6373" s="19" t="str">
        <f>IFERROR(__xludf.DUMMYFUNCTION("""COMPUTED_VALUE"""),"BLACK")</f>
        <v>BLACK</v>
      </c>
      <c r="G6373" s="20" t="str">
        <f>IFERROR(__xludf.DUMMYFUNCTION("""COMPUTED_VALUE"""),"Uncle Sams Cider (5/13/2022)")</f>
        <v>Uncle Sams Cider (5/13/2022)</v>
      </c>
      <c r="H6373" s="19"/>
    </row>
    <row r="6374">
      <c r="A6374" s="9"/>
      <c r="B6374" s="15"/>
      <c r="C6374" s="9">
        <f>IFERROR(__xludf.DUMMYFUNCTION("""COMPUTED_VALUE"""),44730.1656838078)</f>
        <v>44730.16568</v>
      </c>
      <c r="D6374" s="15">
        <f>IFERROR(__xludf.DUMMYFUNCTION("""COMPUTED_VALUE"""),1.005)</f>
        <v>1.005</v>
      </c>
      <c r="E6374" s="16">
        <f>IFERROR(__xludf.DUMMYFUNCTION("""COMPUTED_VALUE"""),66.0)</f>
        <v>66</v>
      </c>
      <c r="F6374" s="19" t="str">
        <f>IFERROR(__xludf.DUMMYFUNCTION("""COMPUTED_VALUE"""),"BLACK")</f>
        <v>BLACK</v>
      </c>
      <c r="G6374" s="20" t="str">
        <f>IFERROR(__xludf.DUMMYFUNCTION("""COMPUTED_VALUE"""),"Uncle Sams Cider (5/13/2022)")</f>
        <v>Uncle Sams Cider (5/13/2022)</v>
      </c>
      <c r="H6374" s="19"/>
    </row>
    <row r="6375">
      <c r="A6375" s="9"/>
      <c r="B6375" s="15"/>
      <c r="C6375" s="9">
        <f>IFERROR(__xludf.DUMMYFUNCTION("""COMPUTED_VALUE"""),44730.1552400694)</f>
        <v>44730.15524</v>
      </c>
      <c r="D6375" s="15">
        <f>IFERROR(__xludf.DUMMYFUNCTION("""COMPUTED_VALUE"""),1.005)</f>
        <v>1.005</v>
      </c>
      <c r="E6375" s="16">
        <f>IFERROR(__xludf.DUMMYFUNCTION("""COMPUTED_VALUE"""),66.0)</f>
        <v>66</v>
      </c>
      <c r="F6375" s="19" t="str">
        <f>IFERROR(__xludf.DUMMYFUNCTION("""COMPUTED_VALUE"""),"BLACK")</f>
        <v>BLACK</v>
      </c>
      <c r="G6375" s="20" t="str">
        <f>IFERROR(__xludf.DUMMYFUNCTION("""COMPUTED_VALUE"""),"Uncle Sams Cider (5/13/2022)")</f>
        <v>Uncle Sams Cider (5/13/2022)</v>
      </c>
      <c r="H6375" s="19"/>
    </row>
    <row r="6376">
      <c r="A6376" s="9"/>
      <c r="B6376" s="15"/>
      <c r="C6376" s="9">
        <f>IFERROR(__xludf.DUMMYFUNCTION("""COMPUTED_VALUE"""),44730.1448183333)</f>
        <v>44730.14482</v>
      </c>
      <c r="D6376" s="15">
        <f>IFERROR(__xludf.DUMMYFUNCTION("""COMPUTED_VALUE"""),1.005)</f>
        <v>1.005</v>
      </c>
      <c r="E6376" s="16">
        <f>IFERROR(__xludf.DUMMYFUNCTION("""COMPUTED_VALUE"""),66.0)</f>
        <v>66</v>
      </c>
      <c r="F6376" s="19" t="str">
        <f>IFERROR(__xludf.DUMMYFUNCTION("""COMPUTED_VALUE"""),"BLACK")</f>
        <v>BLACK</v>
      </c>
      <c r="G6376" s="20" t="str">
        <f>IFERROR(__xludf.DUMMYFUNCTION("""COMPUTED_VALUE"""),"Uncle Sams Cider (5/13/2022)")</f>
        <v>Uncle Sams Cider (5/13/2022)</v>
      </c>
      <c r="H6376" s="19"/>
    </row>
    <row r="6377">
      <c r="A6377" s="9"/>
      <c r="B6377" s="15"/>
      <c r="C6377" s="9">
        <f>IFERROR(__xludf.DUMMYFUNCTION("""COMPUTED_VALUE"""),44730.1343974884)</f>
        <v>44730.1344</v>
      </c>
      <c r="D6377" s="15">
        <f>IFERROR(__xludf.DUMMYFUNCTION("""COMPUTED_VALUE"""),1.005)</f>
        <v>1.005</v>
      </c>
      <c r="E6377" s="16">
        <f>IFERROR(__xludf.DUMMYFUNCTION("""COMPUTED_VALUE"""),66.0)</f>
        <v>66</v>
      </c>
      <c r="F6377" s="19" t="str">
        <f>IFERROR(__xludf.DUMMYFUNCTION("""COMPUTED_VALUE"""),"BLACK")</f>
        <v>BLACK</v>
      </c>
      <c r="G6377" s="20" t="str">
        <f>IFERROR(__xludf.DUMMYFUNCTION("""COMPUTED_VALUE"""),"Uncle Sams Cider (5/13/2022)")</f>
        <v>Uncle Sams Cider (5/13/2022)</v>
      </c>
      <c r="H6377" s="19"/>
    </row>
    <row r="6378">
      <c r="A6378" s="9"/>
      <c r="B6378" s="15"/>
      <c r="C6378" s="9">
        <f>IFERROR(__xludf.DUMMYFUNCTION("""COMPUTED_VALUE"""),44730.1239772337)</f>
        <v>44730.12398</v>
      </c>
      <c r="D6378" s="15">
        <f>IFERROR(__xludf.DUMMYFUNCTION("""COMPUTED_VALUE"""),1.005)</f>
        <v>1.005</v>
      </c>
      <c r="E6378" s="16">
        <f>IFERROR(__xludf.DUMMYFUNCTION("""COMPUTED_VALUE"""),66.0)</f>
        <v>66</v>
      </c>
      <c r="F6378" s="19" t="str">
        <f>IFERROR(__xludf.DUMMYFUNCTION("""COMPUTED_VALUE"""),"BLACK")</f>
        <v>BLACK</v>
      </c>
      <c r="G6378" s="20" t="str">
        <f>IFERROR(__xludf.DUMMYFUNCTION("""COMPUTED_VALUE"""),"Uncle Sams Cider (5/13/2022)")</f>
        <v>Uncle Sams Cider (5/13/2022)</v>
      </c>
      <c r="H6378" s="19"/>
    </row>
    <row r="6379">
      <c r="A6379" s="9"/>
      <c r="B6379" s="15"/>
      <c r="C6379" s="9">
        <f>IFERROR(__xludf.DUMMYFUNCTION("""COMPUTED_VALUE"""),44730.1135567592)</f>
        <v>44730.11356</v>
      </c>
      <c r="D6379" s="15">
        <f>IFERROR(__xludf.DUMMYFUNCTION("""COMPUTED_VALUE"""),1.005)</f>
        <v>1.005</v>
      </c>
      <c r="E6379" s="16">
        <f>IFERROR(__xludf.DUMMYFUNCTION("""COMPUTED_VALUE"""),66.0)</f>
        <v>66</v>
      </c>
      <c r="F6379" s="19" t="str">
        <f>IFERROR(__xludf.DUMMYFUNCTION("""COMPUTED_VALUE"""),"BLACK")</f>
        <v>BLACK</v>
      </c>
      <c r="G6379" s="20" t="str">
        <f>IFERROR(__xludf.DUMMYFUNCTION("""COMPUTED_VALUE"""),"Uncle Sams Cider (5/13/2022)")</f>
        <v>Uncle Sams Cider (5/13/2022)</v>
      </c>
      <c r="H6379" s="19"/>
    </row>
    <row r="6380">
      <c r="A6380" s="9"/>
      <c r="B6380" s="15"/>
      <c r="C6380" s="9">
        <f>IFERROR(__xludf.DUMMYFUNCTION("""COMPUTED_VALUE"""),44730.1031350462)</f>
        <v>44730.10314</v>
      </c>
      <c r="D6380" s="15">
        <f>IFERROR(__xludf.DUMMYFUNCTION("""COMPUTED_VALUE"""),1.005)</f>
        <v>1.005</v>
      </c>
      <c r="E6380" s="16">
        <f>IFERROR(__xludf.DUMMYFUNCTION("""COMPUTED_VALUE"""),66.0)</f>
        <v>66</v>
      </c>
      <c r="F6380" s="19" t="str">
        <f>IFERROR(__xludf.DUMMYFUNCTION("""COMPUTED_VALUE"""),"BLACK")</f>
        <v>BLACK</v>
      </c>
      <c r="G6380" s="20" t="str">
        <f>IFERROR(__xludf.DUMMYFUNCTION("""COMPUTED_VALUE"""),"Uncle Sams Cider (5/13/2022)")</f>
        <v>Uncle Sams Cider (5/13/2022)</v>
      </c>
      <c r="H6380" s="19"/>
    </row>
    <row r="6381">
      <c r="A6381" s="9"/>
      <c r="B6381" s="15"/>
      <c r="C6381" s="9">
        <f>IFERROR(__xludf.DUMMYFUNCTION("""COMPUTED_VALUE"""),44730.0927162384)</f>
        <v>44730.09272</v>
      </c>
      <c r="D6381" s="15">
        <f>IFERROR(__xludf.DUMMYFUNCTION("""COMPUTED_VALUE"""),1.006)</f>
        <v>1.006</v>
      </c>
      <c r="E6381" s="16">
        <f>IFERROR(__xludf.DUMMYFUNCTION("""COMPUTED_VALUE"""),66.0)</f>
        <v>66</v>
      </c>
      <c r="F6381" s="19" t="str">
        <f>IFERROR(__xludf.DUMMYFUNCTION("""COMPUTED_VALUE"""),"BLACK")</f>
        <v>BLACK</v>
      </c>
      <c r="G6381" s="20" t="str">
        <f>IFERROR(__xludf.DUMMYFUNCTION("""COMPUTED_VALUE"""),"Uncle Sams Cider (5/13/2022)")</f>
        <v>Uncle Sams Cider (5/13/2022)</v>
      </c>
      <c r="H6381" s="19"/>
    </row>
    <row r="6382">
      <c r="A6382" s="9"/>
      <c r="B6382" s="15"/>
      <c r="C6382" s="9">
        <f>IFERROR(__xludf.DUMMYFUNCTION("""COMPUTED_VALUE"""),44730.0822928472)</f>
        <v>44730.08229</v>
      </c>
      <c r="D6382" s="15">
        <f>IFERROR(__xludf.DUMMYFUNCTION("""COMPUTED_VALUE"""),1.005)</f>
        <v>1.005</v>
      </c>
      <c r="E6382" s="16">
        <f>IFERROR(__xludf.DUMMYFUNCTION("""COMPUTED_VALUE"""),66.0)</f>
        <v>66</v>
      </c>
      <c r="F6382" s="19" t="str">
        <f>IFERROR(__xludf.DUMMYFUNCTION("""COMPUTED_VALUE"""),"BLACK")</f>
        <v>BLACK</v>
      </c>
      <c r="G6382" s="20" t="str">
        <f>IFERROR(__xludf.DUMMYFUNCTION("""COMPUTED_VALUE"""),"Uncle Sams Cider (5/13/2022)")</f>
        <v>Uncle Sams Cider (5/13/2022)</v>
      </c>
      <c r="H6382" s="19"/>
    </row>
    <row r="6383">
      <c r="A6383" s="9"/>
      <c r="B6383" s="15"/>
      <c r="C6383" s="9">
        <f>IFERROR(__xludf.DUMMYFUNCTION("""COMPUTED_VALUE"""),44730.0718720717)</f>
        <v>44730.07187</v>
      </c>
      <c r="D6383" s="15">
        <f>IFERROR(__xludf.DUMMYFUNCTION("""COMPUTED_VALUE"""),1.006)</f>
        <v>1.006</v>
      </c>
      <c r="E6383" s="16">
        <f>IFERROR(__xludf.DUMMYFUNCTION("""COMPUTED_VALUE"""),66.0)</f>
        <v>66</v>
      </c>
      <c r="F6383" s="19" t="str">
        <f>IFERROR(__xludf.DUMMYFUNCTION("""COMPUTED_VALUE"""),"BLACK")</f>
        <v>BLACK</v>
      </c>
      <c r="G6383" s="20" t="str">
        <f>IFERROR(__xludf.DUMMYFUNCTION("""COMPUTED_VALUE"""),"Uncle Sams Cider (5/13/2022)")</f>
        <v>Uncle Sams Cider (5/13/2022)</v>
      </c>
      <c r="H6383" s="19"/>
    </row>
    <row r="6384">
      <c r="A6384" s="9"/>
      <c r="B6384" s="15"/>
      <c r="C6384" s="9">
        <f>IFERROR(__xludf.DUMMYFUNCTION("""COMPUTED_VALUE"""),44730.0614492824)</f>
        <v>44730.06145</v>
      </c>
      <c r="D6384" s="15">
        <f>IFERROR(__xludf.DUMMYFUNCTION("""COMPUTED_VALUE"""),1.005)</f>
        <v>1.005</v>
      </c>
      <c r="E6384" s="16">
        <f>IFERROR(__xludf.DUMMYFUNCTION("""COMPUTED_VALUE"""),66.0)</f>
        <v>66</v>
      </c>
      <c r="F6384" s="19" t="str">
        <f>IFERROR(__xludf.DUMMYFUNCTION("""COMPUTED_VALUE"""),"BLACK")</f>
        <v>BLACK</v>
      </c>
      <c r="G6384" s="20" t="str">
        <f>IFERROR(__xludf.DUMMYFUNCTION("""COMPUTED_VALUE"""),"Uncle Sams Cider (5/13/2022)")</f>
        <v>Uncle Sams Cider (5/13/2022)</v>
      </c>
      <c r="H6384" s="19"/>
    </row>
    <row r="6385">
      <c r="A6385" s="9"/>
      <c r="B6385" s="15"/>
      <c r="C6385" s="9">
        <f>IFERROR(__xludf.DUMMYFUNCTION("""COMPUTED_VALUE"""),44730.0510277314)</f>
        <v>44730.05103</v>
      </c>
      <c r="D6385" s="15">
        <f>IFERROR(__xludf.DUMMYFUNCTION("""COMPUTED_VALUE"""),1.006)</f>
        <v>1.006</v>
      </c>
      <c r="E6385" s="16">
        <f>IFERROR(__xludf.DUMMYFUNCTION("""COMPUTED_VALUE"""),66.0)</f>
        <v>66</v>
      </c>
      <c r="F6385" s="19" t="str">
        <f>IFERROR(__xludf.DUMMYFUNCTION("""COMPUTED_VALUE"""),"BLACK")</f>
        <v>BLACK</v>
      </c>
      <c r="G6385" s="20" t="str">
        <f>IFERROR(__xludf.DUMMYFUNCTION("""COMPUTED_VALUE"""),"Uncle Sams Cider (5/13/2022)")</f>
        <v>Uncle Sams Cider (5/13/2022)</v>
      </c>
      <c r="H6385" s="19"/>
    </row>
    <row r="6386">
      <c r="A6386" s="9"/>
      <c r="B6386" s="15"/>
      <c r="C6386" s="9">
        <f>IFERROR(__xludf.DUMMYFUNCTION("""COMPUTED_VALUE"""),44730.0405966666)</f>
        <v>44730.0406</v>
      </c>
      <c r="D6386" s="15">
        <f>IFERROR(__xludf.DUMMYFUNCTION("""COMPUTED_VALUE"""),1.006)</f>
        <v>1.006</v>
      </c>
      <c r="E6386" s="16">
        <f>IFERROR(__xludf.DUMMYFUNCTION("""COMPUTED_VALUE"""),66.0)</f>
        <v>66</v>
      </c>
      <c r="F6386" s="19" t="str">
        <f>IFERROR(__xludf.DUMMYFUNCTION("""COMPUTED_VALUE"""),"BLACK")</f>
        <v>BLACK</v>
      </c>
      <c r="G6386" s="20" t="str">
        <f>IFERROR(__xludf.DUMMYFUNCTION("""COMPUTED_VALUE"""),"Uncle Sams Cider (5/13/2022)")</f>
        <v>Uncle Sams Cider (5/13/2022)</v>
      </c>
      <c r="H6386" s="19"/>
    </row>
    <row r="6387">
      <c r="A6387" s="9"/>
      <c r="B6387" s="15"/>
      <c r="C6387" s="9">
        <f>IFERROR(__xludf.DUMMYFUNCTION("""COMPUTED_VALUE"""),44730.0301757986)</f>
        <v>44730.03018</v>
      </c>
      <c r="D6387" s="15">
        <f>IFERROR(__xludf.DUMMYFUNCTION("""COMPUTED_VALUE"""),1.005)</f>
        <v>1.005</v>
      </c>
      <c r="E6387" s="16">
        <f>IFERROR(__xludf.DUMMYFUNCTION("""COMPUTED_VALUE"""),66.0)</f>
        <v>66</v>
      </c>
      <c r="F6387" s="19" t="str">
        <f>IFERROR(__xludf.DUMMYFUNCTION("""COMPUTED_VALUE"""),"BLACK")</f>
        <v>BLACK</v>
      </c>
      <c r="G6387" s="20" t="str">
        <f>IFERROR(__xludf.DUMMYFUNCTION("""COMPUTED_VALUE"""),"Uncle Sams Cider (5/13/2022)")</f>
        <v>Uncle Sams Cider (5/13/2022)</v>
      </c>
      <c r="H6387" s="19"/>
    </row>
    <row r="6388">
      <c r="A6388" s="9"/>
      <c r="B6388" s="15"/>
      <c r="C6388" s="9">
        <f>IFERROR(__xludf.DUMMYFUNCTION("""COMPUTED_VALUE"""),44730.0197547801)</f>
        <v>44730.01975</v>
      </c>
      <c r="D6388" s="15">
        <f>IFERROR(__xludf.DUMMYFUNCTION("""COMPUTED_VALUE"""),1.006)</f>
        <v>1.006</v>
      </c>
      <c r="E6388" s="16">
        <f>IFERROR(__xludf.DUMMYFUNCTION("""COMPUTED_VALUE"""),66.0)</f>
        <v>66</v>
      </c>
      <c r="F6388" s="19" t="str">
        <f>IFERROR(__xludf.DUMMYFUNCTION("""COMPUTED_VALUE"""),"BLACK")</f>
        <v>BLACK</v>
      </c>
      <c r="G6388" s="20" t="str">
        <f>IFERROR(__xludf.DUMMYFUNCTION("""COMPUTED_VALUE"""),"Uncle Sams Cider (5/13/2022)")</f>
        <v>Uncle Sams Cider (5/13/2022)</v>
      </c>
      <c r="H6388" s="19"/>
    </row>
    <row r="6389">
      <c r="A6389" s="9"/>
      <c r="B6389" s="15"/>
      <c r="C6389" s="9">
        <f>IFERROR(__xludf.DUMMYFUNCTION("""COMPUTED_VALUE"""),44730.0093332176)</f>
        <v>44730.00933</v>
      </c>
      <c r="D6389" s="15">
        <f>IFERROR(__xludf.DUMMYFUNCTION("""COMPUTED_VALUE"""),1.005)</f>
        <v>1.005</v>
      </c>
      <c r="E6389" s="16">
        <f>IFERROR(__xludf.DUMMYFUNCTION("""COMPUTED_VALUE"""),66.0)</f>
        <v>66</v>
      </c>
      <c r="F6389" s="19" t="str">
        <f>IFERROR(__xludf.DUMMYFUNCTION("""COMPUTED_VALUE"""),"BLACK")</f>
        <v>BLACK</v>
      </c>
      <c r="G6389" s="20" t="str">
        <f>IFERROR(__xludf.DUMMYFUNCTION("""COMPUTED_VALUE"""),"Uncle Sams Cider (5/13/2022)")</f>
        <v>Uncle Sams Cider (5/13/2022)</v>
      </c>
      <c r="H6389" s="19"/>
    </row>
    <row r="6390">
      <c r="A6390" s="9"/>
      <c r="B6390" s="15"/>
      <c r="C6390" s="9">
        <f>IFERROR(__xludf.DUMMYFUNCTION("""COMPUTED_VALUE"""),44729.9989009722)</f>
        <v>44729.9989</v>
      </c>
      <c r="D6390" s="15">
        <f>IFERROR(__xludf.DUMMYFUNCTION("""COMPUTED_VALUE"""),1.006)</f>
        <v>1.006</v>
      </c>
      <c r="E6390" s="16">
        <f>IFERROR(__xludf.DUMMYFUNCTION("""COMPUTED_VALUE"""),66.0)</f>
        <v>66</v>
      </c>
      <c r="F6390" s="19" t="str">
        <f>IFERROR(__xludf.DUMMYFUNCTION("""COMPUTED_VALUE"""),"BLACK")</f>
        <v>BLACK</v>
      </c>
      <c r="G6390" s="20" t="str">
        <f>IFERROR(__xludf.DUMMYFUNCTION("""COMPUTED_VALUE"""),"Uncle Sams Cider (5/13/2022)")</f>
        <v>Uncle Sams Cider (5/13/2022)</v>
      </c>
      <c r="H6390" s="19"/>
    </row>
    <row r="6391">
      <c r="A6391" s="9"/>
      <c r="B6391" s="15"/>
      <c r="C6391" s="9">
        <f>IFERROR(__xludf.DUMMYFUNCTION("""COMPUTED_VALUE"""),44729.9884787615)</f>
        <v>44729.98848</v>
      </c>
      <c r="D6391" s="15">
        <f>IFERROR(__xludf.DUMMYFUNCTION("""COMPUTED_VALUE"""),1.005)</f>
        <v>1.005</v>
      </c>
      <c r="E6391" s="16">
        <f>IFERROR(__xludf.DUMMYFUNCTION("""COMPUTED_VALUE"""),66.0)</f>
        <v>66</v>
      </c>
      <c r="F6391" s="19" t="str">
        <f>IFERROR(__xludf.DUMMYFUNCTION("""COMPUTED_VALUE"""),"BLACK")</f>
        <v>BLACK</v>
      </c>
      <c r="G6391" s="20" t="str">
        <f>IFERROR(__xludf.DUMMYFUNCTION("""COMPUTED_VALUE"""),"Uncle Sams Cider (5/13/2022)")</f>
        <v>Uncle Sams Cider (5/13/2022)</v>
      </c>
      <c r="H6391" s="19"/>
    </row>
    <row r="6392">
      <c r="A6392" s="9"/>
      <c r="B6392" s="15"/>
      <c r="C6392" s="9">
        <f>IFERROR(__xludf.DUMMYFUNCTION("""COMPUTED_VALUE"""),44729.9780579861)</f>
        <v>44729.97806</v>
      </c>
      <c r="D6392" s="15">
        <f>IFERROR(__xludf.DUMMYFUNCTION("""COMPUTED_VALUE"""),1.005)</f>
        <v>1.005</v>
      </c>
      <c r="E6392" s="16">
        <f>IFERROR(__xludf.DUMMYFUNCTION("""COMPUTED_VALUE"""),66.0)</f>
        <v>66</v>
      </c>
      <c r="F6392" s="19" t="str">
        <f>IFERROR(__xludf.DUMMYFUNCTION("""COMPUTED_VALUE"""),"BLACK")</f>
        <v>BLACK</v>
      </c>
      <c r="G6392" s="20" t="str">
        <f>IFERROR(__xludf.DUMMYFUNCTION("""COMPUTED_VALUE"""),"Uncle Sams Cider (5/13/2022)")</f>
        <v>Uncle Sams Cider (5/13/2022)</v>
      </c>
      <c r="H6392" s="19"/>
    </row>
    <row r="6393">
      <c r="A6393" s="9"/>
      <c r="B6393" s="15"/>
      <c r="C6393" s="9">
        <f>IFERROR(__xludf.DUMMYFUNCTION("""COMPUTED_VALUE"""),44729.9676384027)</f>
        <v>44729.96764</v>
      </c>
      <c r="D6393" s="15">
        <f>IFERROR(__xludf.DUMMYFUNCTION("""COMPUTED_VALUE"""),1.006)</f>
        <v>1.006</v>
      </c>
      <c r="E6393" s="16">
        <f>IFERROR(__xludf.DUMMYFUNCTION("""COMPUTED_VALUE"""),66.0)</f>
        <v>66</v>
      </c>
      <c r="F6393" s="19" t="str">
        <f>IFERROR(__xludf.DUMMYFUNCTION("""COMPUTED_VALUE"""),"BLACK")</f>
        <v>BLACK</v>
      </c>
      <c r="G6393" s="20" t="str">
        <f>IFERROR(__xludf.DUMMYFUNCTION("""COMPUTED_VALUE"""),"Uncle Sams Cider (5/13/2022)")</f>
        <v>Uncle Sams Cider (5/13/2022)</v>
      </c>
      <c r="H6393" s="19"/>
    </row>
    <row r="6394">
      <c r="A6394" s="9"/>
      <c r="B6394" s="15"/>
      <c r="C6394" s="9">
        <f>IFERROR(__xludf.DUMMYFUNCTION("""COMPUTED_VALUE"""),44729.9572173263)</f>
        <v>44729.95722</v>
      </c>
      <c r="D6394" s="15">
        <f>IFERROR(__xludf.DUMMYFUNCTION("""COMPUTED_VALUE"""),1.005)</f>
        <v>1.005</v>
      </c>
      <c r="E6394" s="16">
        <f>IFERROR(__xludf.DUMMYFUNCTION("""COMPUTED_VALUE"""),66.0)</f>
        <v>66</v>
      </c>
      <c r="F6394" s="19" t="str">
        <f>IFERROR(__xludf.DUMMYFUNCTION("""COMPUTED_VALUE"""),"BLACK")</f>
        <v>BLACK</v>
      </c>
      <c r="G6394" s="20" t="str">
        <f>IFERROR(__xludf.DUMMYFUNCTION("""COMPUTED_VALUE"""),"Uncle Sams Cider (5/13/2022)")</f>
        <v>Uncle Sams Cider (5/13/2022)</v>
      </c>
      <c r="H6394" s="19"/>
    </row>
    <row r="6395">
      <c r="A6395" s="9"/>
      <c r="B6395" s="15"/>
      <c r="C6395" s="9">
        <f>IFERROR(__xludf.DUMMYFUNCTION("""COMPUTED_VALUE"""),44729.9467975)</f>
        <v>44729.9468</v>
      </c>
      <c r="D6395" s="15">
        <f>IFERROR(__xludf.DUMMYFUNCTION("""COMPUTED_VALUE"""),1.006)</f>
        <v>1.006</v>
      </c>
      <c r="E6395" s="16">
        <f>IFERROR(__xludf.DUMMYFUNCTION("""COMPUTED_VALUE"""),66.0)</f>
        <v>66</v>
      </c>
      <c r="F6395" s="19" t="str">
        <f>IFERROR(__xludf.DUMMYFUNCTION("""COMPUTED_VALUE"""),"BLACK")</f>
        <v>BLACK</v>
      </c>
      <c r="G6395" s="20" t="str">
        <f>IFERROR(__xludf.DUMMYFUNCTION("""COMPUTED_VALUE"""),"Uncle Sams Cider (5/13/2022)")</f>
        <v>Uncle Sams Cider (5/13/2022)</v>
      </c>
      <c r="H6395" s="19"/>
    </row>
    <row r="6396">
      <c r="A6396" s="9"/>
      <c r="B6396" s="15"/>
      <c r="C6396" s="9">
        <f>IFERROR(__xludf.DUMMYFUNCTION("""COMPUTED_VALUE"""),44729.9363775115)</f>
        <v>44729.93638</v>
      </c>
      <c r="D6396" s="15">
        <f>IFERROR(__xludf.DUMMYFUNCTION("""COMPUTED_VALUE"""),1.005)</f>
        <v>1.005</v>
      </c>
      <c r="E6396" s="16">
        <f>IFERROR(__xludf.DUMMYFUNCTION("""COMPUTED_VALUE"""),66.0)</f>
        <v>66</v>
      </c>
      <c r="F6396" s="19" t="str">
        <f>IFERROR(__xludf.DUMMYFUNCTION("""COMPUTED_VALUE"""),"BLACK")</f>
        <v>BLACK</v>
      </c>
      <c r="G6396" s="20" t="str">
        <f>IFERROR(__xludf.DUMMYFUNCTION("""COMPUTED_VALUE"""),"Uncle Sams Cider (5/13/2022)")</f>
        <v>Uncle Sams Cider (5/13/2022)</v>
      </c>
      <c r="H6396" s="19"/>
    </row>
    <row r="6397">
      <c r="A6397" s="9"/>
      <c r="B6397" s="15"/>
      <c r="C6397" s="9">
        <f>IFERROR(__xludf.DUMMYFUNCTION("""COMPUTED_VALUE"""),44729.9259575115)</f>
        <v>44729.92596</v>
      </c>
      <c r="D6397" s="15">
        <f>IFERROR(__xludf.DUMMYFUNCTION("""COMPUTED_VALUE"""),1.006)</f>
        <v>1.006</v>
      </c>
      <c r="E6397" s="16">
        <f>IFERROR(__xludf.DUMMYFUNCTION("""COMPUTED_VALUE"""),66.0)</f>
        <v>66</v>
      </c>
      <c r="F6397" s="19" t="str">
        <f>IFERROR(__xludf.DUMMYFUNCTION("""COMPUTED_VALUE"""),"BLACK")</f>
        <v>BLACK</v>
      </c>
      <c r="G6397" s="20" t="str">
        <f>IFERROR(__xludf.DUMMYFUNCTION("""COMPUTED_VALUE"""),"Uncle Sams Cider (5/13/2022)")</f>
        <v>Uncle Sams Cider (5/13/2022)</v>
      </c>
      <c r="H6397" s="19"/>
    </row>
    <row r="6398">
      <c r="A6398" s="9"/>
      <c r="B6398" s="15"/>
      <c r="C6398" s="9">
        <f>IFERROR(__xludf.DUMMYFUNCTION("""COMPUTED_VALUE"""),44729.9155236689)</f>
        <v>44729.91552</v>
      </c>
      <c r="D6398" s="15">
        <f>IFERROR(__xludf.DUMMYFUNCTION("""COMPUTED_VALUE"""),1.005)</f>
        <v>1.005</v>
      </c>
      <c r="E6398" s="16">
        <f>IFERROR(__xludf.DUMMYFUNCTION("""COMPUTED_VALUE"""),66.0)</f>
        <v>66</v>
      </c>
      <c r="F6398" s="19" t="str">
        <f>IFERROR(__xludf.DUMMYFUNCTION("""COMPUTED_VALUE"""),"BLACK")</f>
        <v>BLACK</v>
      </c>
      <c r="G6398" s="20" t="str">
        <f>IFERROR(__xludf.DUMMYFUNCTION("""COMPUTED_VALUE"""),"Uncle Sams Cider (5/13/2022)")</f>
        <v>Uncle Sams Cider (5/13/2022)</v>
      </c>
      <c r="H6398" s="19"/>
    </row>
    <row r="6399">
      <c r="A6399" s="9"/>
      <c r="B6399" s="15"/>
      <c r="C6399" s="9">
        <f>IFERROR(__xludf.DUMMYFUNCTION("""COMPUTED_VALUE"""),44729.9050907638)</f>
        <v>44729.90509</v>
      </c>
      <c r="D6399" s="15">
        <f>IFERROR(__xludf.DUMMYFUNCTION("""COMPUTED_VALUE"""),1.006)</f>
        <v>1.006</v>
      </c>
      <c r="E6399" s="16">
        <f>IFERROR(__xludf.DUMMYFUNCTION("""COMPUTED_VALUE"""),66.0)</f>
        <v>66</v>
      </c>
      <c r="F6399" s="19" t="str">
        <f>IFERROR(__xludf.DUMMYFUNCTION("""COMPUTED_VALUE"""),"BLACK")</f>
        <v>BLACK</v>
      </c>
      <c r="G6399" s="20" t="str">
        <f>IFERROR(__xludf.DUMMYFUNCTION("""COMPUTED_VALUE"""),"Uncle Sams Cider (5/13/2022)")</f>
        <v>Uncle Sams Cider (5/13/2022)</v>
      </c>
      <c r="H6399" s="19"/>
    </row>
    <row r="6400">
      <c r="A6400" s="9"/>
      <c r="B6400" s="15"/>
      <c r="C6400" s="9">
        <f>IFERROR(__xludf.DUMMYFUNCTION("""COMPUTED_VALUE"""),44729.894670243)</f>
        <v>44729.89467</v>
      </c>
      <c r="D6400" s="15">
        <f>IFERROR(__xludf.DUMMYFUNCTION("""COMPUTED_VALUE"""),1.005)</f>
        <v>1.005</v>
      </c>
      <c r="E6400" s="16">
        <f>IFERROR(__xludf.DUMMYFUNCTION("""COMPUTED_VALUE"""),66.0)</f>
        <v>66</v>
      </c>
      <c r="F6400" s="19" t="str">
        <f>IFERROR(__xludf.DUMMYFUNCTION("""COMPUTED_VALUE"""),"BLACK")</f>
        <v>BLACK</v>
      </c>
      <c r="G6400" s="20" t="str">
        <f>IFERROR(__xludf.DUMMYFUNCTION("""COMPUTED_VALUE"""),"Uncle Sams Cider (5/13/2022)")</f>
        <v>Uncle Sams Cider (5/13/2022)</v>
      </c>
      <c r="H6400" s="19"/>
    </row>
    <row r="6401">
      <c r="A6401" s="9"/>
      <c r="B6401" s="15"/>
      <c r="C6401" s="9">
        <f>IFERROR(__xludf.DUMMYFUNCTION("""COMPUTED_VALUE"""),44729.8842482754)</f>
        <v>44729.88425</v>
      </c>
      <c r="D6401" s="15">
        <f>IFERROR(__xludf.DUMMYFUNCTION("""COMPUTED_VALUE"""),1.005)</f>
        <v>1.005</v>
      </c>
      <c r="E6401" s="16">
        <f>IFERROR(__xludf.DUMMYFUNCTION("""COMPUTED_VALUE"""),66.0)</f>
        <v>66</v>
      </c>
      <c r="F6401" s="19" t="str">
        <f>IFERROR(__xludf.DUMMYFUNCTION("""COMPUTED_VALUE"""),"BLACK")</f>
        <v>BLACK</v>
      </c>
      <c r="G6401" s="20" t="str">
        <f>IFERROR(__xludf.DUMMYFUNCTION("""COMPUTED_VALUE"""),"Uncle Sams Cider (5/13/2022)")</f>
        <v>Uncle Sams Cider (5/13/2022)</v>
      </c>
      <c r="H6401" s="19"/>
    </row>
    <row r="6402">
      <c r="A6402" s="9"/>
      <c r="B6402" s="15"/>
      <c r="C6402" s="9">
        <f>IFERROR(__xludf.DUMMYFUNCTION("""COMPUTED_VALUE"""),44729.8738257986)</f>
        <v>44729.87383</v>
      </c>
      <c r="D6402" s="15">
        <f>IFERROR(__xludf.DUMMYFUNCTION("""COMPUTED_VALUE"""),1.006)</f>
        <v>1.006</v>
      </c>
      <c r="E6402" s="16">
        <f>IFERROR(__xludf.DUMMYFUNCTION("""COMPUTED_VALUE"""),66.0)</f>
        <v>66</v>
      </c>
      <c r="F6402" s="19" t="str">
        <f>IFERROR(__xludf.DUMMYFUNCTION("""COMPUTED_VALUE"""),"BLACK")</f>
        <v>BLACK</v>
      </c>
      <c r="G6402" s="20" t="str">
        <f>IFERROR(__xludf.DUMMYFUNCTION("""COMPUTED_VALUE"""),"Uncle Sams Cider (5/13/2022)")</f>
        <v>Uncle Sams Cider (5/13/2022)</v>
      </c>
      <c r="H6402" s="19"/>
    </row>
    <row r="6403">
      <c r="A6403" s="9"/>
      <c r="B6403" s="15"/>
      <c r="C6403" s="9">
        <f>IFERROR(__xludf.DUMMYFUNCTION("""COMPUTED_VALUE"""),44729.8634039583)</f>
        <v>44729.8634</v>
      </c>
      <c r="D6403" s="15">
        <f>IFERROR(__xludf.DUMMYFUNCTION("""COMPUTED_VALUE"""),1.005)</f>
        <v>1.005</v>
      </c>
      <c r="E6403" s="16">
        <f>IFERROR(__xludf.DUMMYFUNCTION("""COMPUTED_VALUE"""),66.0)</f>
        <v>66</v>
      </c>
      <c r="F6403" s="19" t="str">
        <f>IFERROR(__xludf.DUMMYFUNCTION("""COMPUTED_VALUE"""),"BLACK")</f>
        <v>BLACK</v>
      </c>
      <c r="G6403" s="20" t="str">
        <f>IFERROR(__xludf.DUMMYFUNCTION("""COMPUTED_VALUE"""),"Uncle Sams Cider (5/13/2022)")</f>
        <v>Uncle Sams Cider (5/13/2022)</v>
      </c>
      <c r="H6403" s="19"/>
    </row>
    <row r="6404">
      <c r="A6404" s="9"/>
      <c r="B6404" s="15"/>
      <c r="C6404" s="9">
        <f>IFERROR(__xludf.DUMMYFUNCTION("""COMPUTED_VALUE"""),44729.8529835995)</f>
        <v>44729.85298</v>
      </c>
      <c r="D6404" s="15">
        <f>IFERROR(__xludf.DUMMYFUNCTION("""COMPUTED_VALUE"""),1.005)</f>
        <v>1.005</v>
      </c>
      <c r="E6404" s="16">
        <f>IFERROR(__xludf.DUMMYFUNCTION("""COMPUTED_VALUE"""),66.0)</f>
        <v>66</v>
      </c>
      <c r="F6404" s="19" t="str">
        <f>IFERROR(__xludf.DUMMYFUNCTION("""COMPUTED_VALUE"""),"BLACK")</f>
        <v>BLACK</v>
      </c>
      <c r="G6404" s="20" t="str">
        <f>IFERROR(__xludf.DUMMYFUNCTION("""COMPUTED_VALUE"""),"Uncle Sams Cider (5/13/2022)")</f>
        <v>Uncle Sams Cider (5/13/2022)</v>
      </c>
      <c r="H6404" s="19"/>
    </row>
    <row r="6405">
      <c r="A6405" s="9"/>
      <c r="B6405" s="15"/>
      <c r="C6405" s="9">
        <f>IFERROR(__xludf.DUMMYFUNCTION("""COMPUTED_VALUE"""),44729.8425633449)</f>
        <v>44729.84256</v>
      </c>
      <c r="D6405" s="15">
        <f>IFERROR(__xludf.DUMMYFUNCTION("""COMPUTED_VALUE"""),1.005)</f>
        <v>1.005</v>
      </c>
      <c r="E6405" s="16">
        <f>IFERROR(__xludf.DUMMYFUNCTION("""COMPUTED_VALUE"""),67.0)</f>
        <v>67</v>
      </c>
      <c r="F6405" s="19" t="str">
        <f>IFERROR(__xludf.DUMMYFUNCTION("""COMPUTED_VALUE"""),"BLACK")</f>
        <v>BLACK</v>
      </c>
      <c r="G6405" s="20" t="str">
        <f>IFERROR(__xludf.DUMMYFUNCTION("""COMPUTED_VALUE"""),"Uncle Sams Cider (5/13/2022)")</f>
        <v>Uncle Sams Cider (5/13/2022)</v>
      </c>
      <c r="H6405" s="19"/>
    </row>
    <row r="6406">
      <c r="A6406" s="9"/>
      <c r="B6406" s="15"/>
      <c r="C6406" s="9">
        <f>IFERROR(__xludf.DUMMYFUNCTION("""COMPUTED_VALUE"""),44729.8321426504)</f>
        <v>44729.83214</v>
      </c>
      <c r="D6406" s="15">
        <f>IFERROR(__xludf.DUMMYFUNCTION("""COMPUTED_VALUE"""),1.005)</f>
        <v>1.005</v>
      </c>
      <c r="E6406" s="16">
        <f>IFERROR(__xludf.DUMMYFUNCTION("""COMPUTED_VALUE"""),68.0)</f>
        <v>68</v>
      </c>
      <c r="F6406" s="19" t="str">
        <f>IFERROR(__xludf.DUMMYFUNCTION("""COMPUTED_VALUE"""),"BLACK")</f>
        <v>BLACK</v>
      </c>
      <c r="G6406" s="20" t="str">
        <f>IFERROR(__xludf.DUMMYFUNCTION("""COMPUTED_VALUE"""),"Uncle Sams Cider (5/13/2022)")</f>
        <v>Uncle Sams Cider (5/13/2022)</v>
      </c>
      <c r="H6406" s="19"/>
    </row>
    <row r="6407">
      <c r="A6407" s="9"/>
      <c r="B6407" s="15"/>
      <c r="C6407" s="9">
        <f>IFERROR(__xludf.DUMMYFUNCTION("""COMPUTED_VALUE"""),44729.8217214351)</f>
        <v>44729.82172</v>
      </c>
      <c r="D6407" s="15">
        <f>IFERROR(__xludf.DUMMYFUNCTION("""COMPUTED_VALUE"""),1.005)</f>
        <v>1.005</v>
      </c>
      <c r="E6407" s="16">
        <f>IFERROR(__xludf.DUMMYFUNCTION("""COMPUTED_VALUE"""),69.0)</f>
        <v>69</v>
      </c>
      <c r="F6407" s="19" t="str">
        <f>IFERROR(__xludf.DUMMYFUNCTION("""COMPUTED_VALUE"""),"BLACK")</f>
        <v>BLACK</v>
      </c>
      <c r="G6407" s="20" t="str">
        <f>IFERROR(__xludf.DUMMYFUNCTION("""COMPUTED_VALUE"""),"Uncle Sams Cider (5/13/2022)")</f>
        <v>Uncle Sams Cider (5/13/2022)</v>
      </c>
      <c r="H6407" s="19"/>
    </row>
    <row r="6408">
      <c r="A6408" s="9"/>
      <c r="B6408" s="15"/>
      <c r="C6408" s="9">
        <f>IFERROR(__xludf.DUMMYFUNCTION("""COMPUTED_VALUE"""),44729.8113006713)</f>
        <v>44729.8113</v>
      </c>
      <c r="D6408" s="15">
        <f>IFERROR(__xludf.DUMMYFUNCTION("""COMPUTED_VALUE"""),1.006)</f>
        <v>1.006</v>
      </c>
      <c r="E6408" s="16">
        <f>IFERROR(__xludf.DUMMYFUNCTION("""COMPUTED_VALUE"""),69.0)</f>
        <v>69</v>
      </c>
      <c r="F6408" s="19" t="str">
        <f>IFERROR(__xludf.DUMMYFUNCTION("""COMPUTED_VALUE"""),"BLACK")</f>
        <v>BLACK</v>
      </c>
      <c r="G6408" s="20" t="str">
        <f>IFERROR(__xludf.DUMMYFUNCTION("""COMPUTED_VALUE"""),"Uncle Sams Cider (5/13/2022)")</f>
        <v>Uncle Sams Cider (5/13/2022)</v>
      </c>
      <c r="H6408" s="19"/>
    </row>
    <row r="6409">
      <c r="A6409" s="9"/>
      <c r="B6409" s="15"/>
      <c r="C6409" s="9">
        <f>IFERROR(__xludf.DUMMYFUNCTION("""COMPUTED_VALUE"""),44729.8008468287)</f>
        <v>44729.80085</v>
      </c>
      <c r="D6409" s="15">
        <f>IFERROR(__xludf.DUMMYFUNCTION("""COMPUTED_VALUE"""),1.005)</f>
        <v>1.005</v>
      </c>
      <c r="E6409" s="16">
        <f>IFERROR(__xludf.DUMMYFUNCTION("""COMPUTED_VALUE"""),70.0)</f>
        <v>70</v>
      </c>
      <c r="F6409" s="19" t="str">
        <f>IFERROR(__xludf.DUMMYFUNCTION("""COMPUTED_VALUE"""),"BLACK")</f>
        <v>BLACK</v>
      </c>
      <c r="G6409" s="20" t="str">
        <f>IFERROR(__xludf.DUMMYFUNCTION("""COMPUTED_VALUE"""),"Uncle Sams Cider (5/13/2022)")</f>
        <v>Uncle Sams Cider (5/13/2022)</v>
      </c>
      <c r="H6409" s="19"/>
    </row>
    <row r="6410">
      <c r="A6410" s="9"/>
      <c r="B6410" s="15"/>
      <c r="C6410" s="9">
        <f>IFERROR(__xludf.DUMMYFUNCTION("""COMPUTED_VALUE"""),44729.7904151967)</f>
        <v>44729.79042</v>
      </c>
      <c r="D6410" s="15">
        <f>IFERROR(__xludf.DUMMYFUNCTION("""COMPUTED_VALUE"""),1.005)</f>
        <v>1.005</v>
      </c>
      <c r="E6410" s="16">
        <f>IFERROR(__xludf.DUMMYFUNCTION("""COMPUTED_VALUE"""),70.0)</f>
        <v>70</v>
      </c>
      <c r="F6410" s="19" t="str">
        <f>IFERROR(__xludf.DUMMYFUNCTION("""COMPUTED_VALUE"""),"BLACK")</f>
        <v>BLACK</v>
      </c>
      <c r="G6410" s="20" t="str">
        <f>IFERROR(__xludf.DUMMYFUNCTION("""COMPUTED_VALUE"""),"Uncle Sams Cider (5/13/2022)")</f>
        <v>Uncle Sams Cider (5/13/2022)</v>
      </c>
      <c r="H6410" s="19"/>
    </row>
    <row r="6411">
      <c r="A6411" s="9"/>
      <c r="B6411" s="15"/>
      <c r="C6411" s="9">
        <f>IFERROR(__xludf.DUMMYFUNCTION("""COMPUTED_VALUE"""),44729.7799948495)</f>
        <v>44729.77999</v>
      </c>
      <c r="D6411" s="15">
        <f>IFERROR(__xludf.DUMMYFUNCTION("""COMPUTED_VALUE"""),1.005)</f>
        <v>1.005</v>
      </c>
      <c r="E6411" s="16">
        <f>IFERROR(__xludf.DUMMYFUNCTION("""COMPUTED_VALUE"""),70.0)</f>
        <v>70</v>
      </c>
      <c r="F6411" s="19" t="str">
        <f>IFERROR(__xludf.DUMMYFUNCTION("""COMPUTED_VALUE"""),"BLACK")</f>
        <v>BLACK</v>
      </c>
      <c r="G6411" s="20" t="str">
        <f>IFERROR(__xludf.DUMMYFUNCTION("""COMPUTED_VALUE"""),"Uncle Sams Cider (5/13/2022)")</f>
        <v>Uncle Sams Cider (5/13/2022)</v>
      </c>
      <c r="H6411" s="19"/>
    </row>
    <row r="6412">
      <c r="A6412" s="9"/>
      <c r="B6412" s="15"/>
      <c r="C6412" s="9">
        <f>IFERROR(__xludf.DUMMYFUNCTION("""COMPUTED_VALUE"""),44729.7695731018)</f>
        <v>44729.76957</v>
      </c>
      <c r="D6412" s="15">
        <f>IFERROR(__xludf.DUMMYFUNCTION("""COMPUTED_VALUE"""),1.005)</f>
        <v>1.005</v>
      </c>
      <c r="E6412" s="16">
        <f>IFERROR(__xludf.DUMMYFUNCTION("""COMPUTED_VALUE"""),70.0)</f>
        <v>70</v>
      </c>
      <c r="F6412" s="19" t="str">
        <f>IFERROR(__xludf.DUMMYFUNCTION("""COMPUTED_VALUE"""),"BLACK")</f>
        <v>BLACK</v>
      </c>
      <c r="G6412" s="20" t="str">
        <f>IFERROR(__xludf.DUMMYFUNCTION("""COMPUTED_VALUE"""),"Uncle Sams Cider (5/13/2022)")</f>
        <v>Uncle Sams Cider (5/13/2022)</v>
      </c>
      <c r="H6412" s="19"/>
    </row>
    <row r="6413">
      <c r="A6413" s="9"/>
      <c r="B6413" s="15"/>
      <c r="C6413" s="9">
        <f>IFERROR(__xludf.DUMMYFUNCTION("""COMPUTED_VALUE"""),44729.759151956)</f>
        <v>44729.75915</v>
      </c>
      <c r="D6413" s="15">
        <f>IFERROR(__xludf.DUMMYFUNCTION("""COMPUTED_VALUE"""),1.005)</f>
        <v>1.005</v>
      </c>
      <c r="E6413" s="16">
        <f>IFERROR(__xludf.DUMMYFUNCTION("""COMPUTED_VALUE"""),70.0)</f>
        <v>70</v>
      </c>
      <c r="F6413" s="19" t="str">
        <f>IFERROR(__xludf.DUMMYFUNCTION("""COMPUTED_VALUE"""),"BLACK")</f>
        <v>BLACK</v>
      </c>
      <c r="G6413" s="20" t="str">
        <f>IFERROR(__xludf.DUMMYFUNCTION("""COMPUTED_VALUE"""),"Uncle Sams Cider (5/13/2022)")</f>
        <v>Uncle Sams Cider (5/13/2022)</v>
      </c>
      <c r="H6413" s="19"/>
    </row>
    <row r="6414">
      <c r="A6414" s="9"/>
      <c r="B6414" s="15"/>
      <c r="C6414" s="9">
        <f>IFERROR(__xludf.DUMMYFUNCTION("""COMPUTED_VALUE"""),44729.7487082523)</f>
        <v>44729.74871</v>
      </c>
      <c r="D6414" s="15">
        <f>IFERROR(__xludf.DUMMYFUNCTION("""COMPUTED_VALUE"""),1.006)</f>
        <v>1.006</v>
      </c>
      <c r="E6414" s="16">
        <f>IFERROR(__xludf.DUMMYFUNCTION("""COMPUTED_VALUE"""),70.0)</f>
        <v>70</v>
      </c>
      <c r="F6414" s="19" t="str">
        <f>IFERROR(__xludf.DUMMYFUNCTION("""COMPUTED_VALUE"""),"BLACK")</f>
        <v>BLACK</v>
      </c>
      <c r="G6414" s="20" t="str">
        <f>IFERROR(__xludf.DUMMYFUNCTION("""COMPUTED_VALUE"""),"Uncle Sams Cider (5/13/2022)")</f>
        <v>Uncle Sams Cider (5/13/2022)</v>
      </c>
      <c r="H6414" s="19"/>
    </row>
    <row r="6415">
      <c r="A6415" s="9"/>
      <c r="B6415" s="15"/>
      <c r="C6415" s="9">
        <f>IFERROR(__xludf.DUMMYFUNCTION("""COMPUTED_VALUE"""),44729.7382750926)</f>
        <v>44729.73828</v>
      </c>
      <c r="D6415" s="15">
        <f>IFERROR(__xludf.DUMMYFUNCTION("""COMPUTED_VALUE"""),1.005)</f>
        <v>1.005</v>
      </c>
      <c r="E6415" s="16">
        <f>IFERROR(__xludf.DUMMYFUNCTION("""COMPUTED_VALUE"""),70.0)</f>
        <v>70</v>
      </c>
      <c r="F6415" s="19" t="str">
        <f>IFERROR(__xludf.DUMMYFUNCTION("""COMPUTED_VALUE"""),"BLACK")</f>
        <v>BLACK</v>
      </c>
      <c r="G6415" s="20" t="str">
        <f>IFERROR(__xludf.DUMMYFUNCTION("""COMPUTED_VALUE"""),"Uncle Sams Cider (5/13/2022)")</f>
        <v>Uncle Sams Cider (5/13/2022)</v>
      </c>
      <c r="H6415" s="19"/>
    </row>
    <row r="6416">
      <c r="A6416" s="9"/>
      <c r="B6416" s="15"/>
      <c r="C6416" s="9">
        <f>IFERROR(__xludf.DUMMYFUNCTION("""COMPUTED_VALUE"""),44729.7278538773)</f>
        <v>44729.72785</v>
      </c>
      <c r="D6416" s="15">
        <f>IFERROR(__xludf.DUMMYFUNCTION("""COMPUTED_VALUE"""),1.006)</f>
        <v>1.006</v>
      </c>
      <c r="E6416" s="16">
        <f>IFERROR(__xludf.DUMMYFUNCTION("""COMPUTED_VALUE"""),70.0)</f>
        <v>70</v>
      </c>
      <c r="F6416" s="19" t="str">
        <f>IFERROR(__xludf.DUMMYFUNCTION("""COMPUTED_VALUE"""),"BLACK")</f>
        <v>BLACK</v>
      </c>
      <c r="G6416" s="20" t="str">
        <f>IFERROR(__xludf.DUMMYFUNCTION("""COMPUTED_VALUE"""),"Uncle Sams Cider (5/13/2022)")</f>
        <v>Uncle Sams Cider (5/13/2022)</v>
      </c>
      <c r="H6416" s="19"/>
    </row>
    <row r="6417">
      <c r="A6417" s="9"/>
      <c r="B6417" s="15"/>
      <c r="C6417" s="9">
        <f>IFERROR(__xludf.DUMMYFUNCTION("""COMPUTED_VALUE"""),44729.7174339351)</f>
        <v>44729.71743</v>
      </c>
      <c r="D6417" s="15">
        <f>IFERROR(__xludf.DUMMYFUNCTION("""COMPUTED_VALUE"""),1.006)</f>
        <v>1.006</v>
      </c>
      <c r="E6417" s="16">
        <f>IFERROR(__xludf.DUMMYFUNCTION("""COMPUTED_VALUE"""),70.0)</f>
        <v>70</v>
      </c>
      <c r="F6417" s="19" t="str">
        <f>IFERROR(__xludf.DUMMYFUNCTION("""COMPUTED_VALUE"""),"BLACK")</f>
        <v>BLACK</v>
      </c>
      <c r="G6417" s="20" t="str">
        <f>IFERROR(__xludf.DUMMYFUNCTION("""COMPUTED_VALUE"""),"Uncle Sams Cider (5/13/2022)")</f>
        <v>Uncle Sams Cider (5/13/2022)</v>
      </c>
      <c r="H6417" s="19"/>
    </row>
    <row r="6418">
      <c r="A6418" s="9"/>
      <c r="B6418" s="15"/>
      <c r="C6418" s="9">
        <f>IFERROR(__xludf.DUMMYFUNCTION("""COMPUTED_VALUE"""),44729.7070134027)</f>
        <v>44729.70701</v>
      </c>
      <c r="D6418" s="15">
        <f>IFERROR(__xludf.DUMMYFUNCTION("""COMPUTED_VALUE"""),1.005)</f>
        <v>1.005</v>
      </c>
      <c r="E6418" s="16">
        <f>IFERROR(__xludf.DUMMYFUNCTION("""COMPUTED_VALUE"""),70.0)</f>
        <v>70</v>
      </c>
      <c r="F6418" s="19" t="str">
        <f>IFERROR(__xludf.DUMMYFUNCTION("""COMPUTED_VALUE"""),"BLACK")</f>
        <v>BLACK</v>
      </c>
      <c r="G6418" s="20" t="str">
        <f>IFERROR(__xludf.DUMMYFUNCTION("""COMPUTED_VALUE"""),"Uncle Sams Cider (5/13/2022)")</f>
        <v>Uncle Sams Cider (5/13/2022)</v>
      </c>
      <c r="H6418" s="19"/>
    </row>
    <row r="6419">
      <c r="A6419" s="9"/>
      <c r="B6419" s="15"/>
      <c r="C6419" s="9">
        <f>IFERROR(__xludf.DUMMYFUNCTION("""COMPUTED_VALUE"""),44729.6965930208)</f>
        <v>44729.69659</v>
      </c>
      <c r="D6419" s="15">
        <f>IFERROR(__xludf.DUMMYFUNCTION("""COMPUTED_VALUE"""),1.006)</f>
        <v>1.006</v>
      </c>
      <c r="E6419" s="16">
        <f>IFERROR(__xludf.DUMMYFUNCTION("""COMPUTED_VALUE"""),70.0)</f>
        <v>70</v>
      </c>
      <c r="F6419" s="19" t="str">
        <f>IFERROR(__xludf.DUMMYFUNCTION("""COMPUTED_VALUE"""),"BLACK")</f>
        <v>BLACK</v>
      </c>
      <c r="G6419" s="20" t="str">
        <f>IFERROR(__xludf.DUMMYFUNCTION("""COMPUTED_VALUE"""),"Uncle Sams Cider (5/13/2022)")</f>
        <v>Uncle Sams Cider (5/13/2022)</v>
      </c>
      <c r="H6419" s="19"/>
    </row>
    <row r="6420">
      <c r="A6420" s="9"/>
      <c r="B6420" s="15"/>
      <c r="C6420" s="9">
        <f>IFERROR(__xludf.DUMMYFUNCTION("""COMPUTED_VALUE"""),44729.6861712384)</f>
        <v>44729.68617</v>
      </c>
      <c r="D6420" s="15">
        <f>IFERROR(__xludf.DUMMYFUNCTION("""COMPUTED_VALUE"""),1.005)</f>
        <v>1.005</v>
      </c>
      <c r="E6420" s="16">
        <f>IFERROR(__xludf.DUMMYFUNCTION("""COMPUTED_VALUE"""),70.0)</f>
        <v>70</v>
      </c>
      <c r="F6420" s="19" t="str">
        <f>IFERROR(__xludf.DUMMYFUNCTION("""COMPUTED_VALUE"""),"BLACK")</f>
        <v>BLACK</v>
      </c>
      <c r="G6420" s="20" t="str">
        <f>IFERROR(__xludf.DUMMYFUNCTION("""COMPUTED_VALUE"""),"Uncle Sams Cider (5/13/2022)")</f>
        <v>Uncle Sams Cider (5/13/2022)</v>
      </c>
      <c r="H6420" s="19"/>
    </row>
    <row r="6421">
      <c r="A6421" s="9"/>
      <c r="B6421" s="15"/>
      <c r="C6421" s="9">
        <f>IFERROR(__xludf.DUMMYFUNCTION("""COMPUTED_VALUE"""),44729.6757503588)</f>
        <v>44729.67575</v>
      </c>
      <c r="D6421" s="15">
        <f>IFERROR(__xludf.DUMMYFUNCTION("""COMPUTED_VALUE"""),1.005)</f>
        <v>1.005</v>
      </c>
      <c r="E6421" s="16">
        <f>IFERROR(__xludf.DUMMYFUNCTION("""COMPUTED_VALUE"""),70.0)</f>
        <v>70</v>
      </c>
      <c r="F6421" s="19" t="str">
        <f>IFERROR(__xludf.DUMMYFUNCTION("""COMPUTED_VALUE"""),"BLACK")</f>
        <v>BLACK</v>
      </c>
      <c r="G6421" s="20" t="str">
        <f>IFERROR(__xludf.DUMMYFUNCTION("""COMPUTED_VALUE"""),"Uncle Sams Cider (5/13/2022)")</f>
        <v>Uncle Sams Cider (5/13/2022)</v>
      </c>
      <c r="H6421" s="19"/>
    </row>
    <row r="6422">
      <c r="A6422" s="9"/>
      <c r="B6422" s="15"/>
      <c r="C6422" s="9">
        <f>IFERROR(__xludf.DUMMYFUNCTION("""COMPUTED_VALUE"""),44729.6653300463)</f>
        <v>44729.66533</v>
      </c>
      <c r="D6422" s="15">
        <f>IFERROR(__xludf.DUMMYFUNCTION("""COMPUTED_VALUE"""),1.005)</f>
        <v>1.005</v>
      </c>
      <c r="E6422" s="16">
        <f>IFERROR(__xludf.DUMMYFUNCTION("""COMPUTED_VALUE"""),70.0)</f>
        <v>70</v>
      </c>
      <c r="F6422" s="19" t="str">
        <f>IFERROR(__xludf.DUMMYFUNCTION("""COMPUTED_VALUE"""),"BLACK")</f>
        <v>BLACK</v>
      </c>
      <c r="G6422" s="20" t="str">
        <f>IFERROR(__xludf.DUMMYFUNCTION("""COMPUTED_VALUE"""),"Uncle Sams Cider (5/13/2022)")</f>
        <v>Uncle Sams Cider (5/13/2022)</v>
      </c>
      <c r="H6422" s="19"/>
    </row>
    <row r="6423">
      <c r="A6423" s="9"/>
      <c r="B6423" s="15"/>
      <c r="C6423" s="9">
        <f>IFERROR(__xludf.DUMMYFUNCTION("""COMPUTED_VALUE"""),44729.6549078356)</f>
        <v>44729.65491</v>
      </c>
      <c r="D6423" s="15">
        <f>IFERROR(__xludf.DUMMYFUNCTION("""COMPUTED_VALUE"""),1.006)</f>
        <v>1.006</v>
      </c>
      <c r="E6423" s="16">
        <f>IFERROR(__xludf.DUMMYFUNCTION("""COMPUTED_VALUE"""),70.0)</f>
        <v>70</v>
      </c>
      <c r="F6423" s="19" t="str">
        <f>IFERROR(__xludf.DUMMYFUNCTION("""COMPUTED_VALUE"""),"BLACK")</f>
        <v>BLACK</v>
      </c>
      <c r="G6423" s="20" t="str">
        <f>IFERROR(__xludf.DUMMYFUNCTION("""COMPUTED_VALUE"""),"Uncle Sams Cider (5/13/2022)")</f>
        <v>Uncle Sams Cider (5/13/2022)</v>
      </c>
      <c r="H6423" s="19"/>
    </row>
    <row r="6424">
      <c r="A6424" s="9"/>
      <c r="B6424" s="15"/>
      <c r="C6424" s="9">
        <f>IFERROR(__xludf.DUMMYFUNCTION("""COMPUTED_VALUE"""),44729.6444738078)</f>
        <v>44729.64447</v>
      </c>
      <c r="D6424" s="15">
        <f>IFERROR(__xludf.DUMMYFUNCTION("""COMPUTED_VALUE"""),1.006)</f>
        <v>1.006</v>
      </c>
      <c r="E6424" s="16">
        <f>IFERROR(__xludf.DUMMYFUNCTION("""COMPUTED_VALUE"""),70.0)</f>
        <v>70</v>
      </c>
      <c r="F6424" s="19" t="str">
        <f>IFERROR(__xludf.DUMMYFUNCTION("""COMPUTED_VALUE"""),"BLACK")</f>
        <v>BLACK</v>
      </c>
      <c r="G6424" s="20" t="str">
        <f>IFERROR(__xludf.DUMMYFUNCTION("""COMPUTED_VALUE"""),"Uncle Sams Cider (5/13/2022)")</f>
        <v>Uncle Sams Cider (5/13/2022)</v>
      </c>
      <c r="H6424" s="19"/>
    </row>
    <row r="6425">
      <c r="A6425" s="9"/>
      <c r="B6425" s="15"/>
      <c r="C6425" s="9">
        <f>IFERROR(__xludf.DUMMYFUNCTION("""COMPUTED_VALUE"""),44729.6340410416)</f>
        <v>44729.63404</v>
      </c>
      <c r="D6425" s="15">
        <f>IFERROR(__xludf.DUMMYFUNCTION("""COMPUTED_VALUE"""),1.006)</f>
        <v>1.006</v>
      </c>
      <c r="E6425" s="16">
        <f>IFERROR(__xludf.DUMMYFUNCTION("""COMPUTED_VALUE"""),70.0)</f>
        <v>70</v>
      </c>
      <c r="F6425" s="19" t="str">
        <f>IFERROR(__xludf.DUMMYFUNCTION("""COMPUTED_VALUE"""),"BLACK")</f>
        <v>BLACK</v>
      </c>
      <c r="G6425" s="20" t="str">
        <f>IFERROR(__xludf.DUMMYFUNCTION("""COMPUTED_VALUE"""),"Uncle Sams Cider (5/13/2022)")</f>
        <v>Uncle Sams Cider (5/13/2022)</v>
      </c>
      <c r="H6425" s="19"/>
    </row>
    <row r="6426">
      <c r="A6426" s="9"/>
      <c r="B6426" s="15"/>
      <c r="C6426" s="9">
        <f>IFERROR(__xludf.DUMMYFUNCTION("""COMPUTED_VALUE"""),44729.6236188078)</f>
        <v>44729.62362</v>
      </c>
      <c r="D6426" s="15">
        <f>IFERROR(__xludf.DUMMYFUNCTION("""COMPUTED_VALUE"""),1.006)</f>
        <v>1.006</v>
      </c>
      <c r="E6426" s="16">
        <f>IFERROR(__xludf.DUMMYFUNCTION("""COMPUTED_VALUE"""),70.0)</f>
        <v>70</v>
      </c>
      <c r="F6426" s="19" t="str">
        <f>IFERROR(__xludf.DUMMYFUNCTION("""COMPUTED_VALUE"""),"BLACK")</f>
        <v>BLACK</v>
      </c>
      <c r="G6426" s="20" t="str">
        <f>IFERROR(__xludf.DUMMYFUNCTION("""COMPUTED_VALUE"""),"Uncle Sams Cider (5/13/2022)")</f>
        <v>Uncle Sams Cider (5/13/2022)</v>
      </c>
      <c r="H6426" s="19"/>
    </row>
    <row r="6427">
      <c r="A6427" s="9"/>
      <c r="B6427" s="15"/>
      <c r="C6427" s="9">
        <f>IFERROR(__xludf.DUMMYFUNCTION("""COMPUTED_VALUE"""),44729.6131992476)</f>
        <v>44729.6132</v>
      </c>
      <c r="D6427" s="15">
        <f>IFERROR(__xludf.DUMMYFUNCTION("""COMPUTED_VALUE"""),1.006)</f>
        <v>1.006</v>
      </c>
      <c r="E6427" s="16">
        <f>IFERROR(__xludf.DUMMYFUNCTION("""COMPUTED_VALUE"""),70.0)</f>
        <v>70</v>
      </c>
      <c r="F6427" s="19" t="str">
        <f>IFERROR(__xludf.DUMMYFUNCTION("""COMPUTED_VALUE"""),"BLACK")</f>
        <v>BLACK</v>
      </c>
      <c r="G6427" s="20" t="str">
        <f>IFERROR(__xludf.DUMMYFUNCTION("""COMPUTED_VALUE"""),"Uncle Sams Cider (5/13/2022)")</f>
        <v>Uncle Sams Cider (5/13/2022)</v>
      </c>
      <c r="H6427" s="19"/>
    </row>
    <row r="6428">
      <c r="A6428" s="9"/>
      <c r="B6428" s="15"/>
      <c r="C6428" s="9">
        <f>IFERROR(__xludf.DUMMYFUNCTION("""COMPUTED_VALUE"""),44729.6027645601)</f>
        <v>44729.60276</v>
      </c>
      <c r="D6428" s="15">
        <f>IFERROR(__xludf.DUMMYFUNCTION("""COMPUTED_VALUE"""),1.005)</f>
        <v>1.005</v>
      </c>
      <c r="E6428" s="16">
        <f>IFERROR(__xludf.DUMMYFUNCTION("""COMPUTED_VALUE"""),70.0)</f>
        <v>70</v>
      </c>
      <c r="F6428" s="19" t="str">
        <f>IFERROR(__xludf.DUMMYFUNCTION("""COMPUTED_VALUE"""),"BLACK")</f>
        <v>BLACK</v>
      </c>
      <c r="G6428" s="20" t="str">
        <f>IFERROR(__xludf.DUMMYFUNCTION("""COMPUTED_VALUE"""),"Uncle Sams Cider (5/13/2022)")</f>
        <v>Uncle Sams Cider (5/13/2022)</v>
      </c>
      <c r="H6428" s="19"/>
    </row>
    <row r="6429">
      <c r="A6429" s="9"/>
      <c r="B6429" s="15"/>
      <c r="C6429" s="9">
        <f>IFERROR(__xludf.DUMMYFUNCTION("""COMPUTED_VALUE"""),44729.5923296296)</f>
        <v>44729.59233</v>
      </c>
      <c r="D6429" s="15">
        <f>IFERROR(__xludf.DUMMYFUNCTION("""COMPUTED_VALUE"""),1.006)</f>
        <v>1.006</v>
      </c>
      <c r="E6429" s="16">
        <f>IFERROR(__xludf.DUMMYFUNCTION("""COMPUTED_VALUE"""),70.0)</f>
        <v>70</v>
      </c>
      <c r="F6429" s="19" t="str">
        <f>IFERROR(__xludf.DUMMYFUNCTION("""COMPUTED_VALUE"""),"BLACK")</f>
        <v>BLACK</v>
      </c>
      <c r="G6429" s="20" t="str">
        <f>IFERROR(__xludf.DUMMYFUNCTION("""COMPUTED_VALUE"""),"Uncle Sams Cider (5/13/2022)")</f>
        <v>Uncle Sams Cider (5/13/2022)</v>
      </c>
      <c r="H6429" s="19"/>
    </row>
    <row r="6430">
      <c r="A6430" s="9"/>
      <c r="B6430" s="15"/>
      <c r="C6430" s="9">
        <f>IFERROR(__xludf.DUMMYFUNCTION("""COMPUTED_VALUE"""),44729.5819086921)</f>
        <v>44729.58191</v>
      </c>
      <c r="D6430" s="15">
        <f>IFERROR(__xludf.DUMMYFUNCTION("""COMPUTED_VALUE"""),1.006)</f>
        <v>1.006</v>
      </c>
      <c r="E6430" s="16">
        <f>IFERROR(__xludf.DUMMYFUNCTION("""COMPUTED_VALUE"""),70.0)</f>
        <v>70</v>
      </c>
      <c r="F6430" s="19" t="str">
        <f>IFERROR(__xludf.DUMMYFUNCTION("""COMPUTED_VALUE"""),"BLACK")</f>
        <v>BLACK</v>
      </c>
      <c r="G6430" s="20" t="str">
        <f>IFERROR(__xludf.DUMMYFUNCTION("""COMPUTED_VALUE"""),"Uncle Sams Cider (5/13/2022)")</f>
        <v>Uncle Sams Cider (5/13/2022)</v>
      </c>
      <c r="H6430" s="19"/>
    </row>
    <row r="6431">
      <c r="A6431" s="9"/>
      <c r="B6431" s="15"/>
      <c r="C6431" s="9">
        <f>IFERROR(__xludf.DUMMYFUNCTION("""COMPUTED_VALUE"""),44729.5714877777)</f>
        <v>44729.57149</v>
      </c>
      <c r="D6431" s="15">
        <f>IFERROR(__xludf.DUMMYFUNCTION("""COMPUTED_VALUE"""),1.005)</f>
        <v>1.005</v>
      </c>
      <c r="E6431" s="16">
        <f>IFERROR(__xludf.DUMMYFUNCTION("""COMPUTED_VALUE"""),70.0)</f>
        <v>70</v>
      </c>
      <c r="F6431" s="19" t="str">
        <f>IFERROR(__xludf.DUMMYFUNCTION("""COMPUTED_VALUE"""),"BLACK")</f>
        <v>BLACK</v>
      </c>
      <c r="G6431" s="20" t="str">
        <f>IFERROR(__xludf.DUMMYFUNCTION("""COMPUTED_VALUE"""),"Uncle Sams Cider (5/13/2022)")</f>
        <v>Uncle Sams Cider (5/13/2022)</v>
      </c>
      <c r="H6431" s="19"/>
    </row>
    <row r="6432">
      <c r="A6432" s="9"/>
      <c r="B6432" s="15"/>
      <c r="C6432" s="9">
        <f>IFERROR(__xludf.DUMMYFUNCTION("""COMPUTED_VALUE"""),44729.5610551041)</f>
        <v>44729.56106</v>
      </c>
      <c r="D6432" s="15">
        <f>IFERROR(__xludf.DUMMYFUNCTION("""COMPUTED_VALUE"""),1.006)</f>
        <v>1.006</v>
      </c>
      <c r="E6432" s="16">
        <f>IFERROR(__xludf.DUMMYFUNCTION("""COMPUTED_VALUE"""),70.0)</f>
        <v>70</v>
      </c>
      <c r="F6432" s="19" t="str">
        <f>IFERROR(__xludf.DUMMYFUNCTION("""COMPUTED_VALUE"""),"BLACK")</f>
        <v>BLACK</v>
      </c>
      <c r="G6432" s="20" t="str">
        <f>IFERROR(__xludf.DUMMYFUNCTION("""COMPUTED_VALUE"""),"Uncle Sams Cider (5/13/2022)")</f>
        <v>Uncle Sams Cider (5/13/2022)</v>
      </c>
      <c r="H6432" s="19"/>
    </row>
    <row r="6433">
      <c r="A6433" s="9"/>
      <c r="B6433" s="15"/>
      <c r="C6433" s="9">
        <f>IFERROR(__xludf.DUMMYFUNCTION("""COMPUTED_VALUE"""),44729.5506350925)</f>
        <v>44729.55064</v>
      </c>
      <c r="D6433" s="15">
        <f>IFERROR(__xludf.DUMMYFUNCTION("""COMPUTED_VALUE"""),1.005)</f>
        <v>1.005</v>
      </c>
      <c r="E6433" s="16">
        <f>IFERROR(__xludf.DUMMYFUNCTION("""COMPUTED_VALUE"""),70.0)</f>
        <v>70</v>
      </c>
      <c r="F6433" s="19" t="str">
        <f>IFERROR(__xludf.DUMMYFUNCTION("""COMPUTED_VALUE"""),"BLACK")</f>
        <v>BLACK</v>
      </c>
      <c r="G6433" s="20" t="str">
        <f>IFERROR(__xludf.DUMMYFUNCTION("""COMPUTED_VALUE"""),"Uncle Sams Cider (5/13/2022)")</f>
        <v>Uncle Sams Cider (5/13/2022)</v>
      </c>
      <c r="H6433" s="19"/>
    </row>
    <row r="6434">
      <c r="A6434" s="9"/>
      <c r="B6434" s="15"/>
      <c r="C6434" s="9">
        <f>IFERROR(__xludf.DUMMYFUNCTION("""COMPUTED_VALUE"""),44729.5402128819)</f>
        <v>44729.54021</v>
      </c>
      <c r="D6434" s="15">
        <f>IFERROR(__xludf.DUMMYFUNCTION("""COMPUTED_VALUE"""),1.005)</f>
        <v>1.005</v>
      </c>
      <c r="E6434" s="16">
        <f>IFERROR(__xludf.DUMMYFUNCTION("""COMPUTED_VALUE"""),70.0)</f>
        <v>70</v>
      </c>
      <c r="F6434" s="19" t="str">
        <f>IFERROR(__xludf.DUMMYFUNCTION("""COMPUTED_VALUE"""),"BLACK")</f>
        <v>BLACK</v>
      </c>
      <c r="G6434" s="20" t="str">
        <f>IFERROR(__xludf.DUMMYFUNCTION("""COMPUTED_VALUE"""),"Uncle Sams Cider (5/13/2022)")</f>
        <v>Uncle Sams Cider (5/13/2022)</v>
      </c>
      <c r="H6434" s="19"/>
    </row>
    <row r="6435">
      <c r="A6435" s="9"/>
      <c r="B6435" s="15"/>
      <c r="C6435" s="9">
        <f>IFERROR(__xludf.DUMMYFUNCTION("""COMPUTED_VALUE"""),44729.5297795949)</f>
        <v>44729.52978</v>
      </c>
      <c r="D6435" s="15">
        <f>IFERROR(__xludf.DUMMYFUNCTION("""COMPUTED_VALUE"""),1.006)</f>
        <v>1.006</v>
      </c>
      <c r="E6435" s="16">
        <f>IFERROR(__xludf.DUMMYFUNCTION("""COMPUTED_VALUE"""),70.0)</f>
        <v>70</v>
      </c>
      <c r="F6435" s="19" t="str">
        <f>IFERROR(__xludf.DUMMYFUNCTION("""COMPUTED_VALUE"""),"BLACK")</f>
        <v>BLACK</v>
      </c>
      <c r="G6435" s="20" t="str">
        <f>IFERROR(__xludf.DUMMYFUNCTION("""COMPUTED_VALUE"""),"Uncle Sams Cider (5/13/2022)")</f>
        <v>Uncle Sams Cider (5/13/2022)</v>
      </c>
      <c r="H6435" s="19"/>
    </row>
    <row r="6436">
      <c r="A6436" s="9"/>
      <c r="B6436" s="15"/>
      <c r="C6436" s="9">
        <f>IFERROR(__xludf.DUMMYFUNCTION("""COMPUTED_VALUE"""),44729.5193465046)</f>
        <v>44729.51935</v>
      </c>
      <c r="D6436" s="15">
        <f>IFERROR(__xludf.DUMMYFUNCTION("""COMPUTED_VALUE"""),1.005)</f>
        <v>1.005</v>
      </c>
      <c r="E6436" s="16">
        <f>IFERROR(__xludf.DUMMYFUNCTION("""COMPUTED_VALUE"""),70.0)</f>
        <v>70</v>
      </c>
      <c r="F6436" s="19" t="str">
        <f>IFERROR(__xludf.DUMMYFUNCTION("""COMPUTED_VALUE"""),"BLACK")</f>
        <v>BLACK</v>
      </c>
      <c r="G6436" s="20" t="str">
        <f>IFERROR(__xludf.DUMMYFUNCTION("""COMPUTED_VALUE"""),"Uncle Sams Cider (5/13/2022)")</f>
        <v>Uncle Sams Cider (5/13/2022)</v>
      </c>
      <c r="H6436" s="19"/>
    </row>
    <row r="6437">
      <c r="A6437" s="9"/>
      <c r="B6437" s="15"/>
      <c r="C6437" s="9">
        <f>IFERROR(__xludf.DUMMYFUNCTION("""COMPUTED_VALUE"""),44729.5089241666)</f>
        <v>44729.50892</v>
      </c>
      <c r="D6437" s="15">
        <f>IFERROR(__xludf.DUMMYFUNCTION("""COMPUTED_VALUE"""),1.005)</f>
        <v>1.005</v>
      </c>
      <c r="E6437" s="16">
        <f>IFERROR(__xludf.DUMMYFUNCTION("""COMPUTED_VALUE"""),70.0)</f>
        <v>70</v>
      </c>
      <c r="F6437" s="19" t="str">
        <f>IFERROR(__xludf.DUMMYFUNCTION("""COMPUTED_VALUE"""),"BLACK")</f>
        <v>BLACK</v>
      </c>
      <c r="G6437" s="20" t="str">
        <f>IFERROR(__xludf.DUMMYFUNCTION("""COMPUTED_VALUE"""),"Uncle Sams Cider (5/13/2022)")</f>
        <v>Uncle Sams Cider (5/13/2022)</v>
      </c>
      <c r="H6437" s="19"/>
    </row>
    <row r="6438">
      <c r="A6438" s="9"/>
      <c r="B6438" s="15"/>
      <c r="C6438" s="9">
        <f>IFERROR(__xludf.DUMMYFUNCTION("""COMPUTED_VALUE"""),44729.4985027199)</f>
        <v>44729.4985</v>
      </c>
      <c r="D6438" s="15">
        <f>IFERROR(__xludf.DUMMYFUNCTION("""COMPUTED_VALUE"""),1.006)</f>
        <v>1.006</v>
      </c>
      <c r="E6438" s="16">
        <f>IFERROR(__xludf.DUMMYFUNCTION("""COMPUTED_VALUE"""),70.0)</f>
        <v>70</v>
      </c>
      <c r="F6438" s="19" t="str">
        <f>IFERROR(__xludf.DUMMYFUNCTION("""COMPUTED_VALUE"""),"BLACK")</f>
        <v>BLACK</v>
      </c>
      <c r="G6438" s="20" t="str">
        <f>IFERROR(__xludf.DUMMYFUNCTION("""COMPUTED_VALUE"""),"Uncle Sams Cider (5/13/2022)")</f>
        <v>Uncle Sams Cider (5/13/2022)</v>
      </c>
      <c r="H6438" s="19"/>
    </row>
    <row r="6439">
      <c r="A6439" s="9"/>
      <c r="B6439" s="15"/>
      <c r="C6439" s="9">
        <f>IFERROR(__xludf.DUMMYFUNCTION("""COMPUTED_VALUE"""),44729.4880806597)</f>
        <v>44729.48808</v>
      </c>
      <c r="D6439" s="15">
        <f>IFERROR(__xludf.DUMMYFUNCTION("""COMPUTED_VALUE"""),1.006)</f>
        <v>1.006</v>
      </c>
      <c r="E6439" s="16">
        <f>IFERROR(__xludf.DUMMYFUNCTION("""COMPUTED_VALUE"""),70.0)</f>
        <v>70</v>
      </c>
      <c r="F6439" s="19" t="str">
        <f>IFERROR(__xludf.DUMMYFUNCTION("""COMPUTED_VALUE"""),"BLACK")</f>
        <v>BLACK</v>
      </c>
      <c r="G6439" s="20" t="str">
        <f>IFERROR(__xludf.DUMMYFUNCTION("""COMPUTED_VALUE"""),"Uncle Sams Cider (5/13/2022)")</f>
        <v>Uncle Sams Cider (5/13/2022)</v>
      </c>
      <c r="H6439" s="19"/>
    </row>
    <row r="6440">
      <c r="A6440" s="9"/>
      <c r="B6440" s="15"/>
      <c r="C6440" s="9">
        <f>IFERROR(__xludf.DUMMYFUNCTION("""COMPUTED_VALUE"""),44729.4776474768)</f>
        <v>44729.47765</v>
      </c>
      <c r="D6440" s="15">
        <f>IFERROR(__xludf.DUMMYFUNCTION("""COMPUTED_VALUE"""),1.005)</f>
        <v>1.005</v>
      </c>
      <c r="E6440" s="16">
        <f>IFERROR(__xludf.DUMMYFUNCTION("""COMPUTED_VALUE"""),69.0)</f>
        <v>69</v>
      </c>
      <c r="F6440" s="19" t="str">
        <f>IFERROR(__xludf.DUMMYFUNCTION("""COMPUTED_VALUE"""),"BLACK")</f>
        <v>BLACK</v>
      </c>
      <c r="G6440" s="20" t="str">
        <f>IFERROR(__xludf.DUMMYFUNCTION("""COMPUTED_VALUE"""),"Uncle Sams Cider (5/13/2022)")</f>
        <v>Uncle Sams Cider (5/13/2022)</v>
      </c>
      <c r="H6440" s="19"/>
    </row>
    <row r="6441">
      <c r="A6441" s="9"/>
      <c r="B6441" s="15"/>
      <c r="C6441" s="9">
        <f>IFERROR(__xludf.DUMMYFUNCTION("""COMPUTED_VALUE"""),44729.4672264351)</f>
        <v>44729.46723</v>
      </c>
      <c r="D6441" s="15">
        <f>IFERROR(__xludf.DUMMYFUNCTION("""COMPUTED_VALUE"""),1.006)</f>
        <v>1.006</v>
      </c>
      <c r="E6441" s="16">
        <f>IFERROR(__xludf.DUMMYFUNCTION("""COMPUTED_VALUE"""),70.0)</f>
        <v>70</v>
      </c>
      <c r="F6441" s="19" t="str">
        <f>IFERROR(__xludf.DUMMYFUNCTION("""COMPUTED_VALUE"""),"BLACK")</f>
        <v>BLACK</v>
      </c>
      <c r="G6441" s="20" t="str">
        <f>IFERROR(__xludf.DUMMYFUNCTION("""COMPUTED_VALUE"""),"Uncle Sams Cider (5/13/2022)")</f>
        <v>Uncle Sams Cider (5/13/2022)</v>
      </c>
      <c r="H6441" s="19"/>
    </row>
    <row r="6442">
      <c r="A6442" s="9"/>
      <c r="B6442" s="15"/>
      <c r="C6442" s="9">
        <f>IFERROR(__xludf.DUMMYFUNCTION("""COMPUTED_VALUE"""),44729.4568051388)</f>
        <v>44729.45681</v>
      </c>
      <c r="D6442" s="15">
        <f>IFERROR(__xludf.DUMMYFUNCTION("""COMPUTED_VALUE"""),1.006)</f>
        <v>1.006</v>
      </c>
      <c r="E6442" s="16">
        <f>IFERROR(__xludf.DUMMYFUNCTION("""COMPUTED_VALUE"""),69.0)</f>
        <v>69</v>
      </c>
      <c r="F6442" s="19" t="str">
        <f>IFERROR(__xludf.DUMMYFUNCTION("""COMPUTED_VALUE"""),"BLACK")</f>
        <v>BLACK</v>
      </c>
      <c r="G6442" s="20" t="str">
        <f>IFERROR(__xludf.DUMMYFUNCTION("""COMPUTED_VALUE"""),"Uncle Sams Cider (5/13/2022)")</f>
        <v>Uncle Sams Cider (5/13/2022)</v>
      </c>
      <c r="H6442" s="19"/>
    </row>
    <row r="6443">
      <c r="A6443" s="9"/>
      <c r="B6443" s="15"/>
      <c r="C6443" s="9">
        <f>IFERROR(__xludf.DUMMYFUNCTION("""COMPUTED_VALUE"""),44729.4463715972)</f>
        <v>44729.44637</v>
      </c>
      <c r="D6443" s="15">
        <f>IFERROR(__xludf.DUMMYFUNCTION("""COMPUTED_VALUE"""),1.006)</f>
        <v>1.006</v>
      </c>
      <c r="E6443" s="16">
        <f>IFERROR(__xludf.DUMMYFUNCTION("""COMPUTED_VALUE"""),69.0)</f>
        <v>69</v>
      </c>
      <c r="F6443" s="19" t="str">
        <f>IFERROR(__xludf.DUMMYFUNCTION("""COMPUTED_VALUE"""),"BLACK")</f>
        <v>BLACK</v>
      </c>
      <c r="G6443" s="20" t="str">
        <f>IFERROR(__xludf.DUMMYFUNCTION("""COMPUTED_VALUE"""),"Uncle Sams Cider (5/13/2022)")</f>
        <v>Uncle Sams Cider (5/13/2022)</v>
      </c>
      <c r="H6443" s="19"/>
    </row>
    <row r="6444">
      <c r="A6444" s="9"/>
      <c r="B6444" s="15"/>
      <c r="C6444" s="9">
        <f>IFERROR(__xludf.DUMMYFUNCTION("""COMPUTED_VALUE"""),44729.4359500694)</f>
        <v>44729.43595</v>
      </c>
      <c r="D6444" s="15">
        <f>IFERROR(__xludf.DUMMYFUNCTION("""COMPUTED_VALUE"""),1.006)</f>
        <v>1.006</v>
      </c>
      <c r="E6444" s="16">
        <f>IFERROR(__xludf.DUMMYFUNCTION("""COMPUTED_VALUE"""),70.0)</f>
        <v>70</v>
      </c>
      <c r="F6444" s="19" t="str">
        <f>IFERROR(__xludf.DUMMYFUNCTION("""COMPUTED_VALUE"""),"BLACK")</f>
        <v>BLACK</v>
      </c>
      <c r="G6444" s="20" t="str">
        <f>IFERROR(__xludf.DUMMYFUNCTION("""COMPUTED_VALUE"""),"Uncle Sams Cider (5/13/2022)")</f>
        <v>Uncle Sams Cider (5/13/2022)</v>
      </c>
      <c r="H6444" s="19"/>
    </row>
    <row r="6445">
      <c r="A6445" s="9"/>
      <c r="B6445" s="15"/>
      <c r="C6445" s="9">
        <f>IFERROR(__xludf.DUMMYFUNCTION("""COMPUTED_VALUE"""),44729.4255060069)</f>
        <v>44729.42551</v>
      </c>
      <c r="D6445" s="15">
        <f>IFERROR(__xludf.DUMMYFUNCTION("""COMPUTED_VALUE"""),1.006)</f>
        <v>1.006</v>
      </c>
      <c r="E6445" s="16">
        <f>IFERROR(__xludf.DUMMYFUNCTION("""COMPUTED_VALUE"""),69.0)</f>
        <v>69</v>
      </c>
      <c r="F6445" s="19" t="str">
        <f>IFERROR(__xludf.DUMMYFUNCTION("""COMPUTED_VALUE"""),"BLACK")</f>
        <v>BLACK</v>
      </c>
      <c r="G6445" s="20" t="str">
        <f>IFERROR(__xludf.DUMMYFUNCTION("""COMPUTED_VALUE"""),"Uncle Sams Cider (5/13/2022)")</f>
        <v>Uncle Sams Cider (5/13/2022)</v>
      </c>
      <c r="H6445" s="19"/>
    </row>
    <row r="6446">
      <c r="A6446" s="9"/>
      <c r="B6446" s="15"/>
      <c r="C6446" s="9">
        <f>IFERROR(__xludf.DUMMYFUNCTION("""COMPUTED_VALUE"""),44729.4150622685)</f>
        <v>44729.41506</v>
      </c>
      <c r="D6446" s="15">
        <f>IFERROR(__xludf.DUMMYFUNCTION("""COMPUTED_VALUE"""),1.005)</f>
        <v>1.005</v>
      </c>
      <c r="E6446" s="16">
        <f>IFERROR(__xludf.DUMMYFUNCTION("""COMPUTED_VALUE"""),70.0)</f>
        <v>70</v>
      </c>
      <c r="F6446" s="19" t="str">
        <f>IFERROR(__xludf.DUMMYFUNCTION("""COMPUTED_VALUE"""),"BLACK")</f>
        <v>BLACK</v>
      </c>
      <c r="G6446" s="20" t="str">
        <f>IFERROR(__xludf.DUMMYFUNCTION("""COMPUTED_VALUE"""),"Uncle Sams Cider (5/13/2022)")</f>
        <v>Uncle Sams Cider (5/13/2022)</v>
      </c>
      <c r="H6446" s="19"/>
    </row>
    <row r="6447">
      <c r="A6447" s="9"/>
      <c r="B6447" s="15"/>
      <c r="C6447" s="9">
        <f>IFERROR(__xludf.DUMMYFUNCTION("""COMPUTED_VALUE"""),44729.4046413541)</f>
        <v>44729.40464</v>
      </c>
      <c r="D6447" s="15">
        <f>IFERROR(__xludf.DUMMYFUNCTION("""COMPUTED_VALUE"""),1.006)</f>
        <v>1.006</v>
      </c>
      <c r="E6447" s="16">
        <f>IFERROR(__xludf.DUMMYFUNCTION("""COMPUTED_VALUE"""),70.0)</f>
        <v>70</v>
      </c>
      <c r="F6447" s="19" t="str">
        <f>IFERROR(__xludf.DUMMYFUNCTION("""COMPUTED_VALUE"""),"BLACK")</f>
        <v>BLACK</v>
      </c>
      <c r="G6447" s="20" t="str">
        <f>IFERROR(__xludf.DUMMYFUNCTION("""COMPUTED_VALUE"""),"Uncle Sams Cider (5/13/2022)")</f>
        <v>Uncle Sams Cider (5/13/2022)</v>
      </c>
      <c r="H6447" s="19"/>
    </row>
    <row r="6448">
      <c r="A6448" s="9"/>
      <c r="B6448" s="15"/>
      <c r="C6448" s="9">
        <f>IFERROR(__xludf.DUMMYFUNCTION("""COMPUTED_VALUE"""),44729.3942209143)</f>
        <v>44729.39422</v>
      </c>
      <c r="D6448" s="15">
        <f>IFERROR(__xludf.DUMMYFUNCTION("""COMPUTED_VALUE"""),1.006)</f>
        <v>1.006</v>
      </c>
      <c r="E6448" s="16">
        <f>IFERROR(__xludf.DUMMYFUNCTION("""COMPUTED_VALUE"""),70.0)</f>
        <v>70</v>
      </c>
      <c r="F6448" s="19" t="str">
        <f>IFERROR(__xludf.DUMMYFUNCTION("""COMPUTED_VALUE"""),"BLACK")</f>
        <v>BLACK</v>
      </c>
      <c r="G6448" s="20" t="str">
        <f>IFERROR(__xludf.DUMMYFUNCTION("""COMPUTED_VALUE"""),"Uncle Sams Cider (5/13/2022)")</f>
        <v>Uncle Sams Cider (5/13/2022)</v>
      </c>
      <c r="H6448" s="19"/>
    </row>
    <row r="6449">
      <c r="A6449" s="9"/>
      <c r="B6449" s="15"/>
      <c r="C6449" s="9">
        <f>IFERROR(__xludf.DUMMYFUNCTION("""COMPUTED_VALUE"""),44729.3838011342)</f>
        <v>44729.3838</v>
      </c>
      <c r="D6449" s="15">
        <f>IFERROR(__xludf.DUMMYFUNCTION("""COMPUTED_VALUE"""),1.006)</f>
        <v>1.006</v>
      </c>
      <c r="E6449" s="16">
        <f>IFERROR(__xludf.DUMMYFUNCTION("""COMPUTED_VALUE"""),69.0)</f>
        <v>69</v>
      </c>
      <c r="F6449" s="19" t="str">
        <f>IFERROR(__xludf.DUMMYFUNCTION("""COMPUTED_VALUE"""),"BLACK")</f>
        <v>BLACK</v>
      </c>
      <c r="G6449" s="20" t="str">
        <f>IFERROR(__xludf.DUMMYFUNCTION("""COMPUTED_VALUE"""),"Uncle Sams Cider (5/13/2022)")</f>
        <v>Uncle Sams Cider (5/13/2022)</v>
      </c>
      <c r="H6449" s="19"/>
    </row>
    <row r="6450">
      <c r="A6450" s="9"/>
      <c r="B6450" s="15"/>
      <c r="C6450" s="9">
        <f>IFERROR(__xludf.DUMMYFUNCTION("""COMPUTED_VALUE"""),44729.373378831)</f>
        <v>44729.37338</v>
      </c>
      <c r="D6450" s="15">
        <f>IFERROR(__xludf.DUMMYFUNCTION("""COMPUTED_VALUE"""),1.006)</f>
        <v>1.006</v>
      </c>
      <c r="E6450" s="16">
        <f>IFERROR(__xludf.DUMMYFUNCTION("""COMPUTED_VALUE"""),69.0)</f>
        <v>69</v>
      </c>
      <c r="F6450" s="19" t="str">
        <f>IFERROR(__xludf.DUMMYFUNCTION("""COMPUTED_VALUE"""),"BLACK")</f>
        <v>BLACK</v>
      </c>
      <c r="G6450" s="20" t="str">
        <f>IFERROR(__xludf.DUMMYFUNCTION("""COMPUTED_VALUE"""),"Uncle Sams Cider (5/13/2022)")</f>
        <v>Uncle Sams Cider (5/13/2022)</v>
      </c>
      <c r="H6450" s="19"/>
    </row>
    <row r="6451">
      <c r="A6451" s="9"/>
      <c r="B6451" s="15"/>
      <c r="C6451" s="9">
        <f>IFERROR(__xludf.DUMMYFUNCTION("""COMPUTED_VALUE"""),44729.3629568865)</f>
        <v>44729.36296</v>
      </c>
      <c r="D6451" s="15">
        <f>IFERROR(__xludf.DUMMYFUNCTION("""COMPUTED_VALUE"""),1.006)</f>
        <v>1.006</v>
      </c>
      <c r="E6451" s="16">
        <f>IFERROR(__xludf.DUMMYFUNCTION("""COMPUTED_VALUE"""),69.0)</f>
        <v>69</v>
      </c>
      <c r="F6451" s="19" t="str">
        <f>IFERROR(__xludf.DUMMYFUNCTION("""COMPUTED_VALUE"""),"BLACK")</f>
        <v>BLACK</v>
      </c>
      <c r="G6451" s="20" t="str">
        <f>IFERROR(__xludf.DUMMYFUNCTION("""COMPUTED_VALUE"""),"Uncle Sams Cider (5/13/2022)")</f>
        <v>Uncle Sams Cider (5/13/2022)</v>
      </c>
      <c r="H6451" s="19"/>
    </row>
    <row r="6452">
      <c r="A6452" s="9"/>
      <c r="B6452" s="15"/>
      <c r="C6452" s="9">
        <f>IFERROR(__xludf.DUMMYFUNCTION("""COMPUTED_VALUE"""),44729.3525357638)</f>
        <v>44729.35254</v>
      </c>
      <c r="D6452" s="15">
        <f>IFERROR(__xludf.DUMMYFUNCTION("""COMPUTED_VALUE"""),1.006)</f>
        <v>1.006</v>
      </c>
      <c r="E6452" s="16">
        <f>IFERROR(__xludf.DUMMYFUNCTION("""COMPUTED_VALUE"""),69.0)</f>
        <v>69</v>
      </c>
      <c r="F6452" s="19" t="str">
        <f>IFERROR(__xludf.DUMMYFUNCTION("""COMPUTED_VALUE"""),"BLACK")</f>
        <v>BLACK</v>
      </c>
      <c r="G6452" s="20" t="str">
        <f>IFERROR(__xludf.DUMMYFUNCTION("""COMPUTED_VALUE"""),"Uncle Sams Cider (5/13/2022)")</f>
        <v>Uncle Sams Cider (5/13/2022)</v>
      </c>
      <c r="H6452" s="19"/>
    </row>
    <row r="6453">
      <c r="A6453" s="9"/>
      <c r="B6453" s="15"/>
      <c r="C6453" s="9">
        <f>IFERROR(__xludf.DUMMYFUNCTION("""COMPUTED_VALUE"""),44729.3421151157)</f>
        <v>44729.34212</v>
      </c>
      <c r="D6453" s="15">
        <f>IFERROR(__xludf.DUMMYFUNCTION("""COMPUTED_VALUE"""),1.006)</f>
        <v>1.006</v>
      </c>
      <c r="E6453" s="16">
        <f>IFERROR(__xludf.DUMMYFUNCTION("""COMPUTED_VALUE"""),69.0)</f>
        <v>69</v>
      </c>
      <c r="F6453" s="19" t="str">
        <f>IFERROR(__xludf.DUMMYFUNCTION("""COMPUTED_VALUE"""),"BLACK")</f>
        <v>BLACK</v>
      </c>
      <c r="G6453" s="20" t="str">
        <f>IFERROR(__xludf.DUMMYFUNCTION("""COMPUTED_VALUE"""),"Uncle Sams Cider (5/13/2022)")</f>
        <v>Uncle Sams Cider (5/13/2022)</v>
      </c>
      <c r="H6453" s="19"/>
    </row>
    <row r="6454">
      <c r="A6454" s="9"/>
      <c r="B6454" s="15"/>
      <c r="C6454" s="9">
        <f>IFERROR(__xludf.DUMMYFUNCTION("""COMPUTED_VALUE"""),44729.3316959259)</f>
        <v>44729.3317</v>
      </c>
      <c r="D6454" s="15">
        <f>IFERROR(__xludf.DUMMYFUNCTION("""COMPUTED_VALUE"""),1.005)</f>
        <v>1.005</v>
      </c>
      <c r="E6454" s="16">
        <f>IFERROR(__xludf.DUMMYFUNCTION("""COMPUTED_VALUE"""),69.0)</f>
        <v>69</v>
      </c>
      <c r="F6454" s="19" t="str">
        <f>IFERROR(__xludf.DUMMYFUNCTION("""COMPUTED_VALUE"""),"BLACK")</f>
        <v>BLACK</v>
      </c>
      <c r="G6454" s="20" t="str">
        <f>IFERROR(__xludf.DUMMYFUNCTION("""COMPUTED_VALUE"""),"Uncle Sams Cider (5/13/2022)")</f>
        <v>Uncle Sams Cider (5/13/2022)</v>
      </c>
      <c r="H6454" s="19"/>
    </row>
    <row r="6455">
      <c r="A6455" s="9"/>
      <c r="B6455" s="15"/>
      <c r="C6455" s="9">
        <f>IFERROR(__xludf.DUMMYFUNCTION("""COMPUTED_VALUE"""),44729.3212730787)</f>
        <v>44729.32127</v>
      </c>
      <c r="D6455" s="15">
        <f>IFERROR(__xludf.DUMMYFUNCTION("""COMPUTED_VALUE"""),1.006)</f>
        <v>1.006</v>
      </c>
      <c r="E6455" s="16">
        <f>IFERROR(__xludf.DUMMYFUNCTION("""COMPUTED_VALUE"""),70.0)</f>
        <v>70</v>
      </c>
      <c r="F6455" s="19" t="str">
        <f>IFERROR(__xludf.DUMMYFUNCTION("""COMPUTED_VALUE"""),"BLACK")</f>
        <v>BLACK</v>
      </c>
      <c r="G6455" s="20" t="str">
        <f>IFERROR(__xludf.DUMMYFUNCTION("""COMPUTED_VALUE"""),"Uncle Sams Cider (5/13/2022)")</f>
        <v>Uncle Sams Cider (5/13/2022)</v>
      </c>
      <c r="H6455" s="19"/>
    </row>
    <row r="6456">
      <c r="A6456" s="9"/>
      <c r="B6456" s="15"/>
      <c r="C6456" s="9">
        <f>IFERROR(__xludf.DUMMYFUNCTION("""COMPUTED_VALUE"""),44729.3108513425)</f>
        <v>44729.31085</v>
      </c>
      <c r="D6456" s="15">
        <f>IFERROR(__xludf.DUMMYFUNCTION("""COMPUTED_VALUE"""),1.005)</f>
        <v>1.005</v>
      </c>
      <c r="E6456" s="16">
        <f>IFERROR(__xludf.DUMMYFUNCTION("""COMPUTED_VALUE"""),69.0)</f>
        <v>69</v>
      </c>
      <c r="F6456" s="19" t="str">
        <f>IFERROR(__xludf.DUMMYFUNCTION("""COMPUTED_VALUE"""),"BLACK")</f>
        <v>BLACK</v>
      </c>
      <c r="G6456" s="20" t="str">
        <f>IFERROR(__xludf.DUMMYFUNCTION("""COMPUTED_VALUE"""),"Uncle Sams Cider (5/13/2022)")</f>
        <v>Uncle Sams Cider (5/13/2022)</v>
      </c>
      <c r="H6456" s="19"/>
    </row>
    <row r="6457">
      <c r="A6457" s="9"/>
      <c r="B6457" s="15"/>
      <c r="C6457" s="9">
        <f>IFERROR(__xludf.DUMMYFUNCTION("""COMPUTED_VALUE"""),44729.3004303935)</f>
        <v>44729.30043</v>
      </c>
      <c r="D6457" s="15">
        <f>IFERROR(__xludf.DUMMYFUNCTION("""COMPUTED_VALUE"""),1.006)</f>
        <v>1.006</v>
      </c>
      <c r="E6457" s="16">
        <f>IFERROR(__xludf.DUMMYFUNCTION("""COMPUTED_VALUE"""),69.0)</f>
        <v>69</v>
      </c>
      <c r="F6457" s="19" t="str">
        <f>IFERROR(__xludf.DUMMYFUNCTION("""COMPUTED_VALUE"""),"BLACK")</f>
        <v>BLACK</v>
      </c>
      <c r="G6457" s="20" t="str">
        <f>IFERROR(__xludf.DUMMYFUNCTION("""COMPUTED_VALUE"""),"Uncle Sams Cider (5/13/2022)")</f>
        <v>Uncle Sams Cider (5/13/2022)</v>
      </c>
      <c r="H6457" s="19"/>
    </row>
    <row r="6458">
      <c r="A6458" s="9"/>
      <c r="B6458" s="15"/>
      <c r="C6458" s="9">
        <f>IFERROR(__xludf.DUMMYFUNCTION("""COMPUTED_VALUE"""),44729.2900091435)</f>
        <v>44729.29001</v>
      </c>
      <c r="D6458" s="15">
        <f>IFERROR(__xludf.DUMMYFUNCTION("""COMPUTED_VALUE"""),1.005)</f>
        <v>1.005</v>
      </c>
      <c r="E6458" s="16">
        <f>IFERROR(__xludf.DUMMYFUNCTION("""COMPUTED_VALUE"""),69.0)</f>
        <v>69</v>
      </c>
      <c r="F6458" s="19" t="str">
        <f>IFERROR(__xludf.DUMMYFUNCTION("""COMPUTED_VALUE"""),"BLACK")</f>
        <v>BLACK</v>
      </c>
      <c r="G6458" s="20" t="str">
        <f>IFERROR(__xludf.DUMMYFUNCTION("""COMPUTED_VALUE"""),"Uncle Sams Cider (5/13/2022)")</f>
        <v>Uncle Sams Cider (5/13/2022)</v>
      </c>
      <c r="H6458" s="19"/>
    </row>
    <row r="6459">
      <c r="A6459" s="9"/>
      <c r="B6459" s="15"/>
      <c r="C6459" s="9">
        <f>IFERROR(__xludf.DUMMYFUNCTION("""COMPUTED_VALUE"""),44729.2795876504)</f>
        <v>44729.27959</v>
      </c>
      <c r="D6459" s="15">
        <f>IFERROR(__xludf.DUMMYFUNCTION("""COMPUTED_VALUE"""),1.006)</f>
        <v>1.006</v>
      </c>
      <c r="E6459" s="16">
        <f>IFERROR(__xludf.DUMMYFUNCTION("""COMPUTED_VALUE"""),69.0)</f>
        <v>69</v>
      </c>
      <c r="F6459" s="19" t="str">
        <f>IFERROR(__xludf.DUMMYFUNCTION("""COMPUTED_VALUE"""),"BLACK")</f>
        <v>BLACK</v>
      </c>
      <c r="G6459" s="20" t="str">
        <f>IFERROR(__xludf.DUMMYFUNCTION("""COMPUTED_VALUE"""),"Uncle Sams Cider (5/13/2022)")</f>
        <v>Uncle Sams Cider (5/13/2022)</v>
      </c>
      <c r="H6459" s="19"/>
    </row>
    <row r="6460">
      <c r="A6460" s="9"/>
      <c r="B6460" s="15"/>
      <c r="C6460" s="9">
        <f>IFERROR(__xludf.DUMMYFUNCTION("""COMPUTED_VALUE"""),44729.2691669444)</f>
        <v>44729.26917</v>
      </c>
      <c r="D6460" s="15">
        <f>IFERROR(__xludf.DUMMYFUNCTION("""COMPUTED_VALUE"""),1.005)</f>
        <v>1.005</v>
      </c>
      <c r="E6460" s="16">
        <f>IFERROR(__xludf.DUMMYFUNCTION("""COMPUTED_VALUE"""),69.0)</f>
        <v>69</v>
      </c>
      <c r="F6460" s="19" t="str">
        <f>IFERROR(__xludf.DUMMYFUNCTION("""COMPUTED_VALUE"""),"BLACK")</f>
        <v>BLACK</v>
      </c>
      <c r="G6460" s="20" t="str">
        <f>IFERROR(__xludf.DUMMYFUNCTION("""COMPUTED_VALUE"""),"Uncle Sams Cider (5/13/2022)")</f>
        <v>Uncle Sams Cider (5/13/2022)</v>
      </c>
      <c r="H6460" s="19"/>
    </row>
    <row r="6461">
      <c r="A6461" s="9"/>
      <c r="B6461" s="15"/>
      <c r="C6461" s="9">
        <f>IFERROR(__xludf.DUMMYFUNCTION("""COMPUTED_VALUE"""),44729.2587445023)</f>
        <v>44729.25874</v>
      </c>
      <c r="D6461" s="15">
        <f>IFERROR(__xludf.DUMMYFUNCTION("""COMPUTED_VALUE"""),1.006)</f>
        <v>1.006</v>
      </c>
      <c r="E6461" s="16">
        <f>IFERROR(__xludf.DUMMYFUNCTION("""COMPUTED_VALUE"""),69.0)</f>
        <v>69</v>
      </c>
      <c r="F6461" s="19" t="str">
        <f>IFERROR(__xludf.DUMMYFUNCTION("""COMPUTED_VALUE"""),"BLACK")</f>
        <v>BLACK</v>
      </c>
      <c r="G6461" s="20" t="str">
        <f>IFERROR(__xludf.DUMMYFUNCTION("""COMPUTED_VALUE"""),"Uncle Sams Cider (5/13/2022)")</f>
        <v>Uncle Sams Cider (5/13/2022)</v>
      </c>
      <c r="H6461" s="19"/>
    </row>
    <row r="6462">
      <c r="A6462" s="9"/>
      <c r="B6462" s="15"/>
      <c r="C6462" s="9">
        <f>IFERROR(__xludf.DUMMYFUNCTION("""COMPUTED_VALUE"""),44729.2483238541)</f>
        <v>44729.24832</v>
      </c>
      <c r="D6462" s="15">
        <f>IFERROR(__xludf.DUMMYFUNCTION("""COMPUTED_VALUE"""),1.005)</f>
        <v>1.005</v>
      </c>
      <c r="E6462" s="16">
        <f>IFERROR(__xludf.DUMMYFUNCTION("""COMPUTED_VALUE"""),69.0)</f>
        <v>69</v>
      </c>
      <c r="F6462" s="19" t="str">
        <f>IFERROR(__xludf.DUMMYFUNCTION("""COMPUTED_VALUE"""),"BLACK")</f>
        <v>BLACK</v>
      </c>
      <c r="G6462" s="20" t="str">
        <f>IFERROR(__xludf.DUMMYFUNCTION("""COMPUTED_VALUE"""),"Uncle Sams Cider (5/13/2022)")</f>
        <v>Uncle Sams Cider (5/13/2022)</v>
      </c>
      <c r="H6462" s="19"/>
    </row>
    <row r="6463">
      <c r="A6463" s="9"/>
      <c r="B6463" s="15"/>
      <c r="C6463" s="9">
        <f>IFERROR(__xludf.DUMMYFUNCTION("""COMPUTED_VALUE"""),44729.2379024768)</f>
        <v>44729.2379</v>
      </c>
      <c r="D6463" s="15">
        <f>IFERROR(__xludf.DUMMYFUNCTION("""COMPUTED_VALUE"""),1.006)</f>
        <v>1.006</v>
      </c>
      <c r="E6463" s="16">
        <f>IFERROR(__xludf.DUMMYFUNCTION("""COMPUTED_VALUE"""),69.0)</f>
        <v>69</v>
      </c>
      <c r="F6463" s="19" t="str">
        <f>IFERROR(__xludf.DUMMYFUNCTION("""COMPUTED_VALUE"""),"BLACK")</f>
        <v>BLACK</v>
      </c>
      <c r="G6463" s="20" t="str">
        <f>IFERROR(__xludf.DUMMYFUNCTION("""COMPUTED_VALUE"""),"Uncle Sams Cider (5/13/2022)")</f>
        <v>Uncle Sams Cider (5/13/2022)</v>
      </c>
      <c r="H6463" s="19"/>
    </row>
    <row r="6464">
      <c r="A6464" s="9"/>
      <c r="B6464" s="15"/>
      <c r="C6464" s="9">
        <f>IFERROR(__xludf.DUMMYFUNCTION("""COMPUTED_VALUE"""),44729.2274714699)</f>
        <v>44729.22747</v>
      </c>
      <c r="D6464" s="15">
        <f>IFERROR(__xludf.DUMMYFUNCTION("""COMPUTED_VALUE"""),1.006)</f>
        <v>1.006</v>
      </c>
      <c r="E6464" s="16">
        <f>IFERROR(__xludf.DUMMYFUNCTION("""COMPUTED_VALUE"""),69.0)</f>
        <v>69</v>
      </c>
      <c r="F6464" s="19" t="str">
        <f>IFERROR(__xludf.DUMMYFUNCTION("""COMPUTED_VALUE"""),"BLACK")</f>
        <v>BLACK</v>
      </c>
      <c r="G6464" s="20" t="str">
        <f>IFERROR(__xludf.DUMMYFUNCTION("""COMPUTED_VALUE"""),"Uncle Sams Cider (5/13/2022)")</f>
        <v>Uncle Sams Cider (5/13/2022)</v>
      </c>
      <c r="H6464" s="19"/>
    </row>
    <row r="6465">
      <c r="A6465" s="9"/>
      <c r="B6465" s="15"/>
      <c r="C6465" s="9">
        <f>IFERROR(__xludf.DUMMYFUNCTION("""COMPUTED_VALUE"""),44729.2170490856)</f>
        <v>44729.21705</v>
      </c>
      <c r="D6465" s="15">
        <f>IFERROR(__xludf.DUMMYFUNCTION("""COMPUTED_VALUE"""),1.006)</f>
        <v>1.006</v>
      </c>
      <c r="E6465" s="16">
        <f>IFERROR(__xludf.DUMMYFUNCTION("""COMPUTED_VALUE"""),69.0)</f>
        <v>69</v>
      </c>
      <c r="F6465" s="19" t="str">
        <f>IFERROR(__xludf.DUMMYFUNCTION("""COMPUTED_VALUE"""),"BLACK")</f>
        <v>BLACK</v>
      </c>
      <c r="G6465" s="20" t="str">
        <f>IFERROR(__xludf.DUMMYFUNCTION("""COMPUTED_VALUE"""),"Uncle Sams Cider (5/13/2022)")</f>
        <v>Uncle Sams Cider (5/13/2022)</v>
      </c>
      <c r="H6465" s="19"/>
    </row>
    <row r="6466">
      <c r="A6466" s="9"/>
      <c r="B6466" s="15"/>
      <c r="C6466" s="9">
        <f>IFERROR(__xludf.DUMMYFUNCTION("""COMPUTED_VALUE"""),44729.2066151967)</f>
        <v>44729.20662</v>
      </c>
      <c r="D6466" s="15">
        <f>IFERROR(__xludf.DUMMYFUNCTION("""COMPUTED_VALUE"""),1.006)</f>
        <v>1.006</v>
      </c>
      <c r="E6466" s="16">
        <f>IFERROR(__xludf.DUMMYFUNCTION("""COMPUTED_VALUE"""),69.0)</f>
        <v>69</v>
      </c>
      <c r="F6466" s="19" t="str">
        <f>IFERROR(__xludf.DUMMYFUNCTION("""COMPUTED_VALUE"""),"BLACK")</f>
        <v>BLACK</v>
      </c>
      <c r="G6466" s="20" t="str">
        <f>IFERROR(__xludf.DUMMYFUNCTION("""COMPUTED_VALUE"""),"Uncle Sams Cider (5/13/2022)")</f>
        <v>Uncle Sams Cider (5/13/2022)</v>
      </c>
      <c r="H6466" s="19"/>
    </row>
    <row r="6467">
      <c r="A6467" s="9"/>
      <c r="B6467" s="15"/>
      <c r="C6467" s="9">
        <f>IFERROR(__xludf.DUMMYFUNCTION("""COMPUTED_VALUE"""),44729.1961934838)</f>
        <v>44729.19619</v>
      </c>
      <c r="D6467" s="15">
        <f>IFERROR(__xludf.DUMMYFUNCTION("""COMPUTED_VALUE"""),1.006)</f>
        <v>1.006</v>
      </c>
      <c r="E6467" s="16">
        <f>IFERROR(__xludf.DUMMYFUNCTION("""COMPUTED_VALUE"""),69.0)</f>
        <v>69</v>
      </c>
      <c r="F6467" s="19" t="str">
        <f>IFERROR(__xludf.DUMMYFUNCTION("""COMPUTED_VALUE"""),"BLACK")</f>
        <v>BLACK</v>
      </c>
      <c r="G6467" s="20" t="str">
        <f>IFERROR(__xludf.DUMMYFUNCTION("""COMPUTED_VALUE"""),"Uncle Sams Cider (5/13/2022)")</f>
        <v>Uncle Sams Cider (5/13/2022)</v>
      </c>
      <c r="H6467" s="19"/>
    </row>
    <row r="6468">
      <c r="A6468" s="9"/>
      <c r="B6468" s="15"/>
      <c r="C6468" s="9">
        <f>IFERROR(__xludf.DUMMYFUNCTION("""COMPUTED_VALUE"""),44729.1857744675)</f>
        <v>44729.18577</v>
      </c>
      <c r="D6468" s="15">
        <f>IFERROR(__xludf.DUMMYFUNCTION("""COMPUTED_VALUE"""),1.006)</f>
        <v>1.006</v>
      </c>
      <c r="E6468" s="16">
        <f>IFERROR(__xludf.DUMMYFUNCTION("""COMPUTED_VALUE"""),69.0)</f>
        <v>69</v>
      </c>
      <c r="F6468" s="19" t="str">
        <f>IFERROR(__xludf.DUMMYFUNCTION("""COMPUTED_VALUE"""),"BLACK")</f>
        <v>BLACK</v>
      </c>
      <c r="G6468" s="20" t="str">
        <f>IFERROR(__xludf.DUMMYFUNCTION("""COMPUTED_VALUE"""),"Uncle Sams Cider (5/13/2022)")</f>
        <v>Uncle Sams Cider (5/13/2022)</v>
      </c>
      <c r="H6468" s="19"/>
    </row>
    <row r="6469">
      <c r="A6469" s="9"/>
      <c r="B6469" s="15"/>
      <c r="C6469" s="9">
        <f>IFERROR(__xludf.DUMMYFUNCTION("""COMPUTED_VALUE"""),44729.1753537384)</f>
        <v>44729.17535</v>
      </c>
      <c r="D6469" s="15">
        <f>IFERROR(__xludf.DUMMYFUNCTION("""COMPUTED_VALUE"""),1.006)</f>
        <v>1.006</v>
      </c>
      <c r="E6469" s="16">
        <f>IFERROR(__xludf.DUMMYFUNCTION("""COMPUTED_VALUE"""),69.0)</f>
        <v>69</v>
      </c>
      <c r="F6469" s="19" t="str">
        <f>IFERROR(__xludf.DUMMYFUNCTION("""COMPUTED_VALUE"""),"BLACK")</f>
        <v>BLACK</v>
      </c>
      <c r="G6469" s="20" t="str">
        <f>IFERROR(__xludf.DUMMYFUNCTION("""COMPUTED_VALUE"""),"Uncle Sams Cider (5/13/2022)")</f>
        <v>Uncle Sams Cider (5/13/2022)</v>
      </c>
      <c r="H6469" s="19"/>
    </row>
    <row r="6470">
      <c r="A6470" s="9"/>
      <c r="B6470" s="15"/>
      <c r="C6470" s="9">
        <f>IFERROR(__xludf.DUMMYFUNCTION("""COMPUTED_VALUE"""),44729.1649331828)</f>
        <v>44729.16493</v>
      </c>
      <c r="D6470" s="15">
        <f>IFERROR(__xludf.DUMMYFUNCTION("""COMPUTED_VALUE"""),1.006)</f>
        <v>1.006</v>
      </c>
      <c r="E6470" s="16">
        <f>IFERROR(__xludf.DUMMYFUNCTION("""COMPUTED_VALUE"""),69.0)</f>
        <v>69</v>
      </c>
      <c r="F6470" s="19" t="str">
        <f>IFERROR(__xludf.DUMMYFUNCTION("""COMPUTED_VALUE"""),"BLACK")</f>
        <v>BLACK</v>
      </c>
      <c r="G6470" s="20" t="str">
        <f>IFERROR(__xludf.DUMMYFUNCTION("""COMPUTED_VALUE"""),"Uncle Sams Cider (5/13/2022)")</f>
        <v>Uncle Sams Cider (5/13/2022)</v>
      </c>
      <c r="H6470" s="19"/>
    </row>
    <row r="6471">
      <c r="A6471" s="9"/>
      <c r="B6471" s="15"/>
      <c r="C6471" s="9">
        <f>IFERROR(__xludf.DUMMYFUNCTION("""COMPUTED_VALUE"""),44729.1545125115)</f>
        <v>44729.15451</v>
      </c>
      <c r="D6471" s="15">
        <f>IFERROR(__xludf.DUMMYFUNCTION("""COMPUTED_VALUE"""),1.005)</f>
        <v>1.005</v>
      </c>
      <c r="E6471" s="16">
        <f>IFERROR(__xludf.DUMMYFUNCTION("""COMPUTED_VALUE"""),69.0)</f>
        <v>69</v>
      </c>
      <c r="F6471" s="19" t="str">
        <f>IFERROR(__xludf.DUMMYFUNCTION("""COMPUTED_VALUE"""),"BLACK")</f>
        <v>BLACK</v>
      </c>
      <c r="G6471" s="20" t="str">
        <f>IFERROR(__xludf.DUMMYFUNCTION("""COMPUTED_VALUE"""),"Uncle Sams Cider (5/13/2022)")</f>
        <v>Uncle Sams Cider (5/13/2022)</v>
      </c>
      <c r="H6471" s="19"/>
    </row>
    <row r="6472">
      <c r="A6472" s="9"/>
      <c r="B6472" s="15"/>
      <c r="C6472" s="9">
        <f>IFERROR(__xludf.DUMMYFUNCTION("""COMPUTED_VALUE"""),44729.1440915046)</f>
        <v>44729.14409</v>
      </c>
      <c r="D6472" s="15">
        <f>IFERROR(__xludf.DUMMYFUNCTION("""COMPUTED_VALUE"""),1.006)</f>
        <v>1.006</v>
      </c>
      <c r="E6472" s="16">
        <f>IFERROR(__xludf.DUMMYFUNCTION("""COMPUTED_VALUE"""),69.0)</f>
        <v>69</v>
      </c>
      <c r="F6472" s="19" t="str">
        <f>IFERROR(__xludf.DUMMYFUNCTION("""COMPUTED_VALUE"""),"BLACK")</f>
        <v>BLACK</v>
      </c>
      <c r="G6472" s="20" t="str">
        <f>IFERROR(__xludf.DUMMYFUNCTION("""COMPUTED_VALUE"""),"Uncle Sams Cider (5/13/2022)")</f>
        <v>Uncle Sams Cider (5/13/2022)</v>
      </c>
      <c r="H6472" s="19"/>
    </row>
    <row r="6473">
      <c r="A6473" s="9"/>
      <c r="B6473" s="15"/>
      <c r="C6473" s="9">
        <f>IFERROR(__xludf.DUMMYFUNCTION("""COMPUTED_VALUE"""),44729.1336571759)</f>
        <v>44729.13366</v>
      </c>
      <c r="D6473" s="15">
        <f>IFERROR(__xludf.DUMMYFUNCTION("""COMPUTED_VALUE"""),1.006)</f>
        <v>1.006</v>
      </c>
      <c r="E6473" s="16">
        <f>IFERROR(__xludf.DUMMYFUNCTION("""COMPUTED_VALUE"""),69.0)</f>
        <v>69</v>
      </c>
      <c r="F6473" s="19" t="str">
        <f>IFERROR(__xludf.DUMMYFUNCTION("""COMPUTED_VALUE"""),"BLACK")</f>
        <v>BLACK</v>
      </c>
      <c r="G6473" s="20" t="str">
        <f>IFERROR(__xludf.DUMMYFUNCTION("""COMPUTED_VALUE"""),"Uncle Sams Cider (5/13/2022)")</f>
        <v>Uncle Sams Cider (5/13/2022)</v>
      </c>
      <c r="H6473" s="19"/>
    </row>
    <row r="6474">
      <c r="A6474" s="9"/>
      <c r="B6474" s="15"/>
      <c r="C6474" s="9">
        <f>IFERROR(__xludf.DUMMYFUNCTION("""COMPUTED_VALUE"""),44729.1232368171)</f>
        <v>44729.12324</v>
      </c>
      <c r="D6474" s="15">
        <f>IFERROR(__xludf.DUMMYFUNCTION("""COMPUTED_VALUE"""),1.006)</f>
        <v>1.006</v>
      </c>
      <c r="E6474" s="16">
        <f>IFERROR(__xludf.DUMMYFUNCTION("""COMPUTED_VALUE"""),69.0)</f>
        <v>69</v>
      </c>
      <c r="F6474" s="19" t="str">
        <f>IFERROR(__xludf.DUMMYFUNCTION("""COMPUTED_VALUE"""),"BLACK")</f>
        <v>BLACK</v>
      </c>
      <c r="G6474" s="20" t="str">
        <f>IFERROR(__xludf.DUMMYFUNCTION("""COMPUTED_VALUE"""),"Uncle Sams Cider (5/13/2022)")</f>
        <v>Uncle Sams Cider (5/13/2022)</v>
      </c>
      <c r="H6474" s="19"/>
    </row>
    <row r="6475">
      <c r="A6475" s="9"/>
      <c r="B6475" s="15"/>
      <c r="C6475" s="9">
        <f>IFERROR(__xludf.DUMMYFUNCTION("""COMPUTED_VALUE"""),44729.1128144328)</f>
        <v>44729.11281</v>
      </c>
      <c r="D6475" s="15">
        <f>IFERROR(__xludf.DUMMYFUNCTION("""COMPUTED_VALUE"""),1.006)</f>
        <v>1.006</v>
      </c>
      <c r="E6475" s="16">
        <f>IFERROR(__xludf.DUMMYFUNCTION("""COMPUTED_VALUE"""),69.0)</f>
        <v>69</v>
      </c>
      <c r="F6475" s="19" t="str">
        <f>IFERROR(__xludf.DUMMYFUNCTION("""COMPUTED_VALUE"""),"BLACK")</f>
        <v>BLACK</v>
      </c>
      <c r="G6475" s="20" t="str">
        <f>IFERROR(__xludf.DUMMYFUNCTION("""COMPUTED_VALUE"""),"Uncle Sams Cider (5/13/2022)")</f>
        <v>Uncle Sams Cider (5/13/2022)</v>
      </c>
      <c r="H6475" s="19"/>
    </row>
    <row r="6476">
      <c r="A6476" s="9"/>
      <c r="B6476" s="15"/>
      <c r="C6476" s="9">
        <f>IFERROR(__xludf.DUMMYFUNCTION("""COMPUTED_VALUE"""),44729.1023717939)</f>
        <v>44729.10237</v>
      </c>
      <c r="D6476" s="15">
        <f>IFERROR(__xludf.DUMMYFUNCTION("""COMPUTED_VALUE"""),1.006)</f>
        <v>1.006</v>
      </c>
      <c r="E6476" s="16">
        <f>IFERROR(__xludf.DUMMYFUNCTION("""COMPUTED_VALUE"""),69.0)</f>
        <v>69</v>
      </c>
      <c r="F6476" s="19" t="str">
        <f>IFERROR(__xludf.DUMMYFUNCTION("""COMPUTED_VALUE"""),"BLACK")</f>
        <v>BLACK</v>
      </c>
      <c r="G6476" s="20" t="str">
        <f>IFERROR(__xludf.DUMMYFUNCTION("""COMPUTED_VALUE"""),"Uncle Sams Cider (5/13/2022)")</f>
        <v>Uncle Sams Cider (5/13/2022)</v>
      </c>
      <c r="H6476" s="19"/>
    </row>
    <row r="6477">
      <c r="A6477" s="9"/>
      <c r="B6477" s="15"/>
      <c r="C6477" s="9">
        <f>IFERROR(__xludf.DUMMYFUNCTION("""COMPUTED_VALUE"""),44729.0919522106)</f>
        <v>44729.09195</v>
      </c>
      <c r="D6477" s="15">
        <f>IFERROR(__xludf.DUMMYFUNCTION("""COMPUTED_VALUE"""),1.006)</f>
        <v>1.006</v>
      </c>
      <c r="E6477" s="16">
        <f>IFERROR(__xludf.DUMMYFUNCTION("""COMPUTED_VALUE"""),69.0)</f>
        <v>69</v>
      </c>
      <c r="F6477" s="19" t="str">
        <f>IFERROR(__xludf.DUMMYFUNCTION("""COMPUTED_VALUE"""),"BLACK")</f>
        <v>BLACK</v>
      </c>
      <c r="G6477" s="20" t="str">
        <f>IFERROR(__xludf.DUMMYFUNCTION("""COMPUTED_VALUE"""),"Uncle Sams Cider (5/13/2022)")</f>
        <v>Uncle Sams Cider (5/13/2022)</v>
      </c>
      <c r="H6477" s="19"/>
    </row>
    <row r="6478">
      <c r="A6478" s="9"/>
      <c r="B6478" s="15"/>
      <c r="C6478" s="9">
        <f>IFERROR(__xludf.DUMMYFUNCTION("""COMPUTED_VALUE"""),44729.0815318402)</f>
        <v>44729.08153</v>
      </c>
      <c r="D6478" s="15">
        <f>IFERROR(__xludf.DUMMYFUNCTION("""COMPUTED_VALUE"""),1.006)</f>
        <v>1.006</v>
      </c>
      <c r="E6478" s="16">
        <f>IFERROR(__xludf.DUMMYFUNCTION("""COMPUTED_VALUE"""),69.0)</f>
        <v>69</v>
      </c>
      <c r="F6478" s="19" t="str">
        <f>IFERROR(__xludf.DUMMYFUNCTION("""COMPUTED_VALUE"""),"BLACK")</f>
        <v>BLACK</v>
      </c>
      <c r="G6478" s="20" t="str">
        <f>IFERROR(__xludf.DUMMYFUNCTION("""COMPUTED_VALUE"""),"Uncle Sams Cider (5/13/2022)")</f>
        <v>Uncle Sams Cider (5/13/2022)</v>
      </c>
      <c r="H6478" s="19"/>
    </row>
    <row r="6479">
      <c r="A6479" s="9"/>
      <c r="B6479" s="15"/>
      <c r="C6479" s="9">
        <f>IFERROR(__xludf.DUMMYFUNCTION("""COMPUTED_VALUE"""),44729.0711116319)</f>
        <v>44729.07111</v>
      </c>
      <c r="D6479" s="15">
        <f>IFERROR(__xludf.DUMMYFUNCTION("""COMPUTED_VALUE"""),1.006)</f>
        <v>1.006</v>
      </c>
      <c r="E6479" s="16">
        <f>IFERROR(__xludf.DUMMYFUNCTION("""COMPUTED_VALUE"""),69.0)</f>
        <v>69</v>
      </c>
      <c r="F6479" s="19" t="str">
        <f>IFERROR(__xludf.DUMMYFUNCTION("""COMPUTED_VALUE"""),"BLACK")</f>
        <v>BLACK</v>
      </c>
      <c r="G6479" s="20" t="str">
        <f>IFERROR(__xludf.DUMMYFUNCTION("""COMPUTED_VALUE"""),"Uncle Sams Cider (5/13/2022)")</f>
        <v>Uncle Sams Cider (5/13/2022)</v>
      </c>
      <c r="H6479" s="19"/>
    </row>
    <row r="6480">
      <c r="A6480" s="9"/>
      <c r="B6480" s="15"/>
      <c r="C6480" s="9">
        <f>IFERROR(__xludf.DUMMYFUNCTION("""COMPUTED_VALUE"""),44729.0606895254)</f>
        <v>44729.06069</v>
      </c>
      <c r="D6480" s="15">
        <f>IFERROR(__xludf.DUMMYFUNCTION("""COMPUTED_VALUE"""),1.006)</f>
        <v>1.006</v>
      </c>
      <c r="E6480" s="16">
        <f>IFERROR(__xludf.DUMMYFUNCTION("""COMPUTED_VALUE"""),69.0)</f>
        <v>69</v>
      </c>
      <c r="F6480" s="19" t="str">
        <f>IFERROR(__xludf.DUMMYFUNCTION("""COMPUTED_VALUE"""),"BLACK")</f>
        <v>BLACK</v>
      </c>
      <c r="G6480" s="20" t="str">
        <f>IFERROR(__xludf.DUMMYFUNCTION("""COMPUTED_VALUE"""),"Uncle Sams Cider (5/13/2022)")</f>
        <v>Uncle Sams Cider (5/13/2022)</v>
      </c>
      <c r="H6480" s="19"/>
    </row>
    <row r="6481">
      <c r="A6481" s="9"/>
      <c r="B6481" s="15"/>
      <c r="C6481" s="9">
        <f>IFERROR(__xludf.DUMMYFUNCTION("""COMPUTED_VALUE"""),44729.0502671759)</f>
        <v>44729.05027</v>
      </c>
      <c r="D6481" s="15">
        <f>IFERROR(__xludf.DUMMYFUNCTION("""COMPUTED_VALUE"""),1.006)</f>
        <v>1.006</v>
      </c>
      <c r="E6481" s="16">
        <f>IFERROR(__xludf.DUMMYFUNCTION("""COMPUTED_VALUE"""),69.0)</f>
        <v>69</v>
      </c>
      <c r="F6481" s="19" t="str">
        <f>IFERROR(__xludf.DUMMYFUNCTION("""COMPUTED_VALUE"""),"BLACK")</f>
        <v>BLACK</v>
      </c>
      <c r="G6481" s="20" t="str">
        <f>IFERROR(__xludf.DUMMYFUNCTION("""COMPUTED_VALUE"""),"Uncle Sams Cider (5/13/2022)")</f>
        <v>Uncle Sams Cider (5/13/2022)</v>
      </c>
      <c r="H6481" s="19"/>
    </row>
    <row r="6482">
      <c r="A6482" s="9"/>
      <c r="B6482" s="15"/>
      <c r="C6482" s="9">
        <f>IFERROR(__xludf.DUMMYFUNCTION("""COMPUTED_VALUE"""),44729.03984728)</f>
        <v>44729.03985</v>
      </c>
      <c r="D6482" s="15">
        <f>IFERROR(__xludf.DUMMYFUNCTION("""COMPUTED_VALUE"""),1.006)</f>
        <v>1.006</v>
      </c>
      <c r="E6482" s="16">
        <f>IFERROR(__xludf.DUMMYFUNCTION("""COMPUTED_VALUE"""),69.0)</f>
        <v>69</v>
      </c>
      <c r="F6482" s="19" t="str">
        <f>IFERROR(__xludf.DUMMYFUNCTION("""COMPUTED_VALUE"""),"BLACK")</f>
        <v>BLACK</v>
      </c>
      <c r="G6482" s="20" t="str">
        <f>IFERROR(__xludf.DUMMYFUNCTION("""COMPUTED_VALUE"""),"Uncle Sams Cider (5/13/2022)")</f>
        <v>Uncle Sams Cider (5/13/2022)</v>
      </c>
      <c r="H6482" s="19"/>
    </row>
    <row r="6483">
      <c r="A6483" s="9"/>
      <c r="B6483" s="15"/>
      <c r="C6483" s="9">
        <f>IFERROR(__xludf.DUMMYFUNCTION("""COMPUTED_VALUE"""),44729.0294255092)</f>
        <v>44729.02943</v>
      </c>
      <c r="D6483" s="15">
        <f>IFERROR(__xludf.DUMMYFUNCTION("""COMPUTED_VALUE"""),1.006)</f>
        <v>1.006</v>
      </c>
      <c r="E6483" s="16">
        <f>IFERROR(__xludf.DUMMYFUNCTION("""COMPUTED_VALUE"""),69.0)</f>
        <v>69</v>
      </c>
      <c r="F6483" s="19" t="str">
        <f>IFERROR(__xludf.DUMMYFUNCTION("""COMPUTED_VALUE"""),"BLACK")</f>
        <v>BLACK</v>
      </c>
      <c r="G6483" s="20" t="str">
        <f>IFERROR(__xludf.DUMMYFUNCTION("""COMPUTED_VALUE"""),"Uncle Sams Cider (5/13/2022)")</f>
        <v>Uncle Sams Cider (5/13/2022)</v>
      </c>
      <c r="H6483" s="19"/>
    </row>
    <row r="6484">
      <c r="A6484" s="9"/>
      <c r="B6484" s="15"/>
      <c r="C6484" s="9">
        <f>IFERROR(__xludf.DUMMYFUNCTION("""COMPUTED_VALUE"""),44729.0189921296)</f>
        <v>44729.01899</v>
      </c>
      <c r="D6484" s="15">
        <f>IFERROR(__xludf.DUMMYFUNCTION("""COMPUTED_VALUE"""),1.006)</f>
        <v>1.006</v>
      </c>
      <c r="E6484" s="16">
        <f>IFERROR(__xludf.DUMMYFUNCTION("""COMPUTED_VALUE"""),69.0)</f>
        <v>69</v>
      </c>
      <c r="F6484" s="19" t="str">
        <f>IFERROR(__xludf.DUMMYFUNCTION("""COMPUTED_VALUE"""),"BLACK")</f>
        <v>BLACK</v>
      </c>
      <c r="G6484" s="20" t="str">
        <f>IFERROR(__xludf.DUMMYFUNCTION("""COMPUTED_VALUE"""),"Uncle Sams Cider (5/13/2022)")</f>
        <v>Uncle Sams Cider (5/13/2022)</v>
      </c>
      <c r="H6484" s="19"/>
    </row>
    <row r="6485">
      <c r="A6485" s="9"/>
      <c r="B6485" s="15"/>
      <c r="C6485" s="9">
        <f>IFERROR(__xludf.DUMMYFUNCTION("""COMPUTED_VALUE"""),44729.008570868)</f>
        <v>44729.00857</v>
      </c>
      <c r="D6485" s="15">
        <f>IFERROR(__xludf.DUMMYFUNCTION("""COMPUTED_VALUE"""),1.006)</f>
        <v>1.006</v>
      </c>
      <c r="E6485" s="16">
        <f>IFERROR(__xludf.DUMMYFUNCTION("""COMPUTED_VALUE"""),69.0)</f>
        <v>69</v>
      </c>
      <c r="F6485" s="19" t="str">
        <f>IFERROR(__xludf.DUMMYFUNCTION("""COMPUTED_VALUE"""),"BLACK")</f>
        <v>BLACK</v>
      </c>
      <c r="G6485" s="20" t="str">
        <f>IFERROR(__xludf.DUMMYFUNCTION("""COMPUTED_VALUE"""),"Uncle Sams Cider (5/13/2022)")</f>
        <v>Uncle Sams Cider (5/13/2022)</v>
      </c>
      <c r="H6485" s="19"/>
    </row>
    <row r="6486">
      <c r="A6486" s="9"/>
      <c r="B6486" s="15"/>
      <c r="C6486" s="9">
        <f>IFERROR(__xludf.DUMMYFUNCTION("""COMPUTED_VALUE"""),44728.9981272916)</f>
        <v>44728.99813</v>
      </c>
      <c r="D6486" s="15">
        <f>IFERROR(__xludf.DUMMYFUNCTION("""COMPUTED_VALUE"""),1.006)</f>
        <v>1.006</v>
      </c>
      <c r="E6486" s="16">
        <f>IFERROR(__xludf.DUMMYFUNCTION("""COMPUTED_VALUE"""),69.0)</f>
        <v>69</v>
      </c>
      <c r="F6486" s="19" t="str">
        <f>IFERROR(__xludf.DUMMYFUNCTION("""COMPUTED_VALUE"""),"BLACK")</f>
        <v>BLACK</v>
      </c>
      <c r="G6486" s="20" t="str">
        <f>IFERROR(__xludf.DUMMYFUNCTION("""COMPUTED_VALUE"""),"Uncle Sams Cider (5/13/2022)")</f>
        <v>Uncle Sams Cider (5/13/2022)</v>
      </c>
      <c r="H6486" s="19"/>
    </row>
    <row r="6487">
      <c r="A6487" s="9"/>
      <c r="B6487" s="15"/>
      <c r="C6487" s="9">
        <f>IFERROR(__xludf.DUMMYFUNCTION("""COMPUTED_VALUE"""),44728.9877063425)</f>
        <v>44728.98771</v>
      </c>
      <c r="D6487" s="15">
        <f>IFERROR(__xludf.DUMMYFUNCTION("""COMPUTED_VALUE"""),1.006)</f>
        <v>1.006</v>
      </c>
      <c r="E6487" s="16">
        <f>IFERROR(__xludf.DUMMYFUNCTION("""COMPUTED_VALUE"""),69.0)</f>
        <v>69</v>
      </c>
      <c r="F6487" s="19" t="str">
        <f>IFERROR(__xludf.DUMMYFUNCTION("""COMPUTED_VALUE"""),"BLACK")</f>
        <v>BLACK</v>
      </c>
      <c r="G6487" s="20" t="str">
        <f>IFERROR(__xludf.DUMMYFUNCTION("""COMPUTED_VALUE"""),"Uncle Sams Cider (5/13/2022)")</f>
        <v>Uncle Sams Cider (5/13/2022)</v>
      </c>
      <c r="H6487" s="19"/>
    </row>
    <row r="6488">
      <c r="A6488" s="9"/>
      <c r="B6488" s="15"/>
      <c r="C6488" s="9">
        <f>IFERROR(__xludf.DUMMYFUNCTION("""COMPUTED_VALUE"""),44728.9772849768)</f>
        <v>44728.97728</v>
      </c>
      <c r="D6488" s="15">
        <f>IFERROR(__xludf.DUMMYFUNCTION("""COMPUTED_VALUE"""),1.006)</f>
        <v>1.006</v>
      </c>
      <c r="E6488" s="16">
        <f>IFERROR(__xludf.DUMMYFUNCTION("""COMPUTED_VALUE"""),69.0)</f>
        <v>69</v>
      </c>
      <c r="F6488" s="19" t="str">
        <f>IFERROR(__xludf.DUMMYFUNCTION("""COMPUTED_VALUE"""),"BLACK")</f>
        <v>BLACK</v>
      </c>
      <c r="G6488" s="20" t="str">
        <f>IFERROR(__xludf.DUMMYFUNCTION("""COMPUTED_VALUE"""),"Uncle Sams Cider (5/13/2022)")</f>
        <v>Uncle Sams Cider (5/13/2022)</v>
      </c>
      <c r="H6488" s="19"/>
    </row>
    <row r="6489">
      <c r="A6489" s="9"/>
      <c r="B6489" s="15"/>
      <c r="C6489" s="9">
        <f>IFERROR(__xludf.DUMMYFUNCTION("""COMPUTED_VALUE"""),44728.9668513194)</f>
        <v>44728.96685</v>
      </c>
      <c r="D6489" s="15">
        <f>IFERROR(__xludf.DUMMYFUNCTION("""COMPUTED_VALUE"""),1.006)</f>
        <v>1.006</v>
      </c>
      <c r="E6489" s="16">
        <f>IFERROR(__xludf.DUMMYFUNCTION("""COMPUTED_VALUE"""),69.0)</f>
        <v>69</v>
      </c>
      <c r="F6489" s="19" t="str">
        <f>IFERROR(__xludf.DUMMYFUNCTION("""COMPUTED_VALUE"""),"BLACK")</f>
        <v>BLACK</v>
      </c>
      <c r="G6489" s="20" t="str">
        <f>IFERROR(__xludf.DUMMYFUNCTION("""COMPUTED_VALUE"""),"Uncle Sams Cider (5/13/2022)")</f>
        <v>Uncle Sams Cider (5/13/2022)</v>
      </c>
      <c r="H6489" s="19"/>
    </row>
    <row r="6490">
      <c r="A6490" s="9"/>
      <c r="B6490" s="15"/>
      <c r="C6490" s="9">
        <f>IFERROR(__xludf.DUMMYFUNCTION("""COMPUTED_VALUE"""),44728.9564303588)</f>
        <v>44728.95643</v>
      </c>
      <c r="D6490" s="15">
        <f>IFERROR(__xludf.DUMMYFUNCTION("""COMPUTED_VALUE"""),1.006)</f>
        <v>1.006</v>
      </c>
      <c r="E6490" s="16">
        <f>IFERROR(__xludf.DUMMYFUNCTION("""COMPUTED_VALUE"""),69.0)</f>
        <v>69</v>
      </c>
      <c r="F6490" s="19" t="str">
        <f>IFERROR(__xludf.DUMMYFUNCTION("""COMPUTED_VALUE"""),"BLACK")</f>
        <v>BLACK</v>
      </c>
      <c r="G6490" s="20" t="str">
        <f>IFERROR(__xludf.DUMMYFUNCTION("""COMPUTED_VALUE"""),"Uncle Sams Cider (5/13/2022)")</f>
        <v>Uncle Sams Cider (5/13/2022)</v>
      </c>
      <c r="H6490" s="19"/>
    </row>
    <row r="6491">
      <c r="A6491" s="9"/>
      <c r="B6491" s="15"/>
      <c r="C6491" s="9">
        <f>IFERROR(__xludf.DUMMYFUNCTION("""COMPUTED_VALUE"""),44728.9460080671)</f>
        <v>44728.94601</v>
      </c>
      <c r="D6491" s="15">
        <f>IFERROR(__xludf.DUMMYFUNCTION("""COMPUTED_VALUE"""),1.006)</f>
        <v>1.006</v>
      </c>
      <c r="E6491" s="16">
        <f>IFERROR(__xludf.DUMMYFUNCTION("""COMPUTED_VALUE"""),69.0)</f>
        <v>69</v>
      </c>
      <c r="F6491" s="19" t="str">
        <f>IFERROR(__xludf.DUMMYFUNCTION("""COMPUTED_VALUE"""),"BLACK")</f>
        <v>BLACK</v>
      </c>
      <c r="G6491" s="20" t="str">
        <f>IFERROR(__xludf.DUMMYFUNCTION("""COMPUTED_VALUE"""),"Uncle Sams Cider (5/13/2022)")</f>
        <v>Uncle Sams Cider (5/13/2022)</v>
      </c>
      <c r="H6491" s="19"/>
    </row>
    <row r="6492">
      <c r="A6492" s="9"/>
      <c r="B6492" s="15"/>
      <c r="C6492" s="9">
        <f>IFERROR(__xludf.DUMMYFUNCTION("""COMPUTED_VALUE"""),44728.9355872222)</f>
        <v>44728.93559</v>
      </c>
      <c r="D6492" s="15">
        <f>IFERROR(__xludf.DUMMYFUNCTION("""COMPUTED_VALUE"""),1.006)</f>
        <v>1.006</v>
      </c>
      <c r="E6492" s="16">
        <f>IFERROR(__xludf.DUMMYFUNCTION("""COMPUTED_VALUE"""),69.0)</f>
        <v>69</v>
      </c>
      <c r="F6492" s="19" t="str">
        <f>IFERROR(__xludf.DUMMYFUNCTION("""COMPUTED_VALUE"""),"BLACK")</f>
        <v>BLACK</v>
      </c>
      <c r="G6492" s="20" t="str">
        <f>IFERROR(__xludf.DUMMYFUNCTION("""COMPUTED_VALUE"""),"Uncle Sams Cider (5/13/2022)")</f>
        <v>Uncle Sams Cider (5/13/2022)</v>
      </c>
      <c r="H6492" s="19"/>
    </row>
    <row r="6493">
      <c r="A6493" s="9"/>
      <c r="B6493" s="15"/>
      <c r="C6493" s="9">
        <f>IFERROR(__xludf.DUMMYFUNCTION("""COMPUTED_VALUE"""),44728.9251521527)</f>
        <v>44728.92515</v>
      </c>
      <c r="D6493" s="15">
        <f>IFERROR(__xludf.DUMMYFUNCTION("""COMPUTED_VALUE"""),1.006)</f>
        <v>1.006</v>
      </c>
      <c r="E6493" s="16">
        <f>IFERROR(__xludf.DUMMYFUNCTION("""COMPUTED_VALUE"""),69.0)</f>
        <v>69</v>
      </c>
      <c r="F6493" s="19" t="str">
        <f>IFERROR(__xludf.DUMMYFUNCTION("""COMPUTED_VALUE"""),"BLACK")</f>
        <v>BLACK</v>
      </c>
      <c r="G6493" s="20" t="str">
        <f>IFERROR(__xludf.DUMMYFUNCTION("""COMPUTED_VALUE"""),"Uncle Sams Cider (5/13/2022)")</f>
        <v>Uncle Sams Cider (5/13/2022)</v>
      </c>
      <c r="H6493" s="19"/>
    </row>
    <row r="6494">
      <c r="A6494" s="9"/>
      <c r="B6494" s="15"/>
      <c r="C6494" s="9">
        <f>IFERROR(__xludf.DUMMYFUNCTION("""COMPUTED_VALUE"""),44728.9147311574)</f>
        <v>44728.91473</v>
      </c>
      <c r="D6494" s="15">
        <f>IFERROR(__xludf.DUMMYFUNCTION("""COMPUTED_VALUE"""),1.006)</f>
        <v>1.006</v>
      </c>
      <c r="E6494" s="16">
        <f>IFERROR(__xludf.DUMMYFUNCTION("""COMPUTED_VALUE"""),69.0)</f>
        <v>69</v>
      </c>
      <c r="F6494" s="19" t="str">
        <f>IFERROR(__xludf.DUMMYFUNCTION("""COMPUTED_VALUE"""),"BLACK")</f>
        <v>BLACK</v>
      </c>
      <c r="G6494" s="20" t="str">
        <f>IFERROR(__xludf.DUMMYFUNCTION("""COMPUTED_VALUE"""),"Uncle Sams Cider (5/13/2022)")</f>
        <v>Uncle Sams Cider (5/13/2022)</v>
      </c>
      <c r="H6494" s="19"/>
    </row>
    <row r="6495">
      <c r="A6495" s="9"/>
      <c r="B6495" s="15"/>
      <c r="C6495" s="9">
        <f>IFERROR(__xludf.DUMMYFUNCTION("""COMPUTED_VALUE"""),44728.9043073842)</f>
        <v>44728.90431</v>
      </c>
      <c r="D6495" s="15">
        <f>IFERROR(__xludf.DUMMYFUNCTION("""COMPUTED_VALUE"""),1.006)</f>
        <v>1.006</v>
      </c>
      <c r="E6495" s="16">
        <f>IFERROR(__xludf.DUMMYFUNCTION("""COMPUTED_VALUE"""),69.0)</f>
        <v>69</v>
      </c>
      <c r="F6495" s="19" t="str">
        <f>IFERROR(__xludf.DUMMYFUNCTION("""COMPUTED_VALUE"""),"BLACK")</f>
        <v>BLACK</v>
      </c>
      <c r="G6495" s="20" t="str">
        <f>IFERROR(__xludf.DUMMYFUNCTION("""COMPUTED_VALUE"""),"Uncle Sams Cider (5/13/2022)")</f>
        <v>Uncle Sams Cider (5/13/2022)</v>
      </c>
      <c r="H6495" s="19"/>
    </row>
    <row r="6496">
      <c r="A6496" s="9"/>
      <c r="B6496" s="15"/>
      <c r="C6496" s="9">
        <f>IFERROR(__xludf.DUMMYFUNCTION("""COMPUTED_VALUE"""),44728.8938855439)</f>
        <v>44728.89389</v>
      </c>
      <c r="D6496" s="15">
        <f>IFERROR(__xludf.DUMMYFUNCTION("""COMPUTED_VALUE"""),1.006)</f>
        <v>1.006</v>
      </c>
      <c r="E6496" s="16">
        <f>IFERROR(__xludf.DUMMYFUNCTION("""COMPUTED_VALUE"""),69.0)</f>
        <v>69</v>
      </c>
      <c r="F6496" s="19" t="str">
        <f>IFERROR(__xludf.DUMMYFUNCTION("""COMPUTED_VALUE"""),"BLACK")</f>
        <v>BLACK</v>
      </c>
      <c r="G6496" s="20" t="str">
        <f>IFERROR(__xludf.DUMMYFUNCTION("""COMPUTED_VALUE"""),"Uncle Sams Cider (5/13/2022)")</f>
        <v>Uncle Sams Cider (5/13/2022)</v>
      </c>
      <c r="H6496" s="19"/>
    </row>
    <row r="6497">
      <c r="A6497" s="9"/>
      <c r="B6497" s="15"/>
      <c r="C6497" s="9">
        <f>IFERROR(__xludf.DUMMYFUNCTION("""COMPUTED_VALUE"""),44728.8834653703)</f>
        <v>44728.88347</v>
      </c>
      <c r="D6497" s="15">
        <f>IFERROR(__xludf.DUMMYFUNCTION("""COMPUTED_VALUE"""),1.006)</f>
        <v>1.006</v>
      </c>
      <c r="E6497" s="16">
        <f>IFERROR(__xludf.DUMMYFUNCTION("""COMPUTED_VALUE"""),69.0)</f>
        <v>69</v>
      </c>
      <c r="F6497" s="19" t="str">
        <f>IFERROR(__xludf.DUMMYFUNCTION("""COMPUTED_VALUE"""),"BLACK")</f>
        <v>BLACK</v>
      </c>
      <c r="G6497" s="20" t="str">
        <f>IFERROR(__xludf.DUMMYFUNCTION("""COMPUTED_VALUE"""),"Uncle Sams Cider (5/13/2022)")</f>
        <v>Uncle Sams Cider (5/13/2022)</v>
      </c>
      <c r="H6497" s="19"/>
    </row>
    <row r="6498">
      <c r="A6498" s="9"/>
      <c r="B6498" s="15"/>
      <c r="C6498" s="9">
        <f>IFERROR(__xludf.DUMMYFUNCTION("""COMPUTED_VALUE"""),44728.873043831)</f>
        <v>44728.87304</v>
      </c>
      <c r="D6498" s="15">
        <f>IFERROR(__xludf.DUMMYFUNCTION("""COMPUTED_VALUE"""),1.006)</f>
        <v>1.006</v>
      </c>
      <c r="E6498" s="16">
        <f>IFERROR(__xludf.DUMMYFUNCTION("""COMPUTED_VALUE"""),69.0)</f>
        <v>69</v>
      </c>
      <c r="F6498" s="19" t="str">
        <f>IFERROR(__xludf.DUMMYFUNCTION("""COMPUTED_VALUE"""),"BLACK")</f>
        <v>BLACK</v>
      </c>
      <c r="G6498" s="20" t="str">
        <f>IFERROR(__xludf.DUMMYFUNCTION("""COMPUTED_VALUE"""),"Uncle Sams Cider (5/13/2022)")</f>
        <v>Uncle Sams Cider (5/13/2022)</v>
      </c>
      <c r="H6498" s="19"/>
    </row>
    <row r="6499">
      <c r="A6499" s="9"/>
      <c r="B6499" s="15"/>
      <c r="C6499" s="9">
        <f>IFERROR(__xludf.DUMMYFUNCTION("""COMPUTED_VALUE"""),44728.8626222685)</f>
        <v>44728.86262</v>
      </c>
      <c r="D6499" s="15">
        <f>IFERROR(__xludf.DUMMYFUNCTION("""COMPUTED_VALUE"""),1.006)</f>
        <v>1.006</v>
      </c>
      <c r="E6499" s="16">
        <f>IFERROR(__xludf.DUMMYFUNCTION("""COMPUTED_VALUE"""),69.0)</f>
        <v>69</v>
      </c>
      <c r="F6499" s="19" t="str">
        <f>IFERROR(__xludf.DUMMYFUNCTION("""COMPUTED_VALUE"""),"BLACK")</f>
        <v>BLACK</v>
      </c>
      <c r="G6499" s="20" t="str">
        <f>IFERROR(__xludf.DUMMYFUNCTION("""COMPUTED_VALUE"""),"Uncle Sams Cider (5/13/2022)")</f>
        <v>Uncle Sams Cider (5/13/2022)</v>
      </c>
      <c r="H6499" s="19"/>
    </row>
    <row r="6500">
      <c r="A6500" s="9"/>
      <c r="B6500" s="15"/>
      <c r="C6500" s="9">
        <f>IFERROR(__xludf.DUMMYFUNCTION("""COMPUTED_VALUE"""),44728.8521891087)</f>
        <v>44728.85219</v>
      </c>
      <c r="D6500" s="15">
        <f>IFERROR(__xludf.DUMMYFUNCTION("""COMPUTED_VALUE"""),1.006)</f>
        <v>1.006</v>
      </c>
      <c r="E6500" s="16">
        <f>IFERROR(__xludf.DUMMYFUNCTION("""COMPUTED_VALUE"""),69.0)</f>
        <v>69</v>
      </c>
      <c r="F6500" s="19" t="str">
        <f>IFERROR(__xludf.DUMMYFUNCTION("""COMPUTED_VALUE"""),"BLACK")</f>
        <v>BLACK</v>
      </c>
      <c r="G6500" s="20" t="str">
        <f>IFERROR(__xludf.DUMMYFUNCTION("""COMPUTED_VALUE"""),"Uncle Sams Cider (5/13/2022)")</f>
        <v>Uncle Sams Cider (5/13/2022)</v>
      </c>
      <c r="H6500" s="19"/>
    </row>
    <row r="6501">
      <c r="A6501" s="9"/>
      <c r="B6501" s="15"/>
      <c r="C6501" s="9">
        <f>IFERROR(__xludf.DUMMYFUNCTION("""COMPUTED_VALUE"""),44728.8417574652)</f>
        <v>44728.84176</v>
      </c>
      <c r="D6501" s="15">
        <f>IFERROR(__xludf.DUMMYFUNCTION("""COMPUTED_VALUE"""),1.006)</f>
        <v>1.006</v>
      </c>
      <c r="E6501" s="16">
        <f>IFERROR(__xludf.DUMMYFUNCTION("""COMPUTED_VALUE"""),69.0)</f>
        <v>69</v>
      </c>
      <c r="F6501" s="19" t="str">
        <f>IFERROR(__xludf.DUMMYFUNCTION("""COMPUTED_VALUE"""),"BLACK")</f>
        <v>BLACK</v>
      </c>
      <c r="G6501" s="20" t="str">
        <f>IFERROR(__xludf.DUMMYFUNCTION("""COMPUTED_VALUE"""),"Uncle Sams Cider (5/13/2022)")</f>
        <v>Uncle Sams Cider (5/13/2022)</v>
      </c>
      <c r="H6501" s="19"/>
    </row>
    <row r="6502">
      <c r="A6502" s="9"/>
      <c r="B6502" s="15"/>
      <c r="C6502" s="9">
        <f>IFERROR(__xludf.DUMMYFUNCTION("""COMPUTED_VALUE"""),44728.8313372569)</f>
        <v>44728.83134</v>
      </c>
      <c r="D6502" s="15">
        <f>IFERROR(__xludf.DUMMYFUNCTION("""COMPUTED_VALUE"""),1.005)</f>
        <v>1.005</v>
      </c>
      <c r="E6502" s="16">
        <f>IFERROR(__xludf.DUMMYFUNCTION("""COMPUTED_VALUE"""),69.0)</f>
        <v>69</v>
      </c>
      <c r="F6502" s="19" t="str">
        <f>IFERROR(__xludf.DUMMYFUNCTION("""COMPUTED_VALUE"""),"BLACK")</f>
        <v>BLACK</v>
      </c>
      <c r="G6502" s="20" t="str">
        <f>IFERROR(__xludf.DUMMYFUNCTION("""COMPUTED_VALUE"""),"Uncle Sams Cider (5/13/2022)")</f>
        <v>Uncle Sams Cider (5/13/2022)</v>
      </c>
      <c r="H6502" s="19"/>
    </row>
    <row r="6503">
      <c r="A6503" s="9"/>
      <c r="B6503" s="15"/>
      <c r="C6503" s="9">
        <f>IFERROR(__xludf.DUMMYFUNCTION("""COMPUTED_VALUE"""),44728.8209163657)</f>
        <v>44728.82092</v>
      </c>
      <c r="D6503" s="15">
        <f>IFERROR(__xludf.DUMMYFUNCTION("""COMPUTED_VALUE"""),1.006)</f>
        <v>1.006</v>
      </c>
      <c r="E6503" s="16">
        <f>IFERROR(__xludf.DUMMYFUNCTION("""COMPUTED_VALUE"""),69.0)</f>
        <v>69</v>
      </c>
      <c r="F6503" s="19" t="str">
        <f>IFERROR(__xludf.DUMMYFUNCTION("""COMPUTED_VALUE"""),"BLACK")</f>
        <v>BLACK</v>
      </c>
      <c r="G6503" s="20" t="str">
        <f>IFERROR(__xludf.DUMMYFUNCTION("""COMPUTED_VALUE"""),"Uncle Sams Cider (5/13/2022)")</f>
        <v>Uncle Sams Cider (5/13/2022)</v>
      </c>
      <c r="H6503" s="19"/>
    </row>
    <row r="6504">
      <c r="A6504" s="9"/>
      <c r="B6504" s="15"/>
      <c r="C6504" s="9">
        <f>IFERROR(__xludf.DUMMYFUNCTION("""COMPUTED_VALUE"""),44728.8104961226)</f>
        <v>44728.8105</v>
      </c>
      <c r="D6504" s="15">
        <f>IFERROR(__xludf.DUMMYFUNCTION("""COMPUTED_VALUE"""),1.006)</f>
        <v>1.006</v>
      </c>
      <c r="E6504" s="16">
        <f>IFERROR(__xludf.DUMMYFUNCTION("""COMPUTED_VALUE"""),69.0)</f>
        <v>69</v>
      </c>
      <c r="F6504" s="19" t="str">
        <f>IFERROR(__xludf.DUMMYFUNCTION("""COMPUTED_VALUE"""),"BLACK")</f>
        <v>BLACK</v>
      </c>
      <c r="G6504" s="20" t="str">
        <f>IFERROR(__xludf.DUMMYFUNCTION("""COMPUTED_VALUE"""),"Uncle Sams Cider (5/13/2022)")</f>
        <v>Uncle Sams Cider (5/13/2022)</v>
      </c>
      <c r="H6504" s="19"/>
    </row>
    <row r="6505">
      <c r="A6505" s="9"/>
      <c r="B6505" s="15"/>
      <c r="C6505" s="9">
        <f>IFERROR(__xludf.DUMMYFUNCTION("""COMPUTED_VALUE"""),44728.8000753935)</f>
        <v>44728.80008</v>
      </c>
      <c r="D6505" s="15">
        <f>IFERROR(__xludf.DUMMYFUNCTION("""COMPUTED_VALUE"""),1.006)</f>
        <v>1.006</v>
      </c>
      <c r="E6505" s="16">
        <f>IFERROR(__xludf.DUMMYFUNCTION("""COMPUTED_VALUE"""),69.0)</f>
        <v>69</v>
      </c>
      <c r="F6505" s="19" t="str">
        <f>IFERROR(__xludf.DUMMYFUNCTION("""COMPUTED_VALUE"""),"BLACK")</f>
        <v>BLACK</v>
      </c>
      <c r="G6505" s="20" t="str">
        <f>IFERROR(__xludf.DUMMYFUNCTION("""COMPUTED_VALUE"""),"Uncle Sams Cider (5/13/2022)")</f>
        <v>Uncle Sams Cider (5/13/2022)</v>
      </c>
      <c r="H6505" s="19"/>
    </row>
    <row r="6506">
      <c r="A6506" s="9"/>
      <c r="B6506" s="15"/>
      <c r="C6506" s="9">
        <f>IFERROR(__xludf.DUMMYFUNCTION("""COMPUTED_VALUE"""),44728.789641956)</f>
        <v>44728.78964</v>
      </c>
      <c r="D6506" s="15">
        <f>IFERROR(__xludf.DUMMYFUNCTION("""COMPUTED_VALUE"""),1.006)</f>
        <v>1.006</v>
      </c>
      <c r="E6506" s="16">
        <f>IFERROR(__xludf.DUMMYFUNCTION("""COMPUTED_VALUE"""),69.0)</f>
        <v>69</v>
      </c>
      <c r="F6506" s="19" t="str">
        <f>IFERROR(__xludf.DUMMYFUNCTION("""COMPUTED_VALUE"""),"BLACK")</f>
        <v>BLACK</v>
      </c>
      <c r="G6506" s="20" t="str">
        <f>IFERROR(__xludf.DUMMYFUNCTION("""COMPUTED_VALUE"""),"Uncle Sams Cider (5/13/2022)")</f>
        <v>Uncle Sams Cider (5/13/2022)</v>
      </c>
      <c r="H6506" s="19"/>
    </row>
    <row r="6507">
      <c r="A6507" s="9"/>
      <c r="B6507" s="15"/>
      <c r="C6507" s="9">
        <f>IFERROR(__xludf.DUMMYFUNCTION("""COMPUTED_VALUE"""),44728.7791742939)</f>
        <v>44728.77917</v>
      </c>
      <c r="D6507" s="15">
        <f>IFERROR(__xludf.DUMMYFUNCTION("""COMPUTED_VALUE"""),1.006)</f>
        <v>1.006</v>
      </c>
      <c r="E6507" s="16">
        <f>IFERROR(__xludf.DUMMYFUNCTION("""COMPUTED_VALUE"""),69.0)</f>
        <v>69</v>
      </c>
      <c r="F6507" s="19" t="str">
        <f>IFERROR(__xludf.DUMMYFUNCTION("""COMPUTED_VALUE"""),"BLACK")</f>
        <v>BLACK</v>
      </c>
      <c r="G6507" s="20" t="str">
        <f>IFERROR(__xludf.DUMMYFUNCTION("""COMPUTED_VALUE"""),"Uncle Sams Cider (5/13/2022)")</f>
        <v>Uncle Sams Cider (5/13/2022)</v>
      </c>
      <c r="H6507" s="19"/>
    </row>
    <row r="6508">
      <c r="A6508" s="9"/>
      <c r="B6508" s="15"/>
      <c r="C6508" s="9">
        <f>IFERROR(__xludf.DUMMYFUNCTION("""COMPUTED_VALUE"""),44728.768744537)</f>
        <v>44728.76874</v>
      </c>
      <c r="D6508" s="15">
        <f>IFERROR(__xludf.DUMMYFUNCTION("""COMPUTED_VALUE"""),1.006)</f>
        <v>1.006</v>
      </c>
      <c r="E6508" s="16">
        <f>IFERROR(__xludf.DUMMYFUNCTION("""COMPUTED_VALUE"""),69.0)</f>
        <v>69</v>
      </c>
      <c r="F6508" s="19" t="str">
        <f>IFERROR(__xludf.DUMMYFUNCTION("""COMPUTED_VALUE"""),"BLACK")</f>
        <v>BLACK</v>
      </c>
      <c r="G6508" s="20" t="str">
        <f>IFERROR(__xludf.DUMMYFUNCTION("""COMPUTED_VALUE"""),"Uncle Sams Cider (5/13/2022)")</f>
        <v>Uncle Sams Cider (5/13/2022)</v>
      </c>
      <c r="H6508" s="19"/>
    </row>
    <row r="6509">
      <c r="A6509" s="9"/>
      <c r="B6509" s="15"/>
      <c r="C6509" s="9">
        <f>IFERROR(__xludf.DUMMYFUNCTION("""COMPUTED_VALUE"""),44728.7583228472)</f>
        <v>44728.75832</v>
      </c>
      <c r="D6509" s="15">
        <f>IFERROR(__xludf.DUMMYFUNCTION("""COMPUTED_VALUE"""),1.006)</f>
        <v>1.006</v>
      </c>
      <c r="E6509" s="16">
        <f>IFERROR(__xludf.DUMMYFUNCTION("""COMPUTED_VALUE"""),69.0)</f>
        <v>69</v>
      </c>
      <c r="F6509" s="19" t="str">
        <f>IFERROR(__xludf.DUMMYFUNCTION("""COMPUTED_VALUE"""),"BLACK")</f>
        <v>BLACK</v>
      </c>
      <c r="G6509" s="20" t="str">
        <f>IFERROR(__xludf.DUMMYFUNCTION("""COMPUTED_VALUE"""),"Uncle Sams Cider (5/13/2022)")</f>
        <v>Uncle Sams Cider (5/13/2022)</v>
      </c>
      <c r="H6509" s="19"/>
    </row>
    <row r="6510">
      <c r="A6510" s="9"/>
      <c r="B6510" s="15"/>
      <c r="C6510" s="9">
        <f>IFERROR(__xludf.DUMMYFUNCTION("""COMPUTED_VALUE"""),44728.7479010648)</f>
        <v>44728.7479</v>
      </c>
      <c r="D6510" s="15">
        <f>IFERROR(__xludf.DUMMYFUNCTION("""COMPUTED_VALUE"""),1.006)</f>
        <v>1.006</v>
      </c>
      <c r="E6510" s="16">
        <f>IFERROR(__xludf.DUMMYFUNCTION("""COMPUTED_VALUE"""),69.0)</f>
        <v>69</v>
      </c>
      <c r="F6510" s="19" t="str">
        <f>IFERROR(__xludf.DUMMYFUNCTION("""COMPUTED_VALUE"""),"BLACK")</f>
        <v>BLACK</v>
      </c>
      <c r="G6510" s="20" t="str">
        <f>IFERROR(__xludf.DUMMYFUNCTION("""COMPUTED_VALUE"""),"Uncle Sams Cider (5/13/2022)")</f>
        <v>Uncle Sams Cider (5/13/2022)</v>
      </c>
      <c r="H6510" s="19"/>
    </row>
    <row r="6511">
      <c r="A6511" s="9"/>
      <c r="B6511" s="15"/>
      <c r="C6511" s="9">
        <f>IFERROR(__xludf.DUMMYFUNCTION("""COMPUTED_VALUE"""),44728.7374688426)</f>
        <v>44728.73747</v>
      </c>
      <c r="D6511" s="15">
        <f>IFERROR(__xludf.DUMMYFUNCTION("""COMPUTED_VALUE"""),1.006)</f>
        <v>1.006</v>
      </c>
      <c r="E6511" s="16">
        <f>IFERROR(__xludf.DUMMYFUNCTION("""COMPUTED_VALUE"""),69.0)</f>
        <v>69</v>
      </c>
      <c r="F6511" s="19" t="str">
        <f>IFERROR(__xludf.DUMMYFUNCTION("""COMPUTED_VALUE"""),"BLACK")</f>
        <v>BLACK</v>
      </c>
      <c r="G6511" s="20" t="str">
        <f>IFERROR(__xludf.DUMMYFUNCTION("""COMPUTED_VALUE"""),"Uncle Sams Cider (5/13/2022)")</f>
        <v>Uncle Sams Cider (5/13/2022)</v>
      </c>
      <c r="H6511" s="19"/>
    </row>
    <row r="6512">
      <c r="A6512" s="9"/>
      <c r="B6512" s="15"/>
      <c r="C6512" s="9">
        <f>IFERROR(__xludf.DUMMYFUNCTION("""COMPUTED_VALUE"""),44728.7270359259)</f>
        <v>44728.72704</v>
      </c>
      <c r="D6512" s="15">
        <f>IFERROR(__xludf.DUMMYFUNCTION("""COMPUTED_VALUE"""),1.006)</f>
        <v>1.006</v>
      </c>
      <c r="E6512" s="16">
        <f>IFERROR(__xludf.DUMMYFUNCTION("""COMPUTED_VALUE"""),69.0)</f>
        <v>69</v>
      </c>
      <c r="F6512" s="19" t="str">
        <f>IFERROR(__xludf.DUMMYFUNCTION("""COMPUTED_VALUE"""),"BLACK")</f>
        <v>BLACK</v>
      </c>
      <c r="G6512" s="20" t="str">
        <f>IFERROR(__xludf.DUMMYFUNCTION("""COMPUTED_VALUE"""),"Uncle Sams Cider (5/13/2022)")</f>
        <v>Uncle Sams Cider (5/13/2022)</v>
      </c>
      <c r="H6512" s="19"/>
    </row>
    <row r="6513">
      <c r="A6513" s="9"/>
      <c r="B6513" s="15"/>
      <c r="C6513" s="9">
        <f>IFERROR(__xludf.DUMMYFUNCTION("""COMPUTED_VALUE"""),44728.7166141898)</f>
        <v>44728.71661</v>
      </c>
      <c r="D6513" s="15">
        <f>IFERROR(__xludf.DUMMYFUNCTION("""COMPUTED_VALUE"""),1.006)</f>
        <v>1.006</v>
      </c>
      <c r="E6513" s="16">
        <f>IFERROR(__xludf.DUMMYFUNCTION("""COMPUTED_VALUE"""),69.0)</f>
        <v>69</v>
      </c>
      <c r="F6513" s="19" t="str">
        <f>IFERROR(__xludf.DUMMYFUNCTION("""COMPUTED_VALUE"""),"BLACK")</f>
        <v>BLACK</v>
      </c>
      <c r="G6513" s="20" t="str">
        <f>IFERROR(__xludf.DUMMYFUNCTION("""COMPUTED_VALUE"""),"Uncle Sams Cider (5/13/2022)")</f>
        <v>Uncle Sams Cider (5/13/2022)</v>
      </c>
      <c r="H6513" s="19"/>
    </row>
    <row r="6514">
      <c r="A6514" s="9"/>
      <c r="B6514" s="15"/>
      <c r="C6514" s="9">
        <f>IFERROR(__xludf.DUMMYFUNCTION("""COMPUTED_VALUE"""),44728.7061940625)</f>
        <v>44728.70619</v>
      </c>
      <c r="D6514" s="15">
        <f>IFERROR(__xludf.DUMMYFUNCTION("""COMPUTED_VALUE"""),1.006)</f>
        <v>1.006</v>
      </c>
      <c r="E6514" s="16">
        <f>IFERROR(__xludf.DUMMYFUNCTION("""COMPUTED_VALUE"""),69.0)</f>
        <v>69</v>
      </c>
      <c r="F6514" s="19" t="str">
        <f>IFERROR(__xludf.DUMMYFUNCTION("""COMPUTED_VALUE"""),"BLACK")</f>
        <v>BLACK</v>
      </c>
      <c r="G6514" s="20" t="str">
        <f>IFERROR(__xludf.DUMMYFUNCTION("""COMPUTED_VALUE"""),"Uncle Sams Cider (5/13/2022)")</f>
        <v>Uncle Sams Cider (5/13/2022)</v>
      </c>
      <c r="H6514" s="19"/>
    </row>
    <row r="6515">
      <c r="A6515" s="9"/>
      <c r="B6515" s="15"/>
      <c r="C6515" s="9">
        <f>IFERROR(__xludf.DUMMYFUNCTION("""COMPUTED_VALUE"""),44728.6957727314)</f>
        <v>44728.69577</v>
      </c>
      <c r="D6515" s="15">
        <f>IFERROR(__xludf.DUMMYFUNCTION("""COMPUTED_VALUE"""),1.006)</f>
        <v>1.006</v>
      </c>
      <c r="E6515" s="16">
        <f>IFERROR(__xludf.DUMMYFUNCTION("""COMPUTED_VALUE"""),69.0)</f>
        <v>69</v>
      </c>
      <c r="F6515" s="19" t="str">
        <f>IFERROR(__xludf.DUMMYFUNCTION("""COMPUTED_VALUE"""),"BLACK")</f>
        <v>BLACK</v>
      </c>
      <c r="G6515" s="20" t="str">
        <f>IFERROR(__xludf.DUMMYFUNCTION("""COMPUTED_VALUE"""),"Uncle Sams Cider (5/13/2022)")</f>
        <v>Uncle Sams Cider (5/13/2022)</v>
      </c>
      <c r="H6515" s="19"/>
    </row>
    <row r="6516">
      <c r="A6516" s="9"/>
      <c r="B6516" s="15"/>
      <c r="C6516" s="9">
        <f>IFERROR(__xludf.DUMMYFUNCTION("""COMPUTED_VALUE"""),44728.6853522685)</f>
        <v>44728.68535</v>
      </c>
      <c r="D6516" s="15">
        <f>IFERROR(__xludf.DUMMYFUNCTION("""COMPUTED_VALUE"""),1.006)</f>
        <v>1.006</v>
      </c>
      <c r="E6516" s="16">
        <f>IFERROR(__xludf.DUMMYFUNCTION("""COMPUTED_VALUE"""),69.0)</f>
        <v>69</v>
      </c>
      <c r="F6516" s="19" t="str">
        <f>IFERROR(__xludf.DUMMYFUNCTION("""COMPUTED_VALUE"""),"BLACK")</f>
        <v>BLACK</v>
      </c>
      <c r="G6516" s="20" t="str">
        <f>IFERROR(__xludf.DUMMYFUNCTION("""COMPUTED_VALUE"""),"Uncle Sams Cider (5/13/2022)")</f>
        <v>Uncle Sams Cider (5/13/2022)</v>
      </c>
      <c r="H6516" s="19"/>
    </row>
    <row r="6517">
      <c r="A6517" s="9"/>
      <c r="B6517" s="15"/>
      <c r="C6517" s="9">
        <f>IFERROR(__xludf.DUMMYFUNCTION("""COMPUTED_VALUE"""),44728.6749297685)</f>
        <v>44728.67493</v>
      </c>
      <c r="D6517" s="15">
        <f>IFERROR(__xludf.DUMMYFUNCTION("""COMPUTED_VALUE"""),1.006)</f>
        <v>1.006</v>
      </c>
      <c r="E6517" s="16">
        <f>IFERROR(__xludf.DUMMYFUNCTION("""COMPUTED_VALUE"""),69.0)</f>
        <v>69</v>
      </c>
      <c r="F6517" s="19" t="str">
        <f>IFERROR(__xludf.DUMMYFUNCTION("""COMPUTED_VALUE"""),"BLACK")</f>
        <v>BLACK</v>
      </c>
      <c r="G6517" s="20" t="str">
        <f>IFERROR(__xludf.DUMMYFUNCTION("""COMPUTED_VALUE"""),"Uncle Sams Cider (5/13/2022)")</f>
        <v>Uncle Sams Cider (5/13/2022)</v>
      </c>
      <c r="H6517" s="19"/>
    </row>
    <row r="6518">
      <c r="A6518" s="9"/>
      <c r="B6518" s="15"/>
      <c r="C6518" s="9">
        <f>IFERROR(__xludf.DUMMYFUNCTION("""COMPUTED_VALUE"""),44728.6645085416)</f>
        <v>44728.66451</v>
      </c>
      <c r="D6518" s="15">
        <f>IFERROR(__xludf.DUMMYFUNCTION("""COMPUTED_VALUE"""),1.006)</f>
        <v>1.006</v>
      </c>
      <c r="E6518" s="16">
        <f>IFERROR(__xludf.DUMMYFUNCTION("""COMPUTED_VALUE"""),69.0)</f>
        <v>69</v>
      </c>
      <c r="F6518" s="19" t="str">
        <f>IFERROR(__xludf.DUMMYFUNCTION("""COMPUTED_VALUE"""),"BLACK")</f>
        <v>BLACK</v>
      </c>
      <c r="G6518" s="20" t="str">
        <f>IFERROR(__xludf.DUMMYFUNCTION("""COMPUTED_VALUE"""),"Uncle Sams Cider (5/13/2022)")</f>
        <v>Uncle Sams Cider (5/13/2022)</v>
      </c>
      <c r="H6518" s="19"/>
    </row>
    <row r="6519">
      <c r="A6519" s="9"/>
      <c r="B6519" s="15"/>
      <c r="C6519" s="9">
        <f>IFERROR(__xludf.DUMMYFUNCTION("""COMPUTED_VALUE"""),44728.6540881365)</f>
        <v>44728.65409</v>
      </c>
      <c r="D6519" s="15">
        <f>IFERROR(__xludf.DUMMYFUNCTION("""COMPUTED_VALUE"""),1.006)</f>
        <v>1.006</v>
      </c>
      <c r="E6519" s="16">
        <f>IFERROR(__xludf.DUMMYFUNCTION("""COMPUTED_VALUE"""),69.0)</f>
        <v>69</v>
      </c>
      <c r="F6519" s="19" t="str">
        <f>IFERROR(__xludf.DUMMYFUNCTION("""COMPUTED_VALUE"""),"BLACK")</f>
        <v>BLACK</v>
      </c>
      <c r="G6519" s="20" t="str">
        <f>IFERROR(__xludf.DUMMYFUNCTION("""COMPUTED_VALUE"""),"Uncle Sams Cider (5/13/2022)")</f>
        <v>Uncle Sams Cider (5/13/2022)</v>
      </c>
      <c r="H6519" s="19"/>
    </row>
    <row r="6520">
      <c r="A6520" s="9"/>
      <c r="B6520" s="15"/>
      <c r="C6520" s="9">
        <f>IFERROR(__xludf.DUMMYFUNCTION("""COMPUTED_VALUE"""),44728.6436672337)</f>
        <v>44728.64367</v>
      </c>
      <c r="D6520" s="15">
        <f>IFERROR(__xludf.DUMMYFUNCTION("""COMPUTED_VALUE"""),1.006)</f>
        <v>1.006</v>
      </c>
      <c r="E6520" s="16">
        <f>IFERROR(__xludf.DUMMYFUNCTION("""COMPUTED_VALUE"""),69.0)</f>
        <v>69</v>
      </c>
      <c r="F6520" s="19" t="str">
        <f>IFERROR(__xludf.DUMMYFUNCTION("""COMPUTED_VALUE"""),"BLACK")</f>
        <v>BLACK</v>
      </c>
      <c r="G6520" s="20" t="str">
        <f>IFERROR(__xludf.DUMMYFUNCTION("""COMPUTED_VALUE"""),"Uncle Sams Cider (5/13/2022)")</f>
        <v>Uncle Sams Cider (5/13/2022)</v>
      </c>
      <c r="H6520" s="19"/>
    </row>
    <row r="6521">
      <c r="A6521" s="9"/>
      <c r="B6521" s="15"/>
      <c r="C6521" s="9">
        <f>IFERROR(__xludf.DUMMYFUNCTION("""COMPUTED_VALUE"""),44728.6332348032)</f>
        <v>44728.63323</v>
      </c>
      <c r="D6521" s="15">
        <f>IFERROR(__xludf.DUMMYFUNCTION("""COMPUTED_VALUE"""),1.006)</f>
        <v>1.006</v>
      </c>
      <c r="E6521" s="16">
        <f>IFERROR(__xludf.DUMMYFUNCTION("""COMPUTED_VALUE"""),69.0)</f>
        <v>69</v>
      </c>
      <c r="F6521" s="19" t="str">
        <f>IFERROR(__xludf.DUMMYFUNCTION("""COMPUTED_VALUE"""),"BLACK")</f>
        <v>BLACK</v>
      </c>
      <c r="G6521" s="20" t="str">
        <f>IFERROR(__xludf.DUMMYFUNCTION("""COMPUTED_VALUE"""),"Uncle Sams Cider (5/13/2022)")</f>
        <v>Uncle Sams Cider (5/13/2022)</v>
      </c>
      <c r="H6521" s="19"/>
    </row>
    <row r="6522">
      <c r="A6522" s="9"/>
      <c r="B6522" s="15"/>
      <c r="C6522" s="9">
        <f>IFERROR(__xludf.DUMMYFUNCTION("""COMPUTED_VALUE"""),44728.6228039351)</f>
        <v>44728.6228</v>
      </c>
      <c r="D6522" s="15">
        <f>IFERROR(__xludf.DUMMYFUNCTION("""COMPUTED_VALUE"""),1.006)</f>
        <v>1.006</v>
      </c>
      <c r="E6522" s="16">
        <f>IFERROR(__xludf.DUMMYFUNCTION("""COMPUTED_VALUE"""),69.0)</f>
        <v>69</v>
      </c>
      <c r="F6522" s="19" t="str">
        <f>IFERROR(__xludf.DUMMYFUNCTION("""COMPUTED_VALUE"""),"BLACK")</f>
        <v>BLACK</v>
      </c>
      <c r="G6522" s="20" t="str">
        <f>IFERROR(__xludf.DUMMYFUNCTION("""COMPUTED_VALUE"""),"Uncle Sams Cider (5/13/2022)")</f>
        <v>Uncle Sams Cider (5/13/2022)</v>
      </c>
      <c r="H6522" s="19"/>
    </row>
    <row r="6523">
      <c r="A6523" s="9"/>
      <c r="B6523" s="15"/>
      <c r="C6523" s="9">
        <f>IFERROR(__xludf.DUMMYFUNCTION("""COMPUTED_VALUE"""),44728.612382199)</f>
        <v>44728.61238</v>
      </c>
      <c r="D6523" s="15">
        <f>IFERROR(__xludf.DUMMYFUNCTION("""COMPUTED_VALUE"""),1.006)</f>
        <v>1.006</v>
      </c>
      <c r="E6523" s="16">
        <f>IFERROR(__xludf.DUMMYFUNCTION("""COMPUTED_VALUE"""),69.0)</f>
        <v>69</v>
      </c>
      <c r="F6523" s="19" t="str">
        <f>IFERROR(__xludf.DUMMYFUNCTION("""COMPUTED_VALUE"""),"BLACK")</f>
        <v>BLACK</v>
      </c>
      <c r="G6523" s="20" t="str">
        <f>IFERROR(__xludf.DUMMYFUNCTION("""COMPUTED_VALUE"""),"Uncle Sams Cider (5/13/2022)")</f>
        <v>Uncle Sams Cider (5/13/2022)</v>
      </c>
      <c r="H6523" s="19"/>
    </row>
    <row r="6524">
      <c r="A6524" s="9"/>
      <c r="B6524" s="15"/>
      <c r="C6524" s="9">
        <f>IFERROR(__xludf.DUMMYFUNCTION("""COMPUTED_VALUE"""),44728.6019618402)</f>
        <v>44728.60196</v>
      </c>
      <c r="D6524" s="15">
        <f>IFERROR(__xludf.DUMMYFUNCTION("""COMPUTED_VALUE"""),1.006)</f>
        <v>1.006</v>
      </c>
      <c r="E6524" s="16">
        <f>IFERROR(__xludf.DUMMYFUNCTION("""COMPUTED_VALUE"""),69.0)</f>
        <v>69</v>
      </c>
      <c r="F6524" s="19" t="str">
        <f>IFERROR(__xludf.DUMMYFUNCTION("""COMPUTED_VALUE"""),"BLACK")</f>
        <v>BLACK</v>
      </c>
      <c r="G6524" s="20" t="str">
        <f>IFERROR(__xludf.DUMMYFUNCTION("""COMPUTED_VALUE"""),"Uncle Sams Cider (5/13/2022)")</f>
        <v>Uncle Sams Cider (5/13/2022)</v>
      </c>
      <c r="H6524" s="19"/>
    </row>
    <row r="6525">
      <c r="A6525" s="9"/>
      <c r="B6525" s="15"/>
      <c r="C6525" s="9">
        <f>IFERROR(__xludf.DUMMYFUNCTION("""COMPUTED_VALUE"""),44728.5915418865)</f>
        <v>44728.59154</v>
      </c>
      <c r="D6525" s="15">
        <f>IFERROR(__xludf.DUMMYFUNCTION("""COMPUTED_VALUE"""),1.006)</f>
        <v>1.006</v>
      </c>
      <c r="E6525" s="16">
        <f>IFERROR(__xludf.DUMMYFUNCTION("""COMPUTED_VALUE"""),69.0)</f>
        <v>69</v>
      </c>
      <c r="F6525" s="19" t="str">
        <f>IFERROR(__xludf.DUMMYFUNCTION("""COMPUTED_VALUE"""),"BLACK")</f>
        <v>BLACK</v>
      </c>
      <c r="G6525" s="20" t="str">
        <f>IFERROR(__xludf.DUMMYFUNCTION("""COMPUTED_VALUE"""),"Uncle Sams Cider (5/13/2022)")</f>
        <v>Uncle Sams Cider (5/13/2022)</v>
      </c>
      <c r="H6525" s="19"/>
    </row>
    <row r="6526">
      <c r="A6526" s="9"/>
      <c r="B6526" s="15"/>
      <c r="C6526" s="9">
        <f>IFERROR(__xludf.DUMMYFUNCTION("""COMPUTED_VALUE"""),44728.5811204976)</f>
        <v>44728.58112</v>
      </c>
      <c r="D6526" s="15">
        <f>IFERROR(__xludf.DUMMYFUNCTION("""COMPUTED_VALUE"""),1.006)</f>
        <v>1.006</v>
      </c>
      <c r="E6526" s="16">
        <f>IFERROR(__xludf.DUMMYFUNCTION("""COMPUTED_VALUE"""),69.0)</f>
        <v>69</v>
      </c>
      <c r="F6526" s="19" t="str">
        <f>IFERROR(__xludf.DUMMYFUNCTION("""COMPUTED_VALUE"""),"BLACK")</f>
        <v>BLACK</v>
      </c>
      <c r="G6526" s="20" t="str">
        <f>IFERROR(__xludf.DUMMYFUNCTION("""COMPUTED_VALUE"""),"Uncle Sams Cider (5/13/2022)")</f>
        <v>Uncle Sams Cider (5/13/2022)</v>
      </c>
      <c r="H6526" s="19"/>
    </row>
    <row r="6527">
      <c r="A6527" s="9"/>
      <c r="B6527" s="15"/>
      <c r="C6527" s="9">
        <f>IFERROR(__xludf.DUMMYFUNCTION("""COMPUTED_VALUE"""),44728.5707001273)</f>
        <v>44728.5707</v>
      </c>
      <c r="D6527" s="15">
        <f>IFERROR(__xludf.DUMMYFUNCTION("""COMPUTED_VALUE"""),1.006)</f>
        <v>1.006</v>
      </c>
      <c r="E6527" s="16">
        <f>IFERROR(__xludf.DUMMYFUNCTION("""COMPUTED_VALUE"""),69.0)</f>
        <v>69</v>
      </c>
      <c r="F6527" s="19" t="str">
        <f>IFERROR(__xludf.DUMMYFUNCTION("""COMPUTED_VALUE"""),"BLACK")</f>
        <v>BLACK</v>
      </c>
      <c r="G6527" s="20" t="str">
        <f>IFERROR(__xludf.DUMMYFUNCTION("""COMPUTED_VALUE"""),"Uncle Sams Cider (5/13/2022)")</f>
        <v>Uncle Sams Cider (5/13/2022)</v>
      </c>
      <c r="H6527" s="19"/>
    </row>
    <row r="6528">
      <c r="A6528" s="9"/>
      <c r="B6528" s="15"/>
      <c r="C6528" s="9">
        <f>IFERROR(__xludf.DUMMYFUNCTION("""COMPUTED_VALUE"""),44728.5602789236)</f>
        <v>44728.56028</v>
      </c>
      <c r="D6528" s="15">
        <f>IFERROR(__xludf.DUMMYFUNCTION("""COMPUTED_VALUE"""),1.006)</f>
        <v>1.006</v>
      </c>
      <c r="E6528" s="16">
        <f>IFERROR(__xludf.DUMMYFUNCTION("""COMPUTED_VALUE"""),69.0)</f>
        <v>69</v>
      </c>
      <c r="F6528" s="19" t="str">
        <f>IFERROR(__xludf.DUMMYFUNCTION("""COMPUTED_VALUE"""),"BLACK")</f>
        <v>BLACK</v>
      </c>
      <c r="G6528" s="20" t="str">
        <f>IFERROR(__xludf.DUMMYFUNCTION("""COMPUTED_VALUE"""),"Uncle Sams Cider (5/13/2022)")</f>
        <v>Uncle Sams Cider (5/13/2022)</v>
      </c>
      <c r="H6528" s="19"/>
    </row>
    <row r="6529">
      <c r="A6529" s="9"/>
      <c r="B6529" s="15"/>
      <c r="C6529" s="9">
        <f>IFERROR(__xludf.DUMMYFUNCTION("""COMPUTED_VALUE"""),44728.5498581828)</f>
        <v>44728.54986</v>
      </c>
      <c r="D6529" s="15">
        <f>IFERROR(__xludf.DUMMYFUNCTION("""COMPUTED_VALUE"""),1.006)</f>
        <v>1.006</v>
      </c>
      <c r="E6529" s="16">
        <f>IFERROR(__xludf.DUMMYFUNCTION("""COMPUTED_VALUE"""),69.0)</f>
        <v>69</v>
      </c>
      <c r="F6529" s="19" t="str">
        <f>IFERROR(__xludf.DUMMYFUNCTION("""COMPUTED_VALUE"""),"BLACK")</f>
        <v>BLACK</v>
      </c>
      <c r="G6529" s="20" t="str">
        <f>IFERROR(__xludf.DUMMYFUNCTION("""COMPUTED_VALUE"""),"Uncle Sams Cider (5/13/2022)")</f>
        <v>Uncle Sams Cider (5/13/2022)</v>
      </c>
      <c r="H6529" s="19"/>
    </row>
    <row r="6530">
      <c r="A6530" s="9"/>
      <c r="B6530" s="15"/>
      <c r="C6530" s="9">
        <f>IFERROR(__xludf.DUMMYFUNCTION("""COMPUTED_VALUE"""),44728.5394381134)</f>
        <v>44728.53944</v>
      </c>
      <c r="D6530" s="15">
        <f>IFERROR(__xludf.DUMMYFUNCTION("""COMPUTED_VALUE"""),1.006)</f>
        <v>1.006</v>
      </c>
      <c r="E6530" s="16">
        <f>IFERROR(__xludf.DUMMYFUNCTION("""COMPUTED_VALUE"""),69.0)</f>
        <v>69</v>
      </c>
      <c r="F6530" s="19" t="str">
        <f>IFERROR(__xludf.DUMMYFUNCTION("""COMPUTED_VALUE"""),"BLACK")</f>
        <v>BLACK</v>
      </c>
      <c r="G6530" s="20" t="str">
        <f>IFERROR(__xludf.DUMMYFUNCTION("""COMPUTED_VALUE"""),"Uncle Sams Cider (5/13/2022)")</f>
        <v>Uncle Sams Cider (5/13/2022)</v>
      </c>
      <c r="H6530" s="19"/>
    </row>
    <row r="6531">
      <c r="A6531" s="9"/>
      <c r="B6531" s="15"/>
      <c r="C6531" s="9">
        <f>IFERROR(__xludf.DUMMYFUNCTION("""COMPUTED_VALUE"""),44728.5290167013)</f>
        <v>44728.52902</v>
      </c>
      <c r="D6531" s="15">
        <f>IFERROR(__xludf.DUMMYFUNCTION("""COMPUTED_VALUE"""),1.006)</f>
        <v>1.006</v>
      </c>
      <c r="E6531" s="16">
        <f>IFERROR(__xludf.DUMMYFUNCTION("""COMPUTED_VALUE"""),69.0)</f>
        <v>69</v>
      </c>
      <c r="F6531" s="19" t="str">
        <f>IFERROR(__xludf.DUMMYFUNCTION("""COMPUTED_VALUE"""),"BLACK")</f>
        <v>BLACK</v>
      </c>
      <c r="G6531" s="20" t="str">
        <f>IFERROR(__xludf.DUMMYFUNCTION("""COMPUTED_VALUE"""),"Uncle Sams Cider (5/13/2022)")</f>
        <v>Uncle Sams Cider (5/13/2022)</v>
      </c>
      <c r="H6531" s="19"/>
    </row>
    <row r="6532">
      <c r="A6532" s="9"/>
      <c r="B6532" s="15"/>
      <c r="C6532" s="9">
        <f>IFERROR(__xludf.DUMMYFUNCTION("""COMPUTED_VALUE"""),44728.5185971875)</f>
        <v>44728.5186</v>
      </c>
      <c r="D6532" s="15">
        <f>IFERROR(__xludf.DUMMYFUNCTION("""COMPUTED_VALUE"""),1.006)</f>
        <v>1.006</v>
      </c>
      <c r="E6532" s="16">
        <f>IFERROR(__xludf.DUMMYFUNCTION("""COMPUTED_VALUE"""),69.0)</f>
        <v>69</v>
      </c>
      <c r="F6532" s="19" t="str">
        <f>IFERROR(__xludf.DUMMYFUNCTION("""COMPUTED_VALUE"""),"BLACK")</f>
        <v>BLACK</v>
      </c>
      <c r="G6532" s="20" t="str">
        <f>IFERROR(__xludf.DUMMYFUNCTION("""COMPUTED_VALUE"""),"Uncle Sams Cider (5/13/2022)")</f>
        <v>Uncle Sams Cider (5/13/2022)</v>
      </c>
      <c r="H6532" s="19"/>
    </row>
    <row r="6533">
      <c r="A6533" s="9"/>
      <c r="B6533" s="15"/>
      <c r="C6533" s="9">
        <f>IFERROR(__xludf.DUMMYFUNCTION("""COMPUTED_VALUE"""),44728.5081755902)</f>
        <v>44728.50818</v>
      </c>
      <c r="D6533" s="15">
        <f>IFERROR(__xludf.DUMMYFUNCTION("""COMPUTED_VALUE"""),1.006)</f>
        <v>1.006</v>
      </c>
      <c r="E6533" s="16">
        <f>IFERROR(__xludf.DUMMYFUNCTION("""COMPUTED_VALUE"""),69.0)</f>
        <v>69</v>
      </c>
      <c r="F6533" s="19" t="str">
        <f>IFERROR(__xludf.DUMMYFUNCTION("""COMPUTED_VALUE"""),"BLACK")</f>
        <v>BLACK</v>
      </c>
      <c r="G6533" s="20" t="str">
        <f>IFERROR(__xludf.DUMMYFUNCTION("""COMPUTED_VALUE"""),"Uncle Sams Cider (5/13/2022)")</f>
        <v>Uncle Sams Cider (5/13/2022)</v>
      </c>
      <c r="H6533" s="19"/>
    </row>
    <row r="6534">
      <c r="A6534" s="9"/>
      <c r="B6534" s="15"/>
      <c r="C6534" s="9">
        <f>IFERROR(__xludf.DUMMYFUNCTION("""COMPUTED_VALUE"""),44728.4977418981)</f>
        <v>44728.49774</v>
      </c>
      <c r="D6534" s="15">
        <f>IFERROR(__xludf.DUMMYFUNCTION("""COMPUTED_VALUE"""),1.006)</f>
        <v>1.006</v>
      </c>
      <c r="E6534" s="16">
        <f>IFERROR(__xludf.DUMMYFUNCTION("""COMPUTED_VALUE"""),69.0)</f>
        <v>69</v>
      </c>
      <c r="F6534" s="19" t="str">
        <f>IFERROR(__xludf.DUMMYFUNCTION("""COMPUTED_VALUE"""),"BLACK")</f>
        <v>BLACK</v>
      </c>
      <c r="G6534" s="20" t="str">
        <f>IFERROR(__xludf.DUMMYFUNCTION("""COMPUTED_VALUE"""),"Uncle Sams Cider (5/13/2022)")</f>
        <v>Uncle Sams Cider (5/13/2022)</v>
      </c>
      <c r="H6534" s="19"/>
    </row>
    <row r="6535">
      <c r="A6535" s="9"/>
      <c r="B6535" s="15"/>
      <c r="C6535" s="9">
        <f>IFERROR(__xludf.DUMMYFUNCTION("""COMPUTED_VALUE"""),44728.4873217361)</f>
        <v>44728.48732</v>
      </c>
      <c r="D6535" s="15">
        <f>IFERROR(__xludf.DUMMYFUNCTION("""COMPUTED_VALUE"""),1.006)</f>
        <v>1.006</v>
      </c>
      <c r="E6535" s="16">
        <f>IFERROR(__xludf.DUMMYFUNCTION("""COMPUTED_VALUE"""),69.0)</f>
        <v>69</v>
      </c>
      <c r="F6535" s="19" t="str">
        <f>IFERROR(__xludf.DUMMYFUNCTION("""COMPUTED_VALUE"""),"BLACK")</f>
        <v>BLACK</v>
      </c>
      <c r="G6535" s="20" t="str">
        <f>IFERROR(__xludf.DUMMYFUNCTION("""COMPUTED_VALUE"""),"Uncle Sams Cider (5/13/2022)")</f>
        <v>Uncle Sams Cider (5/13/2022)</v>
      </c>
      <c r="H6535" s="19"/>
    </row>
    <row r="6536">
      <c r="A6536" s="9"/>
      <c r="B6536" s="15"/>
      <c r="C6536" s="9">
        <f>IFERROR(__xludf.DUMMYFUNCTION("""COMPUTED_VALUE"""),44728.4768999421)</f>
        <v>44728.4769</v>
      </c>
      <c r="D6536" s="15">
        <f>IFERROR(__xludf.DUMMYFUNCTION("""COMPUTED_VALUE"""),1.006)</f>
        <v>1.006</v>
      </c>
      <c r="E6536" s="16">
        <f>IFERROR(__xludf.DUMMYFUNCTION("""COMPUTED_VALUE"""),69.0)</f>
        <v>69</v>
      </c>
      <c r="F6536" s="19" t="str">
        <f>IFERROR(__xludf.DUMMYFUNCTION("""COMPUTED_VALUE"""),"BLACK")</f>
        <v>BLACK</v>
      </c>
      <c r="G6536" s="20" t="str">
        <f>IFERROR(__xludf.DUMMYFUNCTION("""COMPUTED_VALUE"""),"Uncle Sams Cider (5/13/2022)")</f>
        <v>Uncle Sams Cider (5/13/2022)</v>
      </c>
      <c r="H6536" s="19"/>
    </row>
    <row r="6537">
      <c r="A6537" s="9"/>
      <c r="B6537" s="15"/>
      <c r="C6537" s="9">
        <f>IFERROR(__xludf.DUMMYFUNCTION("""COMPUTED_VALUE"""),44728.466480243)</f>
        <v>44728.46648</v>
      </c>
      <c r="D6537" s="15">
        <f>IFERROR(__xludf.DUMMYFUNCTION("""COMPUTED_VALUE"""),1.006)</f>
        <v>1.006</v>
      </c>
      <c r="E6537" s="16">
        <f>IFERROR(__xludf.DUMMYFUNCTION("""COMPUTED_VALUE"""),69.0)</f>
        <v>69</v>
      </c>
      <c r="F6537" s="19" t="str">
        <f>IFERROR(__xludf.DUMMYFUNCTION("""COMPUTED_VALUE"""),"BLACK")</f>
        <v>BLACK</v>
      </c>
      <c r="G6537" s="20" t="str">
        <f>IFERROR(__xludf.DUMMYFUNCTION("""COMPUTED_VALUE"""),"Uncle Sams Cider (5/13/2022)")</f>
        <v>Uncle Sams Cider (5/13/2022)</v>
      </c>
      <c r="H6537" s="19"/>
    </row>
    <row r="6538">
      <c r="A6538" s="9"/>
      <c r="B6538" s="15"/>
      <c r="C6538" s="9">
        <f>IFERROR(__xludf.DUMMYFUNCTION("""COMPUTED_VALUE"""),44728.4560580092)</f>
        <v>44728.45606</v>
      </c>
      <c r="D6538" s="15">
        <f>IFERROR(__xludf.DUMMYFUNCTION("""COMPUTED_VALUE"""),1.006)</f>
        <v>1.006</v>
      </c>
      <c r="E6538" s="16">
        <f>IFERROR(__xludf.DUMMYFUNCTION("""COMPUTED_VALUE"""),69.0)</f>
        <v>69</v>
      </c>
      <c r="F6538" s="19" t="str">
        <f>IFERROR(__xludf.DUMMYFUNCTION("""COMPUTED_VALUE"""),"BLACK")</f>
        <v>BLACK</v>
      </c>
      <c r="G6538" s="20" t="str">
        <f>IFERROR(__xludf.DUMMYFUNCTION("""COMPUTED_VALUE"""),"Uncle Sams Cider (5/13/2022)")</f>
        <v>Uncle Sams Cider (5/13/2022)</v>
      </c>
      <c r="H6538" s="19"/>
    </row>
    <row r="6539">
      <c r="A6539" s="9"/>
      <c r="B6539" s="15"/>
      <c r="C6539" s="9">
        <f>IFERROR(__xludf.DUMMYFUNCTION("""COMPUTED_VALUE"""),44728.4456378588)</f>
        <v>44728.44564</v>
      </c>
      <c r="D6539" s="15">
        <f>IFERROR(__xludf.DUMMYFUNCTION("""COMPUTED_VALUE"""),1.006)</f>
        <v>1.006</v>
      </c>
      <c r="E6539" s="16">
        <f>IFERROR(__xludf.DUMMYFUNCTION("""COMPUTED_VALUE"""),69.0)</f>
        <v>69</v>
      </c>
      <c r="F6539" s="19" t="str">
        <f>IFERROR(__xludf.DUMMYFUNCTION("""COMPUTED_VALUE"""),"BLACK")</f>
        <v>BLACK</v>
      </c>
      <c r="G6539" s="20" t="str">
        <f>IFERROR(__xludf.DUMMYFUNCTION("""COMPUTED_VALUE"""),"Uncle Sams Cider (5/13/2022)")</f>
        <v>Uncle Sams Cider (5/13/2022)</v>
      </c>
      <c r="H6539" s="19"/>
    </row>
    <row r="6540">
      <c r="A6540" s="9"/>
      <c r="B6540" s="15"/>
      <c r="C6540" s="9">
        <f>IFERROR(__xludf.DUMMYFUNCTION("""COMPUTED_VALUE"""),44728.4352167592)</f>
        <v>44728.43522</v>
      </c>
      <c r="D6540" s="15">
        <f>IFERROR(__xludf.DUMMYFUNCTION("""COMPUTED_VALUE"""),1.006)</f>
        <v>1.006</v>
      </c>
      <c r="E6540" s="16">
        <f>IFERROR(__xludf.DUMMYFUNCTION("""COMPUTED_VALUE"""),69.0)</f>
        <v>69</v>
      </c>
      <c r="F6540" s="19" t="str">
        <f>IFERROR(__xludf.DUMMYFUNCTION("""COMPUTED_VALUE"""),"BLACK")</f>
        <v>BLACK</v>
      </c>
      <c r="G6540" s="20" t="str">
        <f>IFERROR(__xludf.DUMMYFUNCTION("""COMPUTED_VALUE"""),"Uncle Sams Cider (5/13/2022)")</f>
        <v>Uncle Sams Cider (5/13/2022)</v>
      </c>
      <c r="H6540" s="19"/>
    </row>
    <row r="6541">
      <c r="A6541" s="9"/>
      <c r="B6541" s="15"/>
      <c r="C6541" s="9">
        <f>IFERROR(__xludf.DUMMYFUNCTION("""COMPUTED_VALUE"""),44728.4247958912)</f>
        <v>44728.4248</v>
      </c>
      <c r="D6541" s="15">
        <f>IFERROR(__xludf.DUMMYFUNCTION("""COMPUTED_VALUE"""),1.006)</f>
        <v>1.006</v>
      </c>
      <c r="E6541" s="16">
        <f>IFERROR(__xludf.DUMMYFUNCTION("""COMPUTED_VALUE"""),69.0)</f>
        <v>69</v>
      </c>
      <c r="F6541" s="19" t="str">
        <f>IFERROR(__xludf.DUMMYFUNCTION("""COMPUTED_VALUE"""),"BLACK")</f>
        <v>BLACK</v>
      </c>
      <c r="G6541" s="20" t="str">
        <f>IFERROR(__xludf.DUMMYFUNCTION("""COMPUTED_VALUE"""),"Uncle Sams Cider (5/13/2022)")</f>
        <v>Uncle Sams Cider (5/13/2022)</v>
      </c>
      <c r="H6541" s="19"/>
    </row>
    <row r="6542">
      <c r="A6542" s="9"/>
      <c r="B6542" s="15"/>
      <c r="C6542" s="9">
        <f>IFERROR(__xludf.DUMMYFUNCTION("""COMPUTED_VALUE"""),44728.4143617129)</f>
        <v>44728.41436</v>
      </c>
      <c r="D6542" s="15">
        <f>IFERROR(__xludf.DUMMYFUNCTION("""COMPUTED_VALUE"""),1.006)</f>
        <v>1.006</v>
      </c>
      <c r="E6542" s="16">
        <f>IFERROR(__xludf.DUMMYFUNCTION("""COMPUTED_VALUE"""),69.0)</f>
        <v>69</v>
      </c>
      <c r="F6542" s="19" t="str">
        <f>IFERROR(__xludf.DUMMYFUNCTION("""COMPUTED_VALUE"""),"BLACK")</f>
        <v>BLACK</v>
      </c>
      <c r="G6542" s="20" t="str">
        <f>IFERROR(__xludf.DUMMYFUNCTION("""COMPUTED_VALUE"""),"Uncle Sams Cider (5/13/2022)")</f>
        <v>Uncle Sams Cider (5/13/2022)</v>
      </c>
      <c r="H6542" s="19"/>
    </row>
    <row r="6543">
      <c r="A6543" s="9"/>
      <c r="B6543" s="15"/>
      <c r="C6543" s="9">
        <f>IFERROR(__xludf.DUMMYFUNCTION("""COMPUTED_VALUE"""),44728.4039406018)</f>
        <v>44728.40394</v>
      </c>
      <c r="D6543" s="15">
        <f>IFERROR(__xludf.DUMMYFUNCTION("""COMPUTED_VALUE"""),1.006)</f>
        <v>1.006</v>
      </c>
      <c r="E6543" s="16">
        <f>IFERROR(__xludf.DUMMYFUNCTION("""COMPUTED_VALUE"""),69.0)</f>
        <v>69</v>
      </c>
      <c r="F6543" s="19" t="str">
        <f>IFERROR(__xludf.DUMMYFUNCTION("""COMPUTED_VALUE"""),"BLACK")</f>
        <v>BLACK</v>
      </c>
      <c r="G6543" s="20" t="str">
        <f>IFERROR(__xludf.DUMMYFUNCTION("""COMPUTED_VALUE"""),"Uncle Sams Cider (5/13/2022)")</f>
        <v>Uncle Sams Cider (5/13/2022)</v>
      </c>
      <c r="H6543" s="19"/>
    </row>
    <row r="6544">
      <c r="A6544" s="9"/>
      <c r="B6544" s="15"/>
      <c r="C6544" s="9">
        <f>IFERROR(__xludf.DUMMYFUNCTION("""COMPUTED_VALUE"""),44728.3935185069)</f>
        <v>44728.39352</v>
      </c>
      <c r="D6544" s="15">
        <f>IFERROR(__xludf.DUMMYFUNCTION("""COMPUTED_VALUE"""),1.006)</f>
        <v>1.006</v>
      </c>
      <c r="E6544" s="16">
        <f>IFERROR(__xludf.DUMMYFUNCTION("""COMPUTED_VALUE"""),69.0)</f>
        <v>69</v>
      </c>
      <c r="F6544" s="19" t="str">
        <f>IFERROR(__xludf.DUMMYFUNCTION("""COMPUTED_VALUE"""),"BLACK")</f>
        <v>BLACK</v>
      </c>
      <c r="G6544" s="20" t="str">
        <f>IFERROR(__xludf.DUMMYFUNCTION("""COMPUTED_VALUE"""),"Uncle Sams Cider (5/13/2022)")</f>
        <v>Uncle Sams Cider (5/13/2022)</v>
      </c>
      <c r="H6544" s="19"/>
    </row>
    <row r="6545">
      <c r="A6545" s="9"/>
      <c r="B6545" s="15"/>
      <c r="C6545" s="9">
        <f>IFERROR(__xludf.DUMMYFUNCTION("""COMPUTED_VALUE"""),44728.3830976736)</f>
        <v>44728.3831</v>
      </c>
      <c r="D6545" s="15">
        <f>IFERROR(__xludf.DUMMYFUNCTION("""COMPUTED_VALUE"""),1.006)</f>
        <v>1.006</v>
      </c>
      <c r="E6545" s="16">
        <f>IFERROR(__xludf.DUMMYFUNCTION("""COMPUTED_VALUE"""),69.0)</f>
        <v>69</v>
      </c>
      <c r="F6545" s="19" t="str">
        <f>IFERROR(__xludf.DUMMYFUNCTION("""COMPUTED_VALUE"""),"BLACK")</f>
        <v>BLACK</v>
      </c>
      <c r="G6545" s="20" t="str">
        <f>IFERROR(__xludf.DUMMYFUNCTION("""COMPUTED_VALUE"""),"Uncle Sams Cider (5/13/2022)")</f>
        <v>Uncle Sams Cider (5/13/2022)</v>
      </c>
      <c r="H6545" s="19"/>
    </row>
    <row r="6546">
      <c r="A6546" s="9"/>
      <c r="B6546" s="15"/>
      <c r="C6546" s="9">
        <f>IFERROR(__xludf.DUMMYFUNCTION("""COMPUTED_VALUE"""),44728.3726774768)</f>
        <v>44728.37268</v>
      </c>
      <c r="D6546" s="15">
        <f>IFERROR(__xludf.DUMMYFUNCTION("""COMPUTED_VALUE"""),1.006)</f>
        <v>1.006</v>
      </c>
      <c r="E6546" s="16">
        <f>IFERROR(__xludf.DUMMYFUNCTION("""COMPUTED_VALUE"""),69.0)</f>
        <v>69</v>
      </c>
      <c r="F6546" s="19" t="str">
        <f>IFERROR(__xludf.DUMMYFUNCTION("""COMPUTED_VALUE"""),"BLACK")</f>
        <v>BLACK</v>
      </c>
      <c r="G6546" s="20" t="str">
        <f>IFERROR(__xludf.DUMMYFUNCTION("""COMPUTED_VALUE"""),"Uncle Sams Cider (5/13/2022)")</f>
        <v>Uncle Sams Cider (5/13/2022)</v>
      </c>
      <c r="H6546" s="19"/>
    </row>
    <row r="6547">
      <c r="A6547" s="9"/>
      <c r="B6547" s="15"/>
      <c r="C6547" s="9">
        <f>IFERROR(__xludf.DUMMYFUNCTION("""COMPUTED_VALUE"""),44728.3622560416)</f>
        <v>44728.36226</v>
      </c>
      <c r="D6547" s="15">
        <f>IFERROR(__xludf.DUMMYFUNCTION("""COMPUTED_VALUE"""),1.006)</f>
        <v>1.006</v>
      </c>
      <c r="E6547" s="16">
        <f>IFERROR(__xludf.DUMMYFUNCTION("""COMPUTED_VALUE"""),68.0)</f>
        <v>68</v>
      </c>
      <c r="F6547" s="19" t="str">
        <f>IFERROR(__xludf.DUMMYFUNCTION("""COMPUTED_VALUE"""),"BLACK")</f>
        <v>BLACK</v>
      </c>
      <c r="G6547" s="20" t="str">
        <f>IFERROR(__xludf.DUMMYFUNCTION("""COMPUTED_VALUE"""),"Uncle Sams Cider (5/13/2022)")</f>
        <v>Uncle Sams Cider (5/13/2022)</v>
      </c>
      <c r="H6547" s="19"/>
    </row>
    <row r="6548">
      <c r="A6548" s="9"/>
      <c r="B6548" s="15"/>
      <c r="C6548" s="9">
        <f>IFERROR(__xludf.DUMMYFUNCTION("""COMPUTED_VALUE"""),44728.3518349652)</f>
        <v>44728.35183</v>
      </c>
      <c r="D6548" s="15">
        <f>IFERROR(__xludf.DUMMYFUNCTION("""COMPUTED_VALUE"""),1.006)</f>
        <v>1.006</v>
      </c>
      <c r="E6548" s="16">
        <f>IFERROR(__xludf.DUMMYFUNCTION("""COMPUTED_VALUE"""),69.0)</f>
        <v>69</v>
      </c>
      <c r="F6548" s="19" t="str">
        <f>IFERROR(__xludf.DUMMYFUNCTION("""COMPUTED_VALUE"""),"BLACK")</f>
        <v>BLACK</v>
      </c>
      <c r="G6548" s="20" t="str">
        <f>IFERROR(__xludf.DUMMYFUNCTION("""COMPUTED_VALUE"""),"Uncle Sams Cider (5/13/2022)")</f>
        <v>Uncle Sams Cider (5/13/2022)</v>
      </c>
      <c r="H6548" s="19"/>
    </row>
    <row r="6549">
      <c r="A6549" s="9"/>
      <c r="B6549" s="15"/>
      <c r="C6549" s="9">
        <f>IFERROR(__xludf.DUMMYFUNCTION("""COMPUTED_VALUE"""),44728.3414140277)</f>
        <v>44728.34141</v>
      </c>
      <c r="D6549" s="15">
        <f>IFERROR(__xludf.DUMMYFUNCTION("""COMPUTED_VALUE"""),1.006)</f>
        <v>1.006</v>
      </c>
      <c r="E6549" s="16">
        <f>IFERROR(__xludf.DUMMYFUNCTION("""COMPUTED_VALUE"""),68.0)</f>
        <v>68</v>
      </c>
      <c r="F6549" s="19" t="str">
        <f>IFERROR(__xludf.DUMMYFUNCTION("""COMPUTED_VALUE"""),"BLACK")</f>
        <v>BLACK</v>
      </c>
      <c r="G6549" s="20" t="str">
        <f>IFERROR(__xludf.DUMMYFUNCTION("""COMPUTED_VALUE"""),"Uncle Sams Cider (5/13/2022)")</f>
        <v>Uncle Sams Cider (5/13/2022)</v>
      </c>
      <c r="H6549" s="19"/>
    </row>
    <row r="6550">
      <c r="A6550" s="9"/>
      <c r="B6550" s="15"/>
      <c r="C6550" s="9">
        <f>IFERROR(__xludf.DUMMYFUNCTION("""COMPUTED_VALUE"""),44728.3309908333)</f>
        <v>44728.33099</v>
      </c>
      <c r="D6550" s="15">
        <f>IFERROR(__xludf.DUMMYFUNCTION("""COMPUTED_VALUE"""),1.006)</f>
        <v>1.006</v>
      </c>
      <c r="E6550" s="16">
        <f>IFERROR(__xludf.DUMMYFUNCTION("""COMPUTED_VALUE"""),69.0)</f>
        <v>69</v>
      </c>
      <c r="F6550" s="19" t="str">
        <f>IFERROR(__xludf.DUMMYFUNCTION("""COMPUTED_VALUE"""),"BLACK")</f>
        <v>BLACK</v>
      </c>
      <c r="G6550" s="20" t="str">
        <f>IFERROR(__xludf.DUMMYFUNCTION("""COMPUTED_VALUE"""),"Uncle Sams Cider (5/13/2022)")</f>
        <v>Uncle Sams Cider (5/13/2022)</v>
      </c>
      <c r="H6550" s="19"/>
    </row>
    <row r="6551">
      <c r="A6551" s="9"/>
      <c r="B6551" s="15"/>
      <c r="C6551" s="9">
        <f>IFERROR(__xludf.DUMMYFUNCTION("""COMPUTED_VALUE"""),44728.3205692361)</f>
        <v>44728.32057</v>
      </c>
      <c r="D6551" s="15">
        <f>IFERROR(__xludf.DUMMYFUNCTION("""COMPUTED_VALUE"""),1.006)</f>
        <v>1.006</v>
      </c>
      <c r="E6551" s="16">
        <f>IFERROR(__xludf.DUMMYFUNCTION("""COMPUTED_VALUE"""),69.0)</f>
        <v>69</v>
      </c>
      <c r="F6551" s="19" t="str">
        <f>IFERROR(__xludf.DUMMYFUNCTION("""COMPUTED_VALUE"""),"BLACK")</f>
        <v>BLACK</v>
      </c>
      <c r="G6551" s="20" t="str">
        <f>IFERROR(__xludf.DUMMYFUNCTION("""COMPUTED_VALUE"""),"Uncle Sams Cider (5/13/2022)")</f>
        <v>Uncle Sams Cider (5/13/2022)</v>
      </c>
      <c r="H6551" s="19"/>
    </row>
    <row r="6552">
      <c r="A6552" s="9"/>
      <c r="B6552" s="15"/>
      <c r="C6552" s="9">
        <f>IFERROR(__xludf.DUMMYFUNCTION("""COMPUTED_VALUE"""),44728.3101484838)</f>
        <v>44728.31015</v>
      </c>
      <c r="D6552" s="15">
        <f>IFERROR(__xludf.DUMMYFUNCTION("""COMPUTED_VALUE"""),1.006)</f>
        <v>1.006</v>
      </c>
      <c r="E6552" s="16">
        <f>IFERROR(__xludf.DUMMYFUNCTION("""COMPUTED_VALUE"""),68.0)</f>
        <v>68</v>
      </c>
      <c r="F6552" s="19" t="str">
        <f>IFERROR(__xludf.DUMMYFUNCTION("""COMPUTED_VALUE"""),"BLACK")</f>
        <v>BLACK</v>
      </c>
      <c r="G6552" s="20" t="str">
        <f>IFERROR(__xludf.DUMMYFUNCTION("""COMPUTED_VALUE"""),"Uncle Sams Cider (5/13/2022)")</f>
        <v>Uncle Sams Cider (5/13/2022)</v>
      </c>
      <c r="H6552" s="19"/>
    </row>
    <row r="6553">
      <c r="A6553" s="9"/>
      <c r="B6553" s="15"/>
      <c r="C6553" s="9">
        <f>IFERROR(__xludf.DUMMYFUNCTION("""COMPUTED_VALUE"""),44728.2997143171)</f>
        <v>44728.29971</v>
      </c>
      <c r="D6553" s="15">
        <f>IFERROR(__xludf.DUMMYFUNCTION("""COMPUTED_VALUE"""),1.006)</f>
        <v>1.006</v>
      </c>
      <c r="E6553" s="16">
        <f>IFERROR(__xludf.DUMMYFUNCTION("""COMPUTED_VALUE"""),68.0)</f>
        <v>68</v>
      </c>
      <c r="F6553" s="19" t="str">
        <f>IFERROR(__xludf.DUMMYFUNCTION("""COMPUTED_VALUE"""),"BLACK")</f>
        <v>BLACK</v>
      </c>
      <c r="G6553" s="20" t="str">
        <f>IFERROR(__xludf.DUMMYFUNCTION("""COMPUTED_VALUE"""),"Uncle Sams Cider (5/13/2022)")</f>
        <v>Uncle Sams Cider (5/13/2022)</v>
      </c>
      <c r="H6553" s="19"/>
    </row>
    <row r="6554">
      <c r="A6554" s="9"/>
      <c r="B6554" s="15"/>
      <c r="C6554" s="9">
        <f>IFERROR(__xludf.DUMMYFUNCTION("""COMPUTED_VALUE"""),44728.2892918518)</f>
        <v>44728.28929</v>
      </c>
      <c r="D6554" s="15">
        <f>IFERROR(__xludf.DUMMYFUNCTION("""COMPUTED_VALUE"""),1.006)</f>
        <v>1.006</v>
      </c>
      <c r="E6554" s="16">
        <f>IFERROR(__xludf.DUMMYFUNCTION("""COMPUTED_VALUE"""),68.0)</f>
        <v>68</v>
      </c>
      <c r="F6554" s="19" t="str">
        <f>IFERROR(__xludf.DUMMYFUNCTION("""COMPUTED_VALUE"""),"BLACK")</f>
        <v>BLACK</v>
      </c>
      <c r="G6554" s="20" t="str">
        <f>IFERROR(__xludf.DUMMYFUNCTION("""COMPUTED_VALUE"""),"Uncle Sams Cider (5/13/2022)")</f>
        <v>Uncle Sams Cider (5/13/2022)</v>
      </c>
      <c r="H6554" s="19"/>
    </row>
    <row r="6555">
      <c r="A6555" s="9"/>
      <c r="B6555" s="15"/>
      <c r="C6555" s="9">
        <f>IFERROR(__xludf.DUMMYFUNCTION("""COMPUTED_VALUE"""),44728.2788698958)</f>
        <v>44728.27887</v>
      </c>
      <c r="D6555" s="15">
        <f>IFERROR(__xludf.DUMMYFUNCTION("""COMPUTED_VALUE"""),1.006)</f>
        <v>1.006</v>
      </c>
      <c r="E6555" s="16">
        <f>IFERROR(__xludf.DUMMYFUNCTION("""COMPUTED_VALUE"""),68.0)</f>
        <v>68</v>
      </c>
      <c r="F6555" s="19" t="str">
        <f>IFERROR(__xludf.DUMMYFUNCTION("""COMPUTED_VALUE"""),"BLACK")</f>
        <v>BLACK</v>
      </c>
      <c r="G6555" s="20" t="str">
        <f>IFERROR(__xludf.DUMMYFUNCTION("""COMPUTED_VALUE"""),"Uncle Sams Cider (5/13/2022)")</f>
        <v>Uncle Sams Cider (5/13/2022)</v>
      </c>
      <c r="H6555" s="19"/>
    </row>
    <row r="6556">
      <c r="A6556" s="9"/>
      <c r="B6556" s="15"/>
      <c r="C6556" s="9">
        <f>IFERROR(__xludf.DUMMYFUNCTION("""COMPUTED_VALUE"""),44728.2684480324)</f>
        <v>44728.26845</v>
      </c>
      <c r="D6556" s="15">
        <f>IFERROR(__xludf.DUMMYFUNCTION("""COMPUTED_VALUE"""),1.006)</f>
        <v>1.006</v>
      </c>
      <c r="E6556" s="16">
        <f>IFERROR(__xludf.DUMMYFUNCTION("""COMPUTED_VALUE"""),68.0)</f>
        <v>68</v>
      </c>
      <c r="F6556" s="19" t="str">
        <f>IFERROR(__xludf.DUMMYFUNCTION("""COMPUTED_VALUE"""),"BLACK")</f>
        <v>BLACK</v>
      </c>
      <c r="G6556" s="20" t="str">
        <f>IFERROR(__xludf.DUMMYFUNCTION("""COMPUTED_VALUE"""),"Uncle Sams Cider (5/13/2022)")</f>
        <v>Uncle Sams Cider (5/13/2022)</v>
      </c>
      <c r="H6556" s="19"/>
    </row>
    <row r="6557">
      <c r="A6557" s="9"/>
      <c r="B6557" s="15"/>
      <c r="C6557" s="9">
        <f>IFERROR(__xludf.DUMMYFUNCTION("""COMPUTED_VALUE"""),44728.2580269907)</f>
        <v>44728.25803</v>
      </c>
      <c r="D6557" s="15">
        <f>IFERROR(__xludf.DUMMYFUNCTION("""COMPUTED_VALUE"""),1.006)</f>
        <v>1.006</v>
      </c>
      <c r="E6557" s="16">
        <f>IFERROR(__xludf.DUMMYFUNCTION("""COMPUTED_VALUE"""),68.0)</f>
        <v>68</v>
      </c>
      <c r="F6557" s="19" t="str">
        <f>IFERROR(__xludf.DUMMYFUNCTION("""COMPUTED_VALUE"""),"BLACK")</f>
        <v>BLACK</v>
      </c>
      <c r="G6557" s="20" t="str">
        <f>IFERROR(__xludf.DUMMYFUNCTION("""COMPUTED_VALUE"""),"Uncle Sams Cider (5/13/2022)")</f>
        <v>Uncle Sams Cider (5/13/2022)</v>
      </c>
      <c r="H6557" s="19"/>
    </row>
    <row r="6558">
      <c r="A6558" s="9"/>
      <c r="B6558" s="15"/>
      <c r="C6558" s="9">
        <f>IFERROR(__xludf.DUMMYFUNCTION("""COMPUTED_VALUE"""),44728.2475939351)</f>
        <v>44728.24759</v>
      </c>
      <c r="D6558" s="15">
        <f>IFERROR(__xludf.DUMMYFUNCTION("""COMPUTED_VALUE"""),1.006)</f>
        <v>1.006</v>
      </c>
      <c r="E6558" s="16">
        <f>IFERROR(__xludf.DUMMYFUNCTION("""COMPUTED_VALUE"""),68.0)</f>
        <v>68</v>
      </c>
      <c r="F6558" s="19" t="str">
        <f>IFERROR(__xludf.DUMMYFUNCTION("""COMPUTED_VALUE"""),"BLACK")</f>
        <v>BLACK</v>
      </c>
      <c r="G6558" s="20" t="str">
        <f>IFERROR(__xludf.DUMMYFUNCTION("""COMPUTED_VALUE"""),"Uncle Sams Cider (5/13/2022)")</f>
        <v>Uncle Sams Cider (5/13/2022)</v>
      </c>
      <c r="H6558" s="19"/>
    </row>
    <row r="6559">
      <c r="A6559" s="9"/>
      <c r="B6559" s="15"/>
      <c r="C6559" s="9">
        <f>IFERROR(__xludf.DUMMYFUNCTION("""COMPUTED_VALUE"""),44728.2371724421)</f>
        <v>44728.23717</v>
      </c>
      <c r="D6559" s="15">
        <f>IFERROR(__xludf.DUMMYFUNCTION("""COMPUTED_VALUE"""),1.006)</f>
        <v>1.006</v>
      </c>
      <c r="E6559" s="16">
        <f>IFERROR(__xludf.DUMMYFUNCTION("""COMPUTED_VALUE"""),69.0)</f>
        <v>69</v>
      </c>
      <c r="F6559" s="19" t="str">
        <f>IFERROR(__xludf.DUMMYFUNCTION("""COMPUTED_VALUE"""),"BLACK")</f>
        <v>BLACK</v>
      </c>
      <c r="G6559" s="20" t="str">
        <f>IFERROR(__xludf.DUMMYFUNCTION("""COMPUTED_VALUE"""),"Uncle Sams Cider (5/13/2022)")</f>
        <v>Uncle Sams Cider (5/13/2022)</v>
      </c>
      <c r="H6559" s="19"/>
    </row>
    <row r="6560">
      <c r="A6560" s="9"/>
      <c r="B6560" s="15"/>
      <c r="C6560" s="9">
        <f>IFERROR(__xludf.DUMMYFUNCTION("""COMPUTED_VALUE"""),44728.2267507523)</f>
        <v>44728.22675</v>
      </c>
      <c r="D6560" s="15">
        <f>IFERROR(__xludf.DUMMYFUNCTION("""COMPUTED_VALUE"""),1.006)</f>
        <v>1.006</v>
      </c>
      <c r="E6560" s="16">
        <f>IFERROR(__xludf.DUMMYFUNCTION("""COMPUTED_VALUE"""),68.0)</f>
        <v>68</v>
      </c>
      <c r="F6560" s="19" t="str">
        <f>IFERROR(__xludf.DUMMYFUNCTION("""COMPUTED_VALUE"""),"BLACK")</f>
        <v>BLACK</v>
      </c>
      <c r="G6560" s="20" t="str">
        <f>IFERROR(__xludf.DUMMYFUNCTION("""COMPUTED_VALUE"""),"Uncle Sams Cider (5/13/2022)")</f>
        <v>Uncle Sams Cider (5/13/2022)</v>
      </c>
      <c r="H6560" s="19"/>
    </row>
    <row r="6561">
      <c r="A6561" s="9"/>
      <c r="B6561" s="15"/>
      <c r="C6561" s="9">
        <f>IFERROR(__xludf.DUMMYFUNCTION("""COMPUTED_VALUE"""),44728.2163303703)</f>
        <v>44728.21633</v>
      </c>
      <c r="D6561" s="15">
        <f>IFERROR(__xludf.DUMMYFUNCTION("""COMPUTED_VALUE"""),1.006)</f>
        <v>1.006</v>
      </c>
      <c r="E6561" s="16">
        <f>IFERROR(__xludf.DUMMYFUNCTION("""COMPUTED_VALUE"""),68.0)</f>
        <v>68</v>
      </c>
      <c r="F6561" s="19" t="str">
        <f>IFERROR(__xludf.DUMMYFUNCTION("""COMPUTED_VALUE"""),"BLACK")</f>
        <v>BLACK</v>
      </c>
      <c r="G6561" s="20" t="str">
        <f>IFERROR(__xludf.DUMMYFUNCTION("""COMPUTED_VALUE"""),"Uncle Sams Cider (5/13/2022)")</f>
        <v>Uncle Sams Cider (5/13/2022)</v>
      </c>
      <c r="H6561" s="19"/>
    </row>
    <row r="6562">
      <c r="A6562" s="9"/>
      <c r="B6562" s="15"/>
      <c r="C6562" s="9">
        <f>IFERROR(__xludf.DUMMYFUNCTION("""COMPUTED_VALUE"""),44728.2058969675)</f>
        <v>44728.2059</v>
      </c>
      <c r="D6562" s="15">
        <f>IFERROR(__xludf.DUMMYFUNCTION("""COMPUTED_VALUE"""),1.006)</f>
        <v>1.006</v>
      </c>
      <c r="E6562" s="16">
        <f>IFERROR(__xludf.DUMMYFUNCTION("""COMPUTED_VALUE"""),68.0)</f>
        <v>68</v>
      </c>
      <c r="F6562" s="19" t="str">
        <f>IFERROR(__xludf.DUMMYFUNCTION("""COMPUTED_VALUE"""),"BLACK")</f>
        <v>BLACK</v>
      </c>
      <c r="G6562" s="20" t="str">
        <f>IFERROR(__xludf.DUMMYFUNCTION("""COMPUTED_VALUE"""),"Uncle Sams Cider (5/13/2022)")</f>
        <v>Uncle Sams Cider (5/13/2022)</v>
      </c>
      <c r="H6562" s="19"/>
    </row>
    <row r="6563">
      <c r="A6563" s="9"/>
      <c r="B6563" s="15"/>
      <c r="C6563" s="9">
        <f>IFERROR(__xludf.DUMMYFUNCTION("""COMPUTED_VALUE"""),44728.1954295833)</f>
        <v>44728.19543</v>
      </c>
      <c r="D6563" s="15">
        <f>IFERROR(__xludf.DUMMYFUNCTION("""COMPUTED_VALUE"""),1.006)</f>
        <v>1.006</v>
      </c>
      <c r="E6563" s="16">
        <f>IFERROR(__xludf.DUMMYFUNCTION("""COMPUTED_VALUE"""),68.0)</f>
        <v>68</v>
      </c>
      <c r="F6563" s="19" t="str">
        <f>IFERROR(__xludf.DUMMYFUNCTION("""COMPUTED_VALUE"""),"BLACK")</f>
        <v>BLACK</v>
      </c>
      <c r="G6563" s="20" t="str">
        <f>IFERROR(__xludf.DUMMYFUNCTION("""COMPUTED_VALUE"""),"Uncle Sams Cider (5/13/2022)")</f>
        <v>Uncle Sams Cider (5/13/2022)</v>
      </c>
      <c r="H6563" s="19"/>
    </row>
    <row r="6564">
      <c r="A6564" s="9"/>
      <c r="B6564" s="15"/>
      <c r="C6564" s="9">
        <f>IFERROR(__xludf.DUMMYFUNCTION("""COMPUTED_VALUE"""),44728.1850097685)</f>
        <v>44728.18501</v>
      </c>
      <c r="D6564" s="15">
        <f>IFERROR(__xludf.DUMMYFUNCTION("""COMPUTED_VALUE"""),1.006)</f>
        <v>1.006</v>
      </c>
      <c r="E6564" s="16">
        <f>IFERROR(__xludf.DUMMYFUNCTION("""COMPUTED_VALUE"""),68.0)</f>
        <v>68</v>
      </c>
      <c r="F6564" s="19" t="str">
        <f>IFERROR(__xludf.DUMMYFUNCTION("""COMPUTED_VALUE"""),"BLACK")</f>
        <v>BLACK</v>
      </c>
      <c r="G6564" s="20" t="str">
        <f>IFERROR(__xludf.DUMMYFUNCTION("""COMPUTED_VALUE"""),"Uncle Sams Cider (5/13/2022)")</f>
        <v>Uncle Sams Cider (5/13/2022)</v>
      </c>
      <c r="H6564" s="19"/>
    </row>
    <row r="6565">
      <c r="A6565" s="9"/>
      <c r="B6565" s="15"/>
      <c r="C6565" s="9">
        <f>IFERROR(__xludf.DUMMYFUNCTION("""COMPUTED_VALUE"""),44728.1745764236)</f>
        <v>44728.17458</v>
      </c>
      <c r="D6565" s="15">
        <f>IFERROR(__xludf.DUMMYFUNCTION("""COMPUTED_VALUE"""),1.006)</f>
        <v>1.006</v>
      </c>
      <c r="E6565" s="16">
        <f>IFERROR(__xludf.DUMMYFUNCTION("""COMPUTED_VALUE"""),68.0)</f>
        <v>68</v>
      </c>
      <c r="F6565" s="19" t="str">
        <f>IFERROR(__xludf.DUMMYFUNCTION("""COMPUTED_VALUE"""),"BLACK")</f>
        <v>BLACK</v>
      </c>
      <c r="G6565" s="20" t="str">
        <f>IFERROR(__xludf.DUMMYFUNCTION("""COMPUTED_VALUE"""),"Uncle Sams Cider (5/13/2022)")</f>
        <v>Uncle Sams Cider (5/13/2022)</v>
      </c>
      <c r="H6565" s="19"/>
    </row>
    <row r="6566">
      <c r="A6566" s="9"/>
      <c r="B6566" s="15"/>
      <c r="C6566" s="9">
        <f>IFERROR(__xludf.DUMMYFUNCTION("""COMPUTED_VALUE"""),44728.1641560532)</f>
        <v>44728.16416</v>
      </c>
      <c r="D6566" s="15">
        <f>IFERROR(__xludf.DUMMYFUNCTION("""COMPUTED_VALUE"""),1.006)</f>
        <v>1.006</v>
      </c>
      <c r="E6566" s="16">
        <f>IFERROR(__xludf.DUMMYFUNCTION("""COMPUTED_VALUE"""),68.0)</f>
        <v>68</v>
      </c>
      <c r="F6566" s="19" t="str">
        <f>IFERROR(__xludf.DUMMYFUNCTION("""COMPUTED_VALUE"""),"BLACK")</f>
        <v>BLACK</v>
      </c>
      <c r="G6566" s="20" t="str">
        <f>IFERROR(__xludf.DUMMYFUNCTION("""COMPUTED_VALUE"""),"Uncle Sams Cider (5/13/2022)")</f>
        <v>Uncle Sams Cider (5/13/2022)</v>
      </c>
      <c r="H6566" s="19"/>
    </row>
    <row r="6567">
      <c r="A6567" s="9"/>
      <c r="B6567" s="15"/>
      <c r="C6567" s="9">
        <f>IFERROR(__xludf.DUMMYFUNCTION("""COMPUTED_VALUE"""),44728.1537358564)</f>
        <v>44728.15374</v>
      </c>
      <c r="D6567" s="15">
        <f>IFERROR(__xludf.DUMMYFUNCTION("""COMPUTED_VALUE"""),1.006)</f>
        <v>1.006</v>
      </c>
      <c r="E6567" s="16">
        <f>IFERROR(__xludf.DUMMYFUNCTION("""COMPUTED_VALUE"""),68.0)</f>
        <v>68</v>
      </c>
      <c r="F6567" s="19" t="str">
        <f>IFERROR(__xludf.DUMMYFUNCTION("""COMPUTED_VALUE"""),"BLACK")</f>
        <v>BLACK</v>
      </c>
      <c r="G6567" s="20" t="str">
        <f>IFERROR(__xludf.DUMMYFUNCTION("""COMPUTED_VALUE"""),"Uncle Sams Cider (5/13/2022)")</f>
        <v>Uncle Sams Cider (5/13/2022)</v>
      </c>
      <c r="H6567" s="19"/>
    </row>
    <row r="6568">
      <c r="A6568" s="9"/>
      <c r="B6568" s="15"/>
      <c r="C6568" s="9">
        <f>IFERROR(__xludf.DUMMYFUNCTION("""COMPUTED_VALUE"""),44728.1433025231)</f>
        <v>44728.1433</v>
      </c>
      <c r="D6568" s="15">
        <f>IFERROR(__xludf.DUMMYFUNCTION("""COMPUTED_VALUE"""),1.006)</f>
        <v>1.006</v>
      </c>
      <c r="E6568" s="16">
        <f>IFERROR(__xludf.DUMMYFUNCTION("""COMPUTED_VALUE"""),68.0)</f>
        <v>68</v>
      </c>
      <c r="F6568" s="19" t="str">
        <f>IFERROR(__xludf.DUMMYFUNCTION("""COMPUTED_VALUE"""),"BLACK")</f>
        <v>BLACK</v>
      </c>
      <c r="G6568" s="20" t="str">
        <f>IFERROR(__xludf.DUMMYFUNCTION("""COMPUTED_VALUE"""),"Uncle Sams Cider (5/13/2022)")</f>
        <v>Uncle Sams Cider (5/13/2022)</v>
      </c>
      <c r="H6568" s="19"/>
    </row>
    <row r="6569">
      <c r="A6569" s="9"/>
      <c r="B6569" s="15"/>
      <c r="C6569" s="9">
        <f>IFERROR(__xludf.DUMMYFUNCTION("""COMPUTED_VALUE"""),44728.1328822569)</f>
        <v>44728.13288</v>
      </c>
      <c r="D6569" s="15">
        <f>IFERROR(__xludf.DUMMYFUNCTION("""COMPUTED_VALUE"""),1.006)</f>
        <v>1.006</v>
      </c>
      <c r="E6569" s="16">
        <f>IFERROR(__xludf.DUMMYFUNCTION("""COMPUTED_VALUE"""),68.0)</f>
        <v>68</v>
      </c>
      <c r="F6569" s="19" t="str">
        <f>IFERROR(__xludf.DUMMYFUNCTION("""COMPUTED_VALUE"""),"BLACK")</f>
        <v>BLACK</v>
      </c>
      <c r="G6569" s="20" t="str">
        <f>IFERROR(__xludf.DUMMYFUNCTION("""COMPUTED_VALUE"""),"Uncle Sams Cider (5/13/2022)")</f>
        <v>Uncle Sams Cider (5/13/2022)</v>
      </c>
      <c r="H6569" s="19"/>
    </row>
    <row r="6570">
      <c r="A6570" s="9"/>
      <c r="B6570" s="15"/>
      <c r="C6570" s="9">
        <f>IFERROR(__xludf.DUMMYFUNCTION("""COMPUTED_VALUE"""),44728.1224606018)</f>
        <v>44728.12246</v>
      </c>
      <c r="D6570" s="15">
        <f>IFERROR(__xludf.DUMMYFUNCTION("""COMPUTED_VALUE"""),1.006)</f>
        <v>1.006</v>
      </c>
      <c r="E6570" s="16">
        <f>IFERROR(__xludf.DUMMYFUNCTION("""COMPUTED_VALUE"""),68.0)</f>
        <v>68</v>
      </c>
      <c r="F6570" s="19" t="str">
        <f>IFERROR(__xludf.DUMMYFUNCTION("""COMPUTED_VALUE"""),"BLACK")</f>
        <v>BLACK</v>
      </c>
      <c r="G6570" s="20" t="str">
        <f>IFERROR(__xludf.DUMMYFUNCTION("""COMPUTED_VALUE"""),"Uncle Sams Cider (5/13/2022)")</f>
        <v>Uncle Sams Cider (5/13/2022)</v>
      </c>
      <c r="H6570" s="19"/>
    </row>
    <row r="6571">
      <c r="A6571" s="9"/>
      <c r="B6571" s="15"/>
      <c r="C6571" s="9">
        <f>IFERROR(__xludf.DUMMYFUNCTION("""COMPUTED_VALUE"""),44728.1120390046)</f>
        <v>44728.11204</v>
      </c>
      <c r="D6571" s="15">
        <f>IFERROR(__xludf.DUMMYFUNCTION("""COMPUTED_VALUE"""),1.006)</f>
        <v>1.006</v>
      </c>
      <c r="E6571" s="16">
        <f>IFERROR(__xludf.DUMMYFUNCTION("""COMPUTED_VALUE"""),68.0)</f>
        <v>68</v>
      </c>
      <c r="F6571" s="19" t="str">
        <f>IFERROR(__xludf.DUMMYFUNCTION("""COMPUTED_VALUE"""),"BLACK")</f>
        <v>BLACK</v>
      </c>
      <c r="G6571" s="20" t="str">
        <f>IFERROR(__xludf.DUMMYFUNCTION("""COMPUTED_VALUE"""),"Uncle Sams Cider (5/13/2022)")</f>
        <v>Uncle Sams Cider (5/13/2022)</v>
      </c>
      <c r="H6571" s="19"/>
    </row>
    <row r="6572">
      <c r="A6572" s="9"/>
      <c r="B6572" s="15"/>
      <c r="C6572" s="9">
        <f>IFERROR(__xludf.DUMMYFUNCTION("""COMPUTED_VALUE"""),44728.1016186921)</f>
        <v>44728.10162</v>
      </c>
      <c r="D6572" s="15">
        <f>IFERROR(__xludf.DUMMYFUNCTION("""COMPUTED_VALUE"""),1.006)</f>
        <v>1.006</v>
      </c>
      <c r="E6572" s="16">
        <f>IFERROR(__xludf.DUMMYFUNCTION("""COMPUTED_VALUE"""),68.0)</f>
        <v>68</v>
      </c>
      <c r="F6572" s="19" t="str">
        <f>IFERROR(__xludf.DUMMYFUNCTION("""COMPUTED_VALUE"""),"BLACK")</f>
        <v>BLACK</v>
      </c>
      <c r="G6572" s="20" t="str">
        <f>IFERROR(__xludf.DUMMYFUNCTION("""COMPUTED_VALUE"""),"Uncle Sams Cider (5/13/2022)")</f>
        <v>Uncle Sams Cider (5/13/2022)</v>
      </c>
      <c r="H6572" s="19"/>
    </row>
    <row r="6573">
      <c r="A6573" s="9"/>
      <c r="B6573" s="15"/>
      <c r="C6573" s="9">
        <f>IFERROR(__xludf.DUMMYFUNCTION("""COMPUTED_VALUE"""),44728.0911974074)</f>
        <v>44728.0912</v>
      </c>
      <c r="D6573" s="15">
        <f>IFERROR(__xludf.DUMMYFUNCTION("""COMPUTED_VALUE"""),1.006)</f>
        <v>1.006</v>
      </c>
      <c r="E6573" s="16">
        <f>IFERROR(__xludf.DUMMYFUNCTION("""COMPUTED_VALUE"""),68.0)</f>
        <v>68</v>
      </c>
      <c r="F6573" s="19" t="str">
        <f>IFERROR(__xludf.DUMMYFUNCTION("""COMPUTED_VALUE"""),"BLACK")</f>
        <v>BLACK</v>
      </c>
      <c r="G6573" s="20" t="str">
        <f>IFERROR(__xludf.DUMMYFUNCTION("""COMPUTED_VALUE"""),"Uncle Sams Cider (5/13/2022)")</f>
        <v>Uncle Sams Cider (5/13/2022)</v>
      </c>
      <c r="H6573" s="19"/>
    </row>
    <row r="6574">
      <c r="A6574" s="9"/>
      <c r="B6574" s="15"/>
      <c r="C6574" s="9">
        <f>IFERROR(__xludf.DUMMYFUNCTION("""COMPUTED_VALUE"""),44728.0807755324)</f>
        <v>44728.08078</v>
      </c>
      <c r="D6574" s="15">
        <f>IFERROR(__xludf.DUMMYFUNCTION("""COMPUTED_VALUE"""),1.006)</f>
        <v>1.006</v>
      </c>
      <c r="E6574" s="16">
        <f>IFERROR(__xludf.DUMMYFUNCTION("""COMPUTED_VALUE"""),68.0)</f>
        <v>68</v>
      </c>
      <c r="F6574" s="19" t="str">
        <f>IFERROR(__xludf.DUMMYFUNCTION("""COMPUTED_VALUE"""),"BLACK")</f>
        <v>BLACK</v>
      </c>
      <c r="G6574" s="20" t="str">
        <f>IFERROR(__xludf.DUMMYFUNCTION("""COMPUTED_VALUE"""),"Uncle Sams Cider (5/13/2022)")</f>
        <v>Uncle Sams Cider (5/13/2022)</v>
      </c>
      <c r="H6574" s="19"/>
    </row>
    <row r="6575">
      <c r="A6575" s="9"/>
      <c r="B6575" s="15"/>
      <c r="C6575" s="9">
        <f>IFERROR(__xludf.DUMMYFUNCTION("""COMPUTED_VALUE"""),44728.0703535069)</f>
        <v>44728.07035</v>
      </c>
      <c r="D6575" s="15">
        <f>IFERROR(__xludf.DUMMYFUNCTION("""COMPUTED_VALUE"""),1.006)</f>
        <v>1.006</v>
      </c>
      <c r="E6575" s="16">
        <f>IFERROR(__xludf.DUMMYFUNCTION("""COMPUTED_VALUE"""),68.0)</f>
        <v>68</v>
      </c>
      <c r="F6575" s="19" t="str">
        <f>IFERROR(__xludf.DUMMYFUNCTION("""COMPUTED_VALUE"""),"BLACK")</f>
        <v>BLACK</v>
      </c>
      <c r="G6575" s="20" t="str">
        <f>IFERROR(__xludf.DUMMYFUNCTION("""COMPUTED_VALUE"""),"Uncle Sams Cider (5/13/2022)")</f>
        <v>Uncle Sams Cider (5/13/2022)</v>
      </c>
      <c r="H6575" s="19"/>
    </row>
    <row r="6576">
      <c r="A6576" s="9"/>
      <c r="B6576" s="15"/>
      <c r="C6576" s="9">
        <f>IFERROR(__xludf.DUMMYFUNCTION("""COMPUTED_VALUE"""),44728.0599331365)</f>
        <v>44728.05993</v>
      </c>
      <c r="D6576" s="15">
        <f>IFERROR(__xludf.DUMMYFUNCTION("""COMPUTED_VALUE"""),1.006)</f>
        <v>1.006</v>
      </c>
      <c r="E6576" s="16">
        <f>IFERROR(__xludf.DUMMYFUNCTION("""COMPUTED_VALUE"""),68.0)</f>
        <v>68</v>
      </c>
      <c r="F6576" s="19" t="str">
        <f>IFERROR(__xludf.DUMMYFUNCTION("""COMPUTED_VALUE"""),"BLACK")</f>
        <v>BLACK</v>
      </c>
      <c r="G6576" s="20" t="str">
        <f>IFERROR(__xludf.DUMMYFUNCTION("""COMPUTED_VALUE"""),"Uncle Sams Cider (5/13/2022)")</f>
        <v>Uncle Sams Cider (5/13/2022)</v>
      </c>
      <c r="H6576" s="19"/>
    </row>
    <row r="6577">
      <c r="A6577" s="9"/>
      <c r="B6577" s="15"/>
      <c r="C6577" s="9">
        <f>IFERROR(__xludf.DUMMYFUNCTION("""COMPUTED_VALUE"""),44728.0495138541)</f>
        <v>44728.04951</v>
      </c>
      <c r="D6577" s="15">
        <f>IFERROR(__xludf.DUMMYFUNCTION("""COMPUTED_VALUE"""),1.006)</f>
        <v>1.006</v>
      </c>
      <c r="E6577" s="16">
        <f>IFERROR(__xludf.DUMMYFUNCTION("""COMPUTED_VALUE"""),68.0)</f>
        <v>68</v>
      </c>
      <c r="F6577" s="19" t="str">
        <f>IFERROR(__xludf.DUMMYFUNCTION("""COMPUTED_VALUE"""),"BLACK")</f>
        <v>BLACK</v>
      </c>
      <c r="G6577" s="20" t="str">
        <f>IFERROR(__xludf.DUMMYFUNCTION("""COMPUTED_VALUE"""),"Uncle Sams Cider (5/13/2022)")</f>
        <v>Uncle Sams Cider (5/13/2022)</v>
      </c>
      <c r="H6577" s="19"/>
    </row>
    <row r="6578">
      <c r="A6578" s="9"/>
      <c r="B6578" s="15"/>
      <c r="C6578" s="9">
        <f>IFERROR(__xludf.DUMMYFUNCTION("""COMPUTED_VALUE"""),44728.0390930092)</f>
        <v>44728.03909</v>
      </c>
      <c r="D6578" s="15">
        <f>IFERROR(__xludf.DUMMYFUNCTION("""COMPUTED_VALUE"""),1.006)</f>
        <v>1.006</v>
      </c>
      <c r="E6578" s="16">
        <f>IFERROR(__xludf.DUMMYFUNCTION("""COMPUTED_VALUE"""),68.0)</f>
        <v>68</v>
      </c>
      <c r="F6578" s="19" t="str">
        <f>IFERROR(__xludf.DUMMYFUNCTION("""COMPUTED_VALUE"""),"BLACK")</f>
        <v>BLACK</v>
      </c>
      <c r="G6578" s="20" t="str">
        <f>IFERROR(__xludf.DUMMYFUNCTION("""COMPUTED_VALUE"""),"Uncle Sams Cider (5/13/2022)")</f>
        <v>Uncle Sams Cider (5/13/2022)</v>
      </c>
      <c r="H6578" s="19"/>
    </row>
    <row r="6579">
      <c r="A6579" s="9"/>
      <c r="B6579" s="15"/>
      <c r="C6579" s="9">
        <f>IFERROR(__xludf.DUMMYFUNCTION("""COMPUTED_VALUE"""),44728.0286591319)</f>
        <v>44728.02866</v>
      </c>
      <c r="D6579" s="15">
        <f>IFERROR(__xludf.DUMMYFUNCTION("""COMPUTED_VALUE"""),1.006)</f>
        <v>1.006</v>
      </c>
      <c r="E6579" s="16">
        <f>IFERROR(__xludf.DUMMYFUNCTION("""COMPUTED_VALUE"""),68.0)</f>
        <v>68</v>
      </c>
      <c r="F6579" s="19" t="str">
        <f>IFERROR(__xludf.DUMMYFUNCTION("""COMPUTED_VALUE"""),"BLACK")</f>
        <v>BLACK</v>
      </c>
      <c r="G6579" s="20" t="str">
        <f>IFERROR(__xludf.DUMMYFUNCTION("""COMPUTED_VALUE"""),"Uncle Sams Cider (5/13/2022)")</f>
        <v>Uncle Sams Cider (5/13/2022)</v>
      </c>
      <c r="H6579" s="19"/>
    </row>
    <row r="6580">
      <c r="A6580" s="9"/>
      <c r="B6580" s="15"/>
      <c r="C6580" s="9">
        <f>IFERROR(__xludf.DUMMYFUNCTION("""COMPUTED_VALUE"""),44728.0182369676)</f>
        <v>44728.01824</v>
      </c>
      <c r="D6580" s="15">
        <f>IFERROR(__xludf.DUMMYFUNCTION("""COMPUTED_VALUE"""),1.006)</f>
        <v>1.006</v>
      </c>
      <c r="E6580" s="16">
        <f>IFERROR(__xludf.DUMMYFUNCTION("""COMPUTED_VALUE"""),68.0)</f>
        <v>68</v>
      </c>
      <c r="F6580" s="19" t="str">
        <f>IFERROR(__xludf.DUMMYFUNCTION("""COMPUTED_VALUE"""),"BLACK")</f>
        <v>BLACK</v>
      </c>
      <c r="G6580" s="20" t="str">
        <f>IFERROR(__xludf.DUMMYFUNCTION("""COMPUTED_VALUE"""),"Uncle Sams Cider (5/13/2022)")</f>
        <v>Uncle Sams Cider (5/13/2022)</v>
      </c>
      <c r="H6580" s="19"/>
    </row>
    <row r="6581">
      <c r="A6581" s="9"/>
      <c r="B6581" s="15"/>
      <c r="C6581" s="9">
        <f>IFERROR(__xludf.DUMMYFUNCTION("""COMPUTED_VALUE"""),44728.0077912615)</f>
        <v>44728.00779</v>
      </c>
      <c r="D6581" s="15">
        <f>IFERROR(__xludf.DUMMYFUNCTION("""COMPUTED_VALUE"""),1.006)</f>
        <v>1.006</v>
      </c>
      <c r="E6581" s="16">
        <f>IFERROR(__xludf.DUMMYFUNCTION("""COMPUTED_VALUE"""),68.0)</f>
        <v>68</v>
      </c>
      <c r="F6581" s="19" t="str">
        <f>IFERROR(__xludf.DUMMYFUNCTION("""COMPUTED_VALUE"""),"BLACK")</f>
        <v>BLACK</v>
      </c>
      <c r="G6581" s="20" t="str">
        <f>IFERROR(__xludf.DUMMYFUNCTION("""COMPUTED_VALUE"""),"Uncle Sams Cider (5/13/2022)")</f>
        <v>Uncle Sams Cider (5/13/2022)</v>
      </c>
      <c r="H6581" s="19"/>
    </row>
    <row r="6582">
      <c r="A6582" s="9"/>
      <c r="B6582" s="15"/>
      <c r="C6582" s="9">
        <f>IFERROR(__xludf.DUMMYFUNCTION("""COMPUTED_VALUE"""),44727.9973694791)</f>
        <v>44727.99737</v>
      </c>
      <c r="D6582" s="15">
        <f>IFERROR(__xludf.DUMMYFUNCTION("""COMPUTED_VALUE"""),1.006)</f>
        <v>1.006</v>
      </c>
      <c r="E6582" s="16">
        <f>IFERROR(__xludf.DUMMYFUNCTION("""COMPUTED_VALUE"""),68.0)</f>
        <v>68</v>
      </c>
      <c r="F6582" s="19" t="str">
        <f>IFERROR(__xludf.DUMMYFUNCTION("""COMPUTED_VALUE"""),"BLACK")</f>
        <v>BLACK</v>
      </c>
      <c r="G6582" s="20" t="str">
        <f>IFERROR(__xludf.DUMMYFUNCTION("""COMPUTED_VALUE"""),"Uncle Sams Cider (5/13/2022)")</f>
        <v>Uncle Sams Cider (5/13/2022)</v>
      </c>
      <c r="H6582" s="19"/>
    </row>
    <row r="6583">
      <c r="A6583" s="9"/>
      <c r="B6583" s="15"/>
      <c r="C6583" s="9">
        <f>IFERROR(__xludf.DUMMYFUNCTION("""COMPUTED_VALUE"""),44727.9869477893)</f>
        <v>44727.98695</v>
      </c>
      <c r="D6583" s="15">
        <f>IFERROR(__xludf.DUMMYFUNCTION("""COMPUTED_VALUE"""),1.006)</f>
        <v>1.006</v>
      </c>
      <c r="E6583" s="16">
        <f>IFERROR(__xludf.DUMMYFUNCTION("""COMPUTED_VALUE"""),68.0)</f>
        <v>68</v>
      </c>
      <c r="F6583" s="19" t="str">
        <f>IFERROR(__xludf.DUMMYFUNCTION("""COMPUTED_VALUE"""),"BLACK")</f>
        <v>BLACK</v>
      </c>
      <c r="G6583" s="20" t="str">
        <f>IFERROR(__xludf.DUMMYFUNCTION("""COMPUTED_VALUE"""),"Uncle Sams Cider (5/13/2022)")</f>
        <v>Uncle Sams Cider (5/13/2022)</v>
      </c>
      <c r="H6583" s="19"/>
    </row>
    <row r="6584">
      <c r="A6584" s="9"/>
      <c r="B6584" s="15"/>
      <c r="C6584" s="9">
        <f>IFERROR(__xludf.DUMMYFUNCTION("""COMPUTED_VALUE"""),44727.9765141666)</f>
        <v>44727.97651</v>
      </c>
      <c r="D6584" s="15">
        <f>IFERROR(__xludf.DUMMYFUNCTION("""COMPUTED_VALUE"""),1.006)</f>
        <v>1.006</v>
      </c>
      <c r="E6584" s="16">
        <f>IFERROR(__xludf.DUMMYFUNCTION("""COMPUTED_VALUE"""),68.0)</f>
        <v>68</v>
      </c>
      <c r="F6584" s="19" t="str">
        <f>IFERROR(__xludf.DUMMYFUNCTION("""COMPUTED_VALUE"""),"BLACK")</f>
        <v>BLACK</v>
      </c>
      <c r="G6584" s="20" t="str">
        <f>IFERROR(__xludf.DUMMYFUNCTION("""COMPUTED_VALUE"""),"Uncle Sams Cider (5/13/2022)")</f>
        <v>Uncle Sams Cider (5/13/2022)</v>
      </c>
      <c r="H6584" s="19"/>
    </row>
    <row r="6585">
      <c r="A6585" s="9"/>
      <c r="B6585" s="15"/>
      <c r="C6585" s="9">
        <f>IFERROR(__xludf.DUMMYFUNCTION("""COMPUTED_VALUE"""),44727.9660572685)</f>
        <v>44727.96606</v>
      </c>
      <c r="D6585" s="15">
        <f>IFERROR(__xludf.DUMMYFUNCTION("""COMPUTED_VALUE"""),1.006)</f>
        <v>1.006</v>
      </c>
      <c r="E6585" s="16">
        <f>IFERROR(__xludf.DUMMYFUNCTION("""COMPUTED_VALUE"""),68.0)</f>
        <v>68</v>
      </c>
      <c r="F6585" s="19" t="str">
        <f>IFERROR(__xludf.DUMMYFUNCTION("""COMPUTED_VALUE"""),"BLACK")</f>
        <v>BLACK</v>
      </c>
      <c r="G6585" s="20" t="str">
        <f>IFERROR(__xludf.DUMMYFUNCTION("""COMPUTED_VALUE"""),"Uncle Sams Cider (5/13/2022)")</f>
        <v>Uncle Sams Cider (5/13/2022)</v>
      </c>
      <c r="H6585" s="19"/>
    </row>
    <row r="6586">
      <c r="A6586" s="9"/>
      <c r="B6586" s="15"/>
      <c r="C6586" s="9">
        <f>IFERROR(__xludf.DUMMYFUNCTION("""COMPUTED_VALUE"""),44727.9556368518)</f>
        <v>44727.95564</v>
      </c>
      <c r="D6586" s="15">
        <f>IFERROR(__xludf.DUMMYFUNCTION("""COMPUTED_VALUE"""),1.006)</f>
        <v>1.006</v>
      </c>
      <c r="E6586" s="16">
        <f>IFERROR(__xludf.DUMMYFUNCTION("""COMPUTED_VALUE"""),68.0)</f>
        <v>68</v>
      </c>
      <c r="F6586" s="19" t="str">
        <f>IFERROR(__xludf.DUMMYFUNCTION("""COMPUTED_VALUE"""),"BLACK")</f>
        <v>BLACK</v>
      </c>
      <c r="G6586" s="20" t="str">
        <f>IFERROR(__xludf.DUMMYFUNCTION("""COMPUTED_VALUE"""),"Uncle Sams Cider (5/13/2022)")</f>
        <v>Uncle Sams Cider (5/13/2022)</v>
      </c>
      <c r="H6586" s="19"/>
    </row>
    <row r="6587">
      <c r="A6587" s="9"/>
      <c r="B6587" s="15"/>
      <c r="C6587" s="9">
        <f>IFERROR(__xludf.DUMMYFUNCTION("""COMPUTED_VALUE"""),44727.9452160185)</f>
        <v>44727.94522</v>
      </c>
      <c r="D6587" s="15">
        <f>IFERROR(__xludf.DUMMYFUNCTION("""COMPUTED_VALUE"""),1.006)</f>
        <v>1.006</v>
      </c>
      <c r="E6587" s="16">
        <f>IFERROR(__xludf.DUMMYFUNCTION("""COMPUTED_VALUE"""),68.0)</f>
        <v>68</v>
      </c>
      <c r="F6587" s="19" t="str">
        <f>IFERROR(__xludf.DUMMYFUNCTION("""COMPUTED_VALUE"""),"BLACK")</f>
        <v>BLACK</v>
      </c>
      <c r="G6587" s="20" t="str">
        <f>IFERROR(__xludf.DUMMYFUNCTION("""COMPUTED_VALUE"""),"Uncle Sams Cider (5/13/2022)")</f>
        <v>Uncle Sams Cider (5/13/2022)</v>
      </c>
      <c r="H6587" s="19"/>
    </row>
    <row r="6588">
      <c r="A6588" s="9"/>
      <c r="B6588" s="15"/>
      <c r="C6588" s="9">
        <f>IFERROR(__xludf.DUMMYFUNCTION("""COMPUTED_VALUE"""),44727.9347828009)</f>
        <v>44727.93478</v>
      </c>
      <c r="D6588" s="15">
        <f>IFERROR(__xludf.DUMMYFUNCTION("""COMPUTED_VALUE"""),1.006)</f>
        <v>1.006</v>
      </c>
      <c r="E6588" s="16">
        <f>IFERROR(__xludf.DUMMYFUNCTION("""COMPUTED_VALUE"""),68.0)</f>
        <v>68</v>
      </c>
      <c r="F6588" s="19" t="str">
        <f>IFERROR(__xludf.DUMMYFUNCTION("""COMPUTED_VALUE"""),"BLACK")</f>
        <v>BLACK</v>
      </c>
      <c r="G6588" s="20" t="str">
        <f>IFERROR(__xludf.DUMMYFUNCTION("""COMPUTED_VALUE"""),"Uncle Sams Cider (5/13/2022)")</f>
        <v>Uncle Sams Cider (5/13/2022)</v>
      </c>
      <c r="H6588" s="19"/>
    </row>
    <row r="6589">
      <c r="A6589" s="9"/>
      <c r="B6589" s="15"/>
      <c r="C6589" s="9">
        <f>IFERROR(__xludf.DUMMYFUNCTION("""COMPUTED_VALUE"""),44727.9243504051)</f>
        <v>44727.92435</v>
      </c>
      <c r="D6589" s="15">
        <f>IFERROR(__xludf.DUMMYFUNCTION("""COMPUTED_VALUE"""),1.006)</f>
        <v>1.006</v>
      </c>
      <c r="E6589" s="16">
        <f>IFERROR(__xludf.DUMMYFUNCTION("""COMPUTED_VALUE"""),68.0)</f>
        <v>68</v>
      </c>
      <c r="F6589" s="19" t="str">
        <f>IFERROR(__xludf.DUMMYFUNCTION("""COMPUTED_VALUE"""),"BLACK")</f>
        <v>BLACK</v>
      </c>
      <c r="G6589" s="20" t="str">
        <f>IFERROR(__xludf.DUMMYFUNCTION("""COMPUTED_VALUE"""),"Uncle Sams Cider (5/13/2022)")</f>
        <v>Uncle Sams Cider (5/13/2022)</v>
      </c>
      <c r="H6589" s="19"/>
    </row>
    <row r="6590">
      <c r="A6590" s="9"/>
      <c r="B6590" s="15"/>
      <c r="C6590" s="9">
        <f>IFERROR(__xludf.DUMMYFUNCTION("""COMPUTED_VALUE"""),44727.9139190393)</f>
        <v>44727.91392</v>
      </c>
      <c r="D6590" s="15">
        <f>IFERROR(__xludf.DUMMYFUNCTION("""COMPUTED_VALUE"""),1.006)</f>
        <v>1.006</v>
      </c>
      <c r="E6590" s="16">
        <f>IFERROR(__xludf.DUMMYFUNCTION("""COMPUTED_VALUE"""),68.0)</f>
        <v>68</v>
      </c>
      <c r="F6590" s="19" t="str">
        <f>IFERROR(__xludf.DUMMYFUNCTION("""COMPUTED_VALUE"""),"BLACK")</f>
        <v>BLACK</v>
      </c>
      <c r="G6590" s="20" t="str">
        <f>IFERROR(__xludf.DUMMYFUNCTION("""COMPUTED_VALUE"""),"Uncle Sams Cider (5/13/2022)")</f>
        <v>Uncle Sams Cider (5/13/2022)</v>
      </c>
      <c r="H6590" s="19"/>
    </row>
    <row r="6591">
      <c r="A6591" s="9"/>
      <c r="B6591" s="15"/>
      <c r="C6591" s="9">
        <f>IFERROR(__xludf.DUMMYFUNCTION("""COMPUTED_VALUE"""),44727.9034986689)</f>
        <v>44727.9035</v>
      </c>
      <c r="D6591" s="15">
        <f>IFERROR(__xludf.DUMMYFUNCTION("""COMPUTED_VALUE"""),1.006)</f>
        <v>1.006</v>
      </c>
      <c r="E6591" s="16">
        <f>IFERROR(__xludf.DUMMYFUNCTION("""COMPUTED_VALUE"""),68.0)</f>
        <v>68</v>
      </c>
      <c r="F6591" s="19" t="str">
        <f>IFERROR(__xludf.DUMMYFUNCTION("""COMPUTED_VALUE"""),"BLACK")</f>
        <v>BLACK</v>
      </c>
      <c r="G6591" s="20" t="str">
        <f>IFERROR(__xludf.DUMMYFUNCTION("""COMPUTED_VALUE"""),"Uncle Sams Cider (5/13/2022)")</f>
        <v>Uncle Sams Cider (5/13/2022)</v>
      </c>
      <c r="H6591" s="19"/>
    </row>
    <row r="6592">
      <c r="A6592" s="9"/>
      <c r="B6592" s="15"/>
      <c r="C6592" s="9">
        <f>IFERROR(__xludf.DUMMYFUNCTION("""COMPUTED_VALUE"""),44727.8930787268)</f>
        <v>44727.89308</v>
      </c>
      <c r="D6592" s="15">
        <f>IFERROR(__xludf.DUMMYFUNCTION("""COMPUTED_VALUE"""),1.006)</f>
        <v>1.006</v>
      </c>
      <c r="E6592" s="16">
        <f>IFERROR(__xludf.DUMMYFUNCTION("""COMPUTED_VALUE"""),68.0)</f>
        <v>68</v>
      </c>
      <c r="F6592" s="19" t="str">
        <f>IFERROR(__xludf.DUMMYFUNCTION("""COMPUTED_VALUE"""),"BLACK")</f>
        <v>BLACK</v>
      </c>
      <c r="G6592" s="20" t="str">
        <f>IFERROR(__xludf.DUMMYFUNCTION("""COMPUTED_VALUE"""),"Uncle Sams Cider (5/13/2022)")</f>
        <v>Uncle Sams Cider (5/13/2022)</v>
      </c>
      <c r="H6592" s="19"/>
    </row>
    <row r="6593">
      <c r="A6593" s="9"/>
      <c r="B6593" s="15"/>
      <c r="C6593" s="9">
        <f>IFERROR(__xludf.DUMMYFUNCTION("""COMPUTED_VALUE"""),44727.882645405)</f>
        <v>44727.88265</v>
      </c>
      <c r="D6593" s="15">
        <f>IFERROR(__xludf.DUMMYFUNCTION("""COMPUTED_VALUE"""),1.006)</f>
        <v>1.006</v>
      </c>
      <c r="E6593" s="16">
        <f>IFERROR(__xludf.DUMMYFUNCTION("""COMPUTED_VALUE"""),68.0)</f>
        <v>68</v>
      </c>
      <c r="F6593" s="19" t="str">
        <f>IFERROR(__xludf.DUMMYFUNCTION("""COMPUTED_VALUE"""),"BLACK")</f>
        <v>BLACK</v>
      </c>
      <c r="G6593" s="20" t="str">
        <f>IFERROR(__xludf.DUMMYFUNCTION("""COMPUTED_VALUE"""),"Uncle Sams Cider (5/13/2022)")</f>
        <v>Uncle Sams Cider (5/13/2022)</v>
      </c>
      <c r="H6593" s="19"/>
    </row>
    <row r="6594">
      <c r="A6594" s="9"/>
      <c r="B6594" s="15"/>
      <c r="C6594" s="9">
        <f>IFERROR(__xludf.DUMMYFUNCTION("""COMPUTED_VALUE"""),44727.8722124884)</f>
        <v>44727.87221</v>
      </c>
      <c r="D6594" s="15">
        <f>IFERROR(__xludf.DUMMYFUNCTION("""COMPUTED_VALUE"""),1.006)</f>
        <v>1.006</v>
      </c>
      <c r="E6594" s="16">
        <f>IFERROR(__xludf.DUMMYFUNCTION("""COMPUTED_VALUE"""),68.0)</f>
        <v>68</v>
      </c>
      <c r="F6594" s="19" t="str">
        <f>IFERROR(__xludf.DUMMYFUNCTION("""COMPUTED_VALUE"""),"BLACK")</f>
        <v>BLACK</v>
      </c>
      <c r="G6594" s="20" t="str">
        <f>IFERROR(__xludf.DUMMYFUNCTION("""COMPUTED_VALUE"""),"Uncle Sams Cider (5/13/2022)")</f>
        <v>Uncle Sams Cider (5/13/2022)</v>
      </c>
      <c r="H6594" s="19"/>
    </row>
    <row r="6595">
      <c r="A6595" s="9"/>
      <c r="B6595" s="15"/>
      <c r="C6595" s="9">
        <f>IFERROR(__xludf.DUMMYFUNCTION("""COMPUTED_VALUE"""),44727.8617935879)</f>
        <v>44727.86179</v>
      </c>
      <c r="D6595" s="15">
        <f>IFERROR(__xludf.DUMMYFUNCTION("""COMPUTED_VALUE"""),1.006)</f>
        <v>1.006</v>
      </c>
      <c r="E6595" s="16">
        <f>IFERROR(__xludf.DUMMYFUNCTION("""COMPUTED_VALUE"""),68.0)</f>
        <v>68</v>
      </c>
      <c r="F6595" s="19" t="str">
        <f>IFERROR(__xludf.DUMMYFUNCTION("""COMPUTED_VALUE"""),"BLACK")</f>
        <v>BLACK</v>
      </c>
      <c r="G6595" s="20" t="str">
        <f>IFERROR(__xludf.DUMMYFUNCTION("""COMPUTED_VALUE"""),"Uncle Sams Cider (5/13/2022)")</f>
        <v>Uncle Sams Cider (5/13/2022)</v>
      </c>
      <c r="H6595" s="19"/>
    </row>
    <row r="6596">
      <c r="A6596" s="9"/>
      <c r="B6596" s="15"/>
      <c r="C6596" s="9">
        <f>IFERROR(__xludf.DUMMYFUNCTION("""COMPUTED_VALUE"""),44727.8513611226)</f>
        <v>44727.85136</v>
      </c>
      <c r="D6596" s="15">
        <f>IFERROR(__xludf.DUMMYFUNCTION("""COMPUTED_VALUE"""),1.006)</f>
        <v>1.006</v>
      </c>
      <c r="E6596" s="16">
        <f>IFERROR(__xludf.DUMMYFUNCTION("""COMPUTED_VALUE"""),68.0)</f>
        <v>68</v>
      </c>
      <c r="F6596" s="19" t="str">
        <f>IFERROR(__xludf.DUMMYFUNCTION("""COMPUTED_VALUE"""),"BLACK")</f>
        <v>BLACK</v>
      </c>
      <c r="G6596" s="20" t="str">
        <f>IFERROR(__xludf.DUMMYFUNCTION("""COMPUTED_VALUE"""),"Uncle Sams Cider (5/13/2022)")</f>
        <v>Uncle Sams Cider (5/13/2022)</v>
      </c>
      <c r="H6596" s="19"/>
    </row>
    <row r="6597">
      <c r="A6597" s="9"/>
      <c r="B6597" s="15"/>
      <c r="C6597" s="9">
        <f>IFERROR(__xludf.DUMMYFUNCTION("""COMPUTED_VALUE"""),44727.8409174768)</f>
        <v>44727.84092</v>
      </c>
      <c r="D6597" s="15">
        <f>IFERROR(__xludf.DUMMYFUNCTION("""COMPUTED_VALUE"""),1.006)</f>
        <v>1.006</v>
      </c>
      <c r="E6597" s="16">
        <f>IFERROR(__xludf.DUMMYFUNCTION("""COMPUTED_VALUE"""),68.0)</f>
        <v>68</v>
      </c>
      <c r="F6597" s="19" t="str">
        <f>IFERROR(__xludf.DUMMYFUNCTION("""COMPUTED_VALUE"""),"BLACK")</f>
        <v>BLACK</v>
      </c>
      <c r="G6597" s="20" t="str">
        <f>IFERROR(__xludf.DUMMYFUNCTION("""COMPUTED_VALUE"""),"Uncle Sams Cider (5/13/2022)")</f>
        <v>Uncle Sams Cider (5/13/2022)</v>
      </c>
      <c r="H6597" s="19"/>
    </row>
    <row r="6598">
      <c r="A6598" s="9"/>
      <c r="B6598" s="15"/>
      <c r="C6598" s="9">
        <f>IFERROR(__xludf.DUMMYFUNCTION("""COMPUTED_VALUE"""),44727.8304966666)</f>
        <v>44727.8305</v>
      </c>
      <c r="D6598" s="15">
        <f>IFERROR(__xludf.DUMMYFUNCTION("""COMPUTED_VALUE"""),1.006)</f>
        <v>1.006</v>
      </c>
      <c r="E6598" s="16">
        <f>IFERROR(__xludf.DUMMYFUNCTION("""COMPUTED_VALUE"""),68.0)</f>
        <v>68</v>
      </c>
      <c r="F6598" s="19" t="str">
        <f>IFERROR(__xludf.DUMMYFUNCTION("""COMPUTED_VALUE"""),"BLACK")</f>
        <v>BLACK</v>
      </c>
      <c r="G6598" s="20" t="str">
        <f>IFERROR(__xludf.DUMMYFUNCTION("""COMPUTED_VALUE"""),"Uncle Sams Cider (5/13/2022)")</f>
        <v>Uncle Sams Cider (5/13/2022)</v>
      </c>
      <c r="H6598" s="19"/>
    </row>
    <row r="6599">
      <c r="A6599" s="9"/>
      <c r="B6599" s="15"/>
      <c r="C6599" s="9">
        <f>IFERROR(__xludf.DUMMYFUNCTION("""COMPUTED_VALUE"""),44727.8200751388)</f>
        <v>44727.82008</v>
      </c>
      <c r="D6599" s="15">
        <f>IFERROR(__xludf.DUMMYFUNCTION("""COMPUTED_VALUE"""),1.006)</f>
        <v>1.006</v>
      </c>
      <c r="E6599" s="16">
        <f>IFERROR(__xludf.DUMMYFUNCTION("""COMPUTED_VALUE"""),68.0)</f>
        <v>68</v>
      </c>
      <c r="F6599" s="19" t="str">
        <f>IFERROR(__xludf.DUMMYFUNCTION("""COMPUTED_VALUE"""),"BLACK")</f>
        <v>BLACK</v>
      </c>
      <c r="G6599" s="20" t="str">
        <f>IFERROR(__xludf.DUMMYFUNCTION("""COMPUTED_VALUE"""),"Uncle Sams Cider (5/13/2022)")</f>
        <v>Uncle Sams Cider (5/13/2022)</v>
      </c>
      <c r="H6599" s="19"/>
    </row>
    <row r="6600">
      <c r="A6600" s="9"/>
      <c r="B6600" s="15"/>
      <c r="C6600" s="9">
        <f>IFERROR(__xludf.DUMMYFUNCTION("""COMPUTED_VALUE"""),44727.8096408912)</f>
        <v>44727.80964</v>
      </c>
      <c r="D6600" s="15">
        <f>IFERROR(__xludf.DUMMYFUNCTION("""COMPUTED_VALUE"""),1.006)</f>
        <v>1.006</v>
      </c>
      <c r="E6600" s="16">
        <f>IFERROR(__xludf.DUMMYFUNCTION("""COMPUTED_VALUE"""),68.0)</f>
        <v>68</v>
      </c>
      <c r="F6600" s="19" t="str">
        <f>IFERROR(__xludf.DUMMYFUNCTION("""COMPUTED_VALUE"""),"BLACK")</f>
        <v>BLACK</v>
      </c>
      <c r="G6600" s="20" t="str">
        <f>IFERROR(__xludf.DUMMYFUNCTION("""COMPUTED_VALUE"""),"Uncle Sams Cider (5/13/2022)")</f>
        <v>Uncle Sams Cider (5/13/2022)</v>
      </c>
      <c r="H6600" s="19"/>
    </row>
    <row r="6601">
      <c r="A6601" s="9"/>
      <c r="B6601" s="15"/>
      <c r="C6601" s="9">
        <f>IFERROR(__xludf.DUMMYFUNCTION("""COMPUTED_VALUE"""),44727.7992215046)</f>
        <v>44727.79922</v>
      </c>
      <c r="D6601" s="15">
        <f>IFERROR(__xludf.DUMMYFUNCTION("""COMPUTED_VALUE"""),1.006)</f>
        <v>1.006</v>
      </c>
      <c r="E6601" s="16">
        <f>IFERROR(__xludf.DUMMYFUNCTION("""COMPUTED_VALUE"""),68.0)</f>
        <v>68</v>
      </c>
      <c r="F6601" s="19" t="str">
        <f>IFERROR(__xludf.DUMMYFUNCTION("""COMPUTED_VALUE"""),"BLACK")</f>
        <v>BLACK</v>
      </c>
      <c r="G6601" s="20" t="str">
        <f>IFERROR(__xludf.DUMMYFUNCTION("""COMPUTED_VALUE"""),"Uncle Sams Cider (5/13/2022)")</f>
        <v>Uncle Sams Cider (5/13/2022)</v>
      </c>
      <c r="H6601" s="19"/>
    </row>
    <row r="6602">
      <c r="A6602" s="9"/>
      <c r="B6602" s="15"/>
      <c r="C6602" s="9">
        <f>IFERROR(__xludf.DUMMYFUNCTION("""COMPUTED_VALUE"""),44727.7888003125)</f>
        <v>44727.7888</v>
      </c>
      <c r="D6602" s="15">
        <f>IFERROR(__xludf.DUMMYFUNCTION("""COMPUTED_VALUE"""),1.006)</f>
        <v>1.006</v>
      </c>
      <c r="E6602" s="16">
        <f>IFERROR(__xludf.DUMMYFUNCTION("""COMPUTED_VALUE"""),68.0)</f>
        <v>68</v>
      </c>
      <c r="F6602" s="19" t="str">
        <f>IFERROR(__xludf.DUMMYFUNCTION("""COMPUTED_VALUE"""),"BLACK")</f>
        <v>BLACK</v>
      </c>
      <c r="G6602" s="20" t="str">
        <f>IFERROR(__xludf.DUMMYFUNCTION("""COMPUTED_VALUE"""),"Uncle Sams Cider (5/13/2022)")</f>
        <v>Uncle Sams Cider (5/13/2022)</v>
      </c>
      <c r="H6602" s="19"/>
    </row>
    <row r="6603">
      <c r="A6603" s="9"/>
      <c r="B6603" s="15"/>
      <c r="C6603" s="9">
        <f>IFERROR(__xludf.DUMMYFUNCTION("""COMPUTED_VALUE"""),44727.778378831)</f>
        <v>44727.77838</v>
      </c>
      <c r="D6603" s="15">
        <f>IFERROR(__xludf.DUMMYFUNCTION("""COMPUTED_VALUE"""),1.006)</f>
        <v>1.006</v>
      </c>
      <c r="E6603" s="16">
        <f>IFERROR(__xludf.DUMMYFUNCTION("""COMPUTED_VALUE"""),68.0)</f>
        <v>68</v>
      </c>
      <c r="F6603" s="19" t="str">
        <f>IFERROR(__xludf.DUMMYFUNCTION("""COMPUTED_VALUE"""),"BLACK")</f>
        <v>BLACK</v>
      </c>
      <c r="G6603" s="20" t="str">
        <f>IFERROR(__xludf.DUMMYFUNCTION("""COMPUTED_VALUE"""),"Uncle Sams Cider (5/13/2022)")</f>
        <v>Uncle Sams Cider (5/13/2022)</v>
      </c>
      <c r="H6603" s="19"/>
    </row>
    <row r="6604">
      <c r="A6604" s="9"/>
      <c r="B6604" s="15"/>
      <c r="C6604" s="9">
        <f>IFERROR(__xludf.DUMMYFUNCTION("""COMPUTED_VALUE"""),44727.7679584027)</f>
        <v>44727.76796</v>
      </c>
      <c r="D6604" s="15">
        <f>IFERROR(__xludf.DUMMYFUNCTION("""COMPUTED_VALUE"""),1.006)</f>
        <v>1.006</v>
      </c>
      <c r="E6604" s="16">
        <f>IFERROR(__xludf.DUMMYFUNCTION("""COMPUTED_VALUE"""),68.0)</f>
        <v>68</v>
      </c>
      <c r="F6604" s="19" t="str">
        <f>IFERROR(__xludf.DUMMYFUNCTION("""COMPUTED_VALUE"""),"BLACK")</f>
        <v>BLACK</v>
      </c>
      <c r="G6604" s="20" t="str">
        <f>IFERROR(__xludf.DUMMYFUNCTION("""COMPUTED_VALUE"""),"Uncle Sams Cider (5/13/2022)")</f>
        <v>Uncle Sams Cider (5/13/2022)</v>
      </c>
      <c r="H6604" s="19"/>
    </row>
    <row r="6605">
      <c r="A6605" s="9"/>
      <c r="B6605" s="15"/>
      <c r="C6605" s="9">
        <f>IFERROR(__xludf.DUMMYFUNCTION("""COMPUTED_VALUE"""),44727.7575384838)</f>
        <v>44727.75754</v>
      </c>
      <c r="D6605" s="15">
        <f>IFERROR(__xludf.DUMMYFUNCTION("""COMPUTED_VALUE"""),1.006)</f>
        <v>1.006</v>
      </c>
      <c r="E6605" s="16">
        <f>IFERROR(__xludf.DUMMYFUNCTION("""COMPUTED_VALUE"""),68.0)</f>
        <v>68</v>
      </c>
      <c r="F6605" s="19" t="str">
        <f>IFERROR(__xludf.DUMMYFUNCTION("""COMPUTED_VALUE"""),"BLACK")</f>
        <v>BLACK</v>
      </c>
      <c r="G6605" s="20" t="str">
        <f>IFERROR(__xludf.DUMMYFUNCTION("""COMPUTED_VALUE"""),"Uncle Sams Cider (5/13/2022)")</f>
        <v>Uncle Sams Cider (5/13/2022)</v>
      </c>
      <c r="H6605" s="19"/>
    </row>
    <row r="6606">
      <c r="A6606" s="9"/>
      <c r="B6606" s="15"/>
      <c r="C6606" s="9">
        <f>IFERROR(__xludf.DUMMYFUNCTION("""COMPUTED_VALUE"""),44727.7470945138)</f>
        <v>44727.74709</v>
      </c>
      <c r="D6606" s="15">
        <f>IFERROR(__xludf.DUMMYFUNCTION("""COMPUTED_VALUE"""),1.006)</f>
        <v>1.006</v>
      </c>
      <c r="E6606" s="16">
        <f>IFERROR(__xludf.DUMMYFUNCTION("""COMPUTED_VALUE"""),68.0)</f>
        <v>68</v>
      </c>
      <c r="F6606" s="19" t="str">
        <f>IFERROR(__xludf.DUMMYFUNCTION("""COMPUTED_VALUE"""),"BLACK")</f>
        <v>BLACK</v>
      </c>
      <c r="G6606" s="20" t="str">
        <f>IFERROR(__xludf.DUMMYFUNCTION("""COMPUTED_VALUE"""),"Uncle Sams Cider (5/13/2022)")</f>
        <v>Uncle Sams Cider (5/13/2022)</v>
      </c>
      <c r="H6606" s="19"/>
    </row>
    <row r="6607">
      <c r="A6607" s="9"/>
      <c r="B6607" s="15"/>
      <c r="C6607" s="9">
        <f>IFERROR(__xludf.DUMMYFUNCTION("""COMPUTED_VALUE"""),44727.736670949)</f>
        <v>44727.73667</v>
      </c>
      <c r="D6607" s="15">
        <f>IFERROR(__xludf.DUMMYFUNCTION("""COMPUTED_VALUE"""),1.006)</f>
        <v>1.006</v>
      </c>
      <c r="E6607" s="16">
        <f>IFERROR(__xludf.DUMMYFUNCTION("""COMPUTED_VALUE"""),68.0)</f>
        <v>68</v>
      </c>
      <c r="F6607" s="19" t="str">
        <f>IFERROR(__xludf.DUMMYFUNCTION("""COMPUTED_VALUE"""),"BLACK")</f>
        <v>BLACK</v>
      </c>
      <c r="G6607" s="20" t="str">
        <f>IFERROR(__xludf.DUMMYFUNCTION("""COMPUTED_VALUE"""),"Uncle Sams Cider (5/13/2022)")</f>
        <v>Uncle Sams Cider (5/13/2022)</v>
      </c>
      <c r="H6607" s="19"/>
    </row>
    <row r="6608">
      <c r="A6608" s="9"/>
      <c r="B6608" s="15"/>
      <c r="C6608" s="9">
        <f>IFERROR(__xludf.DUMMYFUNCTION("""COMPUTED_VALUE"""),44727.7262500463)</f>
        <v>44727.72625</v>
      </c>
      <c r="D6608" s="15">
        <f>IFERROR(__xludf.DUMMYFUNCTION("""COMPUTED_VALUE"""),1.006)</f>
        <v>1.006</v>
      </c>
      <c r="E6608" s="16">
        <f>IFERROR(__xludf.DUMMYFUNCTION("""COMPUTED_VALUE"""),68.0)</f>
        <v>68</v>
      </c>
      <c r="F6608" s="19" t="str">
        <f>IFERROR(__xludf.DUMMYFUNCTION("""COMPUTED_VALUE"""),"BLACK")</f>
        <v>BLACK</v>
      </c>
      <c r="G6608" s="20" t="str">
        <f>IFERROR(__xludf.DUMMYFUNCTION("""COMPUTED_VALUE"""),"Uncle Sams Cider (5/13/2022)")</f>
        <v>Uncle Sams Cider (5/13/2022)</v>
      </c>
      <c r="H6608" s="19"/>
    </row>
    <row r="6609">
      <c r="A6609" s="9"/>
      <c r="B6609" s="15"/>
      <c r="C6609" s="9">
        <f>IFERROR(__xludf.DUMMYFUNCTION("""COMPUTED_VALUE"""),44727.7158281944)</f>
        <v>44727.71583</v>
      </c>
      <c r="D6609" s="15">
        <f>IFERROR(__xludf.DUMMYFUNCTION("""COMPUTED_VALUE"""),1.006)</f>
        <v>1.006</v>
      </c>
      <c r="E6609" s="16">
        <f>IFERROR(__xludf.DUMMYFUNCTION("""COMPUTED_VALUE"""),68.0)</f>
        <v>68</v>
      </c>
      <c r="F6609" s="19" t="str">
        <f>IFERROR(__xludf.DUMMYFUNCTION("""COMPUTED_VALUE"""),"BLACK")</f>
        <v>BLACK</v>
      </c>
      <c r="G6609" s="20" t="str">
        <f>IFERROR(__xludf.DUMMYFUNCTION("""COMPUTED_VALUE"""),"Uncle Sams Cider (5/13/2022)")</f>
        <v>Uncle Sams Cider (5/13/2022)</v>
      </c>
      <c r="H6609" s="19"/>
    </row>
    <row r="6610">
      <c r="A6610" s="9"/>
      <c r="B6610" s="15"/>
      <c r="C6610" s="9">
        <f>IFERROR(__xludf.DUMMYFUNCTION("""COMPUTED_VALUE"""),44727.7054079398)</f>
        <v>44727.70541</v>
      </c>
      <c r="D6610" s="15">
        <f>IFERROR(__xludf.DUMMYFUNCTION("""COMPUTED_VALUE"""),1.006)</f>
        <v>1.006</v>
      </c>
      <c r="E6610" s="16">
        <f>IFERROR(__xludf.DUMMYFUNCTION("""COMPUTED_VALUE"""),68.0)</f>
        <v>68</v>
      </c>
      <c r="F6610" s="19" t="str">
        <f>IFERROR(__xludf.DUMMYFUNCTION("""COMPUTED_VALUE"""),"BLACK")</f>
        <v>BLACK</v>
      </c>
      <c r="G6610" s="20" t="str">
        <f>IFERROR(__xludf.DUMMYFUNCTION("""COMPUTED_VALUE"""),"Uncle Sams Cider (5/13/2022)")</f>
        <v>Uncle Sams Cider (5/13/2022)</v>
      </c>
      <c r="H6610" s="19"/>
    </row>
    <row r="6611">
      <c r="A6611" s="9"/>
      <c r="B6611" s="15"/>
      <c r="C6611" s="9">
        <f>IFERROR(__xludf.DUMMYFUNCTION("""COMPUTED_VALUE"""),44727.6949879166)</f>
        <v>44727.69499</v>
      </c>
      <c r="D6611" s="15">
        <f>IFERROR(__xludf.DUMMYFUNCTION("""COMPUTED_VALUE"""),1.006)</f>
        <v>1.006</v>
      </c>
      <c r="E6611" s="16">
        <f>IFERROR(__xludf.DUMMYFUNCTION("""COMPUTED_VALUE"""),68.0)</f>
        <v>68</v>
      </c>
      <c r="F6611" s="19" t="str">
        <f>IFERROR(__xludf.DUMMYFUNCTION("""COMPUTED_VALUE"""),"BLACK")</f>
        <v>BLACK</v>
      </c>
      <c r="G6611" s="20" t="str">
        <f>IFERROR(__xludf.DUMMYFUNCTION("""COMPUTED_VALUE"""),"Uncle Sams Cider (5/13/2022)")</f>
        <v>Uncle Sams Cider (5/13/2022)</v>
      </c>
      <c r="H6611" s="19"/>
    </row>
    <row r="6612">
      <c r="A6612" s="9"/>
      <c r="B6612" s="15"/>
      <c r="C6612" s="9">
        <f>IFERROR(__xludf.DUMMYFUNCTION("""COMPUTED_VALUE"""),44727.6845681481)</f>
        <v>44727.68457</v>
      </c>
      <c r="D6612" s="15">
        <f>IFERROR(__xludf.DUMMYFUNCTION("""COMPUTED_VALUE"""),1.006)</f>
        <v>1.006</v>
      </c>
      <c r="E6612" s="16">
        <f>IFERROR(__xludf.DUMMYFUNCTION("""COMPUTED_VALUE"""),68.0)</f>
        <v>68</v>
      </c>
      <c r="F6612" s="19" t="str">
        <f>IFERROR(__xludf.DUMMYFUNCTION("""COMPUTED_VALUE"""),"BLACK")</f>
        <v>BLACK</v>
      </c>
      <c r="G6612" s="20" t="str">
        <f>IFERROR(__xludf.DUMMYFUNCTION("""COMPUTED_VALUE"""),"Uncle Sams Cider (5/13/2022)")</f>
        <v>Uncle Sams Cider (5/13/2022)</v>
      </c>
      <c r="H6612" s="19"/>
    </row>
    <row r="6613">
      <c r="A6613" s="9"/>
      <c r="B6613" s="15"/>
      <c r="C6613" s="9">
        <f>IFERROR(__xludf.DUMMYFUNCTION("""COMPUTED_VALUE"""),44727.6637115393)</f>
        <v>44727.66371</v>
      </c>
      <c r="D6613" s="15">
        <f>IFERROR(__xludf.DUMMYFUNCTION("""COMPUTED_VALUE"""),1.006)</f>
        <v>1.006</v>
      </c>
      <c r="E6613" s="16">
        <f>IFERROR(__xludf.DUMMYFUNCTION("""COMPUTED_VALUE"""),68.0)</f>
        <v>68</v>
      </c>
      <c r="F6613" s="19" t="str">
        <f>IFERROR(__xludf.DUMMYFUNCTION("""COMPUTED_VALUE"""),"BLACK")</f>
        <v>BLACK</v>
      </c>
      <c r="G6613" s="20" t="str">
        <f>IFERROR(__xludf.DUMMYFUNCTION("""COMPUTED_VALUE"""),"Uncle Sams Cider (5/13/2022)")</f>
        <v>Uncle Sams Cider (5/13/2022)</v>
      </c>
      <c r="H6613" s="19"/>
    </row>
    <row r="6614">
      <c r="A6614" s="9"/>
      <c r="B6614" s="15"/>
      <c r="C6614" s="9">
        <f>IFERROR(__xludf.DUMMYFUNCTION("""COMPUTED_VALUE"""),44727.6532899305)</f>
        <v>44727.65329</v>
      </c>
      <c r="D6614" s="15">
        <f>IFERROR(__xludf.DUMMYFUNCTION("""COMPUTED_VALUE"""),1.006)</f>
        <v>1.006</v>
      </c>
      <c r="E6614" s="16">
        <f>IFERROR(__xludf.DUMMYFUNCTION("""COMPUTED_VALUE"""),68.0)</f>
        <v>68</v>
      </c>
      <c r="F6614" s="19" t="str">
        <f>IFERROR(__xludf.DUMMYFUNCTION("""COMPUTED_VALUE"""),"BLACK")</f>
        <v>BLACK</v>
      </c>
      <c r="G6614" s="20" t="str">
        <f>IFERROR(__xludf.DUMMYFUNCTION("""COMPUTED_VALUE"""),"Uncle Sams Cider (5/13/2022)")</f>
        <v>Uncle Sams Cider (5/13/2022)</v>
      </c>
      <c r="H6614" s="19"/>
    </row>
    <row r="6615">
      <c r="A6615" s="9"/>
      <c r="B6615" s="15"/>
      <c r="C6615" s="9">
        <f>IFERROR(__xludf.DUMMYFUNCTION("""COMPUTED_VALUE"""),44727.6428684027)</f>
        <v>44727.64287</v>
      </c>
      <c r="D6615" s="15">
        <f>IFERROR(__xludf.DUMMYFUNCTION("""COMPUTED_VALUE"""),1.006)</f>
        <v>1.006</v>
      </c>
      <c r="E6615" s="16">
        <f>IFERROR(__xludf.DUMMYFUNCTION("""COMPUTED_VALUE"""),68.0)</f>
        <v>68</v>
      </c>
      <c r="F6615" s="19" t="str">
        <f>IFERROR(__xludf.DUMMYFUNCTION("""COMPUTED_VALUE"""),"BLACK")</f>
        <v>BLACK</v>
      </c>
      <c r="G6615" s="20" t="str">
        <f>IFERROR(__xludf.DUMMYFUNCTION("""COMPUTED_VALUE"""),"Uncle Sams Cider (5/13/2022)")</f>
        <v>Uncle Sams Cider (5/13/2022)</v>
      </c>
      <c r="H6615" s="19"/>
    </row>
    <row r="6616">
      <c r="A6616" s="9"/>
      <c r="B6616" s="15"/>
      <c r="C6616" s="9">
        <f>IFERROR(__xludf.DUMMYFUNCTION("""COMPUTED_VALUE"""),44727.6324476504)</f>
        <v>44727.63245</v>
      </c>
      <c r="D6616" s="15">
        <f>IFERROR(__xludf.DUMMYFUNCTION("""COMPUTED_VALUE"""),1.006)</f>
        <v>1.006</v>
      </c>
      <c r="E6616" s="16">
        <f>IFERROR(__xludf.DUMMYFUNCTION("""COMPUTED_VALUE"""),68.0)</f>
        <v>68</v>
      </c>
      <c r="F6616" s="19" t="str">
        <f>IFERROR(__xludf.DUMMYFUNCTION("""COMPUTED_VALUE"""),"BLACK")</f>
        <v>BLACK</v>
      </c>
      <c r="G6616" s="20" t="str">
        <f>IFERROR(__xludf.DUMMYFUNCTION("""COMPUTED_VALUE"""),"Uncle Sams Cider (5/13/2022)")</f>
        <v>Uncle Sams Cider (5/13/2022)</v>
      </c>
      <c r="H6616" s="19"/>
    </row>
    <row r="6617">
      <c r="A6617" s="9"/>
      <c r="B6617" s="15"/>
      <c r="C6617" s="9">
        <f>IFERROR(__xludf.DUMMYFUNCTION("""COMPUTED_VALUE"""),44727.6220147222)</f>
        <v>44727.62201</v>
      </c>
      <c r="D6617" s="15">
        <f>IFERROR(__xludf.DUMMYFUNCTION("""COMPUTED_VALUE"""),1.006)</f>
        <v>1.006</v>
      </c>
      <c r="E6617" s="16">
        <f>IFERROR(__xludf.DUMMYFUNCTION("""COMPUTED_VALUE"""),68.0)</f>
        <v>68</v>
      </c>
      <c r="F6617" s="19" t="str">
        <f>IFERROR(__xludf.DUMMYFUNCTION("""COMPUTED_VALUE"""),"BLACK")</f>
        <v>BLACK</v>
      </c>
      <c r="G6617" s="20" t="str">
        <f>IFERROR(__xludf.DUMMYFUNCTION("""COMPUTED_VALUE"""),"Uncle Sams Cider (5/13/2022)")</f>
        <v>Uncle Sams Cider (5/13/2022)</v>
      </c>
      <c r="H6617" s="19"/>
    </row>
    <row r="6618">
      <c r="A6618" s="9"/>
      <c r="B6618" s="15"/>
      <c r="C6618" s="9">
        <f>IFERROR(__xludf.DUMMYFUNCTION("""COMPUTED_VALUE"""),44727.6115928588)</f>
        <v>44727.61159</v>
      </c>
      <c r="D6618" s="15">
        <f>IFERROR(__xludf.DUMMYFUNCTION("""COMPUTED_VALUE"""),1.006)</f>
        <v>1.006</v>
      </c>
      <c r="E6618" s="16">
        <f>IFERROR(__xludf.DUMMYFUNCTION("""COMPUTED_VALUE"""),67.0)</f>
        <v>67</v>
      </c>
      <c r="F6618" s="19" t="str">
        <f>IFERROR(__xludf.DUMMYFUNCTION("""COMPUTED_VALUE"""),"BLACK")</f>
        <v>BLACK</v>
      </c>
      <c r="G6618" s="20" t="str">
        <f>IFERROR(__xludf.DUMMYFUNCTION("""COMPUTED_VALUE"""),"Uncle Sams Cider (5/13/2022)")</f>
        <v>Uncle Sams Cider (5/13/2022)</v>
      </c>
      <c r="H6618" s="19"/>
    </row>
    <row r="6619">
      <c r="A6619" s="9"/>
      <c r="B6619" s="15"/>
      <c r="C6619" s="9">
        <f>IFERROR(__xludf.DUMMYFUNCTION("""COMPUTED_VALUE"""),44727.6011732986)</f>
        <v>44727.60117</v>
      </c>
      <c r="D6619" s="15">
        <f>IFERROR(__xludf.DUMMYFUNCTION("""COMPUTED_VALUE"""),1.006)</f>
        <v>1.006</v>
      </c>
      <c r="E6619" s="16">
        <f>IFERROR(__xludf.DUMMYFUNCTION("""COMPUTED_VALUE"""),68.0)</f>
        <v>68</v>
      </c>
      <c r="F6619" s="19" t="str">
        <f>IFERROR(__xludf.DUMMYFUNCTION("""COMPUTED_VALUE"""),"BLACK")</f>
        <v>BLACK</v>
      </c>
      <c r="G6619" s="20" t="str">
        <f>IFERROR(__xludf.DUMMYFUNCTION("""COMPUTED_VALUE"""),"Uncle Sams Cider (5/13/2022)")</f>
        <v>Uncle Sams Cider (5/13/2022)</v>
      </c>
      <c r="H6619" s="19"/>
    </row>
    <row r="6620">
      <c r="A6620" s="9"/>
      <c r="B6620" s="15"/>
      <c r="C6620" s="9">
        <f>IFERROR(__xludf.DUMMYFUNCTION("""COMPUTED_VALUE"""),44727.5907524652)</f>
        <v>44727.59075</v>
      </c>
      <c r="D6620" s="15">
        <f>IFERROR(__xludf.DUMMYFUNCTION("""COMPUTED_VALUE"""),1.006)</f>
        <v>1.006</v>
      </c>
      <c r="E6620" s="16">
        <f>IFERROR(__xludf.DUMMYFUNCTION("""COMPUTED_VALUE"""),67.0)</f>
        <v>67</v>
      </c>
      <c r="F6620" s="19" t="str">
        <f>IFERROR(__xludf.DUMMYFUNCTION("""COMPUTED_VALUE"""),"BLACK")</f>
        <v>BLACK</v>
      </c>
      <c r="G6620" s="20" t="str">
        <f>IFERROR(__xludf.DUMMYFUNCTION("""COMPUTED_VALUE"""),"Uncle Sams Cider (5/13/2022)")</f>
        <v>Uncle Sams Cider (5/13/2022)</v>
      </c>
      <c r="H6620" s="19"/>
    </row>
    <row r="6621">
      <c r="A6621" s="9"/>
      <c r="B6621" s="15"/>
      <c r="C6621" s="9">
        <f>IFERROR(__xludf.DUMMYFUNCTION("""COMPUTED_VALUE"""),44727.5803314814)</f>
        <v>44727.58033</v>
      </c>
      <c r="D6621" s="15">
        <f>IFERROR(__xludf.DUMMYFUNCTION("""COMPUTED_VALUE"""),1.006)</f>
        <v>1.006</v>
      </c>
      <c r="E6621" s="16">
        <f>IFERROR(__xludf.DUMMYFUNCTION("""COMPUTED_VALUE"""),67.0)</f>
        <v>67</v>
      </c>
      <c r="F6621" s="19" t="str">
        <f>IFERROR(__xludf.DUMMYFUNCTION("""COMPUTED_VALUE"""),"BLACK")</f>
        <v>BLACK</v>
      </c>
      <c r="G6621" s="20" t="str">
        <f>IFERROR(__xludf.DUMMYFUNCTION("""COMPUTED_VALUE"""),"Uncle Sams Cider (5/13/2022)")</f>
        <v>Uncle Sams Cider (5/13/2022)</v>
      </c>
      <c r="H6621" s="19"/>
    </row>
    <row r="6622">
      <c r="A6622" s="9"/>
      <c r="B6622" s="15"/>
      <c r="C6622" s="9">
        <f>IFERROR(__xludf.DUMMYFUNCTION("""COMPUTED_VALUE"""),44727.5699098611)</f>
        <v>44727.56991</v>
      </c>
      <c r="D6622" s="15">
        <f>IFERROR(__xludf.DUMMYFUNCTION("""COMPUTED_VALUE"""),1.006)</f>
        <v>1.006</v>
      </c>
      <c r="E6622" s="16">
        <f>IFERROR(__xludf.DUMMYFUNCTION("""COMPUTED_VALUE"""),67.0)</f>
        <v>67</v>
      </c>
      <c r="F6622" s="19" t="str">
        <f>IFERROR(__xludf.DUMMYFUNCTION("""COMPUTED_VALUE"""),"BLACK")</f>
        <v>BLACK</v>
      </c>
      <c r="G6622" s="20" t="str">
        <f>IFERROR(__xludf.DUMMYFUNCTION("""COMPUTED_VALUE"""),"Uncle Sams Cider (5/13/2022)")</f>
        <v>Uncle Sams Cider (5/13/2022)</v>
      </c>
      <c r="H6622" s="19"/>
    </row>
    <row r="6623">
      <c r="A6623" s="9"/>
      <c r="B6623" s="15"/>
      <c r="C6623" s="9">
        <f>IFERROR(__xludf.DUMMYFUNCTION("""COMPUTED_VALUE"""),44727.5594879976)</f>
        <v>44727.55949</v>
      </c>
      <c r="D6623" s="15">
        <f>IFERROR(__xludf.DUMMYFUNCTION("""COMPUTED_VALUE"""),1.006)</f>
        <v>1.006</v>
      </c>
      <c r="E6623" s="16">
        <f>IFERROR(__xludf.DUMMYFUNCTION("""COMPUTED_VALUE"""),67.0)</f>
        <v>67</v>
      </c>
      <c r="F6623" s="19" t="str">
        <f>IFERROR(__xludf.DUMMYFUNCTION("""COMPUTED_VALUE"""),"BLACK")</f>
        <v>BLACK</v>
      </c>
      <c r="G6623" s="20" t="str">
        <f>IFERROR(__xludf.DUMMYFUNCTION("""COMPUTED_VALUE"""),"Uncle Sams Cider (5/13/2022)")</f>
        <v>Uncle Sams Cider (5/13/2022)</v>
      </c>
      <c r="H6623" s="19"/>
    </row>
    <row r="6624">
      <c r="A6624" s="9"/>
      <c r="B6624" s="15"/>
      <c r="C6624" s="9">
        <f>IFERROR(__xludf.DUMMYFUNCTION("""COMPUTED_VALUE"""),44727.5490664351)</f>
        <v>44727.54907</v>
      </c>
      <c r="D6624" s="15">
        <f>IFERROR(__xludf.DUMMYFUNCTION("""COMPUTED_VALUE"""),1.006)</f>
        <v>1.006</v>
      </c>
      <c r="E6624" s="16">
        <f>IFERROR(__xludf.DUMMYFUNCTION("""COMPUTED_VALUE"""),67.0)</f>
        <v>67</v>
      </c>
      <c r="F6624" s="19" t="str">
        <f>IFERROR(__xludf.DUMMYFUNCTION("""COMPUTED_VALUE"""),"BLACK")</f>
        <v>BLACK</v>
      </c>
      <c r="G6624" s="20" t="str">
        <f>IFERROR(__xludf.DUMMYFUNCTION("""COMPUTED_VALUE"""),"Uncle Sams Cider (5/13/2022)")</f>
        <v>Uncle Sams Cider (5/13/2022)</v>
      </c>
      <c r="H6624" s="19"/>
    </row>
    <row r="6625">
      <c r="A6625" s="9"/>
      <c r="B6625" s="15"/>
      <c r="C6625" s="9">
        <f>IFERROR(__xludf.DUMMYFUNCTION("""COMPUTED_VALUE"""),44727.538645243)</f>
        <v>44727.53865</v>
      </c>
      <c r="D6625" s="15">
        <f>IFERROR(__xludf.DUMMYFUNCTION("""COMPUTED_VALUE"""),1.006)</f>
        <v>1.006</v>
      </c>
      <c r="E6625" s="16">
        <f>IFERROR(__xludf.DUMMYFUNCTION("""COMPUTED_VALUE"""),67.0)</f>
        <v>67</v>
      </c>
      <c r="F6625" s="19" t="str">
        <f>IFERROR(__xludf.DUMMYFUNCTION("""COMPUTED_VALUE"""),"BLACK")</f>
        <v>BLACK</v>
      </c>
      <c r="G6625" s="20" t="str">
        <f>IFERROR(__xludf.DUMMYFUNCTION("""COMPUTED_VALUE"""),"Uncle Sams Cider (5/13/2022)")</f>
        <v>Uncle Sams Cider (5/13/2022)</v>
      </c>
      <c r="H6625" s="19"/>
    </row>
    <row r="6626">
      <c r="A6626" s="9"/>
      <c r="B6626" s="15"/>
      <c r="C6626" s="9">
        <f>IFERROR(__xludf.DUMMYFUNCTION("""COMPUTED_VALUE"""),44727.5282229745)</f>
        <v>44727.52822</v>
      </c>
      <c r="D6626" s="15">
        <f>IFERROR(__xludf.DUMMYFUNCTION("""COMPUTED_VALUE"""),1.006)</f>
        <v>1.006</v>
      </c>
      <c r="E6626" s="16">
        <f>IFERROR(__xludf.DUMMYFUNCTION("""COMPUTED_VALUE"""),67.0)</f>
        <v>67</v>
      </c>
      <c r="F6626" s="19" t="str">
        <f>IFERROR(__xludf.DUMMYFUNCTION("""COMPUTED_VALUE"""),"BLACK")</f>
        <v>BLACK</v>
      </c>
      <c r="G6626" s="20" t="str">
        <f>IFERROR(__xludf.DUMMYFUNCTION("""COMPUTED_VALUE"""),"Uncle Sams Cider (5/13/2022)")</f>
        <v>Uncle Sams Cider (5/13/2022)</v>
      </c>
      <c r="H6626" s="19"/>
    </row>
    <row r="6627">
      <c r="A6627" s="9"/>
      <c r="B6627" s="15"/>
      <c r="C6627" s="9">
        <f>IFERROR(__xludf.DUMMYFUNCTION("""COMPUTED_VALUE"""),44727.5177667708)</f>
        <v>44727.51777</v>
      </c>
      <c r="D6627" s="15">
        <f>IFERROR(__xludf.DUMMYFUNCTION("""COMPUTED_VALUE"""),1.006)</f>
        <v>1.006</v>
      </c>
      <c r="E6627" s="16">
        <f>IFERROR(__xludf.DUMMYFUNCTION("""COMPUTED_VALUE"""),67.0)</f>
        <v>67</v>
      </c>
      <c r="F6627" s="19" t="str">
        <f>IFERROR(__xludf.DUMMYFUNCTION("""COMPUTED_VALUE"""),"BLACK")</f>
        <v>BLACK</v>
      </c>
      <c r="G6627" s="20" t="str">
        <f>IFERROR(__xludf.DUMMYFUNCTION("""COMPUTED_VALUE"""),"Uncle Sams Cider (5/13/2022)")</f>
        <v>Uncle Sams Cider (5/13/2022)</v>
      </c>
      <c r="H6627" s="19"/>
    </row>
    <row r="6628">
      <c r="A6628" s="9"/>
      <c r="B6628" s="15"/>
      <c r="C6628" s="9">
        <f>IFERROR(__xludf.DUMMYFUNCTION("""COMPUTED_VALUE"""),44727.5073089699)</f>
        <v>44727.50731</v>
      </c>
      <c r="D6628" s="15">
        <f>IFERROR(__xludf.DUMMYFUNCTION("""COMPUTED_VALUE"""),1.006)</f>
        <v>1.006</v>
      </c>
      <c r="E6628" s="16">
        <f>IFERROR(__xludf.DUMMYFUNCTION("""COMPUTED_VALUE"""),67.0)</f>
        <v>67</v>
      </c>
      <c r="F6628" s="19" t="str">
        <f>IFERROR(__xludf.DUMMYFUNCTION("""COMPUTED_VALUE"""),"BLACK")</f>
        <v>BLACK</v>
      </c>
      <c r="G6628" s="20" t="str">
        <f>IFERROR(__xludf.DUMMYFUNCTION("""COMPUTED_VALUE"""),"Uncle Sams Cider (5/13/2022)")</f>
        <v>Uncle Sams Cider (5/13/2022)</v>
      </c>
      <c r="H6628" s="19"/>
    </row>
    <row r="6629">
      <c r="A6629" s="9"/>
      <c r="B6629" s="15"/>
      <c r="C6629" s="9">
        <f>IFERROR(__xludf.DUMMYFUNCTION("""COMPUTED_VALUE"""),44727.4968898148)</f>
        <v>44727.49689</v>
      </c>
      <c r="D6629" s="15">
        <f>IFERROR(__xludf.DUMMYFUNCTION("""COMPUTED_VALUE"""),1.006)</f>
        <v>1.006</v>
      </c>
      <c r="E6629" s="16">
        <f>IFERROR(__xludf.DUMMYFUNCTION("""COMPUTED_VALUE"""),67.0)</f>
        <v>67</v>
      </c>
      <c r="F6629" s="19" t="str">
        <f>IFERROR(__xludf.DUMMYFUNCTION("""COMPUTED_VALUE"""),"BLACK")</f>
        <v>BLACK</v>
      </c>
      <c r="G6629" s="20" t="str">
        <f>IFERROR(__xludf.DUMMYFUNCTION("""COMPUTED_VALUE"""),"Uncle Sams Cider (5/13/2022)")</f>
        <v>Uncle Sams Cider (5/13/2022)</v>
      </c>
      <c r="H6629" s="19"/>
    </row>
    <row r="6630">
      <c r="A6630" s="9"/>
      <c r="B6630" s="15"/>
      <c r="C6630" s="9">
        <f>IFERROR(__xludf.DUMMYFUNCTION("""COMPUTED_VALUE"""),44727.4864678356)</f>
        <v>44727.48647</v>
      </c>
      <c r="D6630" s="15">
        <f>IFERROR(__xludf.DUMMYFUNCTION("""COMPUTED_VALUE"""),1.006)</f>
        <v>1.006</v>
      </c>
      <c r="E6630" s="16">
        <f>IFERROR(__xludf.DUMMYFUNCTION("""COMPUTED_VALUE"""),67.0)</f>
        <v>67</v>
      </c>
      <c r="F6630" s="19" t="str">
        <f>IFERROR(__xludf.DUMMYFUNCTION("""COMPUTED_VALUE"""),"BLACK")</f>
        <v>BLACK</v>
      </c>
      <c r="G6630" s="20" t="str">
        <f>IFERROR(__xludf.DUMMYFUNCTION("""COMPUTED_VALUE"""),"Uncle Sams Cider (5/13/2022)")</f>
        <v>Uncle Sams Cider (5/13/2022)</v>
      </c>
      <c r="H6630" s="19"/>
    </row>
    <row r="6631">
      <c r="A6631" s="9"/>
      <c r="B6631" s="15"/>
      <c r="C6631" s="9">
        <f>IFERROR(__xludf.DUMMYFUNCTION("""COMPUTED_VALUE"""),44727.4760464583)</f>
        <v>44727.47605</v>
      </c>
      <c r="D6631" s="15">
        <f>IFERROR(__xludf.DUMMYFUNCTION("""COMPUTED_VALUE"""),1.006)</f>
        <v>1.006</v>
      </c>
      <c r="E6631" s="16">
        <f>IFERROR(__xludf.DUMMYFUNCTION("""COMPUTED_VALUE"""),67.0)</f>
        <v>67</v>
      </c>
      <c r="F6631" s="19" t="str">
        <f>IFERROR(__xludf.DUMMYFUNCTION("""COMPUTED_VALUE"""),"BLACK")</f>
        <v>BLACK</v>
      </c>
      <c r="G6631" s="20" t="str">
        <f>IFERROR(__xludf.DUMMYFUNCTION("""COMPUTED_VALUE"""),"Uncle Sams Cider (5/13/2022)")</f>
        <v>Uncle Sams Cider (5/13/2022)</v>
      </c>
      <c r="H6631" s="19"/>
    </row>
    <row r="6632">
      <c r="A6632" s="9"/>
      <c r="B6632" s="15"/>
      <c r="C6632" s="9">
        <f>IFERROR(__xludf.DUMMYFUNCTION("""COMPUTED_VALUE"""),44727.4656250115)</f>
        <v>44727.46563</v>
      </c>
      <c r="D6632" s="15">
        <f>IFERROR(__xludf.DUMMYFUNCTION("""COMPUTED_VALUE"""),1.006)</f>
        <v>1.006</v>
      </c>
      <c r="E6632" s="16">
        <f>IFERROR(__xludf.DUMMYFUNCTION("""COMPUTED_VALUE"""),67.0)</f>
        <v>67</v>
      </c>
      <c r="F6632" s="19" t="str">
        <f>IFERROR(__xludf.DUMMYFUNCTION("""COMPUTED_VALUE"""),"BLACK")</f>
        <v>BLACK</v>
      </c>
      <c r="G6632" s="20" t="str">
        <f>IFERROR(__xludf.DUMMYFUNCTION("""COMPUTED_VALUE"""),"Uncle Sams Cider (5/13/2022)")</f>
        <v>Uncle Sams Cider (5/13/2022)</v>
      </c>
      <c r="H6632" s="19"/>
    </row>
    <row r="6633">
      <c r="A6633" s="9"/>
      <c r="B6633" s="15"/>
      <c r="C6633" s="9">
        <f>IFERROR(__xludf.DUMMYFUNCTION("""COMPUTED_VALUE"""),44727.455202662)</f>
        <v>44727.4552</v>
      </c>
      <c r="D6633" s="15">
        <f>IFERROR(__xludf.DUMMYFUNCTION("""COMPUTED_VALUE"""),1.006)</f>
        <v>1.006</v>
      </c>
      <c r="E6633" s="16">
        <f>IFERROR(__xludf.DUMMYFUNCTION("""COMPUTED_VALUE"""),67.0)</f>
        <v>67</v>
      </c>
      <c r="F6633" s="19" t="str">
        <f>IFERROR(__xludf.DUMMYFUNCTION("""COMPUTED_VALUE"""),"BLACK")</f>
        <v>BLACK</v>
      </c>
      <c r="G6633" s="20" t="str">
        <f>IFERROR(__xludf.DUMMYFUNCTION("""COMPUTED_VALUE"""),"Uncle Sams Cider (5/13/2022)")</f>
        <v>Uncle Sams Cider (5/13/2022)</v>
      </c>
      <c r="H6633" s="19"/>
    </row>
    <row r="6634">
      <c r="A6634" s="9"/>
      <c r="B6634" s="15"/>
      <c r="C6634" s="9">
        <f>IFERROR(__xludf.DUMMYFUNCTION("""COMPUTED_VALUE"""),44727.444780949)</f>
        <v>44727.44478</v>
      </c>
      <c r="D6634" s="15">
        <f>IFERROR(__xludf.DUMMYFUNCTION("""COMPUTED_VALUE"""),1.006)</f>
        <v>1.006</v>
      </c>
      <c r="E6634" s="16">
        <f>IFERROR(__xludf.DUMMYFUNCTION("""COMPUTED_VALUE"""),67.0)</f>
        <v>67</v>
      </c>
      <c r="F6634" s="19" t="str">
        <f>IFERROR(__xludf.DUMMYFUNCTION("""COMPUTED_VALUE"""),"BLACK")</f>
        <v>BLACK</v>
      </c>
      <c r="G6634" s="20" t="str">
        <f>IFERROR(__xludf.DUMMYFUNCTION("""COMPUTED_VALUE"""),"Uncle Sams Cider (5/13/2022)")</f>
        <v>Uncle Sams Cider (5/13/2022)</v>
      </c>
      <c r="H6634" s="19"/>
    </row>
    <row r="6635">
      <c r="A6635" s="9"/>
      <c r="B6635" s="15"/>
      <c r="C6635" s="9">
        <f>IFERROR(__xludf.DUMMYFUNCTION("""COMPUTED_VALUE"""),44727.4343594213)</f>
        <v>44727.43436</v>
      </c>
      <c r="D6635" s="15">
        <f>IFERROR(__xludf.DUMMYFUNCTION("""COMPUTED_VALUE"""),1.006)</f>
        <v>1.006</v>
      </c>
      <c r="E6635" s="16">
        <f>IFERROR(__xludf.DUMMYFUNCTION("""COMPUTED_VALUE"""),67.0)</f>
        <v>67</v>
      </c>
      <c r="F6635" s="19" t="str">
        <f>IFERROR(__xludf.DUMMYFUNCTION("""COMPUTED_VALUE"""),"BLACK")</f>
        <v>BLACK</v>
      </c>
      <c r="G6635" s="20" t="str">
        <f>IFERROR(__xludf.DUMMYFUNCTION("""COMPUTED_VALUE"""),"Uncle Sams Cider (5/13/2022)")</f>
        <v>Uncle Sams Cider (5/13/2022)</v>
      </c>
      <c r="H6635" s="19"/>
    </row>
    <row r="6636">
      <c r="A6636" s="9"/>
      <c r="B6636" s="15"/>
      <c r="C6636" s="9">
        <f>IFERROR(__xludf.DUMMYFUNCTION("""COMPUTED_VALUE"""),44727.4239384606)</f>
        <v>44727.42394</v>
      </c>
      <c r="D6636" s="15">
        <f>IFERROR(__xludf.DUMMYFUNCTION("""COMPUTED_VALUE"""),1.006)</f>
        <v>1.006</v>
      </c>
      <c r="E6636" s="16">
        <f>IFERROR(__xludf.DUMMYFUNCTION("""COMPUTED_VALUE"""),67.0)</f>
        <v>67</v>
      </c>
      <c r="F6636" s="19" t="str">
        <f>IFERROR(__xludf.DUMMYFUNCTION("""COMPUTED_VALUE"""),"BLACK")</f>
        <v>BLACK</v>
      </c>
      <c r="G6636" s="20" t="str">
        <f>IFERROR(__xludf.DUMMYFUNCTION("""COMPUTED_VALUE"""),"Uncle Sams Cider (5/13/2022)")</f>
        <v>Uncle Sams Cider (5/13/2022)</v>
      </c>
      <c r="H6636" s="19"/>
    </row>
    <row r="6637">
      <c r="A6637" s="9"/>
      <c r="B6637" s="15"/>
      <c r="C6637" s="9">
        <f>IFERROR(__xludf.DUMMYFUNCTION("""COMPUTED_VALUE"""),44727.4135055787)</f>
        <v>44727.41351</v>
      </c>
      <c r="D6637" s="15">
        <f>IFERROR(__xludf.DUMMYFUNCTION("""COMPUTED_VALUE"""),1.006)</f>
        <v>1.006</v>
      </c>
      <c r="E6637" s="16">
        <f>IFERROR(__xludf.DUMMYFUNCTION("""COMPUTED_VALUE"""),67.0)</f>
        <v>67</v>
      </c>
      <c r="F6637" s="19" t="str">
        <f>IFERROR(__xludf.DUMMYFUNCTION("""COMPUTED_VALUE"""),"BLACK")</f>
        <v>BLACK</v>
      </c>
      <c r="G6637" s="20" t="str">
        <f>IFERROR(__xludf.DUMMYFUNCTION("""COMPUTED_VALUE"""),"Uncle Sams Cider (5/13/2022)")</f>
        <v>Uncle Sams Cider (5/13/2022)</v>
      </c>
      <c r="H6637" s="19"/>
    </row>
    <row r="6638">
      <c r="A6638" s="9"/>
      <c r="B6638" s="15"/>
      <c r="C6638" s="9">
        <f>IFERROR(__xludf.DUMMYFUNCTION("""COMPUTED_VALUE"""),44727.4030610416)</f>
        <v>44727.40306</v>
      </c>
      <c r="D6638" s="15">
        <f>IFERROR(__xludf.DUMMYFUNCTION("""COMPUTED_VALUE"""),1.006)</f>
        <v>1.006</v>
      </c>
      <c r="E6638" s="16">
        <f>IFERROR(__xludf.DUMMYFUNCTION("""COMPUTED_VALUE"""),67.0)</f>
        <v>67</v>
      </c>
      <c r="F6638" s="19" t="str">
        <f>IFERROR(__xludf.DUMMYFUNCTION("""COMPUTED_VALUE"""),"BLACK")</f>
        <v>BLACK</v>
      </c>
      <c r="G6638" s="20" t="str">
        <f>IFERROR(__xludf.DUMMYFUNCTION("""COMPUTED_VALUE"""),"Uncle Sams Cider (5/13/2022)")</f>
        <v>Uncle Sams Cider (5/13/2022)</v>
      </c>
      <c r="H6638" s="19"/>
    </row>
    <row r="6639">
      <c r="A6639" s="9"/>
      <c r="B6639" s="15"/>
      <c r="C6639" s="9">
        <f>IFERROR(__xludf.DUMMYFUNCTION("""COMPUTED_VALUE"""),44727.3926410763)</f>
        <v>44727.39264</v>
      </c>
      <c r="D6639" s="15">
        <f>IFERROR(__xludf.DUMMYFUNCTION("""COMPUTED_VALUE"""),1.006)</f>
        <v>1.006</v>
      </c>
      <c r="E6639" s="16">
        <f>IFERROR(__xludf.DUMMYFUNCTION("""COMPUTED_VALUE"""),67.0)</f>
        <v>67</v>
      </c>
      <c r="F6639" s="19" t="str">
        <f>IFERROR(__xludf.DUMMYFUNCTION("""COMPUTED_VALUE"""),"BLACK")</f>
        <v>BLACK</v>
      </c>
      <c r="G6639" s="20" t="str">
        <f>IFERROR(__xludf.DUMMYFUNCTION("""COMPUTED_VALUE"""),"Uncle Sams Cider (5/13/2022)")</f>
        <v>Uncle Sams Cider (5/13/2022)</v>
      </c>
      <c r="H6639" s="19"/>
    </row>
    <row r="6640">
      <c r="A6640" s="9"/>
      <c r="B6640" s="15"/>
      <c r="C6640" s="9">
        <f>IFERROR(__xludf.DUMMYFUNCTION("""COMPUTED_VALUE"""),44727.3822073611)</f>
        <v>44727.38221</v>
      </c>
      <c r="D6640" s="15">
        <f>IFERROR(__xludf.DUMMYFUNCTION("""COMPUTED_VALUE"""),1.006)</f>
        <v>1.006</v>
      </c>
      <c r="E6640" s="16">
        <f>IFERROR(__xludf.DUMMYFUNCTION("""COMPUTED_VALUE"""),67.0)</f>
        <v>67</v>
      </c>
      <c r="F6640" s="19" t="str">
        <f>IFERROR(__xludf.DUMMYFUNCTION("""COMPUTED_VALUE"""),"BLACK")</f>
        <v>BLACK</v>
      </c>
      <c r="G6640" s="20" t="str">
        <f>IFERROR(__xludf.DUMMYFUNCTION("""COMPUTED_VALUE"""),"Uncle Sams Cider (5/13/2022)")</f>
        <v>Uncle Sams Cider (5/13/2022)</v>
      </c>
      <c r="H6640" s="19"/>
    </row>
    <row r="6641">
      <c r="A6641" s="9"/>
      <c r="B6641" s="15"/>
      <c r="C6641" s="9">
        <f>IFERROR(__xludf.DUMMYFUNCTION("""COMPUTED_VALUE"""),44727.3717742708)</f>
        <v>44727.37177</v>
      </c>
      <c r="D6641" s="15">
        <f>IFERROR(__xludf.DUMMYFUNCTION("""COMPUTED_VALUE"""),1.006)</f>
        <v>1.006</v>
      </c>
      <c r="E6641" s="16">
        <f>IFERROR(__xludf.DUMMYFUNCTION("""COMPUTED_VALUE"""),67.0)</f>
        <v>67</v>
      </c>
      <c r="F6641" s="19" t="str">
        <f>IFERROR(__xludf.DUMMYFUNCTION("""COMPUTED_VALUE"""),"BLACK")</f>
        <v>BLACK</v>
      </c>
      <c r="G6641" s="20" t="str">
        <f>IFERROR(__xludf.DUMMYFUNCTION("""COMPUTED_VALUE"""),"Uncle Sams Cider (5/13/2022)")</f>
        <v>Uncle Sams Cider (5/13/2022)</v>
      </c>
      <c r="H6641" s="19"/>
    </row>
    <row r="6642">
      <c r="A6642" s="9"/>
      <c r="B6642" s="15"/>
      <c r="C6642" s="9">
        <f>IFERROR(__xludf.DUMMYFUNCTION("""COMPUTED_VALUE"""),44727.361352581)</f>
        <v>44727.36135</v>
      </c>
      <c r="D6642" s="15">
        <f>IFERROR(__xludf.DUMMYFUNCTION("""COMPUTED_VALUE"""),1.006)</f>
        <v>1.006</v>
      </c>
      <c r="E6642" s="16">
        <f>IFERROR(__xludf.DUMMYFUNCTION("""COMPUTED_VALUE"""),67.0)</f>
        <v>67</v>
      </c>
      <c r="F6642" s="19" t="str">
        <f>IFERROR(__xludf.DUMMYFUNCTION("""COMPUTED_VALUE"""),"BLACK")</f>
        <v>BLACK</v>
      </c>
      <c r="G6642" s="20" t="str">
        <f>IFERROR(__xludf.DUMMYFUNCTION("""COMPUTED_VALUE"""),"Uncle Sams Cider (5/13/2022)")</f>
        <v>Uncle Sams Cider (5/13/2022)</v>
      </c>
      <c r="H6642" s="19"/>
    </row>
    <row r="6643">
      <c r="A6643" s="9"/>
      <c r="B6643" s="15"/>
      <c r="C6643" s="9">
        <f>IFERROR(__xludf.DUMMYFUNCTION("""COMPUTED_VALUE"""),44727.3509323726)</f>
        <v>44727.35093</v>
      </c>
      <c r="D6643" s="15">
        <f>IFERROR(__xludf.DUMMYFUNCTION("""COMPUTED_VALUE"""),1.006)</f>
        <v>1.006</v>
      </c>
      <c r="E6643" s="16">
        <f>IFERROR(__xludf.DUMMYFUNCTION("""COMPUTED_VALUE"""),67.0)</f>
        <v>67</v>
      </c>
      <c r="F6643" s="19" t="str">
        <f>IFERROR(__xludf.DUMMYFUNCTION("""COMPUTED_VALUE"""),"BLACK")</f>
        <v>BLACK</v>
      </c>
      <c r="G6643" s="20" t="str">
        <f>IFERROR(__xludf.DUMMYFUNCTION("""COMPUTED_VALUE"""),"Uncle Sams Cider (5/13/2022)")</f>
        <v>Uncle Sams Cider (5/13/2022)</v>
      </c>
      <c r="H6643" s="19"/>
    </row>
    <row r="6644">
      <c r="A6644" s="9"/>
      <c r="B6644" s="15"/>
      <c r="C6644" s="9">
        <f>IFERROR(__xludf.DUMMYFUNCTION("""COMPUTED_VALUE"""),44727.3405119213)</f>
        <v>44727.34051</v>
      </c>
      <c r="D6644" s="15">
        <f>IFERROR(__xludf.DUMMYFUNCTION("""COMPUTED_VALUE"""),1.006)</f>
        <v>1.006</v>
      </c>
      <c r="E6644" s="16">
        <f>IFERROR(__xludf.DUMMYFUNCTION("""COMPUTED_VALUE"""),67.0)</f>
        <v>67</v>
      </c>
      <c r="F6644" s="19" t="str">
        <f>IFERROR(__xludf.DUMMYFUNCTION("""COMPUTED_VALUE"""),"BLACK")</f>
        <v>BLACK</v>
      </c>
      <c r="G6644" s="20" t="str">
        <f>IFERROR(__xludf.DUMMYFUNCTION("""COMPUTED_VALUE"""),"Uncle Sams Cider (5/13/2022)")</f>
        <v>Uncle Sams Cider (5/13/2022)</v>
      </c>
      <c r="H6644" s="19"/>
    </row>
    <row r="6645">
      <c r="A6645" s="9"/>
      <c r="B6645" s="15"/>
      <c r="C6645" s="9">
        <f>IFERROR(__xludf.DUMMYFUNCTION("""COMPUTED_VALUE"""),44727.3300916666)</f>
        <v>44727.33009</v>
      </c>
      <c r="D6645" s="15">
        <f>IFERROR(__xludf.DUMMYFUNCTION("""COMPUTED_VALUE"""),1.006)</f>
        <v>1.006</v>
      </c>
      <c r="E6645" s="16">
        <f>IFERROR(__xludf.DUMMYFUNCTION("""COMPUTED_VALUE"""),67.0)</f>
        <v>67</v>
      </c>
      <c r="F6645" s="19" t="str">
        <f>IFERROR(__xludf.DUMMYFUNCTION("""COMPUTED_VALUE"""),"BLACK")</f>
        <v>BLACK</v>
      </c>
      <c r="G6645" s="20" t="str">
        <f>IFERROR(__xludf.DUMMYFUNCTION("""COMPUTED_VALUE"""),"Uncle Sams Cider (5/13/2022)")</f>
        <v>Uncle Sams Cider (5/13/2022)</v>
      </c>
      <c r="H6645" s="19"/>
    </row>
    <row r="6646">
      <c r="A6646" s="9"/>
      <c r="B6646" s="15"/>
      <c r="C6646" s="9">
        <f>IFERROR(__xludf.DUMMYFUNCTION("""COMPUTED_VALUE"""),44727.3196721064)</f>
        <v>44727.31967</v>
      </c>
      <c r="D6646" s="15">
        <f>IFERROR(__xludf.DUMMYFUNCTION("""COMPUTED_VALUE"""),1.006)</f>
        <v>1.006</v>
      </c>
      <c r="E6646" s="16">
        <f>IFERROR(__xludf.DUMMYFUNCTION("""COMPUTED_VALUE"""),67.0)</f>
        <v>67</v>
      </c>
      <c r="F6646" s="19" t="str">
        <f>IFERROR(__xludf.DUMMYFUNCTION("""COMPUTED_VALUE"""),"BLACK")</f>
        <v>BLACK</v>
      </c>
      <c r="G6646" s="20" t="str">
        <f>IFERROR(__xludf.DUMMYFUNCTION("""COMPUTED_VALUE"""),"Uncle Sams Cider (5/13/2022)")</f>
        <v>Uncle Sams Cider (5/13/2022)</v>
      </c>
      <c r="H6646" s="19"/>
    </row>
    <row r="6647">
      <c r="A6647" s="9"/>
      <c r="B6647" s="15"/>
      <c r="C6647" s="9">
        <f>IFERROR(__xludf.DUMMYFUNCTION("""COMPUTED_VALUE"""),44727.3092510416)</f>
        <v>44727.30925</v>
      </c>
      <c r="D6647" s="15">
        <f>IFERROR(__xludf.DUMMYFUNCTION("""COMPUTED_VALUE"""),1.006)</f>
        <v>1.006</v>
      </c>
      <c r="E6647" s="16">
        <f>IFERROR(__xludf.DUMMYFUNCTION("""COMPUTED_VALUE"""),67.0)</f>
        <v>67</v>
      </c>
      <c r="F6647" s="19" t="str">
        <f>IFERROR(__xludf.DUMMYFUNCTION("""COMPUTED_VALUE"""),"BLACK")</f>
        <v>BLACK</v>
      </c>
      <c r="G6647" s="20" t="str">
        <f>IFERROR(__xludf.DUMMYFUNCTION("""COMPUTED_VALUE"""),"Uncle Sams Cider (5/13/2022)")</f>
        <v>Uncle Sams Cider (5/13/2022)</v>
      </c>
      <c r="H6647" s="19"/>
    </row>
    <row r="6648">
      <c r="A6648" s="9"/>
      <c r="B6648" s="15"/>
      <c r="C6648" s="9">
        <f>IFERROR(__xludf.DUMMYFUNCTION("""COMPUTED_VALUE"""),44727.2988069791)</f>
        <v>44727.29881</v>
      </c>
      <c r="D6648" s="15">
        <f>IFERROR(__xludf.DUMMYFUNCTION("""COMPUTED_VALUE"""),1.006)</f>
        <v>1.006</v>
      </c>
      <c r="E6648" s="16">
        <f>IFERROR(__xludf.DUMMYFUNCTION("""COMPUTED_VALUE"""),67.0)</f>
        <v>67</v>
      </c>
      <c r="F6648" s="19" t="str">
        <f>IFERROR(__xludf.DUMMYFUNCTION("""COMPUTED_VALUE"""),"BLACK")</f>
        <v>BLACK</v>
      </c>
      <c r="G6648" s="20" t="str">
        <f>IFERROR(__xludf.DUMMYFUNCTION("""COMPUTED_VALUE"""),"Uncle Sams Cider (5/13/2022)")</f>
        <v>Uncle Sams Cider (5/13/2022)</v>
      </c>
      <c r="H6648" s="19"/>
    </row>
    <row r="6649">
      <c r="A6649" s="9"/>
      <c r="B6649" s="15"/>
      <c r="C6649" s="9">
        <f>IFERROR(__xludf.DUMMYFUNCTION("""COMPUTED_VALUE"""),44727.2883858564)</f>
        <v>44727.28839</v>
      </c>
      <c r="D6649" s="15">
        <f>IFERROR(__xludf.DUMMYFUNCTION("""COMPUTED_VALUE"""),1.006)</f>
        <v>1.006</v>
      </c>
      <c r="E6649" s="16">
        <f>IFERROR(__xludf.DUMMYFUNCTION("""COMPUTED_VALUE"""),67.0)</f>
        <v>67</v>
      </c>
      <c r="F6649" s="19" t="str">
        <f>IFERROR(__xludf.DUMMYFUNCTION("""COMPUTED_VALUE"""),"BLACK")</f>
        <v>BLACK</v>
      </c>
      <c r="G6649" s="20" t="str">
        <f>IFERROR(__xludf.DUMMYFUNCTION("""COMPUTED_VALUE"""),"Uncle Sams Cider (5/13/2022)")</f>
        <v>Uncle Sams Cider (5/13/2022)</v>
      </c>
      <c r="H6649" s="19"/>
    </row>
    <row r="6650">
      <c r="A6650" s="9"/>
      <c r="B6650" s="15"/>
      <c r="C6650" s="9">
        <f>IFERROR(__xludf.DUMMYFUNCTION("""COMPUTED_VALUE"""),44727.2779643055)</f>
        <v>44727.27796</v>
      </c>
      <c r="D6650" s="15">
        <f>IFERROR(__xludf.DUMMYFUNCTION("""COMPUTED_VALUE"""),1.006)</f>
        <v>1.006</v>
      </c>
      <c r="E6650" s="16">
        <f>IFERROR(__xludf.DUMMYFUNCTION("""COMPUTED_VALUE"""),67.0)</f>
        <v>67</v>
      </c>
      <c r="F6650" s="19" t="str">
        <f>IFERROR(__xludf.DUMMYFUNCTION("""COMPUTED_VALUE"""),"BLACK")</f>
        <v>BLACK</v>
      </c>
      <c r="G6650" s="20" t="str">
        <f>IFERROR(__xludf.DUMMYFUNCTION("""COMPUTED_VALUE"""),"Uncle Sams Cider (5/13/2022)")</f>
        <v>Uncle Sams Cider (5/13/2022)</v>
      </c>
      <c r="H6650" s="19"/>
    </row>
    <row r="6651">
      <c r="A6651" s="9"/>
      <c r="B6651" s="15"/>
      <c r="C6651" s="9">
        <f>IFERROR(__xludf.DUMMYFUNCTION("""COMPUTED_VALUE"""),44727.2675446296)</f>
        <v>44727.26754</v>
      </c>
      <c r="D6651" s="15">
        <f>IFERROR(__xludf.DUMMYFUNCTION("""COMPUTED_VALUE"""),1.007)</f>
        <v>1.007</v>
      </c>
      <c r="E6651" s="16">
        <f>IFERROR(__xludf.DUMMYFUNCTION("""COMPUTED_VALUE"""),67.0)</f>
        <v>67</v>
      </c>
      <c r="F6651" s="19" t="str">
        <f>IFERROR(__xludf.DUMMYFUNCTION("""COMPUTED_VALUE"""),"BLACK")</f>
        <v>BLACK</v>
      </c>
      <c r="G6651" s="20" t="str">
        <f>IFERROR(__xludf.DUMMYFUNCTION("""COMPUTED_VALUE"""),"Uncle Sams Cider (5/13/2022)")</f>
        <v>Uncle Sams Cider (5/13/2022)</v>
      </c>
      <c r="H6651" s="19"/>
    </row>
    <row r="6652">
      <c r="A6652" s="9"/>
      <c r="B6652" s="15"/>
      <c r="C6652" s="9">
        <f>IFERROR(__xludf.DUMMYFUNCTION("""COMPUTED_VALUE"""),44727.2571233796)</f>
        <v>44727.25712</v>
      </c>
      <c r="D6652" s="15">
        <f>IFERROR(__xludf.DUMMYFUNCTION("""COMPUTED_VALUE"""),1.006)</f>
        <v>1.006</v>
      </c>
      <c r="E6652" s="16">
        <f>IFERROR(__xludf.DUMMYFUNCTION("""COMPUTED_VALUE"""),67.0)</f>
        <v>67</v>
      </c>
      <c r="F6652" s="19" t="str">
        <f>IFERROR(__xludf.DUMMYFUNCTION("""COMPUTED_VALUE"""),"BLACK")</f>
        <v>BLACK</v>
      </c>
      <c r="G6652" s="20" t="str">
        <f>IFERROR(__xludf.DUMMYFUNCTION("""COMPUTED_VALUE"""),"Uncle Sams Cider (5/13/2022)")</f>
        <v>Uncle Sams Cider (5/13/2022)</v>
      </c>
      <c r="H6652" s="19"/>
    </row>
    <row r="6653">
      <c r="A6653" s="9"/>
      <c r="B6653" s="15"/>
      <c r="C6653" s="9">
        <f>IFERROR(__xludf.DUMMYFUNCTION("""COMPUTED_VALUE"""),44727.2467015972)</f>
        <v>44727.2467</v>
      </c>
      <c r="D6653" s="15">
        <f>IFERROR(__xludf.DUMMYFUNCTION("""COMPUTED_VALUE"""),1.006)</f>
        <v>1.006</v>
      </c>
      <c r="E6653" s="16">
        <f>IFERROR(__xludf.DUMMYFUNCTION("""COMPUTED_VALUE"""),67.0)</f>
        <v>67</v>
      </c>
      <c r="F6653" s="19" t="str">
        <f>IFERROR(__xludf.DUMMYFUNCTION("""COMPUTED_VALUE"""),"BLACK")</f>
        <v>BLACK</v>
      </c>
      <c r="G6653" s="20" t="str">
        <f>IFERROR(__xludf.DUMMYFUNCTION("""COMPUTED_VALUE"""),"Uncle Sams Cider (5/13/2022)")</f>
        <v>Uncle Sams Cider (5/13/2022)</v>
      </c>
      <c r="H6653" s="19"/>
    </row>
    <row r="6654">
      <c r="A6654" s="9"/>
      <c r="B6654" s="15"/>
      <c r="C6654" s="9">
        <f>IFERROR(__xludf.DUMMYFUNCTION("""COMPUTED_VALUE"""),44727.2362804282)</f>
        <v>44727.23628</v>
      </c>
      <c r="D6654" s="15">
        <f>IFERROR(__xludf.DUMMYFUNCTION("""COMPUTED_VALUE"""),1.007)</f>
        <v>1.007</v>
      </c>
      <c r="E6654" s="16">
        <f>IFERROR(__xludf.DUMMYFUNCTION("""COMPUTED_VALUE"""),67.0)</f>
        <v>67</v>
      </c>
      <c r="F6654" s="19" t="str">
        <f>IFERROR(__xludf.DUMMYFUNCTION("""COMPUTED_VALUE"""),"BLACK")</f>
        <v>BLACK</v>
      </c>
      <c r="G6654" s="20" t="str">
        <f>IFERROR(__xludf.DUMMYFUNCTION("""COMPUTED_VALUE"""),"Uncle Sams Cider (5/13/2022)")</f>
        <v>Uncle Sams Cider (5/13/2022)</v>
      </c>
      <c r="H6654" s="19"/>
    </row>
    <row r="6655">
      <c r="A6655" s="9"/>
      <c r="B6655" s="15"/>
      <c r="C6655" s="9">
        <f>IFERROR(__xludf.DUMMYFUNCTION("""COMPUTED_VALUE"""),44727.2258594213)</f>
        <v>44727.22586</v>
      </c>
      <c r="D6655" s="15">
        <f>IFERROR(__xludf.DUMMYFUNCTION("""COMPUTED_VALUE"""),1.006)</f>
        <v>1.006</v>
      </c>
      <c r="E6655" s="16">
        <f>IFERROR(__xludf.DUMMYFUNCTION("""COMPUTED_VALUE"""),67.0)</f>
        <v>67</v>
      </c>
      <c r="F6655" s="19" t="str">
        <f>IFERROR(__xludf.DUMMYFUNCTION("""COMPUTED_VALUE"""),"BLACK")</f>
        <v>BLACK</v>
      </c>
      <c r="G6655" s="20" t="str">
        <f>IFERROR(__xludf.DUMMYFUNCTION("""COMPUTED_VALUE"""),"Uncle Sams Cider (5/13/2022)")</f>
        <v>Uncle Sams Cider (5/13/2022)</v>
      </c>
      <c r="H6655" s="19"/>
    </row>
    <row r="6656">
      <c r="A6656" s="9"/>
      <c r="B6656" s="15"/>
      <c r="C6656" s="9">
        <f>IFERROR(__xludf.DUMMYFUNCTION("""COMPUTED_VALUE"""),44727.215438368)</f>
        <v>44727.21544</v>
      </c>
      <c r="D6656" s="15">
        <f>IFERROR(__xludf.DUMMYFUNCTION("""COMPUTED_VALUE"""),1.007)</f>
        <v>1.007</v>
      </c>
      <c r="E6656" s="16">
        <f>IFERROR(__xludf.DUMMYFUNCTION("""COMPUTED_VALUE"""),67.0)</f>
        <v>67</v>
      </c>
      <c r="F6656" s="19" t="str">
        <f>IFERROR(__xludf.DUMMYFUNCTION("""COMPUTED_VALUE"""),"BLACK")</f>
        <v>BLACK</v>
      </c>
      <c r="G6656" s="20" t="str">
        <f>IFERROR(__xludf.DUMMYFUNCTION("""COMPUTED_VALUE"""),"Uncle Sams Cider (5/13/2022)")</f>
        <v>Uncle Sams Cider (5/13/2022)</v>
      </c>
      <c r="H6656" s="19"/>
    </row>
    <row r="6657">
      <c r="A6657" s="9"/>
      <c r="B6657" s="15"/>
      <c r="C6657" s="9">
        <f>IFERROR(__xludf.DUMMYFUNCTION("""COMPUTED_VALUE"""),44727.2050185763)</f>
        <v>44727.20502</v>
      </c>
      <c r="D6657" s="15">
        <f>IFERROR(__xludf.DUMMYFUNCTION("""COMPUTED_VALUE"""),1.006)</f>
        <v>1.006</v>
      </c>
      <c r="E6657" s="16">
        <f>IFERROR(__xludf.DUMMYFUNCTION("""COMPUTED_VALUE"""),67.0)</f>
        <v>67</v>
      </c>
      <c r="F6657" s="19" t="str">
        <f>IFERROR(__xludf.DUMMYFUNCTION("""COMPUTED_VALUE"""),"BLACK")</f>
        <v>BLACK</v>
      </c>
      <c r="G6657" s="20" t="str">
        <f>IFERROR(__xludf.DUMMYFUNCTION("""COMPUTED_VALUE"""),"Uncle Sams Cider (5/13/2022)")</f>
        <v>Uncle Sams Cider (5/13/2022)</v>
      </c>
      <c r="H6657" s="19"/>
    </row>
    <row r="6658">
      <c r="A6658" s="9"/>
      <c r="B6658" s="15"/>
      <c r="C6658" s="9">
        <f>IFERROR(__xludf.DUMMYFUNCTION("""COMPUTED_VALUE"""),44727.1945967245)</f>
        <v>44727.1946</v>
      </c>
      <c r="D6658" s="15">
        <f>IFERROR(__xludf.DUMMYFUNCTION("""COMPUTED_VALUE"""),1.006)</f>
        <v>1.006</v>
      </c>
      <c r="E6658" s="16">
        <f>IFERROR(__xludf.DUMMYFUNCTION("""COMPUTED_VALUE"""),67.0)</f>
        <v>67</v>
      </c>
      <c r="F6658" s="19" t="str">
        <f>IFERROR(__xludf.DUMMYFUNCTION("""COMPUTED_VALUE"""),"BLACK")</f>
        <v>BLACK</v>
      </c>
      <c r="G6658" s="20" t="str">
        <f>IFERROR(__xludf.DUMMYFUNCTION("""COMPUTED_VALUE"""),"Uncle Sams Cider (5/13/2022)")</f>
        <v>Uncle Sams Cider (5/13/2022)</v>
      </c>
      <c r="H6658" s="19"/>
    </row>
    <row r="6659">
      <c r="A6659" s="9"/>
      <c r="B6659" s="15"/>
      <c r="C6659" s="9">
        <f>IFERROR(__xludf.DUMMYFUNCTION("""COMPUTED_VALUE"""),44727.1841608564)</f>
        <v>44727.18416</v>
      </c>
      <c r="D6659" s="15">
        <f>IFERROR(__xludf.DUMMYFUNCTION("""COMPUTED_VALUE"""),1.006)</f>
        <v>1.006</v>
      </c>
      <c r="E6659" s="16">
        <f>IFERROR(__xludf.DUMMYFUNCTION("""COMPUTED_VALUE"""),67.0)</f>
        <v>67</v>
      </c>
      <c r="F6659" s="19" t="str">
        <f>IFERROR(__xludf.DUMMYFUNCTION("""COMPUTED_VALUE"""),"BLACK")</f>
        <v>BLACK</v>
      </c>
      <c r="G6659" s="20" t="str">
        <f>IFERROR(__xludf.DUMMYFUNCTION("""COMPUTED_VALUE"""),"Uncle Sams Cider (5/13/2022)")</f>
        <v>Uncle Sams Cider (5/13/2022)</v>
      </c>
      <c r="H6659" s="19"/>
    </row>
    <row r="6660">
      <c r="A6660" s="9"/>
      <c r="B6660" s="15"/>
      <c r="C6660" s="9">
        <f>IFERROR(__xludf.DUMMYFUNCTION("""COMPUTED_VALUE"""),44727.1737275925)</f>
        <v>44727.17373</v>
      </c>
      <c r="D6660" s="15">
        <f>IFERROR(__xludf.DUMMYFUNCTION("""COMPUTED_VALUE"""),1.006)</f>
        <v>1.006</v>
      </c>
      <c r="E6660" s="16">
        <f>IFERROR(__xludf.DUMMYFUNCTION("""COMPUTED_VALUE"""),67.0)</f>
        <v>67</v>
      </c>
      <c r="F6660" s="19" t="str">
        <f>IFERROR(__xludf.DUMMYFUNCTION("""COMPUTED_VALUE"""),"BLACK")</f>
        <v>BLACK</v>
      </c>
      <c r="G6660" s="20" t="str">
        <f>IFERROR(__xludf.DUMMYFUNCTION("""COMPUTED_VALUE"""),"Uncle Sams Cider (5/13/2022)")</f>
        <v>Uncle Sams Cider (5/13/2022)</v>
      </c>
      <c r="H6660" s="19"/>
    </row>
    <row r="6661">
      <c r="A6661" s="9"/>
      <c r="B6661" s="15"/>
      <c r="C6661" s="9">
        <f>IFERROR(__xludf.DUMMYFUNCTION("""COMPUTED_VALUE"""),44727.1632816782)</f>
        <v>44727.16328</v>
      </c>
      <c r="D6661" s="15">
        <f>IFERROR(__xludf.DUMMYFUNCTION("""COMPUTED_VALUE"""),1.006)</f>
        <v>1.006</v>
      </c>
      <c r="E6661" s="16">
        <f>IFERROR(__xludf.DUMMYFUNCTION("""COMPUTED_VALUE"""),67.0)</f>
        <v>67</v>
      </c>
      <c r="F6661" s="19" t="str">
        <f>IFERROR(__xludf.DUMMYFUNCTION("""COMPUTED_VALUE"""),"BLACK")</f>
        <v>BLACK</v>
      </c>
      <c r="G6661" s="20" t="str">
        <f>IFERROR(__xludf.DUMMYFUNCTION("""COMPUTED_VALUE"""),"Uncle Sams Cider (5/13/2022)")</f>
        <v>Uncle Sams Cider (5/13/2022)</v>
      </c>
      <c r="H6661" s="19"/>
    </row>
    <row r="6662">
      <c r="A6662" s="9"/>
      <c r="B6662" s="15"/>
      <c r="C6662" s="9">
        <f>IFERROR(__xludf.DUMMYFUNCTION("""COMPUTED_VALUE"""),44727.1528485648)</f>
        <v>44727.15285</v>
      </c>
      <c r="D6662" s="15">
        <f>IFERROR(__xludf.DUMMYFUNCTION("""COMPUTED_VALUE"""),1.006)</f>
        <v>1.006</v>
      </c>
      <c r="E6662" s="16">
        <f>IFERROR(__xludf.DUMMYFUNCTION("""COMPUTED_VALUE"""),67.0)</f>
        <v>67</v>
      </c>
      <c r="F6662" s="19" t="str">
        <f>IFERROR(__xludf.DUMMYFUNCTION("""COMPUTED_VALUE"""),"BLACK")</f>
        <v>BLACK</v>
      </c>
      <c r="G6662" s="20" t="str">
        <f>IFERROR(__xludf.DUMMYFUNCTION("""COMPUTED_VALUE"""),"Uncle Sams Cider (5/13/2022)")</f>
        <v>Uncle Sams Cider (5/13/2022)</v>
      </c>
      <c r="H6662" s="19"/>
    </row>
    <row r="6663">
      <c r="A6663" s="9"/>
      <c r="B6663" s="15"/>
      <c r="C6663" s="9">
        <f>IFERROR(__xludf.DUMMYFUNCTION("""COMPUTED_VALUE"""),44727.1424135648)</f>
        <v>44727.14241</v>
      </c>
      <c r="D6663" s="15">
        <f>IFERROR(__xludf.DUMMYFUNCTION("""COMPUTED_VALUE"""),1.006)</f>
        <v>1.006</v>
      </c>
      <c r="E6663" s="16">
        <f>IFERROR(__xludf.DUMMYFUNCTION("""COMPUTED_VALUE"""),67.0)</f>
        <v>67</v>
      </c>
      <c r="F6663" s="19" t="str">
        <f>IFERROR(__xludf.DUMMYFUNCTION("""COMPUTED_VALUE"""),"BLACK")</f>
        <v>BLACK</v>
      </c>
      <c r="G6663" s="20" t="str">
        <f>IFERROR(__xludf.DUMMYFUNCTION("""COMPUTED_VALUE"""),"Uncle Sams Cider (5/13/2022)")</f>
        <v>Uncle Sams Cider (5/13/2022)</v>
      </c>
      <c r="H6663" s="19"/>
    </row>
    <row r="6664">
      <c r="A6664" s="9"/>
      <c r="B6664" s="15"/>
      <c r="C6664" s="9">
        <f>IFERROR(__xludf.DUMMYFUNCTION("""COMPUTED_VALUE"""),44727.1319799652)</f>
        <v>44727.13198</v>
      </c>
      <c r="D6664" s="15">
        <f>IFERROR(__xludf.DUMMYFUNCTION("""COMPUTED_VALUE"""),1.006)</f>
        <v>1.006</v>
      </c>
      <c r="E6664" s="16">
        <f>IFERROR(__xludf.DUMMYFUNCTION("""COMPUTED_VALUE"""),67.0)</f>
        <v>67</v>
      </c>
      <c r="F6664" s="19" t="str">
        <f>IFERROR(__xludf.DUMMYFUNCTION("""COMPUTED_VALUE"""),"BLACK")</f>
        <v>BLACK</v>
      </c>
      <c r="G6664" s="20" t="str">
        <f>IFERROR(__xludf.DUMMYFUNCTION("""COMPUTED_VALUE"""),"Uncle Sams Cider (5/13/2022)")</f>
        <v>Uncle Sams Cider (5/13/2022)</v>
      </c>
      <c r="H6664" s="19"/>
    </row>
    <row r="6665">
      <c r="A6665" s="9"/>
      <c r="B6665" s="15"/>
      <c r="C6665" s="9">
        <f>IFERROR(__xludf.DUMMYFUNCTION("""COMPUTED_VALUE"""),44727.1215590393)</f>
        <v>44727.12156</v>
      </c>
      <c r="D6665" s="15">
        <f>IFERROR(__xludf.DUMMYFUNCTION("""COMPUTED_VALUE"""),1.006)</f>
        <v>1.006</v>
      </c>
      <c r="E6665" s="16">
        <f>IFERROR(__xludf.DUMMYFUNCTION("""COMPUTED_VALUE"""),67.0)</f>
        <v>67</v>
      </c>
      <c r="F6665" s="19" t="str">
        <f>IFERROR(__xludf.DUMMYFUNCTION("""COMPUTED_VALUE"""),"BLACK")</f>
        <v>BLACK</v>
      </c>
      <c r="G6665" s="20" t="str">
        <f>IFERROR(__xludf.DUMMYFUNCTION("""COMPUTED_VALUE"""),"Uncle Sams Cider (5/13/2022)")</f>
        <v>Uncle Sams Cider (5/13/2022)</v>
      </c>
      <c r="H6665" s="19"/>
    </row>
    <row r="6666">
      <c r="A6666" s="9"/>
      <c r="B6666" s="15"/>
      <c r="C6666" s="9">
        <f>IFERROR(__xludf.DUMMYFUNCTION("""COMPUTED_VALUE"""),44727.1111265972)</f>
        <v>44727.11113</v>
      </c>
      <c r="D6666" s="15">
        <f>IFERROR(__xludf.DUMMYFUNCTION("""COMPUTED_VALUE"""),1.006)</f>
        <v>1.006</v>
      </c>
      <c r="E6666" s="16">
        <f>IFERROR(__xludf.DUMMYFUNCTION("""COMPUTED_VALUE"""),67.0)</f>
        <v>67</v>
      </c>
      <c r="F6666" s="19" t="str">
        <f>IFERROR(__xludf.DUMMYFUNCTION("""COMPUTED_VALUE"""),"BLACK")</f>
        <v>BLACK</v>
      </c>
      <c r="G6666" s="20" t="str">
        <f>IFERROR(__xludf.DUMMYFUNCTION("""COMPUTED_VALUE"""),"Uncle Sams Cider (5/13/2022)")</f>
        <v>Uncle Sams Cider (5/13/2022)</v>
      </c>
      <c r="H6666" s="19"/>
    </row>
    <row r="6667">
      <c r="A6667" s="9"/>
      <c r="B6667" s="15"/>
      <c r="C6667" s="9">
        <f>IFERROR(__xludf.DUMMYFUNCTION("""COMPUTED_VALUE"""),44727.100706574)</f>
        <v>44727.10071</v>
      </c>
      <c r="D6667" s="15">
        <f>IFERROR(__xludf.DUMMYFUNCTION("""COMPUTED_VALUE"""),1.007)</f>
        <v>1.007</v>
      </c>
      <c r="E6667" s="16">
        <f>IFERROR(__xludf.DUMMYFUNCTION("""COMPUTED_VALUE"""),67.0)</f>
        <v>67</v>
      </c>
      <c r="F6667" s="19" t="str">
        <f>IFERROR(__xludf.DUMMYFUNCTION("""COMPUTED_VALUE"""),"BLACK")</f>
        <v>BLACK</v>
      </c>
      <c r="G6667" s="20" t="str">
        <f>IFERROR(__xludf.DUMMYFUNCTION("""COMPUTED_VALUE"""),"Uncle Sams Cider (5/13/2022)")</f>
        <v>Uncle Sams Cider (5/13/2022)</v>
      </c>
      <c r="H6667" s="19"/>
    </row>
    <row r="6668">
      <c r="A6668" s="9"/>
      <c r="B6668" s="15"/>
      <c r="C6668" s="9">
        <f>IFERROR(__xludf.DUMMYFUNCTION("""COMPUTED_VALUE"""),44727.0902837037)</f>
        <v>44727.09028</v>
      </c>
      <c r="D6668" s="15">
        <f>IFERROR(__xludf.DUMMYFUNCTION("""COMPUTED_VALUE"""),1.006)</f>
        <v>1.006</v>
      </c>
      <c r="E6668" s="16">
        <f>IFERROR(__xludf.DUMMYFUNCTION("""COMPUTED_VALUE"""),67.0)</f>
        <v>67</v>
      </c>
      <c r="F6668" s="19" t="str">
        <f>IFERROR(__xludf.DUMMYFUNCTION("""COMPUTED_VALUE"""),"BLACK")</f>
        <v>BLACK</v>
      </c>
      <c r="G6668" s="20" t="str">
        <f>IFERROR(__xludf.DUMMYFUNCTION("""COMPUTED_VALUE"""),"Uncle Sams Cider (5/13/2022)")</f>
        <v>Uncle Sams Cider (5/13/2022)</v>
      </c>
      <c r="H6668" s="19"/>
    </row>
    <row r="6669">
      <c r="A6669" s="9"/>
      <c r="B6669" s="15"/>
      <c r="C6669" s="9">
        <f>IFERROR(__xludf.DUMMYFUNCTION("""COMPUTED_VALUE"""),44727.0798632754)</f>
        <v>44727.07986</v>
      </c>
      <c r="D6669" s="15">
        <f>IFERROR(__xludf.DUMMYFUNCTION("""COMPUTED_VALUE"""),1.006)</f>
        <v>1.006</v>
      </c>
      <c r="E6669" s="16">
        <f>IFERROR(__xludf.DUMMYFUNCTION("""COMPUTED_VALUE"""),67.0)</f>
        <v>67</v>
      </c>
      <c r="F6669" s="19" t="str">
        <f>IFERROR(__xludf.DUMMYFUNCTION("""COMPUTED_VALUE"""),"BLACK")</f>
        <v>BLACK</v>
      </c>
      <c r="G6669" s="20" t="str">
        <f>IFERROR(__xludf.DUMMYFUNCTION("""COMPUTED_VALUE"""),"Uncle Sams Cider (5/13/2022)")</f>
        <v>Uncle Sams Cider (5/13/2022)</v>
      </c>
      <c r="H6669" s="19"/>
    </row>
    <row r="6670">
      <c r="A6670" s="9"/>
      <c r="B6670" s="15"/>
      <c r="C6670" s="9">
        <f>IFERROR(__xludf.DUMMYFUNCTION("""COMPUTED_VALUE"""),44727.0694062731)</f>
        <v>44727.06941</v>
      </c>
      <c r="D6670" s="15">
        <f>IFERROR(__xludf.DUMMYFUNCTION("""COMPUTED_VALUE"""),1.007)</f>
        <v>1.007</v>
      </c>
      <c r="E6670" s="16">
        <f>IFERROR(__xludf.DUMMYFUNCTION("""COMPUTED_VALUE"""),67.0)</f>
        <v>67</v>
      </c>
      <c r="F6670" s="19" t="str">
        <f>IFERROR(__xludf.DUMMYFUNCTION("""COMPUTED_VALUE"""),"BLACK")</f>
        <v>BLACK</v>
      </c>
      <c r="G6670" s="20" t="str">
        <f>IFERROR(__xludf.DUMMYFUNCTION("""COMPUTED_VALUE"""),"Uncle Sams Cider (5/13/2022)")</f>
        <v>Uncle Sams Cider (5/13/2022)</v>
      </c>
      <c r="H6670" s="19"/>
    </row>
    <row r="6671">
      <c r="A6671" s="9"/>
      <c r="B6671" s="15"/>
      <c r="C6671" s="9">
        <f>IFERROR(__xludf.DUMMYFUNCTION("""COMPUTED_VALUE"""),44727.0589393402)</f>
        <v>44727.05894</v>
      </c>
      <c r="D6671" s="15">
        <f>IFERROR(__xludf.DUMMYFUNCTION("""COMPUTED_VALUE"""),1.007)</f>
        <v>1.007</v>
      </c>
      <c r="E6671" s="16">
        <f>IFERROR(__xludf.DUMMYFUNCTION("""COMPUTED_VALUE"""),67.0)</f>
        <v>67</v>
      </c>
      <c r="F6671" s="19" t="str">
        <f>IFERROR(__xludf.DUMMYFUNCTION("""COMPUTED_VALUE"""),"BLACK")</f>
        <v>BLACK</v>
      </c>
      <c r="G6671" s="20" t="str">
        <f>IFERROR(__xludf.DUMMYFUNCTION("""COMPUTED_VALUE"""),"Uncle Sams Cider (5/13/2022)")</f>
        <v>Uncle Sams Cider (5/13/2022)</v>
      </c>
      <c r="H6671" s="19"/>
    </row>
    <row r="6672">
      <c r="A6672" s="9"/>
      <c r="B6672" s="15"/>
      <c r="C6672" s="9">
        <f>IFERROR(__xludf.DUMMYFUNCTION("""COMPUTED_VALUE"""),44727.0485178703)</f>
        <v>44727.04852</v>
      </c>
      <c r="D6672" s="15">
        <f>IFERROR(__xludf.DUMMYFUNCTION("""COMPUTED_VALUE"""),1.006)</f>
        <v>1.006</v>
      </c>
      <c r="E6672" s="16">
        <f>IFERROR(__xludf.DUMMYFUNCTION("""COMPUTED_VALUE"""),67.0)</f>
        <v>67</v>
      </c>
      <c r="F6672" s="19" t="str">
        <f>IFERROR(__xludf.DUMMYFUNCTION("""COMPUTED_VALUE"""),"BLACK")</f>
        <v>BLACK</v>
      </c>
      <c r="G6672" s="20" t="str">
        <f>IFERROR(__xludf.DUMMYFUNCTION("""COMPUTED_VALUE"""),"Uncle Sams Cider (5/13/2022)")</f>
        <v>Uncle Sams Cider (5/13/2022)</v>
      </c>
      <c r="H6672" s="19"/>
    </row>
    <row r="6673">
      <c r="A6673" s="9"/>
      <c r="B6673" s="15"/>
      <c r="C6673" s="9">
        <f>IFERROR(__xludf.DUMMYFUNCTION("""COMPUTED_VALUE"""),44727.0380982175)</f>
        <v>44727.0381</v>
      </c>
      <c r="D6673" s="15">
        <f>IFERROR(__xludf.DUMMYFUNCTION("""COMPUTED_VALUE"""),1.006)</f>
        <v>1.006</v>
      </c>
      <c r="E6673" s="16">
        <f>IFERROR(__xludf.DUMMYFUNCTION("""COMPUTED_VALUE"""),67.0)</f>
        <v>67</v>
      </c>
      <c r="F6673" s="19" t="str">
        <f>IFERROR(__xludf.DUMMYFUNCTION("""COMPUTED_VALUE"""),"BLACK")</f>
        <v>BLACK</v>
      </c>
      <c r="G6673" s="20" t="str">
        <f>IFERROR(__xludf.DUMMYFUNCTION("""COMPUTED_VALUE"""),"Uncle Sams Cider (5/13/2022)")</f>
        <v>Uncle Sams Cider (5/13/2022)</v>
      </c>
      <c r="H6673" s="19"/>
    </row>
    <row r="6674">
      <c r="A6674" s="9"/>
      <c r="B6674" s="15"/>
      <c r="C6674" s="9">
        <f>IFERROR(__xludf.DUMMYFUNCTION("""COMPUTED_VALUE"""),44727.0276776041)</f>
        <v>44727.02768</v>
      </c>
      <c r="D6674" s="15">
        <f>IFERROR(__xludf.DUMMYFUNCTION("""COMPUTED_VALUE"""),1.006)</f>
        <v>1.006</v>
      </c>
      <c r="E6674" s="16">
        <f>IFERROR(__xludf.DUMMYFUNCTION("""COMPUTED_VALUE"""),67.0)</f>
        <v>67</v>
      </c>
      <c r="F6674" s="19" t="str">
        <f>IFERROR(__xludf.DUMMYFUNCTION("""COMPUTED_VALUE"""),"BLACK")</f>
        <v>BLACK</v>
      </c>
      <c r="G6674" s="20" t="str">
        <f>IFERROR(__xludf.DUMMYFUNCTION("""COMPUTED_VALUE"""),"Uncle Sams Cider (5/13/2022)")</f>
        <v>Uncle Sams Cider (5/13/2022)</v>
      </c>
      <c r="H6674" s="19"/>
    </row>
    <row r="6675">
      <c r="A6675" s="9"/>
      <c r="B6675" s="15"/>
      <c r="C6675" s="9">
        <f>IFERROR(__xludf.DUMMYFUNCTION("""COMPUTED_VALUE"""),44727.0172455787)</f>
        <v>44727.01725</v>
      </c>
      <c r="D6675" s="15">
        <f>IFERROR(__xludf.DUMMYFUNCTION("""COMPUTED_VALUE"""),1.006)</f>
        <v>1.006</v>
      </c>
      <c r="E6675" s="16">
        <f>IFERROR(__xludf.DUMMYFUNCTION("""COMPUTED_VALUE"""),67.0)</f>
        <v>67</v>
      </c>
      <c r="F6675" s="19" t="str">
        <f>IFERROR(__xludf.DUMMYFUNCTION("""COMPUTED_VALUE"""),"BLACK")</f>
        <v>BLACK</v>
      </c>
      <c r="G6675" s="20" t="str">
        <f>IFERROR(__xludf.DUMMYFUNCTION("""COMPUTED_VALUE"""),"Uncle Sams Cider (5/13/2022)")</f>
        <v>Uncle Sams Cider (5/13/2022)</v>
      </c>
      <c r="H6675" s="19"/>
    </row>
    <row r="6676">
      <c r="A6676" s="9"/>
      <c r="B6676" s="15"/>
      <c r="C6676" s="9">
        <f>IFERROR(__xludf.DUMMYFUNCTION("""COMPUTED_VALUE"""),44727.0068236921)</f>
        <v>44727.00682</v>
      </c>
      <c r="D6676" s="15">
        <f>IFERROR(__xludf.DUMMYFUNCTION("""COMPUTED_VALUE"""),1.006)</f>
        <v>1.006</v>
      </c>
      <c r="E6676" s="16">
        <f>IFERROR(__xludf.DUMMYFUNCTION("""COMPUTED_VALUE"""),67.0)</f>
        <v>67</v>
      </c>
      <c r="F6676" s="19" t="str">
        <f>IFERROR(__xludf.DUMMYFUNCTION("""COMPUTED_VALUE"""),"BLACK")</f>
        <v>BLACK</v>
      </c>
      <c r="G6676" s="20" t="str">
        <f>IFERROR(__xludf.DUMMYFUNCTION("""COMPUTED_VALUE"""),"Uncle Sams Cider (5/13/2022)")</f>
        <v>Uncle Sams Cider (5/13/2022)</v>
      </c>
      <c r="H6676" s="19"/>
    </row>
    <row r="6677">
      <c r="A6677" s="9"/>
      <c r="B6677" s="15"/>
      <c r="C6677" s="9">
        <f>IFERROR(__xludf.DUMMYFUNCTION("""COMPUTED_VALUE"""),44726.996405081)</f>
        <v>44726.99641</v>
      </c>
      <c r="D6677" s="15">
        <f>IFERROR(__xludf.DUMMYFUNCTION("""COMPUTED_VALUE"""),1.006)</f>
        <v>1.006</v>
      </c>
      <c r="E6677" s="16">
        <f>IFERROR(__xludf.DUMMYFUNCTION("""COMPUTED_VALUE"""),67.0)</f>
        <v>67</v>
      </c>
      <c r="F6677" s="19" t="str">
        <f>IFERROR(__xludf.DUMMYFUNCTION("""COMPUTED_VALUE"""),"BLACK")</f>
        <v>BLACK</v>
      </c>
      <c r="G6677" s="20" t="str">
        <f>IFERROR(__xludf.DUMMYFUNCTION("""COMPUTED_VALUE"""),"Uncle Sams Cider (5/13/2022)")</f>
        <v>Uncle Sams Cider (5/13/2022)</v>
      </c>
      <c r="H6677" s="19"/>
    </row>
    <row r="6678">
      <c r="A6678" s="9"/>
      <c r="B6678" s="15"/>
      <c r="C6678" s="9">
        <f>IFERROR(__xludf.DUMMYFUNCTION("""COMPUTED_VALUE"""),44726.9859849652)</f>
        <v>44726.98598</v>
      </c>
      <c r="D6678" s="15">
        <f>IFERROR(__xludf.DUMMYFUNCTION("""COMPUTED_VALUE"""),1.007)</f>
        <v>1.007</v>
      </c>
      <c r="E6678" s="16">
        <f>IFERROR(__xludf.DUMMYFUNCTION("""COMPUTED_VALUE"""),67.0)</f>
        <v>67</v>
      </c>
      <c r="F6678" s="19" t="str">
        <f>IFERROR(__xludf.DUMMYFUNCTION("""COMPUTED_VALUE"""),"BLACK")</f>
        <v>BLACK</v>
      </c>
      <c r="G6678" s="20" t="str">
        <f>IFERROR(__xludf.DUMMYFUNCTION("""COMPUTED_VALUE"""),"Uncle Sams Cider (5/13/2022)")</f>
        <v>Uncle Sams Cider (5/13/2022)</v>
      </c>
      <c r="H6678" s="19"/>
    </row>
    <row r="6679">
      <c r="A6679" s="9"/>
      <c r="B6679" s="15"/>
      <c r="C6679" s="9">
        <f>IFERROR(__xludf.DUMMYFUNCTION("""COMPUTED_VALUE"""),44726.9755648842)</f>
        <v>44726.97556</v>
      </c>
      <c r="D6679" s="15">
        <f>IFERROR(__xludf.DUMMYFUNCTION("""COMPUTED_VALUE"""),1.006)</f>
        <v>1.006</v>
      </c>
      <c r="E6679" s="16">
        <f>IFERROR(__xludf.DUMMYFUNCTION("""COMPUTED_VALUE"""),67.0)</f>
        <v>67</v>
      </c>
      <c r="F6679" s="19" t="str">
        <f>IFERROR(__xludf.DUMMYFUNCTION("""COMPUTED_VALUE"""),"BLACK")</f>
        <v>BLACK</v>
      </c>
      <c r="G6679" s="20" t="str">
        <f>IFERROR(__xludf.DUMMYFUNCTION("""COMPUTED_VALUE"""),"Uncle Sams Cider (5/13/2022)")</f>
        <v>Uncle Sams Cider (5/13/2022)</v>
      </c>
      <c r="H6679" s="19"/>
    </row>
    <row r="6680">
      <c r="A6680" s="9"/>
      <c r="B6680" s="15"/>
      <c r="C6680" s="9">
        <f>IFERROR(__xludf.DUMMYFUNCTION("""COMPUTED_VALUE"""),44726.9651442245)</f>
        <v>44726.96514</v>
      </c>
      <c r="D6680" s="15">
        <f>IFERROR(__xludf.DUMMYFUNCTION("""COMPUTED_VALUE"""),1.006)</f>
        <v>1.006</v>
      </c>
      <c r="E6680" s="16">
        <f>IFERROR(__xludf.DUMMYFUNCTION("""COMPUTED_VALUE"""),67.0)</f>
        <v>67</v>
      </c>
      <c r="F6680" s="19" t="str">
        <f>IFERROR(__xludf.DUMMYFUNCTION("""COMPUTED_VALUE"""),"BLACK")</f>
        <v>BLACK</v>
      </c>
      <c r="G6680" s="20" t="str">
        <f>IFERROR(__xludf.DUMMYFUNCTION("""COMPUTED_VALUE"""),"Uncle Sams Cider (5/13/2022)")</f>
        <v>Uncle Sams Cider (5/13/2022)</v>
      </c>
      <c r="H6680" s="19"/>
    </row>
    <row r="6681">
      <c r="A6681" s="9"/>
      <c r="B6681" s="15"/>
      <c r="C6681" s="9">
        <f>IFERROR(__xludf.DUMMYFUNCTION("""COMPUTED_VALUE"""),44726.9547110069)</f>
        <v>44726.95471</v>
      </c>
      <c r="D6681" s="15">
        <f>IFERROR(__xludf.DUMMYFUNCTION("""COMPUTED_VALUE"""),1.006)</f>
        <v>1.006</v>
      </c>
      <c r="E6681" s="16">
        <f>IFERROR(__xludf.DUMMYFUNCTION("""COMPUTED_VALUE"""),67.0)</f>
        <v>67</v>
      </c>
      <c r="F6681" s="19" t="str">
        <f>IFERROR(__xludf.DUMMYFUNCTION("""COMPUTED_VALUE"""),"BLACK")</f>
        <v>BLACK</v>
      </c>
      <c r="G6681" s="20" t="str">
        <f>IFERROR(__xludf.DUMMYFUNCTION("""COMPUTED_VALUE"""),"Uncle Sams Cider (5/13/2022)")</f>
        <v>Uncle Sams Cider (5/13/2022)</v>
      </c>
      <c r="H6681" s="19"/>
    </row>
    <row r="6682">
      <c r="A6682" s="9"/>
      <c r="B6682" s="15"/>
      <c r="C6682" s="9">
        <f>IFERROR(__xludf.DUMMYFUNCTION("""COMPUTED_VALUE"""),44726.944289618)</f>
        <v>44726.94429</v>
      </c>
      <c r="D6682" s="15">
        <f>IFERROR(__xludf.DUMMYFUNCTION("""COMPUTED_VALUE"""),1.006)</f>
        <v>1.006</v>
      </c>
      <c r="E6682" s="16">
        <f>IFERROR(__xludf.DUMMYFUNCTION("""COMPUTED_VALUE"""),67.0)</f>
        <v>67</v>
      </c>
      <c r="F6682" s="19" t="str">
        <f>IFERROR(__xludf.DUMMYFUNCTION("""COMPUTED_VALUE"""),"BLACK")</f>
        <v>BLACK</v>
      </c>
      <c r="G6682" s="20" t="str">
        <f>IFERROR(__xludf.DUMMYFUNCTION("""COMPUTED_VALUE"""),"Uncle Sams Cider (5/13/2022)")</f>
        <v>Uncle Sams Cider (5/13/2022)</v>
      </c>
      <c r="H6682" s="19"/>
    </row>
    <row r="6683">
      <c r="A6683" s="9"/>
      <c r="B6683" s="15"/>
      <c r="C6683" s="9">
        <f>IFERROR(__xludf.DUMMYFUNCTION("""COMPUTED_VALUE"""),44726.9338464351)</f>
        <v>44726.93385</v>
      </c>
      <c r="D6683" s="15">
        <f>IFERROR(__xludf.DUMMYFUNCTION("""COMPUTED_VALUE"""),1.006)</f>
        <v>1.006</v>
      </c>
      <c r="E6683" s="16">
        <f>IFERROR(__xludf.DUMMYFUNCTION("""COMPUTED_VALUE"""),67.0)</f>
        <v>67</v>
      </c>
      <c r="F6683" s="19" t="str">
        <f>IFERROR(__xludf.DUMMYFUNCTION("""COMPUTED_VALUE"""),"BLACK")</f>
        <v>BLACK</v>
      </c>
      <c r="G6683" s="20" t="str">
        <f>IFERROR(__xludf.DUMMYFUNCTION("""COMPUTED_VALUE"""),"Uncle Sams Cider (5/13/2022)")</f>
        <v>Uncle Sams Cider (5/13/2022)</v>
      </c>
      <c r="H6683" s="19"/>
    </row>
    <row r="6684">
      <c r="A6684" s="9"/>
      <c r="B6684" s="15"/>
      <c r="C6684" s="9">
        <f>IFERROR(__xludf.DUMMYFUNCTION("""COMPUTED_VALUE"""),44726.9234253125)</f>
        <v>44726.92343</v>
      </c>
      <c r="D6684" s="15">
        <f>IFERROR(__xludf.DUMMYFUNCTION("""COMPUTED_VALUE"""),1.007)</f>
        <v>1.007</v>
      </c>
      <c r="E6684" s="16">
        <f>IFERROR(__xludf.DUMMYFUNCTION("""COMPUTED_VALUE"""),67.0)</f>
        <v>67</v>
      </c>
      <c r="F6684" s="19" t="str">
        <f>IFERROR(__xludf.DUMMYFUNCTION("""COMPUTED_VALUE"""),"BLACK")</f>
        <v>BLACK</v>
      </c>
      <c r="G6684" s="20" t="str">
        <f>IFERROR(__xludf.DUMMYFUNCTION("""COMPUTED_VALUE"""),"Uncle Sams Cider (5/13/2022)")</f>
        <v>Uncle Sams Cider (5/13/2022)</v>
      </c>
      <c r="H6684" s="19"/>
    </row>
    <row r="6685">
      <c r="A6685" s="9"/>
      <c r="B6685" s="15"/>
      <c r="C6685" s="9">
        <f>IFERROR(__xludf.DUMMYFUNCTION("""COMPUTED_VALUE"""),44726.913003449)</f>
        <v>44726.913</v>
      </c>
      <c r="D6685" s="15">
        <f>IFERROR(__xludf.DUMMYFUNCTION("""COMPUTED_VALUE"""),1.006)</f>
        <v>1.006</v>
      </c>
      <c r="E6685" s="16">
        <f>IFERROR(__xludf.DUMMYFUNCTION("""COMPUTED_VALUE"""),67.0)</f>
        <v>67</v>
      </c>
      <c r="F6685" s="19" t="str">
        <f>IFERROR(__xludf.DUMMYFUNCTION("""COMPUTED_VALUE"""),"BLACK")</f>
        <v>BLACK</v>
      </c>
      <c r="G6685" s="20" t="str">
        <f>IFERROR(__xludf.DUMMYFUNCTION("""COMPUTED_VALUE"""),"Uncle Sams Cider (5/13/2022)")</f>
        <v>Uncle Sams Cider (5/13/2022)</v>
      </c>
      <c r="H6685" s="19"/>
    </row>
    <row r="6686">
      <c r="A6686" s="9"/>
      <c r="B6686" s="15"/>
      <c r="C6686" s="9">
        <f>IFERROR(__xludf.DUMMYFUNCTION("""COMPUTED_VALUE"""),44726.902581875)</f>
        <v>44726.90258</v>
      </c>
      <c r="D6686" s="15">
        <f>IFERROR(__xludf.DUMMYFUNCTION("""COMPUTED_VALUE"""),1.006)</f>
        <v>1.006</v>
      </c>
      <c r="E6686" s="16">
        <f>IFERROR(__xludf.DUMMYFUNCTION("""COMPUTED_VALUE"""),66.0)</f>
        <v>66</v>
      </c>
      <c r="F6686" s="19" t="str">
        <f>IFERROR(__xludf.DUMMYFUNCTION("""COMPUTED_VALUE"""),"BLACK")</f>
        <v>BLACK</v>
      </c>
      <c r="G6686" s="20" t="str">
        <f>IFERROR(__xludf.DUMMYFUNCTION("""COMPUTED_VALUE"""),"Uncle Sams Cider (5/13/2022)")</f>
        <v>Uncle Sams Cider (5/13/2022)</v>
      </c>
      <c r="H6686" s="19"/>
    </row>
    <row r="6687">
      <c r="A6687" s="9"/>
      <c r="B6687" s="15"/>
      <c r="C6687" s="9">
        <f>IFERROR(__xludf.DUMMYFUNCTION("""COMPUTED_VALUE"""),44726.8921605555)</f>
        <v>44726.89216</v>
      </c>
      <c r="D6687" s="15">
        <f>IFERROR(__xludf.DUMMYFUNCTION("""COMPUTED_VALUE"""),1.006)</f>
        <v>1.006</v>
      </c>
      <c r="E6687" s="16">
        <f>IFERROR(__xludf.DUMMYFUNCTION("""COMPUTED_VALUE"""),67.0)</f>
        <v>67</v>
      </c>
      <c r="F6687" s="19" t="str">
        <f>IFERROR(__xludf.DUMMYFUNCTION("""COMPUTED_VALUE"""),"BLACK")</f>
        <v>BLACK</v>
      </c>
      <c r="G6687" s="20" t="str">
        <f>IFERROR(__xludf.DUMMYFUNCTION("""COMPUTED_VALUE"""),"Uncle Sams Cider (5/13/2022)")</f>
        <v>Uncle Sams Cider (5/13/2022)</v>
      </c>
      <c r="H6687" s="19"/>
    </row>
    <row r="6688">
      <c r="A6688" s="9"/>
      <c r="B6688" s="15"/>
      <c r="C6688" s="9">
        <f>IFERROR(__xludf.DUMMYFUNCTION("""COMPUTED_VALUE"""),44726.8817395023)</f>
        <v>44726.88174</v>
      </c>
      <c r="D6688" s="15">
        <f>IFERROR(__xludf.DUMMYFUNCTION("""COMPUTED_VALUE"""),1.006)</f>
        <v>1.006</v>
      </c>
      <c r="E6688" s="16">
        <f>IFERROR(__xludf.DUMMYFUNCTION("""COMPUTED_VALUE"""),66.0)</f>
        <v>66</v>
      </c>
      <c r="F6688" s="19" t="str">
        <f>IFERROR(__xludf.DUMMYFUNCTION("""COMPUTED_VALUE"""),"BLACK")</f>
        <v>BLACK</v>
      </c>
      <c r="G6688" s="20" t="str">
        <f>IFERROR(__xludf.DUMMYFUNCTION("""COMPUTED_VALUE"""),"Uncle Sams Cider (5/13/2022)")</f>
        <v>Uncle Sams Cider (5/13/2022)</v>
      </c>
      <c r="H6688" s="19"/>
    </row>
    <row r="6689">
      <c r="A6689" s="9"/>
      <c r="B6689" s="15"/>
      <c r="C6689" s="9">
        <f>IFERROR(__xludf.DUMMYFUNCTION("""COMPUTED_VALUE"""),44726.8713185069)</f>
        <v>44726.87132</v>
      </c>
      <c r="D6689" s="15">
        <f>IFERROR(__xludf.DUMMYFUNCTION("""COMPUTED_VALUE"""),1.006)</f>
        <v>1.006</v>
      </c>
      <c r="E6689" s="16">
        <f>IFERROR(__xludf.DUMMYFUNCTION("""COMPUTED_VALUE"""),66.0)</f>
        <v>66</v>
      </c>
      <c r="F6689" s="19" t="str">
        <f>IFERROR(__xludf.DUMMYFUNCTION("""COMPUTED_VALUE"""),"BLACK")</f>
        <v>BLACK</v>
      </c>
      <c r="G6689" s="20" t="str">
        <f>IFERROR(__xludf.DUMMYFUNCTION("""COMPUTED_VALUE"""),"Uncle Sams Cider (5/13/2022)")</f>
        <v>Uncle Sams Cider (5/13/2022)</v>
      </c>
      <c r="H6689" s="19"/>
    </row>
    <row r="6690">
      <c r="A6690" s="9"/>
      <c r="B6690" s="15"/>
      <c r="C6690" s="9">
        <f>IFERROR(__xludf.DUMMYFUNCTION("""COMPUTED_VALUE"""),44726.860896875)</f>
        <v>44726.8609</v>
      </c>
      <c r="D6690" s="15">
        <f>IFERROR(__xludf.DUMMYFUNCTION("""COMPUTED_VALUE"""),1.006)</f>
        <v>1.006</v>
      </c>
      <c r="E6690" s="16">
        <f>IFERROR(__xludf.DUMMYFUNCTION("""COMPUTED_VALUE"""),66.0)</f>
        <v>66</v>
      </c>
      <c r="F6690" s="19" t="str">
        <f>IFERROR(__xludf.DUMMYFUNCTION("""COMPUTED_VALUE"""),"BLACK")</f>
        <v>BLACK</v>
      </c>
      <c r="G6690" s="20" t="str">
        <f>IFERROR(__xludf.DUMMYFUNCTION("""COMPUTED_VALUE"""),"Uncle Sams Cider (5/13/2022)")</f>
        <v>Uncle Sams Cider (5/13/2022)</v>
      </c>
      <c r="H6690" s="19"/>
    </row>
    <row r="6691">
      <c r="A6691" s="9"/>
      <c r="B6691" s="15"/>
      <c r="C6691" s="9">
        <f>IFERROR(__xludf.DUMMYFUNCTION("""COMPUTED_VALUE"""),44726.850475787)</f>
        <v>44726.85048</v>
      </c>
      <c r="D6691" s="15">
        <f>IFERROR(__xludf.DUMMYFUNCTION("""COMPUTED_VALUE"""),1.006)</f>
        <v>1.006</v>
      </c>
      <c r="E6691" s="16">
        <f>IFERROR(__xludf.DUMMYFUNCTION("""COMPUTED_VALUE"""),66.0)</f>
        <v>66</v>
      </c>
      <c r="F6691" s="19" t="str">
        <f>IFERROR(__xludf.DUMMYFUNCTION("""COMPUTED_VALUE"""),"BLACK")</f>
        <v>BLACK</v>
      </c>
      <c r="G6691" s="20" t="str">
        <f>IFERROR(__xludf.DUMMYFUNCTION("""COMPUTED_VALUE"""),"Uncle Sams Cider (5/13/2022)")</f>
        <v>Uncle Sams Cider (5/13/2022)</v>
      </c>
      <c r="H6691" s="19"/>
    </row>
    <row r="6692">
      <c r="A6692" s="9"/>
      <c r="B6692" s="15"/>
      <c r="C6692" s="9">
        <f>IFERROR(__xludf.DUMMYFUNCTION("""COMPUTED_VALUE"""),44726.8400552662)</f>
        <v>44726.84006</v>
      </c>
      <c r="D6692" s="15">
        <f>IFERROR(__xludf.DUMMYFUNCTION("""COMPUTED_VALUE"""),1.007)</f>
        <v>1.007</v>
      </c>
      <c r="E6692" s="16">
        <f>IFERROR(__xludf.DUMMYFUNCTION("""COMPUTED_VALUE"""),66.0)</f>
        <v>66</v>
      </c>
      <c r="F6692" s="19" t="str">
        <f>IFERROR(__xludf.DUMMYFUNCTION("""COMPUTED_VALUE"""),"BLACK")</f>
        <v>BLACK</v>
      </c>
      <c r="G6692" s="20" t="str">
        <f>IFERROR(__xludf.DUMMYFUNCTION("""COMPUTED_VALUE"""),"Uncle Sams Cider (5/13/2022)")</f>
        <v>Uncle Sams Cider (5/13/2022)</v>
      </c>
      <c r="H6692" s="19"/>
    </row>
    <row r="6693">
      <c r="A6693" s="9"/>
      <c r="B6693" s="15"/>
      <c r="C6693" s="9">
        <f>IFERROR(__xludf.DUMMYFUNCTION("""COMPUTED_VALUE"""),44726.8296342476)</f>
        <v>44726.82963</v>
      </c>
      <c r="D6693" s="15">
        <f>IFERROR(__xludf.DUMMYFUNCTION("""COMPUTED_VALUE"""),1.006)</f>
        <v>1.006</v>
      </c>
      <c r="E6693" s="16">
        <f>IFERROR(__xludf.DUMMYFUNCTION("""COMPUTED_VALUE"""),66.0)</f>
        <v>66</v>
      </c>
      <c r="F6693" s="19" t="str">
        <f>IFERROR(__xludf.DUMMYFUNCTION("""COMPUTED_VALUE"""),"BLACK")</f>
        <v>BLACK</v>
      </c>
      <c r="G6693" s="20" t="str">
        <f>IFERROR(__xludf.DUMMYFUNCTION("""COMPUTED_VALUE"""),"Uncle Sams Cider (5/13/2022)")</f>
        <v>Uncle Sams Cider (5/13/2022)</v>
      </c>
      <c r="H6693" s="19"/>
    </row>
    <row r="6694">
      <c r="A6694" s="9"/>
      <c r="B6694" s="15"/>
      <c r="C6694" s="9">
        <f>IFERROR(__xludf.DUMMYFUNCTION("""COMPUTED_VALUE"""),44726.8192127777)</f>
        <v>44726.81921</v>
      </c>
      <c r="D6694" s="15">
        <f>IFERROR(__xludf.DUMMYFUNCTION("""COMPUTED_VALUE"""),1.006)</f>
        <v>1.006</v>
      </c>
      <c r="E6694" s="16">
        <f>IFERROR(__xludf.DUMMYFUNCTION("""COMPUTED_VALUE"""),66.0)</f>
        <v>66</v>
      </c>
      <c r="F6694" s="19" t="str">
        <f>IFERROR(__xludf.DUMMYFUNCTION("""COMPUTED_VALUE"""),"BLACK")</f>
        <v>BLACK</v>
      </c>
      <c r="G6694" s="20" t="str">
        <f>IFERROR(__xludf.DUMMYFUNCTION("""COMPUTED_VALUE"""),"Uncle Sams Cider (5/13/2022)")</f>
        <v>Uncle Sams Cider (5/13/2022)</v>
      </c>
      <c r="H6694" s="19"/>
    </row>
    <row r="6695">
      <c r="A6695" s="9"/>
      <c r="B6695" s="15"/>
      <c r="C6695" s="9">
        <f>IFERROR(__xludf.DUMMYFUNCTION("""COMPUTED_VALUE"""),44726.808792662)</f>
        <v>44726.80879</v>
      </c>
      <c r="D6695" s="15">
        <f>IFERROR(__xludf.DUMMYFUNCTION("""COMPUTED_VALUE"""),1.006)</f>
        <v>1.006</v>
      </c>
      <c r="E6695" s="16">
        <f>IFERROR(__xludf.DUMMYFUNCTION("""COMPUTED_VALUE"""),66.0)</f>
        <v>66</v>
      </c>
      <c r="F6695" s="19" t="str">
        <f>IFERROR(__xludf.DUMMYFUNCTION("""COMPUTED_VALUE"""),"BLACK")</f>
        <v>BLACK</v>
      </c>
      <c r="G6695" s="20" t="str">
        <f>IFERROR(__xludf.DUMMYFUNCTION("""COMPUTED_VALUE"""),"Uncle Sams Cider (5/13/2022)")</f>
        <v>Uncle Sams Cider (5/13/2022)</v>
      </c>
      <c r="H6695" s="19"/>
    </row>
    <row r="6696">
      <c r="A6696" s="9"/>
      <c r="B6696" s="15"/>
      <c r="C6696" s="9">
        <f>IFERROR(__xludf.DUMMYFUNCTION("""COMPUTED_VALUE"""),44726.79837125)</f>
        <v>44726.79837</v>
      </c>
      <c r="D6696" s="15">
        <f>IFERROR(__xludf.DUMMYFUNCTION("""COMPUTED_VALUE"""),1.006)</f>
        <v>1.006</v>
      </c>
      <c r="E6696" s="16">
        <f>IFERROR(__xludf.DUMMYFUNCTION("""COMPUTED_VALUE"""),66.0)</f>
        <v>66</v>
      </c>
      <c r="F6696" s="19" t="str">
        <f>IFERROR(__xludf.DUMMYFUNCTION("""COMPUTED_VALUE"""),"BLACK")</f>
        <v>BLACK</v>
      </c>
      <c r="G6696" s="20" t="str">
        <f>IFERROR(__xludf.DUMMYFUNCTION("""COMPUTED_VALUE"""),"Uncle Sams Cider (5/13/2022)")</f>
        <v>Uncle Sams Cider (5/13/2022)</v>
      </c>
      <c r="H6696" s="19"/>
    </row>
    <row r="6697">
      <c r="A6697" s="9"/>
      <c r="B6697" s="15"/>
      <c r="C6697" s="9">
        <f>IFERROR(__xludf.DUMMYFUNCTION("""COMPUTED_VALUE"""),44726.7879495254)</f>
        <v>44726.78795</v>
      </c>
      <c r="D6697" s="15">
        <f>IFERROR(__xludf.DUMMYFUNCTION("""COMPUTED_VALUE"""),1.006)</f>
        <v>1.006</v>
      </c>
      <c r="E6697" s="16">
        <f>IFERROR(__xludf.DUMMYFUNCTION("""COMPUTED_VALUE"""),66.0)</f>
        <v>66</v>
      </c>
      <c r="F6697" s="19" t="str">
        <f>IFERROR(__xludf.DUMMYFUNCTION("""COMPUTED_VALUE"""),"BLACK")</f>
        <v>BLACK</v>
      </c>
      <c r="G6697" s="20" t="str">
        <f>IFERROR(__xludf.DUMMYFUNCTION("""COMPUTED_VALUE"""),"Uncle Sams Cider (5/13/2022)")</f>
        <v>Uncle Sams Cider (5/13/2022)</v>
      </c>
      <c r="H6697" s="19"/>
    </row>
    <row r="6698">
      <c r="A6698" s="9"/>
      <c r="B6698" s="15"/>
      <c r="C6698" s="9">
        <f>IFERROR(__xludf.DUMMYFUNCTION("""COMPUTED_VALUE"""),44726.7775167592)</f>
        <v>44726.77752</v>
      </c>
      <c r="D6698" s="15">
        <f>IFERROR(__xludf.DUMMYFUNCTION("""COMPUTED_VALUE"""),1.006)</f>
        <v>1.006</v>
      </c>
      <c r="E6698" s="16">
        <f>IFERROR(__xludf.DUMMYFUNCTION("""COMPUTED_VALUE"""),66.0)</f>
        <v>66</v>
      </c>
      <c r="F6698" s="19" t="str">
        <f>IFERROR(__xludf.DUMMYFUNCTION("""COMPUTED_VALUE"""),"BLACK")</f>
        <v>BLACK</v>
      </c>
      <c r="G6698" s="20" t="str">
        <f>IFERROR(__xludf.DUMMYFUNCTION("""COMPUTED_VALUE"""),"Uncle Sams Cider (5/13/2022)")</f>
        <v>Uncle Sams Cider (5/13/2022)</v>
      </c>
      <c r="H6698" s="19"/>
    </row>
    <row r="6699">
      <c r="A6699" s="9"/>
      <c r="B6699" s="15"/>
      <c r="C6699" s="9">
        <f>IFERROR(__xludf.DUMMYFUNCTION("""COMPUTED_VALUE"""),44726.7670828935)</f>
        <v>44726.76708</v>
      </c>
      <c r="D6699" s="15">
        <f>IFERROR(__xludf.DUMMYFUNCTION("""COMPUTED_VALUE"""),1.006)</f>
        <v>1.006</v>
      </c>
      <c r="E6699" s="16">
        <f>IFERROR(__xludf.DUMMYFUNCTION("""COMPUTED_VALUE"""),66.0)</f>
        <v>66</v>
      </c>
      <c r="F6699" s="19" t="str">
        <f>IFERROR(__xludf.DUMMYFUNCTION("""COMPUTED_VALUE"""),"BLACK")</f>
        <v>BLACK</v>
      </c>
      <c r="G6699" s="20" t="str">
        <f>IFERROR(__xludf.DUMMYFUNCTION("""COMPUTED_VALUE"""),"Uncle Sams Cider (5/13/2022)")</f>
        <v>Uncle Sams Cider (5/13/2022)</v>
      </c>
      <c r="H6699" s="19"/>
    </row>
    <row r="6700">
      <c r="A6700" s="9"/>
      <c r="B6700" s="15"/>
      <c r="C6700" s="9">
        <f>IFERROR(__xludf.DUMMYFUNCTION("""COMPUTED_VALUE"""),44726.7566498379)</f>
        <v>44726.75665</v>
      </c>
      <c r="D6700" s="15">
        <f>IFERROR(__xludf.DUMMYFUNCTION("""COMPUTED_VALUE"""),1.006)</f>
        <v>1.006</v>
      </c>
      <c r="E6700" s="16">
        <f>IFERROR(__xludf.DUMMYFUNCTION("""COMPUTED_VALUE"""),66.0)</f>
        <v>66</v>
      </c>
      <c r="F6700" s="19" t="str">
        <f>IFERROR(__xludf.DUMMYFUNCTION("""COMPUTED_VALUE"""),"BLACK")</f>
        <v>BLACK</v>
      </c>
      <c r="G6700" s="20" t="str">
        <f>IFERROR(__xludf.DUMMYFUNCTION("""COMPUTED_VALUE"""),"Uncle Sams Cider (5/13/2022)")</f>
        <v>Uncle Sams Cider (5/13/2022)</v>
      </c>
      <c r="H6700" s="19"/>
    </row>
    <row r="6701">
      <c r="A6701" s="9"/>
      <c r="B6701" s="15"/>
      <c r="C6701" s="9">
        <f>IFERROR(__xludf.DUMMYFUNCTION("""COMPUTED_VALUE"""),44726.7462068171)</f>
        <v>44726.74621</v>
      </c>
      <c r="D6701" s="15">
        <f>IFERROR(__xludf.DUMMYFUNCTION("""COMPUTED_VALUE"""),1.007)</f>
        <v>1.007</v>
      </c>
      <c r="E6701" s="16">
        <f>IFERROR(__xludf.DUMMYFUNCTION("""COMPUTED_VALUE"""),66.0)</f>
        <v>66</v>
      </c>
      <c r="F6701" s="19" t="str">
        <f>IFERROR(__xludf.DUMMYFUNCTION("""COMPUTED_VALUE"""),"BLACK")</f>
        <v>BLACK</v>
      </c>
      <c r="G6701" s="20" t="str">
        <f>IFERROR(__xludf.DUMMYFUNCTION("""COMPUTED_VALUE"""),"Uncle Sams Cider (5/13/2022)")</f>
        <v>Uncle Sams Cider (5/13/2022)</v>
      </c>
      <c r="H6701" s="19"/>
    </row>
    <row r="6702">
      <c r="A6702" s="9"/>
      <c r="B6702" s="15"/>
      <c r="C6702" s="9">
        <f>IFERROR(__xludf.DUMMYFUNCTION("""COMPUTED_VALUE"""),44726.7357836805)</f>
        <v>44726.73578</v>
      </c>
      <c r="D6702" s="15">
        <f>IFERROR(__xludf.DUMMYFUNCTION("""COMPUTED_VALUE"""),1.007)</f>
        <v>1.007</v>
      </c>
      <c r="E6702" s="16">
        <f>IFERROR(__xludf.DUMMYFUNCTION("""COMPUTED_VALUE"""),66.0)</f>
        <v>66</v>
      </c>
      <c r="F6702" s="19" t="str">
        <f>IFERROR(__xludf.DUMMYFUNCTION("""COMPUTED_VALUE"""),"BLACK")</f>
        <v>BLACK</v>
      </c>
      <c r="G6702" s="20" t="str">
        <f>IFERROR(__xludf.DUMMYFUNCTION("""COMPUTED_VALUE"""),"Uncle Sams Cider (5/13/2022)")</f>
        <v>Uncle Sams Cider (5/13/2022)</v>
      </c>
      <c r="H6702" s="19"/>
    </row>
    <row r="6703">
      <c r="A6703" s="9"/>
      <c r="B6703" s="15"/>
      <c r="C6703" s="9">
        <f>IFERROR(__xludf.DUMMYFUNCTION("""COMPUTED_VALUE"""),44726.7253627083)</f>
        <v>44726.72536</v>
      </c>
      <c r="D6703" s="15">
        <f>IFERROR(__xludf.DUMMYFUNCTION("""COMPUTED_VALUE"""),1.006)</f>
        <v>1.006</v>
      </c>
      <c r="E6703" s="16">
        <f>IFERROR(__xludf.DUMMYFUNCTION("""COMPUTED_VALUE"""),66.0)</f>
        <v>66</v>
      </c>
      <c r="F6703" s="19" t="str">
        <f>IFERROR(__xludf.DUMMYFUNCTION("""COMPUTED_VALUE"""),"BLACK")</f>
        <v>BLACK</v>
      </c>
      <c r="G6703" s="20" t="str">
        <f>IFERROR(__xludf.DUMMYFUNCTION("""COMPUTED_VALUE"""),"Uncle Sams Cider (5/13/2022)")</f>
        <v>Uncle Sams Cider (5/13/2022)</v>
      </c>
      <c r="H6703" s="19"/>
    </row>
    <row r="6704">
      <c r="A6704" s="9"/>
      <c r="B6704" s="15"/>
      <c r="C6704" s="9">
        <f>IFERROR(__xludf.DUMMYFUNCTION("""COMPUTED_VALUE"""),44726.7149410416)</f>
        <v>44726.71494</v>
      </c>
      <c r="D6704" s="15">
        <f>IFERROR(__xludf.DUMMYFUNCTION("""COMPUTED_VALUE"""),1.006)</f>
        <v>1.006</v>
      </c>
      <c r="E6704" s="16">
        <f>IFERROR(__xludf.DUMMYFUNCTION("""COMPUTED_VALUE"""),66.0)</f>
        <v>66</v>
      </c>
      <c r="F6704" s="19" t="str">
        <f>IFERROR(__xludf.DUMMYFUNCTION("""COMPUTED_VALUE"""),"BLACK")</f>
        <v>BLACK</v>
      </c>
      <c r="G6704" s="20" t="str">
        <f>IFERROR(__xludf.DUMMYFUNCTION("""COMPUTED_VALUE"""),"Uncle Sams Cider (5/13/2022)")</f>
        <v>Uncle Sams Cider (5/13/2022)</v>
      </c>
      <c r="H6704" s="19"/>
    </row>
    <row r="6705">
      <c r="A6705" s="9"/>
      <c r="B6705" s="15"/>
      <c r="C6705" s="9">
        <f>IFERROR(__xludf.DUMMYFUNCTION("""COMPUTED_VALUE"""),44726.7045082638)</f>
        <v>44726.70451</v>
      </c>
      <c r="D6705" s="15">
        <f>IFERROR(__xludf.DUMMYFUNCTION("""COMPUTED_VALUE"""),1.007)</f>
        <v>1.007</v>
      </c>
      <c r="E6705" s="16">
        <f>IFERROR(__xludf.DUMMYFUNCTION("""COMPUTED_VALUE"""),66.0)</f>
        <v>66</v>
      </c>
      <c r="F6705" s="19" t="str">
        <f>IFERROR(__xludf.DUMMYFUNCTION("""COMPUTED_VALUE"""),"BLACK")</f>
        <v>BLACK</v>
      </c>
      <c r="G6705" s="20" t="str">
        <f>IFERROR(__xludf.DUMMYFUNCTION("""COMPUTED_VALUE"""),"Uncle Sams Cider (5/13/2022)")</f>
        <v>Uncle Sams Cider (5/13/2022)</v>
      </c>
      <c r="H6705" s="19"/>
    </row>
    <row r="6706">
      <c r="A6706" s="9"/>
      <c r="B6706" s="15"/>
      <c r="C6706" s="9">
        <f>IFERROR(__xludf.DUMMYFUNCTION("""COMPUTED_VALUE"""),44726.6940746527)</f>
        <v>44726.69407</v>
      </c>
      <c r="D6706" s="15">
        <f>IFERROR(__xludf.DUMMYFUNCTION("""COMPUTED_VALUE"""),1.006)</f>
        <v>1.006</v>
      </c>
      <c r="E6706" s="16">
        <f>IFERROR(__xludf.DUMMYFUNCTION("""COMPUTED_VALUE"""),66.0)</f>
        <v>66</v>
      </c>
      <c r="F6706" s="19" t="str">
        <f>IFERROR(__xludf.DUMMYFUNCTION("""COMPUTED_VALUE"""),"BLACK")</f>
        <v>BLACK</v>
      </c>
      <c r="G6706" s="20" t="str">
        <f>IFERROR(__xludf.DUMMYFUNCTION("""COMPUTED_VALUE"""),"Uncle Sams Cider (5/13/2022)")</f>
        <v>Uncle Sams Cider (5/13/2022)</v>
      </c>
      <c r="H6706" s="19"/>
    </row>
    <row r="6707">
      <c r="A6707" s="9"/>
      <c r="B6707" s="15"/>
      <c r="C6707" s="9">
        <f>IFERROR(__xludf.DUMMYFUNCTION("""COMPUTED_VALUE"""),44726.6836404282)</f>
        <v>44726.68364</v>
      </c>
      <c r="D6707" s="15">
        <f>IFERROR(__xludf.DUMMYFUNCTION("""COMPUTED_VALUE"""),1.006)</f>
        <v>1.006</v>
      </c>
      <c r="E6707" s="16">
        <f>IFERROR(__xludf.DUMMYFUNCTION("""COMPUTED_VALUE"""),66.0)</f>
        <v>66</v>
      </c>
      <c r="F6707" s="19" t="str">
        <f>IFERROR(__xludf.DUMMYFUNCTION("""COMPUTED_VALUE"""),"BLACK")</f>
        <v>BLACK</v>
      </c>
      <c r="G6707" s="20" t="str">
        <f>IFERROR(__xludf.DUMMYFUNCTION("""COMPUTED_VALUE"""),"Uncle Sams Cider (5/13/2022)")</f>
        <v>Uncle Sams Cider (5/13/2022)</v>
      </c>
      <c r="H6707" s="19"/>
    </row>
    <row r="6708">
      <c r="A6708" s="9"/>
      <c r="B6708" s="15"/>
      <c r="C6708" s="9">
        <f>IFERROR(__xludf.DUMMYFUNCTION("""COMPUTED_VALUE"""),44726.6732167245)</f>
        <v>44726.67322</v>
      </c>
      <c r="D6708" s="15">
        <f>IFERROR(__xludf.DUMMYFUNCTION("""COMPUTED_VALUE"""),1.007)</f>
        <v>1.007</v>
      </c>
      <c r="E6708" s="16">
        <f>IFERROR(__xludf.DUMMYFUNCTION("""COMPUTED_VALUE"""),66.0)</f>
        <v>66</v>
      </c>
      <c r="F6708" s="19" t="str">
        <f>IFERROR(__xludf.DUMMYFUNCTION("""COMPUTED_VALUE"""),"BLACK")</f>
        <v>BLACK</v>
      </c>
      <c r="G6708" s="20" t="str">
        <f>IFERROR(__xludf.DUMMYFUNCTION("""COMPUTED_VALUE"""),"Uncle Sams Cider (5/13/2022)")</f>
        <v>Uncle Sams Cider (5/13/2022)</v>
      </c>
      <c r="H6708" s="19"/>
    </row>
    <row r="6709">
      <c r="A6709" s="9"/>
      <c r="B6709" s="15"/>
      <c r="C6709" s="9">
        <f>IFERROR(__xludf.DUMMYFUNCTION("""COMPUTED_VALUE"""),44726.6627959375)</f>
        <v>44726.6628</v>
      </c>
      <c r="D6709" s="15">
        <f>IFERROR(__xludf.DUMMYFUNCTION("""COMPUTED_VALUE"""),1.006)</f>
        <v>1.006</v>
      </c>
      <c r="E6709" s="16">
        <f>IFERROR(__xludf.DUMMYFUNCTION("""COMPUTED_VALUE"""),66.0)</f>
        <v>66</v>
      </c>
      <c r="F6709" s="19" t="str">
        <f>IFERROR(__xludf.DUMMYFUNCTION("""COMPUTED_VALUE"""),"BLACK")</f>
        <v>BLACK</v>
      </c>
      <c r="G6709" s="20" t="str">
        <f>IFERROR(__xludf.DUMMYFUNCTION("""COMPUTED_VALUE"""),"Uncle Sams Cider (5/13/2022)")</f>
        <v>Uncle Sams Cider (5/13/2022)</v>
      </c>
      <c r="H6709" s="19"/>
    </row>
    <row r="6710">
      <c r="A6710" s="9"/>
      <c r="B6710" s="15"/>
      <c r="C6710" s="9">
        <f>IFERROR(__xludf.DUMMYFUNCTION("""COMPUTED_VALUE"""),44726.6523748263)</f>
        <v>44726.65237</v>
      </c>
      <c r="D6710" s="15">
        <f>IFERROR(__xludf.DUMMYFUNCTION("""COMPUTED_VALUE"""),1.007)</f>
        <v>1.007</v>
      </c>
      <c r="E6710" s="16">
        <f>IFERROR(__xludf.DUMMYFUNCTION("""COMPUTED_VALUE"""),66.0)</f>
        <v>66</v>
      </c>
      <c r="F6710" s="19" t="str">
        <f>IFERROR(__xludf.DUMMYFUNCTION("""COMPUTED_VALUE"""),"BLACK")</f>
        <v>BLACK</v>
      </c>
      <c r="G6710" s="20" t="str">
        <f>IFERROR(__xludf.DUMMYFUNCTION("""COMPUTED_VALUE"""),"Uncle Sams Cider (5/13/2022)")</f>
        <v>Uncle Sams Cider (5/13/2022)</v>
      </c>
      <c r="H6710" s="19"/>
    </row>
    <row r="6711">
      <c r="A6711" s="9"/>
      <c r="B6711" s="15"/>
      <c r="C6711" s="9">
        <f>IFERROR(__xludf.DUMMYFUNCTION("""COMPUTED_VALUE"""),44726.6419527083)</f>
        <v>44726.64195</v>
      </c>
      <c r="D6711" s="15">
        <f>IFERROR(__xludf.DUMMYFUNCTION("""COMPUTED_VALUE"""),1.007)</f>
        <v>1.007</v>
      </c>
      <c r="E6711" s="16">
        <f>IFERROR(__xludf.DUMMYFUNCTION("""COMPUTED_VALUE"""),66.0)</f>
        <v>66</v>
      </c>
      <c r="F6711" s="19" t="str">
        <f>IFERROR(__xludf.DUMMYFUNCTION("""COMPUTED_VALUE"""),"BLACK")</f>
        <v>BLACK</v>
      </c>
      <c r="G6711" s="20" t="str">
        <f>IFERROR(__xludf.DUMMYFUNCTION("""COMPUTED_VALUE"""),"Uncle Sams Cider (5/13/2022)")</f>
        <v>Uncle Sams Cider (5/13/2022)</v>
      </c>
      <c r="H6711" s="19"/>
    </row>
    <row r="6712">
      <c r="A6712" s="9"/>
      <c r="B6712" s="15"/>
      <c r="C6712" s="9">
        <f>IFERROR(__xludf.DUMMYFUNCTION("""COMPUTED_VALUE"""),44726.6315325925)</f>
        <v>44726.63153</v>
      </c>
      <c r="D6712" s="15">
        <f>IFERROR(__xludf.DUMMYFUNCTION("""COMPUTED_VALUE"""),1.007)</f>
        <v>1.007</v>
      </c>
      <c r="E6712" s="16">
        <f>IFERROR(__xludf.DUMMYFUNCTION("""COMPUTED_VALUE"""),66.0)</f>
        <v>66</v>
      </c>
      <c r="F6712" s="19" t="str">
        <f>IFERROR(__xludf.DUMMYFUNCTION("""COMPUTED_VALUE"""),"BLACK")</f>
        <v>BLACK</v>
      </c>
      <c r="G6712" s="20" t="str">
        <f>IFERROR(__xludf.DUMMYFUNCTION("""COMPUTED_VALUE"""),"Uncle Sams Cider (5/13/2022)")</f>
        <v>Uncle Sams Cider (5/13/2022)</v>
      </c>
      <c r="H6712" s="19"/>
    </row>
    <row r="6713">
      <c r="A6713" s="9"/>
      <c r="B6713" s="15"/>
      <c r="C6713" s="9">
        <f>IFERROR(__xludf.DUMMYFUNCTION("""COMPUTED_VALUE"""),44726.621113287)</f>
        <v>44726.62111</v>
      </c>
      <c r="D6713" s="15">
        <f>IFERROR(__xludf.DUMMYFUNCTION("""COMPUTED_VALUE"""),1.006)</f>
        <v>1.006</v>
      </c>
      <c r="E6713" s="16">
        <f>IFERROR(__xludf.DUMMYFUNCTION("""COMPUTED_VALUE"""),66.0)</f>
        <v>66</v>
      </c>
      <c r="F6713" s="19" t="str">
        <f>IFERROR(__xludf.DUMMYFUNCTION("""COMPUTED_VALUE"""),"BLACK")</f>
        <v>BLACK</v>
      </c>
      <c r="G6713" s="20" t="str">
        <f>IFERROR(__xludf.DUMMYFUNCTION("""COMPUTED_VALUE"""),"Uncle Sams Cider (5/13/2022)")</f>
        <v>Uncle Sams Cider (5/13/2022)</v>
      </c>
      <c r="H6713" s="19"/>
    </row>
    <row r="6714">
      <c r="A6714" s="9"/>
      <c r="B6714" s="15"/>
      <c r="C6714" s="9">
        <f>IFERROR(__xludf.DUMMYFUNCTION("""COMPUTED_VALUE"""),44726.6106930092)</f>
        <v>44726.61069</v>
      </c>
      <c r="D6714" s="15">
        <f>IFERROR(__xludf.DUMMYFUNCTION("""COMPUTED_VALUE"""),1.006)</f>
        <v>1.006</v>
      </c>
      <c r="E6714" s="16">
        <f>IFERROR(__xludf.DUMMYFUNCTION("""COMPUTED_VALUE"""),66.0)</f>
        <v>66</v>
      </c>
      <c r="F6714" s="19" t="str">
        <f>IFERROR(__xludf.DUMMYFUNCTION("""COMPUTED_VALUE"""),"BLACK")</f>
        <v>BLACK</v>
      </c>
      <c r="G6714" s="20" t="str">
        <f>IFERROR(__xludf.DUMMYFUNCTION("""COMPUTED_VALUE"""),"Uncle Sams Cider (5/13/2022)")</f>
        <v>Uncle Sams Cider (5/13/2022)</v>
      </c>
      <c r="H6714" s="19"/>
    </row>
    <row r="6715">
      <c r="A6715" s="9"/>
      <c r="B6715" s="15"/>
      <c r="C6715" s="9">
        <f>IFERROR(__xludf.DUMMYFUNCTION("""COMPUTED_VALUE"""),44726.6002718402)</f>
        <v>44726.60027</v>
      </c>
      <c r="D6715" s="15">
        <f>IFERROR(__xludf.DUMMYFUNCTION("""COMPUTED_VALUE"""),1.006)</f>
        <v>1.006</v>
      </c>
      <c r="E6715" s="16">
        <f>IFERROR(__xludf.DUMMYFUNCTION("""COMPUTED_VALUE"""),66.0)</f>
        <v>66</v>
      </c>
      <c r="F6715" s="19" t="str">
        <f>IFERROR(__xludf.DUMMYFUNCTION("""COMPUTED_VALUE"""),"BLACK")</f>
        <v>BLACK</v>
      </c>
      <c r="G6715" s="20" t="str">
        <f>IFERROR(__xludf.DUMMYFUNCTION("""COMPUTED_VALUE"""),"Uncle Sams Cider (5/13/2022)")</f>
        <v>Uncle Sams Cider (5/13/2022)</v>
      </c>
      <c r="H6715" s="19"/>
    </row>
    <row r="6716">
      <c r="A6716" s="9"/>
      <c r="B6716" s="15"/>
      <c r="C6716" s="9">
        <f>IFERROR(__xludf.DUMMYFUNCTION("""COMPUTED_VALUE"""),44726.5898512615)</f>
        <v>44726.58985</v>
      </c>
      <c r="D6716" s="15">
        <f>IFERROR(__xludf.DUMMYFUNCTION("""COMPUTED_VALUE"""),1.006)</f>
        <v>1.006</v>
      </c>
      <c r="E6716" s="16">
        <f>IFERROR(__xludf.DUMMYFUNCTION("""COMPUTED_VALUE"""),66.0)</f>
        <v>66</v>
      </c>
      <c r="F6716" s="19" t="str">
        <f>IFERROR(__xludf.DUMMYFUNCTION("""COMPUTED_VALUE"""),"BLACK")</f>
        <v>BLACK</v>
      </c>
      <c r="G6716" s="20" t="str">
        <f>IFERROR(__xludf.DUMMYFUNCTION("""COMPUTED_VALUE"""),"Uncle Sams Cider (5/13/2022)")</f>
        <v>Uncle Sams Cider (5/13/2022)</v>
      </c>
      <c r="H6716" s="19"/>
    </row>
    <row r="6717">
      <c r="A6717" s="9"/>
      <c r="B6717" s="15"/>
      <c r="C6717" s="9">
        <f>IFERROR(__xludf.DUMMYFUNCTION("""COMPUTED_VALUE"""),44726.5794306481)</f>
        <v>44726.57943</v>
      </c>
      <c r="D6717" s="15">
        <f>IFERROR(__xludf.DUMMYFUNCTION("""COMPUTED_VALUE"""),1.006)</f>
        <v>1.006</v>
      </c>
      <c r="E6717" s="16">
        <f>IFERROR(__xludf.DUMMYFUNCTION("""COMPUTED_VALUE"""),66.0)</f>
        <v>66</v>
      </c>
      <c r="F6717" s="19" t="str">
        <f>IFERROR(__xludf.DUMMYFUNCTION("""COMPUTED_VALUE"""),"BLACK")</f>
        <v>BLACK</v>
      </c>
      <c r="G6717" s="20" t="str">
        <f>IFERROR(__xludf.DUMMYFUNCTION("""COMPUTED_VALUE"""),"Uncle Sams Cider (5/13/2022)")</f>
        <v>Uncle Sams Cider (5/13/2022)</v>
      </c>
      <c r="H6717" s="19"/>
    </row>
    <row r="6718">
      <c r="A6718" s="9"/>
      <c r="B6718" s="15"/>
      <c r="C6718" s="9">
        <f>IFERROR(__xludf.DUMMYFUNCTION("""COMPUTED_VALUE"""),44726.5690112731)</f>
        <v>44726.56901</v>
      </c>
      <c r="D6718" s="15">
        <f>IFERROR(__xludf.DUMMYFUNCTION("""COMPUTED_VALUE"""),1.006)</f>
        <v>1.006</v>
      </c>
      <c r="E6718" s="16">
        <f>IFERROR(__xludf.DUMMYFUNCTION("""COMPUTED_VALUE"""),66.0)</f>
        <v>66</v>
      </c>
      <c r="F6718" s="19" t="str">
        <f>IFERROR(__xludf.DUMMYFUNCTION("""COMPUTED_VALUE"""),"BLACK")</f>
        <v>BLACK</v>
      </c>
      <c r="G6718" s="20" t="str">
        <f>IFERROR(__xludf.DUMMYFUNCTION("""COMPUTED_VALUE"""),"Uncle Sams Cider (5/13/2022)")</f>
        <v>Uncle Sams Cider (5/13/2022)</v>
      </c>
      <c r="H6718" s="19"/>
    </row>
    <row r="6719">
      <c r="A6719" s="9"/>
      <c r="B6719" s="15"/>
      <c r="C6719" s="9">
        <f>IFERROR(__xludf.DUMMYFUNCTION("""COMPUTED_VALUE"""),44726.5585895949)</f>
        <v>44726.55859</v>
      </c>
      <c r="D6719" s="15">
        <f>IFERROR(__xludf.DUMMYFUNCTION("""COMPUTED_VALUE"""),1.006)</f>
        <v>1.006</v>
      </c>
      <c r="E6719" s="16">
        <f>IFERROR(__xludf.DUMMYFUNCTION("""COMPUTED_VALUE"""),66.0)</f>
        <v>66</v>
      </c>
      <c r="F6719" s="19" t="str">
        <f>IFERROR(__xludf.DUMMYFUNCTION("""COMPUTED_VALUE"""),"BLACK")</f>
        <v>BLACK</v>
      </c>
      <c r="G6719" s="20" t="str">
        <f>IFERROR(__xludf.DUMMYFUNCTION("""COMPUTED_VALUE"""),"Uncle Sams Cider (5/13/2022)")</f>
        <v>Uncle Sams Cider (5/13/2022)</v>
      </c>
      <c r="H6719" s="19"/>
    </row>
    <row r="6720">
      <c r="A6720" s="9"/>
      <c r="B6720" s="15"/>
      <c r="C6720" s="9">
        <f>IFERROR(__xludf.DUMMYFUNCTION("""COMPUTED_VALUE"""),44726.5481676388)</f>
        <v>44726.54817</v>
      </c>
      <c r="D6720" s="15">
        <f>IFERROR(__xludf.DUMMYFUNCTION("""COMPUTED_VALUE"""),1.007)</f>
        <v>1.007</v>
      </c>
      <c r="E6720" s="16">
        <f>IFERROR(__xludf.DUMMYFUNCTION("""COMPUTED_VALUE"""),66.0)</f>
        <v>66</v>
      </c>
      <c r="F6720" s="19" t="str">
        <f>IFERROR(__xludf.DUMMYFUNCTION("""COMPUTED_VALUE"""),"BLACK")</f>
        <v>BLACK</v>
      </c>
      <c r="G6720" s="20" t="str">
        <f>IFERROR(__xludf.DUMMYFUNCTION("""COMPUTED_VALUE"""),"Uncle Sams Cider (5/13/2022)")</f>
        <v>Uncle Sams Cider (5/13/2022)</v>
      </c>
      <c r="H6720" s="19"/>
    </row>
    <row r="6721">
      <c r="A6721" s="9"/>
      <c r="B6721" s="15"/>
      <c r="C6721" s="9">
        <f>IFERROR(__xludf.DUMMYFUNCTION("""COMPUTED_VALUE"""),44726.5377450925)</f>
        <v>44726.53775</v>
      </c>
      <c r="D6721" s="15">
        <f>IFERROR(__xludf.DUMMYFUNCTION("""COMPUTED_VALUE"""),1.006)</f>
        <v>1.006</v>
      </c>
      <c r="E6721" s="16">
        <f>IFERROR(__xludf.DUMMYFUNCTION("""COMPUTED_VALUE"""),66.0)</f>
        <v>66</v>
      </c>
      <c r="F6721" s="19" t="str">
        <f>IFERROR(__xludf.DUMMYFUNCTION("""COMPUTED_VALUE"""),"BLACK")</f>
        <v>BLACK</v>
      </c>
      <c r="G6721" s="20" t="str">
        <f>IFERROR(__xludf.DUMMYFUNCTION("""COMPUTED_VALUE"""),"Uncle Sams Cider (5/13/2022)")</f>
        <v>Uncle Sams Cider (5/13/2022)</v>
      </c>
      <c r="H6721" s="19"/>
    </row>
    <row r="6722">
      <c r="A6722" s="9"/>
      <c r="B6722" s="15"/>
      <c r="C6722" s="9">
        <f>IFERROR(__xludf.DUMMYFUNCTION("""COMPUTED_VALUE"""),44726.5273234953)</f>
        <v>44726.52732</v>
      </c>
      <c r="D6722" s="15">
        <f>IFERROR(__xludf.DUMMYFUNCTION("""COMPUTED_VALUE"""),1.007)</f>
        <v>1.007</v>
      </c>
      <c r="E6722" s="16">
        <f>IFERROR(__xludf.DUMMYFUNCTION("""COMPUTED_VALUE"""),66.0)</f>
        <v>66</v>
      </c>
      <c r="F6722" s="19" t="str">
        <f>IFERROR(__xludf.DUMMYFUNCTION("""COMPUTED_VALUE"""),"BLACK")</f>
        <v>BLACK</v>
      </c>
      <c r="G6722" s="20" t="str">
        <f>IFERROR(__xludf.DUMMYFUNCTION("""COMPUTED_VALUE"""),"Uncle Sams Cider (5/13/2022)")</f>
        <v>Uncle Sams Cider (5/13/2022)</v>
      </c>
      <c r="H6722" s="19"/>
    </row>
    <row r="6723">
      <c r="A6723" s="9"/>
      <c r="B6723" s="15"/>
      <c r="C6723" s="9">
        <f>IFERROR(__xludf.DUMMYFUNCTION("""COMPUTED_VALUE"""),44726.5169027546)</f>
        <v>44726.5169</v>
      </c>
      <c r="D6723" s="15">
        <f>IFERROR(__xludf.DUMMYFUNCTION("""COMPUTED_VALUE"""),1.007)</f>
        <v>1.007</v>
      </c>
      <c r="E6723" s="16">
        <f>IFERROR(__xludf.DUMMYFUNCTION("""COMPUTED_VALUE"""),66.0)</f>
        <v>66</v>
      </c>
      <c r="F6723" s="19" t="str">
        <f>IFERROR(__xludf.DUMMYFUNCTION("""COMPUTED_VALUE"""),"BLACK")</f>
        <v>BLACK</v>
      </c>
      <c r="G6723" s="20" t="str">
        <f>IFERROR(__xludf.DUMMYFUNCTION("""COMPUTED_VALUE"""),"Uncle Sams Cider (5/13/2022)")</f>
        <v>Uncle Sams Cider (5/13/2022)</v>
      </c>
      <c r="H6723" s="19"/>
    </row>
    <row r="6724">
      <c r="A6724" s="9"/>
      <c r="B6724" s="15"/>
      <c r="C6724" s="9">
        <f>IFERROR(__xludf.DUMMYFUNCTION("""COMPUTED_VALUE"""),44726.5064828935)</f>
        <v>44726.50648</v>
      </c>
      <c r="D6724" s="15">
        <f>IFERROR(__xludf.DUMMYFUNCTION("""COMPUTED_VALUE"""),1.006)</f>
        <v>1.006</v>
      </c>
      <c r="E6724" s="16">
        <f>IFERROR(__xludf.DUMMYFUNCTION("""COMPUTED_VALUE"""),66.0)</f>
        <v>66</v>
      </c>
      <c r="F6724" s="19" t="str">
        <f>IFERROR(__xludf.DUMMYFUNCTION("""COMPUTED_VALUE"""),"BLACK")</f>
        <v>BLACK</v>
      </c>
      <c r="G6724" s="20" t="str">
        <f>IFERROR(__xludf.DUMMYFUNCTION("""COMPUTED_VALUE"""),"Uncle Sams Cider (5/13/2022)")</f>
        <v>Uncle Sams Cider (5/13/2022)</v>
      </c>
      <c r="H6724" s="19"/>
    </row>
    <row r="6725">
      <c r="A6725" s="9"/>
      <c r="B6725" s="15"/>
      <c r="C6725" s="9">
        <f>IFERROR(__xludf.DUMMYFUNCTION("""COMPUTED_VALUE"""),44726.4960502199)</f>
        <v>44726.49605</v>
      </c>
      <c r="D6725" s="15">
        <f>IFERROR(__xludf.DUMMYFUNCTION("""COMPUTED_VALUE"""),1.006)</f>
        <v>1.006</v>
      </c>
      <c r="E6725" s="16">
        <f>IFERROR(__xludf.DUMMYFUNCTION("""COMPUTED_VALUE"""),66.0)</f>
        <v>66</v>
      </c>
      <c r="F6725" s="19" t="str">
        <f>IFERROR(__xludf.DUMMYFUNCTION("""COMPUTED_VALUE"""),"BLACK")</f>
        <v>BLACK</v>
      </c>
      <c r="G6725" s="20" t="str">
        <f>IFERROR(__xludf.DUMMYFUNCTION("""COMPUTED_VALUE"""),"Uncle Sams Cider (5/13/2022)")</f>
        <v>Uncle Sams Cider (5/13/2022)</v>
      </c>
      <c r="H6725" s="19"/>
    </row>
    <row r="6726">
      <c r="A6726" s="9"/>
      <c r="B6726" s="15"/>
      <c r="C6726" s="9">
        <f>IFERROR(__xludf.DUMMYFUNCTION("""COMPUTED_VALUE"""),44726.4856299884)</f>
        <v>44726.48563</v>
      </c>
      <c r="D6726" s="15">
        <f>IFERROR(__xludf.DUMMYFUNCTION("""COMPUTED_VALUE"""),1.006)</f>
        <v>1.006</v>
      </c>
      <c r="E6726" s="16">
        <f>IFERROR(__xludf.DUMMYFUNCTION("""COMPUTED_VALUE"""),66.0)</f>
        <v>66</v>
      </c>
      <c r="F6726" s="19" t="str">
        <f>IFERROR(__xludf.DUMMYFUNCTION("""COMPUTED_VALUE"""),"BLACK")</f>
        <v>BLACK</v>
      </c>
      <c r="G6726" s="20" t="str">
        <f>IFERROR(__xludf.DUMMYFUNCTION("""COMPUTED_VALUE"""),"Uncle Sams Cider (5/13/2022)")</f>
        <v>Uncle Sams Cider (5/13/2022)</v>
      </c>
      <c r="H6726" s="19"/>
    </row>
    <row r="6727">
      <c r="A6727" s="9"/>
      <c r="B6727" s="15"/>
      <c r="C6727" s="9">
        <f>IFERROR(__xludf.DUMMYFUNCTION("""COMPUTED_VALUE"""),44726.4752085879)</f>
        <v>44726.47521</v>
      </c>
      <c r="D6727" s="15">
        <f>IFERROR(__xludf.DUMMYFUNCTION("""COMPUTED_VALUE"""),1.007)</f>
        <v>1.007</v>
      </c>
      <c r="E6727" s="16">
        <f>IFERROR(__xludf.DUMMYFUNCTION("""COMPUTED_VALUE"""),66.0)</f>
        <v>66</v>
      </c>
      <c r="F6727" s="19" t="str">
        <f>IFERROR(__xludf.DUMMYFUNCTION("""COMPUTED_VALUE"""),"BLACK")</f>
        <v>BLACK</v>
      </c>
      <c r="G6727" s="20" t="str">
        <f>IFERROR(__xludf.DUMMYFUNCTION("""COMPUTED_VALUE"""),"Uncle Sams Cider (5/13/2022)")</f>
        <v>Uncle Sams Cider (5/13/2022)</v>
      </c>
      <c r="H6727" s="19"/>
    </row>
    <row r="6728">
      <c r="A6728" s="9"/>
      <c r="B6728" s="15"/>
      <c r="C6728" s="9">
        <f>IFERROR(__xludf.DUMMYFUNCTION("""COMPUTED_VALUE"""),44726.464787581)</f>
        <v>44726.46479</v>
      </c>
      <c r="D6728" s="15">
        <f>IFERROR(__xludf.DUMMYFUNCTION("""COMPUTED_VALUE"""),1.006)</f>
        <v>1.006</v>
      </c>
      <c r="E6728" s="16">
        <f>IFERROR(__xludf.DUMMYFUNCTION("""COMPUTED_VALUE"""),66.0)</f>
        <v>66</v>
      </c>
      <c r="F6728" s="19" t="str">
        <f>IFERROR(__xludf.DUMMYFUNCTION("""COMPUTED_VALUE"""),"BLACK")</f>
        <v>BLACK</v>
      </c>
      <c r="G6728" s="20" t="str">
        <f>IFERROR(__xludf.DUMMYFUNCTION("""COMPUTED_VALUE"""),"Uncle Sams Cider (5/13/2022)")</f>
        <v>Uncle Sams Cider (5/13/2022)</v>
      </c>
      <c r="H6728" s="19"/>
    </row>
    <row r="6729">
      <c r="A6729" s="9"/>
      <c r="B6729" s="15"/>
      <c r="C6729" s="9">
        <f>IFERROR(__xludf.DUMMYFUNCTION("""COMPUTED_VALUE"""),44726.4543676388)</f>
        <v>44726.45437</v>
      </c>
      <c r="D6729" s="15">
        <f>IFERROR(__xludf.DUMMYFUNCTION("""COMPUTED_VALUE"""),1.007)</f>
        <v>1.007</v>
      </c>
      <c r="E6729" s="16">
        <f>IFERROR(__xludf.DUMMYFUNCTION("""COMPUTED_VALUE"""),66.0)</f>
        <v>66</v>
      </c>
      <c r="F6729" s="19" t="str">
        <f>IFERROR(__xludf.DUMMYFUNCTION("""COMPUTED_VALUE"""),"BLACK")</f>
        <v>BLACK</v>
      </c>
      <c r="G6729" s="20" t="str">
        <f>IFERROR(__xludf.DUMMYFUNCTION("""COMPUTED_VALUE"""),"Uncle Sams Cider (5/13/2022)")</f>
        <v>Uncle Sams Cider (5/13/2022)</v>
      </c>
      <c r="H6729" s="19"/>
    </row>
    <row r="6730">
      <c r="A6730" s="9"/>
      <c r="B6730" s="15"/>
      <c r="C6730" s="9">
        <f>IFERROR(__xludf.DUMMYFUNCTION("""COMPUTED_VALUE"""),44726.4439451504)</f>
        <v>44726.44395</v>
      </c>
      <c r="D6730" s="15">
        <f>IFERROR(__xludf.DUMMYFUNCTION("""COMPUTED_VALUE"""),1.007)</f>
        <v>1.007</v>
      </c>
      <c r="E6730" s="16">
        <f>IFERROR(__xludf.DUMMYFUNCTION("""COMPUTED_VALUE"""),66.0)</f>
        <v>66</v>
      </c>
      <c r="F6730" s="19" t="str">
        <f>IFERROR(__xludf.DUMMYFUNCTION("""COMPUTED_VALUE"""),"BLACK")</f>
        <v>BLACK</v>
      </c>
      <c r="G6730" s="20" t="str">
        <f>IFERROR(__xludf.DUMMYFUNCTION("""COMPUTED_VALUE"""),"Uncle Sams Cider (5/13/2022)")</f>
        <v>Uncle Sams Cider (5/13/2022)</v>
      </c>
      <c r="H6730" s="19"/>
    </row>
    <row r="6731">
      <c r="A6731" s="9"/>
      <c r="B6731" s="15"/>
      <c r="C6731" s="9">
        <f>IFERROR(__xludf.DUMMYFUNCTION("""COMPUTED_VALUE"""),44726.4335230092)</f>
        <v>44726.43352</v>
      </c>
      <c r="D6731" s="15">
        <f>IFERROR(__xludf.DUMMYFUNCTION("""COMPUTED_VALUE"""),1.007)</f>
        <v>1.007</v>
      </c>
      <c r="E6731" s="16">
        <f>IFERROR(__xludf.DUMMYFUNCTION("""COMPUTED_VALUE"""),66.0)</f>
        <v>66</v>
      </c>
      <c r="F6731" s="19" t="str">
        <f>IFERROR(__xludf.DUMMYFUNCTION("""COMPUTED_VALUE"""),"BLACK")</f>
        <v>BLACK</v>
      </c>
      <c r="G6731" s="20" t="str">
        <f>IFERROR(__xludf.DUMMYFUNCTION("""COMPUTED_VALUE"""),"Uncle Sams Cider (5/13/2022)")</f>
        <v>Uncle Sams Cider (5/13/2022)</v>
      </c>
      <c r="H6731" s="19"/>
    </row>
    <row r="6732">
      <c r="A6732" s="9"/>
      <c r="B6732" s="15"/>
      <c r="C6732" s="9">
        <f>IFERROR(__xludf.DUMMYFUNCTION("""COMPUTED_VALUE"""),44726.4231015393)</f>
        <v>44726.4231</v>
      </c>
      <c r="D6732" s="15">
        <f>IFERROR(__xludf.DUMMYFUNCTION("""COMPUTED_VALUE"""),1.007)</f>
        <v>1.007</v>
      </c>
      <c r="E6732" s="16">
        <f>IFERROR(__xludf.DUMMYFUNCTION("""COMPUTED_VALUE"""),66.0)</f>
        <v>66</v>
      </c>
      <c r="F6732" s="19" t="str">
        <f>IFERROR(__xludf.DUMMYFUNCTION("""COMPUTED_VALUE"""),"BLACK")</f>
        <v>BLACK</v>
      </c>
      <c r="G6732" s="20" t="str">
        <f>IFERROR(__xludf.DUMMYFUNCTION("""COMPUTED_VALUE"""),"Uncle Sams Cider (5/13/2022)")</f>
        <v>Uncle Sams Cider (5/13/2022)</v>
      </c>
      <c r="H6732" s="19"/>
    </row>
    <row r="6733">
      <c r="A6733" s="9"/>
      <c r="B6733" s="15"/>
      <c r="C6733" s="9">
        <f>IFERROR(__xludf.DUMMYFUNCTION("""COMPUTED_VALUE"""),44726.4126774189)</f>
        <v>44726.41268</v>
      </c>
      <c r="D6733" s="15">
        <f>IFERROR(__xludf.DUMMYFUNCTION("""COMPUTED_VALUE"""),1.007)</f>
        <v>1.007</v>
      </c>
      <c r="E6733" s="16">
        <f>IFERROR(__xludf.DUMMYFUNCTION("""COMPUTED_VALUE"""),66.0)</f>
        <v>66</v>
      </c>
      <c r="F6733" s="19" t="str">
        <f>IFERROR(__xludf.DUMMYFUNCTION("""COMPUTED_VALUE"""),"BLACK")</f>
        <v>BLACK</v>
      </c>
      <c r="G6733" s="20" t="str">
        <f>IFERROR(__xludf.DUMMYFUNCTION("""COMPUTED_VALUE"""),"Uncle Sams Cider (5/13/2022)")</f>
        <v>Uncle Sams Cider (5/13/2022)</v>
      </c>
      <c r="H6733" s="19"/>
    </row>
    <row r="6734">
      <c r="A6734" s="9"/>
      <c r="B6734" s="15"/>
      <c r="C6734" s="9">
        <f>IFERROR(__xludf.DUMMYFUNCTION("""COMPUTED_VALUE"""),44726.4022554861)</f>
        <v>44726.40226</v>
      </c>
      <c r="D6734" s="15">
        <f>IFERROR(__xludf.DUMMYFUNCTION("""COMPUTED_VALUE"""),1.006)</f>
        <v>1.006</v>
      </c>
      <c r="E6734" s="16">
        <f>IFERROR(__xludf.DUMMYFUNCTION("""COMPUTED_VALUE"""),66.0)</f>
        <v>66</v>
      </c>
      <c r="F6734" s="19" t="str">
        <f>IFERROR(__xludf.DUMMYFUNCTION("""COMPUTED_VALUE"""),"BLACK")</f>
        <v>BLACK</v>
      </c>
      <c r="G6734" s="20" t="str">
        <f>IFERROR(__xludf.DUMMYFUNCTION("""COMPUTED_VALUE"""),"Uncle Sams Cider (5/13/2022)")</f>
        <v>Uncle Sams Cider (5/13/2022)</v>
      </c>
      <c r="H6734" s="19"/>
    </row>
    <row r="6735">
      <c r="A6735" s="9"/>
      <c r="B6735" s="15"/>
      <c r="C6735" s="9">
        <f>IFERROR(__xludf.DUMMYFUNCTION("""COMPUTED_VALUE"""),44726.3918349537)</f>
        <v>44726.39183</v>
      </c>
      <c r="D6735" s="15">
        <f>IFERROR(__xludf.DUMMYFUNCTION("""COMPUTED_VALUE"""),1.006)</f>
        <v>1.006</v>
      </c>
      <c r="E6735" s="16">
        <f>IFERROR(__xludf.DUMMYFUNCTION("""COMPUTED_VALUE"""),66.0)</f>
        <v>66</v>
      </c>
      <c r="F6735" s="19" t="str">
        <f>IFERROR(__xludf.DUMMYFUNCTION("""COMPUTED_VALUE"""),"BLACK")</f>
        <v>BLACK</v>
      </c>
      <c r="G6735" s="20" t="str">
        <f>IFERROR(__xludf.DUMMYFUNCTION("""COMPUTED_VALUE"""),"Uncle Sams Cider (5/13/2022)")</f>
        <v>Uncle Sams Cider (5/13/2022)</v>
      </c>
      <c r="H6735" s="19"/>
    </row>
    <row r="6736">
      <c r="A6736" s="9"/>
      <c r="B6736" s="15"/>
      <c r="C6736" s="9">
        <f>IFERROR(__xludf.DUMMYFUNCTION("""COMPUTED_VALUE"""),44726.381413125)</f>
        <v>44726.38141</v>
      </c>
      <c r="D6736" s="15">
        <f>IFERROR(__xludf.DUMMYFUNCTION("""COMPUTED_VALUE"""),1.007)</f>
        <v>1.007</v>
      </c>
      <c r="E6736" s="16">
        <f>IFERROR(__xludf.DUMMYFUNCTION("""COMPUTED_VALUE"""),66.0)</f>
        <v>66</v>
      </c>
      <c r="F6736" s="19" t="str">
        <f>IFERROR(__xludf.DUMMYFUNCTION("""COMPUTED_VALUE"""),"BLACK")</f>
        <v>BLACK</v>
      </c>
      <c r="G6736" s="20" t="str">
        <f>IFERROR(__xludf.DUMMYFUNCTION("""COMPUTED_VALUE"""),"Uncle Sams Cider (5/13/2022)")</f>
        <v>Uncle Sams Cider (5/13/2022)</v>
      </c>
      <c r="H6736" s="19"/>
    </row>
    <row r="6737">
      <c r="A6737" s="9"/>
      <c r="B6737" s="15"/>
      <c r="C6737" s="9">
        <f>IFERROR(__xludf.DUMMYFUNCTION("""COMPUTED_VALUE"""),44726.3709916088)</f>
        <v>44726.37099</v>
      </c>
      <c r="D6737" s="15">
        <f>IFERROR(__xludf.DUMMYFUNCTION("""COMPUTED_VALUE"""),1.007)</f>
        <v>1.007</v>
      </c>
      <c r="E6737" s="16">
        <f>IFERROR(__xludf.DUMMYFUNCTION("""COMPUTED_VALUE"""),66.0)</f>
        <v>66</v>
      </c>
      <c r="F6737" s="19" t="str">
        <f>IFERROR(__xludf.DUMMYFUNCTION("""COMPUTED_VALUE"""),"BLACK")</f>
        <v>BLACK</v>
      </c>
      <c r="G6737" s="20" t="str">
        <f>IFERROR(__xludf.DUMMYFUNCTION("""COMPUTED_VALUE"""),"Uncle Sams Cider (5/13/2022)")</f>
        <v>Uncle Sams Cider (5/13/2022)</v>
      </c>
      <c r="H6737" s="19"/>
    </row>
    <row r="6738">
      <c r="A6738" s="9"/>
      <c r="B6738" s="15"/>
      <c r="C6738" s="9">
        <f>IFERROR(__xludf.DUMMYFUNCTION("""COMPUTED_VALUE"""),44726.3605708449)</f>
        <v>44726.36057</v>
      </c>
      <c r="D6738" s="15">
        <f>IFERROR(__xludf.DUMMYFUNCTION("""COMPUTED_VALUE"""),1.007)</f>
        <v>1.007</v>
      </c>
      <c r="E6738" s="16">
        <f>IFERROR(__xludf.DUMMYFUNCTION("""COMPUTED_VALUE"""),66.0)</f>
        <v>66</v>
      </c>
      <c r="F6738" s="19" t="str">
        <f>IFERROR(__xludf.DUMMYFUNCTION("""COMPUTED_VALUE"""),"BLACK")</f>
        <v>BLACK</v>
      </c>
      <c r="G6738" s="20" t="str">
        <f>IFERROR(__xludf.DUMMYFUNCTION("""COMPUTED_VALUE"""),"Uncle Sams Cider (5/13/2022)")</f>
        <v>Uncle Sams Cider (5/13/2022)</v>
      </c>
      <c r="H6738" s="19"/>
    </row>
    <row r="6739">
      <c r="A6739" s="9"/>
      <c r="B6739" s="15"/>
      <c r="C6739" s="9">
        <f>IFERROR(__xludf.DUMMYFUNCTION("""COMPUTED_VALUE"""),44726.3501384143)</f>
        <v>44726.35014</v>
      </c>
      <c r="D6739" s="15">
        <f>IFERROR(__xludf.DUMMYFUNCTION("""COMPUTED_VALUE"""),1.006)</f>
        <v>1.006</v>
      </c>
      <c r="E6739" s="16">
        <f>IFERROR(__xludf.DUMMYFUNCTION("""COMPUTED_VALUE"""),66.0)</f>
        <v>66</v>
      </c>
      <c r="F6739" s="19" t="str">
        <f>IFERROR(__xludf.DUMMYFUNCTION("""COMPUTED_VALUE"""),"BLACK")</f>
        <v>BLACK</v>
      </c>
      <c r="G6739" s="20" t="str">
        <f>IFERROR(__xludf.DUMMYFUNCTION("""COMPUTED_VALUE"""),"Uncle Sams Cider (5/13/2022)")</f>
        <v>Uncle Sams Cider (5/13/2022)</v>
      </c>
      <c r="H6739" s="19"/>
    </row>
    <row r="6740">
      <c r="A6740" s="9"/>
      <c r="B6740" s="15"/>
      <c r="C6740" s="9">
        <f>IFERROR(__xludf.DUMMYFUNCTION("""COMPUTED_VALUE"""),44726.3397169213)</f>
        <v>44726.33972</v>
      </c>
      <c r="D6740" s="15">
        <f>IFERROR(__xludf.DUMMYFUNCTION("""COMPUTED_VALUE"""),1.007)</f>
        <v>1.007</v>
      </c>
      <c r="E6740" s="16">
        <f>IFERROR(__xludf.DUMMYFUNCTION("""COMPUTED_VALUE"""),66.0)</f>
        <v>66</v>
      </c>
      <c r="F6740" s="19" t="str">
        <f>IFERROR(__xludf.DUMMYFUNCTION("""COMPUTED_VALUE"""),"BLACK")</f>
        <v>BLACK</v>
      </c>
      <c r="G6740" s="20" t="str">
        <f>IFERROR(__xludf.DUMMYFUNCTION("""COMPUTED_VALUE"""),"Uncle Sams Cider (5/13/2022)")</f>
        <v>Uncle Sams Cider (5/13/2022)</v>
      </c>
      <c r="H6740" s="19"/>
    </row>
    <row r="6741">
      <c r="A6741" s="9"/>
      <c r="B6741" s="15"/>
      <c r="C6741" s="9">
        <f>IFERROR(__xludf.DUMMYFUNCTION("""COMPUTED_VALUE"""),44726.3292956481)</f>
        <v>44726.3293</v>
      </c>
      <c r="D6741" s="15">
        <f>IFERROR(__xludf.DUMMYFUNCTION("""COMPUTED_VALUE"""),1.006)</f>
        <v>1.006</v>
      </c>
      <c r="E6741" s="16">
        <f>IFERROR(__xludf.DUMMYFUNCTION("""COMPUTED_VALUE"""),66.0)</f>
        <v>66</v>
      </c>
      <c r="F6741" s="19" t="str">
        <f>IFERROR(__xludf.DUMMYFUNCTION("""COMPUTED_VALUE"""),"BLACK")</f>
        <v>BLACK</v>
      </c>
      <c r="G6741" s="20" t="str">
        <f>IFERROR(__xludf.DUMMYFUNCTION("""COMPUTED_VALUE"""),"Uncle Sams Cider (5/13/2022)")</f>
        <v>Uncle Sams Cider (5/13/2022)</v>
      </c>
      <c r="H6741" s="19"/>
    </row>
    <row r="6742">
      <c r="A6742" s="9"/>
      <c r="B6742" s="15"/>
      <c r="C6742" s="9">
        <f>IFERROR(__xludf.DUMMYFUNCTION("""COMPUTED_VALUE"""),44726.3188735995)</f>
        <v>44726.31887</v>
      </c>
      <c r="D6742" s="15">
        <f>IFERROR(__xludf.DUMMYFUNCTION("""COMPUTED_VALUE"""),1.006)</f>
        <v>1.006</v>
      </c>
      <c r="E6742" s="16">
        <f>IFERROR(__xludf.DUMMYFUNCTION("""COMPUTED_VALUE"""),66.0)</f>
        <v>66</v>
      </c>
      <c r="F6742" s="19" t="str">
        <f>IFERROR(__xludf.DUMMYFUNCTION("""COMPUTED_VALUE"""),"BLACK")</f>
        <v>BLACK</v>
      </c>
      <c r="G6742" s="20" t="str">
        <f>IFERROR(__xludf.DUMMYFUNCTION("""COMPUTED_VALUE"""),"Uncle Sams Cider (5/13/2022)")</f>
        <v>Uncle Sams Cider (5/13/2022)</v>
      </c>
      <c r="H6742" s="19"/>
    </row>
    <row r="6743">
      <c r="A6743" s="9"/>
      <c r="B6743" s="15"/>
      <c r="C6743" s="9">
        <f>IFERROR(__xludf.DUMMYFUNCTION("""COMPUTED_VALUE"""),44726.3084423726)</f>
        <v>44726.30844</v>
      </c>
      <c r="D6743" s="15">
        <f>IFERROR(__xludf.DUMMYFUNCTION("""COMPUTED_VALUE"""),1.006)</f>
        <v>1.006</v>
      </c>
      <c r="E6743" s="16">
        <f>IFERROR(__xludf.DUMMYFUNCTION("""COMPUTED_VALUE"""),66.0)</f>
        <v>66</v>
      </c>
      <c r="F6743" s="19" t="str">
        <f>IFERROR(__xludf.DUMMYFUNCTION("""COMPUTED_VALUE"""),"BLACK")</f>
        <v>BLACK</v>
      </c>
      <c r="G6743" s="20" t="str">
        <f>IFERROR(__xludf.DUMMYFUNCTION("""COMPUTED_VALUE"""),"Uncle Sams Cider (5/13/2022)")</f>
        <v>Uncle Sams Cider (5/13/2022)</v>
      </c>
      <c r="H6743" s="19"/>
    </row>
    <row r="6744">
      <c r="A6744" s="9"/>
      <c r="B6744" s="15"/>
      <c r="C6744" s="9">
        <f>IFERROR(__xludf.DUMMYFUNCTION("""COMPUTED_VALUE"""),44726.2980106828)</f>
        <v>44726.29801</v>
      </c>
      <c r="D6744" s="15">
        <f>IFERROR(__xludf.DUMMYFUNCTION("""COMPUTED_VALUE"""),1.006)</f>
        <v>1.006</v>
      </c>
      <c r="E6744" s="16">
        <f>IFERROR(__xludf.DUMMYFUNCTION("""COMPUTED_VALUE"""),66.0)</f>
        <v>66</v>
      </c>
      <c r="F6744" s="19" t="str">
        <f>IFERROR(__xludf.DUMMYFUNCTION("""COMPUTED_VALUE"""),"BLACK")</f>
        <v>BLACK</v>
      </c>
      <c r="G6744" s="20" t="str">
        <f>IFERROR(__xludf.DUMMYFUNCTION("""COMPUTED_VALUE"""),"Uncle Sams Cider (5/13/2022)")</f>
        <v>Uncle Sams Cider (5/13/2022)</v>
      </c>
      <c r="H6744" s="19"/>
    </row>
    <row r="6745">
      <c r="A6745" s="9"/>
      <c r="B6745" s="15"/>
      <c r="C6745" s="9">
        <f>IFERROR(__xludf.DUMMYFUNCTION("""COMPUTED_VALUE"""),44726.2875901273)</f>
        <v>44726.28759</v>
      </c>
      <c r="D6745" s="15">
        <f>IFERROR(__xludf.DUMMYFUNCTION("""COMPUTED_VALUE"""),1.006)</f>
        <v>1.006</v>
      </c>
      <c r="E6745" s="16">
        <f>IFERROR(__xludf.DUMMYFUNCTION("""COMPUTED_VALUE"""),66.0)</f>
        <v>66</v>
      </c>
      <c r="F6745" s="19" t="str">
        <f>IFERROR(__xludf.DUMMYFUNCTION("""COMPUTED_VALUE"""),"BLACK")</f>
        <v>BLACK</v>
      </c>
      <c r="G6745" s="20" t="str">
        <f>IFERROR(__xludf.DUMMYFUNCTION("""COMPUTED_VALUE"""),"Uncle Sams Cider (5/13/2022)")</f>
        <v>Uncle Sams Cider (5/13/2022)</v>
      </c>
      <c r="H6745" s="19"/>
    </row>
    <row r="6746">
      <c r="A6746" s="9"/>
      <c r="B6746" s="15"/>
      <c r="C6746" s="9">
        <f>IFERROR(__xludf.DUMMYFUNCTION("""COMPUTED_VALUE"""),44726.2771564004)</f>
        <v>44726.27716</v>
      </c>
      <c r="D6746" s="15">
        <f>IFERROR(__xludf.DUMMYFUNCTION("""COMPUTED_VALUE"""),1.006)</f>
        <v>1.006</v>
      </c>
      <c r="E6746" s="16">
        <f>IFERROR(__xludf.DUMMYFUNCTION("""COMPUTED_VALUE"""),66.0)</f>
        <v>66</v>
      </c>
      <c r="F6746" s="19" t="str">
        <f>IFERROR(__xludf.DUMMYFUNCTION("""COMPUTED_VALUE"""),"BLACK")</f>
        <v>BLACK</v>
      </c>
      <c r="G6746" s="20" t="str">
        <f>IFERROR(__xludf.DUMMYFUNCTION("""COMPUTED_VALUE"""),"Uncle Sams Cider (5/13/2022)")</f>
        <v>Uncle Sams Cider (5/13/2022)</v>
      </c>
      <c r="H6746" s="19"/>
    </row>
    <row r="6747">
      <c r="A6747" s="9"/>
      <c r="B6747" s="15"/>
      <c r="C6747" s="9">
        <f>IFERROR(__xludf.DUMMYFUNCTION("""COMPUTED_VALUE"""),44726.2667244444)</f>
        <v>44726.26672</v>
      </c>
      <c r="D6747" s="15">
        <f>IFERROR(__xludf.DUMMYFUNCTION("""COMPUTED_VALUE"""),1.007)</f>
        <v>1.007</v>
      </c>
      <c r="E6747" s="16">
        <f>IFERROR(__xludf.DUMMYFUNCTION("""COMPUTED_VALUE"""),66.0)</f>
        <v>66</v>
      </c>
      <c r="F6747" s="19" t="str">
        <f>IFERROR(__xludf.DUMMYFUNCTION("""COMPUTED_VALUE"""),"BLACK")</f>
        <v>BLACK</v>
      </c>
      <c r="G6747" s="20" t="str">
        <f>IFERROR(__xludf.DUMMYFUNCTION("""COMPUTED_VALUE"""),"Uncle Sams Cider (5/13/2022)")</f>
        <v>Uncle Sams Cider (5/13/2022)</v>
      </c>
      <c r="H6747" s="19"/>
    </row>
    <row r="6748">
      <c r="A6748" s="9"/>
      <c r="B6748" s="15"/>
      <c r="C6748" s="9">
        <f>IFERROR(__xludf.DUMMYFUNCTION("""COMPUTED_VALUE"""),44726.2562794791)</f>
        <v>44726.25628</v>
      </c>
      <c r="D6748" s="15">
        <f>IFERROR(__xludf.DUMMYFUNCTION("""COMPUTED_VALUE"""),1.006)</f>
        <v>1.006</v>
      </c>
      <c r="E6748" s="16">
        <f>IFERROR(__xludf.DUMMYFUNCTION("""COMPUTED_VALUE"""),66.0)</f>
        <v>66</v>
      </c>
      <c r="F6748" s="19" t="str">
        <f>IFERROR(__xludf.DUMMYFUNCTION("""COMPUTED_VALUE"""),"BLACK")</f>
        <v>BLACK</v>
      </c>
      <c r="G6748" s="20" t="str">
        <f>IFERROR(__xludf.DUMMYFUNCTION("""COMPUTED_VALUE"""),"Uncle Sams Cider (5/13/2022)")</f>
        <v>Uncle Sams Cider (5/13/2022)</v>
      </c>
      <c r="H6748" s="19"/>
    </row>
    <row r="6749">
      <c r="A6749" s="9"/>
      <c r="B6749" s="15"/>
      <c r="C6749" s="9">
        <f>IFERROR(__xludf.DUMMYFUNCTION("""COMPUTED_VALUE"""),44726.2458581365)</f>
        <v>44726.24586</v>
      </c>
      <c r="D6749" s="15">
        <f>IFERROR(__xludf.DUMMYFUNCTION("""COMPUTED_VALUE"""),1.007)</f>
        <v>1.007</v>
      </c>
      <c r="E6749" s="16">
        <f>IFERROR(__xludf.DUMMYFUNCTION("""COMPUTED_VALUE"""),66.0)</f>
        <v>66</v>
      </c>
      <c r="F6749" s="19" t="str">
        <f>IFERROR(__xludf.DUMMYFUNCTION("""COMPUTED_VALUE"""),"BLACK")</f>
        <v>BLACK</v>
      </c>
      <c r="G6749" s="20" t="str">
        <f>IFERROR(__xludf.DUMMYFUNCTION("""COMPUTED_VALUE"""),"Uncle Sams Cider (5/13/2022)")</f>
        <v>Uncle Sams Cider (5/13/2022)</v>
      </c>
      <c r="H6749" s="19"/>
    </row>
    <row r="6750">
      <c r="A6750" s="9"/>
      <c r="B6750" s="15"/>
      <c r="C6750" s="9">
        <f>IFERROR(__xludf.DUMMYFUNCTION("""COMPUTED_VALUE"""),44726.2353914699)</f>
        <v>44726.23539</v>
      </c>
      <c r="D6750" s="15">
        <f>IFERROR(__xludf.DUMMYFUNCTION("""COMPUTED_VALUE"""),1.006)</f>
        <v>1.006</v>
      </c>
      <c r="E6750" s="16">
        <f>IFERROR(__xludf.DUMMYFUNCTION("""COMPUTED_VALUE"""),66.0)</f>
        <v>66</v>
      </c>
      <c r="F6750" s="19" t="str">
        <f>IFERROR(__xludf.DUMMYFUNCTION("""COMPUTED_VALUE"""),"BLACK")</f>
        <v>BLACK</v>
      </c>
      <c r="G6750" s="20" t="str">
        <f>IFERROR(__xludf.DUMMYFUNCTION("""COMPUTED_VALUE"""),"Uncle Sams Cider (5/13/2022)")</f>
        <v>Uncle Sams Cider (5/13/2022)</v>
      </c>
      <c r="H6750" s="19"/>
    </row>
    <row r="6751">
      <c r="A6751" s="9"/>
      <c r="B6751" s="15"/>
      <c r="C6751" s="9">
        <f>IFERROR(__xludf.DUMMYFUNCTION("""COMPUTED_VALUE"""),44726.2249583101)</f>
        <v>44726.22496</v>
      </c>
      <c r="D6751" s="15">
        <f>IFERROR(__xludf.DUMMYFUNCTION("""COMPUTED_VALUE"""),1.006)</f>
        <v>1.006</v>
      </c>
      <c r="E6751" s="16">
        <f>IFERROR(__xludf.DUMMYFUNCTION("""COMPUTED_VALUE"""),66.0)</f>
        <v>66</v>
      </c>
      <c r="F6751" s="19" t="str">
        <f>IFERROR(__xludf.DUMMYFUNCTION("""COMPUTED_VALUE"""),"BLACK")</f>
        <v>BLACK</v>
      </c>
      <c r="G6751" s="20" t="str">
        <f>IFERROR(__xludf.DUMMYFUNCTION("""COMPUTED_VALUE"""),"Uncle Sams Cider (5/13/2022)")</f>
        <v>Uncle Sams Cider (5/13/2022)</v>
      </c>
      <c r="H6751" s="19"/>
    </row>
    <row r="6752">
      <c r="A6752" s="9"/>
      <c r="B6752" s="15"/>
      <c r="C6752" s="9">
        <f>IFERROR(__xludf.DUMMYFUNCTION("""COMPUTED_VALUE"""),44726.2145130555)</f>
        <v>44726.21451</v>
      </c>
      <c r="D6752" s="15">
        <f>IFERROR(__xludf.DUMMYFUNCTION("""COMPUTED_VALUE"""),1.006)</f>
        <v>1.006</v>
      </c>
      <c r="E6752" s="16">
        <f>IFERROR(__xludf.DUMMYFUNCTION("""COMPUTED_VALUE"""),66.0)</f>
        <v>66</v>
      </c>
      <c r="F6752" s="19" t="str">
        <f>IFERROR(__xludf.DUMMYFUNCTION("""COMPUTED_VALUE"""),"BLACK")</f>
        <v>BLACK</v>
      </c>
      <c r="G6752" s="20" t="str">
        <f>IFERROR(__xludf.DUMMYFUNCTION("""COMPUTED_VALUE"""),"Uncle Sams Cider (5/13/2022)")</f>
        <v>Uncle Sams Cider (5/13/2022)</v>
      </c>
      <c r="H6752" s="19"/>
    </row>
    <row r="6753">
      <c r="A6753" s="9"/>
      <c r="B6753" s="15"/>
      <c r="C6753" s="9">
        <f>IFERROR(__xludf.DUMMYFUNCTION("""COMPUTED_VALUE"""),44726.2040918055)</f>
        <v>44726.20409</v>
      </c>
      <c r="D6753" s="15">
        <f>IFERROR(__xludf.DUMMYFUNCTION("""COMPUTED_VALUE"""),1.006)</f>
        <v>1.006</v>
      </c>
      <c r="E6753" s="16">
        <f>IFERROR(__xludf.DUMMYFUNCTION("""COMPUTED_VALUE"""),66.0)</f>
        <v>66</v>
      </c>
      <c r="F6753" s="19" t="str">
        <f>IFERROR(__xludf.DUMMYFUNCTION("""COMPUTED_VALUE"""),"BLACK")</f>
        <v>BLACK</v>
      </c>
      <c r="G6753" s="20" t="str">
        <f>IFERROR(__xludf.DUMMYFUNCTION("""COMPUTED_VALUE"""),"Uncle Sams Cider (5/13/2022)")</f>
        <v>Uncle Sams Cider (5/13/2022)</v>
      </c>
      <c r="H6753" s="19"/>
    </row>
    <row r="6754">
      <c r="A6754" s="9"/>
      <c r="B6754" s="15"/>
      <c r="C6754" s="9">
        <f>IFERROR(__xludf.DUMMYFUNCTION("""COMPUTED_VALUE"""),44726.1936712152)</f>
        <v>44726.19367</v>
      </c>
      <c r="D6754" s="15">
        <f>IFERROR(__xludf.DUMMYFUNCTION("""COMPUTED_VALUE"""),1.006)</f>
        <v>1.006</v>
      </c>
      <c r="E6754" s="16">
        <f>IFERROR(__xludf.DUMMYFUNCTION("""COMPUTED_VALUE"""),66.0)</f>
        <v>66</v>
      </c>
      <c r="F6754" s="19" t="str">
        <f>IFERROR(__xludf.DUMMYFUNCTION("""COMPUTED_VALUE"""),"BLACK")</f>
        <v>BLACK</v>
      </c>
      <c r="G6754" s="20" t="str">
        <f>IFERROR(__xludf.DUMMYFUNCTION("""COMPUTED_VALUE"""),"Uncle Sams Cider (5/13/2022)")</f>
        <v>Uncle Sams Cider (5/13/2022)</v>
      </c>
      <c r="H6754" s="19"/>
    </row>
    <row r="6755">
      <c r="A6755" s="9"/>
      <c r="B6755" s="15"/>
      <c r="C6755" s="9">
        <f>IFERROR(__xludf.DUMMYFUNCTION("""COMPUTED_VALUE"""),44726.1832497106)</f>
        <v>44726.18325</v>
      </c>
      <c r="D6755" s="15">
        <f>IFERROR(__xludf.DUMMYFUNCTION("""COMPUTED_VALUE"""),1.006)</f>
        <v>1.006</v>
      </c>
      <c r="E6755" s="16">
        <f>IFERROR(__xludf.DUMMYFUNCTION("""COMPUTED_VALUE"""),66.0)</f>
        <v>66</v>
      </c>
      <c r="F6755" s="19" t="str">
        <f>IFERROR(__xludf.DUMMYFUNCTION("""COMPUTED_VALUE"""),"BLACK")</f>
        <v>BLACK</v>
      </c>
      <c r="G6755" s="20" t="str">
        <f>IFERROR(__xludf.DUMMYFUNCTION("""COMPUTED_VALUE"""),"Uncle Sams Cider (5/13/2022)")</f>
        <v>Uncle Sams Cider (5/13/2022)</v>
      </c>
      <c r="H6755" s="19"/>
    </row>
    <row r="6756">
      <c r="A6756" s="9"/>
      <c r="B6756" s="15"/>
      <c r="C6756" s="9">
        <f>IFERROR(__xludf.DUMMYFUNCTION("""COMPUTED_VALUE"""),44726.1728271527)</f>
        <v>44726.17283</v>
      </c>
      <c r="D6756" s="15">
        <f>IFERROR(__xludf.DUMMYFUNCTION("""COMPUTED_VALUE"""),1.006)</f>
        <v>1.006</v>
      </c>
      <c r="E6756" s="16">
        <f>IFERROR(__xludf.DUMMYFUNCTION("""COMPUTED_VALUE"""),67.0)</f>
        <v>67</v>
      </c>
      <c r="F6756" s="19" t="str">
        <f>IFERROR(__xludf.DUMMYFUNCTION("""COMPUTED_VALUE"""),"BLACK")</f>
        <v>BLACK</v>
      </c>
      <c r="G6756" s="20" t="str">
        <f>IFERROR(__xludf.DUMMYFUNCTION("""COMPUTED_VALUE"""),"Uncle Sams Cider (5/13/2022)")</f>
        <v>Uncle Sams Cider (5/13/2022)</v>
      </c>
      <c r="H6756" s="19"/>
    </row>
    <row r="6757">
      <c r="A6757" s="9"/>
      <c r="B6757" s="15"/>
      <c r="C6757" s="9">
        <f>IFERROR(__xludf.DUMMYFUNCTION("""COMPUTED_VALUE"""),44726.1624053125)</f>
        <v>44726.16241</v>
      </c>
      <c r="D6757" s="15">
        <f>IFERROR(__xludf.DUMMYFUNCTION("""COMPUTED_VALUE"""),1.006)</f>
        <v>1.006</v>
      </c>
      <c r="E6757" s="16">
        <f>IFERROR(__xludf.DUMMYFUNCTION("""COMPUTED_VALUE"""),67.0)</f>
        <v>67</v>
      </c>
      <c r="F6757" s="19" t="str">
        <f>IFERROR(__xludf.DUMMYFUNCTION("""COMPUTED_VALUE"""),"BLACK")</f>
        <v>BLACK</v>
      </c>
      <c r="G6757" s="20" t="str">
        <f>IFERROR(__xludf.DUMMYFUNCTION("""COMPUTED_VALUE"""),"Uncle Sams Cider (5/13/2022)")</f>
        <v>Uncle Sams Cider (5/13/2022)</v>
      </c>
      <c r="H6757" s="19"/>
    </row>
    <row r="6758">
      <c r="A6758" s="9"/>
      <c r="B6758" s="15"/>
      <c r="C6758" s="9">
        <f>IFERROR(__xludf.DUMMYFUNCTION("""COMPUTED_VALUE"""),44726.1519725926)</f>
        <v>44726.15197</v>
      </c>
      <c r="D6758" s="15">
        <f>IFERROR(__xludf.DUMMYFUNCTION("""COMPUTED_VALUE"""),1.006)</f>
        <v>1.006</v>
      </c>
      <c r="E6758" s="16">
        <f>IFERROR(__xludf.DUMMYFUNCTION("""COMPUTED_VALUE"""),68.0)</f>
        <v>68</v>
      </c>
      <c r="F6758" s="19" t="str">
        <f>IFERROR(__xludf.DUMMYFUNCTION("""COMPUTED_VALUE"""),"BLACK")</f>
        <v>BLACK</v>
      </c>
      <c r="G6758" s="20" t="str">
        <f>IFERROR(__xludf.DUMMYFUNCTION("""COMPUTED_VALUE"""),"Uncle Sams Cider (5/13/2022)")</f>
        <v>Uncle Sams Cider (5/13/2022)</v>
      </c>
      <c r="H6758" s="19"/>
    </row>
    <row r="6759">
      <c r="A6759" s="9"/>
      <c r="B6759" s="15"/>
      <c r="C6759" s="9">
        <f>IFERROR(__xludf.DUMMYFUNCTION("""COMPUTED_VALUE"""),44726.1415513888)</f>
        <v>44726.14155</v>
      </c>
      <c r="D6759" s="15">
        <f>IFERROR(__xludf.DUMMYFUNCTION("""COMPUTED_VALUE"""),1.006)</f>
        <v>1.006</v>
      </c>
      <c r="E6759" s="16">
        <f>IFERROR(__xludf.DUMMYFUNCTION("""COMPUTED_VALUE"""),69.0)</f>
        <v>69</v>
      </c>
      <c r="F6759" s="19" t="str">
        <f>IFERROR(__xludf.DUMMYFUNCTION("""COMPUTED_VALUE"""),"BLACK")</f>
        <v>BLACK</v>
      </c>
      <c r="G6759" s="20" t="str">
        <f>IFERROR(__xludf.DUMMYFUNCTION("""COMPUTED_VALUE"""),"Uncle Sams Cider (5/13/2022)")</f>
        <v>Uncle Sams Cider (5/13/2022)</v>
      </c>
      <c r="H6759" s="19"/>
    </row>
    <row r="6760">
      <c r="A6760" s="9"/>
      <c r="B6760" s="15"/>
      <c r="C6760" s="9">
        <f>IFERROR(__xludf.DUMMYFUNCTION("""COMPUTED_VALUE"""),44726.1311309838)</f>
        <v>44726.13113</v>
      </c>
      <c r="D6760" s="15">
        <f>IFERROR(__xludf.DUMMYFUNCTION("""COMPUTED_VALUE"""),1.006)</f>
        <v>1.006</v>
      </c>
      <c r="E6760" s="16">
        <f>IFERROR(__xludf.DUMMYFUNCTION("""COMPUTED_VALUE"""),69.0)</f>
        <v>69</v>
      </c>
      <c r="F6760" s="19" t="str">
        <f>IFERROR(__xludf.DUMMYFUNCTION("""COMPUTED_VALUE"""),"BLACK")</f>
        <v>BLACK</v>
      </c>
      <c r="G6760" s="20" t="str">
        <f>IFERROR(__xludf.DUMMYFUNCTION("""COMPUTED_VALUE"""),"Uncle Sams Cider (5/13/2022)")</f>
        <v>Uncle Sams Cider (5/13/2022)</v>
      </c>
      <c r="H6760" s="19"/>
    </row>
    <row r="6761">
      <c r="A6761" s="9"/>
      <c r="B6761" s="15"/>
      <c r="C6761" s="9">
        <f>IFERROR(__xludf.DUMMYFUNCTION("""COMPUTED_VALUE"""),44726.1207113888)</f>
        <v>44726.12071</v>
      </c>
      <c r="D6761" s="15">
        <f>IFERROR(__xludf.DUMMYFUNCTION("""COMPUTED_VALUE"""),1.006)</f>
        <v>1.006</v>
      </c>
      <c r="E6761" s="16">
        <f>IFERROR(__xludf.DUMMYFUNCTION("""COMPUTED_VALUE"""),70.0)</f>
        <v>70</v>
      </c>
      <c r="F6761" s="19" t="str">
        <f>IFERROR(__xludf.DUMMYFUNCTION("""COMPUTED_VALUE"""),"BLACK")</f>
        <v>BLACK</v>
      </c>
      <c r="G6761" s="20" t="str">
        <f>IFERROR(__xludf.DUMMYFUNCTION("""COMPUTED_VALUE"""),"Uncle Sams Cider (5/13/2022)")</f>
        <v>Uncle Sams Cider (5/13/2022)</v>
      </c>
      <c r="H6761" s="19"/>
    </row>
    <row r="6762">
      <c r="A6762" s="9"/>
      <c r="B6762" s="15"/>
      <c r="C6762" s="9">
        <f>IFERROR(__xludf.DUMMYFUNCTION("""COMPUTED_VALUE"""),44726.1102910648)</f>
        <v>44726.11029</v>
      </c>
      <c r="D6762" s="15">
        <f>IFERROR(__xludf.DUMMYFUNCTION("""COMPUTED_VALUE"""),1.006)</f>
        <v>1.006</v>
      </c>
      <c r="E6762" s="16">
        <f>IFERROR(__xludf.DUMMYFUNCTION("""COMPUTED_VALUE"""),70.0)</f>
        <v>70</v>
      </c>
      <c r="F6762" s="19" t="str">
        <f>IFERROR(__xludf.DUMMYFUNCTION("""COMPUTED_VALUE"""),"BLACK")</f>
        <v>BLACK</v>
      </c>
      <c r="G6762" s="20" t="str">
        <f>IFERROR(__xludf.DUMMYFUNCTION("""COMPUTED_VALUE"""),"Uncle Sams Cider (5/13/2022)")</f>
        <v>Uncle Sams Cider (5/13/2022)</v>
      </c>
      <c r="H6762" s="19"/>
    </row>
    <row r="6763">
      <c r="A6763" s="9"/>
      <c r="B6763" s="15"/>
      <c r="C6763" s="9">
        <f>IFERROR(__xludf.DUMMYFUNCTION("""COMPUTED_VALUE"""),44726.0998713541)</f>
        <v>44726.09987</v>
      </c>
      <c r="D6763" s="15">
        <f>IFERROR(__xludf.DUMMYFUNCTION("""COMPUTED_VALUE"""),1.006)</f>
        <v>1.006</v>
      </c>
      <c r="E6763" s="16">
        <f>IFERROR(__xludf.DUMMYFUNCTION("""COMPUTED_VALUE"""),70.0)</f>
        <v>70</v>
      </c>
      <c r="F6763" s="19" t="str">
        <f>IFERROR(__xludf.DUMMYFUNCTION("""COMPUTED_VALUE"""),"BLACK")</f>
        <v>BLACK</v>
      </c>
      <c r="G6763" s="20" t="str">
        <f>IFERROR(__xludf.DUMMYFUNCTION("""COMPUTED_VALUE"""),"Uncle Sams Cider (5/13/2022)")</f>
        <v>Uncle Sams Cider (5/13/2022)</v>
      </c>
      <c r="H6763" s="19"/>
    </row>
    <row r="6764">
      <c r="A6764" s="9"/>
      <c r="B6764" s="15"/>
      <c r="C6764" s="9">
        <f>IFERROR(__xludf.DUMMYFUNCTION("""COMPUTED_VALUE"""),44726.0894377893)</f>
        <v>44726.08944</v>
      </c>
      <c r="D6764" s="15">
        <f>IFERROR(__xludf.DUMMYFUNCTION("""COMPUTED_VALUE"""),1.006)</f>
        <v>1.006</v>
      </c>
      <c r="E6764" s="16">
        <f>IFERROR(__xludf.DUMMYFUNCTION("""COMPUTED_VALUE"""),70.0)</f>
        <v>70</v>
      </c>
      <c r="F6764" s="19" t="str">
        <f>IFERROR(__xludf.DUMMYFUNCTION("""COMPUTED_VALUE"""),"BLACK")</f>
        <v>BLACK</v>
      </c>
      <c r="G6764" s="20" t="str">
        <f>IFERROR(__xludf.DUMMYFUNCTION("""COMPUTED_VALUE"""),"Uncle Sams Cider (5/13/2022)")</f>
        <v>Uncle Sams Cider (5/13/2022)</v>
      </c>
      <c r="H6764" s="19"/>
    </row>
    <row r="6765">
      <c r="A6765" s="9"/>
      <c r="B6765" s="15"/>
      <c r="C6765" s="9">
        <f>IFERROR(__xludf.DUMMYFUNCTION("""COMPUTED_VALUE"""),44726.0790162384)</f>
        <v>44726.07902</v>
      </c>
      <c r="D6765" s="15">
        <f>IFERROR(__xludf.DUMMYFUNCTION("""COMPUTED_VALUE"""),1.006)</f>
        <v>1.006</v>
      </c>
      <c r="E6765" s="16">
        <f>IFERROR(__xludf.DUMMYFUNCTION("""COMPUTED_VALUE"""),70.0)</f>
        <v>70</v>
      </c>
      <c r="F6765" s="19" t="str">
        <f>IFERROR(__xludf.DUMMYFUNCTION("""COMPUTED_VALUE"""),"BLACK")</f>
        <v>BLACK</v>
      </c>
      <c r="G6765" s="20" t="str">
        <f>IFERROR(__xludf.DUMMYFUNCTION("""COMPUTED_VALUE"""),"Uncle Sams Cider (5/13/2022)")</f>
        <v>Uncle Sams Cider (5/13/2022)</v>
      </c>
      <c r="H6765" s="19"/>
    </row>
    <row r="6766">
      <c r="A6766" s="9"/>
      <c r="B6766" s="15"/>
      <c r="C6766" s="9">
        <f>IFERROR(__xludf.DUMMYFUNCTION("""COMPUTED_VALUE"""),44726.068595706)</f>
        <v>44726.0686</v>
      </c>
      <c r="D6766" s="15">
        <f>IFERROR(__xludf.DUMMYFUNCTION("""COMPUTED_VALUE"""),1.006)</f>
        <v>1.006</v>
      </c>
      <c r="E6766" s="16">
        <f>IFERROR(__xludf.DUMMYFUNCTION("""COMPUTED_VALUE"""),70.0)</f>
        <v>70</v>
      </c>
      <c r="F6766" s="19" t="str">
        <f>IFERROR(__xludf.DUMMYFUNCTION("""COMPUTED_VALUE"""),"BLACK")</f>
        <v>BLACK</v>
      </c>
      <c r="G6766" s="20" t="str">
        <f>IFERROR(__xludf.DUMMYFUNCTION("""COMPUTED_VALUE"""),"Uncle Sams Cider (5/13/2022)")</f>
        <v>Uncle Sams Cider (5/13/2022)</v>
      </c>
      <c r="H6766" s="19"/>
    </row>
    <row r="6767">
      <c r="A6767" s="9"/>
      <c r="B6767" s="15"/>
      <c r="C6767" s="9">
        <f>IFERROR(__xludf.DUMMYFUNCTION("""COMPUTED_VALUE"""),44726.0581748148)</f>
        <v>44726.05817</v>
      </c>
      <c r="D6767" s="15">
        <f>IFERROR(__xludf.DUMMYFUNCTION("""COMPUTED_VALUE"""),1.007)</f>
        <v>1.007</v>
      </c>
      <c r="E6767" s="16">
        <f>IFERROR(__xludf.DUMMYFUNCTION("""COMPUTED_VALUE"""),70.0)</f>
        <v>70</v>
      </c>
      <c r="F6767" s="19" t="str">
        <f>IFERROR(__xludf.DUMMYFUNCTION("""COMPUTED_VALUE"""),"BLACK")</f>
        <v>BLACK</v>
      </c>
      <c r="G6767" s="20" t="str">
        <f>IFERROR(__xludf.DUMMYFUNCTION("""COMPUTED_VALUE"""),"Uncle Sams Cider (5/13/2022)")</f>
        <v>Uncle Sams Cider (5/13/2022)</v>
      </c>
      <c r="H6767" s="19"/>
    </row>
    <row r="6768">
      <c r="A6768" s="9"/>
      <c r="B6768" s="15"/>
      <c r="C6768" s="9">
        <f>IFERROR(__xludf.DUMMYFUNCTION("""COMPUTED_VALUE"""),44726.0477539236)</f>
        <v>44726.04775</v>
      </c>
      <c r="D6768" s="15">
        <f>IFERROR(__xludf.DUMMYFUNCTION("""COMPUTED_VALUE"""),1.006)</f>
        <v>1.006</v>
      </c>
      <c r="E6768" s="16">
        <f>IFERROR(__xludf.DUMMYFUNCTION("""COMPUTED_VALUE"""),70.0)</f>
        <v>70</v>
      </c>
      <c r="F6768" s="19" t="str">
        <f>IFERROR(__xludf.DUMMYFUNCTION("""COMPUTED_VALUE"""),"BLACK")</f>
        <v>BLACK</v>
      </c>
      <c r="G6768" s="20" t="str">
        <f>IFERROR(__xludf.DUMMYFUNCTION("""COMPUTED_VALUE"""),"Uncle Sams Cider (5/13/2022)")</f>
        <v>Uncle Sams Cider (5/13/2022)</v>
      </c>
      <c r="H6768" s="19"/>
    </row>
    <row r="6769">
      <c r="A6769" s="9"/>
      <c r="B6769" s="15"/>
      <c r="C6769" s="9">
        <f>IFERROR(__xludf.DUMMYFUNCTION("""COMPUTED_VALUE"""),44726.0373355439)</f>
        <v>44726.03734</v>
      </c>
      <c r="D6769" s="15">
        <f>IFERROR(__xludf.DUMMYFUNCTION("""COMPUTED_VALUE"""),1.006)</f>
        <v>1.006</v>
      </c>
      <c r="E6769" s="16">
        <f>IFERROR(__xludf.DUMMYFUNCTION("""COMPUTED_VALUE"""),70.0)</f>
        <v>70</v>
      </c>
      <c r="F6769" s="19" t="str">
        <f>IFERROR(__xludf.DUMMYFUNCTION("""COMPUTED_VALUE"""),"BLACK")</f>
        <v>BLACK</v>
      </c>
      <c r="G6769" s="20" t="str">
        <f>IFERROR(__xludf.DUMMYFUNCTION("""COMPUTED_VALUE"""),"Uncle Sams Cider (5/13/2022)")</f>
        <v>Uncle Sams Cider (5/13/2022)</v>
      </c>
      <c r="H6769" s="19"/>
    </row>
    <row r="6770">
      <c r="A6770" s="9"/>
      <c r="B6770" s="15"/>
      <c r="C6770" s="9">
        <f>IFERROR(__xludf.DUMMYFUNCTION("""COMPUTED_VALUE"""),44726.0269142592)</f>
        <v>44726.02691</v>
      </c>
      <c r="D6770" s="15">
        <f>IFERROR(__xludf.DUMMYFUNCTION("""COMPUTED_VALUE"""),1.006)</f>
        <v>1.006</v>
      </c>
      <c r="E6770" s="16">
        <f>IFERROR(__xludf.DUMMYFUNCTION("""COMPUTED_VALUE"""),70.0)</f>
        <v>70</v>
      </c>
      <c r="F6770" s="19" t="str">
        <f>IFERROR(__xludf.DUMMYFUNCTION("""COMPUTED_VALUE"""),"BLACK")</f>
        <v>BLACK</v>
      </c>
      <c r="G6770" s="20" t="str">
        <f>IFERROR(__xludf.DUMMYFUNCTION("""COMPUTED_VALUE"""),"Uncle Sams Cider (5/13/2022)")</f>
        <v>Uncle Sams Cider (5/13/2022)</v>
      </c>
      <c r="H6770" s="19"/>
    </row>
    <row r="6771">
      <c r="A6771" s="9"/>
      <c r="B6771" s="15"/>
      <c r="C6771" s="9">
        <f>IFERROR(__xludf.DUMMYFUNCTION("""COMPUTED_VALUE"""),44726.0164918981)</f>
        <v>44726.01649</v>
      </c>
      <c r="D6771" s="15">
        <f>IFERROR(__xludf.DUMMYFUNCTION("""COMPUTED_VALUE"""),1.006)</f>
        <v>1.006</v>
      </c>
      <c r="E6771" s="16">
        <f>IFERROR(__xludf.DUMMYFUNCTION("""COMPUTED_VALUE"""),70.0)</f>
        <v>70</v>
      </c>
      <c r="F6771" s="19" t="str">
        <f>IFERROR(__xludf.DUMMYFUNCTION("""COMPUTED_VALUE"""),"BLACK")</f>
        <v>BLACK</v>
      </c>
      <c r="G6771" s="20" t="str">
        <f>IFERROR(__xludf.DUMMYFUNCTION("""COMPUTED_VALUE"""),"Uncle Sams Cider (5/13/2022)")</f>
        <v>Uncle Sams Cider (5/13/2022)</v>
      </c>
      <c r="H6771" s="19"/>
    </row>
    <row r="6772">
      <c r="A6772" s="9"/>
      <c r="B6772" s="15"/>
      <c r="C6772" s="9">
        <f>IFERROR(__xludf.DUMMYFUNCTION("""COMPUTED_VALUE"""),44726.0060713426)</f>
        <v>44726.00607</v>
      </c>
      <c r="D6772" s="15">
        <f>IFERROR(__xludf.DUMMYFUNCTION("""COMPUTED_VALUE"""),1.007)</f>
        <v>1.007</v>
      </c>
      <c r="E6772" s="16">
        <f>IFERROR(__xludf.DUMMYFUNCTION("""COMPUTED_VALUE"""),70.0)</f>
        <v>70</v>
      </c>
      <c r="F6772" s="19" t="str">
        <f>IFERROR(__xludf.DUMMYFUNCTION("""COMPUTED_VALUE"""),"BLACK")</f>
        <v>BLACK</v>
      </c>
      <c r="G6772" s="20" t="str">
        <f>IFERROR(__xludf.DUMMYFUNCTION("""COMPUTED_VALUE"""),"Uncle Sams Cider (5/13/2022)")</f>
        <v>Uncle Sams Cider (5/13/2022)</v>
      </c>
      <c r="H6772" s="19"/>
    </row>
    <row r="6773">
      <c r="A6773" s="9"/>
      <c r="B6773" s="15"/>
      <c r="C6773" s="9">
        <f>IFERROR(__xludf.DUMMYFUNCTION("""COMPUTED_VALUE"""),44725.9956493634)</f>
        <v>44725.99565</v>
      </c>
      <c r="D6773" s="15">
        <f>IFERROR(__xludf.DUMMYFUNCTION("""COMPUTED_VALUE"""),1.007)</f>
        <v>1.007</v>
      </c>
      <c r="E6773" s="16">
        <f>IFERROR(__xludf.DUMMYFUNCTION("""COMPUTED_VALUE"""),70.0)</f>
        <v>70</v>
      </c>
      <c r="F6773" s="19" t="str">
        <f>IFERROR(__xludf.DUMMYFUNCTION("""COMPUTED_VALUE"""),"BLACK")</f>
        <v>BLACK</v>
      </c>
      <c r="G6773" s="20" t="str">
        <f>IFERROR(__xludf.DUMMYFUNCTION("""COMPUTED_VALUE"""),"Uncle Sams Cider (5/13/2022)")</f>
        <v>Uncle Sams Cider (5/13/2022)</v>
      </c>
      <c r="H6773" s="19"/>
    </row>
    <row r="6774">
      <c r="A6774" s="9"/>
      <c r="B6774" s="15"/>
      <c r="C6774" s="9">
        <f>IFERROR(__xludf.DUMMYFUNCTION("""COMPUTED_VALUE"""),44725.9852261226)</f>
        <v>44725.98523</v>
      </c>
      <c r="D6774" s="15">
        <f>IFERROR(__xludf.DUMMYFUNCTION("""COMPUTED_VALUE"""),1.007)</f>
        <v>1.007</v>
      </c>
      <c r="E6774" s="16">
        <f>IFERROR(__xludf.DUMMYFUNCTION("""COMPUTED_VALUE"""),70.0)</f>
        <v>70</v>
      </c>
      <c r="F6774" s="19" t="str">
        <f>IFERROR(__xludf.DUMMYFUNCTION("""COMPUTED_VALUE"""),"BLACK")</f>
        <v>BLACK</v>
      </c>
      <c r="G6774" s="20" t="str">
        <f>IFERROR(__xludf.DUMMYFUNCTION("""COMPUTED_VALUE"""),"Uncle Sams Cider (5/13/2022)")</f>
        <v>Uncle Sams Cider (5/13/2022)</v>
      </c>
      <c r="H6774" s="19"/>
    </row>
    <row r="6775">
      <c r="A6775" s="9"/>
      <c r="B6775" s="15"/>
      <c r="C6775" s="9">
        <f>IFERROR(__xludf.DUMMYFUNCTION("""COMPUTED_VALUE"""),44725.9747929513)</f>
        <v>44725.97479</v>
      </c>
      <c r="D6775" s="15">
        <f>IFERROR(__xludf.DUMMYFUNCTION("""COMPUTED_VALUE"""),1.007)</f>
        <v>1.007</v>
      </c>
      <c r="E6775" s="16">
        <f>IFERROR(__xludf.DUMMYFUNCTION("""COMPUTED_VALUE"""),70.0)</f>
        <v>70</v>
      </c>
      <c r="F6775" s="19" t="str">
        <f>IFERROR(__xludf.DUMMYFUNCTION("""COMPUTED_VALUE"""),"BLACK")</f>
        <v>BLACK</v>
      </c>
      <c r="G6775" s="20" t="str">
        <f>IFERROR(__xludf.DUMMYFUNCTION("""COMPUTED_VALUE"""),"Uncle Sams Cider (5/13/2022)")</f>
        <v>Uncle Sams Cider (5/13/2022)</v>
      </c>
      <c r="H6775" s="19"/>
    </row>
    <row r="6776">
      <c r="A6776" s="9"/>
      <c r="B6776" s="15"/>
      <c r="C6776" s="9">
        <f>IFERROR(__xludf.DUMMYFUNCTION("""COMPUTED_VALUE"""),44725.9643734143)</f>
        <v>44725.96437</v>
      </c>
      <c r="D6776" s="15">
        <f>IFERROR(__xludf.DUMMYFUNCTION("""COMPUTED_VALUE"""),1.007)</f>
        <v>1.007</v>
      </c>
      <c r="E6776" s="16">
        <f>IFERROR(__xludf.DUMMYFUNCTION("""COMPUTED_VALUE"""),70.0)</f>
        <v>70</v>
      </c>
      <c r="F6776" s="19" t="str">
        <f>IFERROR(__xludf.DUMMYFUNCTION("""COMPUTED_VALUE"""),"BLACK")</f>
        <v>BLACK</v>
      </c>
      <c r="G6776" s="20" t="str">
        <f>IFERROR(__xludf.DUMMYFUNCTION("""COMPUTED_VALUE"""),"Uncle Sams Cider (5/13/2022)")</f>
        <v>Uncle Sams Cider (5/13/2022)</v>
      </c>
      <c r="H6776" s="19"/>
    </row>
    <row r="6777">
      <c r="A6777" s="9"/>
      <c r="B6777" s="15"/>
      <c r="C6777" s="9">
        <f>IFERROR(__xludf.DUMMYFUNCTION("""COMPUTED_VALUE"""),44725.9539517476)</f>
        <v>44725.95395</v>
      </c>
      <c r="D6777" s="15">
        <f>IFERROR(__xludf.DUMMYFUNCTION("""COMPUTED_VALUE"""),1.007)</f>
        <v>1.007</v>
      </c>
      <c r="E6777" s="16">
        <f>IFERROR(__xludf.DUMMYFUNCTION("""COMPUTED_VALUE"""),70.0)</f>
        <v>70</v>
      </c>
      <c r="F6777" s="19" t="str">
        <f>IFERROR(__xludf.DUMMYFUNCTION("""COMPUTED_VALUE"""),"BLACK")</f>
        <v>BLACK</v>
      </c>
      <c r="G6777" s="20" t="str">
        <f>IFERROR(__xludf.DUMMYFUNCTION("""COMPUTED_VALUE"""),"Uncle Sams Cider (5/13/2022)")</f>
        <v>Uncle Sams Cider (5/13/2022)</v>
      </c>
      <c r="H6777" s="19"/>
    </row>
    <row r="6778">
      <c r="A6778" s="9"/>
      <c r="B6778" s="15"/>
      <c r="C6778" s="9">
        <f>IFERROR(__xludf.DUMMYFUNCTION("""COMPUTED_VALUE"""),44725.9435089351)</f>
        <v>44725.94351</v>
      </c>
      <c r="D6778" s="15">
        <f>IFERROR(__xludf.DUMMYFUNCTION("""COMPUTED_VALUE"""),1.006)</f>
        <v>1.006</v>
      </c>
      <c r="E6778" s="16">
        <f>IFERROR(__xludf.DUMMYFUNCTION("""COMPUTED_VALUE"""),70.0)</f>
        <v>70</v>
      </c>
      <c r="F6778" s="19" t="str">
        <f>IFERROR(__xludf.DUMMYFUNCTION("""COMPUTED_VALUE"""),"BLACK")</f>
        <v>BLACK</v>
      </c>
      <c r="G6778" s="20" t="str">
        <f>IFERROR(__xludf.DUMMYFUNCTION("""COMPUTED_VALUE"""),"Uncle Sams Cider (5/13/2022)")</f>
        <v>Uncle Sams Cider (5/13/2022)</v>
      </c>
      <c r="H6778" s="19"/>
    </row>
    <row r="6779">
      <c r="A6779" s="9"/>
      <c r="B6779" s="15"/>
      <c r="C6779" s="9">
        <f>IFERROR(__xludf.DUMMYFUNCTION("""COMPUTED_VALUE"""),44725.9330759953)</f>
        <v>44725.93308</v>
      </c>
      <c r="D6779" s="15">
        <f>IFERROR(__xludf.DUMMYFUNCTION("""COMPUTED_VALUE"""),1.007)</f>
        <v>1.007</v>
      </c>
      <c r="E6779" s="16">
        <f>IFERROR(__xludf.DUMMYFUNCTION("""COMPUTED_VALUE"""),70.0)</f>
        <v>70</v>
      </c>
      <c r="F6779" s="19" t="str">
        <f>IFERROR(__xludf.DUMMYFUNCTION("""COMPUTED_VALUE"""),"BLACK")</f>
        <v>BLACK</v>
      </c>
      <c r="G6779" s="20" t="str">
        <f>IFERROR(__xludf.DUMMYFUNCTION("""COMPUTED_VALUE"""),"Uncle Sams Cider (5/13/2022)")</f>
        <v>Uncle Sams Cider (5/13/2022)</v>
      </c>
      <c r="H6779" s="19"/>
    </row>
    <row r="6780">
      <c r="A6780" s="9"/>
      <c r="B6780" s="15"/>
      <c r="C6780" s="9">
        <f>IFERROR(__xludf.DUMMYFUNCTION("""COMPUTED_VALUE"""),44725.9226428935)</f>
        <v>44725.92264</v>
      </c>
      <c r="D6780" s="15">
        <f>IFERROR(__xludf.DUMMYFUNCTION("""COMPUTED_VALUE"""),1.006)</f>
        <v>1.006</v>
      </c>
      <c r="E6780" s="16">
        <f>IFERROR(__xludf.DUMMYFUNCTION("""COMPUTED_VALUE"""),70.0)</f>
        <v>70</v>
      </c>
      <c r="F6780" s="19" t="str">
        <f>IFERROR(__xludf.DUMMYFUNCTION("""COMPUTED_VALUE"""),"BLACK")</f>
        <v>BLACK</v>
      </c>
      <c r="G6780" s="20" t="str">
        <f>IFERROR(__xludf.DUMMYFUNCTION("""COMPUTED_VALUE"""),"Uncle Sams Cider (5/13/2022)")</f>
        <v>Uncle Sams Cider (5/13/2022)</v>
      </c>
      <c r="H6780" s="19"/>
    </row>
    <row r="6781">
      <c r="A6781" s="9"/>
      <c r="B6781" s="15"/>
      <c r="C6781" s="9">
        <f>IFERROR(__xludf.DUMMYFUNCTION("""COMPUTED_VALUE"""),44725.9122208101)</f>
        <v>44725.91222</v>
      </c>
      <c r="D6781" s="15">
        <f>IFERROR(__xludf.DUMMYFUNCTION("""COMPUTED_VALUE"""),1.007)</f>
        <v>1.007</v>
      </c>
      <c r="E6781" s="16">
        <f>IFERROR(__xludf.DUMMYFUNCTION("""COMPUTED_VALUE"""),70.0)</f>
        <v>70</v>
      </c>
      <c r="F6781" s="19" t="str">
        <f>IFERROR(__xludf.DUMMYFUNCTION("""COMPUTED_VALUE"""),"BLACK")</f>
        <v>BLACK</v>
      </c>
      <c r="G6781" s="20" t="str">
        <f>IFERROR(__xludf.DUMMYFUNCTION("""COMPUTED_VALUE"""),"Uncle Sams Cider (5/13/2022)")</f>
        <v>Uncle Sams Cider (5/13/2022)</v>
      </c>
      <c r="H6781" s="19"/>
    </row>
    <row r="6782">
      <c r="A6782" s="9"/>
      <c r="B6782" s="15"/>
      <c r="C6782" s="9">
        <f>IFERROR(__xludf.DUMMYFUNCTION("""COMPUTED_VALUE"""),44725.9017987268)</f>
        <v>44725.9018</v>
      </c>
      <c r="D6782" s="15">
        <f>IFERROR(__xludf.DUMMYFUNCTION("""COMPUTED_VALUE"""),1.007)</f>
        <v>1.007</v>
      </c>
      <c r="E6782" s="16">
        <f>IFERROR(__xludf.DUMMYFUNCTION("""COMPUTED_VALUE"""),70.0)</f>
        <v>70</v>
      </c>
      <c r="F6782" s="19" t="str">
        <f>IFERROR(__xludf.DUMMYFUNCTION("""COMPUTED_VALUE"""),"BLACK")</f>
        <v>BLACK</v>
      </c>
      <c r="G6782" s="20" t="str">
        <f>IFERROR(__xludf.DUMMYFUNCTION("""COMPUTED_VALUE"""),"Uncle Sams Cider (5/13/2022)")</f>
        <v>Uncle Sams Cider (5/13/2022)</v>
      </c>
      <c r="H6782" s="19"/>
    </row>
    <row r="6783">
      <c r="A6783" s="9"/>
      <c r="B6783" s="15"/>
      <c r="C6783" s="9">
        <f>IFERROR(__xludf.DUMMYFUNCTION("""COMPUTED_VALUE"""),44725.8913781828)</f>
        <v>44725.89138</v>
      </c>
      <c r="D6783" s="15">
        <f>IFERROR(__xludf.DUMMYFUNCTION("""COMPUTED_VALUE"""),1.006)</f>
        <v>1.006</v>
      </c>
      <c r="E6783" s="16">
        <f>IFERROR(__xludf.DUMMYFUNCTION("""COMPUTED_VALUE"""),70.0)</f>
        <v>70</v>
      </c>
      <c r="F6783" s="19" t="str">
        <f>IFERROR(__xludf.DUMMYFUNCTION("""COMPUTED_VALUE"""),"BLACK")</f>
        <v>BLACK</v>
      </c>
      <c r="G6783" s="20" t="str">
        <f>IFERROR(__xludf.DUMMYFUNCTION("""COMPUTED_VALUE"""),"Uncle Sams Cider (5/13/2022)")</f>
        <v>Uncle Sams Cider (5/13/2022)</v>
      </c>
      <c r="H6783" s="19"/>
    </row>
    <row r="6784">
      <c r="A6784" s="9"/>
      <c r="B6784" s="15"/>
      <c r="C6784" s="9">
        <f>IFERROR(__xludf.DUMMYFUNCTION("""COMPUTED_VALUE"""),44725.8809331134)</f>
        <v>44725.88093</v>
      </c>
      <c r="D6784" s="15">
        <f>IFERROR(__xludf.DUMMYFUNCTION("""COMPUTED_VALUE"""),1.007)</f>
        <v>1.007</v>
      </c>
      <c r="E6784" s="16">
        <f>IFERROR(__xludf.DUMMYFUNCTION("""COMPUTED_VALUE"""),70.0)</f>
        <v>70</v>
      </c>
      <c r="F6784" s="19" t="str">
        <f>IFERROR(__xludf.DUMMYFUNCTION("""COMPUTED_VALUE"""),"BLACK")</f>
        <v>BLACK</v>
      </c>
      <c r="G6784" s="20" t="str">
        <f>IFERROR(__xludf.DUMMYFUNCTION("""COMPUTED_VALUE"""),"Uncle Sams Cider (5/13/2022)")</f>
        <v>Uncle Sams Cider (5/13/2022)</v>
      </c>
      <c r="H6784" s="19"/>
    </row>
    <row r="6785">
      <c r="A6785" s="9"/>
      <c r="B6785" s="15"/>
      <c r="C6785" s="9">
        <f>IFERROR(__xludf.DUMMYFUNCTION("""COMPUTED_VALUE"""),44725.8705113888)</f>
        <v>44725.87051</v>
      </c>
      <c r="D6785" s="15">
        <f>IFERROR(__xludf.DUMMYFUNCTION("""COMPUTED_VALUE"""),1.006)</f>
        <v>1.006</v>
      </c>
      <c r="E6785" s="16">
        <f>IFERROR(__xludf.DUMMYFUNCTION("""COMPUTED_VALUE"""),70.0)</f>
        <v>70</v>
      </c>
      <c r="F6785" s="19" t="str">
        <f>IFERROR(__xludf.DUMMYFUNCTION("""COMPUTED_VALUE"""),"BLACK")</f>
        <v>BLACK</v>
      </c>
      <c r="G6785" s="20" t="str">
        <f>IFERROR(__xludf.DUMMYFUNCTION("""COMPUTED_VALUE"""),"Uncle Sams Cider (5/13/2022)")</f>
        <v>Uncle Sams Cider (5/13/2022)</v>
      </c>
      <c r="H6785" s="19"/>
    </row>
    <row r="6786">
      <c r="A6786" s="9"/>
      <c r="B6786" s="15"/>
      <c r="C6786" s="9">
        <f>IFERROR(__xludf.DUMMYFUNCTION("""COMPUTED_VALUE"""),44725.8600892708)</f>
        <v>44725.86009</v>
      </c>
      <c r="D6786" s="15">
        <f>IFERROR(__xludf.DUMMYFUNCTION("""COMPUTED_VALUE"""),1.007)</f>
        <v>1.007</v>
      </c>
      <c r="E6786" s="16">
        <f>IFERROR(__xludf.DUMMYFUNCTION("""COMPUTED_VALUE"""),70.0)</f>
        <v>70</v>
      </c>
      <c r="F6786" s="19" t="str">
        <f>IFERROR(__xludf.DUMMYFUNCTION("""COMPUTED_VALUE"""),"BLACK")</f>
        <v>BLACK</v>
      </c>
      <c r="G6786" s="20" t="str">
        <f>IFERROR(__xludf.DUMMYFUNCTION("""COMPUTED_VALUE"""),"Uncle Sams Cider (5/13/2022)")</f>
        <v>Uncle Sams Cider (5/13/2022)</v>
      </c>
      <c r="H6786" s="19"/>
    </row>
    <row r="6787">
      <c r="A6787" s="9"/>
      <c r="B6787" s="15"/>
      <c r="C6787" s="9">
        <f>IFERROR(__xludf.DUMMYFUNCTION("""COMPUTED_VALUE"""),44725.8496679976)</f>
        <v>44725.84967</v>
      </c>
      <c r="D6787" s="15">
        <f>IFERROR(__xludf.DUMMYFUNCTION("""COMPUTED_VALUE"""),1.007)</f>
        <v>1.007</v>
      </c>
      <c r="E6787" s="16">
        <f>IFERROR(__xludf.DUMMYFUNCTION("""COMPUTED_VALUE"""),70.0)</f>
        <v>70</v>
      </c>
      <c r="F6787" s="19" t="str">
        <f>IFERROR(__xludf.DUMMYFUNCTION("""COMPUTED_VALUE"""),"BLACK")</f>
        <v>BLACK</v>
      </c>
      <c r="G6787" s="20" t="str">
        <f>IFERROR(__xludf.DUMMYFUNCTION("""COMPUTED_VALUE"""),"Uncle Sams Cider (5/13/2022)")</f>
        <v>Uncle Sams Cider (5/13/2022)</v>
      </c>
      <c r="H6787" s="19"/>
    </row>
    <row r="6788">
      <c r="A6788" s="9"/>
      <c r="B6788" s="15"/>
      <c r="C6788" s="9">
        <f>IFERROR(__xludf.DUMMYFUNCTION("""COMPUTED_VALUE"""),44725.839245787)</f>
        <v>44725.83925</v>
      </c>
      <c r="D6788" s="15">
        <f>IFERROR(__xludf.DUMMYFUNCTION("""COMPUTED_VALUE"""),1.006)</f>
        <v>1.006</v>
      </c>
      <c r="E6788" s="16">
        <f>IFERROR(__xludf.DUMMYFUNCTION("""COMPUTED_VALUE"""),70.0)</f>
        <v>70</v>
      </c>
      <c r="F6788" s="19" t="str">
        <f>IFERROR(__xludf.DUMMYFUNCTION("""COMPUTED_VALUE"""),"BLACK")</f>
        <v>BLACK</v>
      </c>
      <c r="G6788" s="20" t="str">
        <f>IFERROR(__xludf.DUMMYFUNCTION("""COMPUTED_VALUE"""),"Uncle Sams Cider (5/13/2022)")</f>
        <v>Uncle Sams Cider (5/13/2022)</v>
      </c>
      <c r="H6788" s="19"/>
    </row>
    <row r="6789">
      <c r="A6789" s="9"/>
      <c r="B6789" s="15"/>
      <c r="C6789" s="9">
        <f>IFERROR(__xludf.DUMMYFUNCTION("""COMPUTED_VALUE"""),44725.8288262037)</f>
        <v>44725.82883</v>
      </c>
      <c r="D6789" s="15">
        <f>IFERROR(__xludf.DUMMYFUNCTION("""COMPUTED_VALUE"""),1.006)</f>
        <v>1.006</v>
      </c>
      <c r="E6789" s="16">
        <f>IFERROR(__xludf.DUMMYFUNCTION("""COMPUTED_VALUE"""),70.0)</f>
        <v>70</v>
      </c>
      <c r="F6789" s="19" t="str">
        <f>IFERROR(__xludf.DUMMYFUNCTION("""COMPUTED_VALUE"""),"BLACK")</f>
        <v>BLACK</v>
      </c>
      <c r="G6789" s="20" t="str">
        <f>IFERROR(__xludf.DUMMYFUNCTION("""COMPUTED_VALUE"""),"Uncle Sams Cider (5/13/2022)")</f>
        <v>Uncle Sams Cider (5/13/2022)</v>
      </c>
      <c r="H6789" s="19"/>
    </row>
    <row r="6790">
      <c r="A6790" s="9"/>
      <c r="B6790" s="15"/>
      <c r="C6790" s="9">
        <f>IFERROR(__xludf.DUMMYFUNCTION("""COMPUTED_VALUE"""),44725.8184050926)</f>
        <v>44725.81841</v>
      </c>
      <c r="D6790" s="15">
        <f>IFERROR(__xludf.DUMMYFUNCTION("""COMPUTED_VALUE"""),1.006)</f>
        <v>1.006</v>
      </c>
      <c r="E6790" s="16">
        <f>IFERROR(__xludf.DUMMYFUNCTION("""COMPUTED_VALUE"""),69.0)</f>
        <v>69</v>
      </c>
      <c r="F6790" s="19" t="str">
        <f>IFERROR(__xludf.DUMMYFUNCTION("""COMPUTED_VALUE"""),"BLACK")</f>
        <v>BLACK</v>
      </c>
      <c r="G6790" s="20" t="str">
        <f>IFERROR(__xludf.DUMMYFUNCTION("""COMPUTED_VALUE"""),"Uncle Sams Cider (5/13/2022)")</f>
        <v>Uncle Sams Cider (5/13/2022)</v>
      </c>
      <c r="H6790" s="19"/>
    </row>
    <row r="6791">
      <c r="A6791" s="9"/>
      <c r="B6791" s="15"/>
      <c r="C6791" s="9">
        <f>IFERROR(__xludf.DUMMYFUNCTION("""COMPUTED_VALUE"""),44725.8079835532)</f>
        <v>44725.80798</v>
      </c>
      <c r="D6791" s="15">
        <f>IFERROR(__xludf.DUMMYFUNCTION("""COMPUTED_VALUE"""),1.006)</f>
        <v>1.006</v>
      </c>
      <c r="E6791" s="16">
        <f>IFERROR(__xludf.DUMMYFUNCTION("""COMPUTED_VALUE"""),70.0)</f>
        <v>70</v>
      </c>
      <c r="F6791" s="19" t="str">
        <f>IFERROR(__xludf.DUMMYFUNCTION("""COMPUTED_VALUE"""),"BLACK")</f>
        <v>BLACK</v>
      </c>
      <c r="G6791" s="20" t="str">
        <f>IFERROR(__xludf.DUMMYFUNCTION("""COMPUTED_VALUE"""),"Uncle Sams Cider (5/13/2022)")</f>
        <v>Uncle Sams Cider (5/13/2022)</v>
      </c>
      <c r="H6791" s="19"/>
    </row>
    <row r="6792">
      <c r="A6792" s="9"/>
      <c r="B6792" s="15"/>
      <c r="C6792" s="9">
        <f>IFERROR(__xludf.DUMMYFUNCTION("""COMPUTED_VALUE"""),44725.7975633796)</f>
        <v>44725.79756</v>
      </c>
      <c r="D6792" s="15">
        <f>IFERROR(__xludf.DUMMYFUNCTION("""COMPUTED_VALUE"""),1.007)</f>
        <v>1.007</v>
      </c>
      <c r="E6792" s="16">
        <f>IFERROR(__xludf.DUMMYFUNCTION("""COMPUTED_VALUE"""),70.0)</f>
        <v>70</v>
      </c>
      <c r="F6792" s="19" t="str">
        <f>IFERROR(__xludf.DUMMYFUNCTION("""COMPUTED_VALUE"""),"BLACK")</f>
        <v>BLACK</v>
      </c>
      <c r="G6792" s="20" t="str">
        <f>IFERROR(__xludf.DUMMYFUNCTION("""COMPUTED_VALUE"""),"Uncle Sams Cider (5/13/2022)")</f>
        <v>Uncle Sams Cider (5/13/2022)</v>
      </c>
      <c r="H6792" s="19"/>
    </row>
    <row r="6793">
      <c r="A6793" s="9"/>
      <c r="B6793" s="15"/>
      <c r="C6793" s="9">
        <f>IFERROR(__xludf.DUMMYFUNCTION("""COMPUTED_VALUE"""),44725.7871430208)</f>
        <v>44725.78714</v>
      </c>
      <c r="D6793" s="15">
        <f>IFERROR(__xludf.DUMMYFUNCTION("""COMPUTED_VALUE"""),1.006)</f>
        <v>1.006</v>
      </c>
      <c r="E6793" s="16">
        <f>IFERROR(__xludf.DUMMYFUNCTION("""COMPUTED_VALUE"""),70.0)</f>
        <v>70</v>
      </c>
      <c r="F6793" s="19" t="str">
        <f>IFERROR(__xludf.DUMMYFUNCTION("""COMPUTED_VALUE"""),"BLACK")</f>
        <v>BLACK</v>
      </c>
      <c r="G6793" s="20" t="str">
        <f>IFERROR(__xludf.DUMMYFUNCTION("""COMPUTED_VALUE"""),"Uncle Sams Cider (5/13/2022)")</f>
        <v>Uncle Sams Cider (5/13/2022)</v>
      </c>
      <c r="H6793" s="19"/>
    </row>
    <row r="6794">
      <c r="A6794" s="9"/>
      <c r="B6794" s="15"/>
      <c r="C6794" s="9">
        <f>IFERROR(__xludf.DUMMYFUNCTION("""COMPUTED_VALUE"""),44725.7767215393)</f>
        <v>44725.77672</v>
      </c>
      <c r="D6794" s="15">
        <f>IFERROR(__xludf.DUMMYFUNCTION("""COMPUTED_VALUE"""),1.007)</f>
        <v>1.007</v>
      </c>
      <c r="E6794" s="16">
        <f>IFERROR(__xludf.DUMMYFUNCTION("""COMPUTED_VALUE"""),70.0)</f>
        <v>70</v>
      </c>
      <c r="F6794" s="19" t="str">
        <f>IFERROR(__xludf.DUMMYFUNCTION("""COMPUTED_VALUE"""),"BLACK")</f>
        <v>BLACK</v>
      </c>
      <c r="G6794" s="20" t="str">
        <f>IFERROR(__xludf.DUMMYFUNCTION("""COMPUTED_VALUE"""),"Uncle Sams Cider (5/13/2022)")</f>
        <v>Uncle Sams Cider (5/13/2022)</v>
      </c>
      <c r="H6794" s="19"/>
    </row>
    <row r="6795">
      <c r="A6795" s="9"/>
      <c r="B6795" s="15"/>
      <c r="C6795" s="9">
        <f>IFERROR(__xludf.DUMMYFUNCTION("""COMPUTED_VALUE"""),44725.7663015856)</f>
        <v>44725.7663</v>
      </c>
      <c r="D6795" s="15">
        <f>IFERROR(__xludf.DUMMYFUNCTION("""COMPUTED_VALUE"""),1.007)</f>
        <v>1.007</v>
      </c>
      <c r="E6795" s="16">
        <f>IFERROR(__xludf.DUMMYFUNCTION("""COMPUTED_VALUE"""),70.0)</f>
        <v>70</v>
      </c>
      <c r="F6795" s="19" t="str">
        <f>IFERROR(__xludf.DUMMYFUNCTION("""COMPUTED_VALUE"""),"BLACK")</f>
        <v>BLACK</v>
      </c>
      <c r="G6795" s="20" t="str">
        <f>IFERROR(__xludf.DUMMYFUNCTION("""COMPUTED_VALUE"""),"Uncle Sams Cider (5/13/2022)")</f>
        <v>Uncle Sams Cider (5/13/2022)</v>
      </c>
      <c r="H6795" s="19"/>
    </row>
    <row r="6796">
      <c r="A6796" s="9"/>
      <c r="B6796" s="15"/>
      <c r="C6796" s="9">
        <f>IFERROR(__xludf.DUMMYFUNCTION("""COMPUTED_VALUE"""),44725.7558814004)</f>
        <v>44725.75588</v>
      </c>
      <c r="D6796" s="15">
        <f>IFERROR(__xludf.DUMMYFUNCTION("""COMPUTED_VALUE"""),1.006)</f>
        <v>1.006</v>
      </c>
      <c r="E6796" s="16">
        <f>IFERROR(__xludf.DUMMYFUNCTION("""COMPUTED_VALUE"""),70.0)</f>
        <v>70</v>
      </c>
      <c r="F6796" s="19" t="str">
        <f>IFERROR(__xludf.DUMMYFUNCTION("""COMPUTED_VALUE"""),"BLACK")</f>
        <v>BLACK</v>
      </c>
      <c r="G6796" s="20" t="str">
        <f>IFERROR(__xludf.DUMMYFUNCTION("""COMPUTED_VALUE"""),"Uncle Sams Cider (5/13/2022)")</f>
        <v>Uncle Sams Cider (5/13/2022)</v>
      </c>
      <c r="H6796" s="19"/>
    </row>
    <row r="6797">
      <c r="A6797" s="9"/>
      <c r="B6797" s="15"/>
      <c r="C6797" s="9">
        <f>IFERROR(__xludf.DUMMYFUNCTION("""COMPUTED_VALUE"""),44725.7454605555)</f>
        <v>44725.74546</v>
      </c>
      <c r="D6797" s="15">
        <f>IFERROR(__xludf.DUMMYFUNCTION("""COMPUTED_VALUE"""),1.007)</f>
        <v>1.007</v>
      </c>
      <c r="E6797" s="16">
        <f>IFERROR(__xludf.DUMMYFUNCTION("""COMPUTED_VALUE"""),69.0)</f>
        <v>69</v>
      </c>
      <c r="F6797" s="19" t="str">
        <f>IFERROR(__xludf.DUMMYFUNCTION("""COMPUTED_VALUE"""),"BLACK")</f>
        <v>BLACK</v>
      </c>
      <c r="G6797" s="20" t="str">
        <f>IFERROR(__xludf.DUMMYFUNCTION("""COMPUTED_VALUE"""),"Uncle Sams Cider (5/13/2022)")</f>
        <v>Uncle Sams Cider (5/13/2022)</v>
      </c>
      <c r="H6797" s="19"/>
    </row>
    <row r="6798">
      <c r="A6798" s="9"/>
      <c r="B6798" s="15"/>
      <c r="C6798" s="9">
        <f>IFERROR(__xludf.DUMMYFUNCTION("""COMPUTED_VALUE"""),44725.7350385995)</f>
        <v>44725.73504</v>
      </c>
      <c r="D6798" s="15">
        <f>IFERROR(__xludf.DUMMYFUNCTION("""COMPUTED_VALUE"""),1.007)</f>
        <v>1.007</v>
      </c>
      <c r="E6798" s="16">
        <f>IFERROR(__xludf.DUMMYFUNCTION("""COMPUTED_VALUE"""),69.0)</f>
        <v>69</v>
      </c>
      <c r="F6798" s="19" t="str">
        <f>IFERROR(__xludf.DUMMYFUNCTION("""COMPUTED_VALUE"""),"BLACK")</f>
        <v>BLACK</v>
      </c>
      <c r="G6798" s="20" t="str">
        <f>IFERROR(__xludf.DUMMYFUNCTION("""COMPUTED_VALUE"""),"Uncle Sams Cider (5/13/2022)")</f>
        <v>Uncle Sams Cider (5/13/2022)</v>
      </c>
      <c r="H6798" s="19"/>
    </row>
    <row r="6799">
      <c r="A6799" s="9"/>
      <c r="B6799" s="15"/>
      <c r="C6799" s="9">
        <f>IFERROR(__xludf.DUMMYFUNCTION("""COMPUTED_VALUE"""),44725.7246170949)</f>
        <v>44725.72462</v>
      </c>
      <c r="D6799" s="15">
        <f>IFERROR(__xludf.DUMMYFUNCTION("""COMPUTED_VALUE"""),1.006)</f>
        <v>1.006</v>
      </c>
      <c r="E6799" s="16">
        <f>IFERROR(__xludf.DUMMYFUNCTION("""COMPUTED_VALUE"""),69.0)</f>
        <v>69</v>
      </c>
      <c r="F6799" s="19" t="str">
        <f>IFERROR(__xludf.DUMMYFUNCTION("""COMPUTED_VALUE"""),"BLACK")</f>
        <v>BLACK</v>
      </c>
      <c r="G6799" s="20" t="str">
        <f>IFERROR(__xludf.DUMMYFUNCTION("""COMPUTED_VALUE"""),"Uncle Sams Cider (5/13/2022)")</f>
        <v>Uncle Sams Cider (5/13/2022)</v>
      </c>
      <c r="H6799" s="19"/>
    </row>
    <row r="6800">
      <c r="A6800" s="9"/>
      <c r="B6800" s="15"/>
      <c r="C6800" s="9">
        <f>IFERROR(__xludf.DUMMYFUNCTION("""COMPUTED_VALUE"""),44725.71419625)</f>
        <v>44725.7142</v>
      </c>
      <c r="D6800" s="15">
        <f>IFERROR(__xludf.DUMMYFUNCTION("""COMPUTED_VALUE"""),1.007)</f>
        <v>1.007</v>
      </c>
      <c r="E6800" s="16">
        <f>IFERROR(__xludf.DUMMYFUNCTION("""COMPUTED_VALUE"""),69.0)</f>
        <v>69</v>
      </c>
      <c r="F6800" s="19" t="str">
        <f>IFERROR(__xludf.DUMMYFUNCTION("""COMPUTED_VALUE"""),"BLACK")</f>
        <v>BLACK</v>
      </c>
      <c r="G6800" s="20" t="str">
        <f>IFERROR(__xludf.DUMMYFUNCTION("""COMPUTED_VALUE"""),"Uncle Sams Cider (5/13/2022)")</f>
        <v>Uncle Sams Cider (5/13/2022)</v>
      </c>
      <c r="H6800" s="19"/>
    </row>
    <row r="6801">
      <c r="A6801" s="9"/>
      <c r="B6801" s="15"/>
      <c r="C6801" s="9">
        <f>IFERROR(__xludf.DUMMYFUNCTION("""COMPUTED_VALUE"""),44725.7037636458)</f>
        <v>44725.70376</v>
      </c>
      <c r="D6801" s="15">
        <f>IFERROR(__xludf.DUMMYFUNCTION("""COMPUTED_VALUE"""),1.007)</f>
        <v>1.007</v>
      </c>
      <c r="E6801" s="16">
        <f>IFERROR(__xludf.DUMMYFUNCTION("""COMPUTED_VALUE"""),69.0)</f>
        <v>69</v>
      </c>
      <c r="F6801" s="19" t="str">
        <f>IFERROR(__xludf.DUMMYFUNCTION("""COMPUTED_VALUE"""),"BLACK")</f>
        <v>BLACK</v>
      </c>
      <c r="G6801" s="20" t="str">
        <f>IFERROR(__xludf.DUMMYFUNCTION("""COMPUTED_VALUE"""),"Uncle Sams Cider (5/13/2022)")</f>
        <v>Uncle Sams Cider (5/13/2022)</v>
      </c>
      <c r="H6801" s="19"/>
    </row>
    <row r="6802">
      <c r="A6802" s="9"/>
      <c r="B6802" s="15"/>
      <c r="C6802" s="9">
        <f>IFERROR(__xludf.DUMMYFUNCTION("""COMPUTED_VALUE"""),44725.6933322916)</f>
        <v>44725.69333</v>
      </c>
      <c r="D6802" s="15">
        <f>IFERROR(__xludf.DUMMYFUNCTION("""COMPUTED_VALUE"""),1.007)</f>
        <v>1.007</v>
      </c>
      <c r="E6802" s="16">
        <f>IFERROR(__xludf.DUMMYFUNCTION("""COMPUTED_VALUE"""),69.0)</f>
        <v>69</v>
      </c>
      <c r="F6802" s="19" t="str">
        <f>IFERROR(__xludf.DUMMYFUNCTION("""COMPUTED_VALUE"""),"BLACK")</f>
        <v>BLACK</v>
      </c>
      <c r="G6802" s="20" t="str">
        <f>IFERROR(__xludf.DUMMYFUNCTION("""COMPUTED_VALUE"""),"Uncle Sams Cider (5/13/2022)")</f>
        <v>Uncle Sams Cider (5/13/2022)</v>
      </c>
      <c r="H6802" s="19"/>
    </row>
    <row r="6803">
      <c r="A6803" s="9"/>
      <c r="B6803" s="15"/>
      <c r="C6803" s="9">
        <f>IFERROR(__xludf.DUMMYFUNCTION("""COMPUTED_VALUE"""),44725.682900787)</f>
        <v>44725.6829</v>
      </c>
      <c r="D6803" s="15">
        <f>IFERROR(__xludf.DUMMYFUNCTION("""COMPUTED_VALUE"""),1.007)</f>
        <v>1.007</v>
      </c>
      <c r="E6803" s="16">
        <f>IFERROR(__xludf.DUMMYFUNCTION("""COMPUTED_VALUE"""),69.0)</f>
        <v>69</v>
      </c>
      <c r="F6803" s="19" t="str">
        <f>IFERROR(__xludf.DUMMYFUNCTION("""COMPUTED_VALUE"""),"BLACK")</f>
        <v>BLACK</v>
      </c>
      <c r="G6803" s="20" t="str">
        <f>IFERROR(__xludf.DUMMYFUNCTION("""COMPUTED_VALUE"""),"Uncle Sams Cider (5/13/2022)")</f>
        <v>Uncle Sams Cider (5/13/2022)</v>
      </c>
      <c r="H6803" s="19"/>
    </row>
    <row r="6804">
      <c r="A6804" s="9"/>
      <c r="B6804" s="15"/>
      <c r="C6804" s="9">
        <f>IFERROR(__xludf.DUMMYFUNCTION("""COMPUTED_VALUE"""),44725.6724667129)</f>
        <v>44725.67247</v>
      </c>
      <c r="D6804" s="15">
        <f>IFERROR(__xludf.DUMMYFUNCTION("""COMPUTED_VALUE"""),1.007)</f>
        <v>1.007</v>
      </c>
      <c r="E6804" s="16">
        <f>IFERROR(__xludf.DUMMYFUNCTION("""COMPUTED_VALUE"""),69.0)</f>
        <v>69</v>
      </c>
      <c r="F6804" s="19" t="str">
        <f>IFERROR(__xludf.DUMMYFUNCTION("""COMPUTED_VALUE"""),"BLACK")</f>
        <v>BLACK</v>
      </c>
      <c r="G6804" s="20" t="str">
        <f>IFERROR(__xludf.DUMMYFUNCTION("""COMPUTED_VALUE"""),"Uncle Sams Cider (5/13/2022)")</f>
        <v>Uncle Sams Cider (5/13/2022)</v>
      </c>
      <c r="H6804" s="19"/>
    </row>
    <row r="6805">
      <c r="A6805" s="9"/>
      <c r="B6805" s="15"/>
      <c r="C6805" s="9">
        <f>IFERROR(__xludf.DUMMYFUNCTION("""COMPUTED_VALUE"""),44725.6620455787)</f>
        <v>44725.66205</v>
      </c>
      <c r="D6805" s="15">
        <f>IFERROR(__xludf.DUMMYFUNCTION("""COMPUTED_VALUE"""),1.006)</f>
        <v>1.006</v>
      </c>
      <c r="E6805" s="16">
        <f>IFERROR(__xludf.DUMMYFUNCTION("""COMPUTED_VALUE"""),69.0)</f>
        <v>69</v>
      </c>
      <c r="F6805" s="19" t="str">
        <f>IFERROR(__xludf.DUMMYFUNCTION("""COMPUTED_VALUE"""),"BLACK")</f>
        <v>BLACK</v>
      </c>
      <c r="G6805" s="20" t="str">
        <f>IFERROR(__xludf.DUMMYFUNCTION("""COMPUTED_VALUE"""),"Uncle Sams Cider (5/13/2022)")</f>
        <v>Uncle Sams Cider (5/13/2022)</v>
      </c>
      <c r="H6805" s="19"/>
    </row>
    <row r="6806">
      <c r="A6806" s="9"/>
      <c r="B6806" s="15"/>
      <c r="C6806" s="9">
        <f>IFERROR(__xludf.DUMMYFUNCTION("""COMPUTED_VALUE"""),44725.651624699)</f>
        <v>44725.65162</v>
      </c>
      <c r="D6806" s="15">
        <f>IFERROR(__xludf.DUMMYFUNCTION("""COMPUTED_VALUE"""),1.006)</f>
        <v>1.006</v>
      </c>
      <c r="E6806" s="16">
        <f>IFERROR(__xludf.DUMMYFUNCTION("""COMPUTED_VALUE"""),69.0)</f>
        <v>69</v>
      </c>
      <c r="F6806" s="19" t="str">
        <f>IFERROR(__xludf.DUMMYFUNCTION("""COMPUTED_VALUE"""),"BLACK")</f>
        <v>BLACK</v>
      </c>
      <c r="G6806" s="20" t="str">
        <f>IFERROR(__xludf.DUMMYFUNCTION("""COMPUTED_VALUE"""),"Uncle Sams Cider (5/13/2022)")</f>
        <v>Uncle Sams Cider (5/13/2022)</v>
      </c>
      <c r="H6806" s="19"/>
    </row>
    <row r="6807">
      <c r="A6807" s="9"/>
      <c r="B6807" s="15"/>
      <c r="C6807" s="9">
        <f>IFERROR(__xludf.DUMMYFUNCTION("""COMPUTED_VALUE"""),44725.6412035185)</f>
        <v>44725.6412</v>
      </c>
      <c r="D6807" s="15">
        <f>IFERROR(__xludf.DUMMYFUNCTION("""COMPUTED_VALUE"""),1.006)</f>
        <v>1.006</v>
      </c>
      <c r="E6807" s="16">
        <f>IFERROR(__xludf.DUMMYFUNCTION("""COMPUTED_VALUE"""),69.0)</f>
        <v>69</v>
      </c>
      <c r="F6807" s="19" t="str">
        <f>IFERROR(__xludf.DUMMYFUNCTION("""COMPUTED_VALUE"""),"BLACK")</f>
        <v>BLACK</v>
      </c>
      <c r="G6807" s="20" t="str">
        <f>IFERROR(__xludf.DUMMYFUNCTION("""COMPUTED_VALUE"""),"Uncle Sams Cider (5/13/2022)")</f>
        <v>Uncle Sams Cider (5/13/2022)</v>
      </c>
      <c r="H6807" s="19"/>
    </row>
    <row r="6808">
      <c r="A6808" s="9"/>
      <c r="B6808" s="15"/>
      <c r="C6808" s="9">
        <f>IFERROR(__xludf.DUMMYFUNCTION("""COMPUTED_VALUE"""),44725.6307831134)</f>
        <v>44725.63078</v>
      </c>
      <c r="D6808" s="15">
        <f>IFERROR(__xludf.DUMMYFUNCTION("""COMPUTED_VALUE"""),1.007)</f>
        <v>1.007</v>
      </c>
      <c r="E6808" s="16">
        <f>IFERROR(__xludf.DUMMYFUNCTION("""COMPUTED_VALUE"""),69.0)</f>
        <v>69</v>
      </c>
      <c r="F6808" s="19" t="str">
        <f>IFERROR(__xludf.DUMMYFUNCTION("""COMPUTED_VALUE"""),"BLACK")</f>
        <v>BLACK</v>
      </c>
      <c r="G6808" s="20" t="str">
        <f>IFERROR(__xludf.DUMMYFUNCTION("""COMPUTED_VALUE"""),"Uncle Sams Cider (5/13/2022)")</f>
        <v>Uncle Sams Cider (5/13/2022)</v>
      </c>
      <c r="H6808" s="19"/>
    </row>
    <row r="6809">
      <c r="A6809" s="9"/>
      <c r="B6809" s="15"/>
      <c r="C6809" s="9">
        <f>IFERROR(__xludf.DUMMYFUNCTION("""COMPUTED_VALUE"""),44725.6203625925)</f>
        <v>44725.62036</v>
      </c>
      <c r="D6809" s="15">
        <f>IFERROR(__xludf.DUMMYFUNCTION("""COMPUTED_VALUE"""),1.006)</f>
        <v>1.006</v>
      </c>
      <c r="E6809" s="16">
        <f>IFERROR(__xludf.DUMMYFUNCTION("""COMPUTED_VALUE"""),69.0)</f>
        <v>69</v>
      </c>
      <c r="F6809" s="19" t="str">
        <f>IFERROR(__xludf.DUMMYFUNCTION("""COMPUTED_VALUE"""),"BLACK")</f>
        <v>BLACK</v>
      </c>
      <c r="G6809" s="20" t="str">
        <f>IFERROR(__xludf.DUMMYFUNCTION("""COMPUTED_VALUE"""),"Uncle Sams Cider (5/13/2022)")</f>
        <v>Uncle Sams Cider (5/13/2022)</v>
      </c>
      <c r="H6809" s="19"/>
    </row>
    <row r="6810">
      <c r="A6810" s="9"/>
      <c r="B6810" s="15"/>
      <c r="C6810" s="9">
        <f>IFERROR(__xludf.DUMMYFUNCTION("""COMPUTED_VALUE"""),44725.6099426273)</f>
        <v>44725.60994</v>
      </c>
      <c r="D6810" s="15">
        <f>IFERROR(__xludf.DUMMYFUNCTION("""COMPUTED_VALUE"""),1.007)</f>
        <v>1.007</v>
      </c>
      <c r="E6810" s="16">
        <f>IFERROR(__xludf.DUMMYFUNCTION("""COMPUTED_VALUE"""),69.0)</f>
        <v>69</v>
      </c>
      <c r="F6810" s="19" t="str">
        <f>IFERROR(__xludf.DUMMYFUNCTION("""COMPUTED_VALUE"""),"BLACK")</f>
        <v>BLACK</v>
      </c>
      <c r="G6810" s="20" t="str">
        <f>IFERROR(__xludf.DUMMYFUNCTION("""COMPUTED_VALUE"""),"Uncle Sams Cider (5/13/2022)")</f>
        <v>Uncle Sams Cider (5/13/2022)</v>
      </c>
      <c r="H6810" s="19"/>
    </row>
    <row r="6811">
      <c r="A6811" s="9"/>
      <c r="B6811" s="15"/>
      <c r="C6811" s="9">
        <f>IFERROR(__xludf.DUMMYFUNCTION("""COMPUTED_VALUE"""),44725.5995221064)</f>
        <v>44725.59952</v>
      </c>
      <c r="D6811" s="15">
        <f>IFERROR(__xludf.DUMMYFUNCTION("""COMPUTED_VALUE"""),1.007)</f>
        <v>1.007</v>
      </c>
      <c r="E6811" s="16">
        <f>IFERROR(__xludf.DUMMYFUNCTION("""COMPUTED_VALUE"""),69.0)</f>
        <v>69</v>
      </c>
      <c r="F6811" s="19" t="str">
        <f>IFERROR(__xludf.DUMMYFUNCTION("""COMPUTED_VALUE"""),"BLACK")</f>
        <v>BLACK</v>
      </c>
      <c r="G6811" s="20" t="str">
        <f>IFERROR(__xludf.DUMMYFUNCTION("""COMPUTED_VALUE"""),"Uncle Sams Cider (5/13/2022)")</f>
        <v>Uncle Sams Cider (5/13/2022)</v>
      </c>
      <c r="H6811" s="19"/>
    </row>
    <row r="6812">
      <c r="A6812" s="9"/>
      <c r="B6812" s="15"/>
      <c r="C6812" s="9">
        <f>IFERROR(__xludf.DUMMYFUNCTION("""COMPUTED_VALUE"""),44725.5891015046)</f>
        <v>44725.5891</v>
      </c>
      <c r="D6812" s="15">
        <f>IFERROR(__xludf.DUMMYFUNCTION("""COMPUTED_VALUE"""),1.007)</f>
        <v>1.007</v>
      </c>
      <c r="E6812" s="16">
        <f>IFERROR(__xludf.DUMMYFUNCTION("""COMPUTED_VALUE"""),69.0)</f>
        <v>69</v>
      </c>
      <c r="F6812" s="19" t="str">
        <f>IFERROR(__xludf.DUMMYFUNCTION("""COMPUTED_VALUE"""),"BLACK")</f>
        <v>BLACK</v>
      </c>
      <c r="G6812" s="20" t="str">
        <f>IFERROR(__xludf.DUMMYFUNCTION("""COMPUTED_VALUE"""),"Uncle Sams Cider (5/13/2022)")</f>
        <v>Uncle Sams Cider (5/13/2022)</v>
      </c>
      <c r="H6812" s="19"/>
    </row>
    <row r="6813">
      <c r="A6813" s="9"/>
      <c r="B6813" s="15"/>
      <c r="C6813" s="9">
        <f>IFERROR(__xludf.DUMMYFUNCTION("""COMPUTED_VALUE"""),44725.5786802199)</f>
        <v>44725.57868</v>
      </c>
      <c r="D6813" s="15">
        <f>IFERROR(__xludf.DUMMYFUNCTION("""COMPUTED_VALUE"""),1.007)</f>
        <v>1.007</v>
      </c>
      <c r="E6813" s="16">
        <f>IFERROR(__xludf.DUMMYFUNCTION("""COMPUTED_VALUE"""),69.0)</f>
        <v>69</v>
      </c>
      <c r="F6813" s="19" t="str">
        <f>IFERROR(__xludf.DUMMYFUNCTION("""COMPUTED_VALUE"""),"BLACK")</f>
        <v>BLACK</v>
      </c>
      <c r="G6813" s="20" t="str">
        <f>IFERROR(__xludf.DUMMYFUNCTION("""COMPUTED_VALUE"""),"Uncle Sams Cider (5/13/2022)")</f>
        <v>Uncle Sams Cider (5/13/2022)</v>
      </c>
      <c r="H6813" s="19"/>
    </row>
    <row r="6814">
      <c r="A6814" s="9"/>
      <c r="B6814" s="15"/>
      <c r="C6814" s="9">
        <f>IFERROR(__xludf.DUMMYFUNCTION("""COMPUTED_VALUE"""),44725.5682602314)</f>
        <v>44725.56826</v>
      </c>
      <c r="D6814" s="15">
        <f>IFERROR(__xludf.DUMMYFUNCTION("""COMPUTED_VALUE"""),1.007)</f>
        <v>1.007</v>
      </c>
      <c r="E6814" s="16">
        <f>IFERROR(__xludf.DUMMYFUNCTION("""COMPUTED_VALUE"""),69.0)</f>
        <v>69</v>
      </c>
      <c r="F6814" s="19" t="str">
        <f>IFERROR(__xludf.DUMMYFUNCTION("""COMPUTED_VALUE"""),"BLACK")</f>
        <v>BLACK</v>
      </c>
      <c r="G6814" s="20" t="str">
        <f>IFERROR(__xludf.DUMMYFUNCTION("""COMPUTED_VALUE"""),"Uncle Sams Cider (5/13/2022)")</f>
        <v>Uncle Sams Cider (5/13/2022)</v>
      </c>
      <c r="H6814" s="19"/>
    </row>
    <row r="6815">
      <c r="A6815" s="9"/>
      <c r="B6815" s="15"/>
      <c r="C6815" s="9">
        <f>IFERROR(__xludf.DUMMYFUNCTION("""COMPUTED_VALUE"""),44725.557838206)</f>
        <v>44725.55784</v>
      </c>
      <c r="D6815" s="15">
        <f>IFERROR(__xludf.DUMMYFUNCTION("""COMPUTED_VALUE"""),1.007)</f>
        <v>1.007</v>
      </c>
      <c r="E6815" s="16">
        <f>IFERROR(__xludf.DUMMYFUNCTION("""COMPUTED_VALUE"""),69.0)</f>
        <v>69</v>
      </c>
      <c r="F6815" s="19" t="str">
        <f>IFERROR(__xludf.DUMMYFUNCTION("""COMPUTED_VALUE"""),"BLACK")</f>
        <v>BLACK</v>
      </c>
      <c r="G6815" s="20" t="str">
        <f>IFERROR(__xludf.DUMMYFUNCTION("""COMPUTED_VALUE"""),"Uncle Sams Cider (5/13/2022)")</f>
        <v>Uncle Sams Cider (5/13/2022)</v>
      </c>
      <c r="H6815" s="19"/>
    </row>
    <row r="6816">
      <c r="A6816" s="9"/>
      <c r="B6816" s="15"/>
      <c r="C6816" s="9">
        <f>IFERROR(__xludf.DUMMYFUNCTION("""COMPUTED_VALUE"""),44725.5473816203)</f>
        <v>44725.54738</v>
      </c>
      <c r="D6816" s="15">
        <f>IFERROR(__xludf.DUMMYFUNCTION("""COMPUTED_VALUE"""),1.007)</f>
        <v>1.007</v>
      </c>
      <c r="E6816" s="16">
        <f>IFERROR(__xludf.DUMMYFUNCTION("""COMPUTED_VALUE"""),69.0)</f>
        <v>69</v>
      </c>
      <c r="F6816" s="19" t="str">
        <f>IFERROR(__xludf.DUMMYFUNCTION("""COMPUTED_VALUE"""),"BLACK")</f>
        <v>BLACK</v>
      </c>
      <c r="G6816" s="20" t="str">
        <f>IFERROR(__xludf.DUMMYFUNCTION("""COMPUTED_VALUE"""),"Uncle Sams Cider (5/13/2022)")</f>
        <v>Uncle Sams Cider (5/13/2022)</v>
      </c>
      <c r="H6816" s="19"/>
    </row>
    <row r="6817">
      <c r="A6817" s="9"/>
      <c r="B6817" s="15"/>
      <c r="C6817" s="9">
        <f>IFERROR(__xludf.DUMMYFUNCTION("""COMPUTED_VALUE"""),44725.5369617245)</f>
        <v>44725.53696</v>
      </c>
      <c r="D6817" s="15">
        <f>IFERROR(__xludf.DUMMYFUNCTION("""COMPUTED_VALUE"""),1.007)</f>
        <v>1.007</v>
      </c>
      <c r="E6817" s="16">
        <f>IFERROR(__xludf.DUMMYFUNCTION("""COMPUTED_VALUE"""),69.0)</f>
        <v>69</v>
      </c>
      <c r="F6817" s="19" t="str">
        <f>IFERROR(__xludf.DUMMYFUNCTION("""COMPUTED_VALUE"""),"BLACK")</f>
        <v>BLACK</v>
      </c>
      <c r="G6817" s="20" t="str">
        <f>IFERROR(__xludf.DUMMYFUNCTION("""COMPUTED_VALUE"""),"Uncle Sams Cider (5/13/2022)")</f>
        <v>Uncle Sams Cider (5/13/2022)</v>
      </c>
      <c r="H6817" s="19"/>
    </row>
    <row r="6818">
      <c r="A6818" s="9"/>
      <c r="B6818" s="15"/>
      <c r="C6818" s="9">
        <f>IFERROR(__xludf.DUMMYFUNCTION("""COMPUTED_VALUE"""),44725.5265419675)</f>
        <v>44725.52654</v>
      </c>
      <c r="D6818" s="15">
        <f>IFERROR(__xludf.DUMMYFUNCTION("""COMPUTED_VALUE"""),1.006)</f>
        <v>1.006</v>
      </c>
      <c r="E6818" s="16">
        <f>IFERROR(__xludf.DUMMYFUNCTION("""COMPUTED_VALUE"""),69.0)</f>
        <v>69</v>
      </c>
      <c r="F6818" s="19" t="str">
        <f>IFERROR(__xludf.DUMMYFUNCTION("""COMPUTED_VALUE"""),"BLACK")</f>
        <v>BLACK</v>
      </c>
      <c r="G6818" s="20" t="str">
        <f>IFERROR(__xludf.DUMMYFUNCTION("""COMPUTED_VALUE"""),"Uncle Sams Cider (5/13/2022)")</f>
        <v>Uncle Sams Cider (5/13/2022)</v>
      </c>
      <c r="H6818" s="19"/>
    </row>
    <row r="6819">
      <c r="A6819" s="9"/>
      <c r="B6819" s="15"/>
      <c r="C6819" s="9">
        <f>IFERROR(__xludf.DUMMYFUNCTION("""COMPUTED_VALUE"""),44725.5161094907)</f>
        <v>44725.51611</v>
      </c>
      <c r="D6819" s="15">
        <f>IFERROR(__xludf.DUMMYFUNCTION("""COMPUTED_VALUE"""),1.007)</f>
        <v>1.007</v>
      </c>
      <c r="E6819" s="16">
        <f>IFERROR(__xludf.DUMMYFUNCTION("""COMPUTED_VALUE"""),69.0)</f>
        <v>69</v>
      </c>
      <c r="F6819" s="19" t="str">
        <f>IFERROR(__xludf.DUMMYFUNCTION("""COMPUTED_VALUE"""),"BLACK")</f>
        <v>BLACK</v>
      </c>
      <c r="G6819" s="20" t="str">
        <f>IFERROR(__xludf.DUMMYFUNCTION("""COMPUTED_VALUE"""),"Uncle Sams Cider (5/13/2022)")</f>
        <v>Uncle Sams Cider (5/13/2022)</v>
      </c>
      <c r="H6819" s="19"/>
    </row>
    <row r="6820">
      <c r="A6820" s="9"/>
      <c r="B6820" s="15"/>
      <c r="C6820" s="9">
        <f>IFERROR(__xludf.DUMMYFUNCTION("""COMPUTED_VALUE"""),44725.5056769328)</f>
        <v>44725.50568</v>
      </c>
      <c r="D6820" s="15">
        <f>IFERROR(__xludf.DUMMYFUNCTION("""COMPUTED_VALUE"""),1.007)</f>
        <v>1.007</v>
      </c>
      <c r="E6820" s="16">
        <f>IFERROR(__xludf.DUMMYFUNCTION("""COMPUTED_VALUE"""),69.0)</f>
        <v>69</v>
      </c>
      <c r="F6820" s="19" t="str">
        <f>IFERROR(__xludf.DUMMYFUNCTION("""COMPUTED_VALUE"""),"BLACK")</f>
        <v>BLACK</v>
      </c>
      <c r="G6820" s="20" t="str">
        <f>IFERROR(__xludf.DUMMYFUNCTION("""COMPUTED_VALUE"""),"Uncle Sams Cider (5/13/2022)")</f>
        <v>Uncle Sams Cider (5/13/2022)</v>
      </c>
      <c r="H6820" s="19"/>
    </row>
    <row r="6821">
      <c r="A6821" s="9"/>
      <c r="B6821" s="15"/>
      <c r="C6821" s="9">
        <f>IFERROR(__xludf.DUMMYFUNCTION("""COMPUTED_VALUE"""),44725.4952559375)</f>
        <v>44725.49526</v>
      </c>
      <c r="D6821" s="15">
        <f>IFERROR(__xludf.DUMMYFUNCTION("""COMPUTED_VALUE"""),1.006)</f>
        <v>1.006</v>
      </c>
      <c r="E6821" s="16">
        <f>IFERROR(__xludf.DUMMYFUNCTION("""COMPUTED_VALUE"""),69.0)</f>
        <v>69</v>
      </c>
      <c r="F6821" s="19" t="str">
        <f>IFERROR(__xludf.DUMMYFUNCTION("""COMPUTED_VALUE"""),"BLACK")</f>
        <v>BLACK</v>
      </c>
      <c r="G6821" s="20" t="str">
        <f>IFERROR(__xludf.DUMMYFUNCTION("""COMPUTED_VALUE"""),"Uncle Sams Cider (5/13/2022)")</f>
        <v>Uncle Sams Cider (5/13/2022)</v>
      </c>
      <c r="H6821" s="19"/>
    </row>
    <row r="6822">
      <c r="A6822" s="9"/>
      <c r="B6822" s="15"/>
      <c r="C6822" s="9">
        <f>IFERROR(__xludf.DUMMYFUNCTION("""COMPUTED_VALUE"""),44725.484833287)</f>
        <v>44725.48483</v>
      </c>
      <c r="D6822" s="15">
        <f>IFERROR(__xludf.DUMMYFUNCTION("""COMPUTED_VALUE"""),1.006)</f>
        <v>1.006</v>
      </c>
      <c r="E6822" s="16">
        <f>IFERROR(__xludf.DUMMYFUNCTION("""COMPUTED_VALUE"""),69.0)</f>
        <v>69</v>
      </c>
      <c r="F6822" s="19" t="str">
        <f>IFERROR(__xludf.DUMMYFUNCTION("""COMPUTED_VALUE"""),"BLACK")</f>
        <v>BLACK</v>
      </c>
      <c r="G6822" s="20" t="str">
        <f>IFERROR(__xludf.DUMMYFUNCTION("""COMPUTED_VALUE"""),"Uncle Sams Cider (5/13/2022)")</f>
        <v>Uncle Sams Cider (5/13/2022)</v>
      </c>
      <c r="H6822" s="19"/>
    </row>
    <row r="6823">
      <c r="A6823" s="9"/>
      <c r="B6823" s="15"/>
      <c r="C6823" s="9">
        <f>IFERROR(__xludf.DUMMYFUNCTION("""COMPUTED_VALUE"""),44725.474409618)</f>
        <v>44725.47441</v>
      </c>
      <c r="D6823" s="15">
        <f>IFERROR(__xludf.DUMMYFUNCTION("""COMPUTED_VALUE"""),1.006)</f>
        <v>1.006</v>
      </c>
      <c r="E6823" s="16">
        <f>IFERROR(__xludf.DUMMYFUNCTION("""COMPUTED_VALUE"""),69.0)</f>
        <v>69</v>
      </c>
      <c r="F6823" s="19" t="str">
        <f>IFERROR(__xludf.DUMMYFUNCTION("""COMPUTED_VALUE"""),"BLACK")</f>
        <v>BLACK</v>
      </c>
      <c r="G6823" s="20" t="str">
        <f>IFERROR(__xludf.DUMMYFUNCTION("""COMPUTED_VALUE"""),"Uncle Sams Cider (5/13/2022)")</f>
        <v>Uncle Sams Cider (5/13/2022)</v>
      </c>
      <c r="H6823" s="19"/>
    </row>
    <row r="6824">
      <c r="A6824" s="9"/>
      <c r="B6824" s="15"/>
      <c r="C6824" s="9">
        <f>IFERROR(__xludf.DUMMYFUNCTION("""COMPUTED_VALUE"""),44725.463989074)</f>
        <v>44725.46399</v>
      </c>
      <c r="D6824" s="15">
        <f>IFERROR(__xludf.DUMMYFUNCTION("""COMPUTED_VALUE"""),1.007)</f>
        <v>1.007</v>
      </c>
      <c r="E6824" s="16">
        <f>IFERROR(__xludf.DUMMYFUNCTION("""COMPUTED_VALUE"""),69.0)</f>
        <v>69</v>
      </c>
      <c r="F6824" s="19" t="str">
        <f>IFERROR(__xludf.DUMMYFUNCTION("""COMPUTED_VALUE"""),"BLACK")</f>
        <v>BLACK</v>
      </c>
      <c r="G6824" s="20" t="str">
        <f>IFERROR(__xludf.DUMMYFUNCTION("""COMPUTED_VALUE"""),"Uncle Sams Cider (5/13/2022)")</f>
        <v>Uncle Sams Cider (5/13/2022)</v>
      </c>
      <c r="H6824" s="19"/>
    </row>
    <row r="6825">
      <c r="A6825" s="9"/>
      <c r="B6825" s="15"/>
      <c r="C6825" s="9">
        <f>IFERROR(__xludf.DUMMYFUNCTION("""COMPUTED_VALUE"""),44725.4535567824)</f>
        <v>44725.45356</v>
      </c>
      <c r="D6825" s="15">
        <f>IFERROR(__xludf.DUMMYFUNCTION("""COMPUTED_VALUE"""),1.007)</f>
        <v>1.007</v>
      </c>
      <c r="E6825" s="16">
        <f>IFERROR(__xludf.DUMMYFUNCTION("""COMPUTED_VALUE"""),69.0)</f>
        <v>69</v>
      </c>
      <c r="F6825" s="19" t="str">
        <f>IFERROR(__xludf.DUMMYFUNCTION("""COMPUTED_VALUE"""),"BLACK")</f>
        <v>BLACK</v>
      </c>
      <c r="G6825" s="20" t="str">
        <f>IFERROR(__xludf.DUMMYFUNCTION("""COMPUTED_VALUE"""),"Uncle Sams Cider (5/13/2022)")</f>
        <v>Uncle Sams Cider (5/13/2022)</v>
      </c>
      <c r="H6825" s="19"/>
    </row>
    <row r="6826">
      <c r="A6826" s="9"/>
      <c r="B6826" s="15"/>
      <c r="C6826" s="9">
        <f>IFERROR(__xludf.DUMMYFUNCTION("""COMPUTED_VALUE"""),44725.4431359953)</f>
        <v>44725.44314</v>
      </c>
      <c r="D6826" s="15">
        <f>IFERROR(__xludf.DUMMYFUNCTION("""COMPUTED_VALUE"""),1.007)</f>
        <v>1.007</v>
      </c>
      <c r="E6826" s="16">
        <f>IFERROR(__xludf.DUMMYFUNCTION("""COMPUTED_VALUE"""),69.0)</f>
        <v>69</v>
      </c>
      <c r="F6826" s="19" t="str">
        <f>IFERROR(__xludf.DUMMYFUNCTION("""COMPUTED_VALUE"""),"BLACK")</f>
        <v>BLACK</v>
      </c>
      <c r="G6826" s="20" t="str">
        <f>IFERROR(__xludf.DUMMYFUNCTION("""COMPUTED_VALUE"""),"Uncle Sams Cider (5/13/2022)")</f>
        <v>Uncle Sams Cider (5/13/2022)</v>
      </c>
      <c r="H6826" s="19"/>
    </row>
    <row r="6827">
      <c r="A6827" s="9"/>
      <c r="B6827" s="15"/>
      <c r="C6827" s="9">
        <f>IFERROR(__xludf.DUMMYFUNCTION("""COMPUTED_VALUE"""),44725.4327149652)</f>
        <v>44725.43271</v>
      </c>
      <c r="D6827" s="15">
        <f>IFERROR(__xludf.DUMMYFUNCTION("""COMPUTED_VALUE"""),1.006)</f>
        <v>1.006</v>
      </c>
      <c r="E6827" s="16">
        <f>IFERROR(__xludf.DUMMYFUNCTION("""COMPUTED_VALUE"""),69.0)</f>
        <v>69</v>
      </c>
      <c r="F6827" s="19" t="str">
        <f>IFERROR(__xludf.DUMMYFUNCTION("""COMPUTED_VALUE"""),"BLACK")</f>
        <v>BLACK</v>
      </c>
      <c r="G6827" s="20" t="str">
        <f>IFERROR(__xludf.DUMMYFUNCTION("""COMPUTED_VALUE"""),"Uncle Sams Cider (5/13/2022)")</f>
        <v>Uncle Sams Cider (5/13/2022)</v>
      </c>
      <c r="H6827" s="19"/>
    </row>
    <row r="6828">
      <c r="A6828" s="9"/>
      <c r="B6828" s="15"/>
      <c r="C6828" s="9">
        <f>IFERROR(__xludf.DUMMYFUNCTION("""COMPUTED_VALUE"""),44725.4222942245)</f>
        <v>44725.42229</v>
      </c>
      <c r="D6828" s="15">
        <f>IFERROR(__xludf.DUMMYFUNCTION("""COMPUTED_VALUE"""),1.007)</f>
        <v>1.007</v>
      </c>
      <c r="E6828" s="16">
        <f>IFERROR(__xludf.DUMMYFUNCTION("""COMPUTED_VALUE"""),69.0)</f>
        <v>69</v>
      </c>
      <c r="F6828" s="19" t="str">
        <f>IFERROR(__xludf.DUMMYFUNCTION("""COMPUTED_VALUE"""),"BLACK")</f>
        <v>BLACK</v>
      </c>
      <c r="G6828" s="20" t="str">
        <f>IFERROR(__xludf.DUMMYFUNCTION("""COMPUTED_VALUE"""),"Uncle Sams Cider (5/13/2022)")</f>
        <v>Uncle Sams Cider (5/13/2022)</v>
      </c>
      <c r="H6828" s="19"/>
    </row>
    <row r="6829">
      <c r="A6829" s="9"/>
      <c r="B6829" s="15"/>
      <c r="C6829" s="9">
        <f>IFERROR(__xludf.DUMMYFUNCTION("""COMPUTED_VALUE"""),44725.4118721296)</f>
        <v>44725.41187</v>
      </c>
      <c r="D6829" s="15">
        <f>IFERROR(__xludf.DUMMYFUNCTION("""COMPUTED_VALUE"""),1.007)</f>
        <v>1.007</v>
      </c>
      <c r="E6829" s="16">
        <f>IFERROR(__xludf.DUMMYFUNCTION("""COMPUTED_VALUE"""),69.0)</f>
        <v>69</v>
      </c>
      <c r="F6829" s="19" t="str">
        <f>IFERROR(__xludf.DUMMYFUNCTION("""COMPUTED_VALUE"""),"BLACK")</f>
        <v>BLACK</v>
      </c>
      <c r="G6829" s="20" t="str">
        <f>IFERROR(__xludf.DUMMYFUNCTION("""COMPUTED_VALUE"""),"Uncle Sams Cider (5/13/2022)")</f>
        <v>Uncle Sams Cider (5/13/2022)</v>
      </c>
      <c r="H6829" s="19"/>
    </row>
    <row r="6830">
      <c r="A6830" s="9"/>
      <c r="B6830" s="15"/>
      <c r="C6830" s="9">
        <f>IFERROR(__xludf.DUMMYFUNCTION("""COMPUTED_VALUE"""),44725.4014490046)</f>
        <v>44725.40145</v>
      </c>
      <c r="D6830" s="15">
        <f>IFERROR(__xludf.DUMMYFUNCTION("""COMPUTED_VALUE"""),1.007)</f>
        <v>1.007</v>
      </c>
      <c r="E6830" s="16">
        <f>IFERROR(__xludf.DUMMYFUNCTION("""COMPUTED_VALUE"""),69.0)</f>
        <v>69</v>
      </c>
      <c r="F6830" s="19" t="str">
        <f>IFERROR(__xludf.DUMMYFUNCTION("""COMPUTED_VALUE"""),"BLACK")</f>
        <v>BLACK</v>
      </c>
      <c r="G6830" s="20" t="str">
        <f>IFERROR(__xludf.DUMMYFUNCTION("""COMPUTED_VALUE"""),"Uncle Sams Cider (5/13/2022)")</f>
        <v>Uncle Sams Cider (5/13/2022)</v>
      </c>
      <c r="H6830" s="19"/>
    </row>
    <row r="6831">
      <c r="A6831" s="9"/>
      <c r="B6831" s="15"/>
      <c r="C6831" s="9">
        <f>IFERROR(__xludf.DUMMYFUNCTION("""COMPUTED_VALUE"""),44725.3910268402)</f>
        <v>44725.39103</v>
      </c>
      <c r="D6831" s="15">
        <f>IFERROR(__xludf.DUMMYFUNCTION("""COMPUTED_VALUE"""),1.006)</f>
        <v>1.006</v>
      </c>
      <c r="E6831" s="16">
        <f>IFERROR(__xludf.DUMMYFUNCTION("""COMPUTED_VALUE"""),69.0)</f>
        <v>69</v>
      </c>
      <c r="F6831" s="19" t="str">
        <f>IFERROR(__xludf.DUMMYFUNCTION("""COMPUTED_VALUE"""),"BLACK")</f>
        <v>BLACK</v>
      </c>
      <c r="G6831" s="20" t="str">
        <f>IFERROR(__xludf.DUMMYFUNCTION("""COMPUTED_VALUE"""),"Uncle Sams Cider (5/13/2022)")</f>
        <v>Uncle Sams Cider (5/13/2022)</v>
      </c>
      <c r="H6831" s="19"/>
    </row>
    <row r="6832">
      <c r="A6832" s="9"/>
      <c r="B6832" s="15"/>
      <c r="C6832" s="9">
        <f>IFERROR(__xludf.DUMMYFUNCTION("""COMPUTED_VALUE"""),44725.3806061226)</f>
        <v>44725.38061</v>
      </c>
      <c r="D6832" s="15">
        <f>IFERROR(__xludf.DUMMYFUNCTION("""COMPUTED_VALUE"""),1.007)</f>
        <v>1.007</v>
      </c>
      <c r="E6832" s="16">
        <f>IFERROR(__xludf.DUMMYFUNCTION("""COMPUTED_VALUE"""),69.0)</f>
        <v>69</v>
      </c>
      <c r="F6832" s="19" t="str">
        <f>IFERROR(__xludf.DUMMYFUNCTION("""COMPUTED_VALUE"""),"BLACK")</f>
        <v>BLACK</v>
      </c>
      <c r="G6832" s="20" t="str">
        <f>IFERROR(__xludf.DUMMYFUNCTION("""COMPUTED_VALUE"""),"Uncle Sams Cider (5/13/2022)")</f>
        <v>Uncle Sams Cider (5/13/2022)</v>
      </c>
      <c r="H6832" s="19"/>
    </row>
    <row r="6833">
      <c r="A6833" s="9"/>
      <c r="B6833" s="15"/>
      <c r="C6833" s="9">
        <f>IFERROR(__xludf.DUMMYFUNCTION("""COMPUTED_VALUE"""),44725.3701858912)</f>
        <v>44725.37019</v>
      </c>
      <c r="D6833" s="15">
        <f>IFERROR(__xludf.DUMMYFUNCTION("""COMPUTED_VALUE"""),1.007)</f>
        <v>1.007</v>
      </c>
      <c r="E6833" s="16">
        <f>IFERROR(__xludf.DUMMYFUNCTION("""COMPUTED_VALUE"""),69.0)</f>
        <v>69</v>
      </c>
      <c r="F6833" s="19" t="str">
        <f>IFERROR(__xludf.DUMMYFUNCTION("""COMPUTED_VALUE"""),"BLACK")</f>
        <v>BLACK</v>
      </c>
      <c r="G6833" s="20" t="str">
        <f>IFERROR(__xludf.DUMMYFUNCTION("""COMPUTED_VALUE"""),"Uncle Sams Cider (5/13/2022)")</f>
        <v>Uncle Sams Cider (5/13/2022)</v>
      </c>
      <c r="H6833" s="19"/>
    </row>
    <row r="6834">
      <c r="A6834" s="9"/>
      <c r="B6834" s="15"/>
      <c r="C6834" s="9">
        <f>IFERROR(__xludf.DUMMYFUNCTION("""COMPUTED_VALUE"""),44725.3597643055)</f>
        <v>44725.35976</v>
      </c>
      <c r="D6834" s="15">
        <f>IFERROR(__xludf.DUMMYFUNCTION("""COMPUTED_VALUE"""),1.007)</f>
        <v>1.007</v>
      </c>
      <c r="E6834" s="16">
        <f>IFERROR(__xludf.DUMMYFUNCTION("""COMPUTED_VALUE"""),69.0)</f>
        <v>69</v>
      </c>
      <c r="F6834" s="19" t="str">
        <f>IFERROR(__xludf.DUMMYFUNCTION("""COMPUTED_VALUE"""),"BLACK")</f>
        <v>BLACK</v>
      </c>
      <c r="G6834" s="20" t="str">
        <f>IFERROR(__xludf.DUMMYFUNCTION("""COMPUTED_VALUE"""),"Uncle Sams Cider (5/13/2022)")</f>
        <v>Uncle Sams Cider (5/13/2022)</v>
      </c>
      <c r="H6834" s="19"/>
    </row>
    <row r="6835">
      <c r="A6835" s="9"/>
      <c r="B6835" s="15"/>
      <c r="C6835" s="9">
        <f>IFERROR(__xludf.DUMMYFUNCTION("""COMPUTED_VALUE"""),44725.3493442824)</f>
        <v>44725.34934</v>
      </c>
      <c r="D6835" s="15">
        <f>IFERROR(__xludf.DUMMYFUNCTION("""COMPUTED_VALUE"""),1.006)</f>
        <v>1.006</v>
      </c>
      <c r="E6835" s="16">
        <f>IFERROR(__xludf.DUMMYFUNCTION("""COMPUTED_VALUE"""),69.0)</f>
        <v>69</v>
      </c>
      <c r="F6835" s="19" t="str">
        <f>IFERROR(__xludf.DUMMYFUNCTION("""COMPUTED_VALUE"""),"BLACK")</f>
        <v>BLACK</v>
      </c>
      <c r="G6835" s="20" t="str">
        <f>IFERROR(__xludf.DUMMYFUNCTION("""COMPUTED_VALUE"""),"Uncle Sams Cider (5/13/2022)")</f>
        <v>Uncle Sams Cider (5/13/2022)</v>
      </c>
      <c r="H6835" s="19"/>
    </row>
    <row r="6836">
      <c r="A6836" s="9"/>
      <c r="B6836" s="15"/>
      <c r="C6836" s="9">
        <f>IFERROR(__xludf.DUMMYFUNCTION("""COMPUTED_VALUE"""),44725.3389217245)</f>
        <v>44725.33892</v>
      </c>
      <c r="D6836" s="15">
        <f>IFERROR(__xludf.DUMMYFUNCTION("""COMPUTED_VALUE"""),1.007)</f>
        <v>1.007</v>
      </c>
      <c r="E6836" s="16">
        <f>IFERROR(__xludf.DUMMYFUNCTION("""COMPUTED_VALUE"""),69.0)</f>
        <v>69</v>
      </c>
      <c r="F6836" s="19" t="str">
        <f>IFERROR(__xludf.DUMMYFUNCTION("""COMPUTED_VALUE"""),"BLACK")</f>
        <v>BLACK</v>
      </c>
      <c r="G6836" s="20" t="str">
        <f>IFERROR(__xludf.DUMMYFUNCTION("""COMPUTED_VALUE"""),"Uncle Sams Cider (5/13/2022)")</f>
        <v>Uncle Sams Cider (5/13/2022)</v>
      </c>
      <c r="H6836" s="19"/>
    </row>
    <row r="6837">
      <c r="A6837" s="9"/>
      <c r="B6837" s="15"/>
      <c r="C6837" s="9">
        <f>IFERROR(__xludf.DUMMYFUNCTION("""COMPUTED_VALUE"""),44725.3284777662)</f>
        <v>44725.32848</v>
      </c>
      <c r="D6837" s="15">
        <f>IFERROR(__xludf.DUMMYFUNCTION("""COMPUTED_VALUE"""),1.007)</f>
        <v>1.007</v>
      </c>
      <c r="E6837" s="16">
        <f>IFERROR(__xludf.DUMMYFUNCTION("""COMPUTED_VALUE"""),69.0)</f>
        <v>69</v>
      </c>
      <c r="F6837" s="19" t="str">
        <f>IFERROR(__xludf.DUMMYFUNCTION("""COMPUTED_VALUE"""),"BLACK")</f>
        <v>BLACK</v>
      </c>
      <c r="G6837" s="20" t="str">
        <f>IFERROR(__xludf.DUMMYFUNCTION("""COMPUTED_VALUE"""),"Uncle Sams Cider (5/13/2022)")</f>
        <v>Uncle Sams Cider (5/13/2022)</v>
      </c>
      <c r="H6837" s="19"/>
    </row>
    <row r="6838">
      <c r="A6838" s="9"/>
      <c r="B6838" s="15"/>
      <c r="C6838" s="9">
        <f>IFERROR(__xludf.DUMMYFUNCTION("""COMPUTED_VALUE"""),44725.3180463888)</f>
        <v>44725.31805</v>
      </c>
      <c r="D6838" s="15">
        <f>IFERROR(__xludf.DUMMYFUNCTION("""COMPUTED_VALUE"""),1.007)</f>
        <v>1.007</v>
      </c>
      <c r="E6838" s="16">
        <f>IFERROR(__xludf.DUMMYFUNCTION("""COMPUTED_VALUE"""),69.0)</f>
        <v>69</v>
      </c>
      <c r="F6838" s="19" t="str">
        <f>IFERROR(__xludf.DUMMYFUNCTION("""COMPUTED_VALUE"""),"BLACK")</f>
        <v>BLACK</v>
      </c>
      <c r="G6838" s="20" t="str">
        <f>IFERROR(__xludf.DUMMYFUNCTION("""COMPUTED_VALUE"""),"Uncle Sams Cider (5/13/2022)")</f>
        <v>Uncle Sams Cider (5/13/2022)</v>
      </c>
      <c r="H6838" s="19"/>
    </row>
    <row r="6839">
      <c r="A6839" s="9"/>
      <c r="B6839" s="15"/>
      <c r="C6839" s="9">
        <f>IFERROR(__xludf.DUMMYFUNCTION("""COMPUTED_VALUE"""),44725.3076264699)</f>
        <v>44725.30763</v>
      </c>
      <c r="D6839" s="15">
        <f>IFERROR(__xludf.DUMMYFUNCTION("""COMPUTED_VALUE"""),1.007)</f>
        <v>1.007</v>
      </c>
      <c r="E6839" s="16">
        <f>IFERROR(__xludf.DUMMYFUNCTION("""COMPUTED_VALUE"""),69.0)</f>
        <v>69</v>
      </c>
      <c r="F6839" s="19" t="str">
        <f>IFERROR(__xludf.DUMMYFUNCTION("""COMPUTED_VALUE"""),"BLACK")</f>
        <v>BLACK</v>
      </c>
      <c r="G6839" s="20" t="str">
        <f>IFERROR(__xludf.DUMMYFUNCTION("""COMPUTED_VALUE"""),"Uncle Sams Cider (5/13/2022)")</f>
        <v>Uncle Sams Cider (5/13/2022)</v>
      </c>
      <c r="H6839" s="19"/>
    </row>
    <row r="6840">
      <c r="A6840" s="9"/>
      <c r="B6840" s="15"/>
      <c r="C6840" s="9">
        <f>IFERROR(__xludf.DUMMYFUNCTION("""COMPUTED_VALUE"""),44725.2972061342)</f>
        <v>44725.29721</v>
      </c>
      <c r="D6840" s="15">
        <f>IFERROR(__xludf.DUMMYFUNCTION("""COMPUTED_VALUE"""),1.007)</f>
        <v>1.007</v>
      </c>
      <c r="E6840" s="16">
        <f>IFERROR(__xludf.DUMMYFUNCTION("""COMPUTED_VALUE"""),69.0)</f>
        <v>69</v>
      </c>
      <c r="F6840" s="19" t="str">
        <f>IFERROR(__xludf.DUMMYFUNCTION("""COMPUTED_VALUE"""),"BLACK")</f>
        <v>BLACK</v>
      </c>
      <c r="G6840" s="20" t="str">
        <f>IFERROR(__xludf.DUMMYFUNCTION("""COMPUTED_VALUE"""),"Uncle Sams Cider (5/13/2022)")</f>
        <v>Uncle Sams Cider (5/13/2022)</v>
      </c>
      <c r="H6840" s="19"/>
    </row>
    <row r="6841">
      <c r="A6841" s="9"/>
      <c r="B6841" s="15"/>
      <c r="C6841" s="9">
        <f>IFERROR(__xludf.DUMMYFUNCTION("""COMPUTED_VALUE"""),44725.286785081)</f>
        <v>44725.28679</v>
      </c>
      <c r="D6841" s="15">
        <f>IFERROR(__xludf.DUMMYFUNCTION("""COMPUTED_VALUE"""),1.007)</f>
        <v>1.007</v>
      </c>
      <c r="E6841" s="16">
        <f>IFERROR(__xludf.DUMMYFUNCTION("""COMPUTED_VALUE"""),69.0)</f>
        <v>69</v>
      </c>
      <c r="F6841" s="19" t="str">
        <f>IFERROR(__xludf.DUMMYFUNCTION("""COMPUTED_VALUE"""),"BLACK")</f>
        <v>BLACK</v>
      </c>
      <c r="G6841" s="20" t="str">
        <f>IFERROR(__xludf.DUMMYFUNCTION("""COMPUTED_VALUE"""),"Uncle Sams Cider (5/13/2022)")</f>
        <v>Uncle Sams Cider (5/13/2022)</v>
      </c>
      <c r="H6841" s="19"/>
    </row>
    <row r="6842">
      <c r="A6842" s="9"/>
      <c r="B6842" s="15"/>
      <c r="C6842" s="9">
        <f>IFERROR(__xludf.DUMMYFUNCTION("""COMPUTED_VALUE"""),44725.2763607523)</f>
        <v>44725.27636</v>
      </c>
      <c r="D6842" s="15">
        <f>IFERROR(__xludf.DUMMYFUNCTION("""COMPUTED_VALUE"""),1.007)</f>
        <v>1.007</v>
      </c>
      <c r="E6842" s="16">
        <f>IFERROR(__xludf.DUMMYFUNCTION("""COMPUTED_VALUE"""),69.0)</f>
        <v>69</v>
      </c>
      <c r="F6842" s="19" t="str">
        <f>IFERROR(__xludf.DUMMYFUNCTION("""COMPUTED_VALUE"""),"BLACK")</f>
        <v>BLACK</v>
      </c>
      <c r="G6842" s="20" t="str">
        <f>IFERROR(__xludf.DUMMYFUNCTION("""COMPUTED_VALUE"""),"Uncle Sams Cider (5/13/2022)")</f>
        <v>Uncle Sams Cider (5/13/2022)</v>
      </c>
      <c r="H6842" s="19"/>
    </row>
    <row r="6843">
      <c r="A6843" s="9"/>
      <c r="B6843" s="15"/>
      <c r="C6843" s="9">
        <f>IFERROR(__xludf.DUMMYFUNCTION("""COMPUTED_VALUE"""),44725.265940324)</f>
        <v>44725.26594</v>
      </c>
      <c r="D6843" s="15">
        <f>IFERROR(__xludf.DUMMYFUNCTION("""COMPUTED_VALUE"""),1.006)</f>
        <v>1.006</v>
      </c>
      <c r="E6843" s="16">
        <f>IFERROR(__xludf.DUMMYFUNCTION("""COMPUTED_VALUE"""),69.0)</f>
        <v>69</v>
      </c>
      <c r="F6843" s="19" t="str">
        <f>IFERROR(__xludf.DUMMYFUNCTION("""COMPUTED_VALUE"""),"BLACK")</f>
        <v>BLACK</v>
      </c>
      <c r="G6843" s="20" t="str">
        <f>IFERROR(__xludf.DUMMYFUNCTION("""COMPUTED_VALUE"""),"Uncle Sams Cider (5/13/2022)")</f>
        <v>Uncle Sams Cider (5/13/2022)</v>
      </c>
      <c r="H6843" s="19"/>
    </row>
    <row r="6844">
      <c r="A6844" s="9"/>
      <c r="B6844" s="15"/>
      <c r="C6844" s="9">
        <f>IFERROR(__xludf.DUMMYFUNCTION("""COMPUTED_VALUE"""),44725.2555183912)</f>
        <v>44725.25552</v>
      </c>
      <c r="D6844" s="15">
        <f>IFERROR(__xludf.DUMMYFUNCTION("""COMPUTED_VALUE"""),1.007)</f>
        <v>1.007</v>
      </c>
      <c r="E6844" s="16">
        <f>IFERROR(__xludf.DUMMYFUNCTION("""COMPUTED_VALUE"""),69.0)</f>
        <v>69</v>
      </c>
      <c r="F6844" s="19" t="str">
        <f>IFERROR(__xludf.DUMMYFUNCTION("""COMPUTED_VALUE"""),"BLACK")</f>
        <v>BLACK</v>
      </c>
      <c r="G6844" s="20" t="str">
        <f>IFERROR(__xludf.DUMMYFUNCTION("""COMPUTED_VALUE"""),"Uncle Sams Cider (5/13/2022)")</f>
        <v>Uncle Sams Cider (5/13/2022)</v>
      </c>
      <c r="H6844" s="19"/>
    </row>
    <row r="6845">
      <c r="A6845" s="9"/>
      <c r="B6845" s="15"/>
      <c r="C6845" s="9">
        <f>IFERROR(__xludf.DUMMYFUNCTION("""COMPUTED_VALUE"""),44725.2450982175)</f>
        <v>44725.2451</v>
      </c>
      <c r="D6845" s="15">
        <f>IFERROR(__xludf.DUMMYFUNCTION("""COMPUTED_VALUE"""),1.007)</f>
        <v>1.007</v>
      </c>
      <c r="E6845" s="16">
        <f>IFERROR(__xludf.DUMMYFUNCTION("""COMPUTED_VALUE"""),69.0)</f>
        <v>69</v>
      </c>
      <c r="F6845" s="19" t="str">
        <f>IFERROR(__xludf.DUMMYFUNCTION("""COMPUTED_VALUE"""),"BLACK")</f>
        <v>BLACK</v>
      </c>
      <c r="G6845" s="20" t="str">
        <f>IFERROR(__xludf.DUMMYFUNCTION("""COMPUTED_VALUE"""),"Uncle Sams Cider (5/13/2022)")</f>
        <v>Uncle Sams Cider (5/13/2022)</v>
      </c>
      <c r="H6845" s="19"/>
    </row>
    <row r="6846">
      <c r="A6846" s="9"/>
      <c r="B6846" s="15"/>
      <c r="C6846" s="9">
        <f>IFERROR(__xludf.DUMMYFUNCTION("""COMPUTED_VALUE"""),44725.2346780902)</f>
        <v>44725.23468</v>
      </c>
      <c r="D6846" s="15">
        <f>IFERROR(__xludf.DUMMYFUNCTION("""COMPUTED_VALUE"""),1.007)</f>
        <v>1.007</v>
      </c>
      <c r="E6846" s="16">
        <f>IFERROR(__xludf.DUMMYFUNCTION("""COMPUTED_VALUE"""),69.0)</f>
        <v>69</v>
      </c>
      <c r="F6846" s="19" t="str">
        <f>IFERROR(__xludf.DUMMYFUNCTION("""COMPUTED_VALUE"""),"BLACK")</f>
        <v>BLACK</v>
      </c>
      <c r="G6846" s="20" t="str">
        <f>IFERROR(__xludf.DUMMYFUNCTION("""COMPUTED_VALUE"""),"Uncle Sams Cider (5/13/2022)")</f>
        <v>Uncle Sams Cider (5/13/2022)</v>
      </c>
      <c r="H6846" s="19"/>
    </row>
    <row r="6847">
      <c r="A6847" s="9"/>
      <c r="B6847" s="15"/>
      <c r="C6847" s="9">
        <f>IFERROR(__xludf.DUMMYFUNCTION("""COMPUTED_VALUE"""),44725.2242559606)</f>
        <v>44725.22426</v>
      </c>
      <c r="D6847" s="15">
        <f>IFERROR(__xludf.DUMMYFUNCTION("""COMPUTED_VALUE"""),1.006)</f>
        <v>1.006</v>
      </c>
      <c r="E6847" s="16">
        <f>IFERROR(__xludf.DUMMYFUNCTION("""COMPUTED_VALUE"""),69.0)</f>
        <v>69</v>
      </c>
      <c r="F6847" s="19" t="str">
        <f>IFERROR(__xludf.DUMMYFUNCTION("""COMPUTED_VALUE"""),"BLACK")</f>
        <v>BLACK</v>
      </c>
      <c r="G6847" s="20" t="str">
        <f>IFERROR(__xludf.DUMMYFUNCTION("""COMPUTED_VALUE"""),"Uncle Sams Cider (5/13/2022)")</f>
        <v>Uncle Sams Cider (5/13/2022)</v>
      </c>
      <c r="H6847" s="19"/>
    </row>
    <row r="6848">
      <c r="A6848" s="9"/>
      <c r="B6848" s="15"/>
      <c r="C6848" s="9">
        <f>IFERROR(__xludf.DUMMYFUNCTION("""COMPUTED_VALUE"""),44725.2138345486)</f>
        <v>44725.21383</v>
      </c>
      <c r="D6848" s="15">
        <f>IFERROR(__xludf.DUMMYFUNCTION("""COMPUTED_VALUE"""),1.007)</f>
        <v>1.007</v>
      </c>
      <c r="E6848" s="16">
        <f>IFERROR(__xludf.DUMMYFUNCTION("""COMPUTED_VALUE"""),69.0)</f>
        <v>69</v>
      </c>
      <c r="F6848" s="19" t="str">
        <f>IFERROR(__xludf.DUMMYFUNCTION("""COMPUTED_VALUE"""),"BLACK")</f>
        <v>BLACK</v>
      </c>
      <c r="G6848" s="20" t="str">
        <f>IFERROR(__xludf.DUMMYFUNCTION("""COMPUTED_VALUE"""),"Uncle Sams Cider (5/13/2022)")</f>
        <v>Uncle Sams Cider (5/13/2022)</v>
      </c>
      <c r="H6848" s="19"/>
    </row>
    <row r="6849">
      <c r="A6849" s="9"/>
      <c r="B6849" s="15"/>
      <c r="C6849" s="9">
        <f>IFERROR(__xludf.DUMMYFUNCTION("""COMPUTED_VALUE"""),44725.2034136111)</f>
        <v>44725.20341</v>
      </c>
      <c r="D6849" s="15">
        <f>IFERROR(__xludf.DUMMYFUNCTION("""COMPUTED_VALUE"""),1.007)</f>
        <v>1.007</v>
      </c>
      <c r="E6849" s="16">
        <f>IFERROR(__xludf.DUMMYFUNCTION("""COMPUTED_VALUE"""),69.0)</f>
        <v>69</v>
      </c>
      <c r="F6849" s="19" t="str">
        <f>IFERROR(__xludf.DUMMYFUNCTION("""COMPUTED_VALUE"""),"BLACK")</f>
        <v>BLACK</v>
      </c>
      <c r="G6849" s="20" t="str">
        <f>IFERROR(__xludf.DUMMYFUNCTION("""COMPUTED_VALUE"""),"Uncle Sams Cider (5/13/2022)")</f>
        <v>Uncle Sams Cider (5/13/2022)</v>
      </c>
      <c r="H6849" s="19"/>
    </row>
    <row r="6850">
      <c r="A6850" s="9"/>
      <c r="B6850" s="15"/>
      <c r="C6850" s="9">
        <f>IFERROR(__xludf.DUMMYFUNCTION("""COMPUTED_VALUE"""),44725.192979618)</f>
        <v>44725.19298</v>
      </c>
      <c r="D6850" s="15">
        <f>IFERROR(__xludf.DUMMYFUNCTION("""COMPUTED_VALUE"""),1.007)</f>
        <v>1.007</v>
      </c>
      <c r="E6850" s="16">
        <f>IFERROR(__xludf.DUMMYFUNCTION("""COMPUTED_VALUE"""),69.0)</f>
        <v>69</v>
      </c>
      <c r="F6850" s="19" t="str">
        <f>IFERROR(__xludf.DUMMYFUNCTION("""COMPUTED_VALUE"""),"BLACK")</f>
        <v>BLACK</v>
      </c>
      <c r="G6850" s="20" t="str">
        <f>IFERROR(__xludf.DUMMYFUNCTION("""COMPUTED_VALUE"""),"Uncle Sams Cider (5/13/2022)")</f>
        <v>Uncle Sams Cider (5/13/2022)</v>
      </c>
      <c r="H6850" s="19"/>
    </row>
    <row r="6851">
      <c r="A6851" s="9"/>
      <c r="B6851" s="15"/>
      <c r="C6851" s="9">
        <f>IFERROR(__xludf.DUMMYFUNCTION("""COMPUTED_VALUE"""),44725.1825580671)</f>
        <v>44725.18256</v>
      </c>
      <c r="D6851" s="15">
        <f>IFERROR(__xludf.DUMMYFUNCTION("""COMPUTED_VALUE"""),1.007)</f>
        <v>1.007</v>
      </c>
      <c r="E6851" s="16">
        <f>IFERROR(__xludf.DUMMYFUNCTION("""COMPUTED_VALUE"""),69.0)</f>
        <v>69</v>
      </c>
      <c r="F6851" s="19" t="str">
        <f>IFERROR(__xludf.DUMMYFUNCTION("""COMPUTED_VALUE"""),"BLACK")</f>
        <v>BLACK</v>
      </c>
      <c r="G6851" s="20" t="str">
        <f>IFERROR(__xludf.DUMMYFUNCTION("""COMPUTED_VALUE"""),"Uncle Sams Cider (5/13/2022)")</f>
        <v>Uncle Sams Cider (5/13/2022)</v>
      </c>
      <c r="H6851" s="19"/>
    </row>
    <row r="6852">
      <c r="A6852" s="9"/>
      <c r="B6852" s="15"/>
      <c r="C6852" s="9">
        <f>IFERROR(__xludf.DUMMYFUNCTION("""COMPUTED_VALUE"""),44725.1721362152)</f>
        <v>44725.17214</v>
      </c>
      <c r="D6852" s="15">
        <f>IFERROR(__xludf.DUMMYFUNCTION("""COMPUTED_VALUE"""),1.007)</f>
        <v>1.007</v>
      </c>
      <c r="E6852" s="16">
        <f>IFERROR(__xludf.DUMMYFUNCTION("""COMPUTED_VALUE"""),69.0)</f>
        <v>69</v>
      </c>
      <c r="F6852" s="19" t="str">
        <f>IFERROR(__xludf.DUMMYFUNCTION("""COMPUTED_VALUE"""),"BLACK")</f>
        <v>BLACK</v>
      </c>
      <c r="G6852" s="20" t="str">
        <f>IFERROR(__xludf.DUMMYFUNCTION("""COMPUTED_VALUE"""),"Uncle Sams Cider (5/13/2022)")</f>
        <v>Uncle Sams Cider (5/13/2022)</v>
      </c>
      <c r="H6852" s="19"/>
    </row>
    <row r="6853">
      <c r="A6853" s="9"/>
      <c r="B6853" s="15"/>
      <c r="C6853" s="9">
        <f>IFERROR(__xludf.DUMMYFUNCTION("""COMPUTED_VALUE"""),44725.1617035648)</f>
        <v>44725.1617</v>
      </c>
      <c r="D6853" s="15">
        <f>IFERROR(__xludf.DUMMYFUNCTION("""COMPUTED_VALUE"""),1.007)</f>
        <v>1.007</v>
      </c>
      <c r="E6853" s="16">
        <f>IFERROR(__xludf.DUMMYFUNCTION("""COMPUTED_VALUE"""),69.0)</f>
        <v>69</v>
      </c>
      <c r="F6853" s="19" t="str">
        <f>IFERROR(__xludf.DUMMYFUNCTION("""COMPUTED_VALUE"""),"BLACK")</f>
        <v>BLACK</v>
      </c>
      <c r="G6853" s="20" t="str">
        <f>IFERROR(__xludf.DUMMYFUNCTION("""COMPUTED_VALUE"""),"Uncle Sams Cider (5/13/2022)")</f>
        <v>Uncle Sams Cider (5/13/2022)</v>
      </c>
      <c r="H6853" s="19"/>
    </row>
    <row r="6854">
      <c r="A6854" s="9"/>
      <c r="B6854" s="15"/>
      <c r="C6854" s="9">
        <f>IFERROR(__xludf.DUMMYFUNCTION("""COMPUTED_VALUE"""),44725.1512852083)</f>
        <v>44725.15129</v>
      </c>
      <c r="D6854" s="15">
        <f>IFERROR(__xludf.DUMMYFUNCTION("""COMPUTED_VALUE"""),1.007)</f>
        <v>1.007</v>
      </c>
      <c r="E6854" s="16">
        <f>IFERROR(__xludf.DUMMYFUNCTION("""COMPUTED_VALUE"""),69.0)</f>
        <v>69</v>
      </c>
      <c r="F6854" s="19" t="str">
        <f>IFERROR(__xludf.DUMMYFUNCTION("""COMPUTED_VALUE"""),"BLACK")</f>
        <v>BLACK</v>
      </c>
      <c r="G6854" s="20" t="str">
        <f>IFERROR(__xludf.DUMMYFUNCTION("""COMPUTED_VALUE"""),"Uncle Sams Cider (5/13/2022)")</f>
        <v>Uncle Sams Cider (5/13/2022)</v>
      </c>
      <c r="H6854" s="19"/>
    </row>
    <row r="6855">
      <c r="A6855" s="9"/>
      <c r="B6855" s="15"/>
      <c r="C6855" s="9">
        <f>IFERROR(__xludf.DUMMYFUNCTION("""COMPUTED_VALUE"""),44725.140853287)</f>
        <v>44725.14085</v>
      </c>
      <c r="D6855" s="15">
        <f>IFERROR(__xludf.DUMMYFUNCTION("""COMPUTED_VALUE"""),1.007)</f>
        <v>1.007</v>
      </c>
      <c r="E6855" s="16">
        <f>IFERROR(__xludf.DUMMYFUNCTION("""COMPUTED_VALUE"""),69.0)</f>
        <v>69</v>
      </c>
      <c r="F6855" s="19" t="str">
        <f>IFERROR(__xludf.DUMMYFUNCTION("""COMPUTED_VALUE"""),"BLACK")</f>
        <v>BLACK</v>
      </c>
      <c r="G6855" s="20" t="str">
        <f>IFERROR(__xludf.DUMMYFUNCTION("""COMPUTED_VALUE"""),"Uncle Sams Cider (5/13/2022)")</f>
        <v>Uncle Sams Cider (5/13/2022)</v>
      </c>
      <c r="H6855" s="19"/>
    </row>
    <row r="6856">
      <c r="A6856" s="9"/>
      <c r="B6856" s="15"/>
      <c r="C6856" s="9">
        <f>IFERROR(__xludf.DUMMYFUNCTION("""COMPUTED_VALUE"""),44725.1304313425)</f>
        <v>44725.13043</v>
      </c>
      <c r="D6856" s="15">
        <f>IFERROR(__xludf.DUMMYFUNCTION("""COMPUTED_VALUE"""),1.007)</f>
        <v>1.007</v>
      </c>
      <c r="E6856" s="16">
        <f>IFERROR(__xludf.DUMMYFUNCTION("""COMPUTED_VALUE"""),69.0)</f>
        <v>69</v>
      </c>
      <c r="F6856" s="19" t="str">
        <f>IFERROR(__xludf.DUMMYFUNCTION("""COMPUTED_VALUE"""),"BLACK")</f>
        <v>BLACK</v>
      </c>
      <c r="G6856" s="20" t="str">
        <f>IFERROR(__xludf.DUMMYFUNCTION("""COMPUTED_VALUE"""),"Uncle Sams Cider (5/13/2022)")</f>
        <v>Uncle Sams Cider (5/13/2022)</v>
      </c>
      <c r="H6856" s="19"/>
    </row>
    <row r="6857">
      <c r="A6857" s="9"/>
      <c r="B6857" s="15"/>
      <c r="C6857" s="9">
        <f>IFERROR(__xludf.DUMMYFUNCTION("""COMPUTED_VALUE"""),44725.1200098726)</f>
        <v>44725.12001</v>
      </c>
      <c r="D6857" s="15">
        <f>IFERROR(__xludf.DUMMYFUNCTION("""COMPUTED_VALUE"""),1.007)</f>
        <v>1.007</v>
      </c>
      <c r="E6857" s="16">
        <f>IFERROR(__xludf.DUMMYFUNCTION("""COMPUTED_VALUE"""),69.0)</f>
        <v>69</v>
      </c>
      <c r="F6857" s="19" t="str">
        <f>IFERROR(__xludf.DUMMYFUNCTION("""COMPUTED_VALUE"""),"BLACK")</f>
        <v>BLACK</v>
      </c>
      <c r="G6857" s="20" t="str">
        <f>IFERROR(__xludf.DUMMYFUNCTION("""COMPUTED_VALUE"""),"Uncle Sams Cider (5/13/2022)")</f>
        <v>Uncle Sams Cider (5/13/2022)</v>
      </c>
      <c r="H6857" s="19"/>
    </row>
    <row r="6858">
      <c r="A6858" s="9"/>
      <c r="B6858" s="15"/>
      <c r="C6858" s="9">
        <f>IFERROR(__xludf.DUMMYFUNCTION("""COMPUTED_VALUE"""),44725.1095892824)</f>
        <v>44725.10959</v>
      </c>
      <c r="D6858" s="15">
        <f>IFERROR(__xludf.DUMMYFUNCTION("""COMPUTED_VALUE"""),1.007)</f>
        <v>1.007</v>
      </c>
      <c r="E6858" s="16">
        <f>IFERROR(__xludf.DUMMYFUNCTION("""COMPUTED_VALUE"""),69.0)</f>
        <v>69</v>
      </c>
      <c r="F6858" s="19" t="str">
        <f>IFERROR(__xludf.DUMMYFUNCTION("""COMPUTED_VALUE"""),"BLACK")</f>
        <v>BLACK</v>
      </c>
      <c r="G6858" s="20" t="str">
        <f>IFERROR(__xludf.DUMMYFUNCTION("""COMPUTED_VALUE"""),"Uncle Sams Cider (5/13/2022)")</f>
        <v>Uncle Sams Cider (5/13/2022)</v>
      </c>
      <c r="H6858" s="19"/>
    </row>
    <row r="6859">
      <c r="A6859" s="9"/>
      <c r="B6859" s="15"/>
      <c r="C6859" s="9">
        <f>IFERROR(__xludf.DUMMYFUNCTION("""COMPUTED_VALUE"""),44725.0991561689)</f>
        <v>44725.09916</v>
      </c>
      <c r="D6859" s="15">
        <f>IFERROR(__xludf.DUMMYFUNCTION("""COMPUTED_VALUE"""),1.007)</f>
        <v>1.007</v>
      </c>
      <c r="E6859" s="16">
        <f>IFERROR(__xludf.DUMMYFUNCTION("""COMPUTED_VALUE"""),69.0)</f>
        <v>69</v>
      </c>
      <c r="F6859" s="19" t="str">
        <f>IFERROR(__xludf.DUMMYFUNCTION("""COMPUTED_VALUE"""),"BLACK")</f>
        <v>BLACK</v>
      </c>
      <c r="G6859" s="20" t="str">
        <f>IFERROR(__xludf.DUMMYFUNCTION("""COMPUTED_VALUE"""),"Uncle Sams Cider (5/13/2022)")</f>
        <v>Uncle Sams Cider (5/13/2022)</v>
      </c>
      <c r="H6859" s="19"/>
    </row>
    <row r="6860">
      <c r="A6860" s="9"/>
      <c r="B6860" s="15"/>
      <c r="C6860" s="9">
        <f>IFERROR(__xludf.DUMMYFUNCTION("""COMPUTED_VALUE"""),44725.0887365856)</f>
        <v>44725.08874</v>
      </c>
      <c r="D6860" s="15">
        <f>IFERROR(__xludf.DUMMYFUNCTION("""COMPUTED_VALUE"""),1.007)</f>
        <v>1.007</v>
      </c>
      <c r="E6860" s="16">
        <f>IFERROR(__xludf.DUMMYFUNCTION("""COMPUTED_VALUE"""),69.0)</f>
        <v>69</v>
      </c>
      <c r="F6860" s="19" t="str">
        <f>IFERROR(__xludf.DUMMYFUNCTION("""COMPUTED_VALUE"""),"BLACK")</f>
        <v>BLACK</v>
      </c>
      <c r="G6860" s="20" t="str">
        <f>IFERROR(__xludf.DUMMYFUNCTION("""COMPUTED_VALUE"""),"Uncle Sams Cider (5/13/2022)")</f>
        <v>Uncle Sams Cider (5/13/2022)</v>
      </c>
      <c r="H6860" s="19"/>
    </row>
    <row r="6861">
      <c r="A6861" s="9"/>
      <c r="B6861" s="15"/>
      <c r="C6861" s="9">
        <f>IFERROR(__xludf.DUMMYFUNCTION("""COMPUTED_VALUE"""),44725.0783132175)</f>
        <v>44725.07831</v>
      </c>
      <c r="D6861" s="15">
        <f>IFERROR(__xludf.DUMMYFUNCTION("""COMPUTED_VALUE"""),1.007)</f>
        <v>1.007</v>
      </c>
      <c r="E6861" s="16">
        <f>IFERROR(__xludf.DUMMYFUNCTION("""COMPUTED_VALUE"""),69.0)</f>
        <v>69</v>
      </c>
      <c r="F6861" s="19" t="str">
        <f>IFERROR(__xludf.DUMMYFUNCTION("""COMPUTED_VALUE"""),"BLACK")</f>
        <v>BLACK</v>
      </c>
      <c r="G6861" s="20" t="str">
        <f>IFERROR(__xludf.DUMMYFUNCTION("""COMPUTED_VALUE"""),"Uncle Sams Cider (5/13/2022)")</f>
        <v>Uncle Sams Cider (5/13/2022)</v>
      </c>
      <c r="H6861" s="19"/>
    </row>
    <row r="6862">
      <c r="A6862" s="9"/>
      <c r="B6862" s="15"/>
      <c r="C6862" s="9">
        <f>IFERROR(__xludf.DUMMYFUNCTION("""COMPUTED_VALUE"""),44725.0678919791)</f>
        <v>44725.06789</v>
      </c>
      <c r="D6862" s="15">
        <f>IFERROR(__xludf.DUMMYFUNCTION("""COMPUTED_VALUE"""),1.007)</f>
        <v>1.007</v>
      </c>
      <c r="E6862" s="16">
        <f>IFERROR(__xludf.DUMMYFUNCTION("""COMPUTED_VALUE"""),69.0)</f>
        <v>69</v>
      </c>
      <c r="F6862" s="19" t="str">
        <f>IFERROR(__xludf.DUMMYFUNCTION("""COMPUTED_VALUE"""),"BLACK")</f>
        <v>BLACK</v>
      </c>
      <c r="G6862" s="20" t="str">
        <f>IFERROR(__xludf.DUMMYFUNCTION("""COMPUTED_VALUE"""),"Uncle Sams Cider (5/13/2022)")</f>
        <v>Uncle Sams Cider (5/13/2022)</v>
      </c>
      <c r="H6862" s="19"/>
    </row>
    <row r="6863">
      <c r="A6863" s="9"/>
      <c r="B6863" s="15"/>
      <c r="C6863" s="9">
        <f>IFERROR(__xludf.DUMMYFUNCTION("""COMPUTED_VALUE"""),44725.0574267708)</f>
        <v>44725.05743</v>
      </c>
      <c r="D6863" s="15">
        <f>IFERROR(__xludf.DUMMYFUNCTION("""COMPUTED_VALUE"""),1.007)</f>
        <v>1.007</v>
      </c>
      <c r="E6863" s="16">
        <f>IFERROR(__xludf.DUMMYFUNCTION("""COMPUTED_VALUE"""),69.0)</f>
        <v>69</v>
      </c>
      <c r="F6863" s="19" t="str">
        <f>IFERROR(__xludf.DUMMYFUNCTION("""COMPUTED_VALUE"""),"BLACK")</f>
        <v>BLACK</v>
      </c>
      <c r="G6863" s="20" t="str">
        <f>IFERROR(__xludf.DUMMYFUNCTION("""COMPUTED_VALUE"""),"Uncle Sams Cider (5/13/2022)")</f>
        <v>Uncle Sams Cider (5/13/2022)</v>
      </c>
      <c r="H6863" s="19"/>
    </row>
    <row r="6864">
      <c r="A6864" s="9"/>
      <c r="B6864" s="15"/>
      <c r="C6864" s="9">
        <f>IFERROR(__xludf.DUMMYFUNCTION("""COMPUTED_VALUE"""),44725.0469928472)</f>
        <v>44725.04699</v>
      </c>
      <c r="D6864" s="15">
        <f>IFERROR(__xludf.DUMMYFUNCTION("""COMPUTED_VALUE"""),1.007)</f>
        <v>1.007</v>
      </c>
      <c r="E6864" s="16">
        <f>IFERROR(__xludf.DUMMYFUNCTION("""COMPUTED_VALUE"""),69.0)</f>
        <v>69</v>
      </c>
      <c r="F6864" s="19" t="str">
        <f>IFERROR(__xludf.DUMMYFUNCTION("""COMPUTED_VALUE"""),"BLACK")</f>
        <v>BLACK</v>
      </c>
      <c r="G6864" s="20" t="str">
        <f>IFERROR(__xludf.DUMMYFUNCTION("""COMPUTED_VALUE"""),"Uncle Sams Cider (5/13/2022)")</f>
        <v>Uncle Sams Cider (5/13/2022)</v>
      </c>
      <c r="H6864" s="19"/>
    </row>
    <row r="6865">
      <c r="A6865" s="9"/>
      <c r="B6865" s="15"/>
      <c r="C6865" s="9">
        <f>IFERROR(__xludf.DUMMYFUNCTION("""COMPUTED_VALUE"""),44725.0365593634)</f>
        <v>44725.03656</v>
      </c>
      <c r="D6865" s="15">
        <f>IFERROR(__xludf.DUMMYFUNCTION("""COMPUTED_VALUE"""),1.007)</f>
        <v>1.007</v>
      </c>
      <c r="E6865" s="16">
        <f>IFERROR(__xludf.DUMMYFUNCTION("""COMPUTED_VALUE"""),69.0)</f>
        <v>69</v>
      </c>
      <c r="F6865" s="19" t="str">
        <f>IFERROR(__xludf.DUMMYFUNCTION("""COMPUTED_VALUE"""),"BLACK")</f>
        <v>BLACK</v>
      </c>
      <c r="G6865" s="20" t="str">
        <f>IFERROR(__xludf.DUMMYFUNCTION("""COMPUTED_VALUE"""),"Uncle Sams Cider (5/13/2022)")</f>
        <v>Uncle Sams Cider (5/13/2022)</v>
      </c>
      <c r="H6865" s="19"/>
    </row>
    <row r="6866">
      <c r="A6866" s="9"/>
      <c r="B6866" s="15"/>
      <c r="C6866" s="9">
        <f>IFERROR(__xludf.DUMMYFUNCTION("""COMPUTED_VALUE"""),44725.0261376851)</f>
        <v>44725.02614</v>
      </c>
      <c r="D6866" s="15">
        <f>IFERROR(__xludf.DUMMYFUNCTION("""COMPUTED_VALUE"""),1.007)</f>
        <v>1.007</v>
      </c>
      <c r="E6866" s="16">
        <f>IFERROR(__xludf.DUMMYFUNCTION("""COMPUTED_VALUE"""),69.0)</f>
        <v>69</v>
      </c>
      <c r="F6866" s="19" t="str">
        <f>IFERROR(__xludf.DUMMYFUNCTION("""COMPUTED_VALUE"""),"BLACK")</f>
        <v>BLACK</v>
      </c>
      <c r="G6866" s="20" t="str">
        <f>IFERROR(__xludf.DUMMYFUNCTION("""COMPUTED_VALUE"""),"Uncle Sams Cider (5/13/2022)")</f>
        <v>Uncle Sams Cider (5/13/2022)</v>
      </c>
      <c r="H6866" s="19"/>
    </row>
    <row r="6867">
      <c r="A6867" s="9"/>
      <c r="B6867" s="15"/>
      <c r="C6867" s="9">
        <f>IFERROR(__xludf.DUMMYFUNCTION("""COMPUTED_VALUE"""),44725.0157149189)</f>
        <v>44725.01571</v>
      </c>
      <c r="D6867" s="15">
        <f>IFERROR(__xludf.DUMMYFUNCTION("""COMPUTED_VALUE"""),1.007)</f>
        <v>1.007</v>
      </c>
      <c r="E6867" s="16">
        <f>IFERROR(__xludf.DUMMYFUNCTION("""COMPUTED_VALUE"""),69.0)</f>
        <v>69</v>
      </c>
      <c r="F6867" s="19" t="str">
        <f>IFERROR(__xludf.DUMMYFUNCTION("""COMPUTED_VALUE"""),"BLACK")</f>
        <v>BLACK</v>
      </c>
      <c r="G6867" s="20" t="str">
        <f>IFERROR(__xludf.DUMMYFUNCTION("""COMPUTED_VALUE"""),"Uncle Sams Cider (5/13/2022)")</f>
        <v>Uncle Sams Cider (5/13/2022)</v>
      </c>
      <c r="H6867" s="19"/>
    </row>
    <row r="6868">
      <c r="A6868" s="9"/>
      <c r="B6868" s="15"/>
      <c r="C6868" s="9">
        <f>IFERROR(__xludf.DUMMYFUNCTION("""COMPUTED_VALUE"""),44725.0052930092)</f>
        <v>44725.00529</v>
      </c>
      <c r="D6868" s="15">
        <f>IFERROR(__xludf.DUMMYFUNCTION("""COMPUTED_VALUE"""),1.007)</f>
        <v>1.007</v>
      </c>
      <c r="E6868" s="16">
        <f>IFERROR(__xludf.DUMMYFUNCTION("""COMPUTED_VALUE"""),69.0)</f>
        <v>69</v>
      </c>
      <c r="F6868" s="19" t="str">
        <f>IFERROR(__xludf.DUMMYFUNCTION("""COMPUTED_VALUE"""),"BLACK")</f>
        <v>BLACK</v>
      </c>
      <c r="G6868" s="20" t="str">
        <f>IFERROR(__xludf.DUMMYFUNCTION("""COMPUTED_VALUE"""),"Uncle Sams Cider (5/13/2022)")</f>
        <v>Uncle Sams Cider (5/13/2022)</v>
      </c>
      <c r="H6868" s="19"/>
    </row>
    <row r="6869">
      <c r="A6869" s="9"/>
      <c r="B6869" s="15"/>
      <c r="C6869" s="9">
        <f>IFERROR(__xludf.DUMMYFUNCTION("""COMPUTED_VALUE"""),44724.9948707175)</f>
        <v>44724.99487</v>
      </c>
      <c r="D6869" s="15">
        <f>IFERROR(__xludf.DUMMYFUNCTION("""COMPUTED_VALUE"""),1.007)</f>
        <v>1.007</v>
      </c>
      <c r="E6869" s="16">
        <f>IFERROR(__xludf.DUMMYFUNCTION("""COMPUTED_VALUE"""),69.0)</f>
        <v>69</v>
      </c>
      <c r="F6869" s="19" t="str">
        <f>IFERROR(__xludf.DUMMYFUNCTION("""COMPUTED_VALUE"""),"BLACK")</f>
        <v>BLACK</v>
      </c>
      <c r="G6869" s="20" t="str">
        <f>IFERROR(__xludf.DUMMYFUNCTION("""COMPUTED_VALUE"""),"Uncle Sams Cider (5/13/2022)")</f>
        <v>Uncle Sams Cider (5/13/2022)</v>
      </c>
      <c r="H6869" s="19"/>
    </row>
    <row r="6870">
      <c r="A6870" s="9"/>
      <c r="B6870" s="15"/>
      <c r="C6870" s="9">
        <f>IFERROR(__xludf.DUMMYFUNCTION("""COMPUTED_VALUE"""),44724.9844499884)</f>
        <v>44724.98445</v>
      </c>
      <c r="D6870" s="15">
        <f>IFERROR(__xludf.DUMMYFUNCTION("""COMPUTED_VALUE"""),1.007)</f>
        <v>1.007</v>
      </c>
      <c r="E6870" s="16">
        <f>IFERROR(__xludf.DUMMYFUNCTION("""COMPUTED_VALUE"""),69.0)</f>
        <v>69</v>
      </c>
      <c r="F6870" s="19" t="str">
        <f>IFERROR(__xludf.DUMMYFUNCTION("""COMPUTED_VALUE"""),"BLACK")</f>
        <v>BLACK</v>
      </c>
      <c r="G6870" s="20" t="str">
        <f>IFERROR(__xludf.DUMMYFUNCTION("""COMPUTED_VALUE"""),"Uncle Sams Cider (5/13/2022)")</f>
        <v>Uncle Sams Cider (5/13/2022)</v>
      </c>
      <c r="H6870" s="19"/>
    </row>
    <row r="6871">
      <c r="A6871" s="9"/>
      <c r="B6871" s="15"/>
      <c r="C6871" s="9">
        <f>IFERROR(__xludf.DUMMYFUNCTION("""COMPUTED_VALUE"""),44724.9740280439)</f>
        <v>44724.97403</v>
      </c>
      <c r="D6871" s="15">
        <f>IFERROR(__xludf.DUMMYFUNCTION("""COMPUTED_VALUE"""),1.007)</f>
        <v>1.007</v>
      </c>
      <c r="E6871" s="16">
        <f>IFERROR(__xludf.DUMMYFUNCTION("""COMPUTED_VALUE"""),69.0)</f>
        <v>69</v>
      </c>
      <c r="F6871" s="19" t="str">
        <f>IFERROR(__xludf.DUMMYFUNCTION("""COMPUTED_VALUE"""),"BLACK")</f>
        <v>BLACK</v>
      </c>
      <c r="G6871" s="20" t="str">
        <f>IFERROR(__xludf.DUMMYFUNCTION("""COMPUTED_VALUE"""),"Uncle Sams Cider (5/13/2022)")</f>
        <v>Uncle Sams Cider (5/13/2022)</v>
      </c>
      <c r="H6871" s="19"/>
    </row>
    <row r="6872">
      <c r="A6872" s="9"/>
      <c r="B6872" s="15"/>
      <c r="C6872" s="9">
        <f>IFERROR(__xludf.DUMMYFUNCTION("""COMPUTED_VALUE"""),44724.9636079745)</f>
        <v>44724.96361</v>
      </c>
      <c r="D6872" s="15">
        <f>IFERROR(__xludf.DUMMYFUNCTION("""COMPUTED_VALUE"""),1.007)</f>
        <v>1.007</v>
      </c>
      <c r="E6872" s="16">
        <f>IFERROR(__xludf.DUMMYFUNCTION("""COMPUTED_VALUE"""),69.0)</f>
        <v>69</v>
      </c>
      <c r="F6872" s="19" t="str">
        <f>IFERROR(__xludf.DUMMYFUNCTION("""COMPUTED_VALUE"""),"BLACK")</f>
        <v>BLACK</v>
      </c>
      <c r="G6872" s="20" t="str">
        <f>IFERROR(__xludf.DUMMYFUNCTION("""COMPUTED_VALUE"""),"Uncle Sams Cider (5/13/2022)")</f>
        <v>Uncle Sams Cider (5/13/2022)</v>
      </c>
      <c r="H6872" s="19"/>
    </row>
    <row r="6873">
      <c r="A6873" s="9"/>
      <c r="B6873" s="15"/>
      <c r="C6873" s="9">
        <f>IFERROR(__xludf.DUMMYFUNCTION("""COMPUTED_VALUE"""),44724.9531862615)</f>
        <v>44724.95319</v>
      </c>
      <c r="D6873" s="15">
        <f>IFERROR(__xludf.DUMMYFUNCTION("""COMPUTED_VALUE"""),1.007)</f>
        <v>1.007</v>
      </c>
      <c r="E6873" s="16">
        <f>IFERROR(__xludf.DUMMYFUNCTION("""COMPUTED_VALUE"""),69.0)</f>
        <v>69</v>
      </c>
      <c r="F6873" s="19" t="str">
        <f>IFERROR(__xludf.DUMMYFUNCTION("""COMPUTED_VALUE"""),"BLACK")</f>
        <v>BLACK</v>
      </c>
      <c r="G6873" s="20" t="str">
        <f>IFERROR(__xludf.DUMMYFUNCTION("""COMPUTED_VALUE"""),"Uncle Sams Cider (5/13/2022)")</f>
        <v>Uncle Sams Cider (5/13/2022)</v>
      </c>
      <c r="H6873" s="19"/>
    </row>
    <row r="6874">
      <c r="A6874" s="9"/>
      <c r="B6874" s="15"/>
      <c r="C6874" s="9">
        <f>IFERROR(__xludf.DUMMYFUNCTION("""COMPUTED_VALUE"""),44724.9427660532)</f>
        <v>44724.94277</v>
      </c>
      <c r="D6874" s="15">
        <f>IFERROR(__xludf.DUMMYFUNCTION("""COMPUTED_VALUE"""),1.007)</f>
        <v>1.007</v>
      </c>
      <c r="E6874" s="16">
        <f>IFERROR(__xludf.DUMMYFUNCTION("""COMPUTED_VALUE"""),69.0)</f>
        <v>69</v>
      </c>
      <c r="F6874" s="19" t="str">
        <f>IFERROR(__xludf.DUMMYFUNCTION("""COMPUTED_VALUE"""),"BLACK")</f>
        <v>BLACK</v>
      </c>
      <c r="G6874" s="20" t="str">
        <f>IFERROR(__xludf.DUMMYFUNCTION("""COMPUTED_VALUE"""),"Uncle Sams Cider (5/13/2022)")</f>
        <v>Uncle Sams Cider (5/13/2022)</v>
      </c>
      <c r="H6874" s="19"/>
    </row>
    <row r="6875">
      <c r="A6875" s="9"/>
      <c r="B6875" s="15"/>
      <c r="C6875" s="9">
        <f>IFERROR(__xludf.DUMMYFUNCTION("""COMPUTED_VALUE"""),44724.9323441435)</f>
        <v>44724.93234</v>
      </c>
      <c r="D6875" s="15">
        <f>IFERROR(__xludf.DUMMYFUNCTION("""COMPUTED_VALUE"""),1.007)</f>
        <v>1.007</v>
      </c>
      <c r="E6875" s="16">
        <f>IFERROR(__xludf.DUMMYFUNCTION("""COMPUTED_VALUE"""),69.0)</f>
        <v>69</v>
      </c>
      <c r="F6875" s="19" t="str">
        <f>IFERROR(__xludf.DUMMYFUNCTION("""COMPUTED_VALUE"""),"BLACK")</f>
        <v>BLACK</v>
      </c>
      <c r="G6875" s="20" t="str">
        <f>IFERROR(__xludf.DUMMYFUNCTION("""COMPUTED_VALUE"""),"Uncle Sams Cider (5/13/2022)")</f>
        <v>Uncle Sams Cider (5/13/2022)</v>
      </c>
      <c r="H6875" s="19"/>
    </row>
    <row r="6876">
      <c r="A6876" s="9"/>
      <c r="B6876" s="15"/>
      <c r="C6876" s="9">
        <f>IFERROR(__xludf.DUMMYFUNCTION("""COMPUTED_VALUE"""),44724.9219231713)</f>
        <v>44724.92192</v>
      </c>
      <c r="D6876" s="15">
        <f>IFERROR(__xludf.DUMMYFUNCTION("""COMPUTED_VALUE"""),1.007)</f>
        <v>1.007</v>
      </c>
      <c r="E6876" s="16">
        <f>IFERROR(__xludf.DUMMYFUNCTION("""COMPUTED_VALUE"""),69.0)</f>
        <v>69</v>
      </c>
      <c r="F6876" s="19" t="str">
        <f>IFERROR(__xludf.DUMMYFUNCTION("""COMPUTED_VALUE"""),"BLACK")</f>
        <v>BLACK</v>
      </c>
      <c r="G6876" s="20" t="str">
        <f>IFERROR(__xludf.DUMMYFUNCTION("""COMPUTED_VALUE"""),"Uncle Sams Cider (5/13/2022)")</f>
        <v>Uncle Sams Cider (5/13/2022)</v>
      </c>
      <c r="H6876" s="19"/>
    </row>
    <row r="6877">
      <c r="A6877" s="9"/>
      <c r="B6877" s="15"/>
      <c r="C6877" s="9">
        <f>IFERROR(__xludf.DUMMYFUNCTION("""COMPUTED_VALUE"""),44724.9115031944)</f>
        <v>44724.9115</v>
      </c>
      <c r="D6877" s="15">
        <f>IFERROR(__xludf.DUMMYFUNCTION("""COMPUTED_VALUE"""),1.007)</f>
        <v>1.007</v>
      </c>
      <c r="E6877" s="16">
        <f>IFERROR(__xludf.DUMMYFUNCTION("""COMPUTED_VALUE"""),69.0)</f>
        <v>69</v>
      </c>
      <c r="F6877" s="19" t="str">
        <f>IFERROR(__xludf.DUMMYFUNCTION("""COMPUTED_VALUE"""),"BLACK")</f>
        <v>BLACK</v>
      </c>
      <c r="G6877" s="20" t="str">
        <f>IFERROR(__xludf.DUMMYFUNCTION("""COMPUTED_VALUE"""),"Uncle Sams Cider (5/13/2022)")</f>
        <v>Uncle Sams Cider (5/13/2022)</v>
      </c>
      <c r="H6877" s="19"/>
    </row>
    <row r="6878">
      <c r="A6878" s="9"/>
      <c r="B6878" s="15"/>
      <c r="C6878" s="9">
        <f>IFERROR(__xludf.DUMMYFUNCTION("""COMPUTED_VALUE"""),44724.9010702662)</f>
        <v>44724.90107</v>
      </c>
      <c r="D6878" s="15">
        <f>IFERROR(__xludf.DUMMYFUNCTION("""COMPUTED_VALUE"""),1.007)</f>
        <v>1.007</v>
      </c>
      <c r="E6878" s="16">
        <f>IFERROR(__xludf.DUMMYFUNCTION("""COMPUTED_VALUE"""),69.0)</f>
        <v>69</v>
      </c>
      <c r="F6878" s="19" t="str">
        <f>IFERROR(__xludf.DUMMYFUNCTION("""COMPUTED_VALUE"""),"BLACK")</f>
        <v>BLACK</v>
      </c>
      <c r="G6878" s="20" t="str">
        <f>IFERROR(__xludf.DUMMYFUNCTION("""COMPUTED_VALUE"""),"Uncle Sams Cider (5/13/2022)")</f>
        <v>Uncle Sams Cider (5/13/2022)</v>
      </c>
      <c r="H6878" s="19"/>
    </row>
    <row r="6879">
      <c r="A6879" s="9"/>
      <c r="B6879" s="15"/>
      <c r="C6879" s="9">
        <f>IFERROR(__xludf.DUMMYFUNCTION("""COMPUTED_VALUE"""),44724.8906513078)</f>
        <v>44724.89065</v>
      </c>
      <c r="D6879" s="15">
        <f>IFERROR(__xludf.DUMMYFUNCTION("""COMPUTED_VALUE"""),1.007)</f>
        <v>1.007</v>
      </c>
      <c r="E6879" s="16">
        <f>IFERROR(__xludf.DUMMYFUNCTION("""COMPUTED_VALUE"""),69.0)</f>
        <v>69</v>
      </c>
      <c r="F6879" s="19" t="str">
        <f>IFERROR(__xludf.DUMMYFUNCTION("""COMPUTED_VALUE"""),"BLACK")</f>
        <v>BLACK</v>
      </c>
      <c r="G6879" s="20" t="str">
        <f>IFERROR(__xludf.DUMMYFUNCTION("""COMPUTED_VALUE"""),"Uncle Sams Cider (5/13/2022)")</f>
        <v>Uncle Sams Cider (5/13/2022)</v>
      </c>
      <c r="H6879" s="19"/>
    </row>
    <row r="6880">
      <c r="A6880" s="9"/>
      <c r="B6880" s="15"/>
      <c r="C6880" s="9">
        <f>IFERROR(__xludf.DUMMYFUNCTION("""COMPUTED_VALUE"""),44724.88021728)</f>
        <v>44724.88022</v>
      </c>
      <c r="D6880" s="15">
        <f>IFERROR(__xludf.DUMMYFUNCTION("""COMPUTED_VALUE"""),1.007)</f>
        <v>1.007</v>
      </c>
      <c r="E6880" s="16">
        <f>IFERROR(__xludf.DUMMYFUNCTION("""COMPUTED_VALUE"""),69.0)</f>
        <v>69</v>
      </c>
      <c r="F6880" s="19" t="str">
        <f>IFERROR(__xludf.DUMMYFUNCTION("""COMPUTED_VALUE"""),"BLACK")</f>
        <v>BLACK</v>
      </c>
      <c r="G6880" s="20" t="str">
        <f>IFERROR(__xludf.DUMMYFUNCTION("""COMPUTED_VALUE"""),"Uncle Sams Cider (5/13/2022)")</f>
        <v>Uncle Sams Cider (5/13/2022)</v>
      </c>
      <c r="H6880" s="19"/>
    </row>
    <row r="6881">
      <c r="A6881" s="9"/>
      <c r="B6881" s="15"/>
      <c r="C6881" s="9">
        <f>IFERROR(__xludf.DUMMYFUNCTION("""COMPUTED_VALUE"""),44724.8697973148)</f>
        <v>44724.8698</v>
      </c>
      <c r="D6881" s="15">
        <f>IFERROR(__xludf.DUMMYFUNCTION("""COMPUTED_VALUE"""),1.007)</f>
        <v>1.007</v>
      </c>
      <c r="E6881" s="16">
        <f>IFERROR(__xludf.DUMMYFUNCTION("""COMPUTED_VALUE"""),69.0)</f>
        <v>69</v>
      </c>
      <c r="F6881" s="19" t="str">
        <f>IFERROR(__xludf.DUMMYFUNCTION("""COMPUTED_VALUE"""),"BLACK")</f>
        <v>BLACK</v>
      </c>
      <c r="G6881" s="20" t="str">
        <f>IFERROR(__xludf.DUMMYFUNCTION("""COMPUTED_VALUE"""),"Uncle Sams Cider (5/13/2022)")</f>
        <v>Uncle Sams Cider (5/13/2022)</v>
      </c>
      <c r="H6881" s="19"/>
    </row>
    <row r="6882">
      <c r="A6882" s="9"/>
      <c r="B6882" s="15"/>
      <c r="C6882" s="9">
        <f>IFERROR(__xludf.DUMMYFUNCTION("""COMPUTED_VALUE"""),44724.859364537)</f>
        <v>44724.85936</v>
      </c>
      <c r="D6882" s="15">
        <f>IFERROR(__xludf.DUMMYFUNCTION("""COMPUTED_VALUE"""),1.007)</f>
        <v>1.007</v>
      </c>
      <c r="E6882" s="16">
        <f>IFERROR(__xludf.DUMMYFUNCTION("""COMPUTED_VALUE"""),69.0)</f>
        <v>69</v>
      </c>
      <c r="F6882" s="19" t="str">
        <f>IFERROR(__xludf.DUMMYFUNCTION("""COMPUTED_VALUE"""),"BLACK")</f>
        <v>BLACK</v>
      </c>
      <c r="G6882" s="20" t="str">
        <f>IFERROR(__xludf.DUMMYFUNCTION("""COMPUTED_VALUE"""),"Uncle Sams Cider (5/13/2022)")</f>
        <v>Uncle Sams Cider (5/13/2022)</v>
      </c>
      <c r="H6882" s="19"/>
    </row>
    <row r="6883">
      <c r="A6883" s="9"/>
      <c r="B6883" s="15"/>
      <c r="C6883" s="9">
        <f>IFERROR(__xludf.DUMMYFUNCTION("""COMPUTED_VALUE"""),44724.8489319097)</f>
        <v>44724.84893</v>
      </c>
      <c r="D6883" s="15">
        <f>IFERROR(__xludf.DUMMYFUNCTION("""COMPUTED_VALUE"""),1.007)</f>
        <v>1.007</v>
      </c>
      <c r="E6883" s="16">
        <f>IFERROR(__xludf.DUMMYFUNCTION("""COMPUTED_VALUE"""),69.0)</f>
        <v>69</v>
      </c>
      <c r="F6883" s="19" t="str">
        <f>IFERROR(__xludf.DUMMYFUNCTION("""COMPUTED_VALUE"""),"BLACK")</f>
        <v>BLACK</v>
      </c>
      <c r="G6883" s="20" t="str">
        <f>IFERROR(__xludf.DUMMYFUNCTION("""COMPUTED_VALUE"""),"Uncle Sams Cider (5/13/2022)")</f>
        <v>Uncle Sams Cider (5/13/2022)</v>
      </c>
      <c r="H6883" s="19"/>
    </row>
    <row r="6884">
      <c r="A6884" s="9"/>
      <c r="B6884" s="15"/>
      <c r="C6884" s="9">
        <f>IFERROR(__xludf.DUMMYFUNCTION("""COMPUTED_VALUE"""),44724.8384868055)</f>
        <v>44724.83849</v>
      </c>
      <c r="D6884" s="15">
        <f>IFERROR(__xludf.DUMMYFUNCTION("""COMPUTED_VALUE"""),1.007)</f>
        <v>1.007</v>
      </c>
      <c r="E6884" s="16">
        <f>IFERROR(__xludf.DUMMYFUNCTION("""COMPUTED_VALUE"""),69.0)</f>
        <v>69</v>
      </c>
      <c r="F6884" s="19" t="str">
        <f>IFERROR(__xludf.DUMMYFUNCTION("""COMPUTED_VALUE"""),"BLACK")</f>
        <v>BLACK</v>
      </c>
      <c r="G6884" s="20" t="str">
        <f>IFERROR(__xludf.DUMMYFUNCTION("""COMPUTED_VALUE"""),"Uncle Sams Cider (5/13/2022)")</f>
        <v>Uncle Sams Cider (5/13/2022)</v>
      </c>
      <c r="H6884" s="19"/>
    </row>
    <row r="6885">
      <c r="A6885" s="9"/>
      <c r="B6885" s="15"/>
      <c r="C6885" s="9">
        <f>IFERROR(__xludf.DUMMYFUNCTION("""COMPUTED_VALUE"""),44724.8280648379)</f>
        <v>44724.82806</v>
      </c>
      <c r="D6885" s="15">
        <f>IFERROR(__xludf.DUMMYFUNCTION("""COMPUTED_VALUE"""),1.007)</f>
        <v>1.007</v>
      </c>
      <c r="E6885" s="16">
        <f>IFERROR(__xludf.DUMMYFUNCTION("""COMPUTED_VALUE"""),69.0)</f>
        <v>69</v>
      </c>
      <c r="F6885" s="19" t="str">
        <f>IFERROR(__xludf.DUMMYFUNCTION("""COMPUTED_VALUE"""),"BLACK")</f>
        <v>BLACK</v>
      </c>
      <c r="G6885" s="20" t="str">
        <f>IFERROR(__xludf.DUMMYFUNCTION("""COMPUTED_VALUE"""),"Uncle Sams Cider (5/13/2022)")</f>
        <v>Uncle Sams Cider (5/13/2022)</v>
      </c>
      <c r="H6885" s="19"/>
    </row>
    <row r="6886">
      <c r="A6886" s="9"/>
      <c r="B6886" s="15"/>
      <c r="C6886" s="9">
        <f>IFERROR(__xludf.DUMMYFUNCTION("""COMPUTED_VALUE"""),44724.8176441551)</f>
        <v>44724.81764</v>
      </c>
      <c r="D6886" s="15">
        <f>IFERROR(__xludf.DUMMYFUNCTION("""COMPUTED_VALUE"""),1.007)</f>
        <v>1.007</v>
      </c>
      <c r="E6886" s="16">
        <f>IFERROR(__xludf.DUMMYFUNCTION("""COMPUTED_VALUE"""),69.0)</f>
        <v>69</v>
      </c>
      <c r="F6886" s="19" t="str">
        <f>IFERROR(__xludf.DUMMYFUNCTION("""COMPUTED_VALUE"""),"BLACK")</f>
        <v>BLACK</v>
      </c>
      <c r="G6886" s="20" t="str">
        <f>IFERROR(__xludf.DUMMYFUNCTION("""COMPUTED_VALUE"""),"Uncle Sams Cider (5/13/2022)")</f>
        <v>Uncle Sams Cider (5/13/2022)</v>
      </c>
      <c r="H6886" s="19"/>
    </row>
    <row r="6887">
      <c r="A6887" s="9"/>
      <c r="B6887" s="15"/>
      <c r="C6887" s="9">
        <f>IFERROR(__xludf.DUMMYFUNCTION("""COMPUTED_VALUE"""),44724.8072097453)</f>
        <v>44724.80721</v>
      </c>
      <c r="D6887" s="15">
        <f>IFERROR(__xludf.DUMMYFUNCTION("""COMPUTED_VALUE"""),1.007)</f>
        <v>1.007</v>
      </c>
      <c r="E6887" s="16">
        <f>IFERROR(__xludf.DUMMYFUNCTION("""COMPUTED_VALUE"""),69.0)</f>
        <v>69</v>
      </c>
      <c r="F6887" s="19" t="str">
        <f>IFERROR(__xludf.DUMMYFUNCTION("""COMPUTED_VALUE"""),"BLACK")</f>
        <v>BLACK</v>
      </c>
      <c r="G6887" s="20" t="str">
        <f>IFERROR(__xludf.DUMMYFUNCTION("""COMPUTED_VALUE"""),"Uncle Sams Cider (5/13/2022)")</f>
        <v>Uncle Sams Cider (5/13/2022)</v>
      </c>
      <c r="H6887" s="19"/>
    </row>
    <row r="6888">
      <c r="A6888" s="9"/>
      <c r="B6888" s="15"/>
      <c r="C6888" s="9">
        <f>IFERROR(__xludf.DUMMYFUNCTION("""COMPUTED_VALUE"""),44724.7967884143)</f>
        <v>44724.79679</v>
      </c>
      <c r="D6888" s="15">
        <f>IFERROR(__xludf.DUMMYFUNCTION("""COMPUTED_VALUE"""),1.007)</f>
        <v>1.007</v>
      </c>
      <c r="E6888" s="16">
        <f>IFERROR(__xludf.DUMMYFUNCTION("""COMPUTED_VALUE"""),69.0)</f>
        <v>69</v>
      </c>
      <c r="F6888" s="19" t="str">
        <f>IFERROR(__xludf.DUMMYFUNCTION("""COMPUTED_VALUE"""),"BLACK")</f>
        <v>BLACK</v>
      </c>
      <c r="G6888" s="20" t="str">
        <f>IFERROR(__xludf.DUMMYFUNCTION("""COMPUTED_VALUE"""),"Uncle Sams Cider (5/13/2022)")</f>
        <v>Uncle Sams Cider (5/13/2022)</v>
      </c>
      <c r="H6888" s="19"/>
    </row>
    <row r="6889">
      <c r="A6889" s="9"/>
      <c r="B6889" s="15"/>
      <c r="C6889" s="9">
        <f>IFERROR(__xludf.DUMMYFUNCTION("""COMPUTED_VALUE"""),44724.7863667592)</f>
        <v>44724.78637</v>
      </c>
      <c r="D6889" s="15">
        <f>IFERROR(__xludf.DUMMYFUNCTION("""COMPUTED_VALUE"""),1.007)</f>
        <v>1.007</v>
      </c>
      <c r="E6889" s="16">
        <f>IFERROR(__xludf.DUMMYFUNCTION("""COMPUTED_VALUE"""),69.0)</f>
        <v>69</v>
      </c>
      <c r="F6889" s="19" t="str">
        <f>IFERROR(__xludf.DUMMYFUNCTION("""COMPUTED_VALUE"""),"BLACK")</f>
        <v>BLACK</v>
      </c>
      <c r="G6889" s="20" t="str">
        <f>IFERROR(__xludf.DUMMYFUNCTION("""COMPUTED_VALUE"""),"Uncle Sams Cider (5/13/2022)")</f>
        <v>Uncle Sams Cider (5/13/2022)</v>
      </c>
      <c r="H6889" s="19"/>
    </row>
    <row r="6890">
      <c r="A6890" s="9"/>
      <c r="B6890" s="15"/>
      <c r="C6890" s="9">
        <f>IFERROR(__xludf.DUMMYFUNCTION("""COMPUTED_VALUE"""),44724.7759344328)</f>
        <v>44724.77593</v>
      </c>
      <c r="D6890" s="15">
        <f>IFERROR(__xludf.DUMMYFUNCTION("""COMPUTED_VALUE"""),1.007)</f>
        <v>1.007</v>
      </c>
      <c r="E6890" s="16">
        <f>IFERROR(__xludf.DUMMYFUNCTION("""COMPUTED_VALUE"""),69.0)</f>
        <v>69</v>
      </c>
      <c r="F6890" s="19" t="str">
        <f>IFERROR(__xludf.DUMMYFUNCTION("""COMPUTED_VALUE"""),"BLACK")</f>
        <v>BLACK</v>
      </c>
      <c r="G6890" s="20" t="str">
        <f>IFERROR(__xludf.DUMMYFUNCTION("""COMPUTED_VALUE"""),"Uncle Sams Cider (5/13/2022)")</f>
        <v>Uncle Sams Cider (5/13/2022)</v>
      </c>
      <c r="H6890" s="19"/>
    </row>
    <row r="6891">
      <c r="A6891" s="9"/>
      <c r="B6891" s="15"/>
      <c r="C6891" s="9">
        <f>IFERROR(__xludf.DUMMYFUNCTION("""COMPUTED_VALUE"""),44724.7655018634)</f>
        <v>44724.7655</v>
      </c>
      <c r="D6891" s="15">
        <f>IFERROR(__xludf.DUMMYFUNCTION("""COMPUTED_VALUE"""),1.007)</f>
        <v>1.007</v>
      </c>
      <c r="E6891" s="16">
        <f>IFERROR(__xludf.DUMMYFUNCTION("""COMPUTED_VALUE"""),69.0)</f>
        <v>69</v>
      </c>
      <c r="F6891" s="19" t="str">
        <f>IFERROR(__xludf.DUMMYFUNCTION("""COMPUTED_VALUE"""),"BLACK")</f>
        <v>BLACK</v>
      </c>
      <c r="G6891" s="20" t="str">
        <f>IFERROR(__xludf.DUMMYFUNCTION("""COMPUTED_VALUE"""),"Uncle Sams Cider (5/13/2022)")</f>
        <v>Uncle Sams Cider (5/13/2022)</v>
      </c>
      <c r="H6891" s="19"/>
    </row>
    <row r="6892">
      <c r="A6892" s="9"/>
      <c r="B6892" s="15"/>
      <c r="C6892" s="9">
        <f>IFERROR(__xludf.DUMMYFUNCTION("""COMPUTED_VALUE"""),44724.7550806365)</f>
        <v>44724.75508</v>
      </c>
      <c r="D6892" s="15">
        <f>IFERROR(__xludf.DUMMYFUNCTION("""COMPUTED_VALUE"""),1.007)</f>
        <v>1.007</v>
      </c>
      <c r="E6892" s="16">
        <f>IFERROR(__xludf.DUMMYFUNCTION("""COMPUTED_VALUE"""),69.0)</f>
        <v>69</v>
      </c>
      <c r="F6892" s="19" t="str">
        <f>IFERROR(__xludf.DUMMYFUNCTION("""COMPUTED_VALUE"""),"BLACK")</f>
        <v>BLACK</v>
      </c>
      <c r="G6892" s="20" t="str">
        <f>IFERROR(__xludf.DUMMYFUNCTION("""COMPUTED_VALUE"""),"Uncle Sams Cider (5/13/2022)")</f>
        <v>Uncle Sams Cider (5/13/2022)</v>
      </c>
      <c r="H6892" s="19"/>
    </row>
    <row r="6893">
      <c r="A6893" s="9"/>
      <c r="B6893" s="15"/>
      <c r="C6893" s="9">
        <f>IFERROR(__xludf.DUMMYFUNCTION("""COMPUTED_VALUE"""),44724.7446573726)</f>
        <v>44724.74466</v>
      </c>
      <c r="D6893" s="15">
        <f>IFERROR(__xludf.DUMMYFUNCTION("""COMPUTED_VALUE"""),1.007)</f>
        <v>1.007</v>
      </c>
      <c r="E6893" s="16">
        <f>IFERROR(__xludf.DUMMYFUNCTION("""COMPUTED_VALUE"""),69.0)</f>
        <v>69</v>
      </c>
      <c r="F6893" s="19" t="str">
        <f>IFERROR(__xludf.DUMMYFUNCTION("""COMPUTED_VALUE"""),"BLACK")</f>
        <v>BLACK</v>
      </c>
      <c r="G6893" s="20" t="str">
        <f>IFERROR(__xludf.DUMMYFUNCTION("""COMPUTED_VALUE"""),"Uncle Sams Cider (5/13/2022)")</f>
        <v>Uncle Sams Cider (5/13/2022)</v>
      </c>
      <c r="H6893" s="19"/>
    </row>
    <row r="6894">
      <c r="A6894" s="9"/>
      <c r="B6894" s="15"/>
      <c r="C6894" s="9">
        <f>IFERROR(__xludf.DUMMYFUNCTION("""COMPUTED_VALUE"""),44724.7342362731)</f>
        <v>44724.73424</v>
      </c>
      <c r="D6894" s="15">
        <f>IFERROR(__xludf.DUMMYFUNCTION("""COMPUTED_VALUE"""),1.007)</f>
        <v>1.007</v>
      </c>
      <c r="E6894" s="16">
        <f>IFERROR(__xludf.DUMMYFUNCTION("""COMPUTED_VALUE"""),69.0)</f>
        <v>69</v>
      </c>
      <c r="F6894" s="19" t="str">
        <f>IFERROR(__xludf.DUMMYFUNCTION("""COMPUTED_VALUE"""),"BLACK")</f>
        <v>BLACK</v>
      </c>
      <c r="G6894" s="20" t="str">
        <f>IFERROR(__xludf.DUMMYFUNCTION("""COMPUTED_VALUE"""),"Uncle Sams Cider (5/13/2022)")</f>
        <v>Uncle Sams Cider (5/13/2022)</v>
      </c>
      <c r="H6894" s="19"/>
    </row>
    <row r="6895">
      <c r="A6895" s="9"/>
      <c r="B6895" s="15"/>
      <c r="C6895" s="9">
        <f>IFERROR(__xludf.DUMMYFUNCTION("""COMPUTED_VALUE"""),44724.7238147106)</f>
        <v>44724.72381</v>
      </c>
      <c r="D6895" s="15">
        <f>IFERROR(__xludf.DUMMYFUNCTION("""COMPUTED_VALUE"""),1.007)</f>
        <v>1.007</v>
      </c>
      <c r="E6895" s="16">
        <f>IFERROR(__xludf.DUMMYFUNCTION("""COMPUTED_VALUE"""),69.0)</f>
        <v>69</v>
      </c>
      <c r="F6895" s="19" t="str">
        <f>IFERROR(__xludf.DUMMYFUNCTION("""COMPUTED_VALUE"""),"BLACK")</f>
        <v>BLACK</v>
      </c>
      <c r="G6895" s="20" t="str">
        <f>IFERROR(__xludf.DUMMYFUNCTION("""COMPUTED_VALUE"""),"Uncle Sams Cider (5/13/2022)")</f>
        <v>Uncle Sams Cider (5/13/2022)</v>
      </c>
      <c r="H6895" s="19"/>
    </row>
    <row r="6896">
      <c r="A6896" s="9"/>
      <c r="B6896" s="15"/>
      <c r="C6896" s="9">
        <f>IFERROR(__xludf.DUMMYFUNCTION("""COMPUTED_VALUE"""),44724.7133926041)</f>
        <v>44724.71339</v>
      </c>
      <c r="D6896" s="15">
        <f>IFERROR(__xludf.DUMMYFUNCTION("""COMPUTED_VALUE"""),1.007)</f>
        <v>1.007</v>
      </c>
      <c r="E6896" s="16">
        <f>IFERROR(__xludf.DUMMYFUNCTION("""COMPUTED_VALUE"""),69.0)</f>
        <v>69</v>
      </c>
      <c r="F6896" s="19" t="str">
        <f>IFERROR(__xludf.DUMMYFUNCTION("""COMPUTED_VALUE"""),"BLACK")</f>
        <v>BLACK</v>
      </c>
      <c r="G6896" s="20" t="str">
        <f>IFERROR(__xludf.DUMMYFUNCTION("""COMPUTED_VALUE"""),"Uncle Sams Cider (5/13/2022)")</f>
        <v>Uncle Sams Cider (5/13/2022)</v>
      </c>
      <c r="H6896" s="19"/>
    </row>
    <row r="6897">
      <c r="A6897" s="9"/>
      <c r="B6897" s="15"/>
      <c r="C6897" s="9">
        <f>IFERROR(__xludf.DUMMYFUNCTION("""COMPUTED_VALUE"""),44724.7029711805)</f>
        <v>44724.70297</v>
      </c>
      <c r="D6897" s="15">
        <f>IFERROR(__xludf.DUMMYFUNCTION("""COMPUTED_VALUE"""),1.007)</f>
        <v>1.007</v>
      </c>
      <c r="E6897" s="16">
        <f>IFERROR(__xludf.DUMMYFUNCTION("""COMPUTED_VALUE"""),69.0)</f>
        <v>69</v>
      </c>
      <c r="F6897" s="19" t="str">
        <f>IFERROR(__xludf.DUMMYFUNCTION("""COMPUTED_VALUE"""),"BLACK")</f>
        <v>BLACK</v>
      </c>
      <c r="G6897" s="20" t="str">
        <f>IFERROR(__xludf.DUMMYFUNCTION("""COMPUTED_VALUE"""),"Uncle Sams Cider (5/13/2022)")</f>
        <v>Uncle Sams Cider (5/13/2022)</v>
      </c>
      <c r="H6897" s="19"/>
    </row>
    <row r="6898">
      <c r="A6898" s="9"/>
      <c r="B6898" s="15"/>
      <c r="C6898" s="9">
        <f>IFERROR(__xludf.DUMMYFUNCTION("""COMPUTED_VALUE"""),44724.6925493055)</f>
        <v>44724.69255</v>
      </c>
      <c r="D6898" s="15">
        <f>IFERROR(__xludf.DUMMYFUNCTION("""COMPUTED_VALUE"""),1.007)</f>
        <v>1.007</v>
      </c>
      <c r="E6898" s="16">
        <f>IFERROR(__xludf.DUMMYFUNCTION("""COMPUTED_VALUE"""),69.0)</f>
        <v>69</v>
      </c>
      <c r="F6898" s="19" t="str">
        <f>IFERROR(__xludf.DUMMYFUNCTION("""COMPUTED_VALUE"""),"BLACK")</f>
        <v>BLACK</v>
      </c>
      <c r="G6898" s="20" t="str">
        <f>IFERROR(__xludf.DUMMYFUNCTION("""COMPUTED_VALUE"""),"Uncle Sams Cider (5/13/2022)")</f>
        <v>Uncle Sams Cider (5/13/2022)</v>
      </c>
      <c r="H6898" s="19"/>
    </row>
    <row r="6899">
      <c r="A6899" s="9"/>
      <c r="B6899" s="15"/>
      <c r="C6899" s="9">
        <f>IFERROR(__xludf.DUMMYFUNCTION("""COMPUTED_VALUE"""),44724.6821157175)</f>
        <v>44724.68212</v>
      </c>
      <c r="D6899" s="15">
        <f>IFERROR(__xludf.DUMMYFUNCTION("""COMPUTED_VALUE"""),1.007)</f>
        <v>1.007</v>
      </c>
      <c r="E6899" s="16">
        <f>IFERROR(__xludf.DUMMYFUNCTION("""COMPUTED_VALUE"""),69.0)</f>
        <v>69</v>
      </c>
      <c r="F6899" s="19" t="str">
        <f>IFERROR(__xludf.DUMMYFUNCTION("""COMPUTED_VALUE"""),"BLACK")</f>
        <v>BLACK</v>
      </c>
      <c r="G6899" s="20" t="str">
        <f>IFERROR(__xludf.DUMMYFUNCTION("""COMPUTED_VALUE"""),"Uncle Sams Cider (5/13/2022)")</f>
        <v>Uncle Sams Cider (5/13/2022)</v>
      </c>
      <c r="H6899" s="19"/>
    </row>
    <row r="6900">
      <c r="A6900" s="9"/>
      <c r="B6900" s="15"/>
      <c r="C6900" s="9">
        <f>IFERROR(__xludf.DUMMYFUNCTION("""COMPUTED_VALUE"""),44724.6716823032)</f>
        <v>44724.67168</v>
      </c>
      <c r="D6900" s="15">
        <f>IFERROR(__xludf.DUMMYFUNCTION("""COMPUTED_VALUE"""),1.007)</f>
        <v>1.007</v>
      </c>
      <c r="E6900" s="16">
        <f>IFERROR(__xludf.DUMMYFUNCTION("""COMPUTED_VALUE"""),69.0)</f>
        <v>69</v>
      </c>
      <c r="F6900" s="19" t="str">
        <f>IFERROR(__xludf.DUMMYFUNCTION("""COMPUTED_VALUE"""),"BLACK")</f>
        <v>BLACK</v>
      </c>
      <c r="G6900" s="20" t="str">
        <f>IFERROR(__xludf.DUMMYFUNCTION("""COMPUTED_VALUE"""),"Uncle Sams Cider (5/13/2022)")</f>
        <v>Uncle Sams Cider (5/13/2022)</v>
      </c>
      <c r="H6900" s="19"/>
    </row>
    <row r="6901">
      <c r="A6901" s="9"/>
      <c r="B6901" s="15"/>
      <c r="C6901" s="9">
        <f>IFERROR(__xludf.DUMMYFUNCTION("""COMPUTED_VALUE"""),44724.6612504513)</f>
        <v>44724.66125</v>
      </c>
      <c r="D6901" s="15">
        <f>IFERROR(__xludf.DUMMYFUNCTION("""COMPUTED_VALUE"""),1.007)</f>
        <v>1.007</v>
      </c>
      <c r="E6901" s="16">
        <f>IFERROR(__xludf.DUMMYFUNCTION("""COMPUTED_VALUE"""),69.0)</f>
        <v>69</v>
      </c>
      <c r="F6901" s="19" t="str">
        <f>IFERROR(__xludf.DUMMYFUNCTION("""COMPUTED_VALUE"""),"BLACK")</f>
        <v>BLACK</v>
      </c>
      <c r="G6901" s="20" t="str">
        <f>IFERROR(__xludf.DUMMYFUNCTION("""COMPUTED_VALUE"""),"Uncle Sams Cider (5/13/2022)")</f>
        <v>Uncle Sams Cider (5/13/2022)</v>
      </c>
      <c r="H6901" s="19"/>
    </row>
    <row r="6902">
      <c r="A6902" s="9"/>
      <c r="B6902" s="15"/>
      <c r="C6902" s="9">
        <f>IFERROR(__xludf.DUMMYFUNCTION("""COMPUTED_VALUE"""),44724.6508294907)</f>
        <v>44724.65083</v>
      </c>
      <c r="D6902" s="15">
        <f>IFERROR(__xludf.DUMMYFUNCTION("""COMPUTED_VALUE"""),1.007)</f>
        <v>1.007</v>
      </c>
      <c r="E6902" s="16">
        <f>IFERROR(__xludf.DUMMYFUNCTION("""COMPUTED_VALUE"""),69.0)</f>
        <v>69</v>
      </c>
      <c r="F6902" s="19" t="str">
        <f>IFERROR(__xludf.DUMMYFUNCTION("""COMPUTED_VALUE"""),"BLACK")</f>
        <v>BLACK</v>
      </c>
      <c r="G6902" s="20" t="str">
        <f>IFERROR(__xludf.DUMMYFUNCTION("""COMPUTED_VALUE"""),"Uncle Sams Cider (5/13/2022)")</f>
        <v>Uncle Sams Cider (5/13/2022)</v>
      </c>
      <c r="H6902" s="19"/>
    </row>
    <row r="6903">
      <c r="A6903" s="9"/>
      <c r="B6903" s="15"/>
      <c r="C6903" s="9">
        <f>IFERROR(__xludf.DUMMYFUNCTION("""COMPUTED_VALUE"""),44724.640408449)</f>
        <v>44724.64041</v>
      </c>
      <c r="D6903" s="15">
        <f>IFERROR(__xludf.DUMMYFUNCTION("""COMPUTED_VALUE"""),1.007)</f>
        <v>1.007</v>
      </c>
      <c r="E6903" s="16">
        <f>IFERROR(__xludf.DUMMYFUNCTION("""COMPUTED_VALUE"""),69.0)</f>
        <v>69</v>
      </c>
      <c r="F6903" s="19" t="str">
        <f>IFERROR(__xludf.DUMMYFUNCTION("""COMPUTED_VALUE"""),"BLACK")</f>
        <v>BLACK</v>
      </c>
      <c r="G6903" s="20" t="str">
        <f>IFERROR(__xludf.DUMMYFUNCTION("""COMPUTED_VALUE"""),"Uncle Sams Cider (5/13/2022)")</f>
        <v>Uncle Sams Cider (5/13/2022)</v>
      </c>
      <c r="H6903" s="19"/>
    </row>
    <row r="6904">
      <c r="A6904" s="9"/>
      <c r="B6904" s="15"/>
      <c r="C6904" s="9">
        <f>IFERROR(__xludf.DUMMYFUNCTION("""COMPUTED_VALUE"""),44724.6299868634)</f>
        <v>44724.62999</v>
      </c>
      <c r="D6904" s="15">
        <f>IFERROR(__xludf.DUMMYFUNCTION("""COMPUTED_VALUE"""),1.007)</f>
        <v>1.007</v>
      </c>
      <c r="E6904" s="16">
        <f>IFERROR(__xludf.DUMMYFUNCTION("""COMPUTED_VALUE"""),69.0)</f>
        <v>69</v>
      </c>
      <c r="F6904" s="19" t="str">
        <f>IFERROR(__xludf.DUMMYFUNCTION("""COMPUTED_VALUE"""),"BLACK")</f>
        <v>BLACK</v>
      </c>
      <c r="G6904" s="20" t="str">
        <f>IFERROR(__xludf.DUMMYFUNCTION("""COMPUTED_VALUE"""),"Uncle Sams Cider (5/13/2022)")</f>
        <v>Uncle Sams Cider (5/13/2022)</v>
      </c>
      <c r="H6904" s="19"/>
    </row>
    <row r="6905">
      <c r="A6905" s="9"/>
      <c r="B6905" s="15"/>
      <c r="C6905" s="9">
        <f>IFERROR(__xludf.DUMMYFUNCTION("""COMPUTED_VALUE"""),44724.6195540277)</f>
        <v>44724.61955</v>
      </c>
      <c r="D6905" s="15">
        <f>IFERROR(__xludf.DUMMYFUNCTION("""COMPUTED_VALUE"""),1.007)</f>
        <v>1.007</v>
      </c>
      <c r="E6905" s="16">
        <f>IFERROR(__xludf.DUMMYFUNCTION("""COMPUTED_VALUE"""),69.0)</f>
        <v>69</v>
      </c>
      <c r="F6905" s="19" t="str">
        <f>IFERROR(__xludf.DUMMYFUNCTION("""COMPUTED_VALUE"""),"BLACK")</f>
        <v>BLACK</v>
      </c>
      <c r="G6905" s="20" t="str">
        <f>IFERROR(__xludf.DUMMYFUNCTION("""COMPUTED_VALUE"""),"Uncle Sams Cider (5/13/2022)")</f>
        <v>Uncle Sams Cider (5/13/2022)</v>
      </c>
      <c r="H6905" s="19"/>
    </row>
    <row r="6906">
      <c r="A6906" s="9"/>
      <c r="B6906" s="15"/>
      <c r="C6906" s="9">
        <f>IFERROR(__xludf.DUMMYFUNCTION("""COMPUTED_VALUE"""),44724.6091336342)</f>
        <v>44724.60913</v>
      </c>
      <c r="D6906" s="15">
        <f>IFERROR(__xludf.DUMMYFUNCTION("""COMPUTED_VALUE"""),1.007)</f>
        <v>1.007</v>
      </c>
      <c r="E6906" s="16">
        <f>IFERROR(__xludf.DUMMYFUNCTION("""COMPUTED_VALUE"""),69.0)</f>
        <v>69</v>
      </c>
      <c r="F6906" s="19" t="str">
        <f>IFERROR(__xludf.DUMMYFUNCTION("""COMPUTED_VALUE"""),"BLACK")</f>
        <v>BLACK</v>
      </c>
      <c r="G6906" s="20" t="str">
        <f>IFERROR(__xludf.DUMMYFUNCTION("""COMPUTED_VALUE"""),"Uncle Sams Cider (5/13/2022)")</f>
        <v>Uncle Sams Cider (5/13/2022)</v>
      </c>
      <c r="H6906" s="19"/>
    </row>
    <row r="6907">
      <c r="A6907" s="9"/>
      <c r="B6907" s="15"/>
      <c r="C6907" s="9">
        <f>IFERROR(__xludf.DUMMYFUNCTION("""COMPUTED_VALUE"""),44724.5987140972)</f>
        <v>44724.59871</v>
      </c>
      <c r="D6907" s="15">
        <f>IFERROR(__xludf.DUMMYFUNCTION("""COMPUTED_VALUE"""),1.007)</f>
        <v>1.007</v>
      </c>
      <c r="E6907" s="16">
        <f>IFERROR(__xludf.DUMMYFUNCTION("""COMPUTED_VALUE"""),69.0)</f>
        <v>69</v>
      </c>
      <c r="F6907" s="19" t="str">
        <f>IFERROR(__xludf.DUMMYFUNCTION("""COMPUTED_VALUE"""),"BLACK")</f>
        <v>BLACK</v>
      </c>
      <c r="G6907" s="20" t="str">
        <f>IFERROR(__xludf.DUMMYFUNCTION("""COMPUTED_VALUE"""),"Uncle Sams Cider (5/13/2022)")</f>
        <v>Uncle Sams Cider (5/13/2022)</v>
      </c>
      <c r="H6907" s="19"/>
    </row>
    <row r="6908">
      <c r="A6908" s="9"/>
      <c r="B6908" s="15"/>
      <c r="C6908" s="9">
        <f>IFERROR(__xludf.DUMMYFUNCTION("""COMPUTED_VALUE"""),44724.5882913425)</f>
        <v>44724.58829</v>
      </c>
      <c r="D6908" s="15">
        <f>IFERROR(__xludf.DUMMYFUNCTION("""COMPUTED_VALUE"""),1.007)</f>
        <v>1.007</v>
      </c>
      <c r="E6908" s="16">
        <f>IFERROR(__xludf.DUMMYFUNCTION("""COMPUTED_VALUE"""),69.0)</f>
        <v>69</v>
      </c>
      <c r="F6908" s="19" t="str">
        <f>IFERROR(__xludf.DUMMYFUNCTION("""COMPUTED_VALUE"""),"BLACK")</f>
        <v>BLACK</v>
      </c>
      <c r="G6908" s="20" t="str">
        <f>IFERROR(__xludf.DUMMYFUNCTION("""COMPUTED_VALUE"""),"Uncle Sams Cider (5/13/2022)")</f>
        <v>Uncle Sams Cider (5/13/2022)</v>
      </c>
      <c r="H6908" s="19"/>
    </row>
    <row r="6909">
      <c r="A6909" s="9"/>
      <c r="B6909" s="15"/>
      <c r="C6909" s="9">
        <f>IFERROR(__xludf.DUMMYFUNCTION("""COMPUTED_VALUE"""),44724.5778593634)</f>
        <v>44724.57786</v>
      </c>
      <c r="D6909" s="15">
        <f>IFERROR(__xludf.DUMMYFUNCTION("""COMPUTED_VALUE"""),1.007)</f>
        <v>1.007</v>
      </c>
      <c r="E6909" s="16">
        <f>IFERROR(__xludf.DUMMYFUNCTION("""COMPUTED_VALUE"""),69.0)</f>
        <v>69</v>
      </c>
      <c r="F6909" s="19" t="str">
        <f>IFERROR(__xludf.DUMMYFUNCTION("""COMPUTED_VALUE"""),"BLACK")</f>
        <v>BLACK</v>
      </c>
      <c r="G6909" s="20" t="str">
        <f>IFERROR(__xludf.DUMMYFUNCTION("""COMPUTED_VALUE"""),"Uncle Sams Cider (5/13/2022)")</f>
        <v>Uncle Sams Cider (5/13/2022)</v>
      </c>
      <c r="H6909" s="19"/>
    </row>
    <row r="6910">
      <c r="A6910" s="9"/>
      <c r="B6910" s="15"/>
      <c r="C6910" s="9">
        <f>IFERROR(__xludf.DUMMYFUNCTION("""COMPUTED_VALUE"""),44724.5674375463)</f>
        <v>44724.56744</v>
      </c>
      <c r="D6910" s="15">
        <f>IFERROR(__xludf.DUMMYFUNCTION("""COMPUTED_VALUE"""),1.007)</f>
        <v>1.007</v>
      </c>
      <c r="E6910" s="16">
        <f>IFERROR(__xludf.DUMMYFUNCTION("""COMPUTED_VALUE"""),69.0)</f>
        <v>69</v>
      </c>
      <c r="F6910" s="19" t="str">
        <f>IFERROR(__xludf.DUMMYFUNCTION("""COMPUTED_VALUE"""),"BLACK")</f>
        <v>BLACK</v>
      </c>
      <c r="G6910" s="20" t="str">
        <f>IFERROR(__xludf.DUMMYFUNCTION("""COMPUTED_VALUE"""),"Uncle Sams Cider (5/13/2022)")</f>
        <v>Uncle Sams Cider (5/13/2022)</v>
      </c>
      <c r="H6910" s="19"/>
    </row>
    <row r="6911">
      <c r="A6911" s="9"/>
      <c r="B6911" s="15"/>
      <c r="C6911" s="9">
        <f>IFERROR(__xludf.DUMMYFUNCTION("""COMPUTED_VALUE"""),44724.5570156018)</f>
        <v>44724.55702</v>
      </c>
      <c r="D6911" s="15">
        <f>IFERROR(__xludf.DUMMYFUNCTION("""COMPUTED_VALUE"""),1.007)</f>
        <v>1.007</v>
      </c>
      <c r="E6911" s="16">
        <f>IFERROR(__xludf.DUMMYFUNCTION("""COMPUTED_VALUE"""),69.0)</f>
        <v>69</v>
      </c>
      <c r="F6911" s="19" t="str">
        <f>IFERROR(__xludf.DUMMYFUNCTION("""COMPUTED_VALUE"""),"BLACK")</f>
        <v>BLACK</v>
      </c>
      <c r="G6911" s="20" t="str">
        <f>IFERROR(__xludf.DUMMYFUNCTION("""COMPUTED_VALUE"""),"Uncle Sams Cider (5/13/2022)")</f>
        <v>Uncle Sams Cider (5/13/2022)</v>
      </c>
      <c r="H6911" s="19"/>
    </row>
    <row r="6912">
      <c r="A6912" s="9"/>
      <c r="B6912" s="15"/>
      <c r="C6912" s="9">
        <f>IFERROR(__xludf.DUMMYFUNCTION("""COMPUTED_VALUE"""),44724.5465952083)</f>
        <v>44724.5466</v>
      </c>
      <c r="D6912" s="15">
        <f>IFERROR(__xludf.DUMMYFUNCTION("""COMPUTED_VALUE"""),1.007)</f>
        <v>1.007</v>
      </c>
      <c r="E6912" s="16">
        <f>IFERROR(__xludf.DUMMYFUNCTION("""COMPUTED_VALUE"""),69.0)</f>
        <v>69</v>
      </c>
      <c r="F6912" s="19" t="str">
        <f>IFERROR(__xludf.DUMMYFUNCTION("""COMPUTED_VALUE"""),"BLACK")</f>
        <v>BLACK</v>
      </c>
      <c r="G6912" s="20" t="str">
        <f>IFERROR(__xludf.DUMMYFUNCTION("""COMPUTED_VALUE"""),"Uncle Sams Cider (5/13/2022)")</f>
        <v>Uncle Sams Cider (5/13/2022)</v>
      </c>
      <c r="H6912" s="19"/>
    </row>
    <row r="6913">
      <c r="A6913" s="9"/>
      <c r="B6913" s="15"/>
      <c r="C6913" s="9">
        <f>IFERROR(__xludf.DUMMYFUNCTION("""COMPUTED_VALUE"""),44724.536174074)</f>
        <v>44724.53617</v>
      </c>
      <c r="D6913" s="15">
        <f>IFERROR(__xludf.DUMMYFUNCTION("""COMPUTED_VALUE"""),1.007)</f>
        <v>1.007</v>
      </c>
      <c r="E6913" s="16">
        <f>IFERROR(__xludf.DUMMYFUNCTION("""COMPUTED_VALUE"""),69.0)</f>
        <v>69</v>
      </c>
      <c r="F6913" s="19" t="str">
        <f>IFERROR(__xludf.DUMMYFUNCTION("""COMPUTED_VALUE"""),"BLACK")</f>
        <v>BLACK</v>
      </c>
      <c r="G6913" s="20" t="str">
        <f>IFERROR(__xludf.DUMMYFUNCTION("""COMPUTED_VALUE"""),"Uncle Sams Cider (5/13/2022)")</f>
        <v>Uncle Sams Cider (5/13/2022)</v>
      </c>
      <c r="H6913" s="19"/>
    </row>
    <row r="6914">
      <c r="A6914" s="9"/>
      <c r="B6914" s="15"/>
      <c r="C6914" s="9">
        <f>IFERROR(__xludf.DUMMYFUNCTION("""COMPUTED_VALUE"""),44724.5257520254)</f>
        <v>44724.52575</v>
      </c>
      <c r="D6914" s="15">
        <f>IFERROR(__xludf.DUMMYFUNCTION("""COMPUTED_VALUE"""),1.007)</f>
        <v>1.007</v>
      </c>
      <c r="E6914" s="16">
        <f>IFERROR(__xludf.DUMMYFUNCTION("""COMPUTED_VALUE"""),69.0)</f>
        <v>69</v>
      </c>
      <c r="F6914" s="19" t="str">
        <f>IFERROR(__xludf.DUMMYFUNCTION("""COMPUTED_VALUE"""),"BLACK")</f>
        <v>BLACK</v>
      </c>
      <c r="G6914" s="20" t="str">
        <f>IFERROR(__xludf.DUMMYFUNCTION("""COMPUTED_VALUE"""),"Uncle Sams Cider (5/13/2022)")</f>
        <v>Uncle Sams Cider (5/13/2022)</v>
      </c>
      <c r="H6914" s="19"/>
    </row>
    <row r="6915">
      <c r="A6915" s="9"/>
      <c r="B6915" s="15"/>
      <c r="C6915" s="9">
        <f>IFERROR(__xludf.DUMMYFUNCTION("""COMPUTED_VALUE"""),44724.51533)</f>
        <v>44724.51533</v>
      </c>
      <c r="D6915" s="15">
        <f>IFERROR(__xludf.DUMMYFUNCTION("""COMPUTED_VALUE"""),1.007)</f>
        <v>1.007</v>
      </c>
      <c r="E6915" s="16">
        <f>IFERROR(__xludf.DUMMYFUNCTION("""COMPUTED_VALUE"""),69.0)</f>
        <v>69</v>
      </c>
      <c r="F6915" s="19" t="str">
        <f>IFERROR(__xludf.DUMMYFUNCTION("""COMPUTED_VALUE"""),"BLACK")</f>
        <v>BLACK</v>
      </c>
      <c r="G6915" s="20" t="str">
        <f>IFERROR(__xludf.DUMMYFUNCTION("""COMPUTED_VALUE"""),"Uncle Sams Cider (5/13/2022)")</f>
        <v>Uncle Sams Cider (5/13/2022)</v>
      </c>
      <c r="H6915" s="19"/>
    </row>
    <row r="6916">
      <c r="A6916" s="9"/>
      <c r="B6916" s="15"/>
      <c r="C6916" s="9">
        <f>IFERROR(__xludf.DUMMYFUNCTION("""COMPUTED_VALUE"""),44724.5049107523)</f>
        <v>44724.50491</v>
      </c>
      <c r="D6916" s="15">
        <f>IFERROR(__xludf.DUMMYFUNCTION("""COMPUTED_VALUE"""),1.007)</f>
        <v>1.007</v>
      </c>
      <c r="E6916" s="16">
        <f>IFERROR(__xludf.DUMMYFUNCTION("""COMPUTED_VALUE"""),69.0)</f>
        <v>69</v>
      </c>
      <c r="F6916" s="19" t="str">
        <f>IFERROR(__xludf.DUMMYFUNCTION("""COMPUTED_VALUE"""),"BLACK")</f>
        <v>BLACK</v>
      </c>
      <c r="G6916" s="20" t="str">
        <f>IFERROR(__xludf.DUMMYFUNCTION("""COMPUTED_VALUE"""),"Uncle Sams Cider (5/13/2022)")</f>
        <v>Uncle Sams Cider (5/13/2022)</v>
      </c>
      <c r="H6916" s="19"/>
    </row>
    <row r="6917">
      <c r="A6917" s="9"/>
      <c r="B6917" s="15"/>
      <c r="C6917" s="9">
        <f>IFERROR(__xludf.DUMMYFUNCTION("""COMPUTED_VALUE"""),44724.4944903703)</f>
        <v>44724.49449</v>
      </c>
      <c r="D6917" s="15">
        <f>IFERROR(__xludf.DUMMYFUNCTION("""COMPUTED_VALUE"""),1.007)</f>
        <v>1.007</v>
      </c>
      <c r="E6917" s="16">
        <f>IFERROR(__xludf.DUMMYFUNCTION("""COMPUTED_VALUE"""),69.0)</f>
        <v>69</v>
      </c>
      <c r="F6917" s="19" t="str">
        <f>IFERROR(__xludf.DUMMYFUNCTION("""COMPUTED_VALUE"""),"BLACK")</f>
        <v>BLACK</v>
      </c>
      <c r="G6917" s="20" t="str">
        <f>IFERROR(__xludf.DUMMYFUNCTION("""COMPUTED_VALUE"""),"Uncle Sams Cider (5/13/2022)")</f>
        <v>Uncle Sams Cider (5/13/2022)</v>
      </c>
      <c r="H6917" s="19"/>
    </row>
    <row r="6918">
      <c r="A6918" s="9"/>
      <c r="B6918" s="15"/>
      <c r="C6918" s="9">
        <f>IFERROR(__xludf.DUMMYFUNCTION("""COMPUTED_VALUE"""),44724.4840694444)</f>
        <v>44724.48407</v>
      </c>
      <c r="D6918" s="15">
        <f>IFERROR(__xludf.DUMMYFUNCTION("""COMPUTED_VALUE"""),1.007)</f>
        <v>1.007</v>
      </c>
      <c r="E6918" s="16">
        <f>IFERROR(__xludf.DUMMYFUNCTION("""COMPUTED_VALUE"""),69.0)</f>
        <v>69</v>
      </c>
      <c r="F6918" s="19" t="str">
        <f>IFERROR(__xludf.DUMMYFUNCTION("""COMPUTED_VALUE"""),"BLACK")</f>
        <v>BLACK</v>
      </c>
      <c r="G6918" s="20" t="str">
        <f>IFERROR(__xludf.DUMMYFUNCTION("""COMPUTED_VALUE"""),"Uncle Sams Cider (5/13/2022)")</f>
        <v>Uncle Sams Cider (5/13/2022)</v>
      </c>
      <c r="H6918" s="19"/>
    </row>
    <row r="6919">
      <c r="A6919" s="9"/>
      <c r="B6919" s="15"/>
      <c r="C6919" s="9">
        <f>IFERROR(__xludf.DUMMYFUNCTION("""COMPUTED_VALUE"""),44724.4736479051)</f>
        <v>44724.47365</v>
      </c>
      <c r="D6919" s="15">
        <f>IFERROR(__xludf.DUMMYFUNCTION("""COMPUTED_VALUE"""),1.007)</f>
        <v>1.007</v>
      </c>
      <c r="E6919" s="16">
        <f>IFERROR(__xludf.DUMMYFUNCTION("""COMPUTED_VALUE"""),69.0)</f>
        <v>69</v>
      </c>
      <c r="F6919" s="19" t="str">
        <f>IFERROR(__xludf.DUMMYFUNCTION("""COMPUTED_VALUE"""),"BLACK")</f>
        <v>BLACK</v>
      </c>
      <c r="G6919" s="20" t="str">
        <f>IFERROR(__xludf.DUMMYFUNCTION("""COMPUTED_VALUE"""),"Uncle Sams Cider (5/13/2022)")</f>
        <v>Uncle Sams Cider (5/13/2022)</v>
      </c>
      <c r="H6919" s="19"/>
    </row>
    <row r="6920">
      <c r="A6920" s="9"/>
      <c r="B6920" s="15"/>
      <c r="C6920" s="9">
        <f>IFERROR(__xludf.DUMMYFUNCTION("""COMPUTED_VALUE"""),44724.4632265972)</f>
        <v>44724.46323</v>
      </c>
      <c r="D6920" s="15">
        <f>IFERROR(__xludf.DUMMYFUNCTION("""COMPUTED_VALUE"""),1.007)</f>
        <v>1.007</v>
      </c>
      <c r="E6920" s="16">
        <f>IFERROR(__xludf.DUMMYFUNCTION("""COMPUTED_VALUE"""),69.0)</f>
        <v>69</v>
      </c>
      <c r="F6920" s="19" t="str">
        <f>IFERROR(__xludf.DUMMYFUNCTION("""COMPUTED_VALUE"""),"BLACK")</f>
        <v>BLACK</v>
      </c>
      <c r="G6920" s="20" t="str">
        <f>IFERROR(__xludf.DUMMYFUNCTION("""COMPUTED_VALUE"""),"Uncle Sams Cider (5/13/2022)")</f>
        <v>Uncle Sams Cider (5/13/2022)</v>
      </c>
      <c r="H6920" s="19"/>
    </row>
    <row r="6921">
      <c r="A6921" s="9"/>
      <c r="B6921" s="15"/>
      <c r="C6921" s="9">
        <f>IFERROR(__xludf.DUMMYFUNCTION("""COMPUTED_VALUE"""),44724.4528063657)</f>
        <v>44724.45281</v>
      </c>
      <c r="D6921" s="15">
        <f>IFERROR(__xludf.DUMMYFUNCTION("""COMPUTED_VALUE"""),1.007)</f>
        <v>1.007</v>
      </c>
      <c r="E6921" s="16">
        <f>IFERROR(__xludf.DUMMYFUNCTION("""COMPUTED_VALUE"""),69.0)</f>
        <v>69</v>
      </c>
      <c r="F6921" s="19" t="str">
        <f>IFERROR(__xludf.DUMMYFUNCTION("""COMPUTED_VALUE"""),"BLACK")</f>
        <v>BLACK</v>
      </c>
      <c r="G6921" s="20" t="str">
        <f>IFERROR(__xludf.DUMMYFUNCTION("""COMPUTED_VALUE"""),"Uncle Sams Cider (5/13/2022)")</f>
        <v>Uncle Sams Cider (5/13/2022)</v>
      </c>
      <c r="H6921" s="19"/>
    </row>
    <row r="6922">
      <c r="A6922" s="9"/>
      <c r="B6922" s="15"/>
      <c r="C6922" s="9">
        <f>IFERROR(__xludf.DUMMYFUNCTION("""COMPUTED_VALUE"""),44724.4423835995)</f>
        <v>44724.44238</v>
      </c>
      <c r="D6922" s="15">
        <f>IFERROR(__xludf.DUMMYFUNCTION("""COMPUTED_VALUE"""),1.007)</f>
        <v>1.007</v>
      </c>
      <c r="E6922" s="16">
        <f>IFERROR(__xludf.DUMMYFUNCTION("""COMPUTED_VALUE"""),69.0)</f>
        <v>69</v>
      </c>
      <c r="F6922" s="19" t="str">
        <f>IFERROR(__xludf.DUMMYFUNCTION("""COMPUTED_VALUE"""),"BLACK")</f>
        <v>BLACK</v>
      </c>
      <c r="G6922" s="20" t="str">
        <f>IFERROR(__xludf.DUMMYFUNCTION("""COMPUTED_VALUE"""),"Uncle Sams Cider (5/13/2022)")</f>
        <v>Uncle Sams Cider (5/13/2022)</v>
      </c>
      <c r="H6922" s="19"/>
    </row>
    <row r="6923">
      <c r="A6923" s="9"/>
      <c r="B6923" s="15"/>
      <c r="C6923" s="9">
        <f>IFERROR(__xludf.DUMMYFUNCTION("""COMPUTED_VALUE"""),44724.431962824)</f>
        <v>44724.43196</v>
      </c>
      <c r="D6923" s="15">
        <f>IFERROR(__xludf.DUMMYFUNCTION("""COMPUTED_VALUE"""),1.007)</f>
        <v>1.007</v>
      </c>
      <c r="E6923" s="16">
        <f>IFERROR(__xludf.DUMMYFUNCTION("""COMPUTED_VALUE"""),69.0)</f>
        <v>69</v>
      </c>
      <c r="F6923" s="19" t="str">
        <f>IFERROR(__xludf.DUMMYFUNCTION("""COMPUTED_VALUE"""),"BLACK")</f>
        <v>BLACK</v>
      </c>
      <c r="G6923" s="20" t="str">
        <f>IFERROR(__xludf.DUMMYFUNCTION("""COMPUTED_VALUE"""),"Uncle Sams Cider (5/13/2022)")</f>
        <v>Uncle Sams Cider (5/13/2022)</v>
      </c>
      <c r="H6923" s="19"/>
    </row>
    <row r="6924">
      <c r="A6924" s="9"/>
      <c r="B6924" s="15"/>
      <c r="C6924" s="9">
        <f>IFERROR(__xludf.DUMMYFUNCTION("""COMPUTED_VALUE"""),44724.4215293055)</f>
        <v>44724.42153</v>
      </c>
      <c r="D6924" s="15">
        <f>IFERROR(__xludf.DUMMYFUNCTION("""COMPUTED_VALUE"""),1.007)</f>
        <v>1.007</v>
      </c>
      <c r="E6924" s="16">
        <f>IFERROR(__xludf.DUMMYFUNCTION("""COMPUTED_VALUE"""),69.0)</f>
        <v>69</v>
      </c>
      <c r="F6924" s="19" t="str">
        <f>IFERROR(__xludf.DUMMYFUNCTION("""COMPUTED_VALUE"""),"BLACK")</f>
        <v>BLACK</v>
      </c>
      <c r="G6924" s="20" t="str">
        <f>IFERROR(__xludf.DUMMYFUNCTION("""COMPUTED_VALUE"""),"Uncle Sams Cider (5/13/2022)")</f>
        <v>Uncle Sams Cider (5/13/2022)</v>
      </c>
      <c r="H6924" s="19"/>
    </row>
    <row r="6925">
      <c r="A6925" s="9"/>
      <c r="B6925" s="15"/>
      <c r="C6925" s="9">
        <f>IFERROR(__xludf.DUMMYFUNCTION("""COMPUTED_VALUE"""),44724.4111080439)</f>
        <v>44724.41111</v>
      </c>
      <c r="D6925" s="15">
        <f>IFERROR(__xludf.DUMMYFUNCTION("""COMPUTED_VALUE"""),1.007)</f>
        <v>1.007</v>
      </c>
      <c r="E6925" s="16">
        <f>IFERROR(__xludf.DUMMYFUNCTION("""COMPUTED_VALUE"""),69.0)</f>
        <v>69</v>
      </c>
      <c r="F6925" s="19" t="str">
        <f>IFERROR(__xludf.DUMMYFUNCTION("""COMPUTED_VALUE"""),"BLACK")</f>
        <v>BLACK</v>
      </c>
      <c r="G6925" s="20" t="str">
        <f>IFERROR(__xludf.DUMMYFUNCTION("""COMPUTED_VALUE"""),"Uncle Sams Cider (5/13/2022)")</f>
        <v>Uncle Sams Cider (5/13/2022)</v>
      </c>
      <c r="H6925" s="19"/>
    </row>
    <row r="6926">
      <c r="A6926" s="9"/>
      <c r="B6926" s="15"/>
      <c r="C6926" s="9">
        <f>IFERROR(__xludf.DUMMYFUNCTION("""COMPUTED_VALUE"""),44724.4006884722)</f>
        <v>44724.40069</v>
      </c>
      <c r="D6926" s="15">
        <f>IFERROR(__xludf.DUMMYFUNCTION("""COMPUTED_VALUE"""),1.007)</f>
        <v>1.007</v>
      </c>
      <c r="E6926" s="16">
        <f>IFERROR(__xludf.DUMMYFUNCTION("""COMPUTED_VALUE"""),69.0)</f>
        <v>69</v>
      </c>
      <c r="F6926" s="19" t="str">
        <f>IFERROR(__xludf.DUMMYFUNCTION("""COMPUTED_VALUE"""),"BLACK")</f>
        <v>BLACK</v>
      </c>
      <c r="G6926" s="20" t="str">
        <f>IFERROR(__xludf.DUMMYFUNCTION("""COMPUTED_VALUE"""),"Uncle Sams Cider (5/13/2022)")</f>
        <v>Uncle Sams Cider (5/13/2022)</v>
      </c>
      <c r="H6926" s="19"/>
    </row>
    <row r="6927">
      <c r="A6927" s="9"/>
      <c r="B6927" s="15"/>
      <c r="C6927" s="9">
        <f>IFERROR(__xludf.DUMMYFUNCTION("""COMPUTED_VALUE"""),44724.3902676851)</f>
        <v>44724.39027</v>
      </c>
      <c r="D6927" s="15">
        <f>IFERROR(__xludf.DUMMYFUNCTION("""COMPUTED_VALUE"""),1.007)</f>
        <v>1.007</v>
      </c>
      <c r="E6927" s="16">
        <f>IFERROR(__xludf.DUMMYFUNCTION("""COMPUTED_VALUE"""),69.0)</f>
        <v>69</v>
      </c>
      <c r="F6927" s="19" t="str">
        <f>IFERROR(__xludf.DUMMYFUNCTION("""COMPUTED_VALUE"""),"BLACK")</f>
        <v>BLACK</v>
      </c>
      <c r="G6927" s="20" t="str">
        <f>IFERROR(__xludf.DUMMYFUNCTION("""COMPUTED_VALUE"""),"Uncle Sams Cider (5/13/2022)")</f>
        <v>Uncle Sams Cider (5/13/2022)</v>
      </c>
      <c r="H6927" s="19"/>
    </row>
    <row r="6928">
      <c r="A6928" s="9"/>
      <c r="B6928" s="15"/>
      <c r="C6928" s="9">
        <f>IFERROR(__xludf.DUMMYFUNCTION("""COMPUTED_VALUE"""),44724.3798473263)</f>
        <v>44724.37985</v>
      </c>
      <c r="D6928" s="15">
        <f>IFERROR(__xludf.DUMMYFUNCTION("""COMPUTED_VALUE"""),1.007)</f>
        <v>1.007</v>
      </c>
      <c r="E6928" s="16">
        <f>IFERROR(__xludf.DUMMYFUNCTION("""COMPUTED_VALUE"""),69.0)</f>
        <v>69</v>
      </c>
      <c r="F6928" s="19" t="str">
        <f>IFERROR(__xludf.DUMMYFUNCTION("""COMPUTED_VALUE"""),"BLACK")</f>
        <v>BLACK</v>
      </c>
      <c r="G6928" s="20" t="str">
        <f>IFERROR(__xludf.DUMMYFUNCTION("""COMPUTED_VALUE"""),"Uncle Sams Cider (5/13/2022)")</f>
        <v>Uncle Sams Cider (5/13/2022)</v>
      </c>
      <c r="H6928" s="19"/>
    </row>
    <row r="6929">
      <c r="A6929" s="9"/>
      <c r="B6929" s="15"/>
      <c r="C6929" s="9">
        <f>IFERROR(__xludf.DUMMYFUNCTION("""COMPUTED_VALUE"""),44724.3694267592)</f>
        <v>44724.36943</v>
      </c>
      <c r="D6929" s="15">
        <f>IFERROR(__xludf.DUMMYFUNCTION("""COMPUTED_VALUE"""),1.007)</f>
        <v>1.007</v>
      </c>
      <c r="E6929" s="16">
        <f>IFERROR(__xludf.DUMMYFUNCTION("""COMPUTED_VALUE"""),69.0)</f>
        <v>69</v>
      </c>
      <c r="F6929" s="19" t="str">
        <f>IFERROR(__xludf.DUMMYFUNCTION("""COMPUTED_VALUE"""),"BLACK")</f>
        <v>BLACK</v>
      </c>
      <c r="G6929" s="20" t="str">
        <f>IFERROR(__xludf.DUMMYFUNCTION("""COMPUTED_VALUE"""),"Uncle Sams Cider (5/13/2022)")</f>
        <v>Uncle Sams Cider (5/13/2022)</v>
      </c>
      <c r="H6929" s="19"/>
    </row>
    <row r="6930">
      <c r="A6930" s="9"/>
      <c r="B6930" s="15"/>
      <c r="C6930" s="9">
        <f>IFERROR(__xludf.DUMMYFUNCTION("""COMPUTED_VALUE"""),44724.3590040856)</f>
        <v>44724.359</v>
      </c>
      <c r="D6930" s="15">
        <f>IFERROR(__xludf.DUMMYFUNCTION("""COMPUTED_VALUE"""),1.007)</f>
        <v>1.007</v>
      </c>
      <c r="E6930" s="16">
        <f>IFERROR(__xludf.DUMMYFUNCTION("""COMPUTED_VALUE"""),69.0)</f>
        <v>69</v>
      </c>
      <c r="F6930" s="19" t="str">
        <f>IFERROR(__xludf.DUMMYFUNCTION("""COMPUTED_VALUE"""),"BLACK")</f>
        <v>BLACK</v>
      </c>
      <c r="G6930" s="20" t="str">
        <f>IFERROR(__xludf.DUMMYFUNCTION("""COMPUTED_VALUE"""),"Uncle Sams Cider (5/13/2022)")</f>
        <v>Uncle Sams Cider (5/13/2022)</v>
      </c>
      <c r="H6930" s="19"/>
    </row>
    <row r="6931">
      <c r="A6931" s="9"/>
      <c r="B6931" s="15"/>
      <c r="C6931" s="9">
        <f>IFERROR(__xludf.DUMMYFUNCTION("""COMPUTED_VALUE"""),44724.3485834953)</f>
        <v>44724.34858</v>
      </c>
      <c r="D6931" s="15">
        <f>IFERROR(__xludf.DUMMYFUNCTION("""COMPUTED_VALUE"""),1.007)</f>
        <v>1.007</v>
      </c>
      <c r="E6931" s="16">
        <f>IFERROR(__xludf.DUMMYFUNCTION("""COMPUTED_VALUE"""),69.0)</f>
        <v>69</v>
      </c>
      <c r="F6931" s="19" t="str">
        <f>IFERROR(__xludf.DUMMYFUNCTION("""COMPUTED_VALUE"""),"BLACK")</f>
        <v>BLACK</v>
      </c>
      <c r="G6931" s="20" t="str">
        <f>IFERROR(__xludf.DUMMYFUNCTION("""COMPUTED_VALUE"""),"Uncle Sams Cider (5/13/2022)")</f>
        <v>Uncle Sams Cider (5/13/2022)</v>
      </c>
      <c r="H6931" s="19"/>
    </row>
    <row r="6932">
      <c r="A6932" s="9"/>
      <c r="B6932" s="15"/>
      <c r="C6932" s="9">
        <f>IFERROR(__xludf.DUMMYFUNCTION("""COMPUTED_VALUE"""),44724.3381617824)</f>
        <v>44724.33816</v>
      </c>
      <c r="D6932" s="15">
        <f>IFERROR(__xludf.DUMMYFUNCTION("""COMPUTED_VALUE"""),1.007)</f>
        <v>1.007</v>
      </c>
      <c r="E6932" s="16">
        <f>IFERROR(__xludf.DUMMYFUNCTION("""COMPUTED_VALUE"""),69.0)</f>
        <v>69</v>
      </c>
      <c r="F6932" s="19" t="str">
        <f>IFERROR(__xludf.DUMMYFUNCTION("""COMPUTED_VALUE"""),"BLACK")</f>
        <v>BLACK</v>
      </c>
      <c r="G6932" s="20" t="str">
        <f>IFERROR(__xludf.DUMMYFUNCTION("""COMPUTED_VALUE"""),"Uncle Sams Cider (5/13/2022)")</f>
        <v>Uncle Sams Cider (5/13/2022)</v>
      </c>
      <c r="H6932" s="19"/>
    </row>
    <row r="6933">
      <c r="A6933" s="9"/>
      <c r="B6933" s="15"/>
      <c r="C6933" s="9">
        <f>IFERROR(__xludf.DUMMYFUNCTION("""COMPUTED_VALUE"""),44724.3277420717)</f>
        <v>44724.32774</v>
      </c>
      <c r="D6933" s="15">
        <f>IFERROR(__xludf.DUMMYFUNCTION("""COMPUTED_VALUE"""),1.007)</f>
        <v>1.007</v>
      </c>
      <c r="E6933" s="16">
        <f>IFERROR(__xludf.DUMMYFUNCTION("""COMPUTED_VALUE"""),69.0)</f>
        <v>69</v>
      </c>
      <c r="F6933" s="19" t="str">
        <f>IFERROR(__xludf.DUMMYFUNCTION("""COMPUTED_VALUE"""),"BLACK")</f>
        <v>BLACK</v>
      </c>
      <c r="G6933" s="20" t="str">
        <f>IFERROR(__xludf.DUMMYFUNCTION("""COMPUTED_VALUE"""),"Uncle Sams Cider (5/13/2022)")</f>
        <v>Uncle Sams Cider (5/13/2022)</v>
      </c>
      <c r="H6933" s="19"/>
    </row>
    <row r="6934">
      <c r="A6934" s="9"/>
      <c r="B6934" s="15"/>
      <c r="C6934" s="9">
        <f>IFERROR(__xludf.DUMMYFUNCTION("""COMPUTED_VALUE"""),44724.3173209953)</f>
        <v>44724.31732</v>
      </c>
      <c r="D6934" s="15">
        <f>IFERROR(__xludf.DUMMYFUNCTION("""COMPUTED_VALUE"""),1.007)</f>
        <v>1.007</v>
      </c>
      <c r="E6934" s="16">
        <f>IFERROR(__xludf.DUMMYFUNCTION("""COMPUTED_VALUE"""),69.0)</f>
        <v>69</v>
      </c>
      <c r="F6934" s="19" t="str">
        <f>IFERROR(__xludf.DUMMYFUNCTION("""COMPUTED_VALUE"""),"BLACK")</f>
        <v>BLACK</v>
      </c>
      <c r="G6934" s="20" t="str">
        <f>IFERROR(__xludf.DUMMYFUNCTION("""COMPUTED_VALUE"""),"Uncle Sams Cider (5/13/2022)")</f>
        <v>Uncle Sams Cider (5/13/2022)</v>
      </c>
      <c r="H6934" s="19"/>
    </row>
    <row r="6935">
      <c r="A6935" s="9"/>
      <c r="B6935" s="15"/>
      <c r="C6935" s="9">
        <f>IFERROR(__xludf.DUMMYFUNCTION("""COMPUTED_VALUE"""),44724.3069006481)</f>
        <v>44724.3069</v>
      </c>
      <c r="D6935" s="15">
        <f>IFERROR(__xludf.DUMMYFUNCTION("""COMPUTED_VALUE"""),1.007)</f>
        <v>1.007</v>
      </c>
      <c r="E6935" s="16">
        <f>IFERROR(__xludf.DUMMYFUNCTION("""COMPUTED_VALUE"""),69.0)</f>
        <v>69</v>
      </c>
      <c r="F6935" s="19" t="str">
        <f>IFERROR(__xludf.DUMMYFUNCTION("""COMPUTED_VALUE"""),"BLACK")</f>
        <v>BLACK</v>
      </c>
      <c r="G6935" s="20" t="str">
        <f>IFERROR(__xludf.DUMMYFUNCTION("""COMPUTED_VALUE"""),"Uncle Sams Cider (5/13/2022)")</f>
        <v>Uncle Sams Cider (5/13/2022)</v>
      </c>
      <c r="H6935" s="19"/>
    </row>
    <row r="6936">
      <c r="A6936" s="9"/>
      <c r="B6936" s="15"/>
      <c r="C6936" s="9">
        <f>IFERROR(__xludf.DUMMYFUNCTION("""COMPUTED_VALUE"""),44724.2964677546)</f>
        <v>44724.29647</v>
      </c>
      <c r="D6936" s="15">
        <f>IFERROR(__xludf.DUMMYFUNCTION("""COMPUTED_VALUE"""),1.007)</f>
        <v>1.007</v>
      </c>
      <c r="E6936" s="16">
        <f>IFERROR(__xludf.DUMMYFUNCTION("""COMPUTED_VALUE"""),69.0)</f>
        <v>69</v>
      </c>
      <c r="F6936" s="19" t="str">
        <f>IFERROR(__xludf.DUMMYFUNCTION("""COMPUTED_VALUE"""),"BLACK")</f>
        <v>BLACK</v>
      </c>
      <c r="G6936" s="20" t="str">
        <f>IFERROR(__xludf.DUMMYFUNCTION("""COMPUTED_VALUE"""),"Uncle Sams Cider (5/13/2022)")</f>
        <v>Uncle Sams Cider (5/13/2022)</v>
      </c>
      <c r="H6936" s="19"/>
    </row>
    <row r="6937">
      <c r="A6937" s="9"/>
      <c r="B6937" s="15"/>
      <c r="C6937" s="9">
        <f>IFERROR(__xludf.DUMMYFUNCTION("""COMPUTED_VALUE"""),44724.286044699)</f>
        <v>44724.28604</v>
      </c>
      <c r="D6937" s="15">
        <f>IFERROR(__xludf.DUMMYFUNCTION("""COMPUTED_VALUE"""),1.007)</f>
        <v>1.007</v>
      </c>
      <c r="E6937" s="16">
        <f>IFERROR(__xludf.DUMMYFUNCTION("""COMPUTED_VALUE"""),69.0)</f>
        <v>69</v>
      </c>
      <c r="F6937" s="19" t="str">
        <f>IFERROR(__xludf.DUMMYFUNCTION("""COMPUTED_VALUE"""),"BLACK")</f>
        <v>BLACK</v>
      </c>
      <c r="G6937" s="20" t="str">
        <f>IFERROR(__xludf.DUMMYFUNCTION("""COMPUTED_VALUE"""),"Uncle Sams Cider (5/13/2022)")</f>
        <v>Uncle Sams Cider (5/13/2022)</v>
      </c>
      <c r="H6937" s="19"/>
    </row>
    <row r="6938">
      <c r="A6938" s="9"/>
      <c r="B6938" s="15"/>
      <c r="C6938" s="9">
        <f>IFERROR(__xludf.DUMMYFUNCTION("""COMPUTED_VALUE"""),44724.2756241666)</f>
        <v>44724.27562</v>
      </c>
      <c r="D6938" s="15">
        <f>IFERROR(__xludf.DUMMYFUNCTION("""COMPUTED_VALUE"""),1.007)</f>
        <v>1.007</v>
      </c>
      <c r="E6938" s="16">
        <f>IFERROR(__xludf.DUMMYFUNCTION("""COMPUTED_VALUE"""),69.0)</f>
        <v>69</v>
      </c>
      <c r="F6938" s="19" t="str">
        <f>IFERROR(__xludf.DUMMYFUNCTION("""COMPUTED_VALUE"""),"BLACK")</f>
        <v>BLACK</v>
      </c>
      <c r="G6938" s="20" t="str">
        <f>IFERROR(__xludf.DUMMYFUNCTION("""COMPUTED_VALUE"""),"Uncle Sams Cider (5/13/2022)")</f>
        <v>Uncle Sams Cider (5/13/2022)</v>
      </c>
      <c r="H6938" s="19"/>
    </row>
    <row r="6939">
      <c r="A6939" s="9"/>
      <c r="B6939" s="15"/>
      <c r="C6939" s="9">
        <f>IFERROR(__xludf.DUMMYFUNCTION("""COMPUTED_VALUE"""),44724.2652037731)</f>
        <v>44724.2652</v>
      </c>
      <c r="D6939" s="15">
        <f>IFERROR(__xludf.DUMMYFUNCTION("""COMPUTED_VALUE"""),1.007)</f>
        <v>1.007</v>
      </c>
      <c r="E6939" s="16">
        <f>IFERROR(__xludf.DUMMYFUNCTION("""COMPUTED_VALUE"""),69.0)</f>
        <v>69</v>
      </c>
      <c r="F6939" s="19" t="str">
        <f>IFERROR(__xludf.DUMMYFUNCTION("""COMPUTED_VALUE"""),"BLACK")</f>
        <v>BLACK</v>
      </c>
      <c r="G6939" s="20" t="str">
        <f>IFERROR(__xludf.DUMMYFUNCTION("""COMPUTED_VALUE"""),"Uncle Sams Cider (5/13/2022)")</f>
        <v>Uncle Sams Cider (5/13/2022)</v>
      </c>
      <c r="H6939" s="19"/>
    </row>
    <row r="6940">
      <c r="A6940" s="9"/>
      <c r="B6940" s="15"/>
      <c r="C6940" s="9">
        <f>IFERROR(__xludf.DUMMYFUNCTION("""COMPUTED_VALUE"""),44724.254771956)</f>
        <v>44724.25477</v>
      </c>
      <c r="D6940" s="15">
        <f>IFERROR(__xludf.DUMMYFUNCTION("""COMPUTED_VALUE"""),1.007)</f>
        <v>1.007</v>
      </c>
      <c r="E6940" s="16">
        <f>IFERROR(__xludf.DUMMYFUNCTION("""COMPUTED_VALUE"""),69.0)</f>
        <v>69</v>
      </c>
      <c r="F6940" s="19" t="str">
        <f>IFERROR(__xludf.DUMMYFUNCTION("""COMPUTED_VALUE"""),"BLACK")</f>
        <v>BLACK</v>
      </c>
      <c r="G6940" s="20" t="str">
        <f>IFERROR(__xludf.DUMMYFUNCTION("""COMPUTED_VALUE"""),"Uncle Sams Cider (5/13/2022)")</f>
        <v>Uncle Sams Cider (5/13/2022)</v>
      </c>
      <c r="H6940" s="19"/>
    </row>
    <row r="6941">
      <c r="A6941" s="9"/>
      <c r="B6941" s="15"/>
      <c r="C6941" s="9">
        <f>IFERROR(__xludf.DUMMYFUNCTION("""COMPUTED_VALUE"""),44724.2443513888)</f>
        <v>44724.24435</v>
      </c>
      <c r="D6941" s="15">
        <f>IFERROR(__xludf.DUMMYFUNCTION("""COMPUTED_VALUE"""),1.007)</f>
        <v>1.007</v>
      </c>
      <c r="E6941" s="16">
        <f>IFERROR(__xludf.DUMMYFUNCTION("""COMPUTED_VALUE"""),69.0)</f>
        <v>69</v>
      </c>
      <c r="F6941" s="19" t="str">
        <f>IFERROR(__xludf.DUMMYFUNCTION("""COMPUTED_VALUE"""),"BLACK")</f>
        <v>BLACK</v>
      </c>
      <c r="G6941" s="20" t="str">
        <f>IFERROR(__xludf.DUMMYFUNCTION("""COMPUTED_VALUE"""),"Uncle Sams Cider (5/13/2022)")</f>
        <v>Uncle Sams Cider (5/13/2022)</v>
      </c>
      <c r="H6941" s="19"/>
    </row>
    <row r="6942">
      <c r="A6942" s="9"/>
      <c r="B6942" s="15"/>
      <c r="C6942" s="9">
        <f>IFERROR(__xludf.DUMMYFUNCTION("""COMPUTED_VALUE"""),44724.2339201736)</f>
        <v>44724.23392</v>
      </c>
      <c r="D6942" s="15">
        <f>IFERROR(__xludf.DUMMYFUNCTION("""COMPUTED_VALUE"""),1.007)</f>
        <v>1.007</v>
      </c>
      <c r="E6942" s="16">
        <f>IFERROR(__xludf.DUMMYFUNCTION("""COMPUTED_VALUE"""),69.0)</f>
        <v>69</v>
      </c>
      <c r="F6942" s="19" t="str">
        <f>IFERROR(__xludf.DUMMYFUNCTION("""COMPUTED_VALUE"""),"BLACK")</f>
        <v>BLACK</v>
      </c>
      <c r="G6942" s="20" t="str">
        <f>IFERROR(__xludf.DUMMYFUNCTION("""COMPUTED_VALUE"""),"Uncle Sams Cider (5/13/2022)")</f>
        <v>Uncle Sams Cider (5/13/2022)</v>
      </c>
      <c r="H6942" s="19"/>
    </row>
    <row r="6943">
      <c r="A6943" s="9"/>
      <c r="B6943" s="15"/>
      <c r="C6943" s="9">
        <f>IFERROR(__xludf.DUMMYFUNCTION("""COMPUTED_VALUE"""),44724.2234994213)</f>
        <v>44724.2235</v>
      </c>
      <c r="D6943" s="15">
        <f>IFERROR(__xludf.DUMMYFUNCTION("""COMPUTED_VALUE"""),1.007)</f>
        <v>1.007</v>
      </c>
      <c r="E6943" s="16">
        <f>IFERROR(__xludf.DUMMYFUNCTION("""COMPUTED_VALUE"""),69.0)</f>
        <v>69</v>
      </c>
      <c r="F6943" s="19" t="str">
        <f>IFERROR(__xludf.DUMMYFUNCTION("""COMPUTED_VALUE"""),"BLACK")</f>
        <v>BLACK</v>
      </c>
      <c r="G6943" s="20" t="str">
        <f>IFERROR(__xludf.DUMMYFUNCTION("""COMPUTED_VALUE"""),"Uncle Sams Cider (5/13/2022)")</f>
        <v>Uncle Sams Cider (5/13/2022)</v>
      </c>
      <c r="H6943" s="19"/>
    </row>
    <row r="6944">
      <c r="A6944" s="9"/>
      <c r="B6944" s="15"/>
      <c r="C6944" s="9">
        <f>IFERROR(__xludf.DUMMYFUNCTION("""COMPUTED_VALUE"""),44724.2130774074)</f>
        <v>44724.21308</v>
      </c>
      <c r="D6944" s="15">
        <f>IFERROR(__xludf.DUMMYFUNCTION("""COMPUTED_VALUE"""),1.007)</f>
        <v>1.007</v>
      </c>
      <c r="E6944" s="16">
        <f>IFERROR(__xludf.DUMMYFUNCTION("""COMPUTED_VALUE"""),69.0)</f>
        <v>69</v>
      </c>
      <c r="F6944" s="19" t="str">
        <f>IFERROR(__xludf.DUMMYFUNCTION("""COMPUTED_VALUE"""),"BLACK")</f>
        <v>BLACK</v>
      </c>
      <c r="G6944" s="20" t="str">
        <f>IFERROR(__xludf.DUMMYFUNCTION("""COMPUTED_VALUE"""),"Uncle Sams Cider (5/13/2022)")</f>
        <v>Uncle Sams Cider (5/13/2022)</v>
      </c>
      <c r="H6944" s="19"/>
    </row>
    <row r="6945">
      <c r="A6945" s="9"/>
      <c r="B6945" s="15"/>
      <c r="C6945" s="9">
        <f>IFERROR(__xludf.DUMMYFUNCTION("""COMPUTED_VALUE"""),44724.2026573958)</f>
        <v>44724.20266</v>
      </c>
      <c r="D6945" s="15">
        <f>IFERROR(__xludf.DUMMYFUNCTION("""COMPUTED_VALUE"""),1.007)</f>
        <v>1.007</v>
      </c>
      <c r="E6945" s="16">
        <f>IFERROR(__xludf.DUMMYFUNCTION("""COMPUTED_VALUE"""),69.0)</f>
        <v>69</v>
      </c>
      <c r="F6945" s="19" t="str">
        <f>IFERROR(__xludf.DUMMYFUNCTION("""COMPUTED_VALUE"""),"BLACK")</f>
        <v>BLACK</v>
      </c>
      <c r="G6945" s="20" t="str">
        <f>IFERROR(__xludf.DUMMYFUNCTION("""COMPUTED_VALUE"""),"Uncle Sams Cider (5/13/2022)")</f>
        <v>Uncle Sams Cider (5/13/2022)</v>
      </c>
      <c r="H6945" s="19"/>
    </row>
    <row r="6946">
      <c r="A6946" s="9"/>
      <c r="B6946" s="15"/>
      <c r="C6946" s="9">
        <f>IFERROR(__xludf.DUMMYFUNCTION("""COMPUTED_VALUE"""),44724.1922020486)</f>
        <v>44724.1922</v>
      </c>
      <c r="D6946" s="15">
        <f>IFERROR(__xludf.DUMMYFUNCTION("""COMPUTED_VALUE"""),1.007)</f>
        <v>1.007</v>
      </c>
      <c r="E6946" s="16">
        <f>IFERROR(__xludf.DUMMYFUNCTION("""COMPUTED_VALUE"""),69.0)</f>
        <v>69</v>
      </c>
      <c r="F6946" s="19" t="str">
        <f>IFERROR(__xludf.DUMMYFUNCTION("""COMPUTED_VALUE"""),"BLACK")</f>
        <v>BLACK</v>
      </c>
      <c r="G6946" s="20" t="str">
        <f>IFERROR(__xludf.DUMMYFUNCTION("""COMPUTED_VALUE"""),"Uncle Sams Cider (5/13/2022)")</f>
        <v>Uncle Sams Cider (5/13/2022)</v>
      </c>
      <c r="H6946" s="19"/>
    </row>
    <row r="6947">
      <c r="A6947" s="9"/>
      <c r="B6947" s="15"/>
      <c r="C6947" s="9">
        <f>IFERROR(__xludf.DUMMYFUNCTION("""COMPUTED_VALUE"""),44724.1817793055)</f>
        <v>44724.18178</v>
      </c>
      <c r="D6947" s="15">
        <f>IFERROR(__xludf.DUMMYFUNCTION("""COMPUTED_VALUE"""),1.007)</f>
        <v>1.007</v>
      </c>
      <c r="E6947" s="16">
        <f>IFERROR(__xludf.DUMMYFUNCTION("""COMPUTED_VALUE"""),69.0)</f>
        <v>69</v>
      </c>
      <c r="F6947" s="19" t="str">
        <f>IFERROR(__xludf.DUMMYFUNCTION("""COMPUTED_VALUE"""),"BLACK")</f>
        <v>BLACK</v>
      </c>
      <c r="G6947" s="20" t="str">
        <f>IFERROR(__xludf.DUMMYFUNCTION("""COMPUTED_VALUE"""),"Uncle Sams Cider (5/13/2022)")</f>
        <v>Uncle Sams Cider (5/13/2022)</v>
      </c>
      <c r="H6947" s="19"/>
    </row>
    <row r="6948">
      <c r="A6948" s="9"/>
      <c r="B6948" s="15"/>
      <c r="C6948" s="9">
        <f>IFERROR(__xludf.DUMMYFUNCTION("""COMPUTED_VALUE"""),44724.1713577314)</f>
        <v>44724.17136</v>
      </c>
      <c r="D6948" s="15">
        <f>IFERROR(__xludf.DUMMYFUNCTION("""COMPUTED_VALUE"""),1.007)</f>
        <v>1.007</v>
      </c>
      <c r="E6948" s="16">
        <f>IFERROR(__xludf.DUMMYFUNCTION("""COMPUTED_VALUE"""),69.0)</f>
        <v>69</v>
      </c>
      <c r="F6948" s="19" t="str">
        <f>IFERROR(__xludf.DUMMYFUNCTION("""COMPUTED_VALUE"""),"BLACK")</f>
        <v>BLACK</v>
      </c>
      <c r="G6948" s="20" t="str">
        <f>IFERROR(__xludf.DUMMYFUNCTION("""COMPUTED_VALUE"""),"Uncle Sams Cider (5/13/2022)")</f>
        <v>Uncle Sams Cider (5/13/2022)</v>
      </c>
      <c r="H6948" s="19"/>
    </row>
    <row r="6949">
      <c r="A6949" s="9"/>
      <c r="B6949" s="15"/>
      <c r="C6949" s="9">
        <f>IFERROR(__xludf.DUMMYFUNCTION("""COMPUTED_VALUE"""),44724.1609371875)</f>
        <v>44724.16094</v>
      </c>
      <c r="D6949" s="15">
        <f>IFERROR(__xludf.DUMMYFUNCTION("""COMPUTED_VALUE"""),1.007)</f>
        <v>1.007</v>
      </c>
      <c r="E6949" s="16">
        <f>IFERROR(__xludf.DUMMYFUNCTION("""COMPUTED_VALUE"""),69.0)</f>
        <v>69</v>
      </c>
      <c r="F6949" s="19" t="str">
        <f>IFERROR(__xludf.DUMMYFUNCTION("""COMPUTED_VALUE"""),"BLACK")</f>
        <v>BLACK</v>
      </c>
      <c r="G6949" s="20" t="str">
        <f>IFERROR(__xludf.DUMMYFUNCTION("""COMPUTED_VALUE"""),"Uncle Sams Cider (5/13/2022)")</f>
        <v>Uncle Sams Cider (5/13/2022)</v>
      </c>
      <c r="H6949" s="19"/>
    </row>
    <row r="6950">
      <c r="A6950" s="9"/>
      <c r="B6950" s="15"/>
      <c r="C6950" s="9">
        <f>IFERROR(__xludf.DUMMYFUNCTION("""COMPUTED_VALUE"""),44724.1505185879)</f>
        <v>44724.15052</v>
      </c>
      <c r="D6950" s="15">
        <f>IFERROR(__xludf.DUMMYFUNCTION("""COMPUTED_VALUE"""),1.007)</f>
        <v>1.007</v>
      </c>
      <c r="E6950" s="16">
        <f>IFERROR(__xludf.DUMMYFUNCTION("""COMPUTED_VALUE"""),69.0)</f>
        <v>69</v>
      </c>
      <c r="F6950" s="19" t="str">
        <f>IFERROR(__xludf.DUMMYFUNCTION("""COMPUTED_VALUE"""),"BLACK")</f>
        <v>BLACK</v>
      </c>
      <c r="G6950" s="20" t="str">
        <f>IFERROR(__xludf.DUMMYFUNCTION("""COMPUTED_VALUE"""),"Uncle Sams Cider (5/13/2022)")</f>
        <v>Uncle Sams Cider (5/13/2022)</v>
      </c>
      <c r="H6950" s="19"/>
    </row>
    <row r="6951">
      <c r="A6951" s="9"/>
      <c r="B6951" s="15"/>
      <c r="C6951" s="9">
        <f>IFERROR(__xludf.DUMMYFUNCTION("""COMPUTED_VALUE"""),44724.1400979745)</f>
        <v>44724.1401</v>
      </c>
      <c r="D6951" s="15">
        <f>IFERROR(__xludf.DUMMYFUNCTION("""COMPUTED_VALUE"""),1.007)</f>
        <v>1.007</v>
      </c>
      <c r="E6951" s="16">
        <f>IFERROR(__xludf.DUMMYFUNCTION("""COMPUTED_VALUE"""),69.0)</f>
        <v>69</v>
      </c>
      <c r="F6951" s="19" t="str">
        <f>IFERROR(__xludf.DUMMYFUNCTION("""COMPUTED_VALUE"""),"BLACK")</f>
        <v>BLACK</v>
      </c>
      <c r="G6951" s="20" t="str">
        <f>IFERROR(__xludf.DUMMYFUNCTION("""COMPUTED_VALUE"""),"Uncle Sams Cider (5/13/2022)")</f>
        <v>Uncle Sams Cider (5/13/2022)</v>
      </c>
      <c r="H6951" s="19"/>
    </row>
    <row r="6952">
      <c r="A6952" s="9"/>
      <c r="B6952" s="15"/>
      <c r="C6952" s="9">
        <f>IFERROR(__xludf.DUMMYFUNCTION("""COMPUTED_VALUE"""),44724.1296775115)</f>
        <v>44724.12968</v>
      </c>
      <c r="D6952" s="15">
        <f>IFERROR(__xludf.DUMMYFUNCTION("""COMPUTED_VALUE"""),1.007)</f>
        <v>1.007</v>
      </c>
      <c r="E6952" s="16">
        <f>IFERROR(__xludf.DUMMYFUNCTION("""COMPUTED_VALUE"""),69.0)</f>
        <v>69</v>
      </c>
      <c r="F6952" s="19" t="str">
        <f>IFERROR(__xludf.DUMMYFUNCTION("""COMPUTED_VALUE"""),"BLACK")</f>
        <v>BLACK</v>
      </c>
      <c r="G6952" s="20" t="str">
        <f>IFERROR(__xludf.DUMMYFUNCTION("""COMPUTED_VALUE"""),"Uncle Sams Cider (5/13/2022)")</f>
        <v>Uncle Sams Cider (5/13/2022)</v>
      </c>
      <c r="H6952" s="19"/>
    </row>
    <row r="6953">
      <c r="A6953" s="9"/>
      <c r="B6953" s="15"/>
      <c r="C6953" s="9">
        <f>IFERROR(__xludf.DUMMYFUNCTION("""COMPUTED_VALUE"""),44724.1192451041)</f>
        <v>44724.11925</v>
      </c>
      <c r="D6953" s="15">
        <f>IFERROR(__xludf.DUMMYFUNCTION("""COMPUTED_VALUE"""),1.007)</f>
        <v>1.007</v>
      </c>
      <c r="E6953" s="16">
        <f>IFERROR(__xludf.DUMMYFUNCTION("""COMPUTED_VALUE"""),69.0)</f>
        <v>69</v>
      </c>
      <c r="F6953" s="19" t="str">
        <f>IFERROR(__xludf.DUMMYFUNCTION("""COMPUTED_VALUE"""),"BLACK")</f>
        <v>BLACK</v>
      </c>
      <c r="G6953" s="20" t="str">
        <f>IFERROR(__xludf.DUMMYFUNCTION("""COMPUTED_VALUE"""),"Uncle Sams Cider (5/13/2022)")</f>
        <v>Uncle Sams Cider (5/13/2022)</v>
      </c>
      <c r="H6953" s="19"/>
    </row>
    <row r="6954">
      <c r="A6954" s="9"/>
      <c r="B6954" s="15"/>
      <c r="C6954" s="9">
        <f>IFERROR(__xludf.DUMMYFUNCTION("""COMPUTED_VALUE"""),44724.1088236805)</f>
        <v>44724.10882</v>
      </c>
      <c r="D6954" s="15">
        <f>IFERROR(__xludf.DUMMYFUNCTION("""COMPUTED_VALUE"""),1.007)</f>
        <v>1.007</v>
      </c>
      <c r="E6954" s="16">
        <f>IFERROR(__xludf.DUMMYFUNCTION("""COMPUTED_VALUE"""),69.0)</f>
        <v>69</v>
      </c>
      <c r="F6954" s="19" t="str">
        <f>IFERROR(__xludf.DUMMYFUNCTION("""COMPUTED_VALUE"""),"BLACK")</f>
        <v>BLACK</v>
      </c>
      <c r="G6954" s="20" t="str">
        <f>IFERROR(__xludf.DUMMYFUNCTION("""COMPUTED_VALUE"""),"Uncle Sams Cider (5/13/2022)")</f>
        <v>Uncle Sams Cider (5/13/2022)</v>
      </c>
      <c r="H6954" s="19"/>
    </row>
    <row r="6955">
      <c r="A6955" s="9"/>
      <c r="B6955" s="15"/>
      <c r="C6955" s="9">
        <f>IFERROR(__xludf.DUMMYFUNCTION("""COMPUTED_VALUE"""),44724.0984030092)</f>
        <v>44724.0984</v>
      </c>
      <c r="D6955" s="15">
        <f>IFERROR(__xludf.DUMMYFUNCTION("""COMPUTED_VALUE"""),1.007)</f>
        <v>1.007</v>
      </c>
      <c r="E6955" s="16">
        <f>IFERROR(__xludf.DUMMYFUNCTION("""COMPUTED_VALUE"""),69.0)</f>
        <v>69</v>
      </c>
      <c r="F6955" s="19" t="str">
        <f>IFERROR(__xludf.DUMMYFUNCTION("""COMPUTED_VALUE"""),"BLACK")</f>
        <v>BLACK</v>
      </c>
      <c r="G6955" s="20" t="str">
        <f>IFERROR(__xludf.DUMMYFUNCTION("""COMPUTED_VALUE"""),"Uncle Sams Cider (5/13/2022)")</f>
        <v>Uncle Sams Cider (5/13/2022)</v>
      </c>
      <c r="H6955" s="19"/>
    </row>
    <row r="6956">
      <c r="A6956" s="9"/>
      <c r="B6956" s="15"/>
      <c r="C6956" s="9">
        <f>IFERROR(__xludf.DUMMYFUNCTION("""COMPUTED_VALUE"""),44724.0879813773)</f>
        <v>44724.08798</v>
      </c>
      <c r="D6956" s="15">
        <f>IFERROR(__xludf.DUMMYFUNCTION("""COMPUTED_VALUE"""),1.007)</f>
        <v>1.007</v>
      </c>
      <c r="E6956" s="16">
        <f>IFERROR(__xludf.DUMMYFUNCTION("""COMPUTED_VALUE"""),69.0)</f>
        <v>69</v>
      </c>
      <c r="F6956" s="19" t="str">
        <f>IFERROR(__xludf.DUMMYFUNCTION("""COMPUTED_VALUE"""),"BLACK")</f>
        <v>BLACK</v>
      </c>
      <c r="G6956" s="20" t="str">
        <f>IFERROR(__xludf.DUMMYFUNCTION("""COMPUTED_VALUE"""),"Uncle Sams Cider (5/13/2022)")</f>
        <v>Uncle Sams Cider (5/13/2022)</v>
      </c>
      <c r="H6956" s="19"/>
    </row>
    <row r="6957">
      <c r="A6957" s="9"/>
      <c r="B6957" s="15"/>
      <c r="C6957" s="9">
        <f>IFERROR(__xludf.DUMMYFUNCTION("""COMPUTED_VALUE"""),44724.077550405)</f>
        <v>44724.07755</v>
      </c>
      <c r="D6957" s="15">
        <f>IFERROR(__xludf.DUMMYFUNCTION("""COMPUTED_VALUE"""),1.007)</f>
        <v>1.007</v>
      </c>
      <c r="E6957" s="16">
        <f>IFERROR(__xludf.DUMMYFUNCTION("""COMPUTED_VALUE"""),69.0)</f>
        <v>69</v>
      </c>
      <c r="F6957" s="19" t="str">
        <f>IFERROR(__xludf.DUMMYFUNCTION("""COMPUTED_VALUE"""),"BLACK")</f>
        <v>BLACK</v>
      </c>
      <c r="G6957" s="20" t="str">
        <f>IFERROR(__xludf.DUMMYFUNCTION("""COMPUTED_VALUE"""),"Uncle Sams Cider (5/13/2022)")</f>
        <v>Uncle Sams Cider (5/13/2022)</v>
      </c>
      <c r="H6957" s="19"/>
    </row>
    <row r="6958">
      <c r="A6958" s="9"/>
      <c r="B6958" s="15"/>
      <c r="C6958" s="9">
        <f>IFERROR(__xludf.DUMMYFUNCTION("""COMPUTED_VALUE"""),44724.0671294213)</f>
        <v>44724.06713</v>
      </c>
      <c r="D6958" s="15">
        <f>IFERROR(__xludf.DUMMYFUNCTION("""COMPUTED_VALUE"""),1.007)</f>
        <v>1.007</v>
      </c>
      <c r="E6958" s="16">
        <f>IFERROR(__xludf.DUMMYFUNCTION("""COMPUTED_VALUE"""),69.0)</f>
        <v>69</v>
      </c>
      <c r="F6958" s="19" t="str">
        <f>IFERROR(__xludf.DUMMYFUNCTION("""COMPUTED_VALUE"""),"BLACK")</f>
        <v>BLACK</v>
      </c>
      <c r="G6958" s="20" t="str">
        <f>IFERROR(__xludf.DUMMYFUNCTION("""COMPUTED_VALUE"""),"Uncle Sams Cider (5/13/2022)")</f>
        <v>Uncle Sams Cider (5/13/2022)</v>
      </c>
      <c r="H6958" s="19"/>
    </row>
    <row r="6959">
      <c r="A6959" s="9"/>
      <c r="B6959" s="15"/>
      <c r="C6959" s="9">
        <f>IFERROR(__xludf.DUMMYFUNCTION("""COMPUTED_VALUE"""),44724.0567092824)</f>
        <v>44724.05671</v>
      </c>
      <c r="D6959" s="15">
        <f>IFERROR(__xludf.DUMMYFUNCTION("""COMPUTED_VALUE"""),1.007)</f>
        <v>1.007</v>
      </c>
      <c r="E6959" s="16">
        <f>IFERROR(__xludf.DUMMYFUNCTION("""COMPUTED_VALUE"""),69.0)</f>
        <v>69</v>
      </c>
      <c r="F6959" s="19" t="str">
        <f>IFERROR(__xludf.DUMMYFUNCTION("""COMPUTED_VALUE"""),"BLACK")</f>
        <v>BLACK</v>
      </c>
      <c r="G6959" s="20" t="str">
        <f>IFERROR(__xludf.DUMMYFUNCTION("""COMPUTED_VALUE"""),"Uncle Sams Cider (5/13/2022)")</f>
        <v>Uncle Sams Cider (5/13/2022)</v>
      </c>
      <c r="H6959" s="19"/>
    </row>
    <row r="6960">
      <c r="A6960" s="9"/>
      <c r="B6960" s="15"/>
      <c r="C6960" s="9">
        <f>IFERROR(__xludf.DUMMYFUNCTION("""COMPUTED_VALUE"""),44724.0462879398)</f>
        <v>44724.04629</v>
      </c>
      <c r="D6960" s="15">
        <f>IFERROR(__xludf.DUMMYFUNCTION("""COMPUTED_VALUE"""),1.007)</f>
        <v>1.007</v>
      </c>
      <c r="E6960" s="16">
        <f>IFERROR(__xludf.DUMMYFUNCTION("""COMPUTED_VALUE"""),69.0)</f>
        <v>69</v>
      </c>
      <c r="F6960" s="19" t="str">
        <f>IFERROR(__xludf.DUMMYFUNCTION("""COMPUTED_VALUE"""),"BLACK")</f>
        <v>BLACK</v>
      </c>
      <c r="G6960" s="20" t="str">
        <f>IFERROR(__xludf.DUMMYFUNCTION("""COMPUTED_VALUE"""),"Uncle Sams Cider (5/13/2022)")</f>
        <v>Uncle Sams Cider (5/13/2022)</v>
      </c>
      <c r="H6960" s="19"/>
    </row>
    <row r="6961">
      <c r="A6961" s="9"/>
      <c r="B6961" s="15"/>
      <c r="C6961" s="9">
        <f>IFERROR(__xludf.DUMMYFUNCTION("""COMPUTED_VALUE"""),44724.0358671296)</f>
        <v>44724.03587</v>
      </c>
      <c r="D6961" s="15">
        <f>IFERROR(__xludf.DUMMYFUNCTION("""COMPUTED_VALUE"""),1.007)</f>
        <v>1.007</v>
      </c>
      <c r="E6961" s="16">
        <f>IFERROR(__xludf.DUMMYFUNCTION("""COMPUTED_VALUE"""),69.0)</f>
        <v>69</v>
      </c>
      <c r="F6961" s="19" t="str">
        <f>IFERROR(__xludf.DUMMYFUNCTION("""COMPUTED_VALUE"""),"BLACK")</f>
        <v>BLACK</v>
      </c>
      <c r="G6961" s="20" t="str">
        <f>IFERROR(__xludf.DUMMYFUNCTION("""COMPUTED_VALUE"""),"Uncle Sams Cider (5/13/2022)")</f>
        <v>Uncle Sams Cider (5/13/2022)</v>
      </c>
      <c r="H6961" s="19"/>
    </row>
    <row r="6962">
      <c r="A6962" s="9"/>
      <c r="B6962" s="15"/>
      <c r="C6962" s="9">
        <f>IFERROR(__xludf.DUMMYFUNCTION("""COMPUTED_VALUE"""),44724.0254465509)</f>
        <v>44724.02545</v>
      </c>
      <c r="D6962" s="15">
        <f>IFERROR(__xludf.DUMMYFUNCTION("""COMPUTED_VALUE"""),1.007)</f>
        <v>1.007</v>
      </c>
      <c r="E6962" s="16">
        <f>IFERROR(__xludf.DUMMYFUNCTION("""COMPUTED_VALUE"""),69.0)</f>
        <v>69</v>
      </c>
      <c r="F6962" s="19" t="str">
        <f>IFERROR(__xludf.DUMMYFUNCTION("""COMPUTED_VALUE"""),"BLACK")</f>
        <v>BLACK</v>
      </c>
      <c r="G6962" s="20" t="str">
        <f>IFERROR(__xludf.DUMMYFUNCTION("""COMPUTED_VALUE"""),"Uncle Sams Cider (5/13/2022)")</f>
        <v>Uncle Sams Cider (5/13/2022)</v>
      </c>
      <c r="H6962" s="19"/>
    </row>
    <row r="6963">
      <c r="A6963" s="9"/>
      <c r="B6963" s="15"/>
      <c r="C6963" s="9">
        <f>IFERROR(__xludf.DUMMYFUNCTION("""COMPUTED_VALUE"""),44724.0150245833)</f>
        <v>44724.01502</v>
      </c>
      <c r="D6963" s="15">
        <f>IFERROR(__xludf.DUMMYFUNCTION("""COMPUTED_VALUE"""),1.007)</f>
        <v>1.007</v>
      </c>
      <c r="E6963" s="16">
        <f>IFERROR(__xludf.DUMMYFUNCTION("""COMPUTED_VALUE"""),69.0)</f>
        <v>69</v>
      </c>
      <c r="F6963" s="19" t="str">
        <f>IFERROR(__xludf.DUMMYFUNCTION("""COMPUTED_VALUE"""),"BLACK")</f>
        <v>BLACK</v>
      </c>
      <c r="G6963" s="20" t="str">
        <f>IFERROR(__xludf.DUMMYFUNCTION("""COMPUTED_VALUE"""),"Uncle Sams Cider (5/13/2022)")</f>
        <v>Uncle Sams Cider (5/13/2022)</v>
      </c>
      <c r="H6963" s="19"/>
    </row>
    <row r="6964">
      <c r="A6964" s="9"/>
      <c r="B6964" s="15"/>
      <c r="C6964" s="9">
        <f>IFERROR(__xludf.DUMMYFUNCTION("""COMPUTED_VALUE"""),44724.0046044097)</f>
        <v>44724.0046</v>
      </c>
      <c r="D6964" s="15">
        <f>IFERROR(__xludf.DUMMYFUNCTION("""COMPUTED_VALUE"""),1.007)</f>
        <v>1.007</v>
      </c>
      <c r="E6964" s="16">
        <f>IFERROR(__xludf.DUMMYFUNCTION("""COMPUTED_VALUE"""),69.0)</f>
        <v>69</v>
      </c>
      <c r="F6964" s="19" t="str">
        <f>IFERROR(__xludf.DUMMYFUNCTION("""COMPUTED_VALUE"""),"BLACK")</f>
        <v>BLACK</v>
      </c>
      <c r="G6964" s="20" t="str">
        <f>IFERROR(__xludf.DUMMYFUNCTION("""COMPUTED_VALUE"""),"Uncle Sams Cider (5/13/2022)")</f>
        <v>Uncle Sams Cider (5/13/2022)</v>
      </c>
      <c r="H6964" s="19"/>
    </row>
    <row r="6965">
      <c r="A6965" s="9"/>
      <c r="B6965" s="15"/>
      <c r="C6965" s="9">
        <f>IFERROR(__xludf.DUMMYFUNCTION("""COMPUTED_VALUE"""),44723.9941831828)</f>
        <v>44723.99418</v>
      </c>
      <c r="D6965" s="15">
        <f>IFERROR(__xludf.DUMMYFUNCTION("""COMPUTED_VALUE"""),1.007)</f>
        <v>1.007</v>
      </c>
      <c r="E6965" s="16">
        <f>IFERROR(__xludf.DUMMYFUNCTION("""COMPUTED_VALUE"""),69.0)</f>
        <v>69</v>
      </c>
      <c r="F6965" s="19" t="str">
        <f>IFERROR(__xludf.DUMMYFUNCTION("""COMPUTED_VALUE"""),"BLACK")</f>
        <v>BLACK</v>
      </c>
      <c r="G6965" s="20" t="str">
        <f>IFERROR(__xludf.DUMMYFUNCTION("""COMPUTED_VALUE"""),"Uncle Sams Cider (5/13/2022)")</f>
        <v>Uncle Sams Cider (5/13/2022)</v>
      </c>
      <c r="H6965" s="19"/>
    </row>
    <row r="6966">
      <c r="A6966" s="9"/>
      <c r="B6966" s="15"/>
      <c r="C6966" s="9">
        <f>IFERROR(__xludf.DUMMYFUNCTION("""COMPUTED_VALUE"""),44723.9837620486)</f>
        <v>44723.98376</v>
      </c>
      <c r="D6966" s="15">
        <f>IFERROR(__xludf.DUMMYFUNCTION("""COMPUTED_VALUE"""),1.007)</f>
        <v>1.007</v>
      </c>
      <c r="E6966" s="16">
        <f>IFERROR(__xludf.DUMMYFUNCTION("""COMPUTED_VALUE"""),69.0)</f>
        <v>69</v>
      </c>
      <c r="F6966" s="19" t="str">
        <f>IFERROR(__xludf.DUMMYFUNCTION("""COMPUTED_VALUE"""),"BLACK")</f>
        <v>BLACK</v>
      </c>
      <c r="G6966" s="20" t="str">
        <f>IFERROR(__xludf.DUMMYFUNCTION("""COMPUTED_VALUE"""),"Uncle Sams Cider (5/13/2022)")</f>
        <v>Uncle Sams Cider (5/13/2022)</v>
      </c>
      <c r="H6966" s="19"/>
    </row>
    <row r="6967">
      <c r="A6967" s="9"/>
      <c r="B6967" s="15"/>
      <c r="C6967" s="9">
        <f>IFERROR(__xludf.DUMMYFUNCTION("""COMPUTED_VALUE"""),44723.973341331)</f>
        <v>44723.97334</v>
      </c>
      <c r="D6967" s="15">
        <f>IFERROR(__xludf.DUMMYFUNCTION("""COMPUTED_VALUE"""),1.007)</f>
        <v>1.007</v>
      </c>
      <c r="E6967" s="16">
        <f>IFERROR(__xludf.DUMMYFUNCTION("""COMPUTED_VALUE"""),69.0)</f>
        <v>69</v>
      </c>
      <c r="F6967" s="19" t="str">
        <f>IFERROR(__xludf.DUMMYFUNCTION("""COMPUTED_VALUE"""),"BLACK")</f>
        <v>BLACK</v>
      </c>
      <c r="G6967" s="20" t="str">
        <f>IFERROR(__xludf.DUMMYFUNCTION("""COMPUTED_VALUE"""),"Uncle Sams Cider (5/13/2022)")</f>
        <v>Uncle Sams Cider (5/13/2022)</v>
      </c>
      <c r="H6967" s="19"/>
    </row>
    <row r="6968">
      <c r="A6968" s="9"/>
      <c r="B6968" s="15"/>
      <c r="C6968" s="9">
        <f>IFERROR(__xludf.DUMMYFUNCTION("""COMPUTED_VALUE"""),44723.9629198495)</f>
        <v>44723.96292</v>
      </c>
      <c r="D6968" s="15">
        <f>IFERROR(__xludf.DUMMYFUNCTION("""COMPUTED_VALUE"""),1.007)</f>
        <v>1.007</v>
      </c>
      <c r="E6968" s="16">
        <f>IFERROR(__xludf.DUMMYFUNCTION("""COMPUTED_VALUE"""),69.0)</f>
        <v>69</v>
      </c>
      <c r="F6968" s="19" t="str">
        <f>IFERROR(__xludf.DUMMYFUNCTION("""COMPUTED_VALUE"""),"BLACK")</f>
        <v>BLACK</v>
      </c>
      <c r="G6968" s="20" t="str">
        <f>IFERROR(__xludf.DUMMYFUNCTION("""COMPUTED_VALUE"""),"Uncle Sams Cider (5/13/2022)")</f>
        <v>Uncle Sams Cider (5/13/2022)</v>
      </c>
      <c r="H6968" s="19"/>
    </row>
    <row r="6969">
      <c r="A6969" s="9"/>
      <c r="B6969" s="15"/>
      <c r="C6969" s="9">
        <f>IFERROR(__xludf.DUMMYFUNCTION("""COMPUTED_VALUE"""),44723.9524737847)</f>
        <v>44723.95247</v>
      </c>
      <c r="D6969" s="15">
        <f>IFERROR(__xludf.DUMMYFUNCTION("""COMPUTED_VALUE"""),1.007)</f>
        <v>1.007</v>
      </c>
      <c r="E6969" s="16">
        <f>IFERROR(__xludf.DUMMYFUNCTION("""COMPUTED_VALUE"""),69.0)</f>
        <v>69</v>
      </c>
      <c r="F6969" s="19" t="str">
        <f>IFERROR(__xludf.DUMMYFUNCTION("""COMPUTED_VALUE"""),"BLACK")</f>
        <v>BLACK</v>
      </c>
      <c r="G6969" s="20" t="str">
        <f>IFERROR(__xludf.DUMMYFUNCTION("""COMPUTED_VALUE"""),"Uncle Sams Cider (5/13/2022)")</f>
        <v>Uncle Sams Cider (5/13/2022)</v>
      </c>
      <c r="H6969" s="19"/>
    </row>
    <row r="6970">
      <c r="A6970" s="9"/>
      <c r="B6970" s="15"/>
      <c r="C6970" s="9">
        <f>IFERROR(__xludf.DUMMYFUNCTION("""COMPUTED_VALUE"""),44723.942051331)</f>
        <v>44723.94205</v>
      </c>
      <c r="D6970" s="15">
        <f>IFERROR(__xludf.DUMMYFUNCTION("""COMPUTED_VALUE"""),1.007)</f>
        <v>1.007</v>
      </c>
      <c r="E6970" s="16">
        <f>IFERROR(__xludf.DUMMYFUNCTION("""COMPUTED_VALUE"""),69.0)</f>
        <v>69</v>
      </c>
      <c r="F6970" s="19" t="str">
        <f>IFERROR(__xludf.DUMMYFUNCTION("""COMPUTED_VALUE"""),"BLACK")</f>
        <v>BLACK</v>
      </c>
      <c r="G6970" s="20" t="str">
        <f>IFERROR(__xludf.DUMMYFUNCTION("""COMPUTED_VALUE"""),"Uncle Sams Cider (5/13/2022)")</f>
        <v>Uncle Sams Cider (5/13/2022)</v>
      </c>
      <c r="H6970" s="19"/>
    </row>
    <row r="6971">
      <c r="A6971" s="9"/>
      <c r="B6971" s="15"/>
      <c r="C6971" s="9">
        <f>IFERROR(__xludf.DUMMYFUNCTION("""COMPUTED_VALUE"""),44723.9316181713)</f>
        <v>44723.93162</v>
      </c>
      <c r="D6971" s="15">
        <f>IFERROR(__xludf.DUMMYFUNCTION("""COMPUTED_VALUE"""),1.007)</f>
        <v>1.007</v>
      </c>
      <c r="E6971" s="16">
        <f>IFERROR(__xludf.DUMMYFUNCTION("""COMPUTED_VALUE"""),69.0)</f>
        <v>69</v>
      </c>
      <c r="F6971" s="19" t="str">
        <f>IFERROR(__xludf.DUMMYFUNCTION("""COMPUTED_VALUE"""),"BLACK")</f>
        <v>BLACK</v>
      </c>
      <c r="G6971" s="20" t="str">
        <f>IFERROR(__xludf.DUMMYFUNCTION("""COMPUTED_VALUE"""),"Uncle Sams Cider (5/13/2022)")</f>
        <v>Uncle Sams Cider (5/13/2022)</v>
      </c>
      <c r="H6971" s="19"/>
    </row>
    <row r="6972">
      <c r="A6972" s="9"/>
      <c r="B6972" s="15"/>
      <c r="C6972" s="9">
        <f>IFERROR(__xludf.DUMMYFUNCTION("""COMPUTED_VALUE"""),44723.9211980787)</f>
        <v>44723.9212</v>
      </c>
      <c r="D6972" s="15">
        <f>IFERROR(__xludf.DUMMYFUNCTION("""COMPUTED_VALUE"""),1.007)</f>
        <v>1.007</v>
      </c>
      <c r="E6972" s="16">
        <f>IFERROR(__xludf.DUMMYFUNCTION("""COMPUTED_VALUE"""),69.0)</f>
        <v>69</v>
      </c>
      <c r="F6972" s="19" t="str">
        <f>IFERROR(__xludf.DUMMYFUNCTION("""COMPUTED_VALUE"""),"BLACK")</f>
        <v>BLACK</v>
      </c>
      <c r="G6972" s="20" t="str">
        <f>IFERROR(__xludf.DUMMYFUNCTION("""COMPUTED_VALUE"""),"Uncle Sams Cider (5/13/2022)")</f>
        <v>Uncle Sams Cider (5/13/2022)</v>
      </c>
      <c r="H6972" s="19"/>
    </row>
    <row r="6973">
      <c r="A6973" s="9"/>
      <c r="B6973" s="15"/>
      <c r="C6973" s="9">
        <f>IFERROR(__xludf.DUMMYFUNCTION("""COMPUTED_VALUE"""),44723.9107770023)</f>
        <v>44723.91078</v>
      </c>
      <c r="D6973" s="15">
        <f>IFERROR(__xludf.DUMMYFUNCTION("""COMPUTED_VALUE"""),1.007)</f>
        <v>1.007</v>
      </c>
      <c r="E6973" s="16">
        <f>IFERROR(__xludf.DUMMYFUNCTION("""COMPUTED_VALUE"""),69.0)</f>
        <v>69</v>
      </c>
      <c r="F6973" s="19" t="str">
        <f>IFERROR(__xludf.DUMMYFUNCTION("""COMPUTED_VALUE"""),"BLACK")</f>
        <v>BLACK</v>
      </c>
      <c r="G6973" s="20" t="str">
        <f>IFERROR(__xludf.DUMMYFUNCTION("""COMPUTED_VALUE"""),"Uncle Sams Cider (5/13/2022)")</f>
        <v>Uncle Sams Cider (5/13/2022)</v>
      </c>
      <c r="H6973" s="19"/>
    </row>
    <row r="6974">
      <c r="A6974" s="9"/>
      <c r="B6974" s="15"/>
      <c r="C6974" s="9">
        <f>IFERROR(__xludf.DUMMYFUNCTION("""COMPUTED_VALUE"""),44723.9003553356)</f>
        <v>44723.90036</v>
      </c>
      <c r="D6974" s="15">
        <f>IFERROR(__xludf.DUMMYFUNCTION("""COMPUTED_VALUE"""),1.007)</f>
        <v>1.007</v>
      </c>
      <c r="E6974" s="16">
        <f>IFERROR(__xludf.DUMMYFUNCTION("""COMPUTED_VALUE"""),69.0)</f>
        <v>69</v>
      </c>
      <c r="F6974" s="19" t="str">
        <f>IFERROR(__xludf.DUMMYFUNCTION("""COMPUTED_VALUE"""),"BLACK")</f>
        <v>BLACK</v>
      </c>
      <c r="G6974" s="20" t="str">
        <f>IFERROR(__xludf.DUMMYFUNCTION("""COMPUTED_VALUE"""),"Uncle Sams Cider (5/13/2022)")</f>
        <v>Uncle Sams Cider (5/13/2022)</v>
      </c>
      <c r="H6974" s="19"/>
    </row>
    <row r="6975">
      <c r="A6975" s="9"/>
      <c r="B6975" s="15"/>
      <c r="C6975" s="9">
        <f>IFERROR(__xludf.DUMMYFUNCTION("""COMPUTED_VALUE"""),44723.8899106597)</f>
        <v>44723.88991</v>
      </c>
      <c r="D6975" s="15">
        <f>IFERROR(__xludf.DUMMYFUNCTION("""COMPUTED_VALUE"""),1.007)</f>
        <v>1.007</v>
      </c>
      <c r="E6975" s="16">
        <f>IFERROR(__xludf.DUMMYFUNCTION("""COMPUTED_VALUE"""),69.0)</f>
        <v>69</v>
      </c>
      <c r="F6975" s="19" t="str">
        <f>IFERROR(__xludf.DUMMYFUNCTION("""COMPUTED_VALUE"""),"BLACK")</f>
        <v>BLACK</v>
      </c>
      <c r="G6975" s="20" t="str">
        <f>IFERROR(__xludf.DUMMYFUNCTION("""COMPUTED_VALUE"""),"Uncle Sams Cider (5/13/2022)")</f>
        <v>Uncle Sams Cider (5/13/2022)</v>
      </c>
      <c r="H6975" s="19"/>
    </row>
    <row r="6976">
      <c r="A6976" s="9"/>
      <c r="B6976" s="15"/>
      <c r="C6976" s="9">
        <f>IFERROR(__xludf.DUMMYFUNCTION("""COMPUTED_VALUE"""),44723.8794899421)</f>
        <v>44723.87949</v>
      </c>
      <c r="D6976" s="15">
        <f>IFERROR(__xludf.DUMMYFUNCTION("""COMPUTED_VALUE"""),1.007)</f>
        <v>1.007</v>
      </c>
      <c r="E6976" s="16">
        <f>IFERROR(__xludf.DUMMYFUNCTION("""COMPUTED_VALUE"""),69.0)</f>
        <v>69</v>
      </c>
      <c r="F6976" s="19" t="str">
        <f>IFERROR(__xludf.DUMMYFUNCTION("""COMPUTED_VALUE"""),"BLACK")</f>
        <v>BLACK</v>
      </c>
      <c r="G6976" s="20" t="str">
        <f>IFERROR(__xludf.DUMMYFUNCTION("""COMPUTED_VALUE"""),"Uncle Sams Cider (5/13/2022)")</f>
        <v>Uncle Sams Cider (5/13/2022)</v>
      </c>
      <c r="H6976" s="19"/>
    </row>
    <row r="6977">
      <c r="A6977" s="9"/>
      <c r="B6977" s="15"/>
      <c r="C6977" s="9">
        <f>IFERROR(__xludf.DUMMYFUNCTION("""COMPUTED_VALUE"""),44723.8690699768)</f>
        <v>44723.86907</v>
      </c>
      <c r="D6977" s="15">
        <f>IFERROR(__xludf.DUMMYFUNCTION("""COMPUTED_VALUE"""),1.007)</f>
        <v>1.007</v>
      </c>
      <c r="E6977" s="16">
        <f>IFERROR(__xludf.DUMMYFUNCTION("""COMPUTED_VALUE"""),69.0)</f>
        <v>69</v>
      </c>
      <c r="F6977" s="19" t="str">
        <f>IFERROR(__xludf.DUMMYFUNCTION("""COMPUTED_VALUE"""),"BLACK")</f>
        <v>BLACK</v>
      </c>
      <c r="G6977" s="20" t="str">
        <f>IFERROR(__xludf.DUMMYFUNCTION("""COMPUTED_VALUE"""),"Uncle Sams Cider (5/13/2022)")</f>
        <v>Uncle Sams Cider (5/13/2022)</v>
      </c>
      <c r="H6977" s="19"/>
    </row>
    <row r="6978">
      <c r="A6978" s="9"/>
      <c r="B6978" s="15"/>
      <c r="C6978" s="9">
        <f>IFERROR(__xludf.DUMMYFUNCTION("""COMPUTED_VALUE"""),44723.8586363773)</f>
        <v>44723.85864</v>
      </c>
      <c r="D6978" s="15">
        <f>IFERROR(__xludf.DUMMYFUNCTION("""COMPUTED_VALUE"""),1.007)</f>
        <v>1.007</v>
      </c>
      <c r="E6978" s="16">
        <f>IFERROR(__xludf.DUMMYFUNCTION("""COMPUTED_VALUE"""),69.0)</f>
        <v>69</v>
      </c>
      <c r="F6978" s="19" t="str">
        <f>IFERROR(__xludf.DUMMYFUNCTION("""COMPUTED_VALUE"""),"BLACK")</f>
        <v>BLACK</v>
      </c>
      <c r="G6978" s="20" t="str">
        <f>IFERROR(__xludf.DUMMYFUNCTION("""COMPUTED_VALUE"""),"Uncle Sams Cider (5/13/2022)")</f>
        <v>Uncle Sams Cider (5/13/2022)</v>
      </c>
      <c r="H6978" s="19"/>
    </row>
    <row r="6979">
      <c r="A6979" s="9"/>
      <c r="B6979" s="15"/>
      <c r="C6979" s="9">
        <f>IFERROR(__xludf.DUMMYFUNCTION("""COMPUTED_VALUE"""),44723.8482155208)</f>
        <v>44723.84822</v>
      </c>
      <c r="D6979" s="15">
        <f>IFERROR(__xludf.DUMMYFUNCTION("""COMPUTED_VALUE"""),1.007)</f>
        <v>1.007</v>
      </c>
      <c r="E6979" s="16">
        <f>IFERROR(__xludf.DUMMYFUNCTION("""COMPUTED_VALUE"""),69.0)</f>
        <v>69</v>
      </c>
      <c r="F6979" s="19" t="str">
        <f>IFERROR(__xludf.DUMMYFUNCTION("""COMPUTED_VALUE"""),"BLACK")</f>
        <v>BLACK</v>
      </c>
      <c r="G6979" s="20" t="str">
        <f>IFERROR(__xludf.DUMMYFUNCTION("""COMPUTED_VALUE"""),"Uncle Sams Cider (5/13/2022)")</f>
        <v>Uncle Sams Cider (5/13/2022)</v>
      </c>
      <c r="H6979" s="19"/>
    </row>
    <row r="6980">
      <c r="A6980" s="9"/>
      <c r="B6980" s="15"/>
      <c r="C6980" s="9">
        <f>IFERROR(__xludf.DUMMYFUNCTION("""COMPUTED_VALUE"""),44723.8377595138)</f>
        <v>44723.83776</v>
      </c>
      <c r="D6980" s="15">
        <f>IFERROR(__xludf.DUMMYFUNCTION("""COMPUTED_VALUE"""),1.007)</f>
        <v>1.007</v>
      </c>
      <c r="E6980" s="16">
        <f>IFERROR(__xludf.DUMMYFUNCTION("""COMPUTED_VALUE"""),69.0)</f>
        <v>69</v>
      </c>
      <c r="F6980" s="19" t="str">
        <f>IFERROR(__xludf.DUMMYFUNCTION("""COMPUTED_VALUE"""),"BLACK")</f>
        <v>BLACK</v>
      </c>
      <c r="G6980" s="20" t="str">
        <f>IFERROR(__xludf.DUMMYFUNCTION("""COMPUTED_VALUE"""),"Uncle Sams Cider (5/13/2022)")</f>
        <v>Uncle Sams Cider (5/13/2022)</v>
      </c>
      <c r="H6980" s="19"/>
    </row>
    <row r="6981">
      <c r="A6981" s="9"/>
      <c r="B6981" s="15"/>
      <c r="C6981" s="9">
        <f>IFERROR(__xludf.DUMMYFUNCTION("""COMPUTED_VALUE"""),44723.8273273958)</f>
        <v>44723.82733</v>
      </c>
      <c r="D6981" s="15">
        <f>IFERROR(__xludf.DUMMYFUNCTION("""COMPUTED_VALUE"""),1.007)</f>
        <v>1.007</v>
      </c>
      <c r="E6981" s="16">
        <f>IFERROR(__xludf.DUMMYFUNCTION("""COMPUTED_VALUE"""),69.0)</f>
        <v>69</v>
      </c>
      <c r="F6981" s="19" t="str">
        <f>IFERROR(__xludf.DUMMYFUNCTION("""COMPUTED_VALUE"""),"BLACK")</f>
        <v>BLACK</v>
      </c>
      <c r="G6981" s="20" t="str">
        <f>IFERROR(__xludf.DUMMYFUNCTION("""COMPUTED_VALUE"""),"Uncle Sams Cider (5/13/2022)")</f>
        <v>Uncle Sams Cider (5/13/2022)</v>
      </c>
      <c r="H6981" s="19"/>
    </row>
    <row r="6982">
      <c r="A6982" s="9"/>
      <c r="B6982" s="15"/>
      <c r="C6982" s="9">
        <f>IFERROR(__xludf.DUMMYFUNCTION("""COMPUTED_VALUE"""),44723.8169058333)</f>
        <v>44723.81691</v>
      </c>
      <c r="D6982" s="15">
        <f>IFERROR(__xludf.DUMMYFUNCTION("""COMPUTED_VALUE"""),1.007)</f>
        <v>1.007</v>
      </c>
      <c r="E6982" s="16">
        <f>IFERROR(__xludf.DUMMYFUNCTION("""COMPUTED_VALUE"""),69.0)</f>
        <v>69</v>
      </c>
      <c r="F6982" s="19" t="str">
        <f>IFERROR(__xludf.DUMMYFUNCTION("""COMPUTED_VALUE"""),"BLACK")</f>
        <v>BLACK</v>
      </c>
      <c r="G6982" s="20" t="str">
        <f>IFERROR(__xludf.DUMMYFUNCTION("""COMPUTED_VALUE"""),"Uncle Sams Cider (5/13/2022)")</f>
        <v>Uncle Sams Cider (5/13/2022)</v>
      </c>
      <c r="H6982" s="19"/>
    </row>
    <row r="6983">
      <c r="A6983" s="9"/>
      <c r="B6983" s="15"/>
      <c r="C6983" s="9">
        <f>IFERROR(__xludf.DUMMYFUNCTION("""COMPUTED_VALUE"""),44723.8064854745)</f>
        <v>44723.80649</v>
      </c>
      <c r="D6983" s="15">
        <f>IFERROR(__xludf.DUMMYFUNCTION("""COMPUTED_VALUE"""),1.007)</f>
        <v>1.007</v>
      </c>
      <c r="E6983" s="16">
        <f>IFERROR(__xludf.DUMMYFUNCTION("""COMPUTED_VALUE"""),69.0)</f>
        <v>69</v>
      </c>
      <c r="F6983" s="19" t="str">
        <f>IFERROR(__xludf.DUMMYFUNCTION("""COMPUTED_VALUE"""),"BLACK")</f>
        <v>BLACK</v>
      </c>
      <c r="G6983" s="20" t="str">
        <f>IFERROR(__xludf.DUMMYFUNCTION("""COMPUTED_VALUE"""),"Uncle Sams Cider (5/13/2022)")</f>
        <v>Uncle Sams Cider (5/13/2022)</v>
      </c>
      <c r="H6983" s="19"/>
    </row>
    <row r="6984">
      <c r="A6984" s="9"/>
      <c r="B6984" s="15"/>
      <c r="C6984" s="9">
        <f>IFERROR(__xludf.DUMMYFUNCTION("""COMPUTED_VALUE"""),44723.7960641666)</f>
        <v>44723.79606</v>
      </c>
      <c r="D6984" s="15">
        <f>IFERROR(__xludf.DUMMYFUNCTION("""COMPUTED_VALUE"""),1.007)</f>
        <v>1.007</v>
      </c>
      <c r="E6984" s="16">
        <f>IFERROR(__xludf.DUMMYFUNCTION("""COMPUTED_VALUE"""),69.0)</f>
        <v>69</v>
      </c>
      <c r="F6984" s="19" t="str">
        <f>IFERROR(__xludf.DUMMYFUNCTION("""COMPUTED_VALUE"""),"BLACK")</f>
        <v>BLACK</v>
      </c>
      <c r="G6984" s="20" t="str">
        <f>IFERROR(__xludf.DUMMYFUNCTION("""COMPUTED_VALUE"""),"Uncle Sams Cider (5/13/2022)")</f>
        <v>Uncle Sams Cider (5/13/2022)</v>
      </c>
      <c r="H6984" s="19"/>
    </row>
    <row r="6985">
      <c r="A6985" s="9"/>
      <c r="B6985" s="15"/>
      <c r="C6985" s="9">
        <f>IFERROR(__xludf.DUMMYFUNCTION("""COMPUTED_VALUE"""),44723.7856418634)</f>
        <v>44723.78564</v>
      </c>
      <c r="D6985" s="15">
        <f>IFERROR(__xludf.DUMMYFUNCTION("""COMPUTED_VALUE"""),1.007)</f>
        <v>1.007</v>
      </c>
      <c r="E6985" s="16">
        <f>IFERROR(__xludf.DUMMYFUNCTION("""COMPUTED_VALUE"""),69.0)</f>
        <v>69</v>
      </c>
      <c r="F6985" s="19" t="str">
        <f>IFERROR(__xludf.DUMMYFUNCTION("""COMPUTED_VALUE"""),"BLACK")</f>
        <v>BLACK</v>
      </c>
      <c r="G6985" s="20" t="str">
        <f>IFERROR(__xludf.DUMMYFUNCTION("""COMPUTED_VALUE"""),"Uncle Sams Cider (5/13/2022)")</f>
        <v>Uncle Sams Cider (5/13/2022)</v>
      </c>
      <c r="H6985" s="19"/>
    </row>
    <row r="6986">
      <c r="A6986" s="9"/>
      <c r="B6986" s="15"/>
      <c r="C6986" s="9">
        <f>IFERROR(__xludf.DUMMYFUNCTION("""COMPUTED_VALUE"""),44723.7752204976)</f>
        <v>44723.77522</v>
      </c>
      <c r="D6986" s="15">
        <f>IFERROR(__xludf.DUMMYFUNCTION("""COMPUTED_VALUE"""),1.007)</f>
        <v>1.007</v>
      </c>
      <c r="E6986" s="16">
        <f>IFERROR(__xludf.DUMMYFUNCTION("""COMPUTED_VALUE"""),69.0)</f>
        <v>69</v>
      </c>
      <c r="F6986" s="19" t="str">
        <f>IFERROR(__xludf.DUMMYFUNCTION("""COMPUTED_VALUE"""),"BLACK")</f>
        <v>BLACK</v>
      </c>
      <c r="G6986" s="20" t="str">
        <f>IFERROR(__xludf.DUMMYFUNCTION("""COMPUTED_VALUE"""),"Uncle Sams Cider (5/13/2022)")</f>
        <v>Uncle Sams Cider (5/13/2022)</v>
      </c>
      <c r="H6986" s="19"/>
    </row>
    <row r="6987">
      <c r="A6987" s="9"/>
      <c r="B6987" s="15"/>
      <c r="C6987" s="9">
        <f>IFERROR(__xludf.DUMMYFUNCTION("""COMPUTED_VALUE"""),44723.764799074)</f>
        <v>44723.7648</v>
      </c>
      <c r="D6987" s="15">
        <f>IFERROR(__xludf.DUMMYFUNCTION("""COMPUTED_VALUE"""),1.007)</f>
        <v>1.007</v>
      </c>
      <c r="E6987" s="16">
        <f>IFERROR(__xludf.DUMMYFUNCTION("""COMPUTED_VALUE"""),69.0)</f>
        <v>69</v>
      </c>
      <c r="F6987" s="19" t="str">
        <f>IFERROR(__xludf.DUMMYFUNCTION("""COMPUTED_VALUE"""),"BLACK")</f>
        <v>BLACK</v>
      </c>
      <c r="G6987" s="20" t="str">
        <f>IFERROR(__xludf.DUMMYFUNCTION("""COMPUTED_VALUE"""),"Uncle Sams Cider (5/13/2022)")</f>
        <v>Uncle Sams Cider (5/13/2022)</v>
      </c>
      <c r="H6987" s="19"/>
    </row>
    <row r="6988">
      <c r="A6988" s="9"/>
      <c r="B6988" s="15"/>
      <c r="C6988" s="9">
        <f>IFERROR(__xludf.DUMMYFUNCTION("""COMPUTED_VALUE"""),44723.7543771759)</f>
        <v>44723.75438</v>
      </c>
      <c r="D6988" s="15">
        <f>IFERROR(__xludf.DUMMYFUNCTION("""COMPUTED_VALUE"""),1.007)</f>
        <v>1.007</v>
      </c>
      <c r="E6988" s="16">
        <f>IFERROR(__xludf.DUMMYFUNCTION("""COMPUTED_VALUE"""),69.0)</f>
        <v>69</v>
      </c>
      <c r="F6988" s="19" t="str">
        <f>IFERROR(__xludf.DUMMYFUNCTION("""COMPUTED_VALUE"""),"BLACK")</f>
        <v>BLACK</v>
      </c>
      <c r="G6988" s="20" t="str">
        <f>IFERROR(__xludf.DUMMYFUNCTION("""COMPUTED_VALUE"""),"Uncle Sams Cider (5/13/2022)")</f>
        <v>Uncle Sams Cider (5/13/2022)</v>
      </c>
      <c r="H6988" s="19"/>
    </row>
    <row r="6989">
      <c r="A6989" s="9"/>
      <c r="B6989" s="15"/>
      <c r="C6989" s="9">
        <f>IFERROR(__xludf.DUMMYFUNCTION("""COMPUTED_VALUE"""),44723.7439446759)</f>
        <v>44723.74394</v>
      </c>
      <c r="D6989" s="15">
        <f>IFERROR(__xludf.DUMMYFUNCTION("""COMPUTED_VALUE"""),1.007)</f>
        <v>1.007</v>
      </c>
      <c r="E6989" s="16">
        <f>IFERROR(__xludf.DUMMYFUNCTION("""COMPUTED_VALUE"""),69.0)</f>
        <v>69</v>
      </c>
      <c r="F6989" s="19" t="str">
        <f>IFERROR(__xludf.DUMMYFUNCTION("""COMPUTED_VALUE"""),"BLACK")</f>
        <v>BLACK</v>
      </c>
      <c r="G6989" s="20" t="str">
        <f>IFERROR(__xludf.DUMMYFUNCTION("""COMPUTED_VALUE"""),"Uncle Sams Cider (5/13/2022)")</f>
        <v>Uncle Sams Cider (5/13/2022)</v>
      </c>
      <c r="H6989" s="19"/>
    </row>
    <row r="6990">
      <c r="A6990" s="9"/>
      <c r="B6990" s="15"/>
      <c r="C6990" s="9">
        <f>IFERROR(__xludf.DUMMYFUNCTION("""COMPUTED_VALUE"""),44723.7335213888)</f>
        <v>44723.73352</v>
      </c>
      <c r="D6990" s="15">
        <f>IFERROR(__xludf.DUMMYFUNCTION("""COMPUTED_VALUE"""),1.007)</f>
        <v>1.007</v>
      </c>
      <c r="E6990" s="16">
        <f>IFERROR(__xludf.DUMMYFUNCTION("""COMPUTED_VALUE"""),69.0)</f>
        <v>69</v>
      </c>
      <c r="F6990" s="19" t="str">
        <f>IFERROR(__xludf.DUMMYFUNCTION("""COMPUTED_VALUE"""),"BLACK")</f>
        <v>BLACK</v>
      </c>
      <c r="G6990" s="20" t="str">
        <f>IFERROR(__xludf.DUMMYFUNCTION("""COMPUTED_VALUE"""),"Uncle Sams Cider (5/13/2022)")</f>
        <v>Uncle Sams Cider (5/13/2022)</v>
      </c>
      <c r="H6990" s="19"/>
    </row>
    <row r="6991">
      <c r="A6991" s="9"/>
      <c r="B6991" s="15"/>
      <c r="C6991" s="9">
        <f>IFERROR(__xludf.DUMMYFUNCTION("""COMPUTED_VALUE"""),44723.7230998958)</f>
        <v>44723.7231</v>
      </c>
      <c r="D6991" s="15">
        <f>IFERROR(__xludf.DUMMYFUNCTION("""COMPUTED_VALUE"""),1.007)</f>
        <v>1.007</v>
      </c>
      <c r="E6991" s="16">
        <f>IFERROR(__xludf.DUMMYFUNCTION("""COMPUTED_VALUE"""),69.0)</f>
        <v>69</v>
      </c>
      <c r="F6991" s="19" t="str">
        <f>IFERROR(__xludf.DUMMYFUNCTION("""COMPUTED_VALUE"""),"BLACK")</f>
        <v>BLACK</v>
      </c>
      <c r="G6991" s="20" t="str">
        <f>IFERROR(__xludf.DUMMYFUNCTION("""COMPUTED_VALUE"""),"Uncle Sams Cider (5/13/2022)")</f>
        <v>Uncle Sams Cider (5/13/2022)</v>
      </c>
      <c r="H6991" s="19"/>
    </row>
    <row r="6992">
      <c r="A6992" s="9"/>
      <c r="B6992" s="15"/>
      <c r="C6992" s="9">
        <f>IFERROR(__xludf.DUMMYFUNCTION("""COMPUTED_VALUE"""),44723.7126661111)</f>
        <v>44723.71267</v>
      </c>
      <c r="D6992" s="15">
        <f>IFERROR(__xludf.DUMMYFUNCTION("""COMPUTED_VALUE"""),1.007)</f>
        <v>1.007</v>
      </c>
      <c r="E6992" s="16">
        <f>IFERROR(__xludf.DUMMYFUNCTION("""COMPUTED_VALUE"""),69.0)</f>
        <v>69</v>
      </c>
      <c r="F6992" s="19" t="str">
        <f>IFERROR(__xludf.DUMMYFUNCTION("""COMPUTED_VALUE"""),"BLACK")</f>
        <v>BLACK</v>
      </c>
      <c r="G6992" s="20" t="str">
        <f>IFERROR(__xludf.DUMMYFUNCTION("""COMPUTED_VALUE"""),"Uncle Sams Cider (5/13/2022)")</f>
        <v>Uncle Sams Cider (5/13/2022)</v>
      </c>
      <c r="H6992" s="19"/>
    </row>
    <row r="6993">
      <c r="A6993" s="9"/>
      <c r="B6993" s="15"/>
      <c r="C6993" s="9">
        <f>IFERROR(__xludf.DUMMYFUNCTION("""COMPUTED_VALUE"""),44723.702245)</f>
        <v>44723.70225</v>
      </c>
      <c r="D6993" s="15">
        <f>IFERROR(__xludf.DUMMYFUNCTION("""COMPUTED_VALUE"""),1.007)</f>
        <v>1.007</v>
      </c>
      <c r="E6993" s="16">
        <f>IFERROR(__xludf.DUMMYFUNCTION("""COMPUTED_VALUE"""),69.0)</f>
        <v>69</v>
      </c>
      <c r="F6993" s="19" t="str">
        <f>IFERROR(__xludf.DUMMYFUNCTION("""COMPUTED_VALUE"""),"BLACK")</f>
        <v>BLACK</v>
      </c>
      <c r="G6993" s="20" t="str">
        <f>IFERROR(__xludf.DUMMYFUNCTION("""COMPUTED_VALUE"""),"Uncle Sams Cider (5/13/2022)")</f>
        <v>Uncle Sams Cider (5/13/2022)</v>
      </c>
      <c r="H6993" s="19"/>
    </row>
    <row r="6994">
      <c r="A6994" s="9"/>
      <c r="B6994" s="15"/>
      <c r="C6994" s="9">
        <f>IFERROR(__xludf.DUMMYFUNCTION("""COMPUTED_VALUE"""),44723.6918243171)</f>
        <v>44723.69182</v>
      </c>
      <c r="D6994" s="15">
        <f>IFERROR(__xludf.DUMMYFUNCTION("""COMPUTED_VALUE"""),1.007)</f>
        <v>1.007</v>
      </c>
      <c r="E6994" s="16">
        <f>IFERROR(__xludf.DUMMYFUNCTION("""COMPUTED_VALUE"""),69.0)</f>
        <v>69</v>
      </c>
      <c r="F6994" s="19" t="str">
        <f>IFERROR(__xludf.DUMMYFUNCTION("""COMPUTED_VALUE"""),"BLACK")</f>
        <v>BLACK</v>
      </c>
      <c r="G6994" s="20" t="str">
        <f>IFERROR(__xludf.DUMMYFUNCTION("""COMPUTED_VALUE"""),"Uncle Sams Cider (5/13/2022)")</f>
        <v>Uncle Sams Cider (5/13/2022)</v>
      </c>
      <c r="H6994" s="19"/>
    </row>
    <row r="6995">
      <c r="A6995" s="9"/>
      <c r="B6995" s="15"/>
      <c r="C6995" s="9">
        <f>IFERROR(__xludf.DUMMYFUNCTION("""COMPUTED_VALUE"""),44723.6814042129)</f>
        <v>44723.6814</v>
      </c>
      <c r="D6995" s="15">
        <f>IFERROR(__xludf.DUMMYFUNCTION("""COMPUTED_VALUE"""),1.007)</f>
        <v>1.007</v>
      </c>
      <c r="E6995" s="16">
        <f>IFERROR(__xludf.DUMMYFUNCTION("""COMPUTED_VALUE"""),69.0)</f>
        <v>69</v>
      </c>
      <c r="F6995" s="19" t="str">
        <f>IFERROR(__xludf.DUMMYFUNCTION("""COMPUTED_VALUE"""),"BLACK")</f>
        <v>BLACK</v>
      </c>
      <c r="G6995" s="20" t="str">
        <f>IFERROR(__xludf.DUMMYFUNCTION("""COMPUTED_VALUE"""),"Uncle Sams Cider (5/13/2022)")</f>
        <v>Uncle Sams Cider (5/13/2022)</v>
      </c>
      <c r="H6995" s="19"/>
    </row>
    <row r="6996">
      <c r="A6996" s="9"/>
      <c r="B6996" s="15"/>
      <c r="C6996" s="9">
        <f>IFERROR(__xludf.DUMMYFUNCTION("""COMPUTED_VALUE"""),44723.6709818518)</f>
        <v>44723.67098</v>
      </c>
      <c r="D6996" s="15">
        <f>IFERROR(__xludf.DUMMYFUNCTION("""COMPUTED_VALUE"""),1.007)</f>
        <v>1.007</v>
      </c>
      <c r="E6996" s="16">
        <f>IFERROR(__xludf.DUMMYFUNCTION("""COMPUTED_VALUE"""),69.0)</f>
        <v>69</v>
      </c>
      <c r="F6996" s="19" t="str">
        <f>IFERROR(__xludf.DUMMYFUNCTION("""COMPUTED_VALUE"""),"BLACK")</f>
        <v>BLACK</v>
      </c>
      <c r="G6996" s="20" t="str">
        <f>IFERROR(__xludf.DUMMYFUNCTION("""COMPUTED_VALUE"""),"Uncle Sams Cider (5/13/2022)")</f>
        <v>Uncle Sams Cider (5/13/2022)</v>
      </c>
      <c r="H6996" s="19"/>
    </row>
    <row r="6997">
      <c r="A6997" s="9"/>
      <c r="B6997" s="15"/>
      <c r="C6997" s="9">
        <f>IFERROR(__xludf.DUMMYFUNCTION("""COMPUTED_VALUE"""),44723.660560949)</f>
        <v>44723.66056</v>
      </c>
      <c r="D6997" s="15">
        <f>IFERROR(__xludf.DUMMYFUNCTION("""COMPUTED_VALUE"""),1.007)</f>
        <v>1.007</v>
      </c>
      <c r="E6997" s="16">
        <f>IFERROR(__xludf.DUMMYFUNCTION("""COMPUTED_VALUE"""),69.0)</f>
        <v>69</v>
      </c>
      <c r="F6997" s="19" t="str">
        <f>IFERROR(__xludf.DUMMYFUNCTION("""COMPUTED_VALUE"""),"BLACK")</f>
        <v>BLACK</v>
      </c>
      <c r="G6997" s="20" t="str">
        <f>IFERROR(__xludf.DUMMYFUNCTION("""COMPUTED_VALUE"""),"Uncle Sams Cider (5/13/2022)")</f>
        <v>Uncle Sams Cider (5/13/2022)</v>
      </c>
      <c r="H6997" s="19"/>
    </row>
    <row r="6998">
      <c r="A6998" s="9"/>
      <c r="B6998" s="15"/>
      <c r="C6998" s="9">
        <f>IFERROR(__xludf.DUMMYFUNCTION("""COMPUTED_VALUE"""),44723.6500603009)</f>
        <v>44723.65006</v>
      </c>
      <c r="D6998" s="15">
        <f>IFERROR(__xludf.DUMMYFUNCTION("""COMPUTED_VALUE"""),1.007)</f>
        <v>1.007</v>
      </c>
      <c r="E6998" s="16">
        <f>IFERROR(__xludf.DUMMYFUNCTION("""COMPUTED_VALUE"""),69.0)</f>
        <v>69</v>
      </c>
      <c r="F6998" s="19" t="str">
        <f>IFERROR(__xludf.DUMMYFUNCTION("""COMPUTED_VALUE"""),"BLACK")</f>
        <v>BLACK</v>
      </c>
      <c r="G6998" s="20" t="str">
        <f>IFERROR(__xludf.DUMMYFUNCTION("""COMPUTED_VALUE"""),"Uncle Sams Cider (5/13/2022)")</f>
        <v>Uncle Sams Cider (5/13/2022)</v>
      </c>
      <c r="H6998" s="19"/>
    </row>
    <row r="6999">
      <c r="A6999" s="9"/>
      <c r="B6999" s="15"/>
      <c r="C6999" s="9">
        <f>IFERROR(__xludf.DUMMYFUNCTION("""COMPUTED_VALUE"""),44723.6396393634)</f>
        <v>44723.63964</v>
      </c>
      <c r="D6999" s="15">
        <f>IFERROR(__xludf.DUMMYFUNCTION("""COMPUTED_VALUE"""),1.007)</f>
        <v>1.007</v>
      </c>
      <c r="E6999" s="16">
        <f>IFERROR(__xludf.DUMMYFUNCTION("""COMPUTED_VALUE"""),69.0)</f>
        <v>69</v>
      </c>
      <c r="F6999" s="19" t="str">
        <f>IFERROR(__xludf.DUMMYFUNCTION("""COMPUTED_VALUE"""),"BLACK")</f>
        <v>BLACK</v>
      </c>
      <c r="G6999" s="20" t="str">
        <f>IFERROR(__xludf.DUMMYFUNCTION("""COMPUTED_VALUE"""),"Uncle Sams Cider (5/13/2022)")</f>
        <v>Uncle Sams Cider (5/13/2022)</v>
      </c>
      <c r="H6999" s="19"/>
    </row>
    <row r="7000">
      <c r="A7000" s="9"/>
      <c r="B7000" s="15"/>
      <c r="C7000" s="9">
        <f>IFERROR(__xludf.DUMMYFUNCTION("""COMPUTED_VALUE"""),44723.6292170254)</f>
        <v>44723.62922</v>
      </c>
      <c r="D7000" s="15">
        <f>IFERROR(__xludf.DUMMYFUNCTION("""COMPUTED_VALUE"""),1.007)</f>
        <v>1.007</v>
      </c>
      <c r="E7000" s="16">
        <f>IFERROR(__xludf.DUMMYFUNCTION("""COMPUTED_VALUE"""),69.0)</f>
        <v>69</v>
      </c>
      <c r="F7000" s="19" t="str">
        <f>IFERROR(__xludf.DUMMYFUNCTION("""COMPUTED_VALUE"""),"BLACK")</f>
        <v>BLACK</v>
      </c>
      <c r="G7000" s="20" t="str">
        <f>IFERROR(__xludf.DUMMYFUNCTION("""COMPUTED_VALUE"""),"Uncle Sams Cider (5/13/2022)")</f>
        <v>Uncle Sams Cider (5/13/2022)</v>
      </c>
      <c r="H7000" s="19"/>
    </row>
    <row r="7001">
      <c r="A7001" s="9"/>
      <c r="B7001" s="15"/>
      <c r="C7001" s="9">
        <f>IFERROR(__xludf.DUMMYFUNCTION("""COMPUTED_VALUE"""),44723.6187936689)</f>
        <v>44723.61879</v>
      </c>
      <c r="D7001" s="15">
        <f>IFERROR(__xludf.DUMMYFUNCTION("""COMPUTED_VALUE"""),1.007)</f>
        <v>1.007</v>
      </c>
      <c r="E7001" s="16">
        <f>IFERROR(__xludf.DUMMYFUNCTION("""COMPUTED_VALUE"""),69.0)</f>
        <v>69</v>
      </c>
      <c r="F7001" s="19" t="str">
        <f>IFERROR(__xludf.DUMMYFUNCTION("""COMPUTED_VALUE"""),"BLACK")</f>
        <v>BLACK</v>
      </c>
      <c r="G7001" s="20" t="str">
        <f>IFERROR(__xludf.DUMMYFUNCTION("""COMPUTED_VALUE"""),"Uncle Sams Cider (5/13/2022)")</f>
        <v>Uncle Sams Cider (5/13/2022)</v>
      </c>
      <c r="H7001" s="19"/>
    </row>
    <row r="7002">
      <c r="A7002" s="9"/>
      <c r="B7002" s="15"/>
      <c r="C7002" s="9">
        <f>IFERROR(__xludf.DUMMYFUNCTION("""COMPUTED_VALUE"""),44723.6083724421)</f>
        <v>44723.60837</v>
      </c>
      <c r="D7002" s="15">
        <f>IFERROR(__xludf.DUMMYFUNCTION("""COMPUTED_VALUE"""),1.007)</f>
        <v>1.007</v>
      </c>
      <c r="E7002" s="16">
        <f>IFERROR(__xludf.DUMMYFUNCTION("""COMPUTED_VALUE"""),69.0)</f>
        <v>69</v>
      </c>
      <c r="F7002" s="19" t="str">
        <f>IFERROR(__xludf.DUMMYFUNCTION("""COMPUTED_VALUE"""),"BLACK")</f>
        <v>BLACK</v>
      </c>
      <c r="G7002" s="20" t="str">
        <f>IFERROR(__xludf.DUMMYFUNCTION("""COMPUTED_VALUE"""),"Uncle Sams Cider (5/13/2022)")</f>
        <v>Uncle Sams Cider (5/13/2022)</v>
      </c>
      <c r="H7002" s="19"/>
    </row>
    <row r="7003">
      <c r="A7003" s="9"/>
      <c r="B7003" s="15"/>
      <c r="C7003" s="9">
        <f>IFERROR(__xludf.DUMMYFUNCTION("""COMPUTED_VALUE"""),44723.5979518171)</f>
        <v>44723.59795</v>
      </c>
      <c r="D7003" s="15">
        <f>IFERROR(__xludf.DUMMYFUNCTION("""COMPUTED_VALUE"""),1.007)</f>
        <v>1.007</v>
      </c>
      <c r="E7003" s="16">
        <f>IFERROR(__xludf.DUMMYFUNCTION("""COMPUTED_VALUE"""),69.0)</f>
        <v>69</v>
      </c>
      <c r="F7003" s="19" t="str">
        <f>IFERROR(__xludf.DUMMYFUNCTION("""COMPUTED_VALUE"""),"BLACK")</f>
        <v>BLACK</v>
      </c>
      <c r="G7003" s="20" t="str">
        <f>IFERROR(__xludf.DUMMYFUNCTION("""COMPUTED_VALUE"""),"Uncle Sams Cider (5/13/2022)")</f>
        <v>Uncle Sams Cider (5/13/2022)</v>
      </c>
      <c r="H7003" s="19"/>
    </row>
    <row r="7004">
      <c r="A7004" s="9"/>
      <c r="B7004" s="15"/>
      <c r="C7004" s="9">
        <f>IFERROR(__xludf.DUMMYFUNCTION("""COMPUTED_VALUE"""),44723.5875297106)</f>
        <v>44723.58753</v>
      </c>
      <c r="D7004" s="15">
        <f>IFERROR(__xludf.DUMMYFUNCTION("""COMPUTED_VALUE"""),1.008)</f>
        <v>1.008</v>
      </c>
      <c r="E7004" s="16">
        <f>IFERROR(__xludf.DUMMYFUNCTION("""COMPUTED_VALUE"""),69.0)</f>
        <v>69</v>
      </c>
      <c r="F7004" s="19" t="str">
        <f>IFERROR(__xludf.DUMMYFUNCTION("""COMPUTED_VALUE"""),"BLACK")</f>
        <v>BLACK</v>
      </c>
      <c r="G7004" s="20" t="str">
        <f>IFERROR(__xludf.DUMMYFUNCTION("""COMPUTED_VALUE"""),"Uncle Sams Cider (5/13/2022)")</f>
        <v>Uncle Sams Cider (5/13/2022)</v>
      </c>
      <c r="H7004" s="19"/>
    </row>
    <row r="7005">
      <c r="A7005" s="9"/>
      <c r="B7005" s="15"/>
      <c r="C7005" s="9">
        <f>IFERROR(__xludf.DUMMYFUNCTION("""COMPUTED_VALUE"""),44723.5771083912)</f>
        <v>44723.57711</v>
      </c>
      <c r="D7005" s="15">
        <f>IFERROR(__xludf.DUMMYFUNCTION("""COMPUTED_VALUE"""),1.008)</f>
        <v>1.008</v>
      </c>
      <c r="E7005" s="16">
        <f>IFERROR(__xludf.DUMMYFUNCTION("""COMPUTED_VALUE"""),69.0)</f>
        <v>69</v>
      </c>
      <c r="F7005" s="19" t="str">
        <f>IFERROR(__xludf.DUMMYFUNCTION("""COMPUTED_VALUE"""),"BLACK")</f>
        <v>BLACK</v>
      </c>
      <c r="G7005" s="20" t="str">
        <f>IFERROR(__xludf.DUMMYFUNCTION("""COMPUTED_VALUE"""),"Uncle Sams Cider (5/13/2022)")</f>
        <v>Uncle Sams Cider (5/13/2022)</v>
      </c>
      <c r="H7005" s="19"/>
    </row>
    <row r="7006">
      <c r="A7006" s="9"/>
      <c r="B7006" s="15"/>
      <c r="C7006" s="9">
        <f>IFERROR(__xludf.DUMMYFUNCTION("""COMPUTED_VALUE"""),44723.5666749305)</f>
        <v>44723.56667</v>
      </c>
      <c r="D7006" s="15">
        <f>IFERROR(__xludf.DUMMYFUNCTION("""COMPUTED_VALUE"""),1.007)</f>
        <v>1.007</v>
      </c>
      <c r="E7006" s="16">
        <f>IFERROR(__xludf.DUMMYFUNCTION("""COMPUTED_VALUE"""),69.0)</f>
        <v>69</v>
      </c>
      <c r="F7006" s="19" t="str">
        <f>IFERROR(__xludf.DUMMYFUNCTION("""COMPUTED_VALUE"""),"BLACK")</f>
        <v>BLACK</v>
      </c>
      <c r="G7006" s="20" t="str">
        <f>IFERROR(__xludf.DUMMYFUNCTION("""COMPUTED_VALUE"""),"Uncle Sams Cider (5/13/2022)")</f>
        <v>Uncle Sams Cider (5/13/2022)</v>
      </c>
      <c r="H7006" s="19"/>
    </row>
    <row r="7007">
      <c r="A7007" s="9"/>
      <c r="B7007" s="15"/>
      <c r="C7007" s="9">
        <f>IFERROR(__xludf.DUMMYFUNCTION("""COMPUTED_VALUE"""),44723.5562532291)</f>
        <v>44723.55625</v>
      </c>
      <c r="D7007" s="15">
        <f>IFERROR(__xludf.DUMMYFUNCTION("""COMPUTED_VALUE"""),1.007)</f>
        <v>1.007</v>
      </c>
      <c r="E7007" s="16">
        <f>IFERROR(__xludf.DUMMYFUNCTION("""COMPUTED_VALUE"""),68.0)</f>
        <v>68</v>
      </c>
      <c r="F7007" s="19" t="str">
        <f>IFERROR(__xludf.DUMMYFUNCTION("""COMPUTED_VALUE"""),"BLACK")</f>
        <v>BLACK</v>
      </c>
      <c r="G7007" s="20" t="str">
        <f>IFERROR(__xludf.DUMMYFUNCTION("""COMPUTED_VALUE"""),"Uncle Sams Cider (5/13/2022)")</f>
        <v>Uncle Sams Cider (5/13/2022)</v>
      </c>
      <c r="H7007" s="19"/>
    </row>
    <row r="7008">
      <c r="A7008" s="9"/>
      <c r="B7008" s="15"/>
      <c r="C7008" s="9">
        <f>IFERROR(__xludf.DUMMYFUNCTION("""COMPUTED_VALUE"""),44723.5458344907)</f>
        <v>44723.54583</v>
      </c>
      <c r="D7008" s="15">
        <f>IFERROR(__xludf.DUMMYFUNCTION("""COMPUTED_VALUE"""),1.007)</f>
        <v>1.007</v>
      </c>
      <c r="E7008" s="16">
        <f>IFERROR(__xludf.DUMMYFUNCTION("""COMPUTED_VALUE"""),69.0)</f>
        <v>69</v>
      </c>
      <c r="F7008" s="19" t="str">
        <f>IFERROR(__xludf.DUMMYFUNCTION("""COMPUTED_VALUE"""),"BLACK")</f>
        <v>BLACK</v>
      </c>
      <c r="G7008" s="20" t="str">
        <f>IFERROR(__xludf.DUMMYFUNCTION("""COMPUTED_VALUE"""),"Uncle Sams Cider (5/13/2022)")</f>
        <v>Uncle Sams Cider (5/13/2022)</v>
      </c>
      <c r="H7008" s="19"/>
    </row>
    <row r="7009">
      <c r="A7009" s="9"/>
      <c r="B7009" s="15"/>
      <c r="C7009" s="9">
        <f>IFERROR(__xludf.DUMMYFUNCTION("""COMPUTED_VALUE"""),44723.5354013541)</f>
        <v>44723.5354</v>
      </c>
      <c r="D7009" s="15">
        <f>IFERROR(__xludf.DUMMYFUNCTION("""COMPUTED_VALUE"""),1.007)</f>
        <v>1.007</v>
      </c>
      <c r="E7009" s="16">
        <f>IFERROR(__xludf.DUMMYFUNCTION("""COMPUTED_VALUE"""),69.0)</f>
        <v>69</v>
      </c>
      <c r="F7009" s="19" t="str">
        <f>IFERROR(__xludf.DUMMYFUNCTION("""COMPUTED_VALUE"""),"BLACK")</f>
        <v>BLACK</v>
      </c>
      <c r="G7009" s="20" t="str">
        <f>IFERROR(__xludf.DUMMYFUNCTION("""COMPUTED_VALUE"""),"Uncle Sams Cider (5/13/2022)")</f>
        <v>Uncle Sams Cider (5/13/2022)</v>
      </c>
      <c r="H7009" s="19"/>
    </row>
    <row r="7010">
      <c r="A7010" s="9"/>
      <c r="B7010" s="15"/>
      <c r="C7010" s="9">
        <f>IFERROR(__xludf.DUMMYFUNCTION("""COMPUTED_VALUE"""),44723.5249782407)</f>
        <v>44723.52498</v>
      </c>
      <c r="D7010" s="15">
        <f>IFERROR(__xludf.DUMMYFUNCTION("""COMPUTED_VALUE"""),1.007)</f>
        <v>1.007</v>
      </c>
      <c r="E7010" s="16">
        <f>IFERROR(__xludf.DUMMYFUNCTION("""COMPUTED_VALUE"""),69.0)</f>
        <v>69</v>
      </c>
      <c r="F7010" s="19" t="str">
        <f>IFERROR(__xludf.DUMMYFUNCTION("""COMPUTED_VALUE"""),"BLACK")</f>
        <v>BLACK</v>
      </c>
      <c r="G7010" s="20" t="str">
        <f>IFERROR(__xludf.DUMMYFUNCTION("""COMPUTED_VALUE"""),"Uncle Sams Cider (5/13/2022)")</f>
        <v>Uncle Sams Cider (5/13/2022)</v>
      </c>
      <c r="H7010" s="19"/>
    </row>
    <row r="7011">
      <c r="A7011" s="9"/>
      <c r="B7011" s="15"/>
      <c r="C7011" s="9">
        <f>IFERROR(__xludf.DUMMYFUNCTION("""COMPUTED_VALUE"""),44723.5145576967)</f>
        <v>44723.51456</v>
      </c>
      <c r="D7011" s="15">
        <f>IFERROR(__xludf.DUMMYFUNCTION("""COMPUTED_VALUE"""),1.007)</f>
        <v>1.007</v>
      </c>
      <c r="E7011" s="16">
        <f>IFERROR(__xludf.DUMMYFUNCTION("""COMPUTED_VALUE"""),69.0)</f>
        <v>69</v>
      </c>
      <c r="F7011" s="19" t="str">
        <f>IFERROR(__xludf.DUMMYFUNCTION("""COMPUTED_VALUE"""),"BLACK")</f>
        <v>BLACK</v>
      </c>
      <c r="G7011" s="20" t="str">
        <f>IFERROR(__xludf.DUMMYFUNCTION("""COMPUTED_VALUE"""),"Uncle Sams Cider (5/13/2022)")</f>
        <v>Uncle Sams Cider (5/13/2022)</v>
      </c>
      <c r="H7011" s="19"/>
    </row>
    <row r="7012">
      <c r="A7012" s="9"/>
      <c r="B7012" s="15"/>
      <c r="C7012" s="9">
        <f>IFERROR(__xludf.DUMMYFUNCTION("""COMPUTED_VALUE"""),44723.5041359027)</f>
        <v>44723.50414</v>
      </c>
      <c r="D7012" s="15">
        <f>IFERROR(__xludf.DUMMYFUNCTION("""COMPUTED_VALUE"""),1.007)</f>
        <v>1.007</v>
      </c>
      <c r="E7012" s="16">
        <f>IFERROR(__xludf.DUMMYFUNCTION("""COMPUTED_VALUE"""),68.0)</f>
        <v>68</v>
      </c>
      <c r="F7012" s="19" t="str">
        <f>IFERROR(__xludf.DUMMYFUNCTION("""COMPUTED_VALUE"""),"BLACK")</f>
        <v>BLACK</v>
      </c>
      <c r="G7012" s="20" t="str">
        <f>IFERROR(__xludf.DUMMYFUNCTION("""COMPUTED_VALUE"""),"Uncle Sams Cider (5/13/2022)")</f>
        <v>Uncle Sams Cider (5/13/2022)</v>
      </c>
      <c r="H7012" s="19"/>
    </row>
    <row r="7013">
      <c r="A7013" s="9"/>
      <c r="B7013" s="15"/>
      <c r="C7013" s="9">
        <f>IFERROR(__xludf.DUMMYFUNCTION("""COMPUTED_VALUE"""),44723.493703368)</f>
        <v>44723.4937</v>
      </c>
      <c r="D7013" s="15">
        <f>IFERROR(__xludf.DUMMYFUNCTION("""COMPUTED_VALUE"""),1.007)</f>
        <v>1.007</v>
      </c>
      <c r="E7013" s="16">
        <f>IFERROR(__xludf.DUMMYFUNCTION("""COMPUTED_VALUE"""),68.0)</f>
        <v>68</v>
      </c>
      <c r="F7013" s="19" t="str">
        <f>IFERROR(__xludf.DUMMYFUNCTION("""COMPUTED_VALUE"""),"BLACK")</f>
        <v>BLACK</v>
      </c>
      <c r="G7013" s="20" t="str">
        <f>IFERROR(__xludf.DUMMYFUNCTION("""COMPUTED_VALUE"""),"Uncle Sams Cider (5/13/2022)")</f>
        <v>Uncle Sams Cider (5/13/2022)</v>
      </c>
      <c r="H7013" s="19"/>
    </row>
    <row r="7014">
      <c r="A7014" s="9"/>
      <c r="B7014" s="15"/>
      <c r="C7014" s="9">
        <f>IFERROR(__xludf.DUMMYFUNCTION("""COMPUTED_VALUE"""),44723.4832834143)</f>
        <v>44723.48328</v>
      </c>
      <c r="D7014" s="15">
        <f>IFERROR(__xludf.DUMMYFUNCTION("""COMPUTED_VALUE"""),1.008)</f>
        <v>1.008</v>
      </c>
      <c r="E7014" s="16">
        <f>IFERROR(__xludf.DUMMYFUNCTION("""COMPUTED_VALUE"""),68.0)</f>
        <v>68</v>
      </c>
      <c r="F7014" s="19" t="str">
        <f>IFERROR(__xludf.DUMMYFUNCTION("""COMPUTED_VALUE"""),"BLACK")</f>
        <v>BLACK</v>
      </c>
      <c r="G7014" s="20" t="str">
        <f>IFERROR(__xludf.DUMMYFUNCTION("""COMPUTED_VALUE"""),"Uncle Sams Cider (5/13/2022)")</f>
        <v>Uncle Sams Cider (5/13/2022)</v>
      </c>
      <c r="H7014" s="19"/>
    </row>
    <row r="7015">
      <c r="A7015" s="9"/>
      <c r="B7015" s="15"/>
      <c r="C7015" s="9">
        <f>IFERROR(__xludf.DUMMYFUNCTION("""COMPUTED_VALUE"""),44723.472850405)</f>
        <v>44723.47285</v>
      </c>
      <c r="D7015" s="15">
        <f>IFERROR(__xludf.DUMMYFUNCTION("""COMPUTED_VALUE"""),1.007)</f>
        <v>1.007</v>
      </c>
      <c r="E7015" s="16">
        <f>IFERROR(__xludf.DUMMYFUNCTION("""COMPUTED_VALUE"""),69.0)</f>
        <v>69</v>
      </c>
      <c r="F7015" s="19" t="str">
        <f>IFERROR(__xludf.DUMMYFUNCTION("""COMPUTED_VALUE"""),"BLACK")</f>
        <v>BLACK</v>
      </c>
      <c r="G7015" s="20" t="str">
        <f>IFERROR(__xludf.DUMMYFUNCTION("""COMPUTED_VALUE"""),"Uncle Sams Cider (5/13/2022)")</f>
        <v>Uncle Sams Cider (5/13/2022)</v>
      </c>
      <c r="H7015" s="19"/>
    </row>
    <row r="7016">
      <c r="A7016" s="9"/>
      <c r="B7016" s="15"/>
      <c r="C7016" s="9">
        <f>IFERROR(__xludf.DUMMYFUNCTION("""COMPUTED_VALUE"""),44723.4624315393)</f>
        <v>44723.46243</v>
      </c>
      <c r="D7016" s="15">
        <f>IFERROR(__xludf.DUMMYFUNCTION("""COMPUTED_VALUE"""),1.007)</f>
        <v>1.007</v>
      </c>
      <c r="E7016" s="16">
        <f>IFERROR(__xludf.DUMMYFUNCTION("""COMPUTED_VALUE"""),68.0)</f>
        <v>68</v>
      </c>
      <c r="F7016" s="19" t="str">
        <f>IFERROR(__xludf.DUMMYFUNCTION("""COMPUTED_VALUE"""),"BLACK")</f>
        <v>BLACK</v>
      </c>
      <c r="G7016" s="20" t="str">
        <f>IFERROR(__xludf.DUMMYFUNCTION("""COMPUTED_VALUE"""),"Uncle Sams Cider (5/13/2022)")</f>
        <v>Uncle Sams Cider (5/13/2022)</v>
      </c>
      <c r="H7016" s="19"/>
    </row>
    <row r="7017">
      <c r="A7017" s="9"/>
      <c r="B7017" s="15"/>
      <c r="C7017" s="9">
        <f>IFERROR(__xludf.DUMMYFUNCTION("""COMPUTED_VALUE"""),44723.4520089467)</f>
        <v>44723.45201</v>
      </c>
      <c r="D7017" s="15">
        <f>IFERROR(__xludf.DUMMYFUNCTION("""COMPUTED_VALUE"""),1.007)</f>
        <v>1.007</v>
      </c>
      <c r="E7017" s="16">
        <f>IFERROR(__xludf.DUMMYFUNCTION("""COMPUTED_VALUE"""),68.0)</f>
        <v>68</v>
      </c>
      <c r="F7017" s="19" t="str">
        <f>IFERROR(__xludf.DUMMYFUNCTION("""COMPUTED_VALUE"""),"BLACK")</f>
        <v>BLACK</v>
      </c>
      <c r="G7017" s="20" t="str">
        <f>IFERROR(__xludf.DUMMYFUNCTION("""COMPUTED_VALUE"""),"Uncle Sams Cider (5/13/2022)")</f>
        <v>Uncle Sams Cider (5/13/2022)</v>
      </c>
      <c r="H7017" s="19"/>
    </row>
    <row r="7018">
      <c r="A7018" s="9"/>
      <c r="B7018" s="15"/>
      <c r="C7018" s="9">
        <f>IFERROR(__xludf.DUMMYFUNCTION("""COMPUTED_VALUE"""),44723.441586956)</f>
        <v>44723.44159</v>
      </c>
      <c r="D7018" s="15">
        <f>IFERROR(__xludf.DUMMYFUNCTION("""COMPUTED_VALUE"""),1.007)</f>
        <v>1.007</v>
      </c>
      <c r="E7018" s="16">
        <f>IFERROR(__xludf.DUMMYFUNCTION("""COMPUTED_VALUE"""),68.0)</f>
        <v>68</v>
      </c>
      <c r="F7018" s="19" t="str">
        <f>IFERROR(__xludf.DUMMYFUNCTION("""COMPUTED_VALUE"""),"BLACK")</f>
        <v>BLACK</v>
      </c>
      <c r="G7018" s="20" t="str">
        <f>IFERROR(__xludf.DUMMYFUNCTION("""COMPUTED_VALUE"""),"Uncle Sams Cider (5/13/2022)")</f>
        <v>Uncle Sams Cider (5/13/2022)</v>
      </c>
      <c r="H7018" s="19"/>
    </row>
    <row r="7019">
      <c r="A7019" s="9"/>
      <c r="B7019" s="15"/>
      <c r="C7019" s="9">
        <f>IFERROR(__xludf.DUMMYFUNCTION("""COMPUTED_VALUE"""),44723.431165625)</f>
        <v>44723.43117</v>
      </c>
      <c r="D7019" s="15">
        <f>IFERROR(__xludf.DUMMYFUNCTION("""COMPUTED_VALUE"""),1.007)</f>
        <v>1.007</v>
      </c>
      <c r="E7019" s="16">
        <f>IFERROR(__xludf.DUMMYFUNCTION("""COMPUTED_VALUE"""),68.0)</f>
        <v>68</v>
      </c>
      <c r="F7019" s="19" t="str">
        <f>IFERROR(__xludf.DUMMYFUNCTION("""COMPUTED_VALUE"""),"BLACK")</f>
        <v>BLACK</v>
      </c>
      <c r="G7019" s="20" t="str">
        <f>IFERROR(__xludf.DUMMYFUNCTION("""COMPUTED_VALUE"""),"Uncle Sams Cider (5/13/2022)")</f>
        <v>Uncle Sams Cider (5/13/2022)</v>
      </c>
      <c r="H7019" s="19"/>
    </row>
    <row r="7020">
      <c r="A7020" s="9"/>
      <c r="B7020" s="15"/>
      <c r="C7020" s="9">
        <f>IFERROR(__xludf.DUMMYFUNCTION("""COMPUTED_VALUE"""),44723.420743449)</f>
        <v>44723.42074</v>
      </c>
      <c r="D7020" s="15">
        <f>IFERROR(__xludf.DUMMYFUNCTION("""COMPUTED_VALUE"""),1.007)</f>
        <v>1.007</v>
      </c>
      <c r="E7020" s="16">
        <f>IFERROR(__xludf.DUMMYFUNCTION("""COMPUTED_VALUE"""),68.0)</f>
        <v>68</v>
      </c>
      <c r="F7020" s="19" t="str">
        <f>IFERROR(__xludf.DUMMYFUNCTION("""COMPUTED_VALUE"""),"BLACK")</f>
        <v>BLACK</v>
      </c>
      <c r="G7020" s="20" t="str">
        <f>IFERROR(__xludf.DUMMYFUNCTION("""COMPUTED_VALUE"""),"Uncle Sams Cider (5/13/2022)")</f>
        <v>Uncle Sams Cider (5/13/2022)</v>
      </c>
      <c r="H7020" s="19"/>
    </row>
    <row r="7021">
      <c r="A7021" s="9"/>
      <c r="B7021" s="15"/>
      <c r="C7021" s="9">
        <f>IFERROR(__xludf.DUMMYFUNCTION("""COMPUTED_VALUE"""),44723.4103211458)</f>
        <v>44723.41032</v>
      </c>
      <c r="D7021" s="15">
        <f>IFERROR(__xludf.DUMMYFUNCTION("""COMPUTED_VALUE"""),1.007)</f>
        <v>1.007</v>
      </c>
      <c r="E7021" s="16">
        <f>IFERROR(__xludf.DUMMYFUNCTION("""COMPUTED_VALUE"""),68.0)</f>
        <v>68</v>
      </c>
      <c r="F7021" s="19" t="str">
        <f>IFERROR(__xludf.DUMMYFUNCTION("""COMPUTED_VALUE"""),"BLACK")</f>
        <v>BLACK</v>
      </c>
      <c r="G7021" s="20" t="str">
        <f>IFERROR(__xludf.DUMMYFUNCTION("""COMPUTED_VALUE"""),"Uncle Sams Cider (5/13/2022)")</f>
        <v>Uncle Sams Cider (5/13/2022)</v>
      </c>
      <c r="H7021" s="19"/>
    </row>
    <row r="7022">
      <c r="A7022" s="9"/>
      <c r="B7022" s="15"/>
      <c r="C7022" s="9">
        <f>IFERROR(__xludf.DUMMYFUNCTION("""COMPUTED_VALUE"""),44723.3999006828)</f>
        <v>44723.3999</v>
      </c>
      <c r="D7022" s="15">
        <f>IFERROR(__xludf.DUMMYFUNCTION("""COMPUTED_VALUE"""),1.007)</f>
        <v>1.007</v>
      </c>
      <c r="E7022" s="16">
        <f>IFERROR(__xludf.DUMMYFUNCTION("""COMPUTED_VALUE"""),68.0)</f>
        <v>68</v>
      </c>
      <c r="F7022" s="19" t="str">
        <f>IFERROR(__xludf.DUMMYFUNCTION("""COMPUTED_VALUE"""),"BLACK")</f>
        <v>BLACK</v>
      </c>
      <c r="G7022" s="20" t="str">
        <f>IFERROR(__xludf.DUMMYFUNCTION("""COMPUTED_VALUE"""),"Uncle Sams Cider (5/13/2022)")</f>
        <v>Uncle Sams Cider (5/13/2022)</v>
      </c>
      <c r="H7022" s="19"/>
    </row>
    <row r="7023">
      <c r="A7023" s="9"/>
      <c r="B7023" s="15"/>
      <c r="C7023" s="9">
        <f>IFERROR(__xludf.DUMMYFUNCTION("""COMPUTED_VALUE"""),44723.3894663657)</f>
        <v>44723.38947</v>
      </c>
      <c r="D7023" s="15">
        <f>IFERROR(__xludf.DUMMYFUNCTION("""COMPUTED_VALUE"""),1.008)</f>
        <v>1.008</v>
      </c>
      <c r="E7023" s="16">
        <f>IFERROR(__xludf.DUMMYFUNCTION("""COMPUTED_VALUE"""),68.0)</f>
        <v>68</v>
      </c>
      <c r="F7023" s="19" t="str">
        <f>IFERROR(__xludf.DUMMYFUNCTION("""COMPUTED_VALUE"""),"BLACK")</f>
        <v>BLACK</v>
      </c>
      <c r="G7023" s="20" t="str">
        <f>IFERROR(__xludf.DUMMYFUNCTION("""COMPUTED_VALUE"""),"Uncle Sams Cider (5/13/2022)")</f>
        <v>Uncle Sams Cider (5/13/2022)</v>
      </c>
      <c r="H7023" s="19"/>
    </row>
    <row r="7024">
      <c r="A7024" s="9"/>
      <c r="B7024" s="15"/>
      <c r="C7024" s="9">
        <f>IFERROR(__xludf.DUMMYFUNCTION("""COMPUTED_VALUE"""),44723.3790476273)</f>
        <v>44723.37905</v>
      </c>
      <c r="D7024" s="15">
        <f>IFERROR(__xludf.DUMMYFUNCTION("""COMPUTED_VALUE"""),1.007)</f>
        <v>1.007</v>
      </c>
      <c r="E7024" s="16">
        <f>IFERROR(__xludf.DUMMYFUNCTION("""COMPUTED_VALUE"""),68.0)</f>
        <v>68</v>
      </c>
      <c r="F7024" s="19" t="str">
        <f>IFERROR(__xludf.DUMMYFUNCTION("""COMPUTED_VALUE"""),"BLACK")</f>
        <v>BLACK</v>
      </c>
      <c r="G7024" s="20" t="str">
        <f>IFERROR(__xludf.DUMMYFUNCTION("""COMPUTED_VALUE"""),"Uncle Sams Cider (5/13/2022)")</f>
        <v>Uncle Sams Cider (5/13/2022)</v>
      </c>
      <c r="H7024" s="19"/>
    </row>
    <row r="7025">
      <c r="A7025" s="9"/>
      <c r="B7025" s="15"/>
      <c r="C7025" s="9">
        <f>IFERROR(__xludf.DUMMYFUNCTION("""COMPUTED_VALUE"""),44723.3686263078)</f>
        <v>44723.36863</v>
      </c>
      <c r="D7025" s="15">
        <f>IFERROR(__xludf.DUMMYFUNCTION("""COMPUTED_VALUE"""),1.007)</f>
        <v>1.007</v>
      </c>
      <c r="E7025" s="16">
        <f>IFERROR(__xludf.DUMMYFUNCTION("""COMPUTED_VALUE"""),68.0)</f>
        <v>68</v>
      </c>
      <c r="F7025" s="19" t="str">
        <f>IFERROR(__xludf.DUMMYFUNCTION("""COMPUTED_VALUE"""),"BLACK")</f>
        <v>BLACK</v>
      </c>
      <c r="G7025" s="20" t="str">
        <f>IFERROR(__xludf.DUMMYFUNCTION("""COMPUTED_VALUE"""),"Uncle Sams Cider (5/13/2022)")</f>
        <v>Uncle Sams Cider (5/13/2022)</v>
      </c>
      <c r="H7025" s="19"/>
    </row>
    <row r="7026">
      <c r="A7026" s="9"/>
      <c r="B7026" s="15"/>
      <c r="C7026" s="9">
        <f>IFERROR(__xludf.DUMMYFUNCTION("""COMPUTED_VALUE"""),44723.358191956)</f>
        <v>44723.35819</v>
      </c>
      <c r="D7026" s="15">
        <f>IFERROR(__xludf.DUMMYFUNCTION("""COMPUTED_VALUE"""),1.007)</f>
        <v>1.007</v>
      </c>
      <c r="E7026" s="16">
        <f>IFERROR(__xludf.DUMMYFUNCTION("""COMPUTED_VALUE"""),68.0)</f>
        <v>68</v>
      </c>
      <c r="F7026" s="19" t="str">
        <f>IFERROR(__xludf.DUMMYFUNCTION("""COMPUTED_VALUE"""),"BLACK")</f>
        <v>BLACK</v>
      </c>
      <c r="G7026" s="20" t="str">
        <f>IFERROR(__xludf.DUMMYFUNCTION("""COMPUTED_VALUE"""),"Uncle Sams Cider (5/13/2022)")</f>
        <v>Uncle Sams Cider (5/13/2022)</v>
      </c>
      <c r="H7026" s="19"/>
    </row>
    <row r="7027">
      <c r="A7027" s="9"/>
      <c r="B7027" s="15"/>
      <c r="C7027" s="9">
        <f>IFERROR(__xludf.DUMMYFUNCTION("""COMPUTED_VALUE"""),44723.3477462037)</f>
        <v>44723.34775</v>
      </c>
      <c r="D7027" s="15">
        <f>IFERROR(__xludf.DUMMYFUNCTION("""COMPUTED_VALUE"""),1.007)</f>
        <v>1.007</v>
      </c>
      <c r="E7027" s="16">
        <f>IFERROR(__xludf.DUMMYFUNCTION("""COMPUTED_VALUE"""),68.0)</f>
        <v>68</v>
      </c>
      <c r="F7027" s="19" t="str">
        <f>IFERROR(__xludf.DUMMYFUNCTION("""COMPUTED_VALUE"""),"BLACK")</f>
        <v>BLACK</v>
      </c>
      <c r="G7027" s="20" t="str">
        <f>IFERROR(__xludf.DUMMYFUNCTION("""COMPUTED_VALUE"""),"Uncle Sams Cider (5/13/2022)")</f>
        <v>Uncle Sams Cider (5/13/2022)</v>
      </c>
      <c r="H7027" s="19"/>
    </row>
    <row r="7028">
      <c r="A7028" s="9"/>
      <c r="B7028" s="15"/>
      <c r="C7028" s="9">
        <f>IFERROR(__xludf.DUMMYFUNCTION("""COMPUTED_VALUE"""),44723.337314155)</f>
        <v>44723.33731</v>
      </c>
      <c r="D7028" s="15">
        <f>IFERROR(__xludf.DUMMYFUNCTION("""COMPUTED_VALUE"""),1.007)</f>
        <v>1.007</v>
      </c>
      <c r="E7028" s="16">
        <f>IFERROR(__xludf.DUMMYFUNCTION("""COMPUTED_VALUE"""),68.0)</f>
        <v>68</v>
      </c>
      <c r="F7028" s="19" t="str">
        <f>IFERROR(__xludf.DUMMYFUNCTION("""COMPUTED_VALUE"""),"BLACK")</f>
        <v>BLACK</v>
      </c>
      <c r="G7028" s="20" t="str">
        <f>IFERROR(__xludf.DUMMYFUNCTION("""COMPUTED_VALUE"""),"Uncle Sams Cider (5/13/2022)")</f>
        <v>Uncle Sams Cider (5/13/2022)</v>
      </c>
      <c r="H7028" s="19"/>
    </row>
    <row r="7029">
      <c r="A7029" s="9"/>
      <c r="B7029" s="15"/>
      <c r="C7029" s="9">
        <f>IFERROR(__xludf.DUMMYFUNCTION("""COMPUTED_VALUE"""),44723.3268932291)</f>
        <v>44723.32689</v>
      </c>
      <c r="D7029" s="15">
        <f>IFERROR(__xludf.DUMMYFUNCTION("""COMPUTED_VALUE"""),1.007)</f>
        <v>1.007</v>
      </c>
      <c r="E7029" s="16">
        <f>IFERROR(__xludf.DUMMYFUNCTION("""COMPUTED_VALUE"""),68.0)</f>
        <v>68</v>
      </c>
      <c r="F7029" s="19" t="str">
        <f>IFERROR(__xludf.DUMMYFUNCTION("""COMPUTED_VALUE"""),"BLACK")</f>
        <v>BLACK</v>
      </c>
      <c r="G7029" s="20" t="str">
        <f>IFERROR(__xludf.DUMMYFUNCTION("""COMPUTED_VALUE"""),"Uncle Sams Cider (5/13/2022)")</f>
        <v>Uncle Sams Cider (5/13/2022)</v>
      </c>
      <c r="H7029" s="19"/>
    </row>
    <row r="7030">
      <c r="A7030" s="9"/>
      <c r="B7030" s="15"/>
      <c r="C7030" s="9">
        <f>IFERROR(__xludf.DUMMYFUNCTION("""COMPUTED_VALUE"""),44723.3164718865)</f>
        <v>44723.31647</v>
      </c>
      <c r="D7030" s="15">
        <f>IFERROR(__xludf.DUMMYFUNCTION("""COMPUTED_VALUE"""),1.008)</f>
        <v>1.008</v>
      </c>
      <c r="E7030" s="16">
        <f>IFERROR(__xludf.DUMMYFUNCTION("""COMPUTED_VALUE"""),68.0)</f>
        <v>68</v>
      </c>
      <c r="F7030" s="19" t="str">
        <f>IFERROR(__xludf.DUMMYFUNCTION("""COMPUTED_VALUE"""),"BLACK")</f>
        <v>BLACK</v>
      </c>
      <c r="G7030" s="20" t="str">
        <f>IFERROR(__xludf.DUMMYFUNCTION("""COMPUTED_VALUE"""),"Uncle Sams Cider (5/13/2022)")</f>
        <v>Uncle Sams Cider (5/13/2022)</v>
      </c>
      <c r="H7030" s="19"/>
    </row>
    <row r="7031">
      <c r="A7031" s="9"/>
      <c r="B7031" s="15"/>
      <c r="C7031" s="9">
        <f>IFERROR(__xludf.DUMMYFUNCTION("""COMPUTED_VALUE"""),44723.3060505555)</f>
        <v>44723.30605</v>
      </c>
      <c r="D7031" s="15">
        <f>IFERROR(__xludf.DUMMYFUNCTION("""COMPUTED_VALUE"""),1.007)</f>
        <v>1.007</v>
      </c>
      <c r="E7031" s="16">
        <f>IFERROR(__xludf.DUMMYFUNCTION("""COMPUTED_VALUE"""),68.0)</f>
        <v>68</v>
      </c>
      <c r="F7031" s="19" t="str">
        <f>IFERROR(__xludf.DUMMYFUNCTION("""COMPUTED_VALUE"""),"BLACK")</f>
        <v>BLACK</v>
      </c>
      <c r="G7031" s="20" t="str">
        <f>IFERROR(__xludf.DUMMYFUNCTION("""COMPUTED_VALUE"""),"Uncle Sams Cider (5/13/2022)")</f>
        <v>Uncle Sams Cider (5/13/2022)</v>
      </c>
      <c r="H7031" s="19"/>
    </row>
    <row r="7032">
      <c r="A7032" s="9"/>
      <c r="B7032" s="15"/>
      <c r="C7032" s="9">
        <f>IFERROR(__xludf.DUMMYFUNCTION("""COMPUTED_VALUE"""),44723.2956289351)</f>
        <v>44723.29563</v>
      </c>
      <c r="D7032" s="15">
        <f>IFERROR(__xludf.DUMMYFUNCTION("""COMPUTED_VALUE"""),1.007)</f>
        <v>1.007</v>
      </c>
      <c r="E7032" s="16">
        <f>IFERROR(__xludf.DUMMYFUNCTION("""COMPUTED_VALUE"""),68.0)</f>
        <v>68</v>
      </c>
      <c r="F7032" s="19" t="str">
        <f>IFERROR(__xludf.DUMMYFUNCTION("""COMPUTED_VALUE"""),"BLACK")</f>
        <v>BLACK</v>
      </c>
      <c r="G7032" s="20" t="str">
        <f>IFERROR(__xludf.DUMMYFUNCTION("""COMPUTED_VALUE"""),"Uncle Sams Cider (5/13/2022)")</f>
        <v>Uncle Sams Cider (5/13/2022)</v>
      </c>
      <c r="H7032" s="19"/>
    </row>
    <row r="7033">
      <c r="A7033" s="9"/>
      <c r="B7033" s="15"/>
      <c r="C7033" s="9">
        <f>IFERROR(__xludf.DUMMYFUNCTION("""COMPUTED_VALUE"""),44723.2852064236)</f>
        <v>44723.28521</v>
      </c>
      <c r="D7033" s="15">
        <f>IFERROR(__xludf.DUMMYFUNCTION("""COMPUTED_VALUE"""),1.008)</f>
        <v>1.008</v>
      </c>
      <c r="E7033" s="16">
        <f>IFERROR(__xludf.DUMMYFUNCTION("""COMPUTED_VALUE"""),68.0)</f>
        <v>68</v>
      </c>
      <c r="F7033" s="19" t="str">
        <f>IFERROR(__xludf.DUMMYFUNCTION("""COMPUTED_VALUE"""),"BLACK")</f>
        <v>BLACK</v>
      </c>
      <c r="G7033" s="20" t="str">
        <f>IFERROR(__xludf.DUMMYFUNCTION("""COMPUTED_VALUE"""),"Uncle Sams Cider (5/13/2022)")</f>
        <v>Uncle Sams Cider (5/13/2022)</v>
      </c>
      <c r="H7033" s="19"/>
    </row>
    <row r="7034">
      <c r="A7034" s="9"/>
      <c r="B7034" s="15"/>
      <c r="C7034" s="9">
        <f>IFERROR(__xludf.DUMMYFUNCTION("""COMPUTED_VALUE"""),44723.2747848611)</f>
        <v>44723.27478</v>
      </c>
      <c r="D7034" s="15">
        <f>IFERROR(__xludf.DUMMYFUNCTION("""COMPUTED_VALUE"""),1.008)</f>
        <v>1.008</v>
      </c>
      <c r="E7034" s="16">
        <f>IFERROR(__xludf.DUMMYFUNCTION("""COMPUTED_VALUE"""),68.0)</f>
        <v>68</v>
      </c>
      <c r="F7034" s="19" t="str">
        <f>IFERROR(__xludf.DUMMYFUNCTION("""COMPUTED_VALUE"""),"BLACK")</f>
        <v>BLACK</v>
      </c>
      <c r="G7034" s="20" t="str">
        <f>IFERROR(__xludf.DUMMYFUNCTION("""COMPUTED_VALUE"""),"Uncle Sams Cider (5/13/2022)")</f>
        <v>Uncle Sams Cider (5/13/2022)</v>
      </c>
      <c r="H7034" s="19"/>
    </row>
    <row r="7035">
      <c r="A7035" s="9"/>
      <c r="B7035" s="15"/>
      <c r="C7035" s="9">
        <f>IFERROR(__xludf.DUMMYFUNCTION("""COMPUTED_VALUE"""),44723.264363125)</f>
        <v>44723.26436</v>
      </c>
      <c r="D7035" s="15">
        <f>IFERROR(__xludf.DUMMYFUNCTION("""COMPUTED_VALUE"""),1.007)</f>
        <v>1.007</v>
      </c>
      <c r="E7035" s="16">
        <f>IFERROR(__xludf.DUMMYFUNCTION("""COMPUTED_VALUE"""),68.0)</f>
        <v>68</v>
      </c>
      <c r="F7035" s="19" t="str">
        <f>IFERROR(__xludf.DUMMYFUNCTION("""COMPUTED_VALUE"""),"BLACK")</f>
        <v>BLACK</v>
      </c>
      <c r="G7035" s="20" t="str">
        <f>IFERROR(__xludf.DUMMYFUNCTION("""COMPUTED_VALUE"""),"Uncle Sams Cider (5/13/2022)")</f>
        <v>Uncle Sams Cider (5/13/2022)</v>
      </c>
      <c r="H7035" s="19"/>
    </row>
    <row r="7036">
      <c r="A7036" s="9"/>
      <c r="B7036" s="15"/>
      <c r="C7036" s="9">
        <f>IFERROR(__xludf.DUMMYFUNCTION("""COMPUTED_VALUE"""),44723.2539402662)</f>
        <v>44723.25394</v>
      </c>
      <c r="D7036" s="15">
        <f>IFERROR(__xludf.DUMMYFUNCTION("""COMPUTED_VALUE"""),1.007)</f>
        <v>1.007</v>
      </c>
      <c r="E7036" s="16">
        <f>IFERROR(__xludf.DUMMYFUNCTION("""COMPUTED_VALUE"""),68.0)</f>
        <v>68</v>
      </c>
      <c r="F7036" s="19" t="str">
        <f>IFERROR(__xludf.DUMMYFUNCTION("""COMPUTED_VALUE"""),"BLACK")</f>
        <v>BLACK</v>
      </c>
      <c r="G7036" s="20" t="str">
        <f>IFERROR(__xludf.DUMMYFUNCTION("""COMPUTED_VALUE"""),"Uncle Sams Cider (5/13/2022)")</f>
        <v>Uncle Sams Cider (5/13/2022)</v>
      </c>
      <c r="H7036" s="19"/>
    </row>
    <row r="7037">
      <c r="A7037" s="9"/>
      <c r="B7037" s="15"/>
      <c r="C7037" s="9">
        <f>IFERROR(__xludf.DUMMYFUNCTION("""COMPUTED_VALUE"""),44723.2435076273)</f>
        <v>44723.24351</v>
      </c>
      <c r="D7037" s="15">
        <f>IFERROR(__xludf.DUMMYFUNCTION("""COMPUTED_VALUE"""),1.007)</f>
        <v>1.007</v>
      </c>
      <c r="E7037" s="16">
        <f>IFERROR(__xludf.DUMMYFUNCTION("""COMPUTED_VALUE"""),68.0)</f>
        <v>68</v>
      </c>
      <c r="F7037" s="19" t="str">
        <f>IFERROR(__xludf.DUMMYFUNCTION("""COMPUTED_VALUE"""),"BLACK")</f>
        <v>BLACK</v>
      </c>
      <c r="G7037" s="20" t="str">
        <f>IFERROR(__xludf.DUMMYFUNCTION("""COMPUTED_VALUE"""),"Uncle Sams Cider (5/13/2022)")</f>
        <v>Uncle Sams Cider (5/13/2022)</v>
      </c>
      <c r="H7037" s="19"/>
    </row>
    <row r="7038">
      <c r="A7038" s="9"/>
      <c r="B7038" s="15"/>
      <c r="C7038" s="9">
        <f>IFERROR(__xludf.DUMMYFUNCTION("""COMPUTED_VALUE"""),44723.2330865277)</f>
        <v>44723.23309</v>
      </c>
      <c r="D7038" s="15">
        <f>IFERROR(__xludf.DUMMYFUNCTION("""COMPUTED_VALUE"""),1.008)</f>
        <v>1.008</v>
      </c>
      <c r="E7038" s="16">
        <f>IFERROR(__xludf.DUMMYFUNCTION("""COMPUTED_VALUE"""),68.0)</f>
        <v>68</v>
      </c>
      <c r="F7038" s="19" t="str">
        <f>IFERROR(__xludf.DUMMYFUNCTION("""COMPUTED_VALUE"""),"BLACK")</f>
        <v>BLACK</v>
      </c>
      <c r="G7038" s="20" t="str">
        <f>IFERROR(__xludf.DUMMYFUNCTION("""COMPUTED_VALUE"""),"Uncle Sams Cider (5/13/2022)")</f>
        <v>Uncle Sams Cider (5/13/2022)</v>
      </c>
      <c r="H7038" s="19"/>
    </row>
    <row r="7039">
      <c r="A7039" s="9"/>
      <c r="B7039" s="15"/>
      <c r="C7039" s="9">
        <f>IFERROR(__xludf.DUMMYFUNCTION("""COMPUTED_VALUE"""),44723.2226666782)</f>
        <v>44723.22267</v>
      </c>
      <c r="D7039" s="15">
        <f>IFERROR(__xludf.DUMMYFUNCTION("""COMPUTED_VALUE"""),1.008)</f>
        <v>1.008</v>
      </c>
      <c r="E7039" s="16">
        <f>IFERROR(__xludf.DUMMYFUNCTION("""COMPUTED_VALUE"""),68.0)</f>
        <v>68</v>
      </c>
      <c r="F7039" s="19" t="str">
        <f>IFERROR(__xludf.DUMMYFUNCTION("""COMPUTED_VALUE"""),"BLACK")</f>
        <v>BLACK</v>
      </c>
      <c r="G7039" s="20" t="str">
        <f>IFERROR(__xludf.DUMMYFUNCTION("""COMPUTED_VALUE"""),"Uncle Sams Cider (5/13/2022)")</f>
        <v>Uncle Sams Cider (5/13/2022)</v>
      </c>
      <c r="H7039" s="19"/>
    </row>
    <row r="7040">
      <c r="A7040" s="9"/>
      <c r="B7040" s="15"/>
      <c r="C7040" s="9">
        <f>IFERROR(__xludf.DUMMYFUNCTION("""COMPUTED_VALUE"""),44723.2122329398)</f>
        <v>44723.21223</v>
      </c>
      <c r="D7040" s="15">
        <f>IFERROR(__xludf.DUMMYFUNCTION("""COMPUTED_VALUE"""),1.008)</f>
        <v>1.008</v>
      </c>
      <c r="E7040" s="16">
        <f>IFERROR(__xludf.DUMMYFUNCTION("""COMPUTED_VALUE"""),68.0)</f>
        <v>68</v>
      </c>
      <c r="F7040" s="19" t="str">
        <f>IFERROR(__xludf.DUMMYFUNCTION("""COMPUTED_VALUE"""),"BLACK")</f>
        <v>BLACK</v>
      </c>
      <c r="G7040" s="20" t="str">
        <f>IFERROR(__xludf.DUMMYFUNCTION("""COMPUTED_VALUE"""),"Uncle Sams Cider (5/13/2022)")</f>
        <v>Uncle Sams Cider (5/13/2022)</v>
      </c>
      <c r="H7040" s="19"/>
    </row>
    <row r="7041">
      <c r="A7041" s="9"/>
      <c r="B7041" s="15"/>
      <c r="C7041" s="9">
        <f>IFERROR(__xludf.DUMMYFUNCTION("""COMPUTED_VALUE"""),44723.2018008564)</f>
        <v>44723.2018</v>
      </c>
      <c r="D7041" s="15">
        <f>IFERROR(__xludf.DUMMYFUNCTION("""COMPUTED_VALUE"""),1.008)</f>
        <v>1.008</v>
      </c>
      <c r="E7041" s="16">
        <f>IFERROR(__xludf.DUMMYFUNCTION("""COMPUTED_VALUE"""),68.0)</f>
        <v>68</v>
      </c>
      <c r="F7041" s="19" t="str">
        <f>IFERROR(__xludf.DUMMYFUNCTION("""COMPUTED_VALUE"""),"BLACK")</f>
        <v>BLACK</v>
      </c>
      <c r="G7041" s="20" t="str">
        <f>IFERROR(__xludf.DUMMYFUNCTION("""COMPUTED_VALUE"""),"Uncle Sams Cider (5/13/2022)")</f>
        <v>Uncle Sams Cider (5/13/2022)</v>
      </c>
      <c r="H7041" s="19"/>
    </row>
    <row r="7042">
      <c r="A7042" s="9"/>
      <c r="B7042" s="15"/>
      <c r="C7042" s="9">
        <f>IFERROR(__xludf.DUMMYFUNCTION("""COMPUTED_VALUE"""),44723.1913788078)</f>
        <v>44723.19138</v>
      </c>
      <c r="D7042" s="15">
        <f>IFERROR(__xludf.DUMMYFUNCTION("""COMPUTED_VALUE"""),1.008)</f>
        <v>1.008</v>
      </c>
      <c r="E7042" s="16">
        <f>IFERROR(__xludf.DUMMYFUNCTION("""COMPUTED_VALUE"""),68.0)</f>
        <v>68</v>
      </c>
      <c r="F7042" s="19" t="str">
        <f>IFERROR(__xludf.DUMMYFUNCTION("""COMPUTED_VALUE"""),"BLACK")</f>
        <v>BLACK</v>
      </c>
      <c r="G7042" s="20" t="str">
        <f>IFERROR(__xludf.DUMMYFUNCTION("""COMPUTED_VALUE"""),"Uncle Sams Cider (5/13/2022)")</f>
        <v>Uncle Sams Cider (5/13/2022)</v>
      </c>
      <c r="H7042" s="19"/>
    </row>
    <row r="7043">
      <c r="A7043" s="9"/>
      <c r="B7043" s="15"/>
      <c r="C7043" s="9">
        <f>IFERROR(__xludf.DUMMYFUNCTION("""COMPUTED_VALUE"""),44723.180957037)</f>
        <v>44723.18096</v>
      </c>
      <c r="D7043" s="15">
        <f>IFERROR(__xludf.DUMMYFUNCTION("""COMPUTED_VALUE"""),1.007)</f>
        <v>1.007</v>
      </c>
      <c r="E7043" s="16">
        <f>IFERROR(__xludf.DUMMYFUNCTION("""COMPUTED_VALUE"""),68.0)</f>
        <v>68</v>
      </c>
      <c r="F7043" s="19" t="str">
        <f>IFERROR(__xludf.DUMMYFUNCTION("""COMPUTED_VALUE"""),"BLACK")</f>
        <v>BLACK</v>
      </c>
      <c r="G7043" s="20" t="str">
        <f>IFERROR(__xludf.DUMMYFUNCTION("""COMPUTED_VALUE"""),"Uncle Sams Cider (5/13/2022)")</f>
        <v>Uncle Sams Cider (5/13/2022)</v>
      </c>
      <c r="H7043" s="19"/>
    </row>
    <row r="7044">
      <c r="A7044" s="9"/>
      <c r="B7044" s="15"/>
      <c r="C7044" s="9">
        <f>IFERROR(__xludf.DUMMYFUNCTION("""COMPUTED_VALUE"""),44723.1705234953)</f>
        <v>44723.17052</v>
      </c>
      <c r="D7044" s="15">
        <f>IFERROR(__xludf.DUMMYFUNCTION("""COMPUTED_VALUE"""),1.008)</f>
        <v>1.008</v>
      </c>
      <c r="E7044" s="16">
        <f>IFERROR(__xludf.DUMMYFUNCTION("""COMPUTED_VALUE"""),68.0)</f>
        <v>68</v>
      </c>
      <c r="F7044" s="19" t="str">
        <f>IFERROR(__xludf.DUMMYFUNCTION("""COMPUTED_VALUE"""),"BLACK")</f>
        <v>BLACK</v>
      </c>
      <c r="G7044" s="20" t="str">
        <f>IFERROR(__xludf.DUMMYFUNCTION("""COMPUTED_VALUE"""),"Uncle Sams Cider (5/13/2022)")</f>
        <v>Uncle Sams Cider (5/13/2022)</v>
      </c>
      <c r="H7044" s="19"/>
    </row>
    <row r="7045">
      <c r="A7045" s="9"/>
      <c r="B7045" s="15"/>
      <c r="C7045" s="9">
        <f>IFERROR(__xludf.DUMMYFUNCTION("""COMPUTED_VALUE"""),44723.1601008796)</f>
        <v>44723.1601</v>
      </c>
      <c r="D7045" s="15">
        <f>IFERROR(__xludf.DUMMYFUNCTION("""COMPUTED_VALUE"""),1.007)</f>
        <v>1.007</v>
      </c>
      <c r="E7045" s="16">
        <f>IFERROR(__xludf.DUMMYFUNCTION("""COMPUTED_VALUE"""),68.0)</f>
        <v>68</v>
      </c>
      <c r="F7045" s="19" t="str">
        <f>IFERROR(__xludf.DUMMYFUNCTION("""COMPUTED_VALUE"""),"BLACK")</f>
        <v>BLACK</v>
      </c>
      <c r="G7045" s="20" t="str">
        <f>IFERROR(__xludf.DUMMYFUNCTION("""COMPUTED_VALUE"""),"Uncle Sams Cider (5/13/2022)")</f>
        <v>Uncle Sams Cider (5/13/2022)</v>
      </c>
      <c r="H7045" s="19"/>
    </row>
    <row r="7046">
      <c r="A7046" s="9"/>
      <c r="B7046" s="15"/>
      <c r="C7046" s="9">
        <f>IFERROR(__xludf.DUMMYFUNCTION("""COMPUTED_VALUE"""),44723.1496565972)</f>
        <v>44723.14966</v>
      </c>
      <c r="D7046" s="15">
        <f>IFERROR(__xludf.DUMMYFUNCTION("""COMPUTED_VALUE"""),1.007)</f>
        <v>1.007</v>
      </c>
      <c r="E7046" s="16">
        <f>IFERROR(__xludf.DUMMYFUNCTION("""COMPUTED_VALUE"""),68.0)</f>
        <v>68</v>
      </c>
      <c r="F7046" s="19" t="str">
        <f>IFERROR(__xludf.DUMMYFUNCTION("""COMPUTED_VALUE"""),"BLACK")</f>
        <v>BLACK</v>
      </c>
      <c r="G7046" s="20" t="str">
        <f>IFERROR(__xludf.DUMMYFUNCTION("""COMPUTED_VALUE"""),"Uncle Sams Cider (5/13/2022)")</f>
        <v>Uncle Sams Cider (5/13/2022)</v>
      </c>
      <c r="H7046" s="19"/>
    </row>
    <row r="7047">
      <c r="A7047" s="9"/>
      <c r="B7047" s="15"/>
      <c r="C7047" s="9">
        <f>IFERROR(__xludf.DUMMYFUNCTION("""COMPUTED_VALUE"""),44723.1392368518)</f>
        <v>44723.13924</v>
      </c>
      <c r="D7047" s="15">
        <f>IFERROR(__xludf.DUMMYFUNCTION("""COMPUTED_VALUE"""),1.008)</f>
        <v>1.008</v>
      </c>
      <c r="E7047" s="16">
        <f>IFERROR(__xludf.DUMMYFUNCTION("""COMPUTED_VALUE"""),68.0)</f>
        <v>68</v>
      </c>
      <c r="F7047" s="19" t="str">
        <f>IFERROR(__xludf.DUMMYFUNCTION("""COMPUTED_VALUE"""),"BLACK")</f>
        <v>BLACK</v>
      </c>
      <c r="G7047" s="20" t="str">
        <f>IFERROR(__xludf.DUMMYFUNCTION("""COMPUTED_VALUE"""),"Uncle Sams Cider (5/13/2022)")</f>
        <v>Uncle Sams Cider (5/13/2022)</v>
      </c>
      <c r="H7047" s="19"/>
    </row>
    <row r="7048">
      <c r="A7048" s="9"/>
      <c r="B7048" s="15"/>
      <c r="C7048" s="9">
        <f>IFERROR(__xludf.DUMMYFUNCTION("""COMPUTED_VALUE"""),44723.1288045023)</f>
        <v>44723.1288</v>
      </c>
      <c r="D7048" s="15">
        <f>IFERROR(__xludf.DUMMYFUNCTION("""COMPUTED_VALUE"""),1.008)</f>
        <v>1.008</v>
      </c>
      <c r="E7048" s="16">
        <f>IFERROR(__xludf.DUMMYFUNCTION("""COMPUTED_VALUE"""),68.0)</f>
        <v>68</v>
      </c>
      <c r="F7048" s="19" t="str">
        <f>IFERROR(__xludf.DUMMYFUNCTION("""COMPUTED_VALUE"""),"BLACK")</f>
        <v>BLACK</v>
      </c>
      <c r="G7048" s="20" t="str">
        <f>IFERROR(__xludf.DUMMYFUNCTION("""COMPUTED_VALUE"""),"Uncle Sams Cider (5/13/2022)")</f>
        <v>Uncle Sams Cider (5/13/2022)</v>
      </c>
      <c r="H7048" s="19"/>
    </row>
    <row r="7049">
      <c r="A7049" s="9"/>
      <c r="B7049" s="15"/>
      <c r="C7049" s="9">
        <f>IFERROR(__xludf.DUMMYFUNCTION("""COMPUTED_VALUE"""),44723.1183834027)</f>
        <v>44723.11838</v>
      </c>
      <c r="D7049" s="15">
        <f>IFERROR(__xludf.DUMMYFUNCTION("""COMPUTED_VALUE"""),1.007)</f>
        <v>1.007</v>
      </c>
      <c r="E7049" s="16">
        <f>IFERROR(__xludf.DUMMYFUNCTION("""COMPUTED_VALUE"""),68.0)</f>
        <v>68</v>
      </c>
      <c r="F7049" s="19" t="str">
        <f>IFERROR(__xludf.DUMMYFUNCTION("""COMPUTED_VALUE"""),"BLACK")</f>
        <v>BLACK</v>
      </c>
      <c r="G7049" s="20" t="str">
        <f>IFERROR(__xludf.DUMMYFUNCTION("""COMPUTED_VALUE"""),"Uncle Sams Cider (5/13/2022)")</f>
        <v>Uncle Sams Cider (5/13/2022)</v>
      </c>
      <c r="H7049" s="19"/>
    </row>
    <row r="7050">
      <c r="A7050" s="9"/>
      <c r="B7050" s="15"/>
      <c r="C7050" s="9">
        <f>IFERROR(__xludf.DUMMYFUNCTION("""COMPUTED_VALUE"""),44723.1079635069)</f>
        <v>44723.10796</v>
      </c>
      <c r="D7050" s="15">
        <f>IFERROR(__xludf.DUMMYFUNCTION("""COMPUTED_VALUE"""),1.007)</f>
        <v>1.007</v>
      </c>
      <c r="E7050" s="16">
        <f>IFERROR(__xludf.DUMMYFUNCTION("""COMPUTED_VALUE"""),68.0)</f>
        <v>68</v>
      </c>
      <c r="F7050" s="19" t="str">
        <f>IFERROR(__xludf.DUMMYFUNCTION("""COMPUTED_VALUE"""),"BLACK")</f>
        <v>BLACK</v>
      </c>
      <c r="G7050" s="20" t="str">
        <f>IFERROR(__xludf.DUMMYFUNCTION("""COMPUTED_VALUE"""),"Uncle Sams Cider (5/13/2022)")</f>
        <v>Uncle Sams Cider (5/13/2022)</v>
      </c>
      <c r="H7050" s="19"/>
    </row>
    <row r="7051">
      <c r="A7051" s="9"/>
      <c r="B7051" s="15"/>
      <c r="C7051" s="9">
        <f>IFERROR(__xludf.DUMMYFUNCTION("""COMPUTED_VALUE"""),44723.0975402314)</f>
        <v>44723.09754</v>
      </c>
      <c r="D7051" s="15">
        <f>IFERROR(__xludf.DUMMYFUNCTION("""COMPUTED_VALUE"""),1.008)</f>
        <v>1.008</v>
      </c>
      <c r="E7051" s="16">
        <f>IFERROR(__xludf.DUMMYFUNCTION("""COMPUTED_VALUE"""),68.0)</f>
        <v>68</v>
      </c>
      <c r="F7051" s="19" t="str">
        <f>IFERROR(__xludf.DUMMYFUNCTION("""COMPUTED_VALUE"""),"BLACK")</f>
        <v>BLACK</v>
      </c>
      <c r="G7051" s="20" t="str">
        <f>IFERROR(__xludf.DUMMYFUNCTION("""COMPUTED_VALUE"""),"Uncle Sams Cider (5/13/2022)")</f>
        <v>Uncle Sams Cider (5/13/2022)</v>
      </c>
      <c r="H7051" s="19"/>
    </row>
    <row r="7052">
      <c r="A7052" s="9"/>
      <c r="B7052" s="15"/>
      <c r="C7052" s="9">
        <f>IFERROR(__xludf.DUMMYFUNCTION("""COMPUTED_VALUE"""),44723.0870960069)</f>
        <v>44723.0871</v>
      </c>
      <c r="D7052" s="15">
        <f>IFERROR(__xludf.DUMMYFUNCTION("""COMPUTED_VALUE"""),1.008)</f>
        <v>1.008</v>
      </c>
      <c r="E7052" s="16">
        <f>IFERROR(__xludf.DUMMYFUNCTION("""COMPUTED_VALUE"""),68.0)</f>
        <v>68</v>
      </c>
      <c r="F7052" s="19" t="str">
        <f>IFERROR(__xludf.DUMMYFUNCTION("""COMPUTED_VALUE"""),"BLACK")</f>
        <v>BLACK</v>
      </c>
      <c r="G7052" s="20" t="str">
        <f>IFERROR(__xludf.DUMMYFUNCTION("""COMPUTED_VALUE"""),"Uncle Sams Cider (5/13/2022)")</f>
        <v>Uncle Sams Cider (5/13/2022)</v>
      </c>
      <c r="H7052" s="19"/>
    </row>
    <row r="7053">
      <c r="A7053" s="9"/>
      <c r="B7053" s="15"/>
      <c r="C7053" s="9">
        <f>IFERROR(__xludf.DUMMYFUNCTION("""COMPUTED_VALUE"""),44723.0766727083)</f>
        <v>44723.07667</v>
      </c>
      <c r="D7053" s="15">
        <f>IFERROR(__xludf.DUMMYFUNCTION("""COMPUTED_VALUE"""),1.008)</f>
        <v>1.008</v>
      </c>
      <c r="E7053" s="16">
        <f>IFERROR(__xludf.DUMMYFUNCTION("""COMPUTED_VALUE"""),68.0)</f>
        <v>68</v>
      </c>
      <c r="F7053" s="19" t="str">
        <f>IFERROR(__xludf.DUMMYFUNCTION("""COMPUTED_VALUE"""),"BLACK")</f>
        <v>BLACK</v>
      </c>
      <c r="G7053" s="20" t="str">
        <f>IFERROR(__xludf.DUMMYFUNCTION("""COMPUTED_VALUE"""),"Uncle Sams Cider (5/13/2022)")</f>
        <v>Uncle Sams Cider (5/13/2022)</v>
      </c>
      <c r="H7053" s="19"/>
    </row>
    <row r="7054">
      <c r="A7054" s="9"/>
      <c r="B7054" s="15"/>
      <c r="C7054" s="9">
        <f>IFERROR(__xludf.DUMMYFUNCTION("""COMPUTED_VALUE"""),44723.066238912)</f>
        <v>44723.06624</v>
      </c>
      <c r="D7054" s="15">
        <f>IFERROR(__xludf.DUMMYFUNCTION("""COMPUTED_VALUE"""),1.007)</f>
        <v>1.007</v>
      </c>
      <c r="E7054" s="16">
        <f>IFERROR(__xludf.DUMMYFUNCTION("""COMPUTED_VALUE"""),68.0)</f>
        <v>68</v>
      </c>
      <c r="F7054" s="19" t="str">
        <f>IFERROR(__xludf.DUMMYFUNCTION("""COMPUTED_VALUE"""),"BLACK")</f>
        <v>BLACK</v>
      </c>
      <c r="G7054" s="20" t="str">
        <f>IFERROR(__xludf.DUMMYFUNCTION("""COMPUTED_VALUE"""),"Uncle Sams Cider (5/13/2022)")</f>
        <v>Uncle Sams Cider (5/13/2022)</v>
      </c>
      <c r="H7054" s="19"/>
    </row>
    <row r="7055">
      <c r="A7055" s="9"/>
      <c r="B7055" s="15"/>
      <c r="C7055" s="9">
        <f>IFERROR(__xludf.DUMMYFUNCTION("""COMPUTED_VALUE"""),44723.0558174421)</f>
        <v>44723.05582</v>
      </c>
      <c r="D7055" s="15">
        <f>IFERROR(__xludf.DUMMYFUNCTION("""COMPUTED_VALUE"""),1.008)</f>
        <v>1.008</v>
      </c>
      <c r="E7055" s="16">
        <f>IFERROR(__xludf.DUMMYFUNCTION("""COMPUTED_VALUE"""),68.0)</f>
        <v>68</v>
      </c>
      <c r="F7055" s="19" t="str">
        <f>IFERROR(__xludf.DUMMYFUNCTION("""COMPUTED_VALUE"""),"BLACK")</f>
        <v>BLACK</v>
      </c>
      <c r="G7055" s="20" t="str">
        <f>IFERROR(__xludf.DUMMYFUNCTION("""COMPUTED_VALUE"""),"Uncle Sams Cider (5/13/2022)")</f>
        <v>Uncle Sams Cider (5/13/2022)</v>
      </c>
      <c r="H7055" s="19"/>
    </row>
    <row r="7056">
      <c r="A7056" s="9"/>
      <c r="B7056" s="15"/>
      <c r="C7056" s="9">
        <f>IFERROR(__xludf.DUMMYFUNCTION("""COMPUTED_VALUE"""),44723.0453954513)</f>
        <v>44723.0454</v>
      </c>
      <c r="D7056" s="15">
        <f>IFERROR(__xludf.DUMMYFUNCTION("""COMPUTED_VALUE"""),1.008)</f>
        <v>1.008</v>
      </c>
      <c r="E7056" s="16">
        <f>IFERROR(__xludf.DUMMYFUNCTION("""COMPUTED_VALUE"""),68.0)</f>
        <v>68</v>
      </c>
      <c r="F7056" s="19" t="str">
        <f>IFERROR(__xludf.DUMMYFUNCTION("""COMPUTED_VALUE"""),"BLACK")</f>
        <v>BLACK</v>
      </c>
      <c r="G7056" s="20" t="str">
        <f>IFERROR(__xludf.DUMMYFUNCTION("""COMPUTED_VALUE"""),"Uncle Sams Cider (5/13/2022)")</f>
        <v>Uncle Sams Cider (5/13/2022)</v>
      </c>
      <c r="H7056" s="19"/>
    </row>
    <row r="7057">
      <c r="A7057" s="9"/>
      <c r="B7057" s="15"/>
      <c r="C7057" s="9">
        <f>IFERROR(__xludf.DUMMYFUNCTION("""COMPUTED_VALUE"""),44723.034974375)</f>
        <v>44723.03497</v>
      </c>
      <c r="D7057" s="15">
        <f>IFERROR(__xludf.DUMMYFUNCTION("""COMPUTED_VALUE"""),1.008)</f>
        <v>1.008</v>
      </c>
      <c r="E7057" s="16">
        <f>IFERROR(__xludf.DUMMYFUNCTION("""COMPUTED_VALUE"""),68.0)</f>
        <v>68</v>
      </c>
      <c r="F7057" s="19" t="str">
        <f>IFERROR(__xludf.DUMMYFUNCTION("""COMPUTED_VALUE"""),"BLACK")</f>
        <v>BLACK</v>
      </c>
      <c r="G7057" s="20" t="str">
        <f>IFERROR(__xludf.DUMMYFUNCTION("""COMPUTED_VALUE"""),"Uncle Sams Cider (5/13/2022)")</f>
        <v>Uncle Sams Cider (5/13/2022)</v>
      </c>
      <c r="H7057" s="19"/>
    </row>
    <row r="7058">
      <c r="A7058" s="9"/>
      <c r="B7058" s="15"/>
      <c r="C7058" s="9">
        <f>IFERROR(__xludf.DUMMYFUNCTION("""COMPUTED_VALUE"""),44723.0245529166)</f>
        <v>44723.02455</v>
      </c>
      <c r="D7058" s="15">
        <f>IFERROR(__xludf.DUMMYFUNCTION("""COMPUTED_VALUE"""),1.007)</f>
        <v>1.007</v>
      </c>
      <c r="E7058" s="16">
        <f>IFERROR(__xludf.DUMMYFUNCTION("""COMPUTED_VALUE"""),68.0)</f>
        <v>68</v>
      </c>
      <c r="F7058" s="19" t="str">
        <f>IFERROR(__xludf.DUMMYFUNCTION("""COMPUTED_VALUE"""),"BLACK")</f>
        <v>BLACK</v>
      </c>
      <c r="G7058" s="20" t="str">
        <f>IFERROR(__xludf.DUMMYFUNCTION("""COMPUTED_VALUE"""),"Uncle Sams Cider (5/13/2022)")</f>
        <v>Uncle Sams Cider (5/13/2022)</v>
      </c>
      <c r="H7058" s="19"/>
    </row>
    <row r="7059">
      <c r="A7059" s="9"/>
      <c r="B7059" s="15"/>
      <c r="C7059" s="9">
        <f>IFERROR(__xludf.DUMMYFUNCTION("""COMPUTED_VALUE"""),44723.0141318171)</f>
        <v>44723.01413</v>
      </c>
      <c r="D7059" s="15">
        <f>IFERROR(__xludf.DUMMYFUNCTION("""COMPUTED_VALUE"""),1.007)</f>
        <v>1.007</v>
      </c>
      <c r="E7059" s="16">
        <f>IFERROR(__xludf.DUMMYFUNCTION("""COMPUTED_VALUE"""),68.0)</f>
        <v>68</v>
      </c>
      <c r="F7059" s="19" t="str">
        <f>IFERROR(__xludf.DUMMYFUNCTION("""COMPUTED_VALUE"""),"BLACK")</f>
        <v>BLACK</v>
      </c>
      <c r="G7059" s="20" t="str">
        <f>IFERROR(__xludf.DUMMYFUNCTION("""COMPUTED_VALUE"""),"Uncle Sams Cider (5/13/2022)")</f>
        <v>Uncle Sams Cider (5/13/2022)</v>
      </c>
      <c r="H7059" s="19"/>
    </row>
    <row r="7060">
      <c r="A7060" s="9"/>
      <c r="B7060" s="15"/>
      <c r="C7060" s="9">
        <f>IFERROR(__xludf.DUMMYFUNCTION("""COMPUTED_VALUE"""),44723.0036876504)</f>
        <v>44723.00369</v>
      </c>
      <c r="D7060" s="15">
        <f>IFERROR(__xludf.DUMMYFUNCTION("""COMPUTED_VALUE"""),1.007)</f>
        <v>1.007</v>
      </c>
      <c r="E7060" s="16">
        <f>IFERROR(__xludf.DUMMYFUNCTION("""COMPUTED_VALUE"""),68.0)</f>
        <v>68</v>
      </c>
      <c r="F7060" s="19" t="str">
        <f>IFERROR(__xludf.DUMMYFUNCTION("""COMPUTED_VALUE"""),"BLACK")</f>
        <v>BLACK</v>
      </c>
      <c r="G7060" s="20" t="str">
        <f>IFERROR(__xludf.DUMMYFUNCTION("""COMPUTED_VALUE"""),"Uncle Sams Cider (5/13/2022)")</f>
        <v>Uncle Sams Cider (5/13/2022)</v>
      </c>
      <c r="H7060" s="19"/>
    </row>
    <row r="7061">
      <c r="A7061" s="9"/>
      <c r="B7061" s="15"/>
      <c r="C7061" s="9">
        <f>IFERROR(__xludf.DUMMYFUNCTION("""COMPUTED_VALUE"""),44722.9932653935)</f>
        <v>44722.99327</v>
      </c>
      <c r="D7061" s="15">
        <f>IFERROR(__xludf.DUMMYFUNCTION("""COMPUTED_VALUE"""),1.007)</f>
        <v>1.007</v>
      </c>
      <c r="E7061" s="16">
        <f>IFERROR(__xludf.DUMMYFUNCTION("""COMPUTED_VALUE"""),68.0)</f>
        <v>68</v>
      </c>
      <c r="F7061" s="19" t="str">
        <f>IFERROR(__xludf.DUMMYFUNCTION("""COMPUTED_VALUE"""),"BLACK")</f>
        <v>BLACK</v>
      </c>
      <c r="G7061" s="20" t="str">
        <f>IFERROR(__xludf.DUMMYFUNCTION("""COMPUTED_VALUE"""),"Uncle Sams Cider (5/13/2022)")</f>
        <v>Uncle Sams Cider (5/13/2022)</v>
      </c>
      <c r="H7061" s="19"/>
    </row>
    <row r="7062">
      <c r="A7062" s="9"/>
      <c r="B7062" s="15"/>
      <c r="C7062" s="9">
        <f>IFERROR(__xludf.DUMMYFUNCTION("""COMPUTED_VALUE"""),44722.9828446874)</f>
        <v>44722.98284</v>
      </c>
      <c r="D7062" s="15">
        <f>IFERROR(__xludf.DUMMYFUNCTION("""COMPUTED_VALUE"""),1.008)</f>
        <v>1.008</v>
      </c>
      <c r="E7062" s="16">
        <f>IFERROR(__xludf.DUMMYFUNCTION("""COMPUTED_VALUE"""),68.0)</f>
        <v>68</v>
      </c>
      <c r="F7062" s="19" t="str">
        <f>IFERROR(__xludf.DUMMYFUNCTION("""COMPUTED_VALUE"""),"BLACK")</f>
        <v>BLACK</v>
      </c>
      <c r="G7062" s="20" t="str">
        <f>IFERROR(__xludf.DUMMYFUNCTION("""COMPUTED_VALUE"""),"Uncle Sams Cider (5/13/2022)")</f>
        <v>Uncle Sams Cider (5/13/2022)</v>
      </c>
      <c r="H7062" s="19"/>
    </row>
    <row r="7063">
      <c r="A7063" s="9"/>
      <c r="B7063" s="15"/>
      <c r="C7063" s="9">
        <f>IFERROR(__xludf.DUMMYFUNCTION("""COMPUTED_VALUE"""),44722.9724012963)</f>
        <v>44722.9724</v>
      </c>
      <c r="D7063" s="15">
        <f>IFERROR(__xludf.DUMMYFUNCTION("""COMPUTED_VALUE"""),1.008)</f>
        <v>1.008</v>
      </c>
      <c r="E7063" s="16">
        <f>IFERROR(__xludf.DUMMYFUNCTION("""COMPUTED_VALUE"""),68.0)</f>
        <v>68</v>
      </c>
      <c r="F7063" s="19" t="str">
        <f>IFERROR(__xludf.DUMMYFUNCTION("""COMPUTED_VALUE"""),"BLACK")</f>
        <v>BLACK</v>
      </c>
      <c r="G7063" s="20" t="str">
        <f>IFERROR(__xludf.DUMMYFUNCTION("""COMPUTED_VALUE"""),"Uncle Sams Cider (5/13/2022)")</f>
        <v>Uncle Sams Cider (5/13/2022)</v>
      </c>
      <c r="H7063" s="19"/>
    </row>
    <row r="7064">
      <c r="A7064" s="9"/>
      <c r="B7064" s="15"/>
      <c r="C7064" s="9">
        <f>IFERROR(__xludf.DUMMYFUNCTION("""COMPUTED_VALUE"""),44722.9619800231)</f>
        <v>44722.96198</v>
      </c>
      <c r="D7064" s="15">
        <f>IFERROR(__xludf.DUMMYFUNCTION("""COMPUTED_VALUE"""),1.008)</f>
        <v>1.008</v>
      </c>
      <c r="E7064" s="16">
        <f>IFERROR(__xludf.DUMMYFUNCTION("""COMPUTED_VALUE"""),68.0)</f>
        <v>68</v>
      </c>
      <c r="F7064" s="19" t="str">
        <f>IFERROR(__xludf.DUMMYFUNCTION("""COMPUTED_VALUE"""),"BLACK")</f>
        <v>BLACK</v>
      </c>
      <c r="G7064" s="20" t="str">
        <f>IFERROR(__xludf.DUMMYFUNCTION("""COMPUTED_VALUE"""),"Uncle Sams Cider (5/13/2022)")</f>
        <v>Uncle Sams Cider (5/13/2022)</v>
      </c>
      <c r="H7064" s="19"/>
    </row>
    <row r="7065">
      <c r="A7065" s="9"/>
      <c r="B7065" s="15"/>
      <c r="C7065" s="9">
        <f>IFERROR(__xludf.DUMMYFUNCTION("""COMPUTED_VALUE"""),44722.9515349189)</f>
        <v>44722.95153</v>
      </c>
      <c r="D7065" s="15">
        <f>IFERROR(__xludf.DUMMYFUNCTION("""COMPUTED_VALUE"""),1.008)</f>
        <v>1.008</v>
      </c>
      <c r="E7065" s="16">
        <f>IFERROR(__xludf.DUMMYFUNCTION("""COMPUTED_VALUE"""),68.0)</f>
        <v>68</v>
      </c>
      <c r="F7065" s="19" t="str">
        <f>IFERROR(__xludf.DUMMYFUNCTION("""COMPUTED_VALUE"""),"BLACK")</f>
        <v>BLACK</v>
      </c>
      <c r="G7065" s="20" t="str">
        <f>IFERROR(__xludf.DUMMYFUNCTION("""COMPUTED_VALUE"""),"Uncle Sams Cider (5/13/2022)")</f>
        <v>Uncle Sams Cider (5/13/2022)</v>
      </c>
      <c r="H7065" s="19"/>
    </row>
    <row r="7066">
      <c r="A7066" s="9"/>
      <c r="B7066" s="15"/>
      <c r="C7066" s="9">
        <f>IFERROR(__xludf.DUMMYFUNCTION("""COMPUTED_VALUE"""),44722.9411138194)</f>
        <v>44722.94111</v>
      </c>
      <c r="D7066" s="15">
        <f>IFERROR(__xludf.DUMMYFUNCTION("""COMPUTED_VALUE"""),1.008)</f>
        <v>1.008</v>
      </c>
      <c r="E7066" s="16">
        <f>IFERROR(__xludf.DUMMYFUNCTION("""COMPUTED_VALUE"""),68.0)</f>
        <v>68</v>
      </c>
      <c r="F7066" s="19" t="str">
        <f>IFERROR(__xludf.DUMMYFUNCTION("""COMPUTED_VALUE"""),"BLACK")</f>
        <v>BLACK</v>
      </c>
      <c r="G7066" s="20" t="str">
        <f>IFERROR(__xludf.DUMMYFUNCTION("""COMPUTED_VALUE"""),"Uncle Sams Cider (5/13/2022)")</f>
        <v>Uncle Sams Cider (5/13/2022)</v>
      </c>
      <c r="H7066" s="19"/>
    </row>
    <row r="7067">
      <c r="A7067" s="9"/>
      <c r="B7067" s="15"/>
      <c r="C7067" s="9">
        <f>IFERROR(__xludf.DUMMYFUNCTION("""COMPUTED_VALUE"""),44722.9306906944)</f>
        <v>44722.93069</v>
      </c>
      <c r="D7067" s="15">
        <f>IFERROR(__xludf.DUMMYFUNCTION("""COMPUTED_VALUE"""),1.008)</f>
        <v>1.008</v>
      </c>
      <c r="E7067" s="16">
        <f>IFERROR(__xludf.DUMMYFUNCTION("""COMPUTED_VALUE"""),68.0)</f>
        <v>68</v>
      </c>
      <c r="F7067" s="19" t="str">
        <f>IFERROR(__xludf.DUMMYFUNCTION("""COMPUTED_VALUE"""),"BLACK")</f>
        <v>BLACK</v>
      </c>
      <c r="G7067" s="20" t="str">
        <f>IFERROR(__xludf.DUMMYFUNCTION("""COMPUTED_VALUE"""),"Uncle Sams Cider (5/13/2022)")</f>
        <v>Uncle Sams Cider (5/13/2022)</v>
      </c>
      <c r="H7067" s="19"/>
    </row>
    <row r="7068">
      <c r="A7068" s="9"/>
      <c r="B7068" s="15"/>
      <c r="C7068" s="9">
        <f>IFERROR(__xludf.DUMMYFUNCTION("""COMPUTED_VALUE"""),44722.920270081)</f>
        <v>44722.92027</v>
      </c>
      <c r="D7068" s="15">
        <f>IFERROR(__xludf.DUMMYFUNCTION("""COMPUTED_VALUE"""),1.008)</f>
        <v>1.008</v>
      </c>
      <c r="E7068" s="16">
        <f>IFERROR(__xludf.DUMMYFUNCTION("""COMPUTED_VALUE"""),68.0)</f>
        <v>68</v>
      </c>
      <c r="F7068" s="19" t="str">
        <f>IFERROR(__xludf.DUMMYFUNCTION("""COMPUTED_VALUE"""),"BLACK")</f>
        <v>BLACK</v>
      </c>
      <c r="G7068" s="20" t="str">
        <f>IFERROR(__xludf.DUMMYFUNCTION("""COMPUTED_VALUE"""),"Uncle Sams Cider (5/13/2022)")</f>
        <v>Uncle Sams Cider (5/13/2022)</v>
      </c>
      <c r="H7068" s="19"/>
    </row>
    <row r="7069">
      <c r="A7069" s="9"/>
      <c r="B7069" s="15"/>
      <c r="C7069" s="9">
        <f>IFERROR(__xludf.DUMMYFUNCTION("""COMPUTED_VALUE"""),44722.9098489004)</f>
        <v>44722.90985</v>
      </c>
      <c r="D7069" s="15">
        <f>IFERROR(__xludf.DUMMYFUNCTION("""COMPUTED_VALUE"""),1.008)</f>
        <v>1.008</v>
      </c>
      <c r="E7069" s="16">
        <f>IFERROR(__xludf.DUMMYFUNCTION("""COMPUTED_VALUE"""),68.0)</f>
        <v>68</v>
      </c>
      <c r="F7069" s="19" t="str">
        <f>IFERROR(__xludf.DUMMYFUNCTION("""COMPUTED_VALUE"""),"BLACK")</f>
        <v>BLACK</v>
      </c>
      <c r="G7069" s="20" t="str">
        <f>IFERROR(__xludf.DUMMYFUNCTION("""COMPUTED_VALUE"""),"Uncle Sams Cider (5/13/2022)")</f>
        <v>Uncle Sams Cider (5/13/2022)</v>
      </c>
      <c r="H7069" s="19"/>
    </row>
    <row r="7070">
      <c r="A7070" s="9"/>
      <c r="B7070" s="15"/>
      <c r="C7070" s="9">
        <f>IFERROR(__xludf.DUMMYFUNCTION("""COMPUTED_VALUE"""),44722.899428993)</f>
        <v>44722.89943</v>
      </c>
      <c r="D7070" s="15">
        <f>IFERROR(__xludf.DUMMYFUNCTION("""COMPUTED_VALUE"""),1.008)</f>
        <v>1.008</v>
      </c>
      <c r="E7070" s="16">
        <f>IFERROR(__xludf.DUMMYFUNCTION("""COMPUTED_VALUE"""),68.0)</f>
        <v>68</v>
      </c>
      <c r="F7070" s="19" t="str">
        <f>IFERROR(__xludf.DUMMYFUNCTION("""COMPUTED_VALUE"""),"BLACK")</f>
        <v>BLACK</v>
      </c>
      <c r="G7070" s="20" t="str">
        <f>IFERROR(__xludf.DUMMYFUNCTION("""COMPUTED_VALUE"""),"Uncle Sams Cider (5/13/2022)")</f>
        <v>Uncle Sams Cider (5/13/2022)</v>
      </c>
      <c r="H7070" s="19"/>
    </row>
    <row r="7071">
      <c r="A7071" s="9"/>
      <c r="B7071" s="15"/>
      <c r="C7071" s="9">
        <f>IFERROR(__xludf.DUMMYFUNCTION("""COMPUTED_VALUE"""),44722.889006412)</f>
        <v>44722.88901</v>
      </c>
      <c r="D7071" s="15">
        <f>IFERROR(__xludf.DUMMYFUNCTION("""COMPUTED_VALUE"""),1.008)</f>
        <v>1.008</v>
      </c>
      <c r="E7071" s="16">
        <f>IFERROR(__xludf.DUMMYFUNCTION("""COMPUTED_VALUE"""),68.0)</f>
        <v>68</v>
      </c>
      <c r="F7071" s="19" t="str">
        <f>IFERROR(__xludf.DUMMYFUNCTION("""COMPUTED_VALUE"""),"BLACK")</f>
        <v>BLACK</v>
      </c>
      <c r="G7071" s="20" t="str">
        <f>IFERROR(__xludf.DUMMYFUNCTION("""COMPUTED_VALUE"""),"Uncle Sams Cider (5/13/2022)")</f>
        <v>Uncle Sams Cider (5/13/2022)</v>
      </c>
      <c r="H7071" s="19"/>
    </row>
    <row r="7072">
      <c r="A7072" s="9"/>
      <c r="B7072" s="15"/>
      <c r="C7072" s="9">
        <f>IFERROR(__xludf.DUMMYFUNCTION("""COMPUTED_VALUE"""),44722.8785733101)</f>
        <v>44722.87857</v>
      </c>
      <c r="D7072" s="15">
        <f>IFERROR(__xludf.DUMMYFUNCTION("""COMPUTED_VALUE"""),1.007)</f>
        <v>1.007</v>
      </c>
      <c r="E7072" s="16">
        <f>IFERROR(__xludf.DUMMYFUNCTION("""COMPUTED_VALUE"""),68.0)</f>
        <v>68</v>
      </c>
      <c r="F7072" s="19" t="str">
        <f>IFERROR(__xludf.DUMMYFUNCTION("""COMPUTED_VALUE"""),"BLACK")</f>
        <v>BLACK</v>
      </c>
      <c r="G7072" s="20" t="str">
        <f>IFERROR(__xludf.DUMMYFUNCTION("""COMPUTED_VALUE"""),"Uncle Sams Cider (5/13/2022)")</f>
        <v>Uncle Sams Cider (5/13/2022)</v>
      </c>
      <c r="H7072" s="19"/>
    </row>
    <row r="7073">
      <c r="A7073" s="9"/>
      <c r="B7073" s="15"/>
      <c r="C7073" s="9">
        <f>IFERROR(__xludf.DUMMYFUNCTION("""COMPUTED_VALUE"""),44722.8681522453)</f>
        <v>44722.86815</v>
      </c>
      <c r="D7073" s="15">
        <f>IFERROR(__xludf.DUMMYFUNCTION("""COMPUTED_VALUE"""),1.008)</f>
        <v>1.008</v>
      </c>
      <c r="E7073" s="16">
        <f>IFERROR(__xludf.DUMMYFUNCTION("""COMPUTED_VALUE"""),68.0)</f>
        <v>68</v>
      </c>
      <c r="F7073" s="19" t="str">
        <f>IFERROR(__xludf.DUMMYFUNCTION("""COMPUTED_VALUE"""),"BLACK")</f>
        <v>BLACK</v>
      </c>
      <c r="G7073" s="20" t="str">
        <f>IFERROR(__xludf.DUMMYFUNCTION("""COMPUTED_VALUE"""),"Uncle Sams Cider (5/13/2022)")</f>
        <v>Uncle Sams Cider (5/13/2022)</v>
      </c>
      <c r="H7073" s="19"/>
    </row>
    <row r="7074">
      <c r="A7074" s="9"/>
      <c r="B7074" s="15"/>
      <c r="C7074" s="9">
        <f>IFERROR(__xludf.DUMMYFUNCTION("""COMPUTED_VALUE"""),44722.8577077662)</f>
        <v>44722.85771</v>
      </c>
      <c r="D7074" s="15">
        <f>IFERROR(__xludf.DUMMYFUNCTION("""COMPUTED_VALUE"""),1.008)</f>
        <v>1.008</v>
      </c>
      <c r="E7074" s="16">
        <f>IFERROR(__xludf.DUMMYFUNCTION("""COMPUTED_VALUE"""),68.0)</f>
        <v>68</v>
      </c>
      <c r="F7074" s="19" t="str">
        <f>IFERROR(__xludf.DUMMYFUNCTION("""COMPUTED_VALUE"""),"BLACK")</f>
        <v>BLACK</v>
      </c>
      <c r="G7074" s="20" t="str">
        <f>IFERROR(__xludf.DUMMYFUNCTION("""COMPUTED_VALUE"""),"Uncle Sams Cider (5/13/2022)")</f>
        <v>Uncle Sams Cider (5/13/2022)</v>
      </c>
      <c r="H7074" s="19"/>
    </row>
    <row r="7075">
      <c r="A7075" s="9"/>
      <c r="B7075" s="15"/>
      <c r="C7075" s="9">
        <f>IFERROR(__xludf.DUMMYFUNCTION("""COMPUTED_VALUE"""),44722.8472861342)</f>
        <v>44722.84729</v>
      </c>
      <c r="D7075" s="15">
        <f>IFERROR(__xludf.DUMMYFUNCTION("""COMPUTED_VALUE"""),1.008)</f>
        <v>1.008</v>
      </c>
      <c r="E7075" s="16">
        <f>IFERROR(__xludf.DUMMYFUNCTION("""COMPUTED_VALUE"""),68.0)</f>
        <v>68</v>
      </c>
      <c r="F7075" s="19" t="str">
        <f>IFERROR(__xludf.DUMMYFUNCTION("""COMPUTED_VALUE"""),"BLACK")</f>
        <v>BLACK</v>
      </c>
      <c r="G7075" s="20" t="str">
        <f>IFERROR(__xludf.DUMMYFUNCTION("""COMPUTED_VALUE"""),"Uncle Sams Cider (5/13/2022)")</f>
        <v>Uncle Sams Cider (5/13/2022)</v>
      </c>
      <c r="H7075" s="19"/>
    </row>
    <row r="7076">
      <c r="A7076" s="9"/>
      <c r="B7076" s="15"/>
      <c r="C7076" s="9">
        <f>IFERROR(__xludf.DUMMYFUNCTION("""COMPUTED_VALUE"""),44722.836864618)</f>
        <v>44722.83686</v>
      </c>
      <c r="D7076" s="15">
        <f>IFERROR(__xludf.DUMMYFUNCTION("""COMPUTED_VALUE"""),1.008)</f>
        <v>1.008</v>
      </c>
      <c r="E7076" s="16">
        <f>IFERROR(__xludf.DUMMYFUNCTION("""COMPUTED_VALUE"""),68.0)</f>
        <v>68</v>
      </c>
      <c r="F7076" s="19" t="str">
        <f>IFERROR(__xludf.DUMMYFUNCTION("""COMPUTED_VALUE"""),"BLACK")</f>
        <v>BLACK</v>
      </c>
      <c r="G7076" s="20" t="str">
        <f>IFERROR(__xludf.DUMMYFUNCTION("""COMPUTED_VALUE"""),"Uncle Sams Cider (5/13/2022)")</f>
        <v>Uncle Sams Cider (5/13/2022)</v>
      </c>
      <c r="H7076" s="19"/>
    </row>
    <row r="7077">
      <c r="A7077" s="9"/>
      <c r="B7077" s="15"/>
      <c r="C7077" s="9">
        <f>IFERROR(__xludf.DUMMYFUNCTION("""COMPUTED_VALUE"""),44722.8264439699)</f>
        <v>44722.82644</v>
      </c>
      <c r="D7077" s="15">
        <f>IFERROR(__xludf.DUMMYFUNCTION("""COMPUTED_VALUE"""),1.008)</f>
        <v>1.008</v>
      </c>
      <c r="E7077" s="16">
        <f>IFERROR(__xludf.DUMMYFUNCTION("""COMPUTED_VALUE"""),68.0)</f>
        <v>68</v>
      </c>
      <c r="F7077" s="19" t="str">
        <f>IFERROR(__xludf.DUMMYFUNCTION("""COMPUTED_VALUE"""),"BLACK")</f>
        <v>BLACK</v>
      </c>
      <c r="G7077" s="20" t="str">
        <f>IFERROR(__xludf.DUMMYFUNCTION("""COMPUTED_VALUE"""),"Uncle Sams Cider (5/13/2022)")</f>
        <v>Uncle Sams Cider (5/13/2022)</v>
      </c>
      <c r="H7077" s="19"/>
    </row>
    <row r="7078">
      <c r="A7078" s="9"/>
      <c r="B7078" s="15"/>
      <c r="C7078" s="9">
        <f>IFERROR(__xludf.DUMMYFUNCTION("""COMPUTED_VALUE"""),44722.8160203125)</f>
        <v>44722.81602</v>
      </c>
      <c r="D7078" s="15">
        <f>IFERROR(__xludf.DUMMYFUNCTION("""COMPUTED_VALUE"""),1.008)</f>
        <v>1.008</v>
      </c>
      <c r="E7078" s="16">
        <f>IFERROR(__xludf.DUMMYFUNCTION("""COMPUTED_VALUE"""),68.0)</f>
        <v>68</v>
      </c>
      <c r="F7078" s="19" t="str">
        <f>IFERROR(__xludf.DUMMYFUNCTION("""COMPUTED_VALUE"""),"BLACK")</f>
        <v>BLACK</v>
      </c>
      <c r="G7078" s="20" t="str">
        <f>IFERROR(__xludf.DUMMYFUNCTION("""COMPUTED_VALUE"""),"Uncle Sams Cider (5/13/2022)")</f>
        <v>Uncle Sams Cider (5/13/2022)</v>
      </c>
      <c r="H7078" s="19"/>
    </row>
    <row r="7079">
      <c r="A7079" s="9"/>
      <c r="B7079" s="15"/>
      <c r="C7079" s="9">
        <f>IFERROR(__xludf.DUMMYFUNCTION("""COMPUTED_VALUE"""),44722.8055993171)</f>
        <v>44722.8056</v>
      </c>
      <c r="D7079" s="15">
        <f>IFERROR(__xludf.DUMMYFUNCTION("""COMPUTED_VALUE"""),1.008)</f>
        <v>1.008</v>
      </c>
      <c r="E7079" s="16">
        <f>IFERROR(__xludf.DUMMYFUNCTION("""COMPUTED_VALUE"""),68.0)</f>
        <v>68</v>
      </c>
      <c r="F7079" s="19" t="str">
        <f>IFERROR(__xludf.DUMMYFUNCTION("""COMPUTED_VALUE"""),"BLACK")</f>
        <v>BLACK</v>
      </c>
      <c r="G7079" s="20" t="str">
        <f>IFERROR(__xludf.DUMMYFUNCTION("""COMPUTED_VALUE"""),"Uncle Sams Cider (5/13/2022)")</f>
        <v>Uncle Sams Cider (5/13/2022)</v>
      </c>
      <c r="H7079" s="19"/>
    </row>
    <row r="7080">
      <c r="A7080" s="9"/>
      <c r="B7080" s="15"/>
      <c r="C7080" s="9">
        <f>IFERROR(__xludf.DUMMYFUNCTION("""COMPUTED_VALUE"""),44722.7951786689)</f>
        <v>44722.79518</v>
      </c>
      <c r="D7080" s="15">
        <f>IFERROR(__xludf.DUMMYFUNCTION("""COMPUTED_VALUE"""),1.008)</f>
        <v>1.008</v>
      </c>
      <c r="E7080" s="16">
        <f>IFERROR(__xludf.DUMMYFUNCTION("""COMPUTED_VALUE"""),68.0)</f>
        <v>68</v>
      </c>
      <c r="F7080" s="19" t="str">
        <f>IFERROR(__xludf.DUMMYFUNCTION("""COMPUTED_VALUE"""),"BLACK")</f>
        <v>BLACK</v>
      </c>
      <c r="G7080" s="20" t="str">
        <f>IFERROR(__xludf.DUMMYFUNCTION("""COMPUTED_VALUE"""),"Uncle Sams Cider (5/13/2022)")</f>
        <v>Uncle Sams Cider (5/13/2022)</v>
      </c>
      <c r="H7080" s="19"/>
    </row>
    <row r="7081">
      <c r="A7081" s="9"/>
      <c r="B7081" s="15"/>
      <c r="C7081" s="9">
        <f>IFERROR(__xludf.DUMMYFUNCTION("""COMPUTED_VALUE"""),44722.7847339814)</f>
        <v>44722.78473</v>
      </c>
      <c r="D7081" s="15">
        <f>IFERROR(__xludf.DUMMYFUNCTION("""COMPUTED_VALUE"""),1.008)</f>
        <v>1.008</v>
      </c>
      <c r="E7081" s="16">
        <f>IFERROR(__xludf.DUMMYFUNCTION("""COMPUTED_VALUE"""),68.0)</f>
        <v>68</v>
      </c>
      <c r="F7081" s="19" t="str">
        <f>IFERROR(__xludf.DUMMYFUNCTION("""COMPUTED_VALUE"""),"BLACK")</f>
        <v>BLACK</v>
      </c>
      <c r="G7081" s="20" t="str">
        <f>IFERROR(__xludf.DUMMYFUNCTION("""COMPUTED_VALUE"""),"Uncle Sams Cider (5/13/2022)")</f>
        <v>Uncle Sams Cider (5/13/2022)</v>
      </c>
      <c r="H7081" s="19"/>
    </row>
    <row r="7082">
      <c r="A7082" s="9"/>
      <c r="B7082" s="15"/>
      <c r="C7082" s="9">
        <f>IFERROR(__xludf.DUMMYFUNCTION("""COMPUTED_VALUE"""),44722.7743125115)</f>
        <v>44722.77431</v>
      </c>
      <c r="D7082" s="15">
        <f>IFERROR(__xludf.DUMMYFUNCTION("""COMPUTED_VALUE"""),1.008)</f>
        <v>1.008</v>
      </c>
      <c r="E7082" s="16">
        <f>IFERROR(__xludf.DUMMYFUNCTION("""COMPUTED_VALUE"""),68.0)</f>
        <v>68</v>
      </c>
      <c r="F7082" s="19" t="str">
        <f>IFERROR(__xludf.DUMMYFUNCTION("""COMPUTED_VALUE"""),"BLACK")</f>
        <v>BLACK</v>
      </c>
      <c r="G7082" s="20" t="str">
        <f>IFERROR(__xludf.DUMMYFUNCTION("""COMPUTED_VALUE"""),"Uncle Sams Cider (5/13/2022)")</f>
        <v>Uncle Sams Cider (5/13/2022)</v>
      </c>
      <c r="H7082" s="19"/>
    </row>
    <row r="7083">
      <c r="A7083" s="9"/>
      <c r="B7083" s="15"/>
      <c r="C7083" s="9">
        <f>IFERROR(__xludf.DUMMYFUNCTION("""COMPUTED_VALUE"""),44722.7638802314)</f>
        <v>44722.76388</v>
      </c>
      <c r="D7083" s="15">
        <f>IFERROR(__xludf.DUMMYFUNCTION("""COMPUTED_VALUE"""),1.008)</f>
        <v>1.008</v>
      </c>
      <c r="E7083" s="16">
        <f>IFERROR(__xludf.DUMMYFUNCTION("""COMPUTED_VALUE"""),68.0)</f>
        <v>68</v>
      </c>
      <c r="F7083" s="19" t="str">
        <f>IFERROR(__xludf.DUMMYFUNCTION("""COMPUTED_VALUE"""),"BLACK")</f>
        <v>BLACK</v>
      </c>
      <c r="G7083" s="20" t="str">
        <f>IFERROR(__xludf.DUMMYFUNCTION("""COMPUTED_VALUE"""),"Uncle Sams Cider (5/13/2022)")</f>
        <v>Uncle Sams Cider (5/13/2022)</v>
      </c>
      <c r="H7083" s="19"/>
    </row>
    <row r="7084">
      <c r="A7084" s="9"/>
      <c r="B7084" s="15"/>
      <c r="C7084" s="9">
        <f>IFERROR(__xludf.DUMMYFUNCTION("""COMPUTED_VALUE"""),44722.7534372916)</f>
        <v>44722.75344</v>
      </c>
      <c r="D7084" s="15">
        <f>IFERROR(__xludf.DUMMYFUNCTION("""COMPUTED_VALUE"""),1.008)</f>
        <v>1.008</v>
      </c>
      <c r="E7084" s="16">
        <f>IFERROR(__xludf.DUMMYFUNCTION("""COMPUTED_VALUE"""),68.0)</f>
        <v>68</v>
      </c>
      <c r="F7084" s="19" t="str">
        <f>IFERROR(__xludf.DUMMYFUNCTION("""COMPUTED_VALUE"""),"BLACK")</f>
        <v>BLACK</v>
      </c>
      <c r="G7084" s="20" t="str">
        <f>IFERROR(__xludf.DUMMYFUNCTION("""COMPUTED_VALUE"""),"Uncle Sams Cider (5/13/2022)")</f>
        <v>Uncle Sams Cider (5/13/2022)</v>
      </c>
      <c r="H7084" s="19"/>
    </row>
    <row r="7085">
      <c r="A7085" s="9"/>
      <c r="B7085" s="15"/>
      <c r="C7085" s="9">
        <f>IFERROR(__xludf.DUMMYFUNCTION("""COMPUTED_VALUE"""),44722.7430142939)</f>
        <v>44722.74301</v>
      </c>
      <c r="D7085" s="15">
        <f>IFERROR(__xludf.DUMMYFUNCTION("""COMPUTED_VALUE"""),1.008)</f>
        <v>1.008</v>
      </c>
      <c r="E7085" s="16">
        <f>IFERROR(__xludf.DUMMYFUNCTION("""COMPUTED_VALUE"""),68.0)</f>
        <v>68</v>
      </c>
      <c r="F7085" s="19" t="str">
        <f>IFERROR(__xludf.DUMMYFUNCTION("""COMPUTED_VALUE"""),"BLACK")</f>
        <v>BLACK</v>
      </c>
      <c r="G7085" s="20" t="str">
        <f>IFERROR(__xludf.DUMMYFUNCTION("""COMPUTED_VALUE"""),"Uncle Sams Cider (5/13/2022)")</f>
        <v>Uncle Sams Cider (5/13/2022)</v>
      </c>
      <c r="H7085" s="19"/>
    </row>
    <row r="7086">
      <c r="A7086" s="9"/>
      <c r="B7086" s="15"/>
      <c r="C7086" s="9">
        <f>IFERROR(__xludf.DUMMYFUNCTION("""COMPUTED_VALUE"""),44722.7325920717)</f>
        <v>44722.73259</v>
      </c>
      <c r="D7086" s="15">
        <f>IFERROR(__xludf.DUMMYFUNCTION("""COMPUTED_VALUE"""),1.008)</f>
        <v>1.008</v>
      </c>
      <c r="E7086" s="16">
        <f>IFERROR(__xludf.DUMMYFUNCTION("""COMPUTED_VALUE"""),68.0)</f>
        <v>68</v>
      </c>
      <c r="F7086" s="19" t="str">
        <f>IFERROR(__xludf.DUMMYFUNCTION("""COMPUTED_VALUE"""),"BLACK")</f>
        <v>BLACK</v>
      </c>
      <c r="G7086" s="20" t="str">
        <f>IFERROR(__xludf.DUMMYFUNCTION("""COMPUTED_VALUE"""),"Uncle Sams Cider (5/13/2022)")</f>
        <v>Uncle Sams Cider (5/13/2022)</v>
      </c>
      <c r="H7086" s="19"/>
    </row>
    <row r="7087">
      <c r="A7087" s="9"/>
      <c r="B7087" s="15"/>
      <c r="C7087" s="9">
        <f>IFERROR(__xludf.DUMMYFUNCTION("""COMPUTED_VALUE"""),44722.7221712152)</f>
        <v>44722.72217</v>
      </c>
      <c r="D7087" s="15">
        <f>IFERROR(__xludf.DUMMYFUNCTION("""COMPUTED_VALUE"""),1.008)</f>
        <v>1.008</v>
      </c>
      <c r="E7087" s="16">
        <f>IFERROR(__xludf.DUMMYFUNCTION("""COMPUTED_VALUE"""),68.0)</f>
        <v>68</v>
      </c>
      <c r="F7087" s="19" t="str">
        <f>IFERROR(__xludf.DUMMYFUNCTION("""COMPUTED_VALUE"""),"BLACK")</f>
        <v>BLACK</v>
      </c>
      <c r="G7087" s="20" t="str">
        <f>IFERROR(__xludf.DUMMYFUNCTION("""COMPUTED_VALUE"""),"Uncle Sams Cider (5/13/2022)")</f>
        <v>Uncle Sams Cider (5/13/2022)</v>
      </c>
      <c r="H7087" s="19"/>
    </row>
    <row r="7088">
      <c r="A7088" s="9"/>
      <c r="B7088" s="15"/>
      <c r="C7088" s="9">
        <f>IFERROR(__xludf.DUMMYFUNCTION("""COMPUTED_VALUE"""),44722.7117386342)</f>
        <v>44722.71174</v>
      </c>
      <c r="D7088" s="15">
        <f>IFERROR(__xludf.DUMMYFUNCTION("""COMPUTED_VALUE"""),1.008)</f>
        <v>1.008</v>
      </c>
      <c r="E7088" s="16">
        <f>IFERROR(__xludf.DUMMYFUNCTION("""COMPUTED_VALUE"""),68.0)</f>
        <v>68</v>
      </c>
      <c r="F7088" s="19" t="str">
        <f>IFERROR(__xludf.DUMMYFUNCTION("""COMPUTED_VALUE"""),"BLACK")</f>
        <v>BLACK</v>
      </c>
      <c r="G7088" s="20" t="str">
        <f>IFERROR(__xludf.DUMMYFUNCTION("""COMPUTED_VALUE"""),"Uncle Sams Cider (5/13/2022)")</f>
        <v>Uncle Sams Cider (5/13/2022)</v>
      </c>
      <c r="H7088" s="19"/>
    </row>
    <row r="7089">
      <c r="A7089" s="9"/>
      <c r="B7089" s="15"/>
      <c r="C7089" s="9">
        <f>IFERROR(__xludf.DUMMYFUNCTION("""COMPUTED_VALUE"""),44722.7013173495)</f>
        <v>44722.70132</v>
      </c>
      <c r="D7089" s="15">
        <f>IFERROR(__xludf.DUMMYFUNCTION("""COMPUTED_VALUE"""),1.008)</f>
        <v>1.008</v>
      </c>
      <c r="E7089" s="16">
        <f>IFERROR(__xludf.DUMMYFUNCTION("""COMPUTED_VALUE"""),68.0)</f>
        <v>68</v>
      </c>
      <c r="F7089" s="19" t="str">
        <f>IFERROR(__xludf.DUMMYFUNCTION("""COMPUTED_VALUE"""),"BLACK")</f>
        <v>BLACK</v>
      </c>
      <c r="G7089" s="20" t="str">
        <f>IFERROR(__xludf.DUMMYFUNCTION("""COMPUTED_VALUE"""),"Uncle Sams Cider (5/13/2022)")</f>
        <v>Uncle Sams Cider (5/13/2022)</v>
      </c>
      <c r="H7089" s="19"/>
    </row>
    <row r="7090">
      <c r="A7090" s="9"/>
      <c r="B7090" s="15"/>
      <c r="C7090" s="9">
        <f>IFERROR(__xludf.DUMMYFUNCTION("""COMPUTED_VALUE"""),44722.6908966898)</f>
        <v>44722.6909</v>
      </c>
      <c r="D7090" s="15">
        <f>IFERROR(__xludf.DUMMYFUNCTION("""COMPUTED_VALUE"""),1.008)</f>
        <v>1.008</v>
      </c>
      <c r="E7090" s="16">
        <f>IFERROR(__xludf.DUMMYFUNCTION("""COMPUTED_VALUE"""),68.0)</f>
        <v>68</v>
      </c>
      <c r="F7090" s="19" t="str">
        <f>IFERROR(__xludf.DUMMYFUNCTION("""COMPUTED_VALUE"""),"BLACK")</f>
        <v>BLACK</v>
      </c>
      <c r="G7090" s="20" t="str">
        <f>IFERROR(__xludf.DUMMYFUNCTION("""COMPUTED_VALUE"""),"Uncle Sams Cider (5/13/2022)")</f>
        <v>Uncle Sams Cider (5/13/2022)</v>
      </c>
      <c r="H7090" s="19"/>
    </row>
    <row r="7091">
      <c r="A7091" s="9"/>
      <c r="B7091" s="15"/>
      <c r="C7091" s="9">
        <f>IFERROR(__xludf.DUMMYFUNCTION("""COMPUTED_VALUE"""),44722.6804748148)</f>
        <v>44722.68047</v>
      </c>
      <c r="D7091" s="15">
        <f>IFERROR(__xludf.DUMMYFUNCTION("""COMPUTED_VALUE"""),1.008)</f>
        <v>1.008</v>
      </c>
      <c r="E7091" s="16">
        <f>IFERROR(__xludf.DUMMYFUNCTION("""COMPUTED_VALUE"""),68.0)</f>
        <v>68</v>
      </c>
      <c r="F7091" s="19" t="str">
        <f>IFERROR(__xludf.DUMMYFUNCTION("""COMPUTED_VALUE"""),"BLACK")</f>
        <v>BLACK</v>
      </c>
      <c r="G7091" s="20" t="str">
        <f>IFERROR(__xludf.DUMMYFUNCTION("""COMPUTED_VALUE"""),"Uncle Sams Cider (5/13/2022)")</f>
        <v>Uncle Sams Cider (5/13/2022)</v>
      </c>
      <c r="H7091" s="19"/>
    </row>
    <row r="7092">
      <c r="A7092" s="9"/>
      <c r="B7092" s="15"/>
      <c r="C7092" s="9">
        <f>IFERROR(__xludf.DUMMYFUNCTION("""COMPUTED_VALUE"""),44722.6700551157)</f>
        <v>44722.67006</v>
      </c>
      <c r="D7092" s="15">
        <f>IFERROR(__xludf.DUMMYFUNCTION("""COMPUTED_VALUE"""),1.008)</f>
        <v>1.008</v>
      </c>
      <c r="E7092" s="16">
        <f>IFERROR(__xludf.DUMMYFUNCTION("""COMPUTED_VALUE"""),68.0)</f>
        <v>68</v>
      </c>
      <c r="F7092" s="19" t="str">
        <f>IFERROR(__xludf.DUMMYFUNCTION("""COMPUTED_VALUE"""),"BLACK")</f>
        <v>BLACK</v>
      </c>
      <c r="G7092" s="20" t="str">
        <f>IFERROR(__xludf.DUMMYFUNCTION("""COMPUTED_VALUE"""),"Uncle Sams Cider (5/13/2022)")</f>
        <v>Uncle Sams Cider (5/13/2022)</v>
      </c>
      <c r="H7092" s="19"/>
    </row>
    <row r="7093">
      <c r="A7093" s="9"/>
      <c r="B7093" s="15"/>
      <c r="C7093" s="9">
        <f>IFERROR(__xludf.DUMMYFUNCTION("""COMPUTED_VALUE"""),44722.6596229861)</f>
        <v>44722.65962</v>
      </c>
      <c r="D7093" s="15">
        <f>IFERROR(__xludf.DUMMYFUNCTION("""COMPUTED_VALUE"""),1.008)</f>
        <v>1.008</v>
      </c>
      <c r="E7093" s="16">
        <f>IFERROR(__xludf.DUMMYFUNCTION("""COMPUTED_VALUE"""),68.0)</f>
        <v>68</v>
      </c>
      <c r="F7093" s="19" t="str">
        <f>IFERROR(__xludf.DUMMYFUNCTION("""COMPUTED_VALUE"""),"BLACK")</f>
        <v>BLACK</v>
      </c>
      <c r="G7093" s="20" t="str">
        <f>IFERROR(__xludf.DUMMYFUNCTION("""COMPUTED_VALUE"""),"Uncle Sams Cider (5/13/2022)")</f>
        <v>Uncle Sams Cider (5/13/2022)</v>
      </c>
      <c r="H7093" s="19"/>
    </row>
    <row r="7094">
      <c r="A7094" s="9"/>
      <c r="B7094" s="15"/>
      <c r="C7094" s="9">
        <f>IFERROR(__xludf.DUMMYFUNCTION("""COMPUTED_VALUE"""),44722.6492009143)</f>
        <v>44722.6492</v>
      </c>
      <c r="D7094" s="15">
        <f>IFERROR(__xludf.DUMMYFUNCTION("""COMPUTED_VALUE"""),1.008)</f>
        <v>1.008</v>
      </c>
      <c r="E7094" s="16">
        <f>IFERROR(__xludf.DUMMYFUNCTION("""COMPUTED_VALUE"""),68.0)</f>
        <v>68</v>
      </c>
      <c r="F7094" s="19" t="str">
        <f>IFERROR(__xludf.DUMMYFUNCTION("""COMPUTED_VALUE"""),"BLACK")</f>
        <v>BLACK</v>
      </c>
      <c r="G7094" s="20" t="str">
        <f>IFERROR(__xludf.DUMMYFUNCTION("""COMPUTED_VALUE"""),"Uncle Sams Cider (5/13/2022)")</f>
        <v>Uncle Sams Cider (5/13/2022)</v>
      </c>
      <c r="H7094" s="19"/>
    </row>
    <row r="7095">
      <c r="A7095" s="9"/>
      <c r="B7095" s="15"/>
      <c r="C7095" s="9">
        <f>IFERROR(__xludf.DUMMYFUNCTION("""COMPUTED_VALUE"""),44722.6387673611)</f>
        <v>44722.63877</v>
      </c>
      <c r="D7095" s="15">
        <f>IFERROR(__xludf.DUMMYFUNCTION("""COMPUTED_VALUE"""),1.008)</f>
        <v>1.008</v>
      </c>
      <c r="E7095" s="16">
        <f>IFERROR(__xludf.DUMMYFUNCTION("""COMPUTED_VALUE"""),68.0)</f>
        <v>68</v>
      </c>
      <c r="F7095" s="19" t="str">
        <f>IFERROR(__xludf.DUMMYFUNCTION("""COMPUTED_VALUE"""),"BLACK")</f>
        <v>BLACK</v>
      </c>
      <c r="G7095" s="20" t="str">
        <f>IFERROR(__xludf.DUMMYFUNCTION("""COMPUTED_VALUE"""),"Uncle Sams Cider (5/13/2022)")</f>
        <v>Uncle Sams Cider (5/13/2022)</v>
      </c>
      <c r="H7095" s="19"/>
    </row>
    <row r="7096">
      <c r="A7096" s="9"/>
      <c r="B7096" s="15"/>
      <c r="C7096" s="9">
        <f>IFERROR(__xludf.DUMMYFUNCTION("""COMPUTED_VALUE"""),44722.6283474421)</f>
        <v>44722.62835</v>
      </c>
      <c r="D7096" s="15">
        <f>IFERROR(__xludf.DUMMYFUNCTION("""COMPUTED_VALUE"""),1.008)</f>
        <v>1.008</v>
      </c>
      <c r="E7096" s="16">
        <f>IFERROR(__xludf.DUMMYFUNCTION("""COMPUTED_VALUE"""),68.0)</f>
        <v>68</v>
      </c>
      <c r="F7096" s="19" t="str">
        <f>IFERROR(__xludf.DUMMYFUNCTION("""COMPUTED_VALUE"""),"BLACK")</f>
        <v>BLACK</v>
      </c>
      <c r="G7096" s="20" t="str">
        <f>IFERROR(__xludf.DUMMYFUNCTION("""COMPUTED_VALUE"""),"Uncle Sams Cider (5/13/2022)")</f>
        <v>Uncle Sams Cider (5/13/2022)</v>
      </c>
      <c r="H7096" s="19"/>
    </row>
    <row r="7097">
      <c r="A7097" s="9"/>
      <c r="B7097" s="15"/>
      <c r="C7097" s="9">
        <f>IFERROR(__xludf.DUMMYFUNCTION("""COMPUTED_VALUE"""),44722.6179264467)</f>
        <v>44722.61793</v>
      </c>
      <c r="D7097" s="15">
        <f>IFERROR(__xludf.DUMMYFUNCTION("""COMPUTED_VALUE"""),1.008)</f>
        <v>1.008</v>
      </c>
      <c r="E7097" s="16">
        <f>IFERROR(__xludf.DUMMYFUNCTION("""COMPUTED_VALUE"""),68.0)</f>
        <v>68</v>
      </c>
      <c r="F7097" s="19" t="str">
        <f>IFERROR(__xludf.DUMMYFUNCTION("""COMPUTED_VALUE"""),"BLACK")</f>
        <v>BLACK</v>
      </c>
      <c r="G7097" s="20" t="str">
        <f>IFERROR(__xludf.DUMMYFUNCTION("""COMPUTED_VALUE"""),"Uncle Sams Cider (5/13/2022)")</f>
        <v>Uncle Sams Cider (5/13/2022)</v>
      </c>
      <c r="H7097" s="19"/>
    </row>
    <row r="7098">
      <c r="A7098" s="9"/>
      <c r="B7098" s="15"/>
      <c r="C7098" s="9">
        <f>IFERROR(__xludf.DUMMYFUNCTION("""COMPUTED_VALUE"""),44722.6075050578)</f>
        <v>44722.60751</v>
      </c>
      <c r="D7098" s="15">
        <f>IFERROR(__xludf.DUMMYFUNCTION("""COMPUTED_VALUE"""),1.008)</f>
        <v>1.008</v>
      </c>
      <c r="E7098" s="16">
        <f>IFERROR(__xludf.DUMMYFUNCTION("""COMPUTED_VALUE"""),68.0)</f>
        <v>68</v>
      </c>
      <c r="F7098" s="19" t="str">
        <f>IFERROR(__xludf.DUMMYFUNCTION("""COMPUTED_VALUE"""),"BLACK")</f>
        <v>BLACK</v>
      </c>
      <c r="G7098" s="20" t="str">
        <f>IFERROR(__xludf.DUMMYFUNCTION("""COMPUTED_VALUE"""),"Uncle Sams Cider (5/13/2022)")</f>
        <v>Uncle Sams Cider (5/13/2022)</v>
      </c>
      <c r="H7098" s="19"/>
    </row>
    <row r="7099">
      <c r="A7099" s="9"/>
      <c r="B7099" s="15"/>
      <c r="C7099" s="9">
        <f>IFERROR(__xludf.DUMMYFUNCTION("""COMPUTED_VALUE"""),44722.5970125115)</f>
        <v>44722.59701</v>
      </c>
      <c r="D7099" s="15">
        <f>IFERROR(__xludf.DUMMYFUNCTION("""COMPUTED_VALUE"""),1.008)</f>
        <v>1.008</v>
      </c>
      <c r="E7099" s="16">
        <f>IFERROR(__xludf.DUMMYFUNCTION("""COMPUTED_VALUE"""),68.0)</f>
        <v>68</v>
      </c>
      <c r="F7099" s="19" t="str">
        <f>IFERROR(__xludf.DUMMYFUNCTION("""COMPUTED_VALUE"""),"BLACK")</f>
        <v>BLACK</v>
      </c>
      <c r="G7099" s="20" t="str">
        <f>IFERROR(__xludf.DUMMYFUNCTION("""COMPUTED_VALUE"""),"Uncle Sams Cider (5/13/2022)")</f>
        <v>Uncle Sams Cider (5/13/2022)</v>
      </c>
      <c r="H7099" s="19"/>
    </row>
    <row r="7100">
      <c r="A7100" s="9"/>
      <c r="B7100" s="15"/>
      <c r="C7100" s="9">
        <f>IFERROR(__xludf.DUMMYFUNCTION("""COMPUTED_VALUE"""),44722.5865915509)</f>
        <v>44722.58659</v>
      </c>
      <c r="D7100" s="15">
        <f>IFERROR(__xludf.DUMMYFUNCTION("""COMPUTED_VALUE"""),1.008)</f>
        <v>1.008</v>
      </c>
      <c r="E7100" s="16">
        <f>IFERROR(__xludf.DUMMYFUNCTION("""COMPUTED_VALUE"""),68.0)</f>
        <v>68</v>
      </c>
      <c r="F7100" s="19" t="str">
        <f>IFERROR(__xludf.DUMMYFUNCTION("""COMPUTED_VALUE"""),"BLACK")</f>
        <v>BLACK</v>
      </c>
      <c r="G7100" s="20" t="str">
        <f>IFERROR(__xludf.DUMMYFUNCTION("""COMPUTED_VALUE"""),"Uncle Sams Cider (5/13/2022)")</f>
        <v>Uncle Sams Cider (5/13/2022)</v>
      </c>
      <c r="H7100" s="19"/>
    </row>
    <row r="7101">
      <c r="A7101" s="9"/>
      <c r="B7101" s="15"/>
      <c r="C7101" s="9">
        <f>IFERROR(__xludf.DUMMYFUNCTION("""COMPUTED_VALUE"""),44722.5761698148)</f>
        <v>44722.57617</v>
      </c>
      <c r="D7101" s="15">
        <f>IFERROR(__xludf.DUMMYFUNCTION("""COMPUTED_VALUE"""),1.008)</f>
        <v>1.008</v>
      </c>
      <c r="E7101" s="16">
        <f>IFERROR(__xludf.DUMMYFUNCTION("""COMPUTED_VALUE"""),68.0)</f>
        <v>68</v>
      </c>
      <c r="F7101" s="19" t="str">
        <f>IFERROR(__xludf.DUMMYFUNCTION("""COMPUTED_VALUE"""),"BLACK")</f>
        <v>BLACK</v>
      </c>
      <c r="G7101" s="20" t="str">
        <f>IFERROR(__xludf.DUMMYFUNCTION("""COMPUTED_VALUE"""),"Uncle Sams Cider (5/13/2022)")</f>
        <v>Uncle Sams Cider (5/13/2022)</v>
      </c>
      <c r="H7101" s="19"/>
    </row>
    <row r="7102">
      <c r="A7102" s="9"/>
      <c r="B7102" s="15"/>
      <c r="C7102" s="9">
        <f>IFERROR(__xludf.DUMMYFUNCTION("""COMPUTED_VALUE"""),44722.565738287)</f>
        <v>44722.56574</v>
      </c>
      <c r="D7102" s="15">
        <f>IFERROR(__xludf.DUMMYFUNCTION("""COMPUTED_VALUE"""),1.008)</f>
        <v>1.008</v>
      </c>
      <c r="E7102" s="16">
        <f>IFERROR(__xludf.DUMMYFUNCTION("""COMPUTED_VALUE"""),68.0)</f>
        <v>68</v>
      </c>
      <c r="F7102" s="19" t="str">
        <f>IFERROR(__xludf.DUMMYFUNCTION("""COMPUTED_VALUE"""),"BLACK")</f>
        <v>BLACK</v>
      </c>
      <c r="G7102" s="20" t="str">
        <f>IFERROR(__xludf.DUMMYFUNCTION("""COMPUTED_VALUE"""),"Uncle Sams Cider (5/13/2022)")</f>
        <v>Uncle Sams Cider (5/13/2022)</v>
      </c>
      <c r="H7102" s="19"/>
    </row>
    <row r="7103">
      <c r="A7103" s="9"/>
      <c r="B7103" s="15"/>
      <c r="C7103" s="9">
        <f>IFERROR(__xludf.DUMMYFUNCTION("""COMPUTED_VALUE"""),44722.5553048495)</f>
        <v>44722.5553</v>
      </c>
      <c r="D7103" s="15">
        <f>IFERROR(__xludf.DUMMYFUNCTION("""COMPUTED_VALUE"""),1.008)</f>
        <v>1.008</v>
      </c>
      <c r="E7103" s="16">
        <f>IFERROR(__xludf.DUMMYFUNCTION("""COMPUTED_VALUE"""),68.0)</f>
        <v>68</v>
      </c>
      <c r="F7103" s="19" t="str">
        <f>IFERROR(__xludf.DUMMYFUNCTION("""COMPUTED_VALUE"""),"BLACK")</f>
        <v>BLACK</v>
      </c>
      <c r="G7103" s="20" t="str">
        <f>IFERROR(__xludf.DUMMYFUNCTION("""COMPUTED_VALUE"""),"Uncle Sams Cider (5/13/2022)")</f>
        <v>Uncle Sams Cider (5/13/2022)</v>
      </c>
      <c r="H7103" s="19"/>
    </row>
    <row r="7104">
      <c r="A7104" s="9"/>
      <c r="B7104" s="15"/>
      <c r="C7104" s="9">
        <f>IFERROR(__xludf.DUMMYFUNCTION("""COMPUTED_VALUE"""),44722.5448724305)</f>
        <v>44722.54487</v>
      </c>
      <c r="D7104" s="15">
        <f>IFERROR(__xludf.DUMMYFUNCTION("""COMPUTED_VALUE"""),1.008)</f>
        <v>1.008</v>
      </c>
      <c r="E7104" s="16">
        <f>IFERROR(__xludf.DUMMYFUNCTION("""COMPUTED_VALUE"""),68.0)</f>
        <v>68</v>
      </c>
      <c r="F7104" s="19" t="str">
        <f>IFERROR(__xludf.DUMMYFUNCTION("""COMPUTED_VALUE"""),"BLACK")</f>
        <v>BLACK</v>
      </c>
      <c r="G7104" s="20" t="str">
        <f>IFERROR(__xludf.DUMMYFUNCTION("""COMPUTED_VALUE"""),"Uncle Sams Cider (5/13/2022)")</f>
        <v>Uncle Sams Cider (5/13/2022)</v>
      </c>
      <c r="H7104" s="19"/>
    </row>
    <row r="7105">
      <c r="A7105" s="9"/>
      <c r="B7105" s="15"/>
      <c r="C7105" s="9">
        <f>IFERROR(__xludf.DUMMYFUNCTION("""COMPUTED_VALUE"""),44722.5344495949)</f>
        <v>44722.53445</v>
      </c>
      <c r="D7105" s="15">
        <f>IFERROR(__xludf.DUMMYFUNCTION("""COMPUTED_VALUE"""),1.008)</f>
        <v>1.008</v>
      </c>
      <c r="E7105" s="16">
        <f>IFERROR(__xludf.DUMMYFUNCTION("""COMPUTED_VALUE"""),68.0)</f>
        <v>68</v>
      </c>
      <c r="F7105" s="19" t="str">
        <f>IFERROR(__xludf.DUMMYFUNCTION("""COMPUTED_VALUE"""),"BLACK")</f>
        <v>BLACK</v>
      </c>
      <c r="G7105" s="20" t="str">
        <f>IFERROR(__xludf.DUMMYFUNCTION("""COMPUTED_VALUE"""),"Uncle Sams Cider (5/13/2022)")</f>
        <v>Uncle Sams Cider (5/13/2022)</v>
      </c>
      <c r="H7105" s="19"/>
    </row>
    <row r="7106">
      <c r="A7106" s="9"/>
      <c r="B7106" s="15"/>
      <c r="C7106" s="9">
        <f>IFERROR(__xludf.DUMMYFUNCTION("""COMPUTED_VALUE"""),44722.524027662)</f>
        <v>44722.52403</v>
      </c>
      <c r="D7106" s="15">
        <f>IFERROR(__xludf.DUMMYFUNCTION("""COMPUTED_VALUE"""),1.008)</f>
        <v>1.008</v>
      </c>
      <c r="E7106" s="16">
        <f>IFERROR(__xludf.DUMMYFUNCTION("""COMPUTED_VALUE"""),68.0)</f>
        <v>68</v>
      </c>
      <c r="F7106" s="19" t="str">
        <f>IFERROR(__xludf.DUMMYFUNCTION("""COMPUTED_VALUE"""),"BLACK")</f>
        <v>BLACK</v>
      </c>
      <c r="G7106" s="20" t="str">
        <f>IFERROR(__xludf.DUMMYFUNCTION("""COMPUTED_VALUE"""),"Uncle Sams Cider (5/13/2022)")</f>
        <v>Uncle Sams Cider (5/13/2022)</v>
      </c>
      <c r="H7106" s="19"/>
    </row>
    <row r="7107">
      <c r="A7107" s="9"/>
      <c r="B7107" s="15"/>
      <c r="C7107" s="9">
        <f>IFERROR(__xludf.DUMMYFUNCTION("""COMPUTED_VALUE"""),44722.5136067245)</f>
        <v>44722.51361</v>
      </c>
      <c r="D7107" s="15">
        <f>IFERROR(__xludf.DUMMYFUNCTION("""COMPUTED_VALUE"""),1.008)</f>
        <v>1.008</v>
      </c>
      <c r="E7107" s="16">
        <f>IFERROR(__xludf.DUMMYFUNCTION("""COMPUTED_VALUE"""),68.0)</f>
        <v>68</v>
      </c>
      <c r="F7107" s="19" t="str">
        <f>IFERROR(__xludf.DUMMYFUNCTION("""COMPUTED_VALUE"""),"BLACK")</f>
        <v>BLACK</v>
      </c>
      <c r="G7107" s="20" t="str">
        <f>IFERROR(__xludf.DUMMYFUNCTION("""COMPUTED_VALUE"""),"Uncle Sams Cider (5/13/2022)")</f>
        <v>Uncle Sams Cider (5/13/2022)</v>
      </c>
      <c r="H7107" s="19"/>
    </row>
    <row r="7108">
      <c r="A7108" s="9"/>
      <c r="B7108" s="15"/>
      <c r="C7108" s="9">
        <f>IFERROR(__xludf.DUMMYFUNCTION("""COMPUTED_VALUE"""),44722.5031857291)</f>
        <v>44722.50319</v>
      </c>
      <c r="D7108" s="15">
        <f>IFERROR(__xludf.DUMMYFUNCTION("""COMPUTED_VALUE"""),1.008)</f>
        <v>1.008</v>
      </c>
      <c r="E7108" s="16">
        <f>IFERROR(__xludf.DUMMYFUNCTION("""COMPUTED_VALUE"""),68.0)</f>
        <v>68</v>
      </c>
      <c r="F7108" s="19" t="str">
        <f>IFERROR(__xludf.DUMMYFUNCTION("""COMPUTED_VALUE"""),"BLACK")</f>
        <v>BLACK</v>
      </c>
      <c r="G7108" s="20" t="str">
        <f>IFERROR(__xludf.DUMMYFUNCTION("""COMPUTED_VALUE"""),"Uncle Sams Cider (5/13/2022)")</f>
        <v>Uncle Sams Cider (5/13/2022)</v>
      </c>
      <c r="H7108" s="19"/>
    </row>
    <row r="7109">
      <c r="A7109" s="9"/>
      <c r="B7109" s="15"/>
      <c r="C7109" s="9">
        <f>IFERROR(__xludf.DUMMYFUNCTION("""COMPUTED_VALUE"""),44722.4927532638)</f>
        <v>44722.49275</v>
      </c>
      <c r="D7109" s="15">
        <f>IFERROR(__xludf.DUMMYFUNCTION("""COMPUTED_VALUE"""),1.008)</f>
        <v>1.008</v>
      </c>
      <c r="E7109" s="16">
        <f>IFERROR(__xludf.DUMMYFUNCTION("""COMPUTED_VALUE"""),68.0)</f>
        <v>68</v>
      </c>
      <c r="F7109" s="19" t="str">
        <f>IFERROR(__xludf.DUMMYFUNCTION("""COMPUTED_VALUE"""),"BLACK")</f>
        <v>BLACK</v>
      </c>
      <c r="G7109" s="20" t="str">
        <f>IFERROR(__xludf.DUMMYFUNCTION("""COMPUTED_VALUE"""),"Uncle Sams Cider (5/13/2022)")</f>
        <v>Uncle Sams Cider (5/13/2022)</v>
      </c>
      <c r="H7109" s="19"/>
    </row>
    <row r="7110">
      <c r="A7110" s="9"/>
      <c r="B7110" s="15"/>
      <c r="C7110" s="9">
        <f>IFERROR(__xludf.DUMMYFUNCTION("""COMPUTED_VALUE"""),44722.4823088541)</f>
        <v>44722.48231</v>
      </c>
      <c r="D7110" s="15">
        <f>IFERROR(__xludf.DUMMYFUNCTION("""COMPUTED_VALUE"""),1.008)</f>
        <v>1.008</v>
      </c>
      <c r="E7110" s="16">
        <f>IFERROR(__xludf.DUMMYFUNCTION("""COMPUTED_VALUE"""),68.0)</f>
        <v>68</v>
      </c>
      <c r="F7110" s="19" t="str">
        <f>IFERROR(__xludf.DUMMYFUNCTION("""COMPUTED_VALUE"""),"BLACK")</f>
        <v>BLACK</v>
      </c>
      <c r="G7110" s="20" t="str">
        <f>IFERROR(__xludf.DUMMYFUNCTION("""COMPUTED_VALUE"""),"Uncle Sams Cider (5/13/2022)")</f>
        <v>Uncle Sams Cider (5/13/2022)</v>
      </c>
      <c r="H7110" s="19"/>
    </row>
    <row r="7111">
      <c r="A7111" s="9"/>
      <c r="B7111" s="15"/>
      <c r="C7111" s="9">
        <f>IFERROR(__xludf.DUMMYFUNCTION("""COMPUTED_VALUE"""),44722.4718869675)</f>
        <v>44722.47189</v>
      </c>
      <c r="D7111" s="15">
        <f>IFERROR(__xludf.DUMMYFUNCTION("""COMPUTED_VALUE"""),1.008)</f>
        <v>1.008</v>
      </c>
      <c r="E7111" s="16">
        <f>IFERROR(__xludf.DUMMYFUNCTION("""COMPUTED_VALUE"""),68.0)</f>
        <v>68</v>
      </c>
      <c r="F7111" s="19" t="str">
        <f>IFERROR(__xludf.DUMMYFUNCTION("""COMPUTED_VALUE"""),"BLACK")</f>
        <v>BLACK</v>
      </c>
      <c r="G7111" s="20" t="str">
        <f>IFERROR(__xludf.DUMMYFUNCTION("""COMPUTED_VALUE"""),"Uncle Sams Cider (5/13/2022)")</f>
        <v>Uncle Sams Cider (5/13/2022)</v>
      </c>
      <c r="H7111" s="19"/>
    </row>
    <row r="7112">
      <c r="A7112" s="9"/>
      <c r="B7112" s="15"/>
      <c r="C7112" s="9">
        <f>IFERROR(__xludf.DUMMYFUNCTION("""COMPUTED_VALUE"""),44722.4614651851)</f>
        <v>44722.46147</v>
      </c>
      <c r="D7112" s="15">
        <f>IFERROR(__xludf.DUMMYFUNCTION("""COMPUTED_VALUE"""),1.008)</f>
        <v>1.008</v>
      </c>
      <c r="E7112" s="16">
        <f>IFERROR(__xludf.DUMMYFUNCTION("""COMPUTED_VALUE"""),68.0)</f>
        <v>68</v>
      </c>
      <c r="F7112" s="19" t="str">
        <f>IFERROR(__xludf.DUMMYFUNCTION("""COMPUTED_VALUE"""),"BLACK")</f>
        <v>BLACK</v>
      </c>
      <c r="G7112" s="20" t="str">
        <f>IFERROR(__xludf.DUMMYFUNCTION("""COMPUTED_VALUE"""),"Uncle Sams Cider (5/13/2022)")</f>
        <v>Uncle Sams Cider (5/13/2022)</v>
      </c>
      <c r="H7112" s="19"/>
    </row>
    <row r="7113">
      <c r="A7113" s="9"/>
      <c r="B7113" s="15"/>
      <c r="C7113" s="9">
        <f>IFERROR(__xludf.DUMMYFUNCTION("""COMPUTED_VALUE"""),44722.4510438888)</f>
        <v>44722.45104</v>
      </c>
      <c r="D7113" s="15">
        <f>IFERROR(__xludf.DUMMYFUNCTION("""COMPUTED_VALUE"""),1.008)</f>
        <v>1.008</v>
      </c>
      <c r="E7113" s="16">
        <f>IFERROR(__xludf.DUMMYFUNCTION("""COMPUTED_VALUE"""),68.0)</f>
        <v>68</v>
      </c>
      <c r="F7113" s="19" t="str">
        <f>IFERROR(__xludf.DUMMYFUNCTION("""COMPUTED_VALUE"""),"BLACK")</f>
        <v>BLACK</v>
      </c>
      <c r="G7113" s="20" t="str">
        <f>IFERROR(__xludf.DUMMYFUNCTION("""COMPUTED_VALUE"""),"Uncle Sams Cider (5/13/2022)")</f>
        <v>Uncle Sams Cider (5/13/2022)</v>
      </c>
      <c r="H7113" s="19"/>
    </row>
    <row r="7114">
      <c r="A7114" s="9"/>
      <c r="B7114" s="15"/>
      <c r="C7114" s="9">
        <f>IFERROR(__xludf.DUMMYFUNCTION("""COMPUTED_VALUE"""),44722.4406128935)</f>
        <v>44722.44061</v>
      </c>
      <c r="D7114" s="15">
        <f>IFERROR(__xludf.DUMMYFUNCTION("""COMPUTED_VALUE"""),1.008)</f>
        <v>1.008</v>
      </c>
      <c r="E7114" s="16">
        <f>IFERROR(__xludf.DUMMYFUNCTION("""COMPUTED_VALUE"""),68.0)</f>
        <v>68</v>
      </c>
      <c r="F7114" s="19" t="str">
        <f>IFERROR(__xludf.DUMMYFUNCTION("""COMPUTED_VALUE"""),"BLACK")</f>
        <v>BLACK</v>
      </c>
      <c r="G7114" s="20" t="str">
        <f>IFERROR(__xludf.DUMMYFUNCTION("""COMPUTED_VALUE"""),"Uncle Sams Cider (5/13/2022)")</f>
        <v>Uncle Sams Cider (5/13/2022)</v>
      </c>
      <c r="H7114" s="19"/>
    </row>
    <row r="7115">
      <c r="A7115" s="9"/>
      <c r="B7115" s="15"/>
      <c r="C7115" s="9">
        <f>IFERROR(__xludf.DUMMYFUNCTION("""COMPUTED_VALUE"""),44722.4301907175)</f>
        <v>44722.43019</v>
      </c>
      <c r="D7115" s="15">
        <f>IFERROR(__xludf.DUMMYFUNCTION("""COMPUTED_VALUE"""),1.008)</f>
        <v>1.008</v>
      </c>
      <c r="E7115" s="16">
        <f>IFERROR(__xludf.DUMMYFUNCTION("""COMPUTED_VALUE"""),67.0)</f>
        <v>67</v>
      </c>
      <c r="F7115" s="19" t="str">
        <f>IFERROR(__xludf.DUMMYFUNCTION("""COMPUTED_VALUE"""),"BLACK")</f>
        <v>BLACK</v>
      </c>
      <c r="G7115" s="20" t="str">
        <f>IFERROR(__xludf.DUMMYFUNCTION("""COMPUTED_VALUE"""),"Uncle Sams Cider (5/13/2022)")</f>
        <v>Uncle Sams Cider (5/13/2022)</v>
      </c>
      <c r="H7115" s="19"/>
    </row>
    <row r="7116">
      <c r="A7116" s="9"/>
      <c r="B7116" s="15"/>
      <c r="C7116" s="9">
        <f>IFERROR(__xludf.DUMMYFUNCTION("""COMPUTED_VALUE"""),44722.4197691782)</f>
        <v>44722.41977</v>
      </c>
      <c r="D7116" s="15">
        <f>IFERROR(__xludf.DUMMYFUNCTION("""COMPUTED_VALUE"""),1.008)</f>
        <v>1.008</v>
      </c>
      <c r="E7116" s="16">
        <f>IFERROR(__xludf.DUMMYFUNCTION("""COMPUTED_VALUE"""),68.0)</f>
        <v>68</v>
      </c>
      <c r="F7116" s="19" t="str">
        <f>IFERROR(__xludf.DUMMYFUNCTION("""COMPUTED_VALUE"""),"BLACK")</f>
        <v>BLACK</v>
      </c>
      <c r="G7116" s="20" t="str">
        <f>IFERROR(__xludf.DUMMYFUNCTION("""COMPUTED_VALUE"""),"Uncle Sams Cider (5/13/2022)")</f>
        <v>Uncle Sams Cider (5/13/2022)</v>
      </c>
      <c r="H7116" s="19"/>
    </row>
    <row r="7117">
      <c r="A7117" s="9"/>
      <c r="B7117" s="15"/>
      <c r="C7117" s="9">
        <f>IFERROR(__xludf.DUMMYFUNCTION("""COMPUTED_VALUE"""),44722.4093469444)</f>
        <v>44722.40935</v>
      </c>
      <c r="D7117" s="15">
        <f>IFERROR(__xludf.DUMMYFUNCTION("""COMPUTED_VALUE"""),1.008)</f>
        <v>1.008</v>
      </c>
      <c r="E7117" s="16">
        <f>IFERROR(__xludf.DUMMYFUNCTION("""COMPUTED_VALUE"""),67.0)</f>
        <v>67</v>
      </c>
      <c r="F7117" s="19" t="str">
        <f>IFERROR(__xludf.DUMMYFUNCTION("""COMPUTED_VALUE"""),"BLACK")</f>
        <v>BLACK</v>
      </c>
      <c r="G7117" s="20" t="str">
        <f>IFERROR(__xludf.DUMMYFUNCTION("""COMPUTED_VALUE"""),"Uncle Sams Cider (5/13/2022)")</f>
        <v>Uncle Sams Cider (5/13/2022)</v>
      </c>
      <c r="H7117" s="19"/>
    </row>
    <row r="7118">
      <c r="A7118" s="9"/>
      <c r="B7118" s="15"/>
      <c r="C7118" s="9">
        <f>IFERROR(__xludf.DUMMYFUNCTION("""COMPUTED_VALUE"""),44722.3989262384)</f>
        <v>44722.39893</v>
      </c>
      <c r="D7118" s="15">
        <f>IFERROR(__xludf.DUMMYFUNCTION("""COMPUTED_VALUE"""),1.008)</f>
        <v>1.008</v>
      </c>
      <c r="E7118" s="16">
        <f>IFERROR(__xludf.DUMMYFUNCTION("""COMPUTED_VALUE"""),68.0)</f>
        <v>68</v>
      </c>
      <c r="F7118" s="19" t="str">
        <f>IFERROR(__xludf.DUMMYFUNCTION("""COMPUTED_VALUE"""),"BLACK")</f>
        <v>BLACK</v>
      </c>
      <c r="G7118" s="20" t="str">
        <f>IFERROR(__xludf.DUMMYFUNCTION("""COMPUTED_VALUE"""),"Uncle Sams Cider (5/13/2022)")</f>
        <v>Uncle Sams Cider (5/13/2022)</v>
      </c>
      <c r="H7118" s="19"/>
    </row>
    <row r="7119">
      <c r="A7119" s="9"/>
      <c r="B7119" s="15"/>
      <c r="C7119" s="9">
        <f>IFERROR(__xludf.DUMMYFUNCTION("""COMPUTED_VALUE"""),44722.3885043518)</f>
        <v>44722.3885</v>
      </c>
      <c r="D7119" s="15">
        <f>IFERROR(__xludf.DUMMYFUNCTION("""COMPUTED_VALUE"""),1.008)</f>
        <v>1.008</v>
      </c>
      <c r="E7119" s="16">
        <f>IFERROR(__xludf.DUMMYFUNCTION("""COMPUTED_VALUE"""),67.0)</f>
        <v>67</v>
      </c>
      <c r="F7119" s="19" t="str">
        <f>IFERROR(__xludf.DUMMYFUNCTION("""COMPUTED_VALUE"""),"BLACK")</f>
        <v>BLACK</v>
      </c>
      <c r="G7119" s="20" t="str">
        <f>IFERROR(__xludf.DUMMYFUNCTION("""COMPUTED_VALUE"""),"Uncle Sams Cider (5/13/2022)")</f>
        <v>Uncle Sams Cider (5/13/2022)</v>
      </c>
      <c r="H7119" s="19"/>
    </row>
    <row r="7120">
      <c r="A7120" s="9"/>
      <c r="B7120" s="15"/>
      <c r="C7120" s="9">
        <f>IFERROR(__xludf.DUMMYFUNCTION("""COMPUTED_VALUE"""),44722.3780814814)</f>
        <v>44722.37808</v>
      </c>
      <c r="D7120" s="15">
        <f>IFERROR(__xludf.DUMMYFUNCTION("""COMPUTED_VALUE"""),1.008)</f>
        <v>1.008</v>
      </c>
      <c r="E7120" s="16">
        <f>IFERROR(__xludf.DUMMYFUNCTION("""COMPUTED_VALUE"""),67.0)</f>
        <v>67</v>
      </c>
      <c r="F7120" s="19" t="str">
        <f>IFERROR(__xludf.DUMMYFUNCTION("""COMPUTED_VALUE"""),"BLACK")</f>
        <v>BLACK</v>
      </c>
      <c r="G7120" s="20" t="str">
        <f>IFERROR(__xludf.DUMMYFUNCTION("""COMPUTED_VALUE"""),"Uncle Sams Cider (5/13/2022)")</f>
        <v>Uncle Sams Cider (5/13/2022)</v>
      </c>
      <c r="H7120" s="19"/>
    </row>
    <row r="7121">
      <c r="A7121" s="9"/>
      <c r="B7121" s="15"/>
      <c r="C7121" s="9">
        <f>IFERROR(__xludf.DUMMYFUNCTION("""COMPUTED_VALUE"""),44722.3676590972)</f>
        <v>44722.36766</v>
      </c>
      <c r="D7121" s="15">
        <f>IFERROR(__xludf.DUMMYFUNCTION("""COMPUTED_VALUE"""),1.008)</f>
        <v>1.008</v>
      </c>
      <c r="E7121" s="16">
        <f>IFERROR(__xludf.DUMMYFUNCTION("""COMPUTED_VALUE"""),67.0)</f>
        <v>67</v>
      </c>
      <c r="F7121" s="19" t="str">
        <f>IFERROR(__xludf.DUMMYFUNCTION("""COMPUTED_VALUE"""),"BLACK")</f>
        <v>BLACK</v>
      </c>
      <c r="G7121" s="20" t="str">
        <f>IFERROR(__xludf.DUMMYFUNCTION("""COMPUTED_VALUE"""),"Uncle Sams Cider (5/13/2022)")</f>
        <v>Uncle Sams Cider (5/13/2022)</v>
      </c>
      <c r="H7121" s="19"/>
    </row>
    <row r="7122">
      <c r="A7122" s="9"/>
      <c r="B7122" s="15"/>
      <c r="C7122" s="9">
        <f>IFERROR(__xludf.DUMMYFUNCTION("""COMPUTED_VALUE"""),44722.3572267708)</f>
        <v>44722.35723</v>
      </c>
      <c r="D7122" s="15">
        <f>IFERROR(__xludf.DUMMYFUNCTION("""COMPUTED_VALUE"""),1.008)</f>
        <v>1.008</v>
      </c>
      <c r="E7122" s="16">
        <f>IFERROR(__xludf.DUMMYFUNCTION("""COMPUTED_VALUE"""),67.0)</f>
        <v>67</v>
      </c>
      <c r="F7122" s="19" t="str">
        <f>IFERROR(__xludf.DUMMYFUNCTION("""COMPUTED_VALUE"""),"BLACK")</f>
        <v>BLACK</v>
      </c>
      <c r="G7122" s="20" t="str">
        <f>IFERROR(__xludf.DUMMYFUNCTION("""COMPUTED_VALUE"""),"Uncle Sams Cider (5/13/2022)")</f>
        <v>Uncle Sams Cider (5/13/2022)</v>
      </c>
      <c r="H7122" s="19"/>
    </row>
    <row r="7123">
      <c r="A7123" s="9"/>
      <c r="B7123" s="15"/>
      <c r="C7123" s="9">
        <f>IFERROR(__xludf.DUMMYFUNCTION("""COMPUTED_VALUE"""),44722.346804537)</f>
        <v>44722.3468</v>
      </c>
      <c r="D7123" s="15">
        <f>IFERROR(__xludf.DUMMYFUNCTION("""COMPUTED_VALUE"""),1.008)</f>
        <v>1.008</v>
      </c>
      <c r="E7123" s="16">
        <f>IFERROR(__xludf.DUMMYFUNCTION("""COMPUTED_VALUE"""),67.0)</f>
        <v>67</v>
      </c>
      <c r="F7123" s="19" t="str">
        <f>IFERROR(__xludf.DUMMYFUNCTION("""COMPUTED_VALUE"""),"BLACK")</f>
        <v>BLACK</v>
      </c>
      <c r="G7123" s="20" t="str">
        <f>IFERROR(__xludf.DUMMYFUNCTION("""COMPUTED_VALUE"""),"Uncle Sams Cider (5/13/2022)")</f>
        <v>Uncle Sams Cider (5/13/2022)</v>
      </c>
      <c r="H7123" s="19"/>
    </row>
    <row r="7124">
      <c r="A7124" s="9"/>
      <c r="B7124" s="15"/>
      <c r="C7124" s="9">
        <f>IFERROR(__xludf.DUMMYFUNCTION("""COMPUTED_VALUE"""),44722.3363829745)</f>
        <v>44722.33638</v>
      </c>
      <c r="D7124" s="15">
        <f>IFERROR(__xludf.DUMMYFUNCTION("""COMPUTED_VALUE"""),1.008)</f>
        <v>1.008</v>
      </c>
      <c r="E7124" s="16">
        <f>IFERROR(__xludf.DUMMYFUNCTION("""COMPUTED_VALUE"""),67.0)</f>
        <v>67</v>
      </c>
      <c r="F7124" s="19" t="str">
        <f>IFERROR(__xludf.DUMMYFUNCTION("""COMPUTED_VALUE"""),"BLACK")</f>
        <v>BLACK</v>
      </c>
      <c r="G7124" s="20" t="str">
        <f>IFERROR(__xludf.DUMMYFUNCTION("""COMPUTED_VALUE"""),"Uncle Sams Cider (5/13/2022)")</f>
        <v>Uncle Sams Cider (5/13/2022)</v>
      </c>
      <c r="H7124" s="19"/>
    </row>
    <row r="7125">
      <c r="A7125" s="9"/>
      <c r="B7125" s="15"/>
      <c r="C7125" s="9">
        <f>IFERROR(__xludf.DUMMYFUNCTION("""COMPUTED_VALUE"""),44722.3259604745)</f>
        <v>44722.32596</v>
      </c>
      <c r="D7125" s="15">
        <f>IFERROR(__xludf.DUMMYFUNCTION("""COMPUTED_VALUE"""),1.008)</f>
        <v>1.008</v>
      </c>
      <c r="E7125" s="16">
        <f>IFERROR(__xludf.DUMMYFUNCTION("""COMPUTED_VALUE"""),67.0)</f>
        <v>67</v>
      </c>
      <c r="F7125" s="19" t="str">
        <f>IFERROR(__xludf.DUMMYFUNCTION("""COMPUTED_VALUE"""),"BLACK")</f>
        <v>BLACK</v>
      </c>
      <c r="G7125" s="20" t="str">
        <f>IFERROR(__xludf.DUMMYFUNCTION("""COMPUTED_VALUE"""),"Uncle Sams Cider (5/13/2022)")</f>
        <v>Uncle Sams Cider (5/13/2022)</v>
      </c>
      <c r="H7125" s="19"/>
    </row>
    <row r="7126">
      <c r="A7126" s="9"/>
      <c r="B7126" s="15"/>
      <c r="C7126" s="9">
        <f>IFERROR(__xludf.DUMMYFUNCTION("""COMPUTED_VALUE"""),44722.3155398263)</f>
        <v>44722.31554</v>
      </c>
      <c r="D7126" s="15">
        <f>IFERROR(__xludf.DUMMYFUNCTION("""COMPUTED_VALUE"""),1.008)</f>
        <v>1.008</v>
      </c>
      <c r="E7126" s="16">
        <f>IFERROR(__xludf.DUMMYFUNCTION("""COMPUTED_VALUE"""),67.0)</f>
        <v>67</v>
      </c>
      <c r="F7126" s="19" t="str">
        <f>IFERROR(__xludf.DUMMYFUNCTION("""COMPUTED_VALUE"""),"BLACK")</f>
        <v>BLACK</v>
      </c>
      <c r="G7126" s="20" t="str">
        <f>IFERROR(__xludf.DUMMYFUNCTION("""COMPUTED_VALUE"""),"Uncle Sams Cider (5/13/2022)")</f>
        <v>Uncle Sams Cider (5/13/2022)</v>
      </c>
      <c r="H7126" s="19"/>
    </row>
    <row r="7127">
      <c r="A7127" s="9"/>
      <c r="B7127" s="15"/>
      <c r="C7127" s="9">
        <f>IFERROR(__xludf.DUMMYFUNCTION("""COMPUTED_VALUE"""),44722.3051183564)</f>
        <v>44722.30512</v>
      </c>
      <c r="D7127" s="15">
        <f>IFERROR(__xludf.DUMMYFUNCTION("""COMPUTED_VALUE"""),1.008)</f>
        <v>1.008</v>
      </c>
      <c r="E7127" s="16">
        <f>IFERROR(__xludf.DUMMYFUNCTION("""COMPUTED_VALUE"""),67.0)</f>
        <v>67</v>
      </c>
      <c r="F7127" s="19" t="str">
        <f>IFERROR(__xludf.DUMMYFUNCTION("""COMPUTED_VALUE"""),"BLACK")</f>
        <v>BLACK</v>
      </c>
      <c r="G7127" s="20" t="str">
        <f>IFERROR(__xludf.DUMMYFUNCTION("""COMPUTED_VALUE"""),"Uncle Sams Cider (5/13/2022)")</f>
        <v>Uncle Sams Cider (5/13/2022)</v>
      </c>
      <c r="H7127" s="19"/>
    </row>
    <row r="7128">
      <c r="A7128" s="9"/>
      <c r="B7128" s="15"/>
      <c r="C7128" s="9">
        <f>IFERROR(__xludf.DUMMYFUNCTION("""COMPUTED_VALUE"""),44722.2946846643)</f>
        <v>44722.29468</v>
      </c>
      <c r="D7128" s="15">
        <f>IFERROR(__xludf.DUMMYFUNCTION("""COMPUTED_VALUE"""),1.008)</f>
        <v>1.008</v>
      </c>
      <c r="E7128" s="16">
        <f>IFERROR(__xludf.DUMMYFUNCTION("""COMPUTED_VALUE"""),67.0)</f>
        <v>67</v>
      </c>
      <c r="F7128" s="19" t="str">
        <f>IFERROR(__xludf.DUMMYFUNCTION("""COMPUTED_VALUE"""),"BLACK")</f>
        <v>BLACK</v>
      </c>
      <c r="G7128" s="20" t="str">
        <f>IFERROR(__xludf.DUMMYFUNCTION("""COMPUTED_VALUE"""),"Uncle Sams Cider (5/13/2022)")</f>
        <v>Uncle Sams Cider (5/13/2022)</v>
      </c>
      <c r="H7128" s="19"/>
    </row>
    <row r="7129">
      <c r="A7129" s="9"/>
      <c r="B7129" s="15"/>
      <c r="C7129" s="9">
        <f>IFERROR(__xludf.DUMMYFUNCTION("""COMPUTED_VALUE"""),44722.2842632291)</f>
        <v>44722.28426</v>
      </c>
      <c r="D7129" s="15">
        <f>IFERROR(__xludf.DUMMYFUNCTION("""COMPUTED_VALUE"""),1.008)</f>
        <v>1.008</v>
      </c>
      <c r="E7129" s="16">
        <f>IFERROR(__xludf.DUMMYFUNCTION("""COMPUTED_VALUE"""),67.0)</f>
        <v>67</v>
      </c>
      <c r="F7129" s="19" t="str">
        <f>IFERROR(__xludf.DUMMYFUNCTION("""COMPUTED_VALUE"""),"BLACK")</f>
        <v>BLACK</v>
      </c>
      <c r="G7129" s="20" t="str">
        <f>IFERROR(__xludf.DUMMYFUNCTION("""COMPUTED_VALUE"""),"Uncle Sams Cider (5/13/2022)")</f>
        <v>Uncle Sams Cider (5/13/2022)</v>
      </c>
      <c r="H7129" s="19"/>
    </row>
    <row r="7130">
      <c r="A7130" s="9"/>
      <c r="B7130" s="15"/>
      <c r="C7130" s="9">
        <f>IFERROR(__xludf.DUMMYFUNCTION("""COMPUTED_VALUE"""),44722.2738423379)</f>
        <v>44722.27384</v>
      </c>
      <c r="D7130" s="15">
        <f>IFERROR(__xludf.DUMMYFUNCTION("""COMPUTED_VALUE"""),1.008)</f>
        <v>1.008</v>
      </c>
      <c r="E7130" s="16">
        <f>IFERROR(__xludf.DUMMYFUNCTION("""COMPUTED_VALUE"""),67.0)</f>
        <v>67</v>
      </c>
      <c r="F7130" s="19" t="str">
        <f>IFERROR(__xludf.DUMMYFUNCTION("""COMPUTED_VALUE"""),"BLACK")</f>
        <v>BLACK</v>
      </c>
      <c r="G7130" s="20" t="str">
        <f>IFERROR(__xludf.DUMMYFUNCTION("""COMPUTED_VALUE"""),"Uncle Sams Cider (5/13/2022)")</f>
        <v>Uncle Sams Cider (5/13/2022)</v>
      </c>
      <c r="H7130" s="19"/>
    </row>
    <row r="7131">
      <c r="A7131" s="9"/>
      <c r="B7131" s="15"/>
      <c r="C7131" s="9">
        <f>IFERROR(__xludf.DUMMYFUNCTION("""COMPUTED_VALUE"""),44722.2634218865)</f>
        <v>44722.26342</v>
      </c>
      <c r="D7131" s="15">
        <f>IFERROR(__xludf.DUMMYFUNCTION("""COMPUTED_VALUE"""),1.008)</f>
        <v>1.008</v>
      </c>
      <c r="E7131" s="16">
        <f>IFERROR(__xludf.DUMMYFUNCTION("""COMPUTED_VALUE"""),67.0)</f>
        <v>67</v>
      </c>
      <c r="F7131" s="19" t="str">
        <f>IFERROR(__xludf.DUMMYFUNCTION("""COMPUTED_VALUE"""),"BLACK")</f>
        <v>BLACK</v>
      </c>
      <c r="G7131" s="20" t="str">
        <f>IFERROR(__xludf.DUMMYFUNCTION("""COMPUTED_VALUE"""),"Uncle Sams Cider (5/13/2022)")</f>
        <v>Uncle Sams Cider (5/13/2022)</v>
      </c>
      <c r="H7131" s="19"/>
    </row>
    <row r="7132">
      <c r="A7132" s="9"/>
      <c r="B7132" s="15"/>
      <c r="C7132" s="9">
        <f>IFERROR(__xludf.DUMMYFUNCTION("""COMPUTED_VALUE"""),44722.2530006018)</f>
        <v>44722.253</v>
      </c>
      <c r="D7132" s="15">
        <f>IFERROR(__xludf.DUMMYFUNCTION("""COMPUTED_VALUE"""),1.008)</f>
        <v>1.008</v>
      </c>
      <c r="E7132" s="16">
        <f>IFERROR(__xludf.DUMMYFUNCTION("""COMPUTED_VALUE"""),67.0)</f>
        <v>67</v>
      </c>
      <c r="F7132" s="19" t="str">
        <f>IFERROR(__xludf.DUMMYFUNCTION("""COMPUTED_VALUE"""),"BLACK")</f>
        <v>BLACK</v>
      </c>
      <c r="G7132" s="20" t="str">
        <f>IFERROR(__xludf.DUMMYFUNCTION("""COMPUTED_VALUE"""),"Uncle Sams Cider (5/13/2022)")</f>
        <v>Uncle Sams Cider (5/13/2022)</v>
      </c>
      <c r="H7132" s="19"/>
    </row>
    <row r="7133">
      <c r="A7133" s="9"/>
      <c r="B7133" s="15"/>
      <c r="C7133" s="9">
        <f>IFERROR(__xludf.DUMMYFUNCTION("""COMPUTED_VALUE"""),44722.2425798148)</f>
        <v>44722.24258</v>
      </c>
      <c r="D7133" s="15">
        <f>IFERROR(__xludf.DUMMYFUNCTION("""COMPUTED_VALUE"""),1.008)</f>
        <v>1.008</v>
      </c>
      <c r="E7133" s="16">
        <f>IFERROR(__xludf.DUMMYFUNCTION("""COMPUTED_VALUE"""),67.0)</f>
        <v>67</v>
      </c>
      <c r="F7133" s="19" t="str">
        <f>IFERROR(__xludf.DUMMYFUNCTION("""COMPUTED_VALUE"""),"BLACK")</f>
        <v>BLACK</v>
      </c>
      <c r="G7133" s="20" t="str">
        <f>IFERROR(__xludf.DUMMYFUNCTION("""COMPUTED_VALUE"""),"Uncle Sams Cider (5/13/2022)")</f>
        <v>Uncle Sams Cider (5/13/2022)</v>
      </c>
      <c r="H7133" s="19"/>
    </row>
    <row r="7134">
      <c r="A7134" s="9"/>
      <c r="B7134" s="15"/>
      <c r="C7134" s="9">
        <f>IFERROR(__xludf.DUMMYFUNCTION("""COMPUTED_VALUE"""),44722.2321583217)</f>
        <v>44722.23216</v>
      </c>
      <c r="D7134" s="15">
        <f>IFERROR(__xludf.DUMMYFUNCTION("""COMPUTED_VALUE"""),1.008)</f>
        <v>1.008</v>
      </c>
      <c r="E7134" s="16">
        <f>IFERROR(__xludf.DUMMYFUNCTION("""COMPUTED_VALUE"""),67.0)</f>
        <v>67</v>
      </c>
      <c r="F7134" s="19" t="str">
        <f>IFERROR(__xludf.DUMMYFUNCTION("""COMPUTED_VALUE"""),"BLACK")</f>
        <v>BLACK</v>
      </c>
      <c r="G7134" s="20" t="str">
        <f>IFERROR(__xludf.DUMMYFUNCTION("""COMPUTED_VALUE"""),"Uncle Sams Cider (5/13/2022)")</f>
        <v>Uncle Sams Cider (5/13/2022)</v>
      </c>
      <c r="H7134" s="19"/>
    </row>
    <row r="7135">
      <c r="A7135" s="9"/>
      <c r="B7135" s="15"/>
      <c r="C7135" s="9">
        <f>IFERROR(__xludf.DUMMYFUNCTION("""COMPUTED_VALUE"""),44722.2217370138)</f>
        <v>44722.22174</v>
      </c>
      <c r="D7135" s="15">
        <f>IFERROR(__xludf.DUMMYFUNCTION("""COMPUTED_VALUE"""),1.008)</f>
        <v>1.008</v>
      </c>
      <c r="E7135" s="16">
        <f>IFERROR(__xludf.DUMMYFUNCTION("""COMPUTED_VALUE"""),67.0)</f>
        <v>67</v>
      </c>
      <c r="F7135" s="19" t="str">
        <f>IFERROR(__xludf.DUMMYFUNCTION("""COMPUTED_VALUE"""),"BLACK")</f>
        <v>BLACK</v>
      </c>
      <c r="G7135" s="20" t="str">
        <f>IFERROR(__xludf.DUMMYFUNCTION("""COMPUTED_VALUE"""),"Uncle Sams Cider (5/13/2022)")</f>
        <v>Uncle Sams Cider (5/13/2022)</v>
      </c>
      <c r="H7135" s="19"/>
    </row>
    <row r="7136">
      <c r="A7136" s="9"/>
      <c r="B7136" s="15"/>
      <c r="C7136" s="9">
        <f>IFERROR(__xludf.DUMMYFUNCTION("""COMPUTED_VALUE"""),44722.2113175347)</f>
        <v>44722.21132</v>
      </c>
      <c r="D7136" s="15">
        <f>IFERROR(__xludf.DUMMYFUNCTION("""COMPUTED_VALUE"""),1.008)</f>
        <v>1.008</v>
      </c>
      <c r="E7136" s="16">
        <f>IFERROR(__xludf.DUMMYFUNCTION("""COMPUTED_VALUE"""),67.0)</f>
        <v>67</v>
      </c>
      <c r="F7136" s="19" t="str">
        <f>IFERROR(__xludf.DUMMYFUNCTION("""COMPUTED_VALUE"""),"BLACK")</f>
        <v>BLACK</v>
      </c>
      <c r="G7136" s="20" t="str">
        <f>IFERROR(__xludf.DUMMYFUNCTION("""COMPUTED_VALUE"""),"Uncle Sams Cider (5/13/2022)")</f>
        <v>Uncle Sams Cider (5/13/2022)</v>
      </c>
      <c r="H7136" s="19"/>
    </row>
    <row r="7137">
      <c r="A7137" s="9"/>
      <c r="B7137" s="15"/>
      <c r="C7137" s="9">
        <f>IFERROR(__xludf.DUMMYFUNCTION("""COMPUTED_VALUE"""),44722.2008945138)</f>
        <v>44722.20089</v>
      </c>
      <c r="D7137" s="15">
        <f>IFERROR(__xludf.DUMMYFUNCTION("""COMPUTED_VALUE"""),1.008)</f>
        <v>1.008</v>
      </c>
      <c r="E7137" s="16">
        <f>IFERROR(__xludf.DUMMYFUNCTION("""COMPUTED_VALUE"""),67.0)</f>
        <v>67</v>
      </c>
      <c r="F7137" s="19" t="str">
        <f>IFERROR(__xludf.DUMMYFUNCTION("""COMPUTED_VALUE"""),"BLACK")</f>
        <v>BLACK</v>
      </c>
      <c r="G7137" s="20" t="str">
        <f>IFERROR(__xludf.DUMMYFUNCTION("""COMPUTED_VALUE"""),"Uncle Sams Cider (5/13/2022)")</f>
        <v>Uncle Sams Cider (5/13/2022)</v>
      </c>
      <c r="H7137" s="19"/>
    </row>
    <row r="7138">
      <c r="A7138" s="9"/>
      <c r="B7138" s="15"/>
      <c r="C7138" s="9">
        <f>IFERROR(__xludf.DUMMYFUNCTION("""COMPUTED_VALUE"""),44722.19046125)</f>
        <v>44722.19046</v>
      </c>
      <c r="D7138" s="15">
        <f>IFERROR(__xludf.DUMMYFUNCTION("""COMPUTED_VALUE"""),1.008)</f>
        <v>1.008</v>
      </c>
      <c r="E7138" s="16">
        <f>IFERROR(__xludf.DUMMYFUNCTION("""COMPUTED_VALUE"""),67.0)</f>
        <v>67</v>
      </c>
      <c r="F7138" s="19" t="str">
        <f>IFERROR(__xludf.DUMMYFUNCTION("""COMPUTED_VALUE"""),"BLACK")</f>
        <v>BLACK</v>
      </c>
      <c r="G7138" s="20" t="str">
        <f>IFERROR(__xludf.DUMMYFUNCTION("""COMPUTED_VALUE"""),"Uncle Sams Cider (5/13/2022)")</f>
        <v>Uncle Sams Cider (5/13/2022)</v>
      </c>
      <c r="H7138" s="19"/>
    </row>
    <row r="7139">
      <c r="A7139" s="9"/>
      <c r="B7139" s="15"/>
      <c r="C7139" s="9">
        <f>IFERROR(__xludf.DUMMYFUNCTION("""COMPUTED_VALUE"""),44722.1800399884)</f>
        <v>44722.18004</v>
      </c>
      <c r="D7139" s="15">
        <f>IFERROR(__xludf.DUMMYFUNCTION("""COMPUTED_VALUE"""),1.008)</f>
        <v>1.008</v>
      </c>
      <c r="E7139" s="16">
        <f>IFERROR(__xludf.DUMMYFUNCTION("""COMPUTED_VALUE"""),67.0)</f>
        <v>67</v>
      </c>
      <c r="F7139" s="19" t="str">
        <f>IFERROR(__xludf.DUMMYFUNCTION("""COMPUTED_VALUE"""),"BLACK")</f>
        <v>BLACK</v>
      </c>
      <c r="G7139" s="20" t="str">
        <f>IFERROR(__xludf.DUMMYFUNCTION("""COMPUTED_VALUE"""),"Uncle Sams Cider (5/13/2022)")</f>
        <v>Uncle Sams Cider (5/13/2022)</v>
      </c>
      <c r="H7139" s="19"/>
    </row>
    <row r="7140">
      <c r="A7140" s="9"/>
      <c r="B7140" s="15"/>
      <c r="C7140" s="9">
        <f>IFERROR(__xludf.DUMMYFUNCTION("""COMPUTED_VALUE"""),44722.169619456)</f>
        <v>44722.16962</v>
      </c>
      <c r="D7140" s="15">
        <f>IFERROR(__xludf.DUMMYFUNCTION("""COMPUTED_VALUE"""),1.008)</f>
        <v>1.008</v>
      </c>
      <c r="E7140" s="16">
        <f>IFERROR(__xludf.DUMMYFUNCTION("""COMPUTED_VALUE"""),67.0)</f>
        <v>67</v>
      </c>
      <c r="F7140" s="19" t="str">
        <f>IFERROR(__xludf.DUMMYFUNCTION("""COMPUTED_VALUE"""),"BLACK")</f>
        <v>BLACK</v>
      </c>
      <c r="G7140" s="20" t="str">
        <f>IFERROR(__xludf.DUMMYFUNCTION("""COMPUTED_VALUE"""),"Uncle Sams Cider (5/13/2022)")</f>
        <v>Uncle Sams Cider (5/13/2022)</v>
      </c>
      <c r="H7140" s="19"/>
    </row>
    <row r="7141">
      <c r="A7141" s="9"/>
      <c r="B7141" s="15"/>
      <c r="C7141" s="9">
        <f>IFERROR(__xludf.DUMMYFUNCTION("""COMPUTED_VALUE"""),44722.1591636805)</f>
        <v>44722.15916</v>
      </c>
      <c r="D7141" s="15">
        <f>IFERROR(__xludf.DUMMYFUNCTION("""COMPUTED_VALUE"""),1.008)</f>
        <v>1.008</v>
      </c>
      <c r="E7141" s="16">
        <f>IFERROR(__xludf.DUMMYFUNCTION("""COMPUTED_VALUE"""),67.0)</f>
        <v>67</v>
      </c>
      <c r="F7141" s="19" t="str">
        <f>IFERROR(__xludf.DUMMYFUNCTION("""COMPUTED_VALUE"""),"BLACK")</f>
        <v>BLACK</v>
      </c>
      <c r="G7141" s="20" t="str">
        <f>IFERROR(__xludf.DUMMYFUNCTION("""COMPUTED_VALUE"""),"Uncle Sams Cider (5/13/2022)")</f>
        <v>Uncle Sams Cider (5/13/2022)</v>
      </c>
      <c r="H7141" s="19"/>
    </row>
    <row r="7142">
      <c r="A7142" s="9"/>
      <c r="B7142" s="15"/>
      <c r="C7142" s="9">
        <f>IFERROR(__xludf.DUMMYFUNCTION("""COMPUTED_VALUE"""),44722.1487430324)</f>
        <v>44722.14874</v>
      </c>
      <c r="D7142" s="15">
        <f>IFERROR(__xludf.DUMMYFUNCTION("""COMPUTED_VALUE"""),1.008)</f>
        <v>1.008</v>
      </c>
      <c r="E7142" s="16">
        <f>IFERROR(__xludf.DUMMYFUNCTION("""COMPUTED_VALUE"""),67.0)</f>
        <v>67</v>
      </c>
      <c r="F7142" s="19" t="str">
        <f>IFERROR(__xludf.DUMMYFUNCTION("""COMPUTED_VALUE"""),"BLACK")</f>
        <v>BLACK</v>
      </c>
      <c r="G7142" s="20" t="str">
        <f>IFERROR(__xludf.DUMMYFUNCTION("""COMPUTED_VALUE"""),"Uncle Sams Cider (5/13/2022)")</f>
        <v>Uncle Sams Cider (5/13/2022)</v>
      </c>
      <c r="H7142" s="19"/>
    </row>
    <row r="7143">
      <c r="A7143" s="9"/>
      <c r="B7143" s="15"/>
      <c r="C7143" s="9">
        <f>IFERROR(__xludf.DUMMYFUNCTION("""COMPUTED_VALUE"""),44722.1383210185)</f>
        <v>44722.13832</v>
      </c>
      <c r="D7143" s="15">
        <f>IFERROR(__xludf.DUMMYFUNCTION("""COMPUTED_VALUE"""),1.008)</f>
        <v>1.008</v>
      </c>
      <c r="E7143" s="16">
        <f>IFERROR(__xludf.DUMMYFUNCTION("""COMPUTED_VALUE"""),67.0)</f>
        <v>67</v>
      </c>
      <c r="F7143" s="19" t="str">
        <f>IFERROR(__xludf.DUMMYFUNCTION("""COMPUTED_VALUE"""),"BLACK")</f>
        <v>BLACK</v>
      </c>
      <c r="G7143" s="20" t="str">
        <f>IFERROR(__xludf.DUMMYFUNCTION("""COMPUTED_VALUE"""),"Uncle Sams Cider (5/13/2022)")</f>
        <v>Uncle Sams Cider (5/13/2022)</v>
      </c>
      <c r="H7143" s="19"/>
    </row>
    <row r="7144">
      <c r="A7144" s="9"/>
      <c r="B7144" s="15"/>
      <c r="C7144" s="9">
        <f>IFERROR(__xludf.DUMMYFUNCTION("""COMPUTED_VALUE"""),44722.1279013425)</f>
        <v>44722.1279</v>
      </c>
      <c r="D7144" s="15">
        <f>IFERROR(__xludf.DUMMYFUNCTION("""COMPUTED_VALUE"""),1.008)</f>
        <v>1.008</v>
      </c>
      <c r="E7144" s="16">
        <f>IFERROR(__xludf.DUMMYFUNCTION("""COMPUTED_VALUE"""),67.0)</f>
        <v>67</v>
      </c>
      <c r="F7144" s="19" t="str">
        <f>IFERROR(__xludf.DUMMYFUNCTION("""COMPUTED_VALUE"""),"BLACK")</f>
        <v>BLACK</v>
      </c>
      <c r="G7144" s="20" t="str">
        <f>IFERROR(__xludf.DUMMYFUNCTION("""COMPUTED_VALUE"""),"Uncle Sams Cider (5/13/2022)")</f>
        <v>Uncle Sams Cider (5/13/2022)</v>
      </c>
      <c r="H7144" s="19"/>
    </row>
    <row r="7145">
      <c r="A7145" s="9"/>
      <c r="B7145" s="15"/>
      <c r="C7145" s="9">
        <f>IFERROR(__xludf.DUMMYFUNCTION("""COMPUTED_VALUE"""),44722.1174805555)</f>
        <v>44722.11748</v>
      </c>
      <c r="D7145" s="15">
        <f>IFERROR(__xludf.DUMMYFUNCTION("""COMPUTED_VALUE"""),1.008)</f>
        <v>1.008</v>
      </c>
      <c r="E7145" s="16">
        <f>IFERROR(__xludf.DUMMYFUNCTION("""COMPUTED_VALUE"""),67.0)</f>
        <v>67</v>
      </c>
      <c r="F7145" s="19" t="str">
        <f>IFERROR(__xludf.DUMMYFUNCTION("""COMPUTED_VALUE"""),"BLACK")</f>
        <v>BLACK</v>
      </c>
      <c r="G7145" s="20" t="str">
        <f>IFERROR(__xludf.DUMMYFUNCTION("""COMPUTED_VALUE"""),"Uncle Sams Cider (5/13/2022)")</f>
        <v>Uncle Sams Cider (5/13/2022)</v>
      </c>
      <c r="H7145" s="19"/>
    </row>
    <row r="7146">
      <c r="A7146" s="9"/>
      <c r="B7146" s="15"/>
      <c r="C7146" s="9">
        <f>IFERROR(__xludf.DUMMYFUNCTION("""COMPUTED_VALUE"""),44722.1070603356)</f>
        <v>44722.10706</v>
      </c>
      <c r="D7146" s="15">
        <f>IFERROR(__xludf.DUMMYFUNCTION("""COMPUTED_VALUE"""),1.008)</f>
        <v>1.008</v>
      </c>
      <c r="E7146" s="16">
        <f>IFERROR(__xludf.DUMMYFUNCTION("""COMPUTED_VALUE"""),67.0)</f>
        <v>67</v>
      </c>
      <c r="F7146" s="19" t="str">
        <f>IFERROR(__xludf.DUMMYFUNCTION("""COMPUTED_VALUE"""),"BLACK")</f>
        <v>BLACK</v>
      </c>
      <c r="G7146" s="20" t="str">
        <f>IFERROR(__xludf.DUMMYFUNCTION("""COMPUTED_VALUE"""),"Uncle Sams Cider (5/13/2022)")</f>
        <v>Uncle Sams Cider (5/13/2022)</v>
      </c>
      <c r="H7146" s="19"/>
    </row>
    <row r="7147">
      <c r="A7147" s="9"/>
      <c r="B7147" s="15"/>
      <c r="C7147" s="9">
        <f>IFERROR(__xludf.DUMMYFUNCTION("""COMPUTED_VALUE"""),44722.0966298263)</f>
        <v>44722.09663</v>
      </c>
      <c r="D7147" s="15">
        <f>IFERROR(__xludf.DUMMYFUNCTION("""COMPUTED_VALUE"""),1.008)</f>
        <v>1.008</v>
      </c>
      <c r="E7147" s="16">
        <f>IFERROR(__xludf.DUMMYFUNCTION("""COMPUTED_VALUE"""),67.0)</f>
        <v>67</v>
      </c>
      <c r="F7147" s="19" t="str">
        <f>IFERROR(__xludf.DUMMYFUNCTION("""COMPUTED_VALUE"""),"BLACK")</f>
        <v>BLACK</v>
      </c>
      <c r="G7147" s="20" t="str">
        <f>IFERROR(__xludf.DUMMYFUNCTION("""COMPUTED_VALUE"""),"Uncle Sams Cider (5/13/2022)")</f>
        <v>Uncle Sams Cider (5/13/2022)</v>
      </c>
      <c r="H7147" s="19"/>
    </row>
    <row r="7148">
      <c r="A7148" s="9"/>
      <c r="B7148" s="15"/>
      <c r="C7148" s="9">
        <f>IFERROR(__xludf.DUMMYFUNCTION("""COMPUTED_VALUE"""),44722.0862078819)</f>
        <v>44722.08621</v>
      </c>
      <c r="D7148" s="15">
        <f>IFERROR(__xludf.DUMMYFUNCTION("""COMPUTED_VALUE"""),1.008)</f>
        <v>1.008</v>
      </c>
      <c r="E7148" s="16">
        <f>IFERROR(__xludf.DUMMYFUNCTION("""COMPUTED_VALUE"""),67.0)</f>
        <v>67</v>
      </c>
      <c r="F7148" s="19" t="str">
        <f>IFERROR(__xludf.DUMMYFUNCTION("""COMPUTED_VALUE"""),"BLACK")</f>
        <v>BLACK</v>
      </c>
      <c r="G7148" s="20" t="str">
        <f>IFERROR(__xludf.DUMMYFUNCTION("""COMPUTED_VALUE"""),"Uncle Sams Cider (5/13/2022)")</f>
        <v>Uncle Sams Cider (5/13/2022)</v>
      </c>
      <c r="H7148" s="19"/>
    </row>
    <row r="7149">
      <c r="A7149" s="9"/>
      <c r="B7149" s="15"/>
      <c r="C7149" s="9">
        <f>IFERROR(__xludf.DUMMYFUNCTION("""COMPUTED_VALUE"""),44722.0757879513)</f>
        <v>44722.07579</v>
      </c>
      <c r="D7149" s="15">
        <f>IFERROR(__xludf.DUMMYFUNCTION("""COMPUTED_VALUE"""),1.008)</f>
        <v>1.008</v>
      </c>
      <c r="E7149" s="16">
        <f>IFERROR(__xludf.DUMMYFUNCTION("""COMPUTED_VALUE"""),67.0)</f>
        <v>67</v>
      </c>
      <c r="F7149" s="19" t="str">
        <f>IFERROR(__xludf.DUMMYFUNCTION("""COMPUTED_VALUE"""),"BLACK")</f>
        <v>BLACK</v>
      </c>
      <c r="G7149" s="20" t="str">
        <f>IFERROR(__xludf.DUMMYFUNCTION("""COMPUTED_VALUE"""),"Uncle Sams Cider (5/13/2022)")</f>
        <v>Uncle Sams Cider (5/13/2022)</v>
      </c>
      <c r="H7149" s="19"/>
    </row>
    <row r="7150">
      <c r="A7150" s="9"/>
      <c r="B7150" s="15"/>
      <c r="C7150" s="9">
        <f>IFERROR(__xludf.DUMMYFUNCTION("""COMPUTED_VALUE"""),44722.0653680092)</f>
        <v>44722.06537</v>
      </c>
      <c r="D7150" s="15">
        <f>IFERROR(__xludf.DUMMYFUNCTION("""COMPUTED_VALUE"""),1.008)</f>
        <v>1.008</v>
      </c>
      <c r="E7150" s="16">
        <f>IFERROR(__xludf.DUMMYFUNCTION("""COMPUTED_VALUE"""),67.0)</f>
        <v>67</v>
      </c>
      <c r="F7150" s="19" t="str">
        <f>IFERROR(__xludf.DUMMYFUNCTION("""COMPUTED_VALUE"""),"BLACK")</f>
        <v>BLACK</v>
      </c>
      <c r="G7150" s="20" t="str">
        <f>IFERROR(__xludf.DUMMYFUNCTION("""COMPUTED_VALUE"""),"Uncle Sams Cider (5/13/2022)")</f>
        <v>Uncle Sams Cider (5/13/2022)</v>
      </c>
      <c r="H7150" s="19"/>
    </row>
    <row r="7151">
      <c r="A7151" s="9"/>
      <c r="B7151" s="15"/>
      <c r="C7151" s="9">
        <f>IFERROR(__xludf.DUMMYFUNCTION("""COMPUTED_VALUE"""),44722.0549454976)</f>
        <v>44722.05495</v>
      </c>
      <c r="D7151" s="15">
        <f>IFERROR(__xludf.DUMMYFUNCTION("""COMPUTED_VALUE"""),1.008)</f>
        <v>1.008</v>
      </c>
      <c r="E7151" s="16">
        <f>IFERROR(__xludf.DUMMYFUNCTION("""COMPUTED_VALUE"""),67.0)</f>
        <v>67</v>
      </c>
      <c r="F7151" s="19" t="str">
        <f>IFERROR(__xludf.DUMMYFUNCTION("""COMPUTED_VALUE"""),"BLACK")</f>
        <v>BLACK</v>
      </c>
      <c r="G7151" s="20" t="str">
        <f>IFERROR(__xludf.DUMMYFUNCTION("""COMPUTED_VALUE"""),"Uncle Sams Cider (5/13/2022)")</f>
        <v>Uncle Sams Cider (5/13/2022)</v>
      </c>
      <c r="H7151" s="19"/>
    </row>
    <row r="7152">
      <c r="A7152" s="9"/>
      <c r="B7152" s="15"/>
      <c r="C7152" s="9">
        <f>IFERROR(__xludf.DUMMYFUNCTION("""COMPUTED_VALUE"""),44722.0445229629)</f>
        <v>44722.04452</v>
      </c>
      <c r="D7152" s="15">
        <f>IFERROR(__xludf.DUMMYFUNCTION("""COMPUTED_VALUE"""),1.008)</f>
        <v>1.008</v>
      </c>
      <c r="E7152" s="16">
        <f>IFERROR(__xludf.DUMMYFUNCTION("""COMPUTED_VALUE"""),67.0)</f>
        <v>67</v>
      </c>
      <c r="F7152" s="19" t="str">
        <f>IFERROR(__xludf.DUMMYFUNCTION("""COMPUTED_VALUE"""),"BLACK")</f>
        <v>BLACK</v>
      </c>
      <c r="G7152" s="20" t="str">
        <f>IFERROR(__xludf.DUMMYFUNCTION("""COMPUTED_VALUE"""),"Uncle Sams Cider (5/13/2022)")</f>
        <v>Uncle Sams Cider (5/13/2022)</v>
      </c>
      <c r="H7152" s="19"/>
    </row>
    <row r="7153">
      <c r="A7153" s="9"/>
      <c r="B7153" s="15"/>
      <c r="C7153" s="9">
        <f>IFERROR(__xludf.DUMMYFUNCTION("""COMPUTED_VALUE"""),44722.0340892129)</f>
        <v>44722.03409</v>
      </c>
      <c r="D7153" s="15">
        <f>IFERROR(__xludf.DUMMYFUNCTION("""COMPUTED_VALUE"""),1.008)</f>
        <v>1.008</v>
      </c>
      <c r="E7153" s="16">
        <f>IFERROR(__xludf.DUMMYFUNCTION("""COMPUTED_VALUE"""),67.0)</f>
        <v>67</v>
      </c>
      <c r="F7153" s="19" t="str">
        <f>IFERROR(__xludf.DUMMYFUNCTION("""COMPUTED_VALUE"""),"BLACK")</f>
        <v>BLACK</v>
      </c>
      <c r="G7153" s="20" t="str">
        <f>IFERROR(__xludf.DUMMYFUNCTION("""COMPUTED_VALUE"""),"Uncle Sams Cider (5/13/2022)")</f>
        <v>Uncle Sams Cider (5/13/2022)</v>
      </c>
      <c r="H7153" s="19"/>
    </row>
    <row r="7154">
      <c r="A7154" s="9"/>
      <c r="B7154" s="15"/>
      <c r="C7154" s="9">
        <f>IFERROR(__xludf.DUMMYFUNCTION("""COMPUTED_VALUE"""),44722.0236675115)</f>
        <v>44722.02367</v>
      </c>
      <c r="D7154" s="15">
        <f>IFERROR(__xludf.DUMMYFUNCTION("""COMPUTED_VALUE"""),1.008)</f>
        <v>1.008</v>
      </c>
      <c r="E7154" s="16">
        <f>IFERROR(__xludf.DUMMYFUNCTION("""COMPUTED_VALUE"""),67.0)</f>
        <v>67</v>
      </c>
      <c r="F7154" s="19" t="str">
        <f>IFERROR(__xludf.DUMMYFUNCTION("""COMPUTED_VALUE"""),"BLACK")</f>
        <v>BLACK</v>
      </c>
      <c r="G7154" s="20" t="str">
        <f>IFERROR(__xludf.DUMMYFUNCTION("""COMPUTED_VALUE"""),"Uncle Sams Cider (5/13/2022)")</f>
        <v>Uncle Sams Cider (5/13/2022)</v>
      </c>
      <c r="H7154" s="19"/>
    </row>
    <row r="7155">
      <c r="A7155" s="9"/>
      <c r="B7155" s="15"/>
      <c r="C7155" s="9">
        <f>IFERROR(__xludf.DUMMYFUNCTION("""COMPUTED_VALUE"""),44722.0132214236)</f>
        <v>44722.01322</v>
      </c>
      <c r="D7155" s="15">
        <f>IFERROR(__xludf.DUMMYFUNCTION("""COMPUTED_VALUE"""),1.008)</f>
        <v>1.008</v>
      </c>
      <c r="E7155" s="16">
        <f>IFERROR(__xludf.DUMMYFUNCTION("""COMPUTED_VALUE"""),67.0)</f>
        <v>67</v>
      </c>
      <c r="F7155" s="19" t="str">
        <f>IFERROR(__xludf.DUMMYFUNCTION("""COMPUTED_VALUE"""),"BLACK")</f>
        <v>BLACK</v>
      </c>
      <c r="G7155" s="20" t="str">
        <f>IFERROR(__xludf.DUMMYFUNCTION("""COMPUTED_VALUE"""),"Uncle Sams Cider (5/13/2022)")</f>
        <v>Uncle Sams Cider (5/13/2022)</v>
      </c>
      <c r="H7155" s="19"/>
    </row>
    <row r="7156">
      <c r="A7156" s="9"/>
      <c r="B7156" s="15"/>
      <c r="C7156" s="9">
        <f>IFERROR(__xludf.DUMMYFUNCTION("""COMPUTED_VALUE"""),44722.0027998379)</f>
        <v>44722.0028</v>
      </c>
      <c r="D7156" s="15">
        <f>IFERROR(__xludf.DUMMYFUNCTION("""COMPUTED_VALUE"""),1.008)</f>
        <v>1.008</v>
      </c>
      <c r="E7156" s="16">
        <f>IFERROR(__xludf.DUMMYFUNCTION("""COMPUTED_VALUE"""),67.0)</f>
        <v>67</v>
      </c>
      <c r="F7156" s="19" t="str">
        <f>IFERROR(__xludf.DUMMYFUNCTION("""COMPUTED_VALUE"""),"BLACK")</f>
        <v>BLACK</v>
      </c>
      <c r="G7156" s="20" t="str">
        <f>IFERROR(__xludf.DUMMYFUNCTION("""COMPUTED_VALUE"""),"Uncle Sams Cider (5/13/2022)")</f>
        <v>Uncle Sams Cider (5/13/2022)</v>
      </c>
      <c r="H7156" s="19"/>
    </row>
    <row r="7157">
      <c r="A7157" s="9"/>
      <c r="B7157" s="15"/>
      <c r="C7157" s="9">
        <f>IFERROR(__xludf.DUMMYFUNCTION("""COMPUTED_VALUE"""),44721.9923800115)</f>
        <v>44721.99238</v>
      </c>
      <c r="D7157" s="15">
        <f>IFERROR(__xludf.DUMMYFUNCTION("""COMPUTED_VALUE"""),1.008)</f>
        <v>1.008</v>
      </c>
      <c r="E7157" s="16">
        <f>IFERROR(__xludf.DUMMYFUNCTION("""COMPUTED_VALUE"""),67.0)</f>
        <v>67</v>
      </c>
      <c r="F7157" s="19" t="str">
        <f>IFERROR(__xludf.DUMMYFUNCTION("""COMPUTED_VALUE"""),"BLACK")</f>
        <v>BLACK</v>
      </c>
      <c r="G7157" s="20" t="str">
        <f>IFERROR(__xludf.DUMMYFUNCTION("""COMPUTED_VALUE"""),"Uncle Sams Cider (5/13/2022)")</f>
        <v>Uncle Sams Cider (5/13/2022)</v>
      </c>
      <c r="H7157" s="19"/>
    </row>
    <row r="7158">
      <c r="A7158" s="9"/>
      <c r="B7158" s="15"/>
      <c r="C7158" s="9">
        <f>IFERROR(__xludf.DUMMYFUNCTION("""COMPUTED_VALUE"""),44721.9819591087)</f>
        <v>44721.98196</v>
      </c>
      <c r="D7158" s="15">
        <f>IFERROR(__xludf.DUMMYFUNCTION("""COMPUTED_VALUE"""),1.008)</f>
        <v>1.008</v>
      </c>
      <c r="E7158" s="16">
        <f>IFERROR(__xludf.DUMMYFUNCTION("""COMPUTED_VALUE"""),67.0)</f>
        <v>67</v>
      </c>
      <c r="F7158" s="19" t="str">
        <f>IFERROR(__xludf.DUMMYFUNCTION("""COMPUTED_VALUE"""),"BLACK")</f>
        <v>BLACK</v>
      </c>
      <c r="G7158" s="20" t="str">
        <f>IFERROR(__xludf.DUMMYFUNCTION("""COMPUTED_VALUE"""),"Uncle Sams Cider (5/13/2022)")</f>
        <v>Uncle Sams Cider (5/13/2022)</v>
      </c>
      <c r="H7158" s="19"/>
    </row>
    <row r="7159">
      <c r="A7159" s="9"/>
      <c r="B7159" s="15"/>
      <c r="C7159" s="9">
        <f>IFERROR(__xludf.DUMMYFUNCTION("""COMPUTED_VALUE"""),44721.9715147453)</f>
        <v>44721.97151</v>
      </c>
      <c r="D7159" s="15">
        <f>IFERROR(__xludf.DUMMYFUNCTION("""COMPUTED_VALUE"""),1.008)</f>
        <v>1.008</v>
      </c>
      <c r="E7159" s="16">
        <f>IFERROR(__xludf.DUMMYFUNCTION("""COMPUTED_VALUE"""),67.0)</f>
        <v>67</v>
      </c>
      <c r="F7159" s="19" t="str">
        <f>IFERROR(__xludf.DUMMYFUNCTION("""COMPUTED_VALUE"""),"BLACK")</f>
        <v>BLACK</v>
      </c>
      <c r="G7159" s="20" t="str">
        <f>IFERROR(__xludf.DUMMYFUNCTION("""COMPUTED_VALUE"""),"Uncle Sams Cider (5/13/2022)")</f>
        <v>Uncle Sams Cider (5/13/2022)</v>
      </c>
      <c r="H7159" s="19"/>
    </row>
    <row r="7160">
      <c r="A7160" s="9"/>
      <c r="B7160" s="15"/>
      <c r="C7160" s="9">
        <f>IFERROR(__xludf.DUMMYFUNCTION("""COMPUTED_VALUE"""),44721.9610697569)</f>
        <v>44721.96107</v>
      </c>
      <c r="D7160" s="15">
        <f>IFERROR(__xludf.DUMMYFUNCTION("""COMPUTED_VALUE"""),1.008)</f>
        <v>1.008</v>
      </c>
      <c r="E7160" s="16">
        <f>IFERROR(__xludf.DUMMYFUNCTION("""COMPUTED_VALUE"""),67.0)</f>
        <v>67</v>
      </c>
      <c r="F7160" s="19" t="str">
        <f>IFERROR(__xludf.DUMMYFUNCTION("""COMPUTED_VALUE"""),"BLACK")</f>
        <v>BLACK</v>
      </c>
      <c r="G7160" s="20" t="str">
        <f>IFERROR(__xludf.DUMMYFUNCTION("""COMPUTED_VALUE"""),"Uncle Sams Cider (5/13/2022)")</f>
        <v>Uncle Sams Cider (5/13/2022)</v>
      </c>
      <c r="H7160" s="19"/>
    </row>
    <row r="7161">
      <c r="A7161" s="9"/>
      <c r="B7161" s="15"/>
      <c r="C7161" s="9">
        <f>IFERROR(__xludf.DUMMYFUNCTION("""COMPUTED_VALUE"""),44721.9506471296)</f>
        <v>44721.95065</v>
      </c>
      <c r="D7161" s="15">
        <f>IFERROR(__xludf.DUMMYFUNCTION("""COMPUTED_VALUE"""),1.008)</f>
        <v>1.008</v>
      </c>
      <c r="E7161" s="16">
        <f>IFERROR(__xludf.DUMMYFUNCTION("""COMPUTED_VALUE"""),67.0)</f>
        <v>67</v>
      </c>
      <c r="F7161" s="19" t="str">
        <f>IFERROR(__xludf.DUMMYFUNCTION("""COMPUTED_VALUE"""),"BLACK")</f>
        <v>BLACK</v>
      </c>
      <c r="G7161" s="20" t="str">
        <f>IFERROR(__xludf.DUMMYFUNCTION("""COMPUTED_VALUE"""),"Uncle Sams Cider (5/13/2022)")</f>
        <v>Uncle Sams Cider (5/13/2022)</v>
      </c>
      <c r="H7161" s="19"/>
    </row>
    <row r="7162">
      <c r="A7162" s="9"/>
      <c r="B7162" s="15"/>
      <c r="C7162" s="9">
        <f>IFERROR(__xludf.DUMMYFUNCTION("""COMPUTED_VALUE"""),44721.9402254513)</f>
        <v>44721.94023</v>
      </c>
      <c r="D7162" s="15">
        <f>IFERROR(__xludf.DUMMYFUNCTION("""COMPUTED_VALUE"""),1.008)</f>
        <v>1.008</v>
      </c>
      <c r="E7162" s="16">
        <f>IFERROR(__xludf.DUMMYFUNCTION("""COMPUTED_VALUE"""),67.0)</f>
        <v>67</v>
      </c>
      <c r="F7162" s="19" t="str">
        <f>IFERROR(__xludf.DUMMYFUNCTION("""COMPUTED_VALUE"""),"BLACK")</f>
        <v>BLACK</v>
      </c>
      <c r="G7162" s="20" t="str">
        <f>IFERROR(__xludf.DUMMYFUNCTION("""COMPUTED_VALUE"""),"Uncle Sams Cider (5/13/2022)")</f>
        <v>Uncle Sams Cider (5/13/2022)</v>
      </c>
      <c r="H7162" s="19"/>
    </row>
    <row r="7163">
      <c r="A7163" s="9"/>
      <c r="B7163" s="15"/>
      <c r="C7163" s="9">
        <f>IFERROR(__xludf.DUMMYFUNCTION("""COMPUTED_VALUE"""),44721.9298026967)</f>
        <v>44721.9298</v>
      </c>
      <c r="D7163" s="15">
        <f>IFERROR(__xludf.DUMMYFUNCTION("""COMPUTED_VALUE"""),1.008)</f>
        <v>1.008</v>
      </c>
      <c r="E7163" s="16">
        <f>IFERROR(__xludf.DUMMYFUNCTION("""COMPUTED_VALUE"""),67.0)</f>
        <v>67</v>
      </c>
      <c r="F7163" s="19" t="str">
        <f>IFERROR(__xludf.DUMMYFUNCTION("""COMPUTED_VALUE"""),"BLACK")</f>
        <v>BLACK</v>
      </c>
      <c r="G7163" s="20" t="str">
        <f>IFERROR(__xludf.DUMMYFUNCTION("""COMPUTED_VALUE"""),"Uncle Sams Cider (5/13/2022)")</f>
        <v>Uncle Sams Cider (5/13/2022)</v>
      </c>
      <c r="H7163" s="19"/>
    </row>
    <row r="7164">
      <c r="A7164" s="9"/>
      <c r="B7164" s="15"/>
      <c r="C7164" s="9">
        <f>IFERROR(__xludf.DUMMYFUNCTION("""COMPUTED_VALUE"""),44721.9193824074)</f>
        <v>44721.91938</v>
      </c>
      <c r="D7164" s="15">
        <f>IFERROR(__xludf.DUMMYFUNCTION("""COMPUTED_VALUE"""),1.008)</f>
        <v>1.008</v>
      </c>
      <c r="E7164" s="16">
        <f>IFERROR(__xludf.DUMMYFUNCTION("""COMPUTED_VALUE"""),67.0)</f>
        <v>67</v>
      </c>
      <c r="F7164" s="19" t="str">
        <f>IFERROR(__xludf.DUMMYFUNCTION("""COMPUTED_VALUE"""),"BLACK")</f>
        <v>BLACK</v>
      </c>
      <c r="G7164" s="20" t="str">
        <f>IFERROR(__xludf.DUMMYFUNCTION("""COMPUTED_VALUE"""),"Uncle Sams Cider (5/13/2022)")</f>
        <v>Uncle Sams Cider (5/13/2022)</v>
      </c>
      <c r="H7164" s="19"/>
    </row>
    <row r="7165">
      <c r="A7165" s="9"/>
      <c r="B7165" s="15"/>
      <c r="C7165" s="9">
        <f>IFERROR(__xludf.DUMMYFUNCTION("""COMPUTED_VALUE"""),44721.9089614236)</f>
        <v>44721.90896</v>
      </c>
      <c r="D7165" s="15">
        <f>IFERROR(__xludf.DUMMYFUNCTION("""COMPUTED_VALUE"""),1.008)</f>
        <v>1.008</v>
      </c>
      <c r="E7165" s="16">
        <f>IFERROR(__xludf.DUMMYFUNCTION("""COMPUTED_VALUE"""),67.0)</f>
        <v>67</v>
      </c>
      <c r="F7165" s="19" t="str">
        <f>IFERROR(__xludf.DUMMYFUNCTION("""COMPUTED_VALUE"""),"BLACK")</f>
        <v>BLACK</v>
      </c>
      <c r="G7165" s="20" t="str">
        <f>IFERROR(__xludf.DUMMYFUNCTION("""COMPUTED_VALUE"""),"Uncle Sams Cider (5/13/2022)")</f>
        <v>Uncle Sams Cider (5/13/2022)</v>
      </c>
      <c r="H7165" s="19"/>
    </row>
    <row r="7166">
      <c r="A7166" s="9"/>
      <c r="B7166" s="15"/>
      <c r="C7166" s="9">
        <f>IFERROR(__xludf.DUMMYFUNCTION("""COMPUTED_VALUE"""),44721.8985398032)</f>
        <v>44721.89854</v>
      </c>
      <c r="D7166" s="15">
        <f>IFERROR(__xludf.DUMMYFUNCTION("""COMPUTED_VALUE"""),1.008)</f>
        <v>1.008</v>
      </c>
      <c r="E7166" s="16">
        <f>IFERROR(__xludf.DUMMYFUNCTION("""COMPUTED_VALUE"""),67.0)</f>
        <v>67</v>
      </c>
      <c r="F7166" s="19" t="str">
        <f>IFERROR(__xludf.DUMMYFUNCTION("""COMPUTED_VALUE"""),"BLACK")</f>
        <v>BLACK</v>
      </c>
      <c r="G7166" s="20" t="str">
        <f>IFERROR(__xludf.DUMMYFUNCTION("""COMPUTED_VALUE"""),"Uncle Sams Cider (5/13/2022)")</f>
        <v>Uncle Sams Cider (5/13/2022)</v>
      </c>
      <c r="H7166" s="19"/>
    </row>
    <row r="7167">
      <c r="A7167" s="9"/>
      <c r="B7167" s="15"/>
      <c r="C7167" s="9">
        <f>IFERROR(__xludf.DUMMYFUNCTION("""COMPUTED_VALUE"""),44721.8881193055)</f>
        <v>44721.88812</v>
      </c>
      <c r="D7167" s="15">
        <f>IFERROR(__xludf.DUMMYFUNCTION("""COMPUTED_VALUE"""),1.008)</f>
        <v>1.008</v>
      </c>
      <c r="E7167" s="16">
        <f>IFERROR(__xludf.DUMMYFUNCTION("""COMPUTED_VALUE"""),67.0)</f>
        <v>67</v>
      </c>
      <c r="F7167" s="19" t="str">
        <f>IFERROR(__xludf.DUMMYFUNCTION("""COMPUTED_VALUE"""),"BLACK")</f>
        <v>BLACK</v>
      </c>
      <c r="G7167" s="20" t="str">
        <f>IFERROR(__xludf.DUMMYFUNCTION("""COMPUTED_VALUE"""),"Uncle Sams Cider (5/13/2022)")</f>
        <v>Uncle Sams Cider (5/13/2022)</v>
      </c>
      <c r="H7167" s="19"/>
    </row>
    <row r="7168">
      <c r="A7168" s="9"/>
      <c r="B7168" s="15"/>
      <c r="C7168" s="9">
        <f>IFERROR(__xludf.DUMMYFUNCTION("""COMPUTED_VALUE"""),44721.8776983333)</f>
        <v>44721.8777</v>
      </c>
      <c r="D7168" s="15">
        <f>IFERROR(__xludf.DUMMYFUNCTION("""COMPUTED_VALUE"""),1.008)</f>
        <v>1.008</v>
      </c>
      <c r="E7168" s="16">
        <f>IFERROR(__xludf.DUMMYFUNCTION("""COMPUTED_VALUE"""),67.0)</f>
        <v>67</v>
      </c>
      <c r="F7168" s="19" t="str">
        <f>IFERROR(__xludf.DUMMYFUNCTION("""COMPUTED_VALUE"""),"BLACK")</f>
        <v>BLACK</v>
      </c>
      <c r="G7168" s="20" t="str">
        <f>IFERROR(__xludf.DUMMYFUNCTION("""COMPUTED_VALUE"""),"Uncle Sams Cider (5/13/2022)")</f>
        <v>Uncle Sams Cider (5/13/2022)</v>
      </c>
      <c r="H7168" s="19"/>
    </row>
    <row r="7169">
      <c r="A7169" s="9"/>
      <c r="B7169" s="15"/>
      <c r="C7169" s="9">
        <f>IFERROR(__xludf.DUMMYFUNCTION("""COMPUTED_VALUE"""),44721.8672766203)</f>
        <v>44721.86728</v>
      </c>
      <c r="D7169" s="15">
        <f>IFERROR(__xludf.DUMMYFUNCTION("""COMPUTED_VALUE"""),1.008)</f>
        <v>1.008</v>
      </c>
      <c r="E7169" s="16">
        <f>IFERROR(__xludf.DUMMYFUNCTION("""COMPUTED_VALUE"""),67.0)</f>
        <v>67</v>
      </c>
      <c r="F7169" s="19" t="str">
        <f>IFERROR(__xludf.DUMMYFUNCTION("""COMPUTED_VALUE"""),"BLACK")</f>
        <v>BLACK</v>
      </c>
      <c r="G7169" s="20" t="str">
        <f>IFERROR(__xludf.DUMMYFUNCTION("""COMPUTED_VALUE"""),"Uncle Sams Cider (5/13/2022)")</f>
        <v>Uncle Sams Cider (5/13/2022)</v>
      </c>
      <c r="H7169" s="19"/>
    </row>
    <row r="7170">
      <c r="A7170" s="9"/>
      <c r="B7170" s="15"/>
      <c r="C7170" s="9">
        <f>IFERROR(__xludf.DUMMYFUNCTION("""COMPUTED_VALUE"""),44721.8568555092)</f>
        <v>44721.85686</v>
      </c>
      <c r="D7170" s="15">
        <f>IFERROR(__xludf.DUMMYFUNCTION("""COMPUTED_VALUE"""),1.008)</f>
        <v>1.008</v>
      </c>
      <c r="E7170" s="16">
        <f>IFERROR(__xludf.DUMMYFUNCTION("""COMPUTED_VALUE"""),67.0)</f>
        <v>67</v>
      </c>
      <c r="F7170" s="19" t="str">
        <f>IFERROR(__xludf.DUMMYFUNCTION("""COMPUTED_VALUE"""),"BLACK")</f>
        <v>BLACK</v>
      </c>
      <c r="G7170" s="20" t="str">
        <f>IFERROR(__xludf.DUMMYFUNCTION("""COMPUTED_VALUE"""),"Uncle Sams Cider (5/13/2022)")</f>
        <v>Uncle Sams Cider (5/13/2022)</v>
      </c>
      <c r="H7170" s="19"/>
    </row>
    <row r="7171">
      <c r="A7171" s="9"/>
      <c r="B7171" s="15"/>
      <c r="C7171" s="9">
        <f>IFERROR(__xludf.DUMMYFUNCTION("""COMPUTED_VALUE"""),44721.8464342129)</f>
        <v>44721.84643</v>
      </c>
      <c r="D7171" s="15">
        <f>IFERROR(__xludf.DUMMYFUNCTION("""COMPUTED_VALUE"""),1.008)</f>
        <v>1.008</v>
      </c>
      <c r="E7171" s="16">
        <f>IFERROR(__xludf.DUMMYFUNCTION("""COMPUTED_VALUE"""),67.0)</f>
        <v>67</v>
      </c>
      <c r="F7171" s="19" t="str">
        <f>IFERROR(__xludf.DUMMYFUNCTION("""COMPUTED_VALUE"""),"BLACK")</f>
        <v>BLACK</v>
      </c>
      <c r="G7171" s="20" t="str">
        <f>IFERROR(__xludf.DUMMYFUNCTION("""COMPUTED_VALUE"""),"Uncle Sams Cider (5/13/2022)")</f>
        <v>Uncle Sams Cider (5/13/2022)</v>
      </c>
      <c r="H7171" s="19"/>
    </row>
    <row r="7172">
      <c r="A7172" s="9"/>
      <c r="B7172" s="15"/>
      <c r="C7172" s="9">
        <f>IFERROR(__xludf.DUMMYFUNCTION("""COMPUTED_VALUE"""),44721.8360136226)</f>
        <v>44721.83601</v>
      </c>
      <c r="D7172" s="15">
        <f>IFERROR(__xludf.DUMMYFUNCTION("""COMPUTED_VALUE"""),1.008)</f>
        <v>1.008</v>
      </c>
      <c r="E7172" s="16">
        <f>IFERROR(__xludf.DUMMYFUNCTION("""COMPUTED_VALUE"""),67.0)</f>
        <v>67</v>
      </c>
      <c r="F7172" s="19" t="str">
        <f>IFERROR(__xludf.DUMMYFUNCTION("""COMPUTED_VALUE"""),"BLACK")</f>
        <v>BLACK</v>
      </c>
      <c r="G7172" s="20" t="str">
        <f>IFERROR(__xludf.DUMMYFUNCTION("""COMPUTED_VALUE"""),"Uncle Sams Cider (5/13/2022)")</f>
        <v>Uncle Sams Cider (5/13/2022)</v>
      </c>
      <c r="H7172" s="19"/>
    </row>
    <row r="7173">
      <c r="A7173" s="9"/>
      <c r="B7173" s="15"/>
      <c r="C7173" s="9">
        <f>IFERROR(__xludf.DUMMYFUNCTION("""COMPUTED_VALUE"""),44721.825591956)</f>
        <v>44721.82559</v>
      </c>
      <c r="D7173" s="15">
        <f>IFERROR(__xludf.DUMMYFUNCTION("""COMPUTED_VALUE"""),1.008)</f>
        <v>1.008</v>
      </c>
      <c r="E7173" s="16">
        <f>IFERROR(__xludf.DUMMYFUNCTION("""COMPUTED_VALUE"""),67.0)</f>
        <v>67</v>
      </c>
      <c r="F7173" s="19" t="str">
        <f>IFERROR(__xludf.DUMMYFUNCTION("""COMPUTED_VALUE"""),"BLACK")</f>
        <v>BLACK</v>
      </c>
      <c r="G7173" s="20" t="str">
        <f>IFERROR(__xludf.DUMMYFUNCTION("""COMPUTED_VALUE"""),"Uncle Sams Cider (5/13/2022)")</f>
        <v>Uncle Sams Cider (5/13/2022)</v>
      </c>
      <c r="H7173" s="19"/>
    </row>
    <row r="7174">
      <c r="A7174" s="9"/>
      <c r="B7174" s="15"/>
      <c r="C7174" s="9">
        <f>IFERROR(__xludf.DUMMYFUNCTION("""COMPUTED_VALUE"""),44721.8151706828)</f>
        <v>44721.81517</v>
      </c>
      <c r="D7174" s="15">
        <f>IFERROR(__xludf.DUMMYFUNCTION("""COMPUTED_VALUE"""),1.008)</f>
        <v>1.008</v>
      </c>
      <c r="E7174" s="16">
        <f>IFERROR(__xludf.DUMMYFUNCTION("""COMPUTED_VALUE"""),67.0)</f>
        <v>67</v>
      </c>
      <c r="F7174" s="19" t="str">
        <f>IFERROR(__xludf.DUMMYFUNCTION("""COMPUTED_VALUE"""),"BLACK")</f>
        <v>BLACK</v>
      </c>
      <c r="G7174" s="20" t="str">
        <f>IFERROR(__xludf.DUMMYFUNCTION("""COMPUTED_VALUE"""),"Uncle Sams Cider (5/13/2022)")</f>
        <v>Uncle Sams Cider (5/13/2022)</v>
      </c>
      <c r="H7174" s="19"/>
    </row>
    <row r="7175">
      <c r="A7175" s="9"/>
      <c r="B7175" s="15"/>
      <c r="C7175" s="9">
        <f>IFERROR(__xludf.DUMMYFUNCTION("""COMPUTED_VALUE"""),44721.8047496296)</f>
        <v>44721.80475</v>
      </c>
      <c r="D7175" s="15">
        <f>IFERROR(__xludf.DUMMYFUNCTION("""COMPUTED_VALUE"""),1.008)</f>
        <v>1.008</v>
      </c>
      <c r="E7175" s="16">
        <f>IFERROR(__xludf.DUMMYFUNCTION("""COMPUTED_VALUE"""),67.0)</f>
        <v>67</v>
      </c>
      <c r="F7175" s="19" t="str">
        <f>IFERROR(__xludf.DUMMYFUNCTION("""COMPUTED_VALUE"""),"BLACK")</f>
        <v>BLACK</v>
      </c>
      <c r="G7175" s="20" t="str">
        <f>IFERROR(__xludf.DUMMYFUNCTION("""COMPUTED_VALUE"""),"Uncle Sams Cider (5/13/2022)")</f>
        <v>Uncle Sams Cider (5/13/2022)</v>
      </c>
      <c r="H7175" s="19"/>
    </row>
    <row r="7176">
      <c r="A7176" s="9"/>
      <c r="B7176" s="15"/>
      <c r="C7176" s="9">
        <f>IFERROR(__xludf.DUMMYFUNCTION("""COMPUTED_VALUE"""),44721.7943163078)</f>
        <v>44721.79432</v>
      </c>
      <c r="D7176" s="15">
        <f>IFERROR(__xludf.DUMMYFUNCTION("""COMPUTED_VALUE"""),1.008)</f>
        <v>1.008</v>
      </c>
      <c r="E7176" s="16">
        <f>IFERROR(__xludf.DUMMYFUNCTION("""COMPUTED_VALUE"""),67.0)</f>
        <v>67</v>
      </c>
      <c r="F7176" s="19" t="str">
        <f>IFERROR(__xludf.DUMMYFUNCTION("""COMPUTED_VALUE"""),"BLACK")</f>
        <v>BLACK</v>
      </c>
      <c r="G7176" s="20" t="str">
        <f>IFERROR(__xludf.DUMMYFUNCTION("""COMPUTED_VALUE"""),"Uncle Sams Cider (5/13/2022)")</f>
        <v>Uncle Sams Cider (5/13/2022)</v>
      </c>
      <c r="H7176" s="19"/>
    </row>
    <row r="7177">
      <c r="A7177" s="9"/>
      <c r="B7177" s="15"/>
      <c r="C7177" s="9">
        <f>IFERROR(__xludf.DUMMYFUNCTION("""COMPUTED_VALUE"""),44721.7838948611)</f>
        <v>44721.78389</v>
      </c>
      <c r="D7177" s="15">
        <f>IFERROR(__xludf.DUMMYFUNCTION("""COMPUTED_VALUE"""),1.008)</f>
        <v>1.008</v>
      </c>
      <c r="E7177" s="16">
        <f>IFERROR(__xludf.DUMMYFUNCTION("""COMPUTED_VALUE"""),67.0)</f>
        <v>67</v>
      </c>
      <c r="F7177" s="19" t="str">
        <f>IFERROR(__xludf.DUMMYFUNCTION("""COMPUTED_VALUE"""),"BLACK")</f>
        <v>BLACK</v>
      </c>
      <c r="G7177" s="20" t="str">
        <f>IFERROR(__xludf.DUMMYFUNCTION("""COMPUTED_VALUE"""),"Uncle Sams Cider (5/13/2022)")</f>
        <v>Uncle Sams Cider (5/13/2022)</v>
      </c>
      <c r="H7177" s="19"/>
    </row>
    <row r="7178">
      <c r="A7178" s="9"/>
      <c r="B7178" s="15"/>
      <c r="C7178" s="9">
        <f>IFERROR(__xludf.DUMMYFUNCTION("""COMPUTED_VALUE"""),44721.7734727777)</f>
        <v>44721.77347</v>
      </c>
      <c r="D7178" s="15">
        <f>IFERROR(__xludf.DUMMYFUNCTION("""COMPUTED_VALUE"""),1.008)</f>
        <v>1.008</v>
      </c>
      <c r="E7178" s="16">
        <f>IFERROR(__xludf.DUMMYFUNCTION("""COMPUTED_VALUE"""),67.0)</f>
        <v>67</v>
      </c>
      <c r="F7178" s="19" t="str">
        <f>IFERROR(__xludf.DUMMYFUNCTION("""COMPUTED_VALUE"""),"BLACK")</f>
        <v>BLACK</v>
      </c>
      <c r="G7178" s="20" t="str">
        <f>IFERROR(__xludf.DUMMYFUNCTION("""COMPUTED_VALUE"""),"Uncle Sams Cider (5/13/2022)")</f>
        <v>Uncle Sams Cider (5/13/2022)</v>
      </c>
      <c r="H7178" s="19"/>
    </row>
    <row r="7179">
      <c r="A7179" s="9"/>
      <c r="B7179" s="15"/>
      <c r="C7179" s="9">
        <f>IFERROR(__xludf.DUMMYFUNCTION("""COMPUTED_VALUE"""),44721.7630520138)</f>
        <v>44721.76305</v>
      </c>
      <c r="D7179" s="15">
        <f>IFERROR(__xludf.DUMMYFUNCTION("""COMPUTED_VALUE"""),1.008)</f>
        <v>1.008</v>
      </c>
      <c r="E7179" s="16">
        <f>IFERROR(__xludf.DUMMYFUNCTION("""COMPUTED_VALUE"""),67.0)</f>
        <v>67</v>
      </c>
      <c r="F7179" s="19" t="str">
        <f>IFERROR(__xludf.DUMMYFUNCTION("""COMPUTED_VALUE"""),"BLACK")</f>
        <v>BLACK</v>
      </c>
      <c r="G7179" s="20" t="str">
        <f>IFERROR(__xludf.DUMMYFUNCTION("""COMPUTED_VALUE"""),"Uncle Sams Cider (5/13/2022)")</f>
        <v>Uncle Sams Cider (5/13/2022)</v>
      </c>
      <c r="H7179" s="19"/>
    </row>
    <row r="7180">
      <c r="A7180" s="9"/>
      <c r="B7180" s="15"/>
      <c r="C7180" s="9">
        <f>IFERROR(__xludf.DUMMYFUNCTION("""COMPUTED_VALUE"""),44721.7526306944)</f>
        <v>44721.75263</v>
      </c>
      <c r="D7180" s="15">
        <f>IFERROR(__xludf.DUMMYFUNCTION("""COMPUTED_VALUE"""),1.008)</f>
        <v>1.008</v>
      </c>
      <c r="E7180" s="16">
        <f>IFERROR(__xludf.DUMMYFUNCTION("""COMPUTED_VALUE"""),67.0)</f>
        <v>67</v>
      </c>
      <c r="F7180" s="19" t="str">
        <f>IFERROR(__xludf.DUMMYFUNCTION("""COMPUTED_VALUE"""),"BLACK")</f>
        <v>BLACK</v>
      </c>
      <c r="G7180" s="20" t="str">
        <f>IFERROR(__xludf.DUMMYFUNCTION("""COMPUTED_VALUE"""),"Uncle Sams Cider (5/13/2022)")</f>
        <v>Uncle Sams Cider (5/13/2022)</v>
      </c>
      <c r="H7180" s="19"/>
    </row>
    <row r="7181">
      <c r="A7181" s="9"/>
      <c r="B7181" s="15"/>
      <c r="C7181" s="9">
        <f>IFERROR(__xludf.DUMMYFUNCTION("""COMPUTED_VALUE"""),44721.7421515393)</f>
        <v>44721.74215</v>
      </c>
      <c r="D7181" s="15">
        <f>IFERROR(__xludf.DUMMYFUNCTION("""COMPUTED_VALUE"""),1.008)</f>
        <v>1.008</v>
      </c>
      <c r="E7181" s="16">
        <f>IFERROR(__xludf.DUMMYFUNCTION("""COMPUTED_VALUE"""),67.0)</f>
        <v>67</v>
      </c>
      <c r="F7181" s="19" t="str">
        <f>IFERROR(__xludf.DUMMYFUNCTION("""COMPUTED_VALUE"""),"BLACK")</f>
        <v>BLACK</v>
      </c>
      <c r="G7181" s="20" t="str">
        <f>IFERROR(__xludf.DUMMYFUNCTION("""COMPUTED_VALUE"""),"Uncle Sams Cider (5/13/2022)")</f>
        <v>Uncle Sams Cider (5/13/2022)</v>
      </c>
      <c r="H7181" s="19"/>
    </row>
    <row r="7182">
      <c r="A7182" s="9"/>
      <c r="B7182" s="15"/>
      <c r="C7182" s="9">
        <f>IFERROR(__xludf.DUMMYFUNCTION("""COMPUTED_VALUE"""),44721.7317287152)</f>
        <v>44721.73173</v>
      </c>
      <c r="D7182" s="15">
        <f>IFERROR(__xludf.DUMMYFUNCTION("""COMPUTED_VALUE"""),1.008)</f>
        <v>1.008</v>
      </c>
      <c r="E7182" s="16">
        <f>IFERROR(__xludf.DUMMYFUNCTION("""COMPUTED_VALUE"""),67.0)</f>
        <v>67</v>
      </c>
      <c r="F7182" s="19" t="str">
        <f>IFERROR(__xludf.DUMMYFUNCTION("""COMPUTED_VALUE"""),"BLACK")</f>
        <v>BLACK</v>
      </c>
      <c r="G7182" s="20" t="str">
        <f>IFERROR(__xludf.DUMMYFUNCTION("""COMPUTED_VALUE"""),"Uncle Sams Cider (5/13/2022)")</f>
        <v>Uncle Sams Cider (5/13/2022)</v>
      </c>
      <c r="H7182" s="19"/>
    </row>
    <row r="7183">
      <c r="A7183" s="9"/>
      <c r="B7183" s="15"/>
      <c r="C7183" s="9">
        <f>IFERROR(__xludf.DUMMYFUNCTION("""COMPUTED_VALUE"""),44721.7213081018)</f>
        <v>44721.72131</v>
      </c>
      <c r="D7183" s="15">
        <f>IFERROR(__xludf.DUMMYFUNCTION("""COMPUTED_VALUE"""),1.008)</f>
        <v>1.008</v>
      </c>
      <c r="E7183" s="16">
        <f>IFERROR(__xludf.DUMMYFUNCTION("""COMPUTED_VALUE"""),67.0)</f>
        <v>67</v>
      </c>
      <c r="F7183" s="19" t="str">
        <f>IFERROR(__xludf.DUMMYFUNCTION("""COMPUTED_VALUE"""),"BLACK")</f>
        <v>BLACK</v>
      </c>
      <c r="G7183" s="20" t="str">
        <f>IFERROR(__xludf.DUMMYFUNCTION("""COMPUTED_VALUE"""),"Uncle Sams Cider (5/13/2022)")</f>
        <v>Uncle Sams Cider (5/13/2022)</v>
      </c>
      <c r="H7183" s="19"/>
    </row>
    <row r="7184">
      <c r="A7184" s="9"/>
      <c r="B7184" s="15"/>
      <c r="C7184" s="9">
        <f>IFERROR(__xludf.DUMMYFUNCTION("""COMPUTED_VALUE"""),44721.7108740625)</f>
        <v>44721.71087</v>
      </c>
      <c r="D7184" s="15">
        <f>IFERROR(__xludf.DUMMYFUNCTION("""COMPUTED_VALUE"""),1.008)</f>
        <v>1.008</v>
      </c>
      <c r="E7184" s="16">
        <f>IFERROR(__xludf.DUMMYFUNCTION("""COMPUTED_VALUE"""),67.0)</f>
        <v>67</v>
      </c>
      <c r="F7184" s="19" t="str">
        <f>IFERROR(__xludf.DUMMYFUNCTION("""COMPUTED_VALUE"""),"BLACK")</f>
        <v>BLACK</v>
      </c>
      <c r="G7184" s="20" t="str">
        <f>IFERROR(__xludf.DUMMYFUNCTION("""COMPUTED_VALUE"""),"Uncle Sams Cider (5/13/2022)")</f>
        <v>Uncle Sams Cider (5/13/2022)</v>
      </c>
      <c r="H7184" s="19"/>
    </row>
    <row r="7185">
      <c r="A7185" s="9"/>
      <c r="B7185" s="15"/>
      <c r="C7185" s="9">
        <f>IFERROR(__xludf.DUMMYFUNCTION("""COMPUTED_VALUE"""),44721.7004547685)</f>
        <v>44721.70045</v>
      </c>
      <c r="D7185" s="15">
        <f>IFERROR(__xludf.DUMMYFUNCTION("""COMPUTED_VALUE"""),1.008)</f>
        <v>1.008</v>
      </c>
      <c r="E7185" s="16">
        <f>IFERROR(__xludf.DUMMYFUNCTION("""COMPUTED_VALUE"""),67.0)</f>
        <v>67</v>
      </c>
      <c r="F7185" s="19" t="str">
        <f>IFERROR(__xludf.DUMMYFUNCTION("""COMPUTED_VALUE"""),"BLACK")</f>
        <v>BLACK</v>
      </c>
      <c r="G7185" s="20" t="str">
        <f>IFERROR(__xludf.DUMMYFUNCTION("""COMPUTED_VALUE"""),"Uncle Sams Cider (5/13/2022)")</f>
        <v>Uncle Sams Cider (5/13/2022)</v>
      </c>
      <c r="H7185" s="19"/>
    </row>
    <row r="7186">
      <c r="A7186" s="9"/>
      <c r="B7186" s="15"/>
      <c r="C7186" s="9">
        <f>IFERROR(__xludf.DUMMYFUNCTION("""COMPUTED_VALUE"""),44721.6900341666)</f>
        <v>44721.69003</v>
      </c>
      <c r="D7186" s="15">
        <f>IFERROR(__xludf.DUMMYFUNCTION("""COMPUTED_VALUE"""),1.008)</f>
        <v>1.008</v>
      </c>
      <c r="E7186" s="16">
        <f>IFERROR(__xludf.DUMMYFUNCTION("""COMPUTED_VALUE"""),66.0)</f>
        <v>66</v>
      </c>
      <c r="F7186" s="19" t="str">
        <f>IFERROR(__xludf.DUMMYFUNCTION("""COMPUTED_VALUE"""),"BLACK")</f>
        <v>BLACK</v>
      </c>
      <c r="G7186" s="20" t="str">
        <f>IFERROR(__xludf.DUMMYFUNCTION("""COMPUTED_VALUE"""),"Uncle Sams Cider (5/13/2022)")</f>
        <v>Uncle Sams Cider (5/13/2022)</v>
      </c>
      <c r="H7186" s="19"/>
    </row>
    <row r="7187">
      <c r="A7187" s="9"/>
      <c r="B7187" s="15"/>
      <c r="C7187" s="9">
        <f>IFERROR(__xludf.DUMMYFUNCTION("""COMPUTED_VALUE"""),44721.6796122106)</f>
        <v>44721.67961</v>
      </c>
      <c r="D7187" s="15">
        <f>IFERROR(__xludf.DUMMYFUNCTION("""COMPUTED_VALUE"""),1.008)</f>
        <v>1.008</v>
      </c>
      <c r="E7187" s="16">
        <f>IFERROR(__xludf.DUMMYFUNCTION("""COMPUTED_VALUE"""),66.0)</f>
        <v>66</v>
      </c>
      <c r="F7187" s="19" t="str">
        <f>IFERROR(__xludf.DUMMYFUNCTION("""COMPUTED_VALUE"""),"BLACK")</f>
        <v>BLACK</v>
      </c>
      <c r="G7187" s="20" t="str">
        <f>IFERROR(__xludf.DUMMYFUNCTION("""COMPUTED_VALUE"""),"Uncle Sams Cider (5/13/2022)")</f>
        <v>Uncle Sams Cider (5/13/2022)</v>
      </c>
      <c r="H7187" s="19"/>
    </row>
    <row r="7188">
      <c r="A7188" s="9"/>
      <c r="B7188" s="15"/>
      <c r="C7188" s="9">
        <f>IFERROR(__xludf.DUMMYFUNCTION("""COMPUTED_VALUE"""),44721.6691895486)</f>
        <v>44721.66919</v>
      </c>
      <c r="D7188" s="15">
        <f>IFERROR(__xludf.DUMMYFUNCTION("""COMPUTED_VALUE"""),1.008)</f>
        <v>1.008</v>
      </c>
      <c r="E7188" s="16">
        <f>IFERROR(__xludf.DUMMYFUNCTION("""COMPUTED_VALUE"""),66.0)</f>
        <v>66</v>
      </c>
      <c r="F7188" s="19" t="str">
        <f>IFERROR(__xludf.DUMMYFUNCTION("""COMPUTED_VALUE"""),"BLACK")</f>
        <v>BLACK</v>
      </c>
      <c r="G7188" s="20" t="str">
        <f>IFERROR(__xludf.DUMMYFUNCTION("""COMPUTED_VALUE"""),"Uncle Sams Cider (5/13/2022)")</f>
        <v>Uncle Sams Cider (5/13/2022)</v>
      </c>
      <c r="H7188" s="19"/>
    </row>
    <row r="7189">
      <c r="A7189" s="9"/>
      <c r="B7189" s="15"/>
      <c r="C7189" s="9">
        <f>IFERROR(__xludf.DUMMYFUNCTION("""COMPUTED_VALUE"""),44721.6587678703)</f>
        <v>44721.65877</v>
      </c>
      <c r="D7189" s="15">
        <f>IFERROR(__xludf.DUMMYFUNCTION("""COMPUTED_VALUE"""),1.008)</f>
        <v>1.008</v>
      </c>
      <c r="E7189" s="16">
        <f>IFERROR(__xludf.DUMMYFUNCTION("""COMPUTED_VALUE"""),66.0)</f>
        <v>66</v>
      </c>
      <c r="F7189" s="19" t="str">
        <f>IFERROR(__xludf.DUMMYFUNCTION("""COMPUTED_VALUE"""),"BLACK")</f>
        <v>BLACK</v>
      </c>
      <c r="G7189" s="20" t="str">
        <f>IFERROR(__xludf.DUMMYFUNCTION("""COMPUTED_VALUE"""),"Uncle Sams Cider (5/13/2022)")</f>
        <v>Uncle Sams Cider (5/13/2022)</v>
      </c>
      <c r="H7189" s="19"/>
    </row>
    <row r="7190">
      <c r="A7190" s="9"/>
      <c r="B7190" s="15"/>
      <c r="C7190" s="9">
        <f>IFERROR(__xludf.DUMMYFUNCTION("""COMPUTED_VALUE"""),44721.6483462963)</f>
        <v>44721.64835</v>
      </c>
      <c r="D7190" s="15">
        <f>IFERROR(__xludf.DUMMYFUNCTION("""COMPUTED_VALUE"""),1.008)</f>
        <v>1.008</v>
      </c>
      <c r="E7190" s="16">
        <f>IFERROR(__xludf.DUMMYFUNCTION("""COMPUTED_VALUE"""),66.0)</f>
        <v>66</v>
      </c>
      <c r="F7190" s="19" t="str">
        <f>IFERROR(__xludf.DUMMYFUNCTION("""COMPUTED_VALUE"""),"BLACK")</f>
        <v>BLACK</v>
      </c>
      <c r="G7190" s="20" t="str">
        <f>IFERROR(__xludf.DUMMYFUNCTION("""COMPUTED_VALUE"""),"Uncle Sams Cider (5/13/2022)")</f>
        <v>Uncle Sams Cider (5/13/2022)</v>
      </c>
      <c r="H7190" s="19"/>
    </row>
    <row r="7191">
      <c r="A7191" s="9"/>
      <c r="B7191" s="15"/>
      <c r="C7191" s="9">
        <f>IFERROR(__xludf.DUMMYFUNCTION("""COMPUTED_VALUE"""),44721.6379250694)</f>
        <v>44721.63793</v>
      </c>
      <c r="D7191" s="15">
        <f>IFERROR(__xludf.DUMMYFUNCTION("""COMPUTED_VALUE"""),1.008)</f>
        <v>1.008</v>
      </c>
      <c r="E7191" s="16">
        <f>IFERROR(__xludf.DUMMYFUNCTION("""COMPUTED_VALUE"""),66.0)</f>
        <v>66</v>
      </c>
      <c r="F7191" s="19" t="str">
        <f>IFERROR(__xludf.DUMMYFUNCTION("""COMPUTED_VALUE"""),"BLACK")</f>
        <v>BLACK</v>
      </c>
      <c r="G7191" s="20" t="str">
        <f>IFERROR(__xludf.DUMMYFUNCTION("""COMPUTED_VALUE"""),"Uncle Sams Cider (5/13/2022)")</f>
        <v>Uncle Sams Cider (5/13/2022)</v>
      </c>
      <c r="H7191" s="19"/>
    </row>
    <row r="7192">
      <c r="A7192" s="9"/>
      <c r="B7192" s="15"/>
      <c r="C7192" s="9">
        <f>IFERROR(__xludf.DUMMYFUNCTION("""COMPUTED_VALUE"""),44721.6274928125)</f>
        <v>44721.62749</v>
      </c>
      <c r="D7192" s="15">
        <f>IFERROR(__xludf.DUMMYFUNCTION("""COMPUTED_VALUE"""),1.008)</f>
        <v>1.008</v>
      </c>
      <c r="E7192" s="16">
        <f>IFERROR(__xludf.DUMMYFUNCTION("""COMPUTED_VALUE"""),66.0)</f>
        <v>66</v>
      </c>
      <c r="F7192" s="19" t="str">
        <f>IFERROR(__xludf.DUMMYFUNCTION("""COMPUTED_VALUE"""),"BLACK")</f>
        <v>BLACK</v>
      </c>
      <c r="G7192" s="20" t="str">
        <f>IFERROR(__xludf.DUMMYFUNCTION("""COMPUTED_VALUE"""),"Uncle Sams Cider (5/13/2022)")</f>
        <v>Uncle Sams Cider (5/13/2022)</v>
      </c>
      <c r="H7192" s="19"/>
    </row>
    <row r="7193">
      <c r="A7193" s="9"/>
      <c r="B7193" s="15"/>
      <c r="C7193" s="9">
        <f>IFERROR(__xludf.DUMMYFUNCTION("""COMPUTED_VALUE"""),44721.6170709606)</f>
        <v>44721.61707</v>
      </c>
      <c r="D7193" s="15">
        <f>IFERROR(__xludf.DUMMYFUNCTION("""COMPUTED_VALUE"""),1.008)</f>
        <v>1.008</v>
      </c>
      <c r="E7193" s="16">
        <f>IFERROR(__xludf.DUMMYFUNCTION("""COMPUTED_VALUE"""),66.0)</f>
        <v>66</v>
      </c>
      <c r="F7193" s="19" t="str">
        <f>IFERROR(__xludf.DUMMYFUNCTION("""COMPUTED_VALUE"""),"BLACK")</f>
        <v>BLACK</v>
      </c>
      <c r="G7193" s="20" t="str">
        <f>IFERROR(__xludf.DUMMYFUNCTION("""COMPUTED_VALUE"""),"Uncle Sams Cider (5/13/2022)")</f>
        <v>Uncle Sams Cider (5/13/2022)</v>
      </c>
      <c r="H7193" s="19"/>
    </row>
    <row r="7194">
      <c r="A7194" s="9"/>
      <c r="B7194" s="15"/>
      <c r="C7194" s="9">
        <f>IFERROR(__xludf.DUMMYFUNCTION("""COMPUTED_VALUE"""),44721.6066506828)</f>
        <v>44721.60665</v>
      </c>
      <c r="D7194" s="15">
        <f>IFERROR(__xludf.DUMMYFUNCTION("""COMPUTED_VALUE"""),1.008)</f>
        <v>1.008</v>
      </c>
      <c r="E7194" s="16">
        <f>IFERROR(__xludf.DUMMYFUNCTION("""COMPUTED_VALUE"""),66.0)</f>
        <v>66</v>
      </c>
      <c r="F7194" s="19" t="str">
        <f>IFERROR(__xludf.DUMMYFUNCTION("""COMPUTED_VALUE"""),"BLACK")</f>
        <v>BLACK</v>
      </c>
      <c r="G7194" s="20" t="str">
        <f>IFERROR(__xludf.DUMMYFUNCTION("""COMPUTED_VALUE"""),"Uncle Sams Cider (5/13/2022)")</f>
        <v>Uncle Sams Cider (5/13/2022)</v>
      </c>
      <c r="H7194" s="19"/>
    </row>
    <row r="7195">
      <c r="A7195" s="9"/>
      <c r="B7195" s="15"/>
      <c r="C7195" s="9">
        <f>IFERROR(__xludf.DUMMYFUNCTION("""COMPUTED_VALUE"""),44721.5962295717)</f>
        <v>44721.59623</v>
      </c>
      <c r="D7195" s="15">
        <f>IFERROR(__xludf.DUMMYFUNCTION("""COMPUTED_VALUE"""),1.008)</f>
        <v>1.008</v>
      </c>
      <c r="E7195" s="16">
        <f>IFERROR(__xludf.DUMMYFUNCTION("""COMPUTED_VALUE"""),66.0)</f>
        <v>66</v>
      </c>
      <c r="F7195" s="19" t="str">
        <f>IFERROR(__xludf.DUMMYFUNCTION("""COMPUTED_VALUE"""),"BLACK")</f>
        <v>BLACK</v>
      </c>
      <c r="G7195" s="20" t="str">
        <f>IFERROR(__xludf.DUMMYFUNCTION("""COMPUTED_VALUE"""),"Uncle Sams Cider (5/13/2022)")</f>
        <v>Uncle Sams Cider (5/13/2022)</v>
      </c>
      <c r="H7195" s="19"/>
    </row>
    <row r="7196">
      <c r="A7196" s="9"/>
      <c r="B7196" s="15"/>
      <c r="C7196" s="9">
        <f>IFERROR(__xludf.DUMMYFUNCTION("""COMPUTED_VALUE"""),44721.5858093981)</f>
        <v>44721.58581</v>
      </c>
      <c r="D7196" s="15">
        <f>IFERROR(__xludf.DUMMYFUNCTION("""COMPUTED_VALUE"""),1.008)</f>
        <v>1.008</v>
      </c>
      <c r="E7196" s="16">
        <f>IFERROR(__xludf.DUMMYFUNCTION("""COMPUTED_VALUE"""),66.0)</f>
        <v>66</v>
      </c>
      <c r="F7196" s="19" t="str">
        <f>IFERROR(__xludf.DUMMYFUNCTION("""COMPUTED_VALUE"""),"BLACK")</f>
        <v>BLACK</v>
      </c>
      <c r="G7196" s="20" t="str">
        <f>IFERROR(__xludf.DUMMYFUNCTION("""COMPUTED_VALUE"""),"Uncle Sams Cider (5/13/2022)")</f>
        <v>Uncle Sams Cider (5/13/2022)</v>
      </c>
      <c r="H7196" s="19"/>
    </row>
    <row r="7197">
      <c r="A7197" s="9"/>
      <c r="B7197" s="15"/>
      <c r="C7197" s="9">
        <f>IFERROR(__xludf.DUMMYFUNCTION("""COMPUTED_VALUE"""),44721.5753879282)</f>
        <v>44721.57539</v>
      </c>
      <c r="D7197" s="15">
        <f>IFERROR(__xludf.DUMMYFUNCTION("""COMPUTED_VALUE"""),1.008)</f>
        <v>1.008</v>
      </c>
      <c r="E7197" s="16">
        <f>IFERROR(__xludf.DUMMYFUNCTION("""COMPUTED_VALUE"""),66.0)</f>
        <v>66</v>
      </c>
      <c r="F7197" s="19" t="str">
        <f>IFERROR(__xludf.DUMMYFUNCTION("""COMPUTED_VALUE"""),"BLACK")</f>
        <v>BLACK</v>
      </c>
      <c r="G7197" s="20" t="str">
        <f>IFERROR(__xludf.DUMMYFUNCTION("""COMPUTED_VALUE"""),"Uncle Sams Cider (5/13/2022)")</f>
        <v>Uncle Sams Cider (5/13/2022)</v>
      </c>
      <c r="H7197" s="19"/>
    </row>
    <row r="7198">
      <c r="A7198" s="9"/>
      <c r="B7198" s="15"/>
      <c r="C7198" s="9">
        <f>IFERROR(__xludf.DUMMYFUNCTION("""COMPUTED_VALUE"""),44721.5649549884)</f>
        <v>44721.56495</v>
      </c>
      <c r="D7198" s="15">
        <f>IFERROR(__xludf.DUMMYFUNCTION("""COMPUTED_VALUE"""),1.009)</f>
        <v>1.009</v>
      </c>
      <c r="E7198" s="16">
        <f>IFERROR(__xludf.DUMMYFUNCTION("""COMPUTED_VALUE"""),66.0)</f>
        <v>66</v>
      </c>
      <c r="F7198" s="19" t="str">
        <f>IFERROR(__xludf.DUMMYFUNCTION("""COMPUTED_VALUE"""),"BLACK")</f>
        <v>BLACK</v>
      </c>
      <c r="G7198" s="20" t="str">
        <f>IFERROR(__xludf.DUMMYFUNCTION("""COMPUTED_VALUE"""),"Uncle Sams Cider (5/13/2022)")</f>
        <v>Uncle Sams Cider (5/13/2022)</v>
      </c>
      <c r="H7198" s="19"/>
    </row>
    <row r="7199">
      <c r="A7199" s="9"/>
      <c r="B7199" s="15"/>
      <c r="C7199" s="9">
        <f>IFERROR(__xludf.DUMMYFUNCTION("""COMPUTED_VALUE"""),44721.5545340509)</f>
        <v>44721.55453</v>
      </c>
      <c r="D7199" s="15">
        <f>IFERROR(__xludf.DUMMYFUNCTION("""COMPUTED_VALUE"""),1.008)</f>
        <v>1.008</v>
      </c>
      <c r="E7199" s="16">
        <f>IFERROR(__xludf.DUMMYFUNCTION("""COMPUTED_VALUE"""),66.0)</f>
        <v>66</v>
      </c>
      <c r="F7199" s="19" t="str">
        <f>IFERROR(__xludf.DUMMYFUNCTION("""COMPUTED_VALUE"""),"BLACK")</f>
        <v>BLACK</v>
      </c>
      <c r="G7199" s="20" t="str">
        <f>IFERROR(__xludf.DUMMYFUNCTION("""COMPUTED_VALUE"""),"Uncle Sams Cider (5/13/2022)")</f>
        <v>Uncle Sams Cider (5/13/2022)</v>
      </c>
      <c r="H7199" s="19"/>
    </row>
    <row r="7200">
      <c r="A7200" s="9"/>
      <c r="B7200" s="15"/>
      <c r="C7200" s="9">
        <f>IFERROR(__xludf.DUMMYFUNCTION("""COMPUTED_VALUE"""),44721.5441004398)</f>
        <v>44721.5441</v>
      </c>
      <c r="D7200" s="15">
        <f>IFERROR(__xludf.DUMMYFUNCTION("""COMPUTED_VALUE"""),1.008)</f>
        <v>1.008</v>
      </c>
      <c r="E7200" s="16">
        <f>IFERROR(__xludf.DUMMYFUNCTION("""COMPUTED_VALUE"""),66.0)</f>
        <v>66</v>
      </c>
      <c r="F7200" s="19" t="str">
        <f>IFERROR(__xludf.DUMMYFUNCTION("""COMPUTED_VALUE"""),"BLACK")</f>
        <v>BLACK</v>
      </c>
      <c r="G7200" s="20" t="str">
        <f>IFERROR(__xludf.DUMMYFUNCTION("""COMPUTED_VALUE"""),"Uncle Sams Cider (5/13/2022)")</f>
        <v>Uncle Sams Cider (5/13/2022)</v>
      </c>
      <c r="H7200" s="19"/>
    </row>
    <row r="7201">
      <c r="A7201" s="9"/>
      <c r="B7201" s="15"/>
      <c r="C7201" s="9">
        <f>IFERROR(__xludf.DUMMYFUNCTION("""COMPUTED_VALUE"""),44721.5336784259)</f>
        <v>44721.53368</v>
      </c>
      <c r="D7201" s="15">
        <f>IFERROR(__xludf.DUMMYFUNCTION("""COMPUTED_VALUE"""),1.008)</f>
        <v>1.008</v>
      </c>
      <c r="E7201" s="16">
        <f>IFERROR(__xludf.DUMMYFUNCTION("""COMPUTED_VALUE"""),66.0)</f>
        <v>66</v>
      </c>
      <c r="F7201" s="19" t="str">
        <f>IFERROR(__xludf.DUMMYFUNCTION("""COMPUTED_VALUE"""),"BLACK")</f>
        <v>BLACK</v>
      </c>
      <c r="G7201" s="20" t="str">
        <f>IFERROR(__xludf.DUMMYFUNCTION("""COMPUTED_VALUE"""),"Uncle Sams Cider (5/13/2022)")</f>
        <v>Uncle Sams Cider (5/13/2022)</v>
      </c>
      <c r="H7201" s="19"/>
    </row>
    <row r="7202">
      <c r="A7202" s="9"/>
      <c r="B7202" s="15"/>
      <c r="C7202" s="9">
        <f>IFERROR(__xludf.DUMMYFUNCTION("""COMPUTED_VALUE"""),44721.523222037)</f>
        <v>44721.52322</v>
      </c>
      <c r="D7202" s="15">
        <f>IFERROR(__xludf.DUMMYFUNCTION("""COMPUTED_VALUE"""),1.008)</f>
        <v>1.008</v>
      </c>
      <c r="E7202" s="16">
        <f>IFERROR(__xludf.DUMMYFUNCTION("""COMPUTED_VALUE"""),66.0)</f>
        <v>66</v>
      </c>
      <c r="F7202" s="19" t="str">
        <f>IFERROR(__xludf.DUMMYFUNCTION("""COMPUTED_VALUE"""),"BLACK")</f>
        <v>BLACK</v>
      </c>
      <c r="G7202" s="20" t="str">
        <f>IFERROR(__xludf.DUMMYFUNCTION("""COMPUTED_VALUE"""),"Uncle Sams Cider (5/13/2022)")</f>
        <v>Uncle Sams Cider (5/13/2022)</v>
      </c>
      <c r="H7202" s="19"/>
    </row>
    <row r="7203">
      <c r="A7203" s="9"/>
      <c r="B7203" s="15"/>
      <c r="C7203" s="9">
        <f>IFERROR(__xludf.DUMMYFUNCTION("""COMPUTED_VALUE"""),44721.5127992129)</f>
        <v>44721.5128</v>
      </c>
      <c r="D7203" s="15">
        <f>IFERROR(__xludf.DUMMYFUNCTION("""COMPUTED_VALUE"""),1.008)</f>
        <v>1.008</v>
      </c>
      <c r="E7203" s="16">
        <f>IFERROR(__xludf.DUMMYFUNCTION("""COMPUTED_VALUE"""),66.0)</f>
        <v>66</v>
      </c>
      <c r="F7203" s="19" t="str">
        <f>IFERROR(__xludf.DUMMYFUNCTION("""COMPUTED_VALUE"""),"BLACK")</f>
        <v>BLACK</v>
      </c>
      <c r="G7203" s="20" t="str">
        <f>IFERROR(__xludf.DUMMYFUNCTION("""COMPUTED_VALUE"""),"Uncle Sams Cider (5/13/2022)")</f>
        <v>Uncle Sams Cider (5/13/2022)</v>
      </c>
      <c r="H7203" s="19"/>
    </row>
    <row r="7204">
      <c r="A7204" s="9"/>
      <c r="B7204" s="15"/>
      <c r="C7204" s="9">
        <f>IFERROR(__xludf.DUMMYFUNCTION("""COMPUTED_VALUE"""),44721.502377662)</f>
        <v>44721.50238</v>
      </c>
      <c r="D7204" s="15">
        <f>IFERROR(__xludf.DUMMYFUNCTION("""COMPUTED_VALUE"""),1.008)</f>
        <v>1.008</v>
      </c>
      <c r="E7204" s="16">
        <f>IFERROR(__xludf.DUMMYFUNCTION("""COMPUTED_VALUE"""),66.0)</f>
        <v>66</v>
      </c>
      <c r="F7204" s="19" t="str">
        <f>IFERROR(__xludf.DUMMYFUNCTION("""COMPUTED_VALUE"""),"BLACK")</f>
        <v>BLACK</v>
      </c>
      <c r="G7204" s="20" t="str">
        <f>IFERROR(__xludf.DUMMYFUNCTION("""COMPUTED_VALUE"""),"Uncle Sams Cider (5/13/2022)")</f>
        <v>Uncle Sams Cider (5/13/2022)</v>
      </c>
      <c r="H7204" s="19"/>
    </row>
    <row r="7205">
      <c r="A7205" s="9"/>
      <c r="B7205" s="15"/>
      <c r="C7205" s="9">
        <f>IFERROR(__xludf.DUMMYFUNCTION("""COMPUTED_VALUE"""),44721.4919445023)</f>
        <v>44721.49194</v>
      </c>
      <c r="D7205" s="15">
        <f>IFERROR(__xludf.DUMMYFUNCTION("""COMPUTED_VALUE"""),1.008)</f>
        <v>1.008</v>
      </c>
      <c r="E7205" s="16">
        <f>IFERROR(__xludf.DUMMYFUNCTION("""COMPUTED_VALUE"""),66.0)</f>
        <v>66</v>
      </c>
      <c r="F7205" s="19" t="str">
        <f>IFERROR(__xludf.DUMMYFUNCTION("""COMPUTED_VALUE"""),"BLACK")</f>
        <v>BLACK</v>
      </c>
      <c r="G7205" s="20" t="str">
        <f>IFERROR(__xludf.DUMMYFUNCTION("""COMPUTED_VALUE"""),"Uncle Sams Cider (5/13/2022)")</f>
        <v>Uncle Sams Cider (5/13/2022)</v>
      </c>
      <c r="H7205" s="19"/>
    </row>
    <row r="7206">
      <c r="A7206" s="9"/>
      <c r="B7206" s="15"/>
      <c r="C7206" s="9">
        <f>IFERROR(__xludf.DUMMYFUNCTION("""COMPUTED_VALUE"""),44721.4815251388)</f>
        <v>44721.48153</v>
      </c>
      <c r="D7206" s="15">
        <f>IFERROR(__xludf.DUMMYFUNCTION("""COMPUTED_VALUE"""),1.008)</f>
        <v>1.008</v>
      </c>
      <c r="E7206" s="16">
        <f>IFERROR(__xludf.DUMMYFUNCTION("""COMPUTED_VALUE"""),66.0)</f>
        <v>66</v>
      </c>
      <c r="F7206" s="19" t="str">
        <f>IFERROR(__xludf.DUMMYFUNCTION("""COMPUTED_VALUE"""),"BLACK")</f>
        <v>BLACK</v>
      </c>
      <c r="G7206" s="20" t="str">
        <f>IFERROR(__xludf.DUMMYFUNCTION("""COMPUTED_VALUE"""),"Uncle Sams Cider (5/13/2022)")</f>
        <v>Uncle Sams Cider (5/13/2022)</v>
      </c>
      <c r="H7206" s="19"/>
    </row>
    <row r="7207">
      <c r="A7207" s="9"/>
      <c r="B7207" s="15"/>
      <c r="C7207" s="9">
        <f>IFERROR(__xludf.DUMMYFUNCTION("""COMPUTED_VALUE"""),44721.471103125)</f>
        <v>44721.4711</v>
      </c>
      <c r="D7207" s="15">
        <f>IFERROR(__xludf.DUMMYFUNCTION("""COMPUTED_VALUE"""),1.008)</f>
        <v>1.008</v>
      </c>
      <c r="E7207" s="16">
        <f>IFERROR(__xludf.DUMMYFUNCTION("""COMPUTED_VALUE"""),66.0)</f>
        <v>66</v>
      </c>
      <c r="F7207" s="19" t="str">
        <f>IFERROR(__xludf.DUMMYFUNCTION("""COMPUTED_VALUE"""),"BLACK")</f>
        <v>BLACK</v>
      </c>
      <c r="G7207" s="20" t="str">
        <f>IFERROR(__xludf.DUMMYFUNCTION("""COMPUTED_VALUE"""),"Uncle Sams Cider (5/13/2022)")</f>
        <v>Uncle Sams Cider (5/13/2022)</v>
      </c>
      <c r="H7207" s="19"/>
    </row>
    <row r="7208">
      <c r="A7208" s="9"/>
      <c r="B7208" s="15"/>
      <c r="C7208" s="9">
        <f>IFERROR(__xludf.DUMMYFUNCTION("""COMPUTED_VALUE"""),44721.4606802893)</f>
        <v>44721.46068</v>
      </c>
      <c r="D7208" s="15">
        <f>IFERROR(__xludf.DUMMYFUNCTION("""COMPUTED_VALUE"""),1.008)</f>
        <v>1.008</v>
      </c>
      <c r="E7208" s="16">
        <f>IFERROR(__xludf.DUMMYFUNCTION("""COMPUTED_VALUE"""),66.0)</f>
        <v>66</v>
      </c>
      <c r="F7208" s="19" t="str">
        <f>IFERROR(__xludf.DUMMYFUNCTION("""COMPUTED_VALUE"""),"BLACK")</f>
        <v>BLACK</v>
      </c>
      <c r="G7208" s="20" t="str">
        <f>IFERROR(__xludf.DUMMYFUNCTION("""COMPUTED_VALUE"""),"Uncle Sams Cider (5/13/2022)")</f>
        <v>Uncle Sams Cider (5/13/2022)</v>
      </c>
      <c r="H7208" s="19"/>
    </row>
    <row r="7209">
      <c r="A7209" s="9"/>
      <c r="B7209" s="15"/>
      <c r="C7209" s="9">
        <f>IFERROR(__xludf.DUMMYFUNCTION("""COMPUTED_VALUE"""),44721.4502593055)</f>
        <v>44721.45026</v>
      </c>
      <c r="D7209" s="15">
        <f>IFERROR(__xludf.DUMMYFUNCTION("""COMPUTED_VALUE"""),1.008)</f>
        <v>1.008</v>
      </c>
      <c r="E7209" s="16">
        <f>IFERROR(__xludf.DUMMYFUNCTION("""COMPUTED_VALUE"""),66.0)</f>
        <v>66</v>
      </c>
      <c r="F7209" s="19" t="str">
        <f>IFERROR(__xludf.DUMMYFUNCTION("""COMPUTED_VALUE"""),"BLACK")</f>
        <v>BLACK</v>
      </c>
      <c r="G7209" s="20" t="str">
        <f>IFERROR(__xludf.DUMMYFUNCTION("""COMPUTED_VALUE"""),"Uncle Sams Cider (5/13/2022)")</f>
        <v>Uncle Sams Cider (5/13/2022)</v>
      </c>
      <c r="H7209" s="19"/>
    </row>
    <row r="7210">
      <c r="A7210" s="9"/>
      <c r="B7210" s="15"/>
      <c r="C7210" s="9">
        <f>IFERROR(__xludf.DUMMYFUNCTION("""COMPUTED_VALUE"""),44721.4398394907)</f>
        <v>44721.43984</v>
      </c>
      <c r="D7210" s="15">
        <f>IFERROR(__xludf.DUMMYFUNCTION("""COMPUTED_VALUE"""),1.009)</f>
        <v>1.009</v>
      </c>
      <c r="E7210" s="16">
        <f>IFERROR(__xludf.DUMMYFUNCTION("""COMPUTED_VALUE"""),66.0)</f>
        <v>66</v>
      </c>
      <c r="F7210" s="19" t="str">
        <f>IFERROR(__xludf.DUMMYFUNCTION("""COMPUTED_VALUE"""),"BLACK")</f>
        <v>BLACK</v>
      </c>
      <c r="G7210" s="20" t="str">
        <f>IFERROR(__xludf.DUMMYFUNCTION("""COMPUTED_VALUE"""),"Uncle Sams Cider (5/13/2022)")</f>
        <v>Uncle Sams Cider (5/13/2022)</v>
      </c>
      <c r="H7210" s="19"/>
    </row>
    <row r="7211">
      <c r="A7211" s="9"/>
      <c r="B7211" s="15"/>
      <c r="C7211" s="9">
        <f>IFERROR(__xludf.DUMMYFUNCTION("""COMPUTED_VALUE"""),44721.4294063657)</f>
        <v>44721.42941</v>
      </c>
      <c r="D7211" s="15">
        <f>IFERROR(__xludf.DUMMYFUNCTION("""COMPUTED_VALUE"""),1.008)</f>
        <v>1.008</v>
      </c>
      <c r="E7211" s="16">
        <f>IFERROR(__xludf.DUMMYFUNCTION("""COMPUTED_VALUE"""),66.0)</f>
        <v>66</v>
      </c>
      <c r="F7211" s="19" t="str">
        <f>IFERROR(__xludf.DUMMYFUNCTION("""COMPUTED_VALUE"""),"BLACK")</f>
        <v>BLACK</v>
      </c>
      <c r="G7211" s="20" t="str">
        <f>IFERROR(__xludf.DUMMYFUNCTION("""COMPUTED_VALUE"""),"Uncle Sams Cider (5/13/2022)")</f>
        <v>Uncle Sams Cider (5/13/2022)</v>
      </c>
      <c r="H7211" s="19"/>
    </row>
    <row r="7212">
      <c r="A7212" s="9"/>
      <c r="B7212" s="15"/>
      <c r="C7212" s="9">
        <f>IFERROR(__xludf.DUMMYFUNCTION("""COMPUTED_VALUE"""),44721.4189848148)</f>
        <v>44721.41898</v>
      </c>
      <c r="D7212" s="15">
        <f>IFERROR(__xludf.DUMMYFUNCTION("""COMPUTED_VALUE"""),1.008)</f>
        <v>1.008</v>
      </c>
      <c r="E7212" s="16">
        <f>IFERROR(__xludf.DUMMYFUNCTION("""COMPUTED_VALUE"""),66.0)</f>
        <v>66</v>
      </c>
      <c r="F7212" s="19" t="str">
        <f>IFERROR(__xludf.DUMMYFUNCTION("""COMPUTED_VALUE"""),"BLACK")</f>
        <v>BLACK</v>
      </c>
      <c r="G7212" s="20" t="str">
        <f>IFERROR(__xludf.DUMMYFUNCTION("""COMPUTED_VALUE"""),"Uncle Sams Cider (5/13/2022)")</f>
        <v>Uncle Sams Cider (5/13/2022)</v>
      </c>
      <c r="H7212" s="19"/>
    </row>
    <row r="7213">
      <c r="A7213" s="9"/>
      <c r="B7213" s="15"/>
      <c r="C7213" s="9">
        <f>IFERROR(__xludf.DUMMYFUNCTION("""COMPUTED_VALUE"""),44721.4085649537)</f>
        <v>44721.40856</v>
      </c>
      <c r="D7213" s="15">
        <f>IFERROR(__xludf.DUMMYFUNCTION("""COMPUTED_VALUE"""),1.008)</f>
        <v>1.008</v>
      </c>
      <c r="E7213" s="16">
        <f>IFERROR(__xludf.DUMMYFUNCTION("""COMPUTED_VALUE"""),66.0)</f>
        <v>66</v>
      </c>
      <c r="F7213" s="19" t="str">
        <f>IFERROR(__xludf.DUMMYFUNCTION("""COMPUTED_VALUE"""),"BLACK")</f>
        <v>BLACK</v>
      </c>
      <c r="G7213" s="20" t="str">
        <f>IFERROR(__xludf.DUMMYFUNCTION("""COMPUTED_VALUE"""),"Uncle Sams Cider (5/13/2022)")</f>
        <v>Uncle Sams Cider (5/13/2022)</v>
      </c>
      <c r="H7213" s="19"/>
    </row>
    <row r="7214">
      <c r="A7214" s="9"/>
      <c r="B7214" s="15"/>
      <c r="C7214" s="9">
        <f>IFERROR(__xludf.DUMMYFUNCTION("""COMPUTED_VALUE"""),44721.3981432638)</f>
        <v>44721.39814</v>
      </c>
      <c r="D7214" s="15">
        <f>IFERROR(__xludf.DUMMYFUNCTION("""COMPUTED_VALUE"""),1.009)</f>
        <v>1.009</v>
      </c>
      <c r="E7214" s="16">
        <f>IFERROR(__xludf.DUMMYFUNCTION("""COMPUTED_VALUE"""),66.0)</f>
        <v>66</v>
      </c>
      <c r="F7214" s="19" t="str">
        <f>IFERROR(__xludf.DUMMYFUNCTION("""COMPUTED_VALUE"""),"BLACK")</f>
        <v>BLACK</v>
      </c>
      <c r="G7214" s="20" t="str">
        <f>IFERROR(__xludf.DUMMYFUNCTION("""COMPUTED_VALUE"""),"Uncle Sams Cider (5/13/2022)")</f>
        <v>Uncle Sams Cider (5/13/2022)</v>
      </c>
      <c r="H7214" s="19"/>
    </row>
    <row r="7215">
      <c r="A7215" s="9"/>
      <c r="B7215" s="15"/>
      <c r="C7215" s="9">
        <f>IFERROR(__xludf.DUMMYFUNCTION("""COMPUTED_VALUE"""),44721.3877231481)</f>
        <v>44721.38772</v>
      </c>
      <c r="D7215" s="15">
        <f>IFERROR(__xludf.DUMMYFUNCTION("""COMPUTED_VALUE"""),1.009)</f>
        <v>1.009</v>
      </c>
      <c r="E7215" s="16">
        <f>IFERROR(__xludf.DUMMYFUNCTION("""COMPUTED_VALUE"""),66.0)</f>
        <v>66</v>
      </c>
      <c r="F7215" s="19" t="str">
        <f>IFERROR(__xludf.DUMMYFUNCTION("""COMPUTED_VALUE"""),"BLACK")</f>
        <v>BLACK</v>
      </c>
      <c r="G7215" s="20" t="str">
        <f>IFERROR(__xludf.DUMMYFUNCTION("""COMPUTED_VALUE"""),"Uncle Sams Cider (5/13/2022)")</f>
        <v>Uncle Sams Cider (5/13/2022)</v>
      </c>
      <c r="H7215" s="19"/>
    </row>
    <row r="7216">
      <c r="A7216" s="9"/>
      <c r="B7216" s="15"/>
      <c r="C7216" s="9">
        <f>IFERROR(__xludf.DUMMYFUNCTION("""COMPUTED_VALUE"""),44721.3772664699)</f>
        <v>44721.37727</v>
      </c>
      <c r="D7216" s="15">
        <f>IFERROR(__xludf.DUMMYFUNCTION("""COMPUTED_VALUE"""),1.008)</f>
        <v>1.008</v>
      </c>
      <c r="E7216" s="16">
        <f>IFERROR(__xludf.DUMMYFUNCTION("""COMPUTED_VALUE"""),66.0)</f>
        <v>66</v>
      </c>
      <c r="F7216" s="19" t="str">
        <f>IFERROR(__xludf.DUMMYFUNCTION("""COMPUTED_VALUE"""),"BLACK")</f>
        <v>BLACK</v>
      </c>
      <c r="G7216" s="20" t="str">
        <f>IFERROR(__xludf.DUMMYFUNCTION("""COMPUTED_VALUE"""),"Uncle Sams Cider (5/13/2022)")</f>
        <v>Uncle Sams Cider (5/13/2022)</v>
      </c>
      <c r="H7216" s="19"/>
    </row>
    <row r="7217">
      <c r="A7217" s="9"/>
      <c r="B7217" s="15"/>
      <c r="C7217" s="9">
        <f>IFERROR(__xludf.DUMMYFUNCTION("""COMPUTED_VALUE"""),44721.3668439236)</f>
        <v>44721.36684</v>
      </c>
      <c r="D7217" s="15">
        <f>IFERROR(__xludf.DUMMYFUNCTION("""COMPUTED_VALUE"""),1.009)</f>
        <v>1.009</v>
      </c>
      <c r="E7217" s="16">
        <f>IFERROR(__xludf.DUMMYFUNCTION("""COMPUTED_VALUE"""),66.0)</f>
        <v>66</v>
      </c>
      <c r="F7217" s="19" t="str">
        <f>IFERROR(__xludf.DUMMYFUNCTION("""COMPUTED_VALUE"""),"BLACK")</f>
        <v>BLACK</v>
      </c>
      <c r="G7217" s="20" t="str">
        <f>IFERROR(__xludf.DUMMYFUNCTION("""COMPUTED_VALUE"""),"Uncle Sams Cider (5/13/2022)")</f>
        <v>Uncle Sams Cider (5/13/2022)</v>
      </c>
      <c r="H7217" s="19"/>
    </row>
    <row r="7218">
      <c r="A7218" s="9"/>
      <c r="B7218" s="15"/>
      <c r="C7218" s="9">
        <f>IFERROR(__xludf.DUMMYFUNCTION("""COMPUTED_VALUE"""),44721.3564108217)</f>
        <v>44721.35641</v>
      </c>
      <c r="D7218" s="15">
        <f>IFERROR(__xludf.DUMMYFUNCTION("""COMPUTED_VALUE"""),1.009)</f>
        <v>1.009</v>
      </c>
      <c r="E7218" s="16">
        <f>IFERROR(__xludf.DUMMYFUNCTION("""COMPUTED_VALUE"""),66.0)</f>
        <v>66</v>
      </c>
      <c r="F7218" s="19" t="str">
        <f>IFERROR(__xludf.DUMMYFUNCTION("""COMPUTED_VALUE"""),"BLACK")</f>
        <v>BLACK</v>
      </c>
      <c r="G7218" s="20" t="str">
        <f>IFERROR(__xludf.DUMMYFUNCTION("""COMPUTED_VALUE"""),"Uncle Sams Cider (5/13/2022)")</f>
        <v>Uncle Sams Cider (5/13/2022)</v>
      </c>
      <c r="H7218" s="19"/>
    </row>
    <row r="7219">
      <c r="A7219" s="9"/>
      <c r="B7219" s="15"/>
      <c r="C7219" s="9">
        <f>IFERROR(__xludf.DUMMYFUNCTION("""COMPUTED_VALUE"""),44721.3459888657)</f>
        <v>44721.34599</v>
      </c>
      <c r="D7219" s="15">
        <f>IFERROR(__xludf.DUMMYFUNCTION("""COMPUTED_VALUE"""),1.008)</f>
        <v>1.008</v>
      </c>
      <c r="E7219" s="16">
        <f>IFERROR(__xludf.DUMMYFUNCTION("""COMPUTED_VALUE"""),66.0)</f>
        <v>66</v>
      </c>
      <c r="F7219" s="19" t="str">
        <f>IFERROR(__xludf.DUMMYFUNCTION("""COMPUTED_VALUE"""),"BLACK")</f>
        <v>BLACK</v>
      </c>
      <c r="G7219" s="20" t="str">
        <f>IFERROR(__xludf.DUMMYFUNCTION("""COMPUTED_VALUE"""),"Uncle Sams Cider (5/13/2022)")</f>
        <v>Uncle Sams Cider (5/13/2022)</v>
      </c>
      <c r="H7219" s="19"/>
    </row>
    <row r="7220">
      <c r="A7220" s="9"/>
      <c r="B7220" s="15"/>
      <c r="C7220" s="9">
        <f>IFERROR(__xludf.DUMMYFUNCTION("""COMPUTED_VALUE"""),44721.3355698032)</f>
        <v>44721.33557</v>
      </c>
      <c r="D7220" s="15">
        <f>IFERROR(__xludf.DUMMYFUNCTION("""COMPUTED_VALUE"""),1.009)</f>
        <v>1.009</v>
      </c>
      <c r="E7220" s="16">
        <f>IFERROR(__xludf.DUMMYFUNCTION("""COMPUTED_VALUE"""),66.0)</f>
        <v>66</v>
      </c>
      <c r="F7220" s="19" t="str">
        <f>IFERROR(__xludf.DUMMYFUNCTION("""COMPUTED_VALUE"""),"BLACK")</f>
        <v>BLACK</v>
      </c>
      <c r="G7220" s="20" t="str">
        <f>IFERROR(__xludf.DUMMYFUNCTION("""COMPUTED_VALUE"""),"Uncle Sams Cider (5/13/2022)")</f>
        <v>Uncle Sams Cider (5/13/2022)</v>
      </c>
      <c r="H7220" s="19"/>
    </row>
    <row r="7221">
      <c r="A7221" s="9"/>
      <c r="B7221" s="15"/>
      <c r="C7221" s="9">
        <f>IFERROR(__xludf.DUMMYFUNCTION("""COMPUTED_VALUE"""),44721.3251474421)</f>
        <v>44721.32515</v>
      </c>
      <c r="D7221" s="15">
        <f>IFERROR(__xludf.DUMMYFUNCTION("""COMPUTED_VALUE"""),1.008)</f>
        <v>1.008</v>
      </c>
      <c r="E7221" s="16">
        <f>IFERROR(__xludf.DUMMYFUNCTION("""COMPUTED_VALUE"""),66.0)</f>
        <v>66</v>
      </c>
      <c r="F7221" s="19" t="str">
        <f>IFERROR(__xludf.DUMMYFUNCTION("""COMPUTED_VALUE"""),"BLACK")</f>
        <v>BLACK</v>
      </c>
      <c r="G7221" s="20" t="str">
        <f>IFERROR(__xludf.DUMMYFUNCTION("""COMPUTED_VALUE"""),"Uncle Sams Cider (5/13/2022)")</f>
        <v>Uncle Sams Cider (5/13/2022)</v>
      </c>
      <c r="H7221" s="19"/>
    </row>
    <row r="7222">
      <c r="A7222" s="9"/>
      <c r="B7222" s="15"/>
      <c r="C7222" s="9">
        <f>IFERROR(__xludf.DUMMYFUNCTION("""COMPUTED_VALUE"""),44721.3147261458)</f>
        <v>44721.31473</v>
      </c>
      <c r="D7222" s="15">
        <f>IFERROR(__xludf.DUMMYFUNCTION("""COMPUTED_VALUE"""),1.008)</f>
        <v>1.008</v>
      </c>
      <c r="E7222" s="16">
        <f>IFERROR(__xludf.DUMMYFUNCTION("""COMPUTED_VALUE"""),66.0)</f>
        <v>66</v>
      </c>
      <c r="F7222" s="19" t="str">
        <f>IFERROR(__xludf.DUMMYFUNCTION("""COMPUTED_VALUE"""),"BLACK")</f>
        <v>BLACK</v>
      </c>
      <c r="G7222" s="20" t="str">
        <f>IFERROR(__xludf.DUMMYFUNCTION("""COMPUTED_VALUE"""),"Uncle Sams Cider (5/13/2022)")</f>
        <v>Uncle Sams Cider (5/13/2022)</v>
      </c>
      <c r="H7222" s="19"/>
    </row>
    <row r="7223">
      <c r="A7223" s="9"/>
      <c r="B7223" s="15"/>
      <c r="C7223" s="9">
        <f>IFERROR(__xludf.DUMMYFUNCTION("""COMPUTED_VALUE"""),44721.3043045833)</f>
        <v>44721.3043</v>
      </c>
      <c r="D7223" s="15">
        <f>IFERROR(__xludf.DUMMYFUNCTION("""COMPUTED_VALUE"""),1.008)</f>
        <v>1.008</v>
      </c>
      <c r="E7223" s="16">
        <f>IFERROR(__xludf.DUMMYFUNCTION("""COMPUTED_VALUE"""),66.0)</f>
        <v>66</v>
      </c>
      <c r="F7223" s="19" t="str">
        <f>IFERROR(__xludf.DUMMYFUNCTION("""COMPUTED_VALUE"""),"BLACK")</f>
        <v>BLACK</v>
      </c>
      <c r="G7223" s="20" t="str">
        <f>IFERROR(__xludf.DUMMYFUNCTION("""COMPUTED_VALUE"""),"Uncle Sams Cider (5/13/2022)")</f>
        <v>Uncle Sams Cider (5/13/2022)</v>
      </c>
      <c r="H7223" s="19"/>
    </row>
    <row r="7224">
      <c r="A7224" s="9"/>
      <c r="B7224" s="15"/>
      <c r="C7224" s="9">
        <f>IFERROR(__xludf.DUMMYFUNCTION("""COMPUTED_VALUE"""),44721.2938832291)</f>
        <v>44721.29388</v>
      </c>
      <c r="D7224" s="15">
        <f>IFERROR(__xludf.DUMMYFUNCTION("""COMPUTED_VALUE"""),1.008)</f>
        <v>1.008</v>
      </c>
      <c r="E7224" s="16">
        <f>IFERROR(__xludf.DUMMYFUNCTION("""COMPUTED_VALUE"""),66.0)</f>
        <v>66</v>
      </c>
      <c r="F7224" s="19" t="str">
        <f>IFERROR(__xludf.DUMMYFUNCTION("""COMPUTED_VALUE"""),"BLACK")</f>
        <v>BLACK</v>
      </c>
      <c r="G7224" s="20" t="str">
        <f>IFERROR(__xludf.DUMMYFUNCTION("""COMPUTED_VALUE"""),"Uncle Sams Cider (5/13/2022)")</f>
        <v>Uncle Sams Cider (5/13/2022)</v>
      </c>
      <c r="H7224" s="19"/>
    </row>
    <row r="7225">
      <c r="A7225" s="9"/>
      <c r="B7225" s="15"/>
      <c r="C7225" s="9">
        <f>IFERROR(__xludf.DUMMYFUNCTION("""COMPUTED_VALUE"""),44721.2834625231)</f>
        <v>44721.28346</v>
      </c>
      <c r="D7225" s="15">
        <f>IFERROR(__xludf.DUMMYFUNCTION("""COMPUTED_VALUE"""),1.008)</f>
        <v>1.008</v>
      </c>
      <c r="E7225" s="16">
        <f>IFERROR(__xludf.DUMMYFUNCTION("""COMPUTED_VALUE"""),66.0)</f>
        <v>66</v>
      </c>
      <c r="F7225" s="19" t="str">
        <f>IFERROR(__xludf.DUMMYFUNCTION("""COMPUTED_VALUE"""),"BLACK")</f>
        <v>BLACK</v>
      </c>
      <c r="G7225" s="20" t="str">
        <f>IFERROR(__xludf.DUMMYFUNCTION("""COMPUTED_VALUE"""),"Uncle Sams Cider (5/13/2022)")</f>
        <v>Uncle Sams Cider (5/13/2022)</v>
      </c>
      <c r="H7225" s="19"/>
    </row>
    <row r="7226">
      <c r="A7226" s="9"/>
      <c r="B7226" s="15"/>
      <c r="C7226" s="9">
        <f>IFERROR(__xludf.DUMMYFUNCTION("""COMPUTED_VALUE"""),44721.2730422222)</f>
        <v>44721.27304</v>
      </c>
      <c r="D7226" s="15">
        <f>IFERROR(__xludf.DUMMYFUNCTION("""COMPUTED_VALUE"""),1.009)</f>
        <v>1.009</v>
      </c>
      <c r="E7226" s="16">
        <f>IFERROR(__xludf.DUMMYFUNCTION("""COMPUTED_VALUE"""),66.0)</f>
        <v>66</v>
      </c>
      <c r="F7226" s="19" t="str">
        <f>IFERROR(__xludf.DUMMYFUNCTION("""COMPUTED_VALUE"""),"BLACK")</f>
        <v>BLACK</v>
      </c>
      <c r="G7226" s="20" t="str">
        <f>IFERROR(__xludf.DUMMYFUNCTION("""COMPUTED_VALUE"""),"Uncle Sams Cider (5/13/2022)")</f>
        <v>Uncle Sams Cider (5/13/2022)</v>
      </c>
      <c r="H7226" s="19"/>
    </row>
    <row r="7227">
      <c r="A7227" s="9"/>
      <c r="B7227" s="15"/>
      <c r="C7227" s="9">
        <f>IFERROR(__xludf.DUMMYFUNCTION("""COMPUTED_VALUE"""),44721.2626218055)</f>
        <v>44721.26262</v>
      </c>
      <c r="D7227" s="15">
        <f>IFERROR(__xludf.DUMMYFUNCTION("""COMPUTED_VALUE"""),1.008)</f>
        <v>1.008</v>
      </c>
      <c r="E7227" s="16">
        <f>IFERROR(__xludf.DUMMYFUNCTION("""COMPUTED_VALUE"""),66.0)</f>
        <v>66</v>
      </c>
      <c r="F7227" s="19" t="str">
        <f>IFERROR(__xludf.DUMMYFUNCTION("""COMPUTED_VALUE"""),"BLACK")</f>
        <v>BLACK</v>
      </c>
      <c r="G7227" s="20" t="str">
        <f>IFERROR(__xludf.DUMMYFUNCTION("""COMPUTED_VALUE"""),"Uncle Sams Cider (5/13/2022)")</f>
        <v>Uncle Sams Cider (5/13/2022)</v>
      </c>
      <c r="H7227" s="19"/>
    </row>
    <row r="7228">
      <c r="A7228" s="9"/>
      <c r="B7228" s="15"/>
      <c r="C7228" s="9">
        <f>IFERROR(__xludf.DUMMYFUNCTION("""COMPUTED_VALUE"""),44721.2521994212)</f>
        <v>44721.2522</v>
      </c>
      <c r="D7228" s="15">
        <f>IFERROR(__xludf.DUMMYFUNCTION("""COMPUTED_VALUE"""),1.008)</f>
        <v>1.008</v>
      </c>
      <c r="E7228" s="16">
        <f>IFERROR(__xludf.DUMMYFUNCTION("""COMPUTED_VALUE"""),66.0)</f>
        <v>66</v>
      </c>
      <c r="F7228" s="19" t="str">
        <f>IFERROR(__xludf.DUMMYFUNCTION("""COMPUTED_VALUE"""),"BLACK")</f>
        <v>BLACK</v>
      </c>
      <c r="G7228" s="20" t="str">
        <f>IFERROR(__xludf.DUMMYFUNCTION("""COMPUTED_VALUE"""),"Uncle Sams Cider (5/13/2022)")</f>
        <v>Uncle Sams Cider (5/13/2022)</v>
      </c>
      <c r="H7228" s="19"/>
    </row>
    <row r="7229">
      <c r="A7229" s="9"/>
      <c r="B7229" s="15"/>
      <c r="C7229" s="9">
        <f>IFERROR(__xludf.DUMMYFUNCTION("""COMPUTED_VALUE"""),44721.2417766319)</f>
        <v>44721.24178</v>
      </c>
      <c r="D7229" s="15">
        <f>IFERROR(__xludf.DUMMYFUNCTION("""COMPUTED_VALUE"""),1.008)</f>
        <v>1.008</v>
      </c>
      <c r="E7229" s="16">
        <f>IFERROR(__xludf.DUMMYFUNCTION("""COMPUTED_VALUE"""),66.0)</f>
        <v>66</v>
      </c>
      <c r="F7229" s="19" t="str">
        <f>IFERROR(__xludf.DUMMYFUNCTION("""COMPUTED_VALUE"""),"BLACK")</f>
        <v>BLACK</v>
      </c>
      <c r="G7229" s="20" t="str">
        <f>IFERROR(__xludf.DUMMYFUNCTION("""COMPUTED_VALUE"""),"Uncle Sams Cider (5/13/2022)")</f>
        <v>Uncle Sams Cider (5/13/2022)</v>
      </c>
      <c r="H7229" s="19"/>
    </row>
    <row r="7230">
      <c r="A7230" s="9"/>
      <c r="B7230" s="15"/>
      <c r="C7230" s="9">
        <f>IFERROR(__xludf.DUMMYFUNCTION("""COMPUTED_VALUE"""),44721.231343912)</f>
        <v>44721.23134</v>
      </c>
      <c r="D7230" s="15">
        <f>IFERROR(__xludf.DUMMYFUNCTION("""COMPUTED_VALUE"""),1.008)</f>
        <v>1.008</v>
      </c>
      <c r="E7230" s="16">
        <f>IFERROR(__xludf.DUMMYFUNCTION("""COMPUTED_VALUE"""),66.0)</f>
        <v>66</v>
      </c>
      <c r="F7230" s="19" t="str">
        <f>IFERROR(__xludf.DUMMYFUNCTION("""COMPUTED_VALUE"""),"BLACK")</f>
        <v>BLACK</v>
      </c>
      <c r="G7230" s="20" t="str">
        <f>IFERROR(__xludf.DUMMYFUNCTION("""COMPUTED_VALUE"""),"Uncle Sams Cider (5/13/2022)")</f>
        <v>Uncle Sams Cider (5/13/2022)</v>
      </c>
      <c r="H7230" s="19"/>
    </row>
    <row r="7231">
      <c r="A7231" s="9"/>
      <c r="B7231" s="15"/>
      <c r="C7231" s="9">
        <f>IFERROR(__xludf.DUMMYFUNCTION("""COMPUTED_VALUE"""),44721.2209223263)</f>
        <v>44721.22092</v>
      </c>
      <c r="D7231" s="15">
        <f>IFERROR(__xludf.DUMMYFUNCTION("""COMPUTED_VALUE"""),1.009)</f>
        <v>1.009</v>
      </c>
      <c r="E7231" s="16">
        <f>IFERROR(__xludf.DUMMYFUNCTION("""COMPUTED_VALUE"""),66.0)</f>
        <v>66</v>
      </c>
      <c r="F7231" s="19" t="str">
        <f>IFERROR(__xludf.DUMMYFUNCTION("""COMPUTED_VALUE"""),"BLACK")</f>
        <v>BLACK</v>
      </c>
      <c r="G7231" s="20" t="str">
        <f>IFERROR(__xludf.DUMMYFUNCTION("""COMPUTED_VALUE"""),"Uncle Sams Cider (5/13/2022)")</f>
        <v>Uncle Sams Cider (5/13/2022)</v>
      </c>
      <c r="H7231" s="19"/>
    </row>
    <row r="7232">
      <c r="A7232" s="9"/>
      <c r="B7232" s="15"/>
      <c r="C7232" s="9">
        <f>IFERROR(__xludf.DUMMYFUNCTION("""COMPUTED_VALUE"""),44721.2105018402)</f>
        <v>44721.2105</v>
      </c>
      <c r="D7232" s="15">
        <f>IFERROR(__xludf.DUMMYFUNCTION("""COMPUTED_VALUE"""),1.009)</f>
        <v>1.009</v>
      </c>
      <c r="E7232" s="16">
        <f>IFERROR(__xludf.DUMMYFUNCTION("""COMPUTED_VALUE"""),66.0)</f>
        <v>66</v>
      </c>
      <c r="F7232" s="19" t="str">
        <f>IFERROR(__xludf.DUMMYFUNCTION("""COMPUTED_VALUE"""),"BLACK")</f>
        <v>BLACK</v>
      </c>
      <c r="G7232" s="20" t="str">
        <f>IFERROR(__xludf.DUMMYFUNCTION("""COMPUTED_VALUE"""),"Uncle Sams Cider (5/13/2022)")</f>
        <v>Uncle Sams Cider (5/13/2022)</v>
      </c>
      <c r="H7232" s="19"/>
    </row>
    <row r="7233">
      <c r="A7233" s="9"/>
      <c r="B7233" s="15"/>
      <c r="C7233" s="9">
        <f>IFERROR(__xludf.DUMMYFUNCTION("""COMPUTED_VALUE"""),44721.2000699537)</f>
        <v>44721.20007</v>
      </c>
      <c r="D7233" s="15">
        <f>IFERROR(__xludf.DUMMYFUNCTION("""COMPUTED_VALUE"""),1.009)</f>
        <v>1.009</v>
      </c>
      <c r="E7233" s="16">
        <f>IFERROR(__xludf.DUMMYFUNCTION("""COMPUTED_VALUE"""),66.0)</f>
        <v>66</v>
      </c>
      <c r="F7233" s="19" t="str">
        <f>IFERROR(__xludf.DUMMYFUNCTION("""COMPUTED_VALUE"""),"BLACK")</f>
        <v>BLACK</v>
      </c>
      <c r="G7233" s="20" t="str">
        <f>IFERROR(__xludf.DUMMYFUNCTION("""COMPUTED_VALUE"""),"Uncle Sams Cider (5/13/2022)")</f>
        <v>Uncle Sams Cider (5/13/2022)</v>
      </c>
      <c r="H7233" s="19"/>
    </row>
    <row r="7234">
      <c r="A7234" s="9"/>
      <c r="B7234" s="15"/>
      <c r="C7234" s="9">
        <f>IFERROR(__xludf.DUMMYFUNCTION("""COMPUTED_VALUE"""),44721.1896493055)</f>
        <v>44721.18965</v>
      </c>
      <c r="D7234" s="15">
        <f>IFERROR(__xludf.DUMMYFUNCTION("""COMPUTED_VALUE"""),1.009)</f>
        <v>1.009</v>
      </c>
      <c r="E7234" s="16">
        <f>IFERROR(__xludf.DUMMYFUNCTION("""COMPUTED_VALUE"""),66.0)</f>
        <v>66</v>
      </c>
      <c r="F7234" s="19" t="str">
        <f>IFERROR(__xludf.DUMMYFUNCTION("""COMPUTED_VALUE"""),"BLACK")</f>
        <v>BLACK</v>
      </c>
      <c r="G7234" s="20" t="str">
        <f>IFERROR(__xludf.DUMMYFUNCTION("""COMPUTED_VALUE"""),"Uncle Sams Cider (5/13/2022)")</f>
        <v>Uncle Sams Cider (5/13/2022)</v>
      </c>
      <c r="H7234" s="19"/>
    </row>
    <row r="7235">
      <c r="A7235" s="9"/>
      <c r="B7235" s="15"/>
      <c r="C7235" s="9">
        <f>IFERROR(__xludf.DUMMYFUNCTION("""COMPUTED_VALUE"""),44721.1792055208)</f>
        <v>44721.17921</v>
      </c>
      <c r="D7235" s="15">
        <f>IFERROR(__xludf.DUMMYFUNCTION("""COMPUTED_VALUE"""),1.009)</f>
        <v>1.009</v>
      </c>
      <c r="E7235" s="16">
        <f>IFERROR(__xludf.DUMMYFUNCTION("""COMPUTED_VALUE"""),66.0)</f>
        <v>66</v>
      </c>
      <c r="F7235" s="19" t="str">
        <f>IFERROR(__xludf.DUMMYFUNCTION("""COMPUTED_VALUE"""),"BLACK")</f>
        <v>BLACK</v>
      </c>
      <c r="G7235" s="20" t="str">
        <f>IFERROR(__xludf.DUMMYFUNCTION("""COMPUTED_VALUE"""),"Uncle Sams Cider (5/13/2022)")</f>
        <v>Uncle Sams Cider (5/13/2022)</v>
      </c>
      <c r="H7235" s="19"/>
    </row>
    <row r="7236">
      <c r="A7236" s="9"/>
      <c r="B7236" s="15"/>
      <c r="C7236" s="9">
        <f>IFERROR(__xludf.DUMMYFUNCTION("""COMPUTED_VALUE"""),44721.1687843171)</f>
        <v>44721.16878</v>
      </c>
      <c r="D7236" s="15">
        <f>IFERROR(__xludf.DUMMYFUNCTION("""COMPUTED_VALUE"""),1.009)</f>
        <v>1.009</v>
      </c>
      <c r="E7236" s="16">
        <f>IFERROR(__xludf.DUMMYFUNCTION("""COMPUTED_VALUE"""),66.0)</f>
        <v>66</v>
      </c>
      <c r="F7236" s="19" t="str">
        <f>IFERROR(__xludf.DUMMYFUNCTION("""COMPUTED_VALUE"""),"BLACK")</f>
        <v>BLACK</v>
      </c>
      <c r="G7236" s="20" t="str">
        <f>IFERROR(__xludf.DUMMYFUNCTION("""COMPUTED_VALUE"""),"Uncle Sams Cider (5/13/2022)")</f>
        <v>Uncle Sams Cider (5/13/2022)</v>
      </c>
      <c r="H7236" s="19"/>
    </row>
    <row r="7237">
      <c r="A7237" s="9"/>
      <c r="B7237" s="15"/>
      <c r="C7237" s="9">
        <f>IFERROR(__xludf.DUMMYFUNCTION("""COMPUTED_VALUE"""),44721.15836228)</f>
        <v>44721.15836</v>
      </c>
      <c r="D7237" s="15">
        <f>IFERROR(__xludf.DUMMYFUNCTION("""COMPUTED_VALUE"""),1.008)</f>
        <v>1.008</v>
      </c>
      <c r="E7237" s="16">
        <f>IFERROR(__xludf.DUMMYFUNCTION("""COMPUTED_VALUE"""),66.0)</f>
        <v>66</v>
      </c>
      <c r="F7237" s="19" t="str">
        <f>IFERROR(__xludf.DUMMYFUNCTION("""COMPUTED_VALUE"""),"BLACK")</f>
        <v>BLACK</v>
      </c>
      <c r="G7237" s="20" t="str">
        <f>IFERROR(__xludf.DUMMYFUNCTION("""COMPUTED_VALUE"""),"Uncle Sams Cider (5/13/2022)")</f>
        <v>Uncle Sams Cider (5/13/2022)</v>
      </c>
      <c r="H7237" s="19"/>
    </row>
    <row r="7238">
      <c r="A7238" s="9"/>
      <c r="B7238" s="15"/>
      <c r="C7238" s="9">
        <f>IFERROR(__xludf.DUMMYFUNCTION("""COMPUTED_VALUE"""),44721.1479286921)</f>
        <v>44721.14793</v>
      </c>
      <c r="D7238" s="15">
        <f>IFERROR(__xludf.DUMMYFUNCTION("""COMPUTED_VALUE"""),1.008)</f>
        <v>1.008</v>
      </c>
      <c r="E7238" s="16">
        <f>IFERROR(__xludf.DUMMYFUNCTION("""COMPUTED_VALUE"""),66.0)</f>
        <v>66</v>
      </c>
      <c r="F7238" s="19" t="str">
        <f>IFERROR(__xludf.DUMMYFUNCTION("""COMPUTED_VALUE"""),"BLACK")</f>
        <v>BLACK</v>
      </c>
      <c r="G7238" s="20" t="str">
        <f>IFERROR(__xludf.DUMMYFUNCTION("""COMPUTED_VALUE"""),"Uncle Sams Cider (5/13/2022)")</f>
        <v>Uncle Sams Cider (5/13/2022)</v>
      </c>
      <c r="H7238" s="19"/>
    </row>
    <row r="7239">
      <c r="A7239" s="9"/>
      <c r="B7239" s="15"/>
      <c r="C7239" s="9">
        <f>IFERROR(__xludf.DUMMYFUNCTION("""COMPUTED_VALUE"""),44721.1374964351)</f>
        <v>44721.1375</v>
      </c>
      <c r="D7239" s="15">
        <f>IFERROR(__xludf.DUMMYFUNCTION("""COMPUTED_VALUE"""),1.008)</f>
        <v>1.008</v>
      </c>
      <c r="E7239" s="16">
        <f>IFERROR(__xludf.DUMMYFUNCTION("""COMPUTED_VALUE"""),66.0)</f>
        <v>66</v>
      </c>
      <c r="F7239" s="19" t="str">
        <f>IFERROR(__xludf.DUMMYFUNCTION("""COMPUTED_VALUE"""),"BLACK")</f>
        <v>BLACK</v>
      </c>
      <c r="G7239" s="20" t="str">
        <f>IFERROR(__xludf.DUMMYFUNCTION("""COMPUTED_VALUE"""),"Uncle Sams Cider (5/13/2022)")</f>
        <v>Uncle Sams Cider (5/13/2022)</v>
      </c>
      <c r="H7239" s="19"/>
    </row>
    <row r="7240">
      <c r="A7240" s="9"/>
      <c r="B7240" s="15"/>
      <c r="C7240" s="9">
        <f>IFERROR(__xludf.DUMMYFUNCTION("""COMPUTED_VALUE"""),44721.1270766088)</f>
        <v>44721.12708</v>
      </c>
      <c r="D7240" s="15">
        <f>IFERROR(__xludf.DUMMYFUNCTION("""COMPUTED_VALUE"""),1.008)</f>
        <v>1.008</v>
      </c>
      <c r="E7240" s="16">
        <f>IFERROR(__xludf.DUMMYFUNCTION("""COMPUTED_VALUE"""),66.0)</f>
        <v>66</v>
      </c>
      <c r="F7240" s="19" t="str">
        <f>IFERROR(__xludf.DUMMYFUNCTION("""COMPUTED_VALUE"""),"BLACK")</f>
        <v>BLACK</v>
      </c>
      <c r="G7240" s="20" t="str">
        <f>IFERROR(__xludf.DUMMYFUNCTION("""COMPUTED_VALUE"""),"Uncle Sams Cider (5/13/2022)")</f>
        <v>Uncle Sams Cider (5/13/2022)</v>
      </c>
      <c r="H7240" s="19"/>
    </row>
    <row r="7241">
      <c r="A7241" s="9"/>
      <c r="B7241" s="15"/>
      <c r="C7241" s="9">
        <f>IFERROR(__xludf.DUMMYFUNCTION("""COMPUTED_VALUE"""),44721.1166564814)</f>
        <v>44721.11666</v>
      </c>
      <c r="D7241" s="15">
        <f>IFERROR(__xludf.DUMMYFUNCTION("""COMPUTED_VALUE"""),1.009)</f>
        <v>1.009</v>
      </c>
      <c r="E7241" s="16">
        <f>IFERROR(__xludf.DUMMYFUNCTION("""COMPUTED_VALUE"""),66.0)</f>
        <v>66</v>
      </c>
      <c r="F7241" s="19" t="str">
        <f>IFERROR(__xludf.DUMMYFUNCTION("""COMPUTED_VALUE"""),"BLACK")</f>
        <v>BLACK</v>
      </c>
      <c r="G7241" s="20" t="str">
        <f>IFERROR(__xludf.DUMMYFUNCTION("""COMPUTED_VALUE"""),"Uncle Sams Cider (5/13/2022)")</f>
        <v>Uncle Sams Cider (5/13/2022)</v>
      </c>
      <c r="H7241" s="19"/>
    </row>
    <row r="7242">
      <c r="A7242" s="9"/>
      <c r="B7242" s="15"/>
      <c r="C7242" s="9">
        <f>IFERROR(__xludf.DUMMYFUNCTION("""COMPUTED_VALUE"""),44721.1062363773)</f>
        <v>44721.10624</v>
      </c>
      <c r="D7242" s="15">
        <f>IFERROR(__xludf.DUMMYFUNCTION("""COMPUTED_VALUE"""),1.009)</f>
        <v>1.009</v>
      </c>
      <c r="E7242" s="16">
        <f>IFERROR(__xludf.DUMMYFUNCTION("""COMPUTED_VALUE"""),66.0)</f>
        <v>66</v>
      </c>
      <c r="F7242" s="19" t="str">
        <f>IFERROR(__xludf.DUMMYFUNCTION("""COMPUTED_VALUE"""),"BLACK")</f>
        <v>BLACK</v>
      </c>
      <c r="G7242" s="20" t="str">
        <f>IFERROR(__xludf.DUMMYFUNCTION("""COMPUTED_VALUE"""),"Uncle Sams Cider (5/13/2022)")</f>
        <v>Uncle Sams Cider (5/13/2022)</v>
      </c>
      <c r="H7242" s="19"/>
    </row>
    <row r="7243">
      <c r="A7243" s="9"/>
      <c r="B7243" s="15"/>
      <c r="C7243" s="9">
        <f>IFERROR(__xludf.DUMMYFUNCTION("""COMPUTED_VALUE"""),44721.0958036805)</f>
        <v>44721.0958</v>
      </c>
      <c r="D7243" s="15">
        <f>IFERROR(__xludf.DUMMYFUNCTION("""COMPUTED_VALUE"""),1.009)</f>
        <v>1.009</v>
      </c>
      <c r="E7243" s="16">
        <f>IFERROR(__xludf.DUMMYFUNCTION("""COMPUTED_VALUE"""),66.0)</f>
        <v>66</v>
      </c>
      <c r="F7243" s="19" t="str">
        <f>IFERROR(__xludf.DUMMYFUNCTION("""COMPUTED_VALUE"""),"BLACK")</f>
        <v>BLACK</v>
      </c>
      <c r="G7243" s="20" t="str">
        <f>IFERROR(__xludf.DUMMYFUNCTION("""COMPUTED_VALUE"""),"Uncle Sams Cider (5/13/2022)")</f>
        <v>Uncle Sams Cider (5/13/2022)</v>
      </c>
      <c r="H7243" s="19"/>
    </row>
    <row r="7244">
      <c r="A7244" s="9"/>
      <c r="B7244" s="15"/>
      <c r="C7244" s="9">
        <f>IFERROR(__xludf.DUMMYFUNCTION("""COMPUTED_VALUE"""),44721.0853827314)</f>
        <v>44721.08538</v>
      </c>
      <c r="D7244" s="15">
        <f>IFERROR(__xludf.DUMMYFUNCTION("""COMPUTED_VALUE"""),1.009)</f>
        <v>1.009</v>
      </c>
      <c r="E7244" s="16">
        <f>IFERROR(__xludf.DUMMYFUNCTION("""COMPUTED_VALUE"""),66.0)</f>
        <v>66</v>
      </c>
      <c r="F7244" s="19" t="str">
        <f>IFERROR(__xludf.DUMMYFUNCTION("""COMPUTED_VALUE"""),"BLACK")</f>
        <v>BLACK</v>
      </c>
      <c r="G7244" s="20" t="str">
        <f>IFERROR(__xludf.DUMMYFUNCTION("""COMPUTED_VALUE"""),"Uncle Sams Cider (5/13/2022)")</f>
        <v>Uncle Sams Cider (5/13/2022)</v>
      </c>
      <c r="H7244" s="19"/>
    </row>
    <row r="7245">
      <c r="A7245" s="9"/>
      <c r="B7245" s="15"/>
      <c r="C7245" s="9">
        <f>IFERROR(__xludf.DUMMYFUNCTION("""COMPUTED_VALUE"""),44721.0749614351)</f>
        <v>44721.07496</v>
      </c>
      <c r="D7245" s="15">
        <f>IFERROR(__xludf.DUMMYFUNCTION("""COMPUTED_VALUE"""),1.009)</f>
        <v>1.009</v>
      </c>
      <c r="E7245" s="16">
        <f>IFERROR(__xludf.DUMMYFUNCTION("""COMPUTED_VALUE"""),66.0)</f>
        <v>66</v>
      </c>
      <c r="F7245" s="19" t="str">
        <f>IFERROR(__xludf.DUMMYFUNCTION("""COMPUTED_VALUE"""),"BLACK")</f>
        <v>BLACK</v>
      </c>
      <c r="G7245" s="20" t="str">
        <f>IFERROR(__xludf.DUMMYFUNCTION("""COMPUTED_VALUE"""),"Uncle Sams Cider (5/13/2022)")</f>
        <v>Uncle Sams Cider (5/13/2022)</v>
      </c>
      <c r="H7245" s="19"/>
    </row>
    <row r="7246">
      <c r="A7246" s="9"/>
      <c r="B7246" s="15"/>
      <c r="C7246" s="9">
        <f>IFERROR(__xludf.DUMMYFUNCTION("""COMPUTED_VALUE"""),44721.0645424768)</f>
        <v>44721.06454</v>
      </c>
      <c r="D7246" s="15">
        <f>IFERROR(__xludf.DUMMYFUNCTION("""COMPUTED_VALUE"""),1.009)</f>
        <v>1.009</v>
      </c>
      <c r="E7246" s="16">
        <f>IFERROR(__xludf.DUMMYFUNCTION("""COMPUTED_VALUE"""),66.0)</f>
        <v>66</v>
      </c>
      <c r="F7246" s="19" t="str">
        <f>IFERROR(__xludf.DUMMYFUNCTION("""COMPUTED_VALUE"""),"BLACK")</f>
        <v>BLACK</v>
      </c>
      <c r="G7246" s="20" t="str">
        <f>IFERROR(__xludf.DUMMYFUNCTION("""COMPUTED_VALUE"""),"Uncle Sams Cider (5/13/2022)")</f>
        <v>Uncle Sams Cider (5/13/2022)</v>
      </c>
      <c r="H7246" s="19"/>
    </row>
    <row r="7247">
      <c r="A7247" s="9"/>
      <c r="B7247" s="15"/>
      <c r="C7247" s="9">
        <f>IFERROR(__xludf.DUMMYFUNCTION("""COMPUTED_VALUE"""),44721.054110868)</f>
        <v>44721.05411</v>
      </c>
      <c r="D7247" s="15">
        <f>IFERROR(__xludf.DUMMYFUNCTION("""COMPUTED_VALUE"""),1.009)</f>
        <v>1.009</v>
      </c>
      <c r="E7247" s="16">
        <f>IFERROR(__xludf.DUMMYFUNCTION("""COMPUTED_VALUE"""),66.0)</f>
        <v>66</v>
      </c>
      <c r="F7247" s="19" t="str">
        <f>IFERROR(__xludf.DUMMYFUNCTION("""COMPUTED_VALUE"""),"BLACK")</f>
        <v>BLACK</v>
      </c>
      <c r="G7247" s="20" t="str">
        <f>IFERROR(__xludf.DUMMYFUNCTION("""COMPUTED_VALUE"""),"Uncle Sams Cider (5/13/2022)")</f>
        <v>Uncle Sams Cider (5/13/2022)</v>
      </c>
      <c r="H7247" s="19"/>
    </row>
    <row r="7248">
      <c r="A7248" s="9"/>
      <c r="B7248" s="15"/>
      <c r="C7248" s="9">
        <f>IFERROR(__xludf.DUMMYFUNCTION("""COMPUTED_VALUE"""),44721.0436899074)</f>
        <v>44721.04369</v>
      </c>
      <c r="D7248" s="15">
        <f>IFERROR(__xludf.DUMMYFUNCTION("""COMPUTED_VALUE"""),1.009)</f>
        <v>1.009</v>
      </c>
      <c r="E7248" s="16">
        <f>IFERROR(__xludf.DUMMYFUNCTION("""COMPUTED_VALUE"""),66.0)</f>
        <v>66</v>
      </c>
      <c r="F7248" s="19" t="str">
        <f>IFERROR(__xludf.DUMMYFUNCTION("""COMPUTED_VALUE"""),"BLACK")</f>
        <v>BLACK</v>
      </c>
      <c r="G7248" s="20" t="str">
        <f>IFERROR(__xludf.DUMMYFUNCTION("""COMPUTED_VALUE"""),"Uncle Sams Cider (5/13/2022)")</f>
        <v>Uncle Sams Cider (5/13/2022)</v>
      </c>
      <c r="H7248" s="19"/>
    </row>
    <row r="7249">
      <c r="A7249" s="9"/>
      <c r="B7249" s="15"/>
      <c r="C7249" s="9">
        <f>IFERROR(__xludf.DUMMYFUNCTION("""COMPUTED_VALUE"""),44721.0332703125)</f>
        <v>44721.03327</v>
      </c>
      <c r="D7249" s="15">
        <f>IFERROR(__xludf.DUMMYFUNCTION("""COMPUTED_VALUE"""),1.008)</f>
        <v>1.008</v>
      </c>
      <c r="E7249" s="16">
        <f>IFERROR(__xludf.DUMMYFUNCTION("""COMPUTED_VALUE"""),66.0)</f>
        <v>66</v>
      </c>
      <c r="F7249" s="19" t="str">
        <f>IFERROR(__xludf.DUMMYFUNCTION("""COMPUTED_VALUE"""),"BLACK")</f>
        <v>BLACK</v>
      </c>
      <c r="G7249" s="20" t="str">
        <f>IFERROR(__xludf.DUMMYFUNCTION("""COMPUTED_VALUE"""),"Uncle Sams Cider (5/13/2022)")</f>
        <v>Uncle Sams Cider (5/13/2022)</v>
      </c>
      <c r="H7249" s="19"/>
    </row>
    <row r="7250">
      <c r="A7250" s="9"/>
      <c r="B7250" s="15"/>
      <c r="C7250" s="9">
        <f>IFERROR(__xludf.DUMMYFUNCTION("""COMPUTED_VALUE"""),44721.0228371759)</f>
        <v>44721.02284</v>
      </c>
      <c r="D7250" s="15">
        <f>IFERROR(__xludf.DUMMYFUNCTION("""COMPUTED_VALUE"""),1.009)</f>
        <v>1.009</v>
      </c>
      <c r="E7250" s="16">
        <f>IFERROR(__xludf.DUMMYFUNCTION("""COMPUTED_VALUE"""),66.0)</f>
        <v>66</v>
      </c>
      <c r="F7250" s="19" t="str">
        <f>IFERROR(__xludf.DUMMYFUNCTION("""COMPUTED_VALUE"""),"BLACK")</f>
        <v>BLACK</v>
      </c>
      <c r="G7250" s="20" t="str">
        <f>IFERROR(__xludf.DUMMYFUNCTION("""COMPUTED_VALUE"""),"Uncle Sams Cider (5/13/2022)")</f>
        <v>Uncle Sams Cider (5/13/2022)</v>
      </c>
      <c r="H7250" s="19"/>
    </row>
    <row r="7251">
      <c r="A7251" s="9"/>
      <c r="B7251" s="15"/>
      <c r="C7251" s="9">
        <f>IFERROR(__xludf.DUMMYFUNCTION("""COMPUTED_VALUE"""),44721.012392824)</f>
        <v>44721.01239</v>
      </c>
      <c r="D7251" s="15">
        <f>IFERROR(__xludf.DUMMYFUNCTION("""COMPUTED_VALUE"""),1.009)</f>
        <v>1.009</v>
      </c>
      <c r="E7251" s="16">
        <f>IFERROR(__xludf.DUMMYFUNCTION("""COMPUTED_VALUE"""),66.0)</f>
        <v>66</v>
      </c>
      <c r="F7251" s="19" t="str">
        <f>IFERROR(__xludf.DUMMYFUNCTION("""COMPUTED_VALUE"""),"BLACK")</f>
        <v>BLACK</v>
      </c>
      <c r="G7251" s="20" t="str">
        <f>IFERROR(__xludf.DUMMYFUNCTION("""COMPUTED_VALUE"""),"Uncle Sams Cider (5/13/2022)")</f>
        <v>Uncle Sams Cider (5/13/2022)</v>
      </c>
      <c r="H7251" s="19"/>
    </row>
    <row r="7252">
      <c r="A7252" s="9"/>
      <c r="B7252" s="15"/>
      <c r="C7252" s="9">
        <f>IFERROR(__xludf.DUMMYFUNCTION("""COMPUTED_VALUE"""),44721.0019724884)</f>
        <v>44721.00197</v>
      </c>
      <c r="D7252" s="15">
        <f>IFERROR(__xludf.DUMMYFUNCTION("""COMPUTED_VALUE"""),1.009)</f>
        <v>1.009</v>
      </c>
      <c r="E7252" s="16">
        <f>IFERROR(__xludf.DUMMYFUNCTION("""COMPUTED_VALUE"""),66.0)</f>
        <v>66</v>
      </c>
      <c r="F7252" s="19" t="str">
        <f>IFERROR(__xludf.DUMMYFUNCTION("""COMPUTED_VALUE"""),"BLACK")</f>
        <v>BLACK</v>
      </c>
      <c r="G7252" s="20" t="str">
        <f>IFERROR(__xludf.DUMMYFUNCTION("""COMPUTED_VALUE"""),"Uncle Sams Cider (5/13/2022)")</f>
        <v>Uncle Sams Cider (5/13/2022)</v>
      </c>
      <c r="H7252" s="19"/>
    </row>
    <row r="7253">
      <c r="A7253" s="9"/>
      <c r="B7253" s="15"/>
      <c r="C7253" s="9">
        <f>IFERROR(__xludf.DUMMYFUNCTION("""COMPUTED_VALUE"""),44720.9915505208)</f>
        <v>44720.99155</v>
      </c>
      <c r="D7253" s="15">
        <f>IFERROR(__xludf.DUMMYFUNCTION("""COMPUTED_VALUE"""),1.008)</f>
        <v>1.008</v>
      </c>
      <c r="E7253" s="16">
        <f>IFERROR(__xludf.DUMMYFUNCTION("""COMPUTED_VALUE"""),66.0)</f>
        <v>66</v>
      </c>
      <c r="F7253" s="19" t="str">
        <f>IFERROR(__xludf.DUMMYFUNCTION("""COMPUTED_VALUE"""),"BLACK")</f>
        <v>BLACK</v>
      </c>
      <c r="G7253" s="20" t="str">
        <f>IFERROR(__xludf.DUMMYFUNCTION("""COMPUTED_VALUE"""),"Uncle Sams Cider (5/13/2022)")</f>
        <v>Uncle Sams Cider (5/13/2022)</v>
      </c>
      <c r="H7253" s="19"/>
    </row>
    <row r="7254">
      <c r="A7254" s="9"/>
      <c r="B7254" s="15"/>
      <c r="C7254" s="9">
        <f>IFERROR(__xludf.DUMMYFUNCTION("""COMPUTED_VALUE"""),44720.9811289004)</f>
        <v>44720.98113</v>
      </c>
      <c r="D7254" s="15">
        <f>IFERROR(__xludf.DUMMYFUNCTION("""COMPUTED_VALUE"""),1.009)</f>
        <v>1.009</v>
      </c>
      <c r="E7254" s="16">
        <f>IFERROR(__xludf.DUMMYFUNCTION("""COMPUTED_VALUE"""),66.0)</f>
        <v>66</v>
      </c>
      <c r="F7254" s="19" t="str">
        <f>IFERROR(__xludf.DUMMYFUNCTION("""COMPUTED_VALUE"""),"BLACK")</f>
        <v>BLACK</v>
      </c>
      <c r="G7254" s="20" t="str">
        <f>IFERROR(__xludf.DUMMYFUNCTION("""COMPUTED_VALUE"""),"Uncle Sams Cider (5/13/2022)")</f>
        <v>Uncle Sams Cider (5/13/2022)</v>
      </c>
      <c r="H7254" s="19"/>
    </row>
    <row r="7255">
      <c r="A7255" s="9"/>
      <c r="B7255" s="15"/>
      <c r="C7255" s="9">
        <f>IFERROR(__xludf.DUMMYFUNCTION("""COMPUTED_VALUE"""),44720.9707091898)</f>
        <v>44720.97071</v>
      </c>
      <c r="D7255" s="15">
        <f>IFERROR(__xludf.DUMMYFUNCTION("""COMPUTED_VALUE"""),1.009)</f>
        <v>1.009</v>
      </c>
      <c r="E7255" s="16">
        <f>IFERROR(__xludf.DUMMYFUNCTION("""COMPUTED_VALUE"""),66.0)</f>
        <v>66</v>
      </c>
      <c r="F7255" s="19" t="str">
        <f>IFERROR(__xludf.DUMMYFUNCTION("""COMPUTED_VALUE"""),"BLACK")</f>
        <v>BLACK</v>
      </c>
      <c r="G7255" s="20" t="str">
        <f>IFERROR(__xludf.DUMMYFUNCTION("""COMPUTED_VALUE"""),"Uncle Sams Cider (5/13/2022)")</f>
        <v>Uncle Sams Cider (5/13/2022)</v>
      </c>
      <c r="H7255" s="19"/>
    </row>
    <row r="7256">
      <c r="A7256" s="9"/>
      <c r="B7256" s="15"/>
      <c r="C7256" s="9">
        <f>IFERROR(__xludf.DUMMYFUNCTION("""COMPUTED_VALUE"""),44720.9602891319)</f>
        <v>44720.96029</v>
      </c>
      <c r="D7256" s="15">
        <f>IFERROR(__xludf.DUMMYFUNCTION("""COMPUTED_VALUE"""),1.008)</f>
        <v>1.008</v>
      </c>
      <c r="E7256" s="16">
        <f>IFERROR(__xludf.DUMMYFUNCTION("""COMPUTED_VALUE"""),66.0)</f>
        <v>66</v>
      </c>
      <c r="F7256" s="19" t="str">
        <f>IFERROR(__xludf.DUMMYFUNCTION("""COMPUTED_VALUE"""),"BLACK")</f>
        <v>BLACK</v>
      </c>
      <c r="G7256" s="20" t="str">
        <f>IFERROR(__xludf.DUMMYFUNCTION("""COMPUTED_VALUE"""),"Uncle Sams Cider (5/13/2022)")</f>
        <v>Uncle Sams Cider (5/13/2022)</v>
      </c>
      <c r="H7256" s="19"/>
    </row>
    <row r="7257">
      <c r="A7257" s="9"/>
      <c r="B7257" s="15"/>
      <c r="C7257" s="9">
        <f>IFERROR(__xludf.DUMMYFUNCTION("""COMPUTED_VALUE"""),44720.9498690277)</f>
        <v>44720.94987</v>
      </c>
      <c r="D7257" s="15">
        <f>IFERROR(__xludf.DUMMYFUNCTION("""COMPUTED_VALUE"""),1.009)</f>
        <v>1.009</v>
      </c>
      <c r="E7257" s="16">
        <f>IFERROR(__xludf.DUMMYFUNCTION("""COMPUTED_VALUE"""),66.0)</f>
        <v>66</v>
      </c>
      <c r="F7257" s="19" t="str">
        <f>IFERROR(__xludf.DUMMYFUNCTION("""COMPUTED_VALUE"""),"BLACK")</f>
        <v>BLACK</v>
      </c>
      <c r="G7257" s="20" t="str">
        <f>IFERROR(__xludf.DUMMYFUNCTION("""COMPUTED_VALUE"""),"Uncle Sams Cider (5/13/2022)")</f>
        <v>Uncle Sams Cider (5/13/2022)</v>
      </c>
      <c r="H7257" s="19"/>
    </row>
    <row r="7258">
      <c r="A7258" s="9"/>
      <c r="B7258" s="15"/>
      <c r="C7258" s="9">
        <f>IFERROR(__xludf.DUMMYFUNCTION("""COMPUTED_VALUE"""),44720.939448206)</f>
        <v>44720.93945</v>
      </c>
      <c r="D7258" s="15">
        <f>IFERROR(__xludf.DUMMYFUNCTION("""COMPUTED_VALUE"""),1.008)</f>
        <v>1.008</v>
      </c>
      <c r="E7258" s="16">
        <f>IFERROR(__xludf.DUMMYFUNCTION("""COMPUTED_VALUE"""),66.0)</f>
        <v>66</v>
      </c>
      <c r="F7258" s="19" t="str">
        <f>IFERROR(__xludf.DUMMYFUNCTION("""COMPUTED_VALUE"""),"BLACK")</f>
        <v>BLACK</v>
      </c>
      <c r="G7258" s="20" t="str">
        <f>IFERROR(__xludf.DUMMYFUNCTION("""COMPUTED_VALUE"""),"Uncle Sams Cider (5/13/2022)")</f>
        <v>Uncle Sams Cider (5/13/2022)</v>
      </c>
      <c r="H7258" s="19"/>
    </row>
    <row r="7259">
      <c r="A7259" s="9"/>
      <c r="B7259" s="15"/>
      <c r="C7259" s="9">
        <f>IFERROR(__xludf.DUMMYFUNCTION("""COMPUTED_VALUE"""),44720.92902853)</f>
        <v>44720.92903</v>
      </c>
      <c r="D7259" s="15">
        <f>IFERROR(__xludf.DUMMYFUNCTION("""COMPUTED_VALUE"""),1.008)</f>
        <v>1.008</v>
      </c>
      <c r="E7259" s="16">
        <f>IFERROR(__xludf.DUMMYFUNCTION("""COMPUTED_VALUE"""),66.0)</f>
        <v>66</v>
      </c>
      <c r="F7259" s="19" t="str">
        <f>IFERROR(__xludf.DUMMYFUNCTION("""COMPUTED_VALUE"""),"BLACK")</f>
        <v>BLACK</v>
      </c>
      <c r="G7259" s="20" t="str">
        <f>IFERROR(__xludf.DUMMYFUNCTION("""COMPUTED_VALUE"""),"Uncle Sams Cider (5/13/2022)")</f>
        <v>Uncle Sams Cider (5/13/2022)</v>
      </c>
      <c r="H7259" s="19"/>
    </row>
    <row r="7260">
      <c r="A7260" s="9"/>
      <c r="B7260" s="15"/>
      <c r="C7260" s="9">
        <f>IFERROR(__xludf.DUMMYFUNCTION("""COMPUTED_VALUE"""),44720.9186087615)</f>
        <v>44720.91861</v>
      </c>
      <c r="D7260" s="15">
        <f>IFERROR(__xludf.DUMMYFUNCTION("""COMPUTED_VALUE"""),1.009)</f>
        <v>1.009</v>
      </c>
      <c r="E7260" s="16">
        <f>IFERROR(__xludf.DUMMYFUNCTION("""COMPUTED_VALUE"""),66.0)</f>
        <v>66</v>
      </c>
      <c r="F7260" s="19" t="str">
        <f>IFERROR(__xludf.DUMMYFUNCTION("""COMPUTED_VALUE"""),"BLACK")</f>
        <v>BLACK</v>
      </c>
      <c r="G7260" s="20" t="str">
        <f>IFERROR(__xludf.DUMMYFUNCTION("""COMPUTED_VALUE"""),"Uncle Sams Cider (5/13/2022)")</f>
        <v>Uncle Sams Cider (5/13/2022)</v>
      </c>
      <c r="H7260" s="19"/>
    </row>
    <row r="7261">
      <c r="A7261" s="9"/>
      <c r="B7261" s="15"/>
      <c r="C7261" s="9">
        <f>IFERROR(__xludf.DUMMYFUNCTION("""COMPUTED_VALUE"""),44720.9081867476)</f>
        <v>44720.90819</v>
      </c>
      <c r="D7261" s="15">
        <f>IFERROR(__xludf.DUMMYFUNCTION("""COMPUTED_VALUE"""),1.009)</f>
        <v>1.009</v>
      </c>
      <c r="E7261" s="16">
        <f>IFERROR(__xludf.DUMMYFUNCTION("""COMPUTED_VALUE"""),66.0)</f>
        <v>66</v>
      </c>
      <c r="F7261" s="19" t="str">
        <f>IFERROR(__xludf.DUMMYFUNCTION("""COMPUTED_VALUE"""),"BLACK")</f>
        <v>BLACK</v>
      </c>
      <c r="G7261" s="20" t="str">
        <f>IFERROR(__xludf.DUMMYFUNCTION("""COMPUTED_VALUE"""),"Uncle Sams Cider (5/13/2022)")</f>
        <v>Uncle Sams Cider (5/13/2022)</v>
      </c>
      <c r="H7261" s="19"/>
    </row>
    <row r="7262">
      <c r="A7262" s="9"/>
      <c r="B7262" s="15"/>
      <c r="C7262" s="9">
        <f>IFERROR(__xludf.DUMMYFUNCTION("""COMPUTED_VALUE"""),44720.8977657523)</f>
        <v>44720.89777</v>
      </c>
      <c r="D7262" s="15">
        <f>IFERROR(__xludf.DUMMYFUNCTION("""COMPUTED_VALUE"""),1.008)</f>
        <v>1.008</v>
      </c>
      <c r="E7262" s="16">
        <f>IFERROR(__xludf.DUMMYFUNCTION("""COMPUTED_VALUE"""),66.0)</f>
        <v>66</v>
      </c>
      <c r="F7262" s="19" t="str">
        <f>IFERROR(__xludf.DUMMYFUNCTION("""COMPUTED_VALUE"""),"BLACK")</f>
        <v>BLACK</v>
      </c>
      <c r="G7262" s="20" t="str">
        <f>IFERROR(__xludf.DUMMYFUNCTION("""COMPUTED_VALUE"""),"Uncle Sams Cider (5/13/2022)")</f>
        <v>Uncle Sams Cider (5/13/2022)</v>
      </c>
      <c r="H7262" s="19"/>
    </row>
    <row r="7263">
      <c r="A7263" s="9"/>
      <c r="B7263" s="15"/>
      <c r="C7263" s="9">
        <f>IFERROR(__xludf.DUMMYFUNCTION("""COMPUTED_VALUE"""),44720.8872968055)</f>
        <v>44720.8873</v>
      </c>
      <c r="D7263" s="15">
        <f>IFERROR(__xludf.DUMMYFUNCTION("""COMPUTED_VALUE"""),1.009)</f>
        <v>1.009</v>
      </c>
      <c r="E7263" s="16">
        <f>IFERROR(__xludf.DUMMYFUNCTION("""COMPUTED_VALUE"""),66.0)</f>
        <v>66</v>
      </c>
      <c r="F7263" s="19" t="str">
        <f>IFERROR(__xludf.DUMMYFUNCTION("""COMPUTED_VALUE"""),"BLACK")</f>
        <v>BLACK</v>
      </c>
      <c r="G7263" s="20" t="str">
        <f>IFERROR(__xludf.DUMMYFUNCTION("""COMPUTED_VALUE"""),"Uncle Sams Cider (5/13/2022)")</f>
        <v>Uncle Sams Cider (5/13/2022)</v>
      </c>
      <c r="H7263" s="19"/>
    </row>
    <row r="7264">
      <c r="A7264" s="9"/>
      <c r="B7264" s="15"/>
      <c r="C7264" s="9">
        <f>IFERROR(__xludf.DUMMYFUNCTION("""COMPUTED_VALUE"""),44720.8768747222)</f>
        <v>44720.87687</v>
      </c>
      <c r="D7264" s="15">
        <f>IFERROR(__xludf.DUMMYFUNCTION("""COMPUTED_VALUE"""),1.009)</f>
        <v>1.009</v>
      </c>
      <c r="E7264" s="16">
        <f>IFERROR(__xludf.DUMMYFUNCTION("""COMPUTED_VALUE"""),66.0)</f>
        <v>66</v>
      </c>
      <c r="F7264" s="19" t="str">
        <f>IFERROR(__xludf.DUMMYFUNCTION("""COMPUTED_VALUE"""),"BLACK")</f>
        <v>BLACK</v>
      </c>
      <c r="G7264" s="20" t="str">
        <f>IFERROR(__xludf.DUMMYFUNCTION("""COMPUTED_VALUE"""),"Uncle Sams Cider (5/13/2022)")</f>
        <v>Uncle Sams Cider (5/13/2022)</v>
      </c>
      <c r="H7264" s="19"/>
    </row>
    <row r="7265">
      <c r="A7265" s="9"/>
      <c r="B7265" s="15"/>
      <c r="C7265" s="9">
        <f>IFERROR(__xludf.DUMMYFUNCTION("""COMPUTED_VALUE"""),44720.8664537963)</f>
        <v>44720.86645</v>
      </c>
      <c r="D7265" s="15">
        <f>IFERROR(__xludf.DUMMYFUNCTION("""COMPUTED_VALUE"""),1.009)</f>
        <v>1.009</v>
      </c>
      <c r="E7265" s="16">
        <f>IFERROR(__xludf.DUMMYFUNCTION("""COMPUTED_VALUE"""),66.0)</f>
        <v>66</v>
      </c>
      <c r="F7265" s="19" t="str">
        <f>IFERROR(__xludf.DUMMYFUNCTION("""COMPUTED_VALUE"""),"BLACK")</f>
        <v>BLACK</v>
      </c>
      <c r="G7265" s="20" t="str">
        <f>IFERROR(__xludf.DUMMYFUNCTION("""COMPUTED_VALUE"""),"Uncle Sams Cider (5/13/2022)")</f>
        <v>Uncle Sams Cider (5/13/2022)</v>
      </c>
      <c r="H7265" s="19"/>
    </row>
    <row r="7266">
      <c r="A7266" s="9"/>
      <c r="B7266" s="15"/>
      <c r="C7266" s="9">
        <f>IFERROR(__xludf.DUMMYFUNCTION("""COMPUTED_VALUE"""),44720.8560329513)</f>
        <v>44720.85603</v>
      </c>
      <c r="D7266" s="15">
        <f>IFERROR(__xludf.DUMMYFUNCTION("""COMPUTED_VALUE"""),1.008)</f>
        <v>1.008</v>
      </c>
      <c r="E7266" s="16">
        <f>IFERROR(__xludf.DUMMYFUNCTION("""COMPUTED_VALUE"""),66.0)</f>
        <v>66</v>
      </c>
      <c r="F7266" s="19" t="str">
        <f>IFERROR(__xludf.DUMMYFUNCTION("""COMPUTED_VALUE"""),"BLACK")</f>
        <v>BLACK</v>
      </c>
      <c r="G7266" s="20" t="str">
        <f>IFERROR(__xludf.DUMMYFUNCTION("""COMPUTED_VALUE"""),"Uncle Sams Cider (5/13/2022)")</f>
        <v>Uncle Sams Cider (5/13/2022)</v>
      </c>
      <c r="H7266" s="19"/>
    </row>
    <row r="7267">
      <c r="A7267" s="9"/>
      <c r="B7267" s="15"/>
      <c r="C7267" s="9">
        <f>IFERROR(__xludf.DUMMYFUNCTION("""COMPUTED_VALUE"""),44720.8456121064)</f>
        <v>44720.84561</v>
      </c>
      <c r="D7267" s="15">
        <f>IFERROR(__xludf.DUMMYFUNCTION("""COMPUTED_VALUE"""),1.008)</f>
        <v>1.008</v>
      </c>
      <c r="E7267" s="16">
        <f>IFERROR(__xludf.DUMMYFUNCTION("""COMPUTED_VALUE"""),67.0)</f>
        <v>67</v>
      </c>
      <c r="F7267" s="19" t="str">
        <f>IFERROR(__xludf.DUMMYFUNCTION("""COMPUTED_VALUE"""),"BLACK")</f>
        <v>BLACK</v>
      </c>
      <c r="G7267" s="20" t="str">
        <f>IFERROR(__xludf.DUMMYFUNCTION("""COMPUTED_VALUE"""),"Uncle Sams Cider (5/13/2022)")</f>
        <v>Uncle Sams Cider (5/13/2022)</v>
      </c>
      <c r="H7267" s="19"/>
    </row>
    <row r="7268">
      <c r="A7268" s="9"/>
      <c r="B7268" s="15"/>
      <c r="C7268" s="9">
        <f>IFERROR(__xludf.DUMMYFUNCTION("""COMPUTED_VALUE"""),44720.8351687152)</f>
        <v>44720.83517</v>
      </c>
      <c r="D7268" s="15">
        <f>IFERROR(__xludf.DUMMYFUNCTION("""COMPUTED_VALUE"""),1.008)</f>
        <v>1.008</v>
      </c>
      <c r="E7268" s="16">
        <f>IFERROR(__xludf.DUMMYFUNCTION("""COMPUTED_VALUE"""),67.0)</f>
        <v>67</v>
      </c>
      <c r="F7268" s="19" t="str">
        <f>IFERROR(__xludf.DUMMYFUNCTION("""COMPUTED_VALUE"""),"BLACK")</f>
        <v>BLACK</v>
      </c>
      <c r="G7268" s="20" t="str">
        <f>IFERROR(__xludf.DUMMYFUNCTION("""COMPUTED_VALUE"""),"Uncle Sams Cider (5/13/2022)")</f>
        <v>Uncle Sams Cider (5/13/2022)</v>
      </c>
      <c r="H7268" s="19"/>
    </row>
    <row r="7269">
      <c r="A7269" s="9"/>
      <c r="B7269" s="15"/>
      <c r="C7269" s="9">
        <f>IFERROR(__xludf.DUMMYFUNCTION("""COMPUTED_VALUE"""),44720.8247487963)</f>
        <v>44720.82475</v>
      </c>
      <c r="D7269" s="15">
        <f>IFERROR(__xludf.DUMMYFUNCTION("""COMPUTED_VALUE"""),1.008)</f>
        <v>1.008</v>
      </c>
      <c r="E7269" s="16">
        <f>IFERROR(__xludf.DUMMYFUNCTION("""COMPUTED_VALUE"""),68.0)</f>
        <v>68</v>
      </c>
      <c r="F7269" s="19" t="str">
        <f>IFERROR(__xludf.DUMMYFUNCTION("""COMPUTED_VALUE"""),"BLACK")</f>
        <v>BLACK</v>
      </c>
      <c r="G7269" s="20" t="str">
        <f>IFERROR(__xludf.DUMMYFUNCTION("""COMPUTED_VALUE"""),"Uncle Sams Cider (5/13/2022)")</f>
        <v>Uncle Sams Cider (5/13/2022)</v>
      </c>
      <c r="H7269" s="19"/>
    </row>
    <row r="7270">
      <c r="A7270" s="9"/>
      <c r="B7270" s="15"/>
      <c r="C7270" s="9">
        <f>IFERROR(__xludf.DUMMYFUNCTION("""COMPUTED_VALUE"""),44720.8143280671)</f>
        <v>44720.81433</v>
      </c>
      <c r="D7270" s="15">
        <f>IFERROR(__xludf.DUMMYFUNCTION("""COMPUTED_VALUE"""),1.008)</f>
        <v>1.008</v>
      </c>
      <c r="E7270" s="16">
        <f>IFERROR(__xludf.DUMMYFUNCTION("""COMPUTED_VALUE"""),68.0)</f>
        <v>68</v>
      </c>
      <c r="F7270" s="19" t="str">
        <f>IFERROR(__xludf.DUMMYFUNCTION("""COMPUTED_VALUE"""),"BLACK")</f>
        <v>BLACK</v>
      </c>
      <c r="G7270" s="20" t="str">
        <f>IFERROR(__xludf.DUMMYFUNCTION("""COMPUTED_VALUE"""),"Uncle Sams Cider (5/13/2022)")</f>
        <v>Uncle Sams Cider (5/13/2022)</v>
      </c>
      <c r="H7270" s="19"/>
    </row>
    <row r="7271">
      <c r="A7271" s="9"/>
      <c r="B7271" s="15"/>
      <c r="C7271" s="9">
        <f>IFERROR(__xludf.DUMMYFUNCTION("""COMPUTED_VALUE"""),44720.8038942824)</f>
        <v>44720.80389</v>
      </c>
      <c r="D7271" s="15">
        <f>IFERROR(__xludf.DUMMYFUNCTION("""COMPUTED_VALUE"""),1.008)</f>
        <v>1.008</v>
      </c>
      <c r="E7271" s="16">
        <f>IFERROR(__xludf.DUMMYFUNCTION("""COMPUTED_VALUE"""),69.0)</f>
        <v>69</v>
      </c>
      <c r="F7271" s="19" t="str">
        <f>IFERROR(__xludf.DUMMYFUNCTION("""COMPUTED_VALUE"""),"BLACK")</f>
        <v>BLACK</v>
      </c>
      <c r="G7271" s="20" t="str">
        <f>IFERROR(__xludf.DUMMYFUNCTION("""COMPUTED_VALUE"""),"Uncle Sams Cider (5/13/2022)")</f>
        <v>Uncle Sams Cider (5/13/2022)</v>
      </c>
      <c r="H7271" s="19"/>
    </row>
    <row r="7272">
      <c r="A7272" s="9"/>
      <c r="B7272" s="15"/>
      <c r="C7272" s="9">
        <f>IFERROR(__xludf.DUMMYFUNCTION("""COMPUTED_VALUE"""),44720.7934738773)</f>
        <v>44720.79347</v>
      </c>
      <c r="D7272" s="15">
        <f>IFERROR(__xludf.DUMMYFUNCTION("""COMPUTED_VALUE"""),1.008)</f>
        <v>1.008</v>
      </c>
      <c r="E7272" s="16">
        <f>IFERROR(__xludf.DUMMYFUNCTION("""COMPUTED_VALUE"""),70.0)</f>
        <v>70</v>
      </c>
      <c r="F7272" s="19" t="str">
        <f>IFERROR(__xludf.DUMMYFUNCTION("""COMPUTED_VALUE"""),"BLACK")</f>
        <v>BLACK</v>
      </c>
      <c r="G7272" s="20" t="str">
        <f>IFERROR(__xludf.DUMMYFUNCTION("""COMPUTED_VALUE"""),"Uncle Sams Cider (5/13/2022)")</f>
        <v>Uncle Sams Cider (5/13/2022)</v>
      </c>
      <c r="H7272" s="19"/>
    </row>
    <row r="7273">
      <c r="A7273" s="9"/>
      <c r="B7273" s="15"/>
      <c r="C7273" s="9">
        <f>IFERROR(__xludf.DUMMYFUNCTION("""COMPUTED_VALUE"""),44720.7830526967)</f>
        <v>44720.78305</v>
      </c>
      <c r="D7273" s="15">
        <f>IFERROR(__xludf.DUMMYFUNCTION("""COMPUTED_VALUE"""),1.008)</f>
        <v>1.008</v>
      </c>
      <c r="E7273" s="16">
        <f>IFERROR(__xludf.DUMMYFUNCTION("""COMPUTED_VALUE"""),70.0)</f>
        <v>70</v>
      </c>
      <c r="F7273" s="19" t="str">
        <f>IFERROR(__xludf.DUMMYFUNCTION("""COMPUTED_VALUE"""),"BLACK")</f>
        <v>BLACK</v>
      </c>
      <c r="G7273" s="20" t="str">
        <f>IFERROR(__xludf.DUMMYFUNCTION("""COMPUTED_VALUE"""),"Uncle Sams Cider (5/13/2022)")</f>
        <v>Uncle Sams Cider (5/13/2022)</v>
      </c>
      <c r="H7273" s="19"/>
    </row>
    <row r="7274">
      <c r="A7274" s="9"/>
      <c r="B7274" s="15"/>
      <c r="C7274" s="9">
        <f>IFERROR(__xludf.DUMMYFUNCTION("""COMPUTED_VALUE"""),44720.7726329166)</f>
        <v>44720.77263</v>
      </c>
      <c r="D7274" s="15">
        <f>IFERROR(__xludf.DUMMYFUNCTION("""COMPUTED_VALUE"""),1.009)</f>
        <v>1.009</v>
      </c>
      <c r="E7274" s="16">
        <f>IFERROR(__xludf.DUMMYFUNCTION("""COMPUTED_VALUE"""),70.0)</f>
        <v>70</v>
      </c>
      <c r="F7274" s="19" t="str">
        <f>IFERROR(__xludf.DUMMYFUNCTION("""COMPUTED_VALUE"""),"BLACK")</f>
        <v>BLACK</v>
      </c>
      <c r="G7274" s="20" t="str">
        <f>IFERROR(__xludf.DUMMYFUNCTION("""COMPUTED_VALUE"""),"Uncle Sams Cider (5/13/2022)")</f>
        <v>Uncle Sams Cider (5/13/2022)</v>
      </c>
      <c r="H7274" s="19"/>
    </row>
    <row r="7275">
      <c r="A7275" s="9"/>
      <c r="B7275" s="15"/>
      <c r="C7275" s="9">
        <f>IFERROR(__xludf.DUMMYFUNCTION("""COMPUTED_VALUE"""),44720.7622003009)</f>
        <v>44720.7622</v>
      </c>
      <c r="D7275" s="15">
        <f>IFERROR(__xludf.DUMMYFUNCTION("""COMPUTED_VALUE"""),1.009)</f>
        <v>1.009</v>
      </c>
      <c r="E7275" s="16">
        <f>IFERROR(__xludf.DUMMYFUNCTION("""COMPUTED_VALUE"""),70.0)</f>
        <v>70</v>
      </c>
      <c r="F7275" s="19" t="str">
        <f>IFERROR(__xludf.DUMMYFUNCTION("""COMPUTED_VALUE"""),"BLACK")</f>
        <v>BLACK</v>
      </c>
      <c r="G7275" s="20" t="str">
        <f>IFERROR(__xludf.DUMMYFUNCTION("""COMPUTED_VALUE"""),"Uncle Sams Cider (5/13/2022)")</f>
        <v>Uncle Sams Cider (5/13/2022)</v>
      </c>
      <c r="H7275" s="19"/>
    </row>
    <row r="7276">
      <c r="A7276" s="9"/>
      <c r="B7276" s="15"/>
      <c r="C7276" s="9">
        <f>IFERROR(__xludf.DUMMYFUNCTION("""COMPUTED_VALUE"""),44720.7517788426)</f>
        <v>44720.75178</v>
      </c>
      <c r="D7276" s="15">
        <f>IFERROR(__xludf.DUMMYFUNCTION("""COMPUTED_VALUE"""),1.009)</f>
        <v>1.009</v>
      </c>
      <c r="E7276" s="16">
        <f>IFERROR(__xludf.DUMMYFUNCTION("""COMPUTED_VALUE"""),70.0)</f>
        <v>70</v>
      </c>
      <c r="F7276" s="19" t="str">
        <f>IFERROR(__xludf.DUMMYFUNCTION("""COMPUTED_VALUE"""),"BLACK")</f>
        <v>BLACK</v>
      </c>
      <c r="G7276" s="20" t="str">
        <f>IFERROR(__xludf.DUMMYFUNCTION("""COMPUTED_VALUE"""),"Uncle Sams Cider (5/13/2022)")</f>
        <v>Uncle Sams Cider (5/13/2022)</v>
      </c>
      <c r="H7276" s="19"/>
    </row>
    <row r="7277">
      <c r="A7277" s="9"/>
      <c r="B7277" s="15"/>
      <c r="C7277" s="9">
        <f>IFERROR(__xludf.DUMMYFUNCTION("""COMPUTED_VALUE"""),44720.7413587384)</f>
        <v>44720.74136</v>
      </c>
      <c r="D7277" s="15">
        <f>IFERROR(__xludf.DUMMYFUNCTION("""COMPUTED_VALUE"""),1.009)</f>
        <v>1.009</v>
      </c>
      <c r="E7277" s="16">
        <f>IFERROR(__xludf.DUMMYFUNCTION("""COMPUTED_VALUE"""),70.0)</f>
        <v>70</v>
      </c>
      <c r="F7277" s="19" t="str">
        <f>IFERROR(__xludf.DUMMYFUNCTION("""COMPUTED_VALUE"""),"BLACK")</f>
        <v>BLACK</v>
      </c>
      <c r="G7277" s="20" t="str">
        <f>IFERROR(__xludf.DUMMYFUNCTION("""COMPUTED_VALUE"""),"Uncle Sams Cider (5/13/2022)")</f>
        <v>Uncle Sams Cider (5/13/2022)</v>
      </c>
      <c r="H7277" s="19"/>
    </row>
    <row r="7278">
      <c r="A7278" s="9"/>
      <c r="B7278" s="15"/>
      <c r="C7278" s="9">
        <f>IFERROR(__xludf.DUMMYFUNCTION("""COMPUTED_VALUE"""),44720.7309385301)</f>
        <v>44720.73094</v>
      </c>
      <c r="D7278" s="15">
        <f>IFERROR(__xludf.DUMMYFUNCTION("""COMPUTED_VALUE"""),1.009)</f>
        <v>1.009</v>
      </c>
      <c r="E7278" s="16">
        <f>IFERROR(__xludf.DUMMYFUNCTION("""COMPUTED_VALUE"""),70.0)</f>
        <v>70</v>
      </c>
      <c r="F7278" s="19" t="str">
        <f>IFERROR(__xludf.DUMMYFUNCTION("""COMPUTED_VALUE"""),"BLACK")</f>
        <v>BLACK</v>
      </c>
      <c r="G7278" s="20" t="str">
        <f>IFERROR(__xludf.DUMMYFUNCTION("""COMPUTED_VALUE"""),"Uncle Sams Cider (5/13/2022)")</f>
        <v>Uncle Sams Cider (5/13/2022)</v>
      </c>
      <c r="H7278" s="19"/>
    </row>
    <row r="7279">
      <c r="A7279" s="9"/>
      <c r="B7279" s="15"/>
      <c r="C7279" s="9">
        <f>IFERROR(__xludf.DUMMYFUNCTION("""COMPUTED_VALUE"""),44720.7205186574)</f>
        <v>44720.72052</v>
      </c>
      <c r="D7279" s="15">
        <f>IFERROR(__xludf.DUMMYFUNCTION("""COMPUTED_VALUE"""),1.009)</f>
        <v>1.009</v>
      </c>
      <c r="E7279" s="16">
        <f>IFERROR(__xludf.DUMMYFUNCTION("""COMPUTED_VALUE"""),70.0)</f>
        <v>70</v>
      </c>
      <c r="F7279" s="19" t="str">
        <f>IFERROR(__xludf.DUMMYFUNCTION("""COMPUTED_VALUE"""),"BLACK")</f>
        <v>BLACK</v>
      </c>
      <c r="G7279" s="20" t="str">
        <f>IFERROR(__xludf.DUMMYFUNCTION("""COMPUTED_VALUE"""),"Uncle Sams Cider (5/13/2022)")</f>
        <v>Uncle Sams Cider (5/13/2022)</v>
      </c>
      <c r="H7279" s="19"/>
    </row>
    <row r="7280">
      <c r="A7280" s="9"/>
      <c r="B7280" s="15"/>
      <c r="C7280" s="9">
        <f>IFERROR(__xludf.DUMMYFUNCTION("""COMPUTED_VALUE"""),44720.7100850115)</f>
        <v>44720.71009</v>
      </c>
      <c r="D7280" s="15">
        <f>IFERROR(__xludf.DUMMYFUNCTION("""COMPUTED_VALUE"""),1.009)</f>
        <v>1.009</v>
      </c>
      <c r="E7280" s="16">
        <f>IFERROR(__xludf.DUMMYFUNCTION("""COMPUTED_VALUE"""),70.0)</f>
        <v>70</v>
      </c>
      <c r="F7280" s="19" t="str">
        <f>IFERROR(__xludf.DUMMYFUNCTION("""COMPUTED_VALUE"""),"BLACK")</f>
        <v>BLACK</v>
      </c>
      <c r="G7280" s="20" t="str">
        <f>IFERROR(__xludf.DUMMYFUNCTION("""COMPUTED_VALUE"""),"Uncle Sams Cider (5/13/2022)")</f>
        <v>Uncle Sams Cider (5/13/2022)</v>
      </c>
      <c r="H7280" s="19"/>
    </row>
    <row r="7281">
      <c r="A7281" s="9"/>
      <c r="B7281" s="15"/>
      <c r="C7281" s="9">
        <f>IFERROR(__xludf.DUMMYFUNCTION("""COMPUTED_VALUE"""),44720.6996637037)</f>
        <v>44720.69966</v>
      </c>
      <c r="D7281" s="15">
        <f>IFERROR(__xludf.DUMMYFUNCTION("""COMPUTED_VALUE"""),1.008)</f>
        <v>1.008</v>
      </c>
      <c r="E7281" s="16">
        <f>IFERROR(__xludf.DUMMYFUNCTION("""COMPUTED_VALUE"""),70.0)</f>
        <v>70</v>
      </c>
      <c r="F7281" s="19" t="str">
        <f>IFERROR(__xludf.DUMMYFUNCTION("""COMPUTED_VALUE"""),"BLACK")</f>
        <v>BLACK</v>
      </c>
      <c r="G7281" s="20" t="str">
        <f>IFERROR(__xludf.DUMMYFUNCTION("""COMPUTED_VALUE"""),"Uncle Sams Cider (5/13/2022)")</f>
        <v>Uncle Sams Cider (5/13/2022)</v>
      </c>
      <c r="H7281" s="19"/>
    </row>
    <row r="7282">
      <c r="A7282" s="9"/>
      <c r="B7282" s="15"/>
      <c r="C7282" s="9">
        <f>IFERROR(__xludf.DUMMYFUNCTION("""COMPUTED_VALUE"""),44720.6892404513)</f>
        <v>44720.68924</v>
      </c>
      <c r="D7282" s="15">
        <f>IFERROR(__xludf.DUMMYFUNCTION("""COMPUTED_VALUE"""),1.009)</f>
        <v>1.009</v>
      </c>
      <c r="E7282" s="16">
        <f>IFERROR(__xludf.DUMMYFUNCTION("""COMPUTED_VALUE"""),70.0)</f>
        <v>70</v>
      </c>
      <c r="F7282" s="19" t="str">
        <f>IFERROR(__xludf.DUMMYFUNCTION("""COMPUTED_VALUE"""),"BLACK")</f>
        <v>BLACK</v>
      </c>
      <c r="G7282" s="20" t="str">
        <f>IFERROR(__xludf.DUMMYFUNCTION("""COMPUTED_VALUE"""),"Uncle Sams Cider (5/13/2022)")</f>
        <v>Uncle Sams Cider (5/13/2022)</v>
      </c>
      <c r="H7282" s="19"/>
    </row>
    <row r="7283">
      <c r="A7283" s="9"/>
      <c r="B7283" s="15"/>
      <c r="C7283" s="9">
        <f>IFERROR(__xludf.DUMMYFUNCTION("""COMPUTED_VALUE"""),44720.6788062037)</f>
        <v>44720.67881</v>
      </c>
      <c r="D7283" s="15">
        <f>IFERROR(__xludf.DUMMYFUNCTION("""COMPUTED_VALUE"""),1.009)</f>
        <v>1.009</v>
      </c>
      <c r="E7283" s="16">
        <f>IFERROR(__xludf.DUMMYFUNCTION("""COMPUTED_VALUE"""),70.0)</f>
        <v>70</v>
      </c>
      <c r="F7283" s="19" t="str">
        <f>IFERROR(__xludf.DUMMYFUNCTION("""COMPUTED_VALUE"""),"BLACK")</f>
        <v>BLACK</v>
      </c>
      <c r="G7283" s="20" t="str">
        <f>IFERROR(__xludf.DUMMYFUNCTION("""COMPUTED_VALUE"""),"Uncle Sams Cider (5/13/2022)")</f>
        <v>Uncle Sams Cider (5/13/2022)</v>
      </c>
      <c r="H7283" s="19"/>
    </row>
    <row r="7284">
      <c r="A7284" s="9"/>
      <c r="B7284" s="15"/>
      <c r="C7284" s="9">
        <f>IFERROR(__xludf.DUMMYFUNCTION("""COMPUTED_VALUE"""),44720.6683844328)</f>
        <v>44720.66838</v>
      </c>
      <c r="D7284" s="15">
        <f>IFERROR(__xludf.DUMMYFUNCTION("""COMPUTED_VALUE"""),1.009)</f>
        <v>1.009</v>
      </c>
      <c r="E7284" s="16">
        <f>IFERROR(__xludf.DUMMYFUNCTION("""COMPUTED_VALUE"""),70.0)</f>
        <v>70</v>
      </c>
      <c r="F7284" s="19" t="str">
        <f>IFERROR(__xludf.DUMMYFUNCTION("""COMPUTED_VALUE"""),"BLACK")</f>
        <v>BLACK</v>
      </c>
      <c r="G7284" s="20" t="str">
        <f>IFERROR(__xludf.DUMMYFUNCTION("""COMPUTED_VALUE"""),"Uncle Sams Cider (5/13/2022)")</f>
        <v>Uncle Sams Cider (5/13/2022)</v>
      </c>
      <c r="H7284" s="19"/>
    </row>
    <row r="7285">
      <c r="A7285" s="9"/>
      <c r="B7285" s="15"/>
      <c r="C7285" s="9">
        <f>IFERROR(__xludf.DUMMYFUNCTION("""COMPUTED_VALUE"""),44720.6579630208)</f>
        <v>44720.65796</v>
      </c>
      <c r="D7285" s="15">
        <f>IFERROR(__xludf.DUMMYFUNCTION("""COMPUTED_VALUE"""),1.009)</f>
        <v>1.009</v>
      </c>
      <c r="E7285" s="16">
        <f>IFERROR(__xludf.DUMMYFUNCTION("""COMPUTED_VALUE"""),70.0)</f>
        <v>70</v>
      </c>
      <c r="F7285" s="19" t="str">
        <f>IFERROR(__xludf.DUMMYFUNCTION("""COMPUTED_VALUE"""),"BLACK")</f>
        <v>BLACK</v>
      </c>
      <c r="G7285" s="20" t="str">
        <f>IFERROR(__xludf.DUMMYFUNCTION("""COMPUTED_VALUE"""),"Uncle Sams Cider (5/13/2022)")</f>
        <v>Uncle Sams Cider (5/13/2022)</v>
      </c>
      <c r="H7285" s="19"/>
    </row>
    <row r="7286">
      <c r="A7286" s="9"/>
      <c r="B7286" s="15"/>
      <c r="C7286" s="9">
        <f>IFERROR(__xludf.DUMMYFUNCTION("""COMPUTED_VALUE"""),44720.6475066435)</f>
        <v>44720.64751</v>
      </c>
      <c r="D7286" s="15">
        <f>IFERROR(__xludf.DUMMYFUNCTION("""COMPUTED_VALUE"""),1.008)</f>
        <v>1.008</v>
      </c>
      <c r="E7286" s="16">
        <f>IFERROR(__xludf.DUMMYFUNCTION("""COMPUTED_VALUE"""),70.0)</f>
        <v>70</v>
      </c>
      <c r="F7286" s="19" t="str">
        <f>IFERROR(__xludf.DUMMYFUNCTION("""COMPUTED_VALUE"""),"BLACK")</f>
        <v>BLACK</v>
      </c>
      <c r="G7286" s="20" t="str">
        <f>IFERROR(__xludf.DUMMYFUNCTION("""COMPUTED_VALUE"""),"Uncle Sams Cider (5/13/2022)")</f>
        <v>Uncle Sams Cider (5/13/2022)</v>
      </c>
      <c r="H7286" s="19"/>
    </row>
    <row r="7287">
      <c r="A7287" s="9"/>
      <c r="B7287" s="15"/>
      <c r="C7287" s="9">
        <f>IFERROR(__xludf.DUMMYFUNCTION("""COMPUTED_VALUE"""),44720.6370862037)</f>
        <v>44720.63709</v>
      </c>
      <c r="D7287" s="15">
        <f>IFERROR(__xludf.DUMMYFUNCTION("""COMPUTED_VALUE"""),1.009)</f>
        <v>1.009</v>
      </c>
      <c r="E7287" s="16">
        <f>IFERROR(__xludf.DUMMYFUNCTION("""COMPUTED_VALUE"""),70.0)</f>
        <v>70</v>
      </c>
      <c r="F7287" s="19" t="str">
        <f>IFERROR(__xludf.DUMMYFUNCTION("""COMPUTED_VALUE"""),"BLACK")</f>
        <v>BLACK</v>
      </c>
      <c r="G7287" s="20" t="str">
        <f>IFERROR(__xludf.DUMMYFUNCTION("""COMPUTED_VALUE"""),"Uncle Sams Cider (5/13/2022)")</f>
        <v>Uncle Sams Cider (5/13/2022)</v>
      </c>
      <c r="H7287" s="19"/>
    </row>
    <row r="7288">
      <c r="A7288" s="9"/>
      <c r="B7288" s="15"/>
      <c r="C7288" s="9">
        <f>IFERROR(__xludf.DUMMYFUNCTION("""COMPUTED_VALUE"""),44720.6266315277)</f>
        <v>44720.62663</v>
      </c>
      <c r="D7288" s="15">
        <f>IFERROR(__xludf.DUMMYFUNCTION("""COMPUTED_VALUE"""),1.009)</f>
        <v>1.009</v>
      </c>
      <c r="E7288" s="16">
        <f>IFERROR(__xludf.DUMMYFUNCTION("""COMPUTED_VALUE"""),70.0)</f>
        <v>70</v>
      </c>
      <c r="F7288" s="19" t="str">
        <f>IFERROR(__xludf.DUMMYFUNCTION("""COMPUTED_VALUE"""),"BLACK")</f>
        <v>BLACK</v>
      </c>
      <c r="G7288" s="20" t="str">
        <f>IFERROR(__xludf.DUMMYFUNCTION("""COMPUTED_VALUE"""),"Uncle Sams Cider (5/13/2022)")</f>
        <v>Uncle Sams Cider (5/13/2022)</v>
      </c>
      <c r="H7288" s="19"/>
    </row>
    <row r="7289">
      <c r="A7289" s="9"/>
      <c r="B7289" s="15"/>
      <c r="C7289" s="9">
        <f>IFERROR(__xludf.DUMMYFUNCTION("""COMPUTED_VALUE"""),44720.6162104976)</f>
        <v>44720.61621</v>
      </c>
      <c r="D7289" s="15">
        <f>IFERROR(__xludf.DUMMYFUNCTION("""COMPUTED_VALUE"""),1.009)</f>
        <v>1.009</v>
      </c>
      <c r="E7289" s="16">
        <f>IFERROR(__xludf.DUMMYFUNCTION("""COMPUTED_VALUE"""),70.0)</f>
        <v>70</v>
      </c>
      <c r="F7289" s="19" t="str">
        <f>IFERROR(__xludf.DUMMYFUNCTION("""COMPUTED_VALUE"""),"BLACK")</f>
        <v>BLACK</v>
      </c>
      <c r="G7289" s="20" t="str">
        <f>IFERROR(__xludf.DUMMYFUNCTION("""COMPUTED_VALUE"""),"Uncle Sams Cider (5/13/2022)")</f>
        <v>Uncle Sams Cider (5/13/2022)</v>
      </c>
      <c r="H7289" s="19"/>
    </row>
    <row r="7290">
      <c r="A7290" s="9"/>
      <c r="B7290" s="15"/>
      <c r="C7290" s="9">
        <f>IFERROR(__xludf.DUMMYFUNCTION("""COMPUTED_VALUE"""),44720.6057898148)</f>
        <v>44720.60579</v>
      </c>
      <c r="D7290" s="15">
        <f>IFERROR(__xludf.DUMMYFUNCTION("""COMPUTED_VALUE"""),1.009)</f>
        <v>1.009</v>
      </c>
      <c r="E7290" s="16">
        <f>IFERROR(__xludf.DUMMYFUNCTION("""COMPUTED_VALUE"""),70.0)</f>
        <v>70</v>
      </c>
      <c r="F7290" s="19" t="str">
        <f>IFERROR(__xludf.DUMMYFUNCTION("""COMPUTED_VALUE"""),"BLACK")</f>
        <v>BLACK</v>
      </c>
      <c r="G7290" s="20" t="str">
        <f>IFERROR(__xludf.DUMMYFUNCTION("""COMPUTED_VALUE"""),"Uncle Sams Cider (5/13/2022)")</f>
        <v>Uncle Sams Cider (5/13/2022)</v>
      </c>
      <c r="H7290" s="19"/>
    </row>
    <row r="7291">
      <c r="A7291" s="9"/>
      <c r="B7291" s="15"/>
      <c r="C7291" s="9">
        <f>IFERROR(__xludf.DUMMYFUNCTION("""COMPUTED_VALUE"""),44720.5953568055)</f>
        <v>44720.59536</v>
      </c>
      <c r="D7291" s="15">
        <f>IFERROR(__xludf.DUMMYFUNCTION("""COMPUTED_VALUE"""),1.008)</f>
        <v>1.008</v>
      </c>
      <c r="E7291" s="16">
        <f>IFERROR(__xludf.DUMMYFUNCTION("""COMPUTED_VALUE"""),70.0)</f>
        <v>70</v>
      </c>
      <c r="F7291" s="19" t="str">
        <f>IFERROR(__xludf.DUMMYFUNCTION("""COMPUTED_VALUE"""),"BLACK")</f>
        <v>BLACK</v>
      </c>
      <c r="G7291" s="20" t="str">
        <f>IFERROR(__xludf.DUMMYFUNCTION("""COMPUTED_VALUE"""),"Uncle Sams Cider (5/13/2022)")</f>
        <v>Uncle Sams Cider (5/13/2022)</v>
      </c>
      <c r="H7291" s="19"/>
    </row>
    <row r="7292">
      <c r="A7292" s="9"/>
      <c r="B7292" s="15"/>
      <c r="C7292" s="9">
        <f>IFERROR(__xludf.DUMMYFUNCTION("""COMPUTED_VALUE"""),44720.5849344675)</f>
        <v>44720.58493</v>
      </c>
      <c r="D7292" s="15">
        <f>IFERROR(__xludf.DUMMYFUNCTION("""COMPUTED_VALUE"""),1.008)</f>
        <v>1.008</v>
      </c>
      <c r="E7292" s="16">
        <f>IFERROR(__xludf.DUMMYFUNCTION("""COMPUTED_VALUE"""),70.0)</f>
        <v>70</v>
      </c>
      <c r="F7292" s="19" t="str">
        <f>IFERROR(__xludf.DUMMYFUNCTION("""COMPUTED_VALUE"""),"BLACK")</f>
        <v>BLACK</v>
      </c>
      <c r="G7292" s="20" t="str">
        <f>IFERROR(__xludf.DUMMYFUNCTION("""COMPUTED_VALUE"""),"Uncle Sams Cider (5/13/2022)")</f>
        <v>Uncle Sams Cider (5/13/2022)</v>
      </c>
      <c r="H7292" s="19"/>
    </row>
    <row r="7293">
      <c r="A7293" s="9"/>
      <c r="B7293" s="15"/>
      <c r="C7293" s="9">
        <f>IFERROR(__xludf.DUMMYFUNCTION("""COMPUTED_VALUE"""),44720.5745015972)</f>
        <v>44720.5745</v>
      </c>
      <c r="D7293" s="15">
        <f>IFERROR(__xludf.DUMMYFUNCTION("""COMPUTED_VALUE"""),1.009)</f>
        <v>1.009</v>
      </c>
      <c r="E7293" s="16">
        <f>IFERROR(__xludf.DUMMYFUNCTION("""COMPUTED_VALUE"""),70.0)</f>
        <v>70</v>
      </c>
      <c r="F7293" s="19" t="str">
        <f>IFERROR(__xludf.DUMMYFUNCTION("""COMPUTED_VALUE"""),"BLACK")</f>
        <v>BLACK</v>
      </c>
      <c r="G7293" s="20" t="str">
        <f>IFERROR(__xludf.DUMMYFUNCTION("""COMPUTED_VALUE"""),"Uncle Sams Cider (5/13/2022)")</f>
        <v>Uncle Sams Cider (5/13/2022)</v>
      </c>
      <c r="H7293" s="19"/>
    </row>
    <row r="7294">
      <c r="A7294" s="9"/>
      <c r="B7294" s="15"/>
      <c r="C7294" s="9">
        <f>IFERROR(__xludf.DUMMYFUNCTION("""COMPUTED_VALUE"""),44720.5640588078)</f>
        <v>44720.56406</v>
      </c>
      <c r="D7294" s="15">
        <f>IFERROR(__xludf.DUMMYFUNCTION("""COMPUTED_VALUE"""),1.009)</f>
        <v>1.009</v>
      </c>
      <c r="E7294" s="16">
        <f>IFERROR(__xludf.DUMMYFUNCTION("""COMPUTED_VALUE"""),70.0)</f>
        <v>70</v>
      </c>
      <c r="F7294" s="19" t="str">
        <f>IFERROR(__xludf.DUMMYFUNCTION("""COMPUTED_VALUE"""),"BLACK")</f>
        <v>BLACK</v>
      </c>
      <c r="G7294" s="20" t="str">
        <f>IFERROR(__xludf.DUMMYFUNCTION("""COMPUTED_VALUE"""),"Uncle Sams Cider (5/13/2022)")</f>
        <v>Uncle Sams Cider (5/13/2022)</v>
      </c>
      <c r="H7294" s="19"/>
    </row>
    <row r="7295">
      <c r="A7295" s="9"/>
      <c r="B7295" s="15"/>
      <c r="C7295" s="9">
        <f>IFERROR(__xludf.DUMMYFUNCTION("""COMPUTED_VALUE"""),44720.5536372338)</f>
        <v>44720.55364</v>
      </c>
      <c r="D7295" s="15">
        <f>IFERROR(__xludf.DUMMYFUNCTION("""COMPUTED_VALUE"""),1.009)</f>
        <v>1.009</v>
      </c>
      <c r="E7295" s="16">
        <f>IFERROR(__xludf.DUMMYFUNCTION("""COMPUTED_VALUE"""),70.0)</f>
        <v>70</v>
      </c>
      <c r="F7295" s="19" t="str">
        <f>IFERROR(__xludf.DUMMYFUNCTION("""COMPUTED_VALUE"""),"BLACK")</f>
        <v>BLACK</v>
      </c>
      <c r="G7295" s="20" t="str">
        <f>IFERROR(__xludf.DUMMYFUNCTION("""COMPUTED_VALUE"""),"Uncle Sams Cider (5/13/2022)")</f>
        <v>Uncle Sams Cider (5/13/2022)</v>
      </c>
      <c r="H7295" s="19"/>
    </row>
    <row r="7296">
      <c r="A7296" s="9"/>
      <c r="B7296" s="15"/>
      <c r="C7296" s="9">
        <f>IFERROR(__xludf.DUMMYFUNCTION("""COMPUTED_VALUE"""),44720.5432033796)</f>
        <v>44720.5432</v>
      </c>
      <c r="D7296" s="15">
        <f>IFERROR(__xludf.DUMMYFUNCTION("""COMPUTED_VALUE"""),1.009)</f>
        <v>1.009</v>
      </c>
      <c r="E7296" s="16">
        <f>IFERROR(__xludf.DUMMYFUNCTION("""COMPUTED_VALUE"""),70.0)</f>
        <v>70</v>
      </c>
      <c r="F7296" s="19" t="str">
        <f>IFERROR(__xludf.DUMMYFUNCTION("""COMPUTED_VALUE"""),"BLACK")</f>
        <v>BLACK</v>
      </c>
      <c r="G7296" s="20" t="str">
        <f>IFERROR(__xludf.DUMMYFUNCTION("""COMPUTED_VALUE"""),"Uncle Sams Cider (5/13/2022)")</f>
        <v>Uncle Sams Cider (5/13/2022)</v>
      </c>
      <c r="H7296" s="19"/>
    </row>
    <row r="7297">
      <c r="A7297" s="9"/>
      <c r="B7297" s="15"/>
      <c r="C7297" s="9">
        <f>IFERROR(__xludf.DUMMYFUNCTION("""COMPUTED_VALUE"""),44720.5327848611)</f>
        <v>44720.53278</v>
      </c>
      <c r="D7297" s="15">
        <f>IFERROR(__xludf.DUMMYFUNCTION("""COMPUTED_VALUE"""),1.009)</f>
        <v>1.009</v>
      </c>
      <c r="E7297" s="16">
        <f>IFERROR(__xludf.DUMMYFUNCTION("""COMPUTED_VALUE"""),70.0)</f>
        <v>70</v>
      </c>
      <c r="F7297" s="19" t="str">
        <f>IFERROR(__xludf.DUMMYFUNCTION("""COMPUTED_VALUE"""),"BLACK")</f>
        <v>BLACK</v>
      </c>
      <c r="G7297" s="20" t="str">
        <f>IFERROR(__xludf.DUMMYFUNCTION("""COMPUTED_VALUE"""),"Uncle Sams Cider (5/13/2022)")</f>
        <v>Uncle Sams Cider (5/13/2022)</v>
      </c>
      <c r="H7297" s="19"/>
    </row>
    <row r="7298">
      <c r="A7298" s="9"/>
      <c r="B7298" s="15"/>
      <c r="C7298" s="9">
        <f>IFERROR(__xludf.DUMMYFUNCTION("""COMPUTED_VALUE"""),44720.5223636574)</f>
        <v>44720.52236</v>
      </c>
      <c r="D7298" s="15">
        <f>IFERROR(__xludf.DUMMYFUNCTION("""COMPUTED_VALUE"""),1.009)</f>
        <v>1.009</v>
      </c>
      <c r="E7298" s="16">
        <f>IFERROR(__xludf.DUMMYFUNCTION("""COMPUTED_VALUE"""),70.0)</f>
        <v>70</v>
      </c>
      <c r="F7298" s="19" t="str">
        <f>IFERROR(__xludf.DUMMYFUNCTION("""COMPUTED_VALUE"""),"BLACK")</f>
        <v>BLACK</v>
      </c>
      <c r="G7298" s="20" t="str">
        <f>IFERROR(__xludf.DUMMYFUNCTION("""COMPUTED_VALUE"""),"Uncle Sams Cider (5/13/2022)")</f>
        <v>Uncle Sams Cider (5/13/2022)</v>
      </c>
      <c r="H7298" s="19"/>
    </row>
    <row r="7299">
      <c r="A7299" s="9"/>
      <c r="B7299" s="15"/>
      <c r="C7299" s="9">
        <f>IFERROR(__xludf.DUMMYFUNCTION("""COMPUTED_VALUE"""),44720.5119416666)</f>
        <v>44720.51194</v>
      </c>
      <c r="D7299" s="15">
        <f>IFERROR(__xludf.DUMMYFUNCTION("""COMPUTED_VALUE"""),1.009)</f>
        <v>1.009</v>
      </c>
      <c r="E7299" s="16">
        <f>IFERROR(__xludf.DUMMYFUNCTION("""COMPUTED_VALUE"""),70.0)</f>
        <v>70</v>
      </c>
      <c r="F7299" s="19" t="str">
        <f>IFERROR(__xludf.DUMMYFUNCTION("""COMPUTED_VALUE"""),"BLACK")</f>
        <v>BLACK</v>
      </c>
      <c r="G7299" s="20" t="str">
        <f>IFERROR(__xludf.DUMMYFUNCTION("""COMPUTED_VALUE"""),"Uncle Sams Cider (5/13/2022)")</f>
        <v>Uncle Sams Cider (5/13/2022)</v>
      </c>
      <c r="H7299" s="19"/>
    </row>
    <row r="7300">
      <c r="A7300" s="9"/>
      <c r="B7300" s="15"/>
      <c r="C7300" s="9">
        <f>IFERROR(__xludf.DUMMYFUNCTION("""COMPUTED_VALUE"""),44720.5015203588)</f>
        <v>44720.50152</v>
      </c>
      <c r="D7300" s="15">
        <f>IFERROR(__xludf.DUMMYFUNCTION("""COMPUTED_VALUE"""),1.009)</f>
        <v>1.009</v>
      </c>
      <c r="E7300" s="16">
        <f>IFERROR(__xludf.DUMMYFUNCTION("""COMPUTED_VALUE"""),70.0)</f>
        <v>70</v>
      </c>
      <c r="F7300" s="19" t="str">
        <f>IFERROR(__xludf.DUMMYFUNCTION("""COMPUTED_VALUE"""),"BLACK")</f>
        <v>BLACK</v>
      </c>
      <c r="G7300" s="20" t="str">
        <f>IFERROR(__xludf.DUMMYFUNCTION("""COMPUTED_VALUE"""),"Uncle Sams Cider (5/13/2022)")</f>
        <v>Uncle Sams Cider (5/13/2022)</v>
      </c>
      <c r="H7300" s="19"/>
    </row>
    <row r="7301">
      <c r="A7301" s="9"/>
      <c r="B7301" s="15"/>
      <c r="C7301" s="9">
        <f>IFERROR(__xludf.DUMMYFUNCTION("""COMPUTED_VALUE"""),44720.4910870023)</f>
        <v>44720.49109</v>
      </c>
      <c r="D7301" s="15">
        <f>IFERROR(__xludf.DUMMYFUNCTION("""COMPUTED_VALUE"""),1.009)</f>
        <v>1.009</v>
      </c>
      <c r="E7301" s="16">
        <f>IFERROR(__xludf.DUMMYFUNCTION("""COMPUTED_VALUE"""),70.0)</f>
        <v>70</v>
      </c>
      <c r="F7301" s="19" t="str">
        <f>IFERROR(__xludf.DUMMYFUNCTION("""COMPUTED_VALUE"""),"BLACK")</f>
        <v>BLACK</v>
      </c>
      <c r="G7301" s="20" t="str">
        <f>IFERROR(__xludf.DUMMYFUNCTION("""COMPUTED_VALUE"""),"Uncle Sams Cider (5/13/2022)")</f>
        <v>Uncle Sams Cider (5/13/2022)</v>
      </c>
      <c r="H7301" s="19"/>
    </row>
    <row r="7302">
      <c r="A7302" s="9"/>
      <c r="B7302" s="15"/>
      <c r="C7302" s="9">
        <f>IFERROR(__xludf.DUMMYFUNCTION("""COMPUTED_VALUE"""),44720.4806651388)</f>
        <v>44720.48067</v>
      </c>
      <c r="D7302" s="15">
        <f>IFERROR(__xludf.DUMMYFUNCTION("""COMPUTED_VALUE"""),1.009)</f>
        <v>1.009</v>
      </c>
      <c r="E7302" s="16">
        <f>IFERROR(__xludf.DUMMYFUNCTION("""COMPUTED_VALUE"""),70.0)</f>
        <v>70</v>
      </c>
      <c r="F7302" s="19" t="str">
        <f>IFERROR(__xludf.DUMMYFUNCTION("""COMPUTED_VALUE"""),"BLACK")</f>
        <v>BLACK</v>
      </c>
      <c r="G7302" s="20" t="str">
        <f>IFERROR(__xludf.DUMMYFUNCTION("""COMPUTED_VALUE"""),"Uncle Sams Cider (5/13/2022)")</f>
        <v>Uncle Sams Cider (5/13/2022)</v>
      </c>
      <c r="H7302" s="19"/>
    </row>
    <row r="7303">
      <c r="A7303" s="9"/>
      <c r="B7303" s="15"/>
      <c r="C7303" s="9">
        <f>IFERROR(__xludf.DUMMYFUNCTION("""COMPUTED_VALUE"""),44720.470220787)</f>
        <v>44720.47022</v>
      </c>
      <c r="D7303" s="15">
        <f>IFERROR(__xludf.DUMMYFUNCTION("""COMPUTED_VALUE"""),1.009)</f>
        <v>1.009</v>
      </c>
      <c r="E7303" s="16">
        <f>IFERROR(__xludf.DUMMYFUNCTION("""COMPUTED_VALUE"""),70.0)</f>
        <v>70</v>
      </c>
      <c r="F7303" s="19" t="str">
        <f>IFERROR(__xludf.DUMMYFUNCTION("""COMPUTED_VALUE"""),"BLACK")</f>
        <v>BLACK</v>
      </c>
      <c r="G7303" s="20" t="str">
        <f>IFERROR(__xludf.DUMMYFUNCTION("""COMPUTED_VALUE"""),"Uncle Sams Cider (5/13/2022)")</f>
        <v>Uncle Sams Cider (5/13/2022)</v>
      </c>
      <c r="H7303" s="19"/>
    </row>
    <row r="7304">
      <c r="A7304" s="9"/>
      <c r="B7304" s="15"/>
      <c r="C7304" s="9">
        <f>IFERROR(__xludf.DUMMYFUNCTION("""COMPUTED_VALUE"""),44720.4597544328)</f>
        <v>44720.45975</v>
      </c>
      <c r="D7304" s="15">
        <f>IFERROR(__xludf.DUMMYFUNCTION("""COMPUTED_VALUE"""),1.009)</f>
        <v>1.009</v>
      </c>
      <c r="E7304" s="16">
        <f>IFERROR(__xludf.DUMMYFUNCTION("""COMPUTED_VALUE"""),70.0)</f>
        <v>70</v>
      </c>
      <c r="F7304" s="19" t="str">
        <f>IFERROR(__xludf.DUMMYFUNCTION("""COMPUTED_VALUE"""),"BLACK")</f>
        <v>BLACK</v>
      </c>
      <c r="G7304" s="20" t="str">
        <f>IFERROR(__xludf.DUMMYFUNCTION("""COMPUTED_VALUE"""),"Uncle Sams Cider (5/13/2022)")</f>
        <v>Uncle Sams Cider (5/13/2022)</v>
      </c>
      <c r="H7304" s="19"/>
    </row>
    <row r="7305">
      <c r="A7305" s="9"/>
      <c r="B7305" s="15"/>
      <c r="C7305" s="9">
        <f>IFERROR(__xludf.DUMMYFUNCTION("""COMPUTED_VALUE"""),44720.4493206713)</f>
        <v>44720.44932</v>
      </c>
      <c r="D7305" s="15">
        <f>IFERROR(__xludf.DUMMYFUNCTION("""COMPUTED_VALUE"""),1.009)</f>
        <v>1.009</v>
      </c>
      <c r="E7305" s="16">
        <f>IFERROR(__xludf.DUMMYFUNCTION("""COMPUTED_VALUE"""),70.0)</f>
        <v>70</v>
      </c>
      <c r="F7305" s="19" t="str">
        <f>IFERROR(__xludf.DUMMYFUNCTION("""COMPUTED_VALUE"""),"BLACK")</f>
        <v>BLACK</v>
      </c>
      <c r="G7305" s="20" t="str">
        <f>IFERROR(__xludf.DUMMYFUNCTION("""COMPUTED_VALUE"""),"Uncle Sams Cider (5/13/2022)")</f>
        <v>Uncle Sams Cider (5/13/2022)</v>
      </c>
      <c r="H7305" s="19"/>
    </row>
    <row r="7306">
      <c r="A7306" s="9"/>
      <c r="B7306" s="15"/>
      <c r="C7306" s="9">
        <f>IFERROR(__xludf.DUMMYFUNCTION("""COMPUTED_VALUE"""),44720.4388998842)</f>
        <v>44720.4389</v>
      </c>
      <c r="D7306" s="15">
        <f>IFERROR(__xludf.DUMMYFUNCTION("""COMPUTED_VALUE"""),1.009)</f>
        <v>1.009</v>
      </c>
      <c r="E7306" s="16">
        <f>IFERROR(__xludf.DUMMYFUNCTION("""COMPUTED_VALUE"""),69.0)</f>
        <v>69</v>
      </c>
      <c r="F7306" s="19" t="str">
        <f>IFERROR(__xludf.DUMMYFUNCTION("""COMPUTED_VALUE"""),"BLACK")</f>
        <v>BLACK</v>
      </c>
      <c r="G7306" s="20" t="str">
        <f>IFERROR(__xludf.DUMMYFUNCTION("""COMPUTED_VALUE"""),"Uncle Sams Cider (5/13/2022)")</f>
        <v>Uncle Sams Cider (5/13/2022)</v>
      </c>
      <c r="H7306" s="19"/>
    </row>
    <row r="7307">
      <c r="A7307" s="9"/>
      <c r="B7307" s="15"/>
      <c r="C7307" s="9">
        <f>IFERROR(__xludf.DUMMYFUNCTION("""COMPUTED_VALUE"""),44720.4284661458)</f>
        <v>44720.42847</v>
      </c>
      <c r="D7307" s="15">
        <f>IFERROR(__xludf.DUMMYFUNCTION("""COMPUTED_VALUE"""),1.009)</f>
        <v>1.009</v>
      </c>
      <c r="E7307" s="16">
        <f>IFERROR(__xludf.DUMMYFUNCTION("""COMPUTED_VALUE"""),70.0)</f>
        <v>70</v>
      </c>
      <c r="F7307" s="19" t="str">
        <f>IFERROR(__xludf.DUMMYFUNCTION("""COMPUTED_VALUE"""),"BLACK")</f>
        <v>BLACK</v>
      </c>
      <c r="G7307" s="20" t="str">
        <f>IFERROR(__xludf.DUMMYFUNCTION("""COMPUTED_VALUE"""),"Uncle Sams Cider (5/13/2022)")</f>
        <v>Uncle Sams Cider (5/13/2022)</v>
      </c>
      <c r="H7307" s="19"/>
    </row>
    <row r="7308">
      <c r="A7308" s="9"/>
      <c r="B7308" s="15"/>
      <c r="C7308" s="9">
        <f>IFERROR(__xludf.DUMMYFUNCTION("""COMPUTED_VALUE"""),44720.418022199)</f>
        <v>44720.41802</v>
      </c>
      <c r="D7308" s="15">
        <f>IFERROR(__xludf.DUMMYFUNCTION("""COMPUTED_VALUE"""),1.009)</f>
        <v>1.009</v>
      </c>
      <c r="E7308" s="16">
        <f>IFERROR(__xludf.DUMMYFUNCTION("""COMPUTED_VALUE"""),70.0)</f>
        <v>70</v>
      </c>
      <c r="F7308" s="19" t="str">
        <f>IFERROR(__xludf.DUMMYFUNCTION("""COMPUTED_VALUE"""),"BLACK")</f>
        <v>BLACK</v>
      </c>
      <c r="G7308" s="20" t="str">
        <f>IFERROR(__xludf.DUMMYFUNCTION("""COMPUTED_VALUE"""),"Uncle Sams Cider (5/13/2022)")</f>
        <v>Uncle Sams Cider (5/13/2022)</v>
      </c>
      <c r="H7308" s="19"/>
    </row>
    <row r="7309">
      <c r="A7309" s="9"/>
      <c r="B7309" s="15"/>
      <c r="C7309" s="9">
        <f>IFERROR(__xludf.DUMMYFUNCTION("""COMPUTED_VALUE"""),44720.4076012037)</f>
        <v>44720.4076</v>
      </c>
      <c r="D7309" s="15">
        <f>IFERROR(__xludf.DUMMYFUNCTION("""COMPUTED_VALUE"""),1.009)</f>
        <v>1.009</v>
      </c>
      <c r="E7309" s="16">
        <f>IFERROR(__xludf.DUMMYFUNCTION("""COMPUTED_VALUE"""),70.0)</f>
        <v>70</v>
      </c>
      <c r="F7309" s="19" t="str">
        <f>IFERROR(__xludf.DUMMYFUNCTION("""COMPUTED_VALUE"""),"BLACK")</f>
        <v>BLACK</v>
      </c>
      <c r="G7309" s="20" t="str">
        <f>IFERROR(__xludf.DUMMYFUNCTION("""COMPUTED_VALUE"""),"Uncle Sams Cider (5/13/2022)")</f>
        <v>Uncle Sams Cider (5/13/2022)</v>
      </c>
      <c r="H7309" s="19"/>
    </row>
    <row r="7310">
      <c r="A7310" s="9"/>
      <c r="B7310" s="15"/>
      <c r="C7310" s="9">
        <f>IFERROR(__xludf.DUMMYFUNCTION("""COMPUTED_VALUE"""),44720.3971782407)</f>
        <v>44720.39718</v>
      </c>
      <c r="D7310" s="15">
        <f>IFERROR(__xludf.DUMMYFUNCTION("""COMPUTED_VALUE"""),1.009)</f>
        <v>1.009</v>
      </c>
      <c r="E7310" s="16">
        <f>IFERROR(__xludf.DUMMYFUNCTION("""COMPUTED_VALUE"""),69.0)</f>
        <v>69</v>
      </c>
      <c r="F7310" s="19" t="str">
        <f>IFERROR(__xludf.DUMMYFUNCTION("""COMPUTED_VALUE"""),"BLACK")</f>
        <v>BLACK</v>
      </c>
      <c r="G7310" s="20" t="str">
        <f>IFERROR(__xludf.DUMMYFUNCTION("""COMPUTED_VALUE"""),"Uncle Sams Cider (5/13/2022)")</f>
        <v>Uncle Sams Cider (5/13/2022)</v>
      </c>
      <c r="H7310" s="19"/>
    </row>
    <row r="7311">
      <c r="A7311" s="9"/>
      <c r="B7311" s="15"/>
      <c r="C7311" s="9">
        <f>IFERROR(__xludf.DUMMYFUNCTION("""COMPUTED_VALUE"""),44720.3867559143)</f>
        <v>44720.38676</v>
      </c>
      <c r="D7311" s="15">
        <f>IFERROR(__xludf.DUMMYFUNCTION("""COMPUTED_VALUE"""),1.009)</f>
        <v>1.009</v>
      </c>
      <c r="E7311" s="16">
        <f>IFERROR(__xludf.DUMMYFUNCTION("""COMPUTED_VALUE"""),70.0)</f>
        <v>70</v>
      </c>
      <c r="F7311" s="19" t="str">
        <f>IFERROR(__xludf.DUMMYFUNCTION("""COMPUTED_VALUE"""),"BLACK")</f>
        <v>BLACK</v>
      </c>
      <c r="G7311" s="20" t="str">
        <f>IFERROR(__xludf.DUMMYFUNCTION("""COMPUTED_VALUE"""),"Uncle Sams Cider (5/13/2022)")</f>
        <v>Uncle Sams Cider (5/13/2022)</v>
      </c>
      <c r="H7311" s="19"/>
    </row>
    <row r="7312">
      <c r="A7312" s="9"/>
      <c r="B7312" s="15"/>
      <c r="C7312" s="9">
        <f>IFERROR(__xludf.DUMMYFUNCTION("""COMPUTED_VALUE"""),44720.3763347106)</f>
        <v>44720.37633</v>
      </c>
      <c r="D7312" s="15">
        <f>IFERROR(__xludf.DUMMYFUNCTION("""COMPUTED_VALUE"""),1.009)</f>
        <v>1.009</v>
      </c>
      <c r="E7312" s="16">
        <f>IFERROR(__xludf.DUMMYFUNCTION("""COMPUTED_VALUE"""),69.0)</f>
        <v>69</v>
      </c>
      <c r="F7312" s="19" t="str">
        <f>IFERROR(__xludf.DUMMYFUNCTION("""COMPUTED_VALUE"""),"BLACK")</f>
        <v>BLACK</v>
      </c>
      <c r="G7312" s="20" t="str">
        <f>IFERROR(__xludf.DUMMYFUNCTION("""COMPUTED_VALUE"""),"Uncle Sams Cider (5/13/2022)")</f>
        <v>Uncle Sams Cider (5/13/2022)</v>
      </c>
      <c r="H7312" s="19"/>
    </row>
    <row r="7313">
      <c r="A7313" s="9"/>
      <c r="B7313" s="15"/>
      <c r="C7313" s="9">
        <f>IFERROR(__xludf.DUMMYFUNCTION("""COMPUTED_VALUE"""),44720.3659139004)</f>
        <v>44720.36591</v>
      </c>
      <c r="D7313" s="15">
        <f>IFERROR(__xludf.DUMMYFUNCTION("""COMPUTED_VALUE"""),1.009)</f>
        <v>1.009</v>
      </c>
      <c r="E7313" s="16">
        <f>IFERROR(__xludf.DUMMYFUNCTION("""COMPUTED_VALUE"""),69.0)</f>
        <v>69</v>
      </c>
      <c r="F7313" s="19" t="str">
        <f>IFERROR(__xludf.DUMMYFUNCTION("""COMPUTED_VALUE"""),"BLACK")</f>
        <v>BLACK</v>
      </c>
      <c r="G7313" s="20" t="str">
        <f>IFERROR(__xludf.DUMMYFUNCTION("""COMPUTED_VALUE"""),"Uncle Sams Cider (5/13/2022)")</f>
        <v>Uncle Sams Cider (5/13/2022)</v>
      </c>
      <c r="H7313" s="19"/>
    </row>
    <row r="7314">
      <c r="A7314" s="9"/>
      <c r="B7314" s="15"/>
      <c r="C7314" s="9">
        <f>IFERROR(__xludf.DUMMYFUNCTION("""COMPUTED_VALUE"""),44720.3554926273)</f>
        <v>44720.35549</v>
      </c>
      <c r="D7314" s="15">
        <f>IFERROR(__xludf.DUMMYFUNCTION("""COMPUTED_VALUE"""),1.009)</f>
        <v>1.009</v>
      </c>
      <c r="E7314" s="16">
        <f>IFERROR(__xludf.DUMMYFUNCTION("""COMPUTED_VALUE"""),69.0)</f>
        <v>69</v>
      </c>
      <c r="F7314" s="19" t="str">
        <f>IFERROR(__xludf.DUMMYFUNCTION("""COMPUTED_VALUE"""),"BLACK")</f>
        <v>BLACK</v>
      </c>
      <c r="G7314" s="20" t="str">
        <f>IFERROR(__xludf.DUMMYFUNCTION("""COMPUTED_VALUE"""),"Uncle Sams Cider (5/13/2022)")</f>
        <v>Uncle Sams Cider (5/13/2022)</v>
      </c>
      <c r="H7314" s="19"/>
    </row>
    <row r="7315">
      <c r="A7315" s="9"/>
      <c r="B7315" s="15"/>
      <c r="C7315" s="9">
        <f>IFERROR(__xludf.DUMMYFUNCTION("""COMPUTED_VALUE"""),44720.3450704629)</f>
        <v>44720.34507</v>
      </c>
      <c r="D7315" s="15">
        <f>IFERROR(__xludf.DUMMYFUNCTION("""COMPUTED_VALUE"""),1.009)</f>
        <v>1.009</v>
      </c>
      <c r="E7315" s="16">
        <f>IFERROR(__xludf.DUMMYFUNCTION("""COMPUTED_VALUE"""),69.0)</f>
        <v>69</v>
      </c>
      <c r="F7315" s="19" t="str">
        <f>IFERROR(__xludf.DUMMYFUNCTION("""COMPUTED_VALUE"""),"BLACK")</f>
        <v>BLACK</v>
      </c>
      <c r="G7315" s="20" t="str">
        <f>IFERROR(__xludf.DUMMYFUNCTION("""COMPUTED_VALUE"""),"Uncle Sams Cider (5/13/2022)")</f>
        <v>Uncle Sams Cider (5/13/2022)</v>
      </c>
      <c r="H7315" s="19"/>
    </row>
    <row r="7316">
      <c r="A7316" s="9"/>
      <c r="B7316" s="15"/>
      <c r="C7316" s="9">
        <f>IFERROR(__xludf.DUMMYFUNCTION("""COMPUTED_VALUE"""),44720.334651412)</f>
        <v>44720.33465</v>
      </c>
      <c r="D7316" s="15">
        <f>IFERROR(__xludf.DUMMYFUNCTION("""COMPUTED_VALUE"""),1.009)</f>
        <v>1.009</v>
      </c>
      <c r="E7316" s="16">
        <f>IFERROR(__xludf.DUMMYFUNCTION("""COMPUTED_VALUE"""),69.0)</f>
        <v>69</v>
      </c>
      <c r="F7316" s="19" t="str">
        <f>IFERROR(__xludf.DUMMYFUNCTION("""COMPUTED_VALUE"""),"BLACK")</f>
        <v>BLACK</v>
      </c>
      <c r="G7316" s="20" t="str">
        <f>IFERROR(__xludf.DUMMYFUNCTION("""COMPUTED_VALUE"""),"Uncle Sams Cider (5/13/2022)")</f>
        <v>Uncle Sams Cider (5/13/2022)</v>
      </c>
      <c r="H7316" s="19"/>
    </row>
    <row r="7317">
      <c r="A7317" s="9"/>
      <c r="B7317" s="15"/>
      <c r="C7317" s="9">
        <f>IFERROR(__xludf.DUMMYFUNCTION("""COMPUTED_VALUE"""),44720.324218993)</f>
        <v>44720.32422</v>
      </c>
      <c r="D7317" s="15">
        <f>IFERROR(__xludf.DUMMYFUNCTION("""COMPUTED_VALUE"""),1.009)</f>
        <v>1.009</v>
      </c>
      <c r="E7317" s="16">
        <f>IFERROR(__xludf.DUMMYFUNCTION("""COMPUTED_VALUE"""),69.0)</f>
        <v>69</v>
      </c>
      <c r="F7317" s="19" t="str">
        <f>IFERROR(__xludf.DUMMYFUNCTION("""COMPUTED_VALUE"""),"BLACK")</f>
        <v>BLACK</v>
      </c>
      <c r="G7317" s="20" t="str">
        <f>IFERROR(__xludf.DUMMYFUNCTION("""COMPUTED_VALUE"""),"Uncle Sams Cider (5/13/2022)")</f>
        <v>Uncle Sams Cider (5/13/2022)</v>
      </c>
      <c r="H7317" s="19"/>
    </row>
    <row r="7318">
      <c r="A7318" s="9"/>
      <c r="B7318" s="15"/>
      <c r="C7318" s="9">
        <f>IFERROR(__xludf.DUMMYFUNCTION("""COMPUTED_VALUE"""),44720.3137849768)</f>
        <v>44720.31378</v>
      </c>
      <c r="D7318" s="15">
        <f>IFERROR(__xludf.DUMMYFUNCTION("""COMPUTED_VALUE"""),1.009)</f>
        <v>1.009</v>
      </c>
      <c r="E7318" s="16">
        <f>IFERROR(__xludf.DUMMYFUNCTION("""COMPUTED_VALUE"""),69.0)</f>
        <v>69</v>
      </c>
      <c r="F7318" s="19" t="str">
        <f>IFERROR(__xludf.DUMMYFUNCTION("""COMPUTED_VALUE"""),"BLACK")</f>
        <v>BLACK</v>
      </c>
      <c r="G7318" s="20" t="str">
        <f>IFERROR(__xludf.DUMMYFUNCTION("""COMPUTED_VALUE"""),"Uncle Sams Cider (5/13/2022)")</f>
        <v>Uncle Sams Cider (5/13/2022)</v>
      </c>
      <c r="H7318" s="19"/>
    </row>
    <row r="7319">
      <c r="A7319" s="9"/>
      <c r="B7319" s="15"/>
      <c r="C7319" s="9">
        <f>IFERROR(__xludf.DUMMYFUNCTION("""COMPUTED_VALUE"""),44720.3033641088)</f>
        <v>44720.30336</v>
      </c>
      <c r="D7319" s="15">
        <f>IFERROR(__xludf.DUMMYFUNCTION("""COMPUTED_VALUE"""),1.009)</f>
        <v>1.009</v>
      </c>
      <c r="E7319" s="16">
        <f>IFERROR(__xludf.DUMMYFUNCTION("""COMPUTED_VALUE"""),69.0)</f>
        <v>69</v>
      </c>
      <c r="F7319" s="19" t="str">
        <f>IFERROR(__xludf.DUMMYFUNCTION("""COMPUTED_VALUE"""),"BLACK")</f>
        <v>BLACK</v>
      </c>
      <c r="G7319" s="20" t="str">
        <f>IFERROR(__xludf.DUMMYFUNCTION("""COMPUTED_VALUE"""),"Uncle Sams Cider (5/13/2022)")</f>
        <v>Uncle Sams Cider (5/13/2022)</v>
      </c>
      <c r="H7319" s="19"/>
    </row>
    <row r="7320">
      <c r="A7320" s="9"/>
      <c r="B7320" s="15"/>
      <c r="C7320" s="9">
        <f>IFERROR(__xludf.DUMMYFUNCTION("""COMPUTED_VALUE"""),44720.2929416319)</f>
        <v>44720.29294</v>
      </c>
      <c r="D7320" s="15">
        <f>IFERROR(__xludf.DUMMYFUNCTION("""COMPUTED_VALUE"""),1.009)</f>
        <v>1.009</v>
      </c>
      <c r="E7320" s="16">
        <f>IFERROR(__xludf.DUMMYFUNCTION("""COMPUTED_VALUE"""),69.0)</f>
        <v>69</v>
      </c>
      <c r="F7320" s="19" t="str">
        <f>IFERROR(__xludf.DUMMYFUNCTION("""COMPUTED_VALUE"""),"BLACK")</f>
        <v>BLACK</v>
      </c>
      <c r="G7320" s="20" t="str">
        <f>IFERROR(__xludf.DUMMYFUNCTION("""COMPUTED_VALUE"""),"Uncle Sams Cider (5/13/2022)")</f>
        <v>Uncle Sams Cider (5/13/2022)</v>
      </c>
      <c r="H7320" s="19"/>
    </row>
    <row r="7321">
      <c r="A7321" s="9"/>
      <c r="B7321" s="15"/>
      <c r="C7321" s="9">
        <f>IFERROR(__xludf.DUMMYFUNCTION("""COMPUTED_VALUE"""),44720.2824855208)</f>
        <v>44720.28249</v>
      </c>
      <c r="D7321" s="15">
        <f>IFERROR(__xludf.DUMMYFUNCTION("""COMPUTED_VALUE"""),1.009)</f>
        <v>1.009</v>
      </c>
      <c r="E7321" s="16">
        <f>IFERROR(__xludf.DUMMYFUNCTION("""COMPUTED_VALUE"""),69.0)</f>
        <v>69</v>
      </c>
      <c r="F7321" s="19" t="str">
        <f>IFERROR(__xludf.DUMMYFUNCTION("""COMPUTED_VALUE"""),"BLACK")</f>
        <v>BLACK</v>
      </c>
      <c r="G7321" s="20" t="str">
        <f>IFERROR(__xludf.DUMMYFUNCTION("""COMPUTED_VALUE"""),"Uncle Sams Cider (5/13/2022)")</f>
        <v>Uncle Sams Cider (5/13/2022)</v>
      </c>
      <c r="H7321" s="19"/>
    </row>
    <row r="7322">
      <c r="A7322" s="9"/>
      <c r="B7322" s="15"/>
      <c r="C7322" s="9">
        <f>IFERROR(__xludf.DUMMYFUNCTION("""COMPUTED_VALUE"""),44720.2720633333)</f>
        <v>44720.27206</v>
      </c>
      <c r="D7322" s="15">
        <f>IFERROR(__xludf.DUMMYFUNCTION("""COMPUTED_VALUE"""),1.009)</f>
        <v>1.009</v>
      </c>
      <c r="E7322" s="16">
        <f>IFERROR(__xludf.DUMMYFUNCTION("""COMPUTED_VALUE"""),69.0)</f>
        <v>69</v>
      </c>
      <c r="F7322" s="19" t="str">
        <f>IFERROR(__xludf.DUMMYFUNCTION("""COMPUTED_VALUE"""),"BLACK")</f>
        <v>BLACK</v>
      </c>
      <c r="G7322" s="20" t="str">
        <f>IFERROR(__xludf.DUMMYFUNCTION("""COMPUTED_VALUE"""),"Uncle Sams Cider (5/13/2022)")</f>
        <v>Uncle Sams Cider (5/13/2022)</v>
      </c>
      <c r="H7322" s="19"/>
    </row>
    <row r="7323">
      <c r="A7323" s="9"/>
      <c r="B7323" s="15"/>
      <c r="C7323" s="9">
        <f>IFERROR(__xludf.DUMMYFUNCTION("""COMPUTED_VALUE"""),44720.2616300231)</f>
        <v>44720.26163</v>
      </c>
      <c r="D7323" s="15">
        <f>IFERROR(__xludf.DUMMYFUNCTION("""COMPUTED_VALUE"""),1.009)</f>
        <v>1.009</v>
      </c>
      <c r="E7323" s="16">
        <f>IFERROR(__xludf.DUMMYFUNCTION("""COMPUTED_VALUE"""),69.0)</f>
        <v>69</v>
      </c>
      <c r="F7323" s="19" t="str">
        <f>IFERROR(__xludf.DUMMYFUNCTION("""COMPUTED_VALUE"""),"BLACK")</f>
        <v>BLACK</v>
      </c>
      <c r="G7323" s="20" t="str">
        <f>IFERROR(__xludf.DUMMYFUNCTION("""COMPUTED_VALUE"""),"Uncle Sams Cider (5/13/2022)")</f>
        <v>Uncle Sams Cider (5/13/2022)</v>
      </c>
      <c r="H7323" s="19"/>
    </row>
    <row r="7324">
      <c r="A7324" s="9"/>
      <c r="B7324" s="15"/>
      <c r="C7324" s="9">
        <f>IFERROR(__xludf.DUMMYFUNCTION("""COMPUTED_VALUE"""),44720.2511967708)</f>
        <v>44720.2512</v>
      </c>
      <c r="D7324" s="15">
        <f>IFERROR(__xludf.DUMMYFUNCTION("""COMPUTED_VALUE"""),1.009)</f>
        <v>1.009</v>
      </c>
      <c r="E7324" s="16">
        <f>IFERROR(__xludf.DUMMYFUNCTION("""COMPUTED_VALUE"""),69.0)</f>
        <v>69</v>
      </c>
      <c r="F7324" s="19" t="str">
        <f>IFERROR(__xludf.DUMMYFUNCTION("""COMPUTED_VALUE"""),"BLACK")</f>
        <v>BLACK</v>
      </c>
      <c r="G7324" s="20" t="str">
        <f>IFERROR(__xludf.DUMMYFUNCTION("""COMPUTED_VALUE"""),"Uncle Sams Cider (5/13/2022)")</f>
        <v>Uncle Sams Cider (5/13/2022)</v>
      </c>
      <c r="H7324" s="19"/>
    </row>
    <row r="7325">
      <c r="A7325" s="9"/>
      <c r="B7325" s="15"/>
      <c r="C7325" s="9">
        <f>IFERROR(__xludf.DUMMYFUNCTION("""COMPUTED_VALUE"""),44720.2407753356)</f>
        <v>44720.24078</v>
      </c>
      <c r="D7325" s="15">
        <f>IFERROR(__xludf.DUMMYFUNCTION("""COMPUTED_VALUE"""),1.009)</f>
        <v>1.009</v>
      </c>
      <c r="E7325" s="16">
        <f>IFERROR(__xludf.DUMMYFUNCTION("""COMPUTED_VALUE"""),69.0)</f>
        <v>69</v>
      </c>
      <c r="F7325" s="19" t="str">
        <f>IFERROR(__xludf.DUMMYFUNCTION("""COMPUTED_VALUE"""),"BLACK")</f>
        <v>BLACK</v>
      </c>
      <c r="G7325" s="20" t="str">
        <f>IFERROR(__xludf.DUMMYFUNCTION("""COMPUTED_VALUE"""),"Uncle Sams Cider (5/13/2022)")</f>
        <v>Uncle Sams Cider (5/13/2022)</v>
      </c>
      <c r="H7325" s="19"/>
    </row>
    <row r="7326">
      <c r="A7326" s="9"/>
      <c r="B7326" s="15"/>
      <c r="C7326" s="9">
        <f>IFERROR(__xludf.DUMMYFUNCTION("""COMPUTED_VALUE"""),44720.230353831)</f>
        <v>44720.23035</v>
      </c>
      <c r="D7326" s="15">
        <f>IFERROR(__xludf.DUMMYFUNCTION("""COMPUTED_VALUE"""),1.009)</f>
        <v>1.009</v>
      </c>
      <c r="E7326" s="16">
        <f>IFERROR(__xludf.DUMMYFUNCTION("""COMPUTED_VALUE"""),69.0)</f>
        <v>69</v>
      </c>
      <c r="F7326" s="19" t="str">
        <f>IFERROR(__xludf.DUMMYFUNCTION("""COMPUTED_VALUE"""),"BLACK")</f>
        <v>BLACK</v>
      </c>
      <c r="G7326" s="20" t="str">
        <f>IFERROR(__xludf.DUMMYFUNCTION("""COMPUTED_VALUE"""),"Uncle Sams Cider (5/13/2022)")</f>
        <v>Uncle Sams Cider (5/13/2022)</v>
      </c>
      <c r="H7326" s="19"/>
    </row>
    <row r="7327">
      <c r="A7327" s="9"/>
      <c r="B7327" s="15"/>
      <c r="C7327" s="9">
        <f>IFERROR(__xludf.DUMMYFUNCTION("""COMPUTED_VALUE"""),44720.2199309722)</f>
        <v>44720.21993</v>
      </c>
      <c r="D7327" s="15">
        <f>IFERROR(__xludf.DUMMYFUNCTION("""COMPUTED_VALUE"""),1.009)</f>
        <v>1.009</v>
      </c>
      <c r="E7327" s="16">
        <f>IFERROR(__xludf.DUMMYFUNCTION("""COMPUTED_VALUE"""),69.0)</f>
        <v>69</v>
      </c>
      <c r="F7327" s="19" t="str">
        <f>IFERROR(__xludf.DUMMYFUNCTION("""COMPUTED_VALUE"""),"BLACK")</f>
        <v>BLACK</v>
      </c>
      <c r="G7327" s="20" t="str">
        <f>IFERROR(__xludf.DUMMYFUNCTION("""COMPUTED_VALUE"""),"Uncle Sams Cider (5/13/2022)")</f>
        <v>Uncle Sams Cider (5/13/2022)</v>
      </c>
      <c r="H7327" s="19"/>
    </row>
    <row r="7328">
      <c r="A7328" s="9"/>
      <c r="B7328" s="15"/>
      <c r="C7328" s="9">
        <f>IFERROR(__xludf.DUMMYFUNCTION("""COMPUTED_VALUE"""),44720.2094888888)</f>
        <v>44720.20949</v>
      </c>
      <c r="D7328" s="15">
        <f>IFERROR(__xludf.DUMMYFUNCTION("""COMPUTED_VALUE"""),1.009)</f>
        <v>1.009</v>
      </c>
      <c r="E7328" s="16">
        <f>IFERROR(__xludf.DUMMYFUNCTION("""COMPUTED_VALUE"""),69.0)</f>
        <v>69</v>
      </c>
      <c r="F7328" s="19" t="str">
        <f>IFERROR(__xludf.DUMMYFUNCTION("""COMPUTED_VALUE"""),"BLACK")</f>
        <v>BLACK</v>
      </c>
      <c r="G7328" s="20" t="str">
        <f>IFERROR(__xludf.DUMMYFUNCTION("""COMPUTED_VALUE"""),"Uncle Sams Cider (5/13/2022)")</f>
        <v>Uncle Sams Cider (5/13/2022)</v>
      </c>
      <c r="H7328" s="19"/>
    </row>
    <row r="7329">
      <c r="A7329" s="9"/>
      <c r="B7329" s="15"/>
      <c r="C7329" s="9">
        <f>IFERROR(__xludf.DUMMYFUNCTION("""COMPUTED_VALUE"""),44720.1990670717)</f>
        <v>44720.19907</v>
      </c>
      <c r="D7329" s="15">
        <f>IFERROR(__xludf.DUMMYFUNCTION("""COMPUTED_VALUE"""),1.009)</f>
        <v>1.009</v>
      </c>
      <c r="E7329" s="16">
        <f>IFERROR(__xludf.DUMMYFUNCTION("""COMPUTED_VALUE"""),69.0)</f>
        <v>69</v>
      </c>
      <c r="F7329" s="19" t="str">
        <f>IFERROR(__xludf.DUMMYFUNCTION("""COMPUTED_VALUE"""),"BLACK")</f>
        <v>BLACK</v>
      </c>
      <c r="G7329" s="20" t="str">
        <f>IFERROR(__xludf.DUMMYFUNCTION("""COMPUTED_VALUE"""),"Uncle Sams Cider (5/13/2022)")</f>
        <v>Uncle Sams Cider (5/13/2022)</v>
      </c>
      <c r="H7329" s="19"/>
    </row>
    <row r="7330">
      <c r="A7330" s="9"/>
      <c r="B7330" s="15"/>
      <c r="C7330" s="9">
        <f>IFERROR(__xludf.DUMMYFUNCTION("""COMPUTED_VALUE"""),44720.1886459375)</f>
        <v>44720.18865</v>
      </c>
      <c r="D7330" s="15">
        <f>IFERROR(__xludf.DUMMYFUNCTION("""COMPUTED_VALUE"""),1.009)</f>
        <v>1.009</v>
      </c>
      <c r="E7330" s="16">
        <f>IFERROR(__xludf.DUMMYFUNCTION("""COMPUTED_VALUE"""),69.0)</f>
        <v>69</v>
      </c>
      <c r="F7330" s="19" t="str">
        <f>IFERROR(__xludf.DUMMYFUNCTION("""COMPUTED_VALUE"""),"BLACK")</f>
        <v>BLACK</v>
      </c>
      <c r="G7330" s="20" t="str">
        <f>IFERROR(__xludf.DUMMYFUNCTION("""COMPUTED_VALUE"""),"Uncle Sams Cider (5/13/2022)")</f>
        <v>Uncle Sams Cider (5/13/2022)</v>
      </c>
      <c r="H7330" s="19"/>
    </row>
    <row r="7331">
      <c r="A7331" s="9"/>
      <c r="B7331" s="15"/>
      <c r="C7331" s="9">
        <f>IFERROR(__xludf.DUMMYFUNCTION("""COMPUTED_VALUE"""),44720.1782242708)</f>
        <v>44720.17822</v>
      </c>
      <c r="D7331" s="15">
        <f>IFERROR(__xludf.DUMMYFUNCTION("""COMPUTED_VALUE"""),1.009)</f>
        <v>1.009</v>
      </c>
      <c r="E7331" s="16">
        <f>IFERROR(__xludf.DUMMYFUNCTION("""COMPUTED_VALUE"""),69.0)</f>
        <v>69</v>
      </c>
      <c r="F7331" s="19" t="str">
        <f>IFERROR(__xludf.DUMMYFUNCTION("""COMPUTED_VALUE"""),"BLACK")</f>
        <v>BLACK</v>
      </c>
      <c r="G7331" s="20" t="str">
        <f>IFERROR(__xludf.DUMMYFUNCTION("""COMPUTED_VALUE"""),"Uncle Sams Cider (5/13/2022)")</f>
        <v>Uncle Sams Cider (5/13/2022)</v>
      </c>
      <c r="H7331" s="19"/>
    </row>
    <row r="7332">
      <c r="A7332" s="9"/>
      <c r="B7332" s="15"/>
      <c r="C7332" s="9">
        <f>IFERROR(__xludf.DUMMYFUNCTION("""COMPUTED_VALUE"""),44720.1678014699)</f>
        <v>44720.1678</v>
      </c>
      <c r="D7332" s="15">
        <f>IFERROR(__xludf.DUMMYFUNCTION("""COMPUTED_VALUE"""),1.009)</f>
        <v>1.009</v>
      </c>
      <c r="E7332" s="16">
        <f>IFERROR(__xludf.DUMMYFUNCTION("""COMPUTED_VALUE"""),69.0)</f>
        <v>69</v>
      </c>
      <c r="F7332" s="19" t="str">
        <f>IFERROR(__xludf.DUMMYFUNCTION("""COMPUTED_VALUE"""),"BLACK")</f>
        <v>BLACK</v>
      </c>
      <c r="G7332" s="20" t="str">
        <f>IFERROR(__xludf.DUMMYFUNCTION("""COMPUTED_VALUE"""),"Uncle Sams Cider (5/13/2022)")</f>
        <v>Uncle Sams Cider (5/13/2022)</v>
      </c>
      <c r="H7332" s="19"/>
    </row>
    <row r="7333">
      <c r="A7333" s="9"/>
      <c r="B7333" s="15"/>
      <c r="C7333" s="9">
        <f>IFERROR(__xludf.DUMMYFUNCTION("""COMPUTED_VALUE"""),44720.1573798148)</f>
        <v>44720.15738</v>
      </c>
      <c r="D7333" s="15">
        <f>IFERROR(__xludf.DUMMYFUNCTION("""COMPUTED_VALUE"""),1.009)</f>
        <v>1.009</v>
      </c>
      <c r="E7333" s="16">
        <f>IFERROR(__xludf.DUMMYFUNCTION("""COMPUTED_VALUE"""),69.0)</f>
        <v>69</v>
      </c>
      <c r="F7333" s="19" t="str">
        <f>IFERROR(__xludf.DUMMYFUNCTION("""COMPUTED_VALUE"""),"BLACK")</f>
        <v>BLACK</v>
      </c>
      <c r="G7333" s="20" t="str">
        <f>IFERROR(__xludf.DUMMYFUNCTION("""COMPUTED_VALUE"""),"Uncle Sams Cider (5/13/2022)")</f>
        <v>Uncle Sams Cider (5/13/2022)</v>
      </c>
      <c r="H7333" s="19"/>
    </row>
    <row r="7334">
      <c r="A7334" s="9"/>
      <c r="B7334" s="15"/>
      <c r="C7334" s="9">
        <f>IFERROR(__xludf.DUMMYFUNCTION("""COMPUTED_VALUE"""),44720.1469588541)</f>
        <v>44720.14696</v>
      </c>
      <c r="D7334" s="15">
        <f>IFERROR(__xludf.DUMMYFUNCTION("""COMPUTED_VALUE"""),1.009)</f>
        <v>1.009</v>
      </c>
      <c r="E7334" s="16">
        <f>IFERROR(__xludf.DUMMYFUNCTION("""COMPUTED_VALUE"""),69.0)</f>
        <v>69</v>
      </c>
      <c r="F7334" s="19" t="str">
        <f>IFERROR(__xludf.DUMMYFUNCTION("""COMPUTED_VALUE"""),"BLACK")</f>
        <v>BLACK</v>
      </c>
      <c r="G7334" s="20" t="str">
        <f>IFERROR(__xludf.DUMMYFUNCTION("""COMPUTED_VALUE"""),"Uncle Sams Cider (5/13/2022)")</f>
        <v>Uncle Sams Cider (5/13/2022)</v>
      </c>
      <c r="H7334" s="19"/>
    </row>
    <row r="7335">
      <c r="A7335" s="9"/>
      <c r="B7335" s="15"/>
      <c r="C7335" s="9">
        <f>IFERROR(__xludf.DUMMYFUNCTION("""COMPUTED_VALUE"""),44720.1365376967)</f>
        <v>44720.13654</v>
      </c>
      <c r="D7335" s="15">
        <f>IFERROR(__xludf.DUMMYFUNCTION("""COMPUTED_VALUE"""),1.009)</f>
        <v>1.009</v>
      </c>
      <c r="E7335" s="16">
        <f>IFERROR(__xludf.DUMMYFUNCTION("""COMPUTED_VALUE"""),69.0)</f>
        <v>69</v>
      </c>
      <c r="F7335" s="19" t="str">
        <f>IFERROR(__xludf.DUMMYFUNCTION("""COMPUTED_VALUE"""),"BLACK")</f>
        <v>BLACK</v>
      </c>
      <c r="G7335" s="20" t="str">
        <f>IFERROR(__xludf.DUMMYFUNCTION("""COMPUTED_VALUE"""),"Uncle Sams Cider (5/13/2022)")</f>
        <v>Uncle Sams Cider (5/13/2022)</v>
      </c>
      <c r="H7335" s="19"/>
    </row>
    <row r="7336">
      <c r="A7336" s="9"/>
      <c r="B7336" s="15"/>
      <c r="C7336" s="9">
        <f>IFERROR(__xludf.DUMMYFUNCTION("""COMPUTED_VALUE"""),44720.1261185069)</f>
        <v>44720.12612</v>
      </c>
      <c r="D7336" s="15">
        <f>IFERROR(__xludf.DUMMYFUNCTION("""COMPUTED_VALUE"""),1.009)</f>
        <v>1.009</v>
      </c>
      <c r="E7336" s="16">
        <f>IFERROR(__xludf.DUMMYFUNCTION("""COMPUTED_VALUE"""),69.0)</f>
        <v>69</v>
      </c>
      <c r="F7336" s="19" t="str">
        <f>IFERROR(__xludf.DUMMYFUNCTION("""COMPUTED_VALUE"""),"BLACK")</f>
        <v>BLACK</v>
      </c>
      <c r="G7336" s="20" t="str">
        <f>IFERROR(__xludf.DUMMYFUNCTION("""COMPUTED_VALUE"""),"Uncle Sams Cider (5/13/2022)")</f>
        <v>Uncle Sams Cider (5/13/2022)</v>
      </c>
      <c r="H7336" s="19"/>
    </row>
    <row r="7337">
      <c r="A7337" s="9"/>
      <c r="B7337" s="15"/>
      <c r="C7337" s="9">
        <f>IFERROR(__xludf.DUMMYFUNCTION("""COMPUTED_VALUE"""),44720.115685)</f>
        <v>44720.11569</v>
      </c>
      <c r="D7337" s="15">
        <f>IFERROR(__xludf.DUMMYFUNCTION("""COMPUTED_VALUE"""),1.009)</f>
        <v>1.009</v>
      </c>
      <c r="E7337" s="16">
        <f>IFERROR(__xludf.DUMMYFUNCTION("""COMPUTED_VALUE"""),69.0)</f>
        <v>69</v>
      </c>
      <c r="F7337" s="19" t="str">
        <f>IFERROR(__xludf.DUMMYFUNCTION("""COMPUTED_VALUE"""),"BLACK")</f>
        <v>BLACK</v>
      </c>
      <c r="G7337" s="20" t="str">
        <f>IFERROR(__xludf.DUMMYFUNCTION("""COMPUTED_VALUE"""),"Uncle Sams Cider (5/13/2022)")</f>
        <v>Uncle Sams Cider (5/13/2022)</v>
      </c>
      <c r="H7337" s="19"/>
    </row>
    <row r="7338">
      <c r="A7338" s="9"/>
      <c r="B7338" s="15"/>
      <c r="C7338" s="9">
        <f>IFERROR(__xludf.DUMMYFUNCTION("""COMPUTED_VALUE"""),44720.1052628819)</f>
        <v>44720.10526</v>
      </c>
      <c r="D7338" s="15">
        <f>IFERROR(__xludf.DUMMYFUNCTION("""COMPUTED_VALUE"""),1.009)</f>
        <v>1.009</v>
      </c>
      <c r="E7338" s="16">
        <f>IFERROR(__xludf.DUMMYFUNCTION("""COMPUTED_VALUE"""),69.0)</f>
        <v>69</v>
      </c>
      <c r="F7338" s="19" t="str">
        <f>IFERROR(__xludf.DUMMYFUNCTION("""COMPUTED_VALUE"""),"BLACK")</f>
        <v>BLACK</v>
      </c>
      <c r="G7338" s="20" t="str">
        <f>IFERROR(__xludf.DUMMYFUNCTION("""COMPUTED_VALUE"""),"Uncle Sams Cider (5/13/2022)")</f>
        <v>Uncle Sams Cider (5/13/2022)</v>
      </c>
      <c r="H7338" s="19"/>
    </row>
    <row r="7339">
      <c r="A7339" s="9"/>
      <c r="B7339" s="15"/>
      <c r="C7339" s="9">
        <f>IFERROR(__xludf.DUMMYFUNCTION("""COMPUTED_VALUE"""),44720.0948417939)</f>
        <v>44720.09484</v>
      </c>
      <c r="D7339" s="15">
        <f>IFERROR(__xludf.DUMMYFUNCTION("""COMPUTED_VALUE"""),1.009)</f>
        <v>1.009</v>
      </c>
      <c r="E7339" s="16">
        <f>IFERROR(__xludf.DUMMYFUNCTION("""COMPUTED_VALUE"""),69.0)</f>
        <v>69</v>
      </c>
      <c r="F7339" s="19" t="str">
        <f>IFERROR(__xludf.DUMMYFUNCTION("""COMPUTED_VALUE"""),"BLACK")</f>
        <v>BLACK</v>
      </c>
      <c r="G7339" s="20" t="str">
        <f>IFERROR(__xludf.DUMMYFUNCTION("""COMPUTED_VALUE"""),"Uncle Sams Cider (5/13/2022)")</f>
        <v>Uncle Sams Cider (5/13/2022)</v>
      </c>
      <c r="H7339" s="19"/>
    </row>
    <row r="7340">
      <c r="A7340" s="9"/>
      <c r="B7340" s="15"/>
      <c r="C7340" s="9">
        <f>IFERROR(__xludf.DUMMYFUNCTION("""COMPUTED_VALUE"""),44720.0844202662)</f>
        <v>44720.08442</v>
      </c>
      <c r="D7340" s="15">
        <f>IFERROR(__xludf.DUMMYFUNCTION("""COMPUTED_VALUE"""),1.009)</f>
        <v>1.009</v>
      </c>
      <c r="E7340" s="16">
        <f>IFERROR(__xludf.DUMMYFUNCTION("""COMPUTED_VALUE"""),69.0)</f>
        <v>69</v>
      </c>
      <c r="F7340" s="19" t="str">
        <f>IFERROR(__xludf.DUMMYFUNCTION("""COMPUTED_VALUE"""),"BLACK")</f>
        <v>BLACK</v>
      </c>
      <c r="G7340" s="20" t="str">
        <f>IFERROR(__xludf.DUMMYFUNCTION("""COMPUTED_VALUE"""),"Uncle Sams Cider (5/13/2022)")</f>
        <v>Uncle Sams Cider (5/13/2022)</v>
      </c>
      <c r="H7340" s="19"/>
    </row>
    <row r="7341">
      <c r="A7341" s="9"/>
      <c r="B7341" s="15"/>
      <c r="C7341" s="9">
        <f>IFERROR(__xludf.DUMMYFUNCTION("""COMPUTED_VALUE"""),44720.0739987037)</f>
        <v>44720.074</v>
      </c>
      <c r="D7341" s="15">
        <f>IFERROR(__xludf.DUMMYFUNCTION("""COMPUTED_VALUE"""),1.009)</f>
        <v>1.009</v>
      </c>
      <c r="E7341" s="16">
        <f>IFERROR(__xludf.DUMMYFUNCTION("""COMPUTED_VALUE"""),69.0)</f>
        <v>69</v>
      </c>
      <c r="F7341" s="19" t="str">
        <f>IFERROR(__xludf.DUMMYFUNCTION("""COMPUTED_VALUE"""),"BLACK")</f>
        <v>BLACK</v>
      </c>
      <c r="G7341" s="20" t="str">
        <f>IFERROR(__xludf.DUMMYFUNCTION("""COMPUTED_VALUE"""),"Uncle Sams Cider (5/13/2022)")</f>
        <v>Uncle Sams Cider (5/13/2022)</v>
      </c>
      <c r="H7341" s="19"/>
    </row>
    <row r="7342">
      <c r="A7342" s="9"/>
      <c r="B7342" s="15"/>
      <c r="C7342" s="9">
        <f>IFERROR(__xludf.DUMMYFUNCTION("""COMPUTED_VALUE"""),44720.0635648263)</f>
        <v>44720.06356</v>
      </c>
      <c r="D7342" s="15">
        <f>IFERROR(__xludf.DUMMYFUNCTION("""COMPUTED_VALUE"""),1.009)</f>
        <v>1.009</v>
      </c>
      <c r="E7342" s="16">
        <f>IFERROR(__xludf.DUMMYFUNCTION("""COMPUTED_VALUE"""),69.0)</f>
        <v>69</v>
      </c>
      <c r="F7342" s="19" t="str">
        <f>IFERROR(__xludf.DUMMYFUNCTION("""COMPUTED_VALUE"""),"BLACK")</f>
        <v>BLACK</v>
      </c>
      <c r="G7342" s="20" t="str">
        <f>IFERROR(__xludf.DUMMYFUNCTION("""COMPUTED_VALUE"""),"Uncle Sams Cider (5/13/2022)")</f>
        <v>Uncle Sams Cider (5/13/2022)</v>
      </c>
      <c r="H7342" s="19"/>
    </row>
    <row r="7343">
      <c r="A7343" s="9"/>
      <c r="B7343" s="15"/>
      <c r="C7343" s="9">
        <f>IFERROR(__xludf.DUMMYFUNCTION("""COMPUTED_VALUE"""),44720.0531442361)</f>
        <v>44720.05314</v>
      </c>
      <c r="D7343" s="15">
        <f>IFERROR(__xludf.DUMMYFUNCTION("""COMPUTED_VALUE"""),1.009)</f>
        <v>1.009</v>
      </c>
      <c r="E7343" s="16">
        <f>IFERROR(__xludf.DUMMYFUNCTION("""COMPUTED_VALUE"""),69.0)</f>
        <v>69</v>
      </c>
      <c r="F7343" s="19" t="str">
        <f>IFERROR(__xludf.DUMMYFUNCTION("""COMPUTED_VALUE"""),"BLACK")</f>
        <v>BLACK</v>
      </c>
      <c r="G7343" s="20" t="str">
        <f>IFERROR(__xludf.DUMMYFUNCTION("""COMPUTED_VALUE"""),"Uncle Sams Cider (5/13/2022)")</f>
        <v>Uncle Sams Cider (5/13/2022)</v>
      </c>
      <c r="H7343" s="19"/>
    </row>
    <row r="7344">
      <c r="A7344" s="9"/>
      <c r="B7344" s="15"/>
      <c r="C7344" s="9">
        <f>IFERROR(__xludf.DUMMYFUNCTION("""COMPUTED_VALUE"""),44720.0427241088)</f>
        <v>44720.04272</v>
      </c>
      <c r="D7344" s="15">
        <f>IFERROR(__xludf.DUMMYFUNCTION("""COMPUTED_VALUE"""),1.009)</f>
        <v>1.009</v>
      </c>
      <c r="E7344" s="16">
        <f>IFERROR(__xludf.DUMMYFUNCTION("""COMPUTED_VALUE"""),69.0)</f>
        <v>69</v>
      </c>
      <c r="F7344" s="19" t="str">
        <f>IFERROR(__xludf.DUMMYFUNCTION("""COMPUTED_VALUE"""),"BLACK")</f>
        <v>BLACK</v>
      </c>
      <c r="G7344" s="20" t="str">
        <f>IFERROR(__xludf.DUMMYFUNCTION("""COMPUTED_VALUE"""),"Uncle Sams Cider (5/13/2022)")</f>
        <v>Uncle Sams Cider (5/13/2022)</v>
      </c>
      <c r="H7344" s="19"/>
    </row>
    <row r="7345">
      <c r="A7345" s="9"/>
      <c r="B7345" s="15"/>
      <c r="C7345" s="9">
        <f>IFERROR(__xludf.DUMMYFUNCTION("""COMPUTED_VALUE"""),44720.0323032638)</f>
        <v>44720.0323</v>
      </c>
      <c r="D7345" s="15">
        <f>IFERROR(__xludf.DUMMYFUNCTION("""COMPUTED_VALUE"""),1.009)</f>
        <v>1.009</v>
      </c>
      <c r="E7345" s="16">
        <f>IFERROR(__xludf.DUMMYFUNCTION("""COMPUTED_VALUE"""),69.0)</f>
        <v>69</v>
      </c>
      <c r="F7345" s="19" t="str">
        <f>IFERROR(__xludf.DUMMYFUNCTION("""COMPUTED_VALUE"""),"BLACK")</f>
        <v>BLACK</v>
      </c>
      <c r="G7345" s="20" t="str">
        <f>IFERROR(__xludf.DUMMYFUNCTION("""COMPUTED_VALUE"""),"Uncle Sams Cider (5/13/2022)")</f>
        <v>Uncle Sams Cider (5/13/2022)</v>
      </c>
      <c r="H7345" s="19"/>
    </row>
    <row r="7346">
      <c r="A7346" s="9"/>
      <c r="B7346" s="15"/>
      <c r="C7346" s="9">
        <f>IFERROR(__xludf.DUMMYFUNCTION("""COMPUTED_VALUE"""),44720.0218468287)</f>
        <v>44720.02185</v>
      </c>
      <c r="D7346" s="15">
        <f>IFERROR(__xludf.DUMMYFUNCTION("""COMPUTED_VALUE"""),1.009)</f>
        <v>1.009</v>
      </c>
      <c r="E7346" s="16">
        <f>IFERROR(__xludf.DUMMYFUNCTION("""COMPUTED_VALUE"""),69.0)</f>
        <v>69</v>
      </c>
      <c r="F7346" s="19" t="str">
        <f>IFERROR(__xludf.DUMMYFUNCTION("""COMPUTED_VALUE"""),"BLACK")</f>
        <v>BLACK</v>
      </c>
      <c r="G7346" s="20" t="str">
        <f>IFERROR(__xludf.DUMMYFUNCTION("""COMPUTED_VALUE"""),"Uncle Sams Cider (5/13/2022)")</f>
        <v>Uncle Sams Cider (5/13/2022)</v>
      </c>
      <c r="H7346" s="19"/>
    </row>
    <row r="7347">
      <c r="A7347" s="9"/>
      <c r="B7347" s="15"/>
      <c r="C7347" s="9">
        <f>IFERROR(__xludf.DUMMYFUNCTION("""COMPUTED_VALUE"""),44720.0114256597)</f>
        <v>44720.01143</v>
      </c>
      <c r="D7347" s="15">
        <f>IFERROR(__xludf.DUMMYFUNCTION("""COMPUTED_VALUE"""),1.009)</f>
        <v>1.009</v>
      </c>
      <c r="E7347" s="16">
        <f>IFERROR(__xludf.DUMMYFUNCTION("""COMPUTED_VALUE"""),69.0)</f>
        <v>69</v>
      </c>
      <c r="F7347" s="19" t="str">
        <f>IFERROR(__xludf.DUMMYFUNCTION("""COMPUTED_VALUE"""),"BLACK")</f>
        <v>BLACK</v>
      </c>
      <c r="G7347" s="20" t="str">
        <f>IFERROR(__xludf.DUMMYFUNCTION("""COMPUTED_VALUE"""),"Uncle Sams Cider (5/13/2022)")</f>
        <v>Uncle Sams Cider (5/13/2022)</v>
      </c>
      <c r="H7347" s="19"/>
    </row>
    <row r="7348">
      <c r="A7348" s="9"/>
      <c r="B7348" s="15"/>
      <c r="C7348" s="9">
        <f>IFERROR(__xludf.DUMMYFUNCTION("""COMPUTED_VALUE"""),44720.0009937731)</f>
        <v>44720.00099</v>
      </c>
      <c r="D7348" s="15">
        <f>IFERROR(__xludf.DUMMYFUNCTION("""COMPUTED_VALUE"""),1.009)</f>
        <v>1.009</v>
      </c>
      <c r="E7348" s="16">
        <f>IFERROR(__xludf.DUMMYFUNCTION("""COMPUTED_VALUE"""),69.0)</f>
        <v>69</v>
      </c>
      <c r="F7348" s="19" t="str">
        <f>IFERROR(__xludf.DUMMYFUNCTION("""COMPUTED_VALUE"""),"BLACK")</f>
        <v>BLACK</v>
      </c>
      <c r="G7348" s="20" t="str">
        <f>IFERROR(__xludf.DUMMYFUNCTION("""COMPUTED_VALUE"""),"Uncle Sams Cider (5/13/2022)")</f>
        <v>Uncle Sams Cider (5/13/2022)</v>
      </c>
      <c r="H7348" s="19"/>
    </row>
    <row r="7349">
      <c r="A7349" s="9"/>
      <c r="B7349" s="15"/>
      <c r="C7349" s="9">
        <f>IFERROR(__xludf.DUMMYFUNCTION("""COMPUTED_VALUE"""),44719.9905354513)</f>
        <v>44719.99054</v>
      </c>
      <c r="D7349" s="15">
        <f>IFERROR(__xludf.DUMMYFUNCTION("""COMPUTED_VALUE"""),1.009)</f>
        <v>1.009</v>
      </c>
      <c r="E7349" s="16">
        <f>IFERROR(__xludf.DUMMYFUNCTION("""COMPUTED_VALUE"""),69.0)</f>
        <v>69</v>
      </c>
      <c r="F7349" s="19" t="str">
        <f>IFERROR(__xludf.DUMMYFUNCTION("""COMPUTED_VALUE"""),"BLACK")</f>
        <v>BLACK</v>
      </c>
      <c r="G7349" s="20" t="str">
        <f>IFERROR(__xludf.DUMMYFUNCTION("""COMPUTED_VALUE"""),"Uncle Sams Cider (5/13/2022)")</f>
        <v>Uncle Sams Cider (5/13/2022)</v>
      </c>
      <c r="H7349" s="19"/>
    </row>
    <row r="7350">
      <c r="A7350" s="9"/>
      <c r="B7350" s="15"/>
      <c r="C7350" s="9">
        <f>IFERROR(__xludf.DUMMYFUNCTION("""COMPUTED_VALUE"""),44719.9800915509)</f>
        <v>44719.98009</v>
      </c>
      <c r="D7350" s="15">
        <f>IFERROR(__xludf.DUMMYFUNCTION("""COMPUTED_VALUE"""),1.009)</f>
        <v>1.009</v>
      </c>
      <c r="E7350" s="16">
        <f>IFERROR(__xludf.DUMMYFUNCTION("""COMPUTED_VALUE"""),69.0)</f>
        <v>69</v>
      </c>
      <c r="F7350" s="19" t="str">
        <f>IFERROR(__xludf.DUMMYFUNCTION("""COMPUTED_VALUE"""),"BLACK")</f>
        <v>BLACK</v>
      </c>
      <c r="G7350" s="20" t="str">
        <f>IFERROR(__xludf.DUMMYFUNCTION("""COMPUTED_VALUE"""),"Uncle Sams Cider (5/13/2022)")</f>
        <v>Uncle Sams Cider (5/13/2022)</v>
      </c>
      <c r="H7350" s="19"/>
    </row>
    <row r="7351">
      <c r="A7351" s="9"/>
      <c r="B7351" s="15"/>
      <c r="C7351" s="9">
        <f>IFERROR(__xludf.DUMMYFUNCTION("""COMPUTED_VALUE"""),44719.9696687384)</f>
        <v>44719.96967</v>
      </c>
      <c r="D7351" s="15">
        <f>IFERROR(__xludf.DUMMYFUNCTION("""COMPUTED_VALUE"""),1.009)</f>
        <v>1.009</v>
      </c>
      <c r="E7351" s="16">
        <f>IFERROR(__xludf.DUMMYFUNCTION("""COMPUTED_VALUE"""),69.0)</f>
        <v>69</v>
      </c>
      <c r="F7351" s="19" t="str">
        <f>IFERROR(__xludf.DUMMYFUNCTION("""COMPUTED_VALUE"""),"BLACK")</f>
        <v>BLACK</v>
      </c>
      <c r="G7351" s="20" t="str">
        <f>IFERROR(__xludf.DUMMYFUNCTION("""COMPUTED_VALUE"""),"Uncle Sams Cider (5/13/2022)")</f>
        <v>Uncle Sams Cider (5/13/2022)</v>
      </c>
      <c r="H7351" s="19"/>
    </row>
    <row r="7352">
      <c r="A7352" s="9"/>
      <c r="B7352" s="15"/>
      <c r="C7352" s="9">
        <f>IFERROR(__xludf.DUMMYFUNCTION("""COMPUTED_VALUE"""),44719.9592367592)</f>
        <v>44719.95924</v>
      </c>
      <c r="D7352" s="15">
        <f>IFERROR(__xludf.DUMMYFUNCTION("""COMPUTED_VALUE"""),1.009)</f>
        <v>1.009</v>
      </c>
      <c r="E7352" s="16">
        <f>IFERROR(__xludf.DUMMYFUNCTION("""COMPUTED_VALUE"""),69.0)</f>
        <v>69</v>
      </c>
      <c r="F7352" s="19" t="str">
        <f>IFERROR(__xludf.DUMMYFUNCTION("""COMPUTED_VALUE"""),"BLACK")</f>
        <v>BLACK</v>
      </c>
      <c r="G7352" s="20" t="str">
        <f>IFERROR(__xludf.DUMMYFUNCTION("""COMPUTED_VALUE"""),"Uncle Sams Cider (5/13/2022)")</f>
        <v>Uncle Sams Cider (5/13/2022)</v>
      </c>
      <c r="H7352" s="19"/>
    </row>
    <row r="7353">
      <c r="A7353" s="9"/>
      <c r="B7353" s="15"/>
      <c r="C7353" s="9">
        <f>IFERROR(__xludf.DUMMYFUNCTION("""COMPUTED_VALUE"""),44719.9488045601)</f>
        <v>44719.9488</v>
      </c>
      <c r="D7353" s="15">
        <f>IFERROR(__xludf.DUMMYFUNCTION("""COMPUTED_VALUE"""),1.009)</f>
        <v>1.009</v>
      </c>
      <c r="E7353" s="16">
        <f>IFERROR(__xludf.DUMMYFUNCTION("""COMPUTED_VALUE"""),69.0)</f>
        <v>69</v>
      </c>
      <c r="F7353" s="19" t="str">
        <f>IFERROR(__xludf.DUMMYFUNCTION("""COMPUTED_VALUE"""),"BLACK")</f>
        <v>BLACK</v>
      </c>
      <c r="G7353" s="20" t="str">
        <f>IFERROR(__xludf.DUMMYFUNCTION("""COMPUTED_VALUE"""),"Uncle Sams Cider (5/13/2022)")</f>
        <v>Uncle Sams Cider (5/13/2022)</v>
      </c>
      <c r="H7353" s="19"/>
    </row>
    <row r="7354">
      <c r="A7354" s="9"/>
      <c r="B7354" s="15"/>
      <c r="C7354" s="9">
        <f>IFERROR(__xludf.DUMMYFUNCTION("""COMPUTED_VALUE"""),44719.9383586689)</f>
        <v>44719.93836</v>
      </c>
      <c r="D7354" s="15">
        <f>IFERROR(__xludf.DUMMYFUNCTION("""COMPUTED_VALUE"""),1.009)</f>
        <v>1.009</v>
      </c>
      <c r="E7354" s="16">
        <f>IFERROR(__xludf.DUMMYFUNCTION("""COMPUTED_VALUE"""),69.0)</f>
        <v>69</v>
      </c>
      <c r="F7354" s="19" t="str">
        <f>IFERROR(__xludf.DUMMYFUNCTION("""COMPUTED_VALUE"""),"BLACK")</f>
        <v>BLACK</v>
      </c>
      <c r="G7354" s="20" t="str">
        <f>IFERROR(__xludf.DUMMYFUNCTION("""COMPUTED_VALUE"""),"Uncle Sams Cider (5/13/2022)")</f>
        <v>Uncle Sams Cider (5/13/2022)</v>
      </c>
      <c r="H7354" s="19"/>
    </row>
    <row r="7355">
      <c r="A7355" s="9"/>
      <c r="B7355" s="15"/>
      <c r="C7355" s="9">
        <f>IFERROR(__xludf.DUMMYFUNCTION("""COMPUTED_VALUE"""),44719.9279136805)</f>
        <v>44719.92791</v>
      </c>
      <c r="D7355" s="15">
        <f>IFERROR(__xludf.DUMMYFUNCTION("""COMPUTED_VALUE"""),1.009)</f>
        <v>1.009</v>
      </c>
      <c r="E7355" s="16">
        <f>IFERROR(__xludf.DUMMYFUNCTION("""COMPUTED_VALUE"""),69.0)</f>
        <v>69</v>
      </c>
      <c r="F7355" s="19" t="str">
        <f>IFERROR(__xludf.DUMMYFUNCTION("""COMPUTED_VALUE"""),"BLACK")</f>
        <v>BLACK</v>
      </c>
      <c r="G7355" s="20" t="str">
        <f>IFERROR(__xludf.DUMMYFUNCTION("""COMPUTED_VALUE"""),"Uncle Sams Cider (5/13/2022)")</f>
        <v>Uncle Sams Cider (5/13/2022)</v>
      </c>
      <c r="H7355" s="19"/>
    </row>
    <row r="7356">
      <c r="A7356" s="9"/>
      <c r="B7356" s="15"/>
      <c r="C7356" s="9">
        <f>IFERROR(__xludf.DUMMYFUNCTION("""COMPUTED_VALUE"""),44719.9174924074)</f>
        <v>44719.91749</v>
      </c>
      <c r="D7356" s="15">
        <f>IFERROR(__xludf.DUMMYFUNCTION("""COMPUTED_VALUE"""),1.009)</f>
        <v>1.009</v>
      </c>
      <c r="E7356" s="16">
        <f>IFERROR(__xludf.DUMMYFUNCTION("""COMPUTED_VALUE"""),69.0)</f>
        <v>69</v>
      </c>
      <c r="F7356" s="19" t="str">
        <f>IFERROR(__xludf.DUMMYFUNCTION("""COMPUTED_VALUE"""),"BLACK")</f>
        <v>BLACK</v>
      </c>
      <c r="G7356" s="20" t="str">
        <f>IFERROR(__xludf.DUMMYFUNCTION("""COMPUTED_VALUE"""),"Uncle Sams Cider (5/13/2022)")</f>
        <v>Uncle Sams Cider (5/13/2022)</v>
      </c>
      <c r="H7356" s="19"/>
    </row>
    <row r="7357">
      <c r="A7357" s="9"/>
      <c r="B7357" s="15"/>
      <c r="C7357" s="9">
        <f>IFERROR(__xludf.DUMMYFUNCTION("""COMPUTED_VALUE"""),44719.9070702662)</f>
        <v>44719.90707</v>
      </c>
      <c r="D7357" s="15">
        <f>IFERROR(__xludf.DUMMYFUNCTION("""COMPUTED_VALUE"""),1.009)</f>
        <v>1.009</v>
      </c>
      <c r="E7357" s="16">
        <f>IFERROR(__xludf.DUMMYFUNCTION("""COMPUTED_VALUE"""),69.0)</f>
        <v>69</v>
      </c>
      <c r="F7357" s="19" t="str">
        <f>IFERROR(__xludf.DUMMYFUNCTION("""COMPUTED_VALUE"""),"BLACK")</f>
        <v>BLACK</v>
      </c>
      <c r="G7357" s="20" t="str">
        <f>IFERROR(__xludf.DUMMYFUNCTION("""COMPUTED_VALUE"""),"Uncle Sams Cider (5/13/2022)")</f>
        <v>Uncle Sams Cider (5/13/2022)</v>
      </c>
      <c r="H7357" s="19"/>
    </row>
    <row r="7358">
      <c r="A7358" s="9"/>
      <c r="B7358" s="15"/>
      <c r="C7358" s="9">
        <f>IFERROR(__xludf.DUMMYFUNCTION("""COMPUTED_VALUE"""),44719.8966493634)</f>
        <v>44719.89665</v>
      </c>
      <c r="D7358" s="15">
        <f>IFERROR(__xludf.DUMMYFUNCTION("""COMPUTED_VALUE"""),1.009)</f>
        <v>1.009</v>
      </c>
      <c r="E7358" s="16">
        <f>IFERROR(__xludf.DUMMYFUNCTION("""COMPUTED_VALUE"""),69.0)</f>
        <v>69</v>
      </c>
      <c r="F7358" s="19" t="str">
        <f>IFERROR(__xludf.DUMMYFUNCTION("""COMPUTED_VALUE"""),"BLACK")</f>
        <v>BLACK</v>
      </c>
      <c r="G7358" s="20" t="str">
        <f>IFERROR(__xludf.DUMMYFUNCTION("""COMPUTED_VALUE"""),"Uncle Sams Cider (5/13/2022)")</f>
        <v>Uncle Sams Cider (5/13/2022)</v>
      </c>
      <c r="H7358" s="19"/>
    </row>
    <row r="7359">
      <c r="A7359" s="9"/>
      <c r="B7359" s="15"/>
      <c r="C7359" s="9">
        <f>IFERROR(__xludf.DUMMYFUNCTION("""COMPUTED_VALUE"""),44719.8861709375)</f>
        <v>44719.88617</v>
      </c>
      <c r="D7359" s="15">
        <f>IFERROR(__xludf.DUMMYFUNCTION("""COMPUTED_VALUE"""),1.009)</f>
        <v>1.009</v>
      </c>
      <c r="E7359" s="16">
        <f>IFERROR(__xludf.DUMMYFUNCTION("""COMPUTED_VALUE"""),69.0)</f>
        <v>69</v>
      </c>
      <c r="F7359" s="19" t="str">
        <f>IFERROR(__xludf.DUMMYFUNCTION("""COMPUTED_VALUE"""),"BLACK")</f>
        <v>BLACK</v>
      </c>
      <c r="G7359" s="20" t="str">
        <f>IFERROR(__xludf.DUMMYFUNCTION("""COMPUTED_VALUE"""),"Uncle Sams Cider (5/13/2022)")</f>
        <v>Uncle Sams Cider (5/13/2022)</v>
      </c>
      <c r="H7359" s="19"/>
    </row>
    <row r="7360">
      <c r="A7360" s="9"/>
      <c r="B7360" s="15"/>
      <c r="C7360" s="9">
        <f>IFERROR(__xludf.DUMMYFUNCTION("""COMPUTED_VALUE"""),44719.8757491551)</f>
        <v>44719.87575</v>
      </c>
      <c r="D7360" s="15">
        <f>IFERROR(__xludf.DUMMYFUNCTION("""COMPUTED_VALUE"""),1.009)</f>
        <v>1.009</v>
      </c>
      <c r="E7360" s="16">
        <f>IFERROR(__xludf.DUMMYFUNCTION("""COMPUTED_VALUE"""),69.0)</f>
        <v>69</v>
      </c>
      <c r="F7360" s="19" t="str">
        <f>IFERROR(__xludf.DUMMYFUNCTION("""COMPUTED_VALUE"""),"BLACK")</f>
        <v>BLACK</v>
      </c>
      <c r="G7360" s="20" t="str">
        <f>IFERROR(__xludf.DUMMYFUNCTION("""COMPUTED_VALUE"""),"Uncle Sams Cider (5/13/2022)")</f>
        <v>Uncle Sams Cider (5/13/2022)</v>
      </c>
      <c r="H7360" s="19"/>
    </row>
    <row r="7361">
      <c r="A7361" s="9"/>
      <c r="B7361" s="15"/>
      <c r="C7361" s="9">
        <f>IFERROR(__xludf.DUMMYFUNCTION("""COMPUTED_VALUE"""),44719.8653285416)</f>
        <v>44719.86533</v>
      </c>
      <c r="D7361" s="15">
        <f>IFERROR(__xludf.DUMMYFUNCTION("""COMPUTED_VALUE"""),1.009)</f>
        <v>1.009</v>
      </c>
      <c r="E7361" s="16">
        <f>IFERROR(__xludf.DUMMYFUNCTION("""COMPUTED_VALUE"""),69.0)</f>
        <v>69</v>
      </c>
      <c r="F7361" s="19" t="str">
        <f>IFERROR(__xludf.DUMMYFUNCTION("""COMPUTED_VALUE"""),"BLACK")</f>
        <v>BLACK</v>
      </c>
      <c r="G7361" s="20" t="str">
        <f>IFERROR(__xludf.DUMMYFUNCTION("""COMPUTED_VALUE"""),"Uncle Sams Cider (5/13/2022)")</f>
        <v>Uncle Sams Cider (5/13/2022)</v>
      </c>
      <c r="H7361" s="19"/>
    </row>
    <row r="7362">
      <c r="A7362" s="9"/>
      <c r="B7362" s="15"/>
      <c r="C7362" s="9">
        <f>IFERROR(__xludf.DUMMYFUNCTION("""COMPUTED_VALUE"""),44719.8549076157)</f>
        <v>44719.85491</v>
      </c>
      <c r="D7362" s="15">
        <f>IFERROR(__xludf.DUMMYFUNCTION("""COMPUTED_VALUE"""),1.009)</f>
        <v>1.009</v>
      </c>
      <c r="E7362" s="16">
        <f>IFERROR(__xludf.DUMMYFUNCTION("""COMPUTED_VALUE"""),69.0)</f>
        <v>69</v>
      </c>
      <c r="F7362" s="19" t="str">
        <f>IFERROR(__xludf.DUMMYFUNCTION("""COMPUTED_VALUE"""),"BLACK")</f>
        <v>BLACK</v>
      </c>
      <c r="G7362" s="20" t="str">
        <f>IFERROR(__xludf.DUMMYFUNCTION("""COMPUTED_VALUE"""),"Uncle Sams Cider (5/13/2022)")</f>
        <v>Uncle Sams Cider (5/13/2022)</v>
      </c>
      <c r="H7362" s="19"/>
    </row>
    <row r="7363">
      <c r="A7363" s="9"/>
      <c r="B7363" s="15"/>
      <c r="C7363" s="9">
        <f>IFERROR(__xludf.DUMMYFUNCTION("""COMPUTED_VALUE"""),44719.8444885648)</f>
        <v>44719.84449</v>
      </c>
      <c r="D7363" s="15">
        <f>IFERROR(__xludf.DUMMYFUNCTION("""COMPUTED_VALUE"""),1.009)</f>
        <v>1.009</v>
      </c>
      <c r="E7363" s="16">
        <f>IFERROR(__xludf.DUMMYFUNCTION("""COMPUTED_VALUE"""),69.0)</f>
        <v>69</v>
      </c>
      <c r="F7363" s="19" t="str">
        <f>IFERROR(__xludf.DUMMYFUNCTION("""COMPUTED_VALUE"""),"BLACK")</f>
        <v>BLACK</v>
      </c>
      <c r="G7363" s="20" t="str">
        <f>IFERROR(__xludf.DUMMYFUNCTION("""COMPUTED_VALUE"""),"Uncle Sams Cider (5/13/2022)")</f>
        <v>Uncle Sams Cider (5/13/2022)</v>
      </c>
      <c r="H7363" s="19"/>
    </row>
    <row r="7364">
      <c r="A7364" s="9"/>
      <c r="B7364" s="15"/>
      <c r="C7364" s="9">
        <f>IFERROR(__xludf.DUMMYFUNCTION("""COMPUTED_VALUE"""),44719.8340699768)</f>
        <v>44719.83407</v>
      </c>
      <c r="D7364" s="15">
        <f>IFERROR(__xludf.DUMMYFUNCTION("""COMPUTED_VALUE"""),1.009)</f>
        <v>1.009</v>
      </c>
      <c r="E7364" s="16">
        <f>IFERROR(__xludf.DUMMYFUNCTION("""COMPUTED_VALUE"""),69.0)</f>
        <v>69</v>
      </c>
      <c r="F7364" s="19" t="str">
        <f>IFERROR(__xludf.DUMMYFUNCTION("""COMPUTED_VALUE"""),"BLACK")</f>
        <v>BLACK</v>
      </c>
      <c r="G7364" s="20" t="str">
        <f>IFERROR(__xludf.DUMMYFUNCTION("""COMPUTED_VALUE"""),"Uncle Sams Cider (5/13/2022)")</f>
        <v>Uncle Sams Cider (5/13/2022)</v>
      </c>
      <c r="H7364" s="19"/>
    </row>
    <row r="7365">
      <c r="A7365" s="9"/>
      <c r="B7365" s="15"/>
      <c r="C7365" s="9">
        <f>IFERROR(__xludf.DUMMYFUNCTION("""COMPUTED_VALUE"""),44719.823649618)</f>
        <v>44719.82365</v>
      </c>
      <c r="D7365" s="15">
        <f>IFERROR(__xludf.DUMMYFUNCTION("""COMPUTED_VALUE"""),1.009)</f>
        <v>1.009</v>
      </c>
      <c r="E7365" s="16">
        <f>IFERROR(__xludf.DUMMYFUNCTION("""COMPUTED_VALUE"""),69.0)</f>
        <v>69</v>
      </c>
      <c r="F7365" s="19" t="str">
        <f>IFERROR(__xludf.DUMMYFUNCTION("""COMPUTED_VALUE"""),"BLACK")</f>
        <v>BLACK</v>
      </c>
      <c r="G7365" s="20" t="str">
        <f>IFERROR(__xludf.DUMMYFUNCTION("""COMPUTED_VALUE"""),"Uncle Sams Cider (5/13/2022)")</f>
        <v>Uncle Sams Cider (5/13/2022)</v>
      </c>
      <c r="H7365" s="19"/>
    </row>
    <row r="7366">
      <c r="A7366" s="9"/>
      <c r="B7366" s="15"/>
      <c r="C7366" s="9">
        <f>IFERROR(__xludf.DUMMYFUNCTION("""COMPUTED_VALUE"""),44719.8132158564)</f>
        <v>44719.81322</v>
      </c>
      <c r="D7366" s="15">
        <f>IFERROR(__xludf.DUMMYFUNCTION("""COMPUTED_VALUE"""),1.009)</f>
        <v>1.009</v>
      </c>
      <c r="E7366" s="16">
        <f>IFERROR(__xludf.DUMMYFUNCTION("""COMPUTED_VALUE"""),69.0)</f>
        <v>69</v>
      </c>
      <c r="F7366" s="19" t="str">
        <f>IFERROR(__xludf.DUMMYFUNCTION("""COMPUTED_VALUE"""),"BLACK")</f>
        <v>BLACK</v>
      </c>
      <c r="G7366" s="20" t="str">
        <f>IFERROR(__xludf.DUMMYFUNCTION("""COMPUTED_VALUE"""),"Uncle Sams Cider (5/13/2022)")</f>
        <v>Uncle Sams Cider (5/13/2022)</v>
      </c>
      <c r="H7366" s="19"/>
    </row>
    <row r="7367">
      <c r="A7367" s="9"/>
      <c r="B7367" s="15"/>
      <c r="C7367" s="9">
        <f>IFERROR(__xludf.DUMMYFUNCTION("""COMPUTED_VALUE"""),44719.8027942361)</f>
        <v>44719.80279</v>
      </c>
      <c r="D7367" s="15">
        <f>IFERROR(__xludf.DUMMYFUNCTION("""COMPUTED_VALUE"""),1.009)</f>
        <v>1.009</v>
      </c>
      <c r="E7367" s="16">
        <f>IFERROR(__xludf.DUMMYFUNCTION("""COMPUTED_VALUE"""),69.0)</f>
        <v>69</v>
      </c>
      <c r="F7367" s="19" t="str">
        <f>IFERROR(__xludf.DUMMYFUNCTION("""COMPUTED_VALUE"""),"BLACK")</f>
        <v>BLACK</v>
      </c>
      <c r="G7367" s="20" t="str">
        <f>IFERROR(__xludf.DUMMYFUNCTION("""COMPUTED_VALUE"""),"Uncle Sams Cider (5/13/2022)")</f>
        <v>Uncle Sams Cider (5/13/2022)</v>
      </c>
      <c r="H7367" s="19"/>
    </row>
    <row r="7368">
      <c r="A7368" s="9"/>
      <c r="B7368" s="15"/>
      <c r="C7368" s="9">
        <f>IFERROR(__xludf.DUMMYFUNCTION("""COMPUTED_VALUE"""),44719.7923735995)</f>
        <v>44719.79237</v>
      </c>
      <c r="D7368" s="15">
        <f>IFERROR(__xludf.DUMMYFUNCTION("""COMPUTED_VALUE"""),1.009)</f>
        <v>1.009</v>
      </c>
      <c r="E7368" s="16">
        <f>IFERROR(__xludf.DUMMYFUNCTION("""COMPUTED_VALUE"""),69.0)</f>
        <v>69</v>
      </c>
      <c r="F7368" s="19" t="str">
        <f>IFERROR(__xludf.DUMMYFUNCTION("""COMPUTED_VALUE"""),"BLACK")</f>
        <v>BLACK</v>
      </c>
      <c r="G7368" s="20" t="str">
        <f>IFERROR(__xludf.DUMMYFUNCTION("""COMPUTED_VALUE"""),"Uncle Sams Cider (5/13/2022)")</f>
        <v>Uncle Sams Cider (5/13/2022)</v>
      </c>
      <c r="H7368" s="19"/>
    </row>
    <row r="7369">
      <c r="A7369" s="9"/>
      <c r="B7369" s="15"/>
      <c r="C7369" s="9">
        <f>IFERROR(__xludf.DUMMYFUNCTION("""COMPUTED_VALUE"""),44719.7819527777)</f>
        <v>44719.78195</v>
      </c>
      <c r="D7369" s="15">
        <f>IFERROR(__xludf.DUMMYFUNCTION("""COMPUTED_VALUE"""),1.009)</f>
        <v>1.009</v>
      </c>
      <c r="E7369" s="16">
        <f>IFERROR(__xludf.DUMMYFUNCTION("""COMPUTED_VALUE"""),69.0)</f>
        <v>69</v>
      </c>
      <c r="F7369" s="19" t="str">
        <f>IFERROR(__xludf.DUMMYFUNCTION("""COMPUTED_VALUE"""),"BLACK")</f>
        <v>BLACK</v>
      </c>
      <c r="G7369" s="20" t="str">
        <f>IFERROR(__xludf.DUMMYFUNCTION("""COMPUTED_VALUE"""),"Uncle Sams Cider (5/13/2022)")</f>
        <v>Uncle Sams Cider (5/13/2022)</v>
      </c>
      <c r="H7369" s="19"/>
    </row>
    <row r="7370">
      <c r="A7370" s="9"/>
      <c r="B7370" s="15"/>
      <c r="C7370" s="9">
        <f>IFERROR(__xludf.DUMMYFUNCTION("""COMPUTED_VALUE"""),44719.7715316666)</f>
        <v>44719.77153</v>
      </c>
      <c r="D7370" s="15">
        <f>IFERROR(__xludf.DUMMYFUNCTION("""COMPUTED_VALUE"""),1.009)</f>
        <v>1.009</v>
      </c>
      <c r="E7370" s="16">
        <f>IFERROR(__xludf.DUMMYFUNCTION("""COMPUTED_VALUE"""),69.0)</f>
        <v>69</v>
      </c>
      <c r="F7370" s="19" t="str">
        <f>IFERROR(__xludf.DUMMYFUNCTION("""COMPUTED_VALUE"""),"BLACK")</f>
        <v>BLACK</v>
      </c>
      <c r="G7370" s="20" t="str">
        <f>IFERROR(__xludf.DUMMYFUNCTION("""COMPUTED_VALUE"""),"Uncle Sams Cider (5/13/2022)")</f>
        <v>Uncle Sams Cider (5/13/2022)</v>
      </c>
      <c r="H7370" s="19"/>
    </row>
    <row r="7371">
      <c r="A7371" s="9"/>
      <c r="B7371" s="15"/>
      <c r="C7371" s="9">
        <f>IFERROR(__xludf.DUMMYFUNCTION("""COMPUTED_VALUE"""),44719.7611105902)</f>
        <v>44719.76111</v>
      </c>
      <c r="D7371" s="15">
        <f>IFERROR(__xludf.DUMMYFUNCTION("""COMPUTED_VALUE"""),1.009)</f>
        <v>1.009</v>
      </c>
      <c r="E7371" s="16">
        <f>IFERROR(__xludf.DUMMYFUNCTION("""COMPUTED_VALUE"""),69.0)</f>
        <v>69</v>
      </c>
      <c r="F7371" s="19" t="str">
        <f>IFERROR(__xludf.DUMMYFUNCTION("""COMPUTED_VALUE"""),"BLACK")</f>
        <v>BLACK</v>
      </c>
      <c r="G7371" s="20" t="str">
        <f>IFERROR(__xludf.DUMMYFUNCTION("""COMPUTED_VALUE"""),"Uncle Sams Cider (5/13/2022)")</f>
        <v>Uncle Sams Cider (5/13/2022)</v>
      </c>
      <c r="H7371" s="19"/>
    </row>
    <row r="7372">
      <c r="A7372" s="9"/>
      <c r="B7372" s="15"/>
      <c r="C7372" s="9">
        <f>IFERROR(__xludf.DUMMYFUNCTION("""COMPUTED_VALUE"""),44719.7506874537)</f>
        <v>44719.75069</v>
      </c>
      <c r="D7372" s="15">
        <f>IFERROR(__xludf.DUMMYFUNCTION("""COMPUTED_VALUE"""),1.009)</f>
        <v>1.009</v>
      </c>
      <c r="E7372" s="16">
        <f>IFERROR(__xludf.DUMMYFUNCTION("""COMPUTED_VALUE"""),69.0)</f>
        <v>69</v>
      </c>
      <c r="F7372" s="19" t="str">
        <f>IFERROR(__xludf.DUMMYFUNCTION("""COMPUTED_VALUE"""),"BLACK")</f>
        <v>BLACK</v>
      </c>
      <c r="G7372" s="20" t="str">
        <f>IFERROR(__xludf.DUMMYFUNCTION("""COMPUTED_VALUE"""),"Uncle Sams Cider (5/13/2022)")</f>
        <v>Uncle Sams Cider (5/13/2022)</v>
      </c>
      <c r="H7372" s="19"/>
    </row>
    <row r="7373">
      <c r="A7373" s="9"/>
      <c r="B7373" s="15"/>
      <c r="C7373" s="9">
        <f>IFERROR(__xludf.DUMMYFUNCTION("""COMPUTED_VALUE"""),44719.7402668287)</f>
        <v>44719.74027</v>
      </c>
      <c r="D7373" s="15">
        <f>IFERROR(__xludf.DUMMYFUNCTION("""COMPUTED_VALUE"""),1.009)</f>
        <v>1.009</v>
      </c>
      <c r="E7373" s="16">
        <f>IFERROR(__xludf.DUMMYFUNCTION("""COMPUTED_VALUE"""),69.0)</f>
        <v>69</v>
      </c>
      <c r="F7373" s="19" t="str">
        <f>IFERROR(__xludf.DUMMYFUNCTION("""COMPUTED_VALUE"""),"BLACK")</f>
        <v>BLACK</v>
      </c>
      <c r="G7373" s="20" t="str">
        <f>IFERROR(__xludf.DUMMYFUNCTION("""COMPUTED_VALUE"""),"Uncle Sams Cider (5/13/2022)")</f>
        <v>Uncle Sams Cider (5/13/2022)</v>
      </c>
      <c r="H7373" s="19"/>
    </row>
    <row r="7374">
      <c r="A7374" s="9"/>
      <c r="B7374" s="15"/>
      <c r="C7374" s="9">
        <f>IFERROR(__xludf.DUMMYFUNCTION("""COMPUTED_VALUE"""),44719.7298353125)</f>
        <v>44719.72984</v>
      </c>
      <c r="D7374" s="15">
        <f>IFERROR(__xludf.DUMMYFUNCTION("""COMPUTED_VALUE"""),1.009)</f>
        <v>1.009</v>
      </c>
      <c r="E7374" s="16">
        <f>IFERROR(__xludf.DUMMYFUNCTION("""COMPUTED_VALUE"""),69.0)</f>
        <v>69</v>
      </c>
      <c r="F7374" s="19" t="str">
        <f>IFERROR(__xludf.DUMMYFUNCTION("""COMPUTED_VALUE"""),"BLACK")</f>
        <v>BLACK</v>
      </c>
      <c r="G7374" s="20" t="str">
        <f>IFERROR(__xludf.DUMMYFUNCTION("""COMPUTED_VALUE"""),"Uncle Sams Cider (5/13/2022)")</f>
        <v>Uncle Sams Cider (5/13/2022)</v>
      </c>
      <c r="H7374" s="19"/>
    </row>
    <row r="7375">
      <c r="A7375" s="9"/>
      <c r="B7375" s="15"/>
      <c r="C7375" s="9">
        <f>IFERROR(__xludf.DUMMYFUNCTION("""COMPUTED_VALUE"""),44719.7194139236)</f>
        <v>44719.71941</v>
      </c>
      <c r="D7375" s="15">
        <f>IFERROR(__xludf.DUMMYFUNCTION("""COMPUTED_VALUE"""),1.009)</f>
        <v>1.009</v>
      </c>
      <c r="E7375" s="16">
        <f>IFERROR(__xludf.DUMMYFUNCTION("""COMPUTED_VALUE"""),69.0)</f>
        <v>69</v>
      </c>
      <c r="F7375" s="19" t="str">
        <f>IFERROR(__xludf.DUMMYFUNCTION("""COMPUTED_VALUE"""),"BLACK")</f>
        <v>BLACK</v>
      </c>
      <c r="G7375" s="20" t="str">
        <f>IFERROR(__xludf.DUMMYFUNCTION("""COMPUTED_VALUE"""),"Uncle Sams Cider (5/13/2022)")</f>
        <v>Uncle Sams Cider (5/13/2022)</v>
      </c>
      <c r="H7375" s="19"/>
    </row>
    <row r="7376">
      <c r="A7376" s="9"/>
      <c r="B7376" s="15"/>
      <c r="C7376" s="9">
        <f>IFERROR(__xludf.DUMMYFUNCTION("""COMPUTED_VALUE"""),44719.708992743)</f>
        <v>44719.70899</v>
      </c>
      <c r="D7376" s="15">
        <f>IFERROR(__xludf.DUMMYFUNCTION("""COMPUTED_VALUE"""),1.009)</f>
        <v>1.009</v>
      </c>
      <c r="E7376" s="16">
        <f>IFERROR(__xludf.DUMMYFUNCTION("""COMPUTED_VALUE"""),69.0)</f>
        <v>69</v>
      </c>
      <c r="F7376" s="19" t="str">
        <f>IFERROR(__xludf.DUMMYFUNCTION("""COMPUTED_VALUE"""),"BLACK")</f>
        <v>BLACK</v>
      </c>
      <c r="G7376" s="20" t="str">
        <f>IFERROR(__xludf.DUMMYFUNCTION("""COMPUTED_VALUE"""),"Uncle Sams Cider (5/13/2022)")</f>
        <v>Uncle Sams Cider (5/13/2022)</v>
      </c>
      <c r="H7376" s="19"/>
    </row>
    <row r="7377">
      <c r="A7377" s="9"/>
      <c r="B7377" s="15"/>
      <c r="C7377" s="9">
        <f>IFERROR(__xludf.DUMMYFUNCTION("""COMPUTED_VALUE"""),44719.6985705324)</f>
        <v>44719.69857</v>
      </c>
      <c r="D7377" s="15">
        <f>IFERROR(__xludf.DUMMYFUNCTION("""COMPUTED_VALUE"""),1.009)</f>
        <v>1.009</v>
      </c>
      <c r="E7377" s="16">
        <f>IFERROR(__xludf.DUMMYFUNCTION("""COMPUTED_VALUE"""),69.0)</f>
        <v>69</v>
      </c>
      <c r="F7377" s="19" t="str">
        <f>IFERROR(__xludf.DUMMYFUNCTION("""COMPUTED_VALUE"""),"BLACK")</f>
        <v>BLACK</v>
      </c>
      <c r="G7377" s="20" t="str">
        <f>IFERROR(__xludf.DUMMYFUNCTION("""COMPUTED_VALUE"""),"Uncle Sams Cider (5/13/2022)")</f>
        <v>Uncle Sams Cider (5/13/2022)</v>
      </c>
      <c r="H7377" s="19"/>
    </row>
    <row r="7378">
      <c r="A7378" s="9"/>
      <c r="B7378" s="15"/>
      <c r="C7378" s="9">
        <f>IFERROR(__xludf.DUMMYFUNCTION("""COMPUTED_VALUE"""),44719.6881499652)</f>
        <v>44719.68815</v>
      </c>
      <c r="D7378" s="15">
        <f>IFERROR(__xludf.DUMMYFUNCTION("""COMPUTED_VALUE"""),1.009)</f>
        <v>1.009</v>
      </c>
      <c r="E7378" s="16">
        <f>IFERROR(__xludf.DUMMYFUNCTION("""COMPUTED_VALUE"""),69.0)</f>
        <v>69</v>
      </c>
      <c r="F7378" s="19" t="str">
        <f>IFERROR(__xludf.DUMMYFUNCTION("""COMPUTED_VALUE"""),"BLACK")</f>
        <v>BLACK</v>
      </c>
      <c r="G7378" s="20" t="str">
        <f>IFERROR(__xludf.DUMMYFUNCTION("""COMPUTED_VALUE"""),"Uncle Sams Cider (5/13/2022)")</f>
        <v>Uncle Sams Cider (5/13/2022)</v>
      </c>
      <c r="H7378" s="19"/>
    </row>
    <row r="7379">
      <c r="A7379" s="9"/>
      <c r="B7379" s="15"/>
      <c r="C7379" s="9">
        <f>IFERROR(__xludf.DUMMYFUNCTION("""COMPUTED_VALUE"""),44719.6777048611)</f>
        <v>44719.6777</v>
      </c>
      <c r="D7379" s="15">
        <f>IFERROR(__xludf.DUMMYFUNCTION("""COMPUTED_VALUE"""),1.009)</f>
        <v>1.009</v>
      </c>
      <c r="E7379" s="16">
        <f>IFERROR(__xludf.DUMMYFUNCTION("""COMPUTED_VALUE"""),69.0)</f>
        <v>69</v>
      </c>
      <c r="F7379" s="19" t="str">
        <f>IFERROR(__xludf.DUMMYFUNCTION("""COMPUTED_VALUE"""),"BLACK")</f>
        <v>BLACK</v>
      </c>
      <c r="G7379" s="20" t="str">
        <f>IFERROR(__xludf.DUMMYFUNCTION("""COMPUTED_VALUE"""),"Uncle Sams Cider (5/13/2022)")</f>
        <v>Uncle Sams Cider (5/13/2022)</v>
      </c>
      <c r="H7379" s="19"/>
    </row>
    <row r="7380">
      <c r="A7380" s="9"/>
      <c r="B7380" s="15"/>
      <c r="C7380" s="9">
        <f>IFERROR(__xludf.DUMMYFUNCTION("""COMPUTED_VALUE"""),44719.6672736805)</f>
        <v>44719.66727</v>
      </c>
      <c r="D7380" s="15">
        <f>IFERROR(__xludf.DUMMYFUNCTION("""COMPUTED_VALUE"""),1.009)</f>
        <v>1.009</v>
      </c>
      <c r="E7380" s="16">
        <f>IFERROR(__xludf.DUMMYFUNCTION("""COMPUTED_VALUE"""),69.0)</f>
        <v>69</v>
      </c>
      <c r="F7380" s="19" t="str">
        <f>IFERROR(__xludf.DUMMYFUNCTION("""COMPUTED_VALUE"""),"BLACK")</f>
        <v>BLACK</v>
      </c>
      <c r="G7380" s="20" t="str">
        <f>IFERROR(__xludf.DUMMYFUNCTION("""COMPUTED_VALUE"""),"Uncle Sams Cider (5/13/2022)")</f>
        <v>Uncle Sams Cider (5/13/2022)</v>
      </c>
      <c r="H7380" s="19"/>
    </row>
    <row r="7381">
      <c r="A7381" s="9"/>
      <c r="B7381" s="15"/>
      <c r="C7381" s="9">
        <f>IFERROR(__xludf.DUMMYFUNCTION("""COMPUTED_VALUE"""),44719.656851956)</f>
        <v>44719.65685</v>
      </c>
      <c r="D7381" s="15">
        <f>IFERROR(__xludf.DUMMYFUNCTION("""COMPUTED_VALUE"""),1.009)</f>
        <v>1.009</v>
      </c>
      <c r="E7381" s="16">
        <f>IFERROR(__xludf.DUMMYFUNCTION("""COMPUTED_VALUE"""),69.0)</f>
        <v>69</v>
      </c>
      <c r="F7381" s="19" t="str">
        <f>IFERROR(__xludf.DUMMYFUNCTION("""COMPUTED_VALUE"""),"BLACK")</f>
        <v>BLACK</v>
      </c>
      <c r="G7381" s="20" t="str">
        <f>IFERROR(__xludf.DUMMYFUNCTION("""COMPUTED_VALUE"""),"Uncle Sams Cider (5/13/2022)")</f>
        <v>Uncle Sams Cider (5/13/2022)</v>
      </c>
      <c r="H7381" s="19"/>
    </row>
    <row r="7382">
      <c r="A7382" s="9"/>
      <c r="B7382" s="15"/>
      <c r="C7382" s="9">
        <f>IFERROR(__xludf.DUMMYFUNCTION("""COMPUTED_VALUE"""),44719.6464315046)</f>
        <v>44719.64643</v>
      </c>
      <c r="D7382" s="15">
        <f>IFERROR(__xludf.DUMMYFUNCTION("""COMPUTED_VALUE"""),1.009)</f>
        <v>1.009</v>
      </c>
      <c r="E7382" s="16">
        <f>IFERROR(__xludf.DUMMYFUNCTION("""COMPUTED_VALUE"""),69.0)</f>
        <v>69</v>
      </c>
      <c r="F7382" s="19" t="str">
        <f>IFERROR(__xludf.DUMMYFUNCTION("""COMPUTED_VALUE"""),"BLACK")</f>
        <v>BLACK</v>
      </c>
      <c r="G7382" s="20" t="str">
        <f>IFERROR(__xludf.DUMMYFUNCTION("""COMPUTED_VALUE"""),"Uncle Sams Cider (5/13/2022)")</f>
        <v>Uncle Sams Cider (5/13/2022)</v>
      </c>
      <c r="H7382" s="19"/>
    </row>
    <row r="7383">
      <c r="A7383" s="9"/>
      <c r="B7383" s="15"/>
      <c r="C7383" s="9">
        <f>IFERROR(__xludf.DUMMYFUNCTION("""COMPUTED_VALUE"""),44719.635998368)</f>
        <v>44719.636</v>
      </c>
      <c r="D7383" s="15">
        <f>IFERROR(__xludf.DUMMYFUNCTION("""COMPUTED_VALUE"""),1.009)</f>
        <v>1.009</v>
      </c>
      <c r="E7383" s="16">
        <f>IFERROR(__xludf.DUMMYFUNCTION("""COMPUTED_VALUE"""),69.0)</f>
        <v>69</v>
      </c>
      <c r="F7383" s="19" t="str">
        <f>IFERROR(__xludf.DUMMYFUNCTION("""COMPUTED_VALUE"""),"BLACK")</f>
        <v>BLACK</v>
      </c>
      <c r="G7383" s="20" t="str">
        <f>IFERROR(__xludf.DUMMYFUNCTION("""COMPUTED_VALUE"""),"Uncle Sams Cider (5/13/2022)")</f>
        <v>Uncle Sams Cider (5/13/2022)</v>
      </c>
      <c r="H7383" s="19"/>
    </row>
    <row r="7384">
      <c r="A7384" s="9"/>
      <c r="B7384" s="15"/>
      <c r="C7384" s="9">
        <f>IFERROR(__xludf.DUMMYFUNCTION("""COMPUTED_VALUE"""),44719.6255775231)</f>
        <v>44719.62558</v>
      </c>
      <c r="D7384" s="15">
        <f>IFERROR(__xludf.DUMMYFUNCTION("""COMPUTED_VALUE"""),1.009)</f>
        <v>1.009</v>
      </c>
      <c r="E7384" s="16">
        <f>IFERROR(__xludf.DUMMYFUNCTION("""COMPUTED_VALUE"""),69.0)</f>
        <v>69</v>
      </c>
      <c r="F7384" s="19" t="str">
        <f>IFERROR(__xludf.DUMMYFUNCTION("""COMPUTED_VALUE"""),"BLACK")</f>
        <v>BLACK</v>
      </c>
      <c r="G7384" s="20" t="str">
        <f>IFERROR(__xludf.DUMMYFUNCTION("""COMPUTED_VALUE"""),"Uncle Sams Cider (5/13/2022)")</f>
        <v>Uncle Sams Cider (5/13/2022)</v>
      </c>
      <c r="H7384" s="19"/>
    </row>
    <row r="7385">
      <c r="A7385" s="9"/>
      <c r="B7385" s="15"/>
      <c r="C7385" s="9">
        <f>IFERROR(__xludf.DUMMYFUNCTION("""COMPUTED_VALUE"""),44719.6151566088)</f>
        <v>44719.61516</v>
      </c>
      <c r="D7385" s="15">
        <f>IFERROR(__xludf.DUMMYFUNCTION("""COMPUTED_VALUE"""),1.009)</f>
        <v>1.009</v>
      </c>
      <c r="E7385" s="16">
        <f>IFERROR(__xludf.DUMMYFUNCTION("""COMPUTED_VALUE"""),69.0)</f>
        <v>69</v>
      </c>
      <c r="F7385" s="19" t="str">
        <f>IFERROR(__xludf.DUMMYFUNCTION("""COMPUTED_VALUE"""),"BLACK")</f>
        <v>BLACK</v>
      </c>
      <c r="G7385" s="20" t="str">
        <f>IFERROR(__xludf.DUMMYFUNCTION("""COMPUTED_VALUE"""),"Uncle Sams Cider (5/13/2022)")</f>
        <v>Uncle Sams Cider (5/13/2022)</v>
      </c>
      <c r="H7385" s="19"/>
    </row>
    <row r="7386">
      <c r="A7386" s="9"/>
      <c r="B7386" s="15"/>
      <c r="C7386" s="9">
        <f>IFERROR(__xludf.DUMMYFUNCTION("""COMPUTED_VALUE"""),44719.6047328125)</f>
        <v>44719.60473</v>
      </c>
      <c r="D7386" s="15">
        <f>IFERROR(__xludf.DUMMYFUNCTION("""COMPUTED_VALUE"""),1.009)</f>
        <v>1.009</v>
      </c>
      <c r="E7386" s="16">
        <f>IFERROR(__xludf.DUMMYFUNCTION("""COMPUTED_VALUE"""),69.0)</f>
        <v>69</v>
      </c>
      <c r="F7386" s="19" t="str">
        <f>IFERROR(__xludf.DUMMYFUNCTION("""COMPUTED_VALUE"""),"BLACK")</f>
        <v>BLACK</v>
      </c>
      <c r="G7386" s="20" t="str">
        <f>IFERROR(__xludf.DUMMYFUNCTION("""COMPUTED_VALUE"""),"Uncle Sams Cider (5/13/2022)")</f>
        <v>Uncle Sams Cider (5/13/2022)</v>
      </c>
      <c r="H7386" s="19"/>
    </row>
    <row r="7387">
      <c r="A7387" s="9"/>
      <c r="B7387" s="15"/>
      <c r="C7387" s="9">
        <f>IFERROR(__xludf.DUMMYFUNCTION("""COMPUTED_VALUE"""),44719.5943120486)</f>
        <v>44719.59431</v>
      </c>
      <c r="D7387" s="15">
        <f>IFERROR(__xludf.DUMMYFUNCTION("""COMPUTED_VALUE"""),1.009)</f>
        <v>1.009</v>
      </c>
      <c r="E7387" s="16">
        <f>IFERROR(__xludf.DUMMYFUNCTION("""COMPUTED_VALUE"""),69.0)</f>
        <v>69</v>
      </c>
      <c r="F7387" s="19" t="str">
        <f>IFERROR(__xludf.DUMMYFUNCTION("""COMPUTED_VALUE"""),"BLACK")</f>
        <v>BLACK</v>
      </c>
      <c r="G7387" s="20" t="str">
        <f>IFERROR(__xludf.DUMMYFUNCTION("""COMPUTED_VALUE"""),"Uncle Sams Cider (5/13/2022)")</f>
        <v>Uncle Sams Cider (5/13/2022)</v>
      </c>
      <c r="H7387" s="19"/>
    </row>
    <row r="7388">
      <c r="A7388" s="9"/>
      <c r="B7388" s="15"/>
      <c r="C7388" s="9">
        <f>IFERROR(__xludf.DUMMYFUNCTION("""COMPUTED_VALUE"""),44719.5838910185)</f>
        <v>44719.58389</v>
      </c>
      <c r="D7388" s="15">
        <f>IFERROR(__xludf.DUMMYFUNCTION("""COMPUTED_VALUE"""),1.009)</f>
        <v>1.009</v>
      </c>
      <c r="E7388" s="16">
        <f>IFERROR(__xludf.DUMMYFUNCTION("""COMPUTED_VALUE"""),69.0)</f>
        <v>69</v>
      </c>
      <c r="F7388" s="19" t="str">
        <f>IFERROR(__xludf.DUMMYFUNCTION("""COMPUTED_VALUE"""),"BLACK")</f>
        <v>BLACK</v>
      </c>
      <c r="G7388" s="20" t="str">
        <f>IFERROR(__xludf.DUMMYFUNCTION("""COMPUTED_VALUE"""),"Uncle Sams Cider (5/13/2022)")</f>
        <v>Uncle Sams Cider (5/13/2022)</v>
      </c>
      <c r="H7388" s="19"/>
    </row>
    <row r="7389">
      <c r="A7389" s="9"/>
      <c r="B7389" s="15"/>
      <c r="C7389" s="9">
        <f>IFERROR(__xludf.DUMMYFUNCTION("""COMPUTED_VALUE"""),44719.5734692592)</f>
        <v>44719.57347</v>
      </c>
      <c r="D7389" s="15">
        <f>IFERROR(__xludf.DUMMYFUNCTION("""COMPUTED_VALUE"""),1.009)</f>
        <v>1.009</v>
      </c>
      <c r="E7389" s="16">
        <f>IFERROR(__xludf.DUMMYFUNCTION("""COMPUTED_VALUE"""),69.0)</f>
        <v>69</v>
      </c>
      <c r="F7389" s="19" t="str">
        <f>IFERROR(__xludf.DUMMYFUNCTION("""COMPUTED_VALUE"""),"BLACK")</f>
        <v>BLACK</v>
      </c>
      <c r="G7389" s="20" t="str">
        <f>IFERROR(__xludf.DUMMYFUNCTION("""COMPUTED_VALUE"""),"Uncle Sams Cider (5/13/2022)")</f>
        <v>Uncle Sams Cider (5/13/2022)</v>
      </c>
      <c r="H7389" s="19"/>
    </row>
    <row r="7390">
      <c r="A7390" s="9"/>
      <c r="B7390" s="15"/>
      <c r="C7390" s="9">
        <f>IFERROR(__xludf.DUMMYFUNCTION("""COMPUTED_VALUE"""),44719.5630469907)</f>
        <v>44719.56305</v>
      </c>
      <c r="D7390" s="15">
        <f>IFERROR(__xludf.DUMMYFUNCTION("""COMPUTED_VALUE"""),1.009)</f>
        <v>1.009</v>
      </c>
      <c r="E7390" s="16">
        <f>IFERROR(__xludf.DUMMYFUNCTION("""COMPUTED_VALUE"""),69.0)</f>
        <v>69</v>
      </c>
      <c r="F7390" s="19" t="str">
        <f>IFERROR(__xludf.DUMMYFUNCTION("""COMPUTED_VALUE"""),"BLACK")</f>
        <v>BLACK</v>
      </c>
      <c r="G7390" s="20" t="str">
        <f>IFERROR(__xludf.DUMMYFUNCTION("""COMPUTED_VALUE"""),"Uncle Sams Cider (5/13/2022)")</f>
        <v>Uncle Sams Cider (5/13/2022)</v>
      </c>
      <c r="H7390" s="19"/>
    </row>
    <row r="7391">
      <c r="A7391" s="9"/>
      <c r="B7391" s="15"/>
      <c r="C7391" s="9">
        <f>IFERROR(__xludf.DUMMYFUNCTION("""COMPUTED_VALUE"""),44719.5526246643)</f>
        <v>44719.55262</v>
      </c>
      <c r="D7391" s="15">
        <f>IFERROR(__xludf.DUMMYFUNCTION("""COMPUTED_VALUE"""),1.009)</f>
        <v>1.009</v>
      </c>
      <c r="E7391" s="16">
        <f>IFERROR(__xludf.DUMMYFUNCTION("""COMPUTED_VALUE"""),69.0)</f>
        <v>69</v>
      </c>
      <c r="F7391" s="19" t="str">
        <f>IFERROR(__xludf.DUMMYFUNCTION("""COMPUTED_VALUE"""),"BLACK")</f>
        <v>BLACK</v>
      </c>
      <c r="G7391" s="20" t="str">
        <f>IFERROR(__xludf.DUMMYFUNCTION("""COMPUTED_VALUE"""),"Uncle Sams Cider (5/13/2022)")</f>
        <v>Uncle Sams Cider (5/13/2022)</v>
      </c>
      <c r="H7391" s="19"/>
    </row>
    <row r="7392">
      <c r="A7392" s="9"/>
      <c r="B7392" s="15"/>
      <c r="C7392" s="9">
        <f>IFERROR(__xludf.DUMMYFUNCTION("""COMPUTED_VALUE"""),44719.5422034838)</f>
        <v>44719.5422</v>
      </c>
      <c r="D7392" s="15">
        <f>IFERROR(__xludf.DUMMYFUNCTION("""COMPUTED_VALUE"""),1.009)</f>
        <v>1.009</v>
      </c>
      <c r="E7392" s="16">
        <f>IFERROR(__xludf.DUMMYFUNCTION("""COMPUTED_VALUE"""),69.0)</f>
        <v>69</v>
      </c>
      <c r="F7392" s="19" t="str">
        <f>IFERROR(__xludf.DUMMYFUNCTION("""COMPUTED_VALUE"""),"BLACK")</f>
        <v>BLACK</v>
      </c>
      <c r="G7392" s="20" t="str">
        <f>IFERROR(__xludf.DUMMYFUNCTION("""COMPUTED_VALUE"""),"Uncle Sams Cider (5/13/2022)")</f>
        <v>Uncle Sams Cider (5/13/2022)</v>
      </c>
      <c r="H7392" s="19"/>
    </row>
    <row r="7393">
      <c r="A7393" s="9"/>
      <c r="B7393" s="15"/>
      <c r="C7393" s="9">
        <f>IFERROR(__xludf.DUMMYFUNCTION("""COMPUTED_VALUE"""),44719.5317820138)</f>
        <v>44719.53178</v>
      </c>
      <c r="D7393" s="15">
        <f>IFERROR(__xludf.DUMMYFUNCTION("""COMPUTED_VALUE"""),1.009)</f>
        <v>1.009</v>
      </c>
      <c r="E7393" s="16">
        <f>IFERROR(__xludf.DUMMYFUNCTION("""COMPUTED_VALUE"""),69.0)</f>
        <v>69</v>
      </c>
      <c r="F7393" s="19" t="str">
        <f>IFERROR(__xludf.DUMMYFUNCTION("""COMPUTED_VALUE"""),"BLACK")</f>
        <v>BLACK</v>
      </c>
      <c r="G7393" s="20" t="str">
        <f>IFERROR(__xludf.DUMMYFUNCTION("""COMPUTED_VALUE"""),"Uncle Sams Cider (5/13/2022)")</f>
        <v>Uncle Sams Cider (5/13/2022)</v>
      </c>
      <c r="H7393" s="19"/>
    </row>
    <row r="7394">
      <c r="A7394" s="9"/>
      <c r="B7394" s="15"/>
      <c r="C7394" s="9">
        <f>IFERROR(__xludf.DUMMYFUNCTION("""COMPUTED_VALUE"""),44719.5213500231)</f>
        <v>44719.52135</v>
      </c>
      <c r="D7394" s="15">
        <f>IFERROR(__xludf.DUMMYFUNCTION("""COMPUTED_VALUE"""),1.009)</f>
        <v>1.009</v>
      </c>
      <c r="E7394" s="16">
        <f>IFERROR(__xludf.DUMMYFUNCTION("""COMPUTED_VALUE"""),69.0)</f>
        <v>69</v>
      </c>
      <c r="F7394" s="19" t="str">
        <f>IFERROR(__xludf.DUMMYFUNCTION("""COMPUTED_VALUE"""),"BLACK")</f>
        <v>BLACK</v>
      </c>
      <c r="G7394" s="20" t="str">
        <f>IFERROR(__xludf.DUMMYFUNCTION("""COMPUTED_VALUE"""),"Uncle Sams Cider (5/13/2022)")</f>
        <v>Uncle Sams Cider (5/13/2022)</v>
      </c>
      <c r="H7394" s="19"/>
    </row>
    <row r="7395">
      <c r="A7395" s="9"/>
      <c r="B7395" s="15"/>
      <c r="C7395" s="9">
        <f>IFERROR(__xludf.DUMMYFUNCTION("""COMPUTED_VALUE"""),44719.5109281828)</f>
        <v>44719.51093</v>
      </c>
      <c r="D7395" s="15">
        <f>IFERROR(__xludf.DUMMYFUNCTION("""COMPUTED_VALUE"""),1.009)</f>
        <v>1.009</v>
      </c>
      <c r="E7395" s="16">
        <f>IFERROR(__xludf.DUMMYFUNCTION("""COMPUTED_VALUE"""),69.0)</f>
        <v>69</v>
      </c>
      <c r="F7395" s="19" t="str">
        <f>IFERROR(__xludf.DUMMYFUNCTION("""COMPUTED_VALUE"""),"BLACK")</f>
        <v>BLACK</v>
      </c>
      <c r="G7395" s="20" t="str">
        <f>IFERROR(__xludf.DUMMYFUNCTION("""COMPUTED_VALUE"""),"Uncle Sams Cider (5/13/2022)")</f>
        <v>Uncle Sams Cider (5/13/2022)</v>
      </c>
      <c r="H7395" s="19"/>
    </row>
    <row r="7396">
      <c r="A7396" s="9"/>
      <c r="B7396" s="15"/>
      <c r="C7396" s="9">
        <f>IFERROR(__xludf.DUMMYFUNCTION("""COMPUTED_VALUE"""),44719.5005071875)</f>
        <v>44719.50051</v>
      </c>
      <c r="D7396" s="15">
        <f>IFERROR(__xludf.DUMMYFUNCTION("""COMPUTED_VALUE"""),1.009)</f>
        <v>1.009</v>
      </c>
      <c r="E7396" s="16">
        <f>IFERROR(__xludf.DUMMYFUNCTION("""COMPUTED_VALUE"""),69.0)</f>
        <v>69</v>
      </c>
      <c r="F7396" s="19" t="str">
        <f>IFERROR(__xludf.DUMMYFUNCTION("""COMPUTED_VALUE"""),"BLACK")</f>
        <v>BLACK</v>
      </c>
      <c r="G7396" s="20" t="str">
        <f>IFERROR(__xludf.DUMMYFUNCTION("""COMPUTED_VALUE"""),"Uncle Sams Cider (5/13/2022)")</f>
        <v>Uncle Sams Cider (5/13/2022)</v>
      </c>
      <c r="H7396" s="19"/>
    </row>
    <row r="7397">
      <c r="A7397" s="9"/>
      <c r="B7397" s="15"/>
      <c r="C7397" s="9">
        <f>IFERROR(__xludf.DUMMYFUNCTION("""COMPUTED_VALUE"""),44719.4900872453)</f>
        <v>44719.49009</v>
      </c>
      <c r="D7397" s="15">
        <f>IFERROR(__xludf.DUMMYFUNCTION("""COMPUTED_VALUE"""),1.009)</f>
        <v>1.009</v>
      </c>
      <c r="E7397" s="16">
        <f>IFERROR(__xludf.DUMMYFUNCTION("""COMPUTED_VALUE"""),69.0)</f>
        <v>69</v>
      </c>
      <c r="F7397" s="19" t="str">
        <f>IFERROR(__xludf.DUMMYFUNCTION("""COMPUTED_VALUE"""),"BLACK")</f>
        <v>BLACK</v>
      </c>
      <c r="G7397" s="20" t="str">
        <f>IFERROR(__xludf.DUMMYFUNCTION("""COMPUTED_VALUE"""),"Uncle Sams Cider (5/13/2022)")</f>
        <v>Uncle Sams Cider (5/13/2022)</v>
      </c>
      <c r="H7397" s="19"/>
    </row>
    <row r="7398">
      <c r="A7398" s="9"/>
      <c r="B7398" s="15"/>
      <c r="C7398" s="9">
        <f>IFERROR(__xludf.DUMMYFUNCTION("""COMPUTED_VALUE"""),44719.4796661574)</f>
        <v>44719.47967</v>
      </c>
      <c r="D7398" s="15">
        <f>IFERROR(__xludf.DUMMYFUNCTION("""COMPUTED_VALUE"""),1.01)</f>
        <v>1.01</v>
      </c>
      <c r="E7398" s="16">
        <f>IFERROR(__xludf.DUMMYFUNCTION("""COMPUTED_VALUE"""),69.0)</f>
        <v>69</v>
      </c>
      <c r="F7398" s="19" t="str">
        <f>IFERROR(__xludf.DUMMYFUNCTION("""COMPUTED_VALUE"""),"BLACK")</f>
        <v>BLACK</v>
      </c>
      <c r="G7398" s="20" t="str">
        <f>IFERROR(__xludf.DUMMYFUNCTION("""COMPUTED_VALUE"""),"Uncle Sams Cider (5/13/2022)")</f>
        <v>Uncle Sams Cider (5/13/2022)</v>
      </c>
      <c r="H7398" s="19"/>
    </row>
    <row r="7399">
      <c r="A7399" s="9"/>
      <c r="B7399" s="15"/>
      <c r="C7399" s="9">
        <f>IFERROR(__xludf.DUMMYFUNCTION("""COMPUTED_VALUE"""),44719.4692105439)</f>
        <v>44719.46921</v>
      </c>
      <c r="D7399" s="15">
        <f>IFERROR(__xludf.DUMMYFUNCTION("""COMPUTED_VALUE"""),1.01)</f>
        <v>1.01</v>
      </c>
      <c r="E7399" s="16">
        <f>IFERROR(__xludf.DUMMYFUNCTION("""COMPUTED_VALUE"""),69.0)</f>
        <v>69</v>
      </c>
      <c r="F7399" s="19" t="str">
        <f>IFERROR(__xludf.DUMMYFUNCTION("""COMPUTED_VALUE"""),"BLACK")</f>
        <v>BLACK</v>
      </c>
      <c r="G7399" s="20" t="str">
        <f>IFERROR(__xludf.DUMMYFUNCTION("""COMPUTED_VALUE"""),"Uncle Sams Cider (5/13/2022)")</f>
        <v>Uncle Sams Cider (5/13/2022)</v>
      </c>
      <c r="H7399" s="19"/>
    </row>
    <row r="7400">
      <c r="A7400" s="9"/>
      <c r="B7400" s="15"/>
      <c r="C7400" s="9">
        <f>IFERROR(__xludf.DUMMYFUNCTION("""COMPUTED_VALUE"""),44719.4587883796)</f>
        <v>44719.45879</v>
      </c>
      <c r="D7400" s="15">
        <f>IFERROR(__xludf.DUMMYFUNCTION("""COMPUTED_VALUE"""),1.009)</f>
        <v>1.009</v>
      </c>
      <c r="E7400" s="16">
        <f>IFERROR(__xludf.DUMMYFUNCTION("""COMPUTED_VALUE"""),69.0)</f>
        <v>69</v>
      </c>
      <c r="F7400" s="19" t="str">
        <f>IFERROR(__xludf.DUMMYFUNCTION("""COMPUTED_VALUE"""),"BLACK")</f>
        <v>BLACK</v>
      </c>
      <c r="G7400" s="20" t="str">
        <f>IFERROR(__xludf.DUMMYFUNCTION("""COMPUTED_VALUE"""),"Uncle Sams Cider (5/13/2022)")</f>
        <v>Uncle Sams Cider (5/13/2022)</v>
      </c>
      <c r="H7400" s="19"/>
    </row>
    <row r="7401">
      <c r="A7401" s="9"/>
      <c r="B7401" s="15"/>
      <c r="C7401" s="9">
        <f>IFERROR(__xludf.DUMMYFUNCTION("""COMPUTED_VALUE"""),44719.4483661921)</f>
        <v>44719.44837</v>
      </c>
      <c r="D7401" s="15">
        <f>IFERROR(__xludf.DUMMYFUNCTION("""COMPUTED_VALUE"""),1.009)</f>
        <v>1.009</v>
      </c>
      <c r="E7401" s="16">
        <f>IFERROR(__xludf.DUMMYFUNCTION("""COMPUTED_VALUE"""),69.0)</f>
        <v>69</v>
      </c>
      <c r="F7401" s="19" t="str">
        <f>IFERROR(__xludf.DUMMYFUNCTION("""COMPUTED_VALUE"""),"BLACK")</f>
        <v>BLACK</v>
      </c>
      <c r="G7401" s="20" t="str">
        <f>IFERROR(__xludf.DUMMYFUNCTION("""COMPUTED_VALUE"""),"Uncle Sams Cider (5/13/2022)")</f>
        <v>Uncle Sams Cider (5/13/2022)</v>
      </c>
      <c r="H7401" s="19"/>
    </row>
    <row r="7402">
      <c r="A7402" s="9"/>
      <c r="B7402" s="15"/>
      <c r="C7402" s="9">
        <f>IFERROR(__xludf.DUMMYFUNCTION("""COMPUTED_VALUE"""),44719.437944155)</f>
        <v>44719.43794</v>
      </c>
      <c r="D7402" s="15">
        <f>IFERROR(__xludf.DUMMYFUNCTION("""COMPUTED_VALUE"""),1.009)</f>
        <v>1.009</v>
      </c>
      <c r="E7402" s="16">
        <f>IFERROR(__xludf.DUMMYFUNCTION("""COMPUTED_VALUE"""),69.0)</f>
        <v>69</v>
      </c>
      <c r="F7402" s="19" t="str">
        <f>IFERROR(__xludf.DUMMYFUNCTION("""COMPUTED_VALUE"""),"BLACK")</f>
        <v>BLACK</v>
      </c>
      <c r="G7402" s="20" t="str">
        <f>IFERROR(__xludf.DUMMYFUNCTION("""COMPUTED_VALUE"""),"Uncle Sams Cider (5/13/2022)")</f>
        <v>Uncle Sams Cider (5/13/2022)</v>
      </c>
      <c r="H7402" s="19"/>
    </row>
    <row r="7403">
      <c r="A7403" s="9"/>
      <c r="B7403" s="15"/>
      <c r="C7403" s="9">
        <f>IFERROR(__xludf.DUMMYFUNCTION("""COMPUTED_VALUE"""),44719.427521875)</f>
        <v>44719.42752</v>
      </c>
      <c r="D7403" s="15">
        <f>IFERROR(__xludf.DUMMYFUNCTION("""COMPUTED_VALUE"""),1.009)</f>
        <v>1.009</v>
      </c>
      <c r="E7403" s="16">
        <f>IFERROR(__xludf.DUMMYFUNCTION("""COMPUTED_VALUE"""),69.0)</f>
        <v>69</v>
      </c>
      <c r="F7403" s="19" t="str">
        <f>IFERROR(__xludf.DUMMYFUNCTION("""COMPUTED_VALUE"""),"BLACK")</f>
        <v>BLACK</v>
      </c>
      <c r="G7403" s="20" t="str">
        <f>IFERROR(__xludf.DUMMYFUNCTION("""COMPUTED_VALUE"""),"Uncle Sams Cider (5/13/2022)")</f>
        <v>Uncle Sams Cider (5/13/2022)</v>
      </c>
      <c r="H7403" s="19"/>
    </row>
    <row r="7404">
      <c r="A7404" s="9"/>
      <c r="B7404" s="15"/>
      <c r="C7404" s="9">
        <f>IFERROR(__xludf.DUMMYFUNCTION("""COMPUTED_VALUE"""),44719.4171000694)</f>
        <v>44719.4171</v>
      </c>
      <c r="D7404" s="15">
        <f>IFERROR(__xludf.DUMMYFUNCTION("""COMPUTED_VALUE"""),1.009)</f>
        <v>1.009</v>
      </c>
      <c r="E7404" s="16">
        <f>IFERROR(__xludf.DUMMYFUNCTION("""COMPUTED_VALUE"""),69.0)</f>
        <v>69</v>
      </c>
      <c r="F7404" s="19" t="str">
        <f>IFERROR(__xludf.DUMMYFUNCTION("""COMPUTED_VALUE"""),"BLACK")</f>
        <v>BLACK</v>
      </c>
      <c r="G7404" s="20" t="str">
        <f>IFERROR(__xludf.DUMMYFUNCTION("""COMPUTED_VALUE"""),"Uncle Sams Cider (5/13/2022)")</f>
        <v>Uncle Sams Cider (5/13/2022)</v>
      </c>
      <c r="H7404" s="19"/>
    </row>
    <row r="7405">
      <c r="A7405" s="9"/>
      <c r="B7405" s="15"/>
      <c r="C7405" s="9">
        <f>IFERROR(__xludf.DUMMYFUNCTION("""COMPUTED_VALUE"""),44719.4066772106)</f>
        <v>44719.40668</v>
      </c>
      <c r="D7405" s="15">
        <f>IFERROR(__xludf.DUMMYFUNCTION("""COMPUTED_VALUE"""),1.009)</f>
        <v>1.009</v>
      </c>
      <c r="E7405" s="16">
        <f>IFERROR(__xludf.DUMMYFUNCTION("""COMPUTED_VALUE"""),69.0)</f>
        <v>69</v>
      </c>
      <c r="F7405" s="19" t="str">
        <f>IFERROR(__xludf.DUMMYFUNCTION("""COMPUTED_VALUE"""),"BLACK")</f>
        <v>BLACK</v>
      </c>
      <c r="G7405" s="20" t="str">
        <f>IFERROR(__xludf.DUMMYFUNCTION("""COMPUTED_VALUE"""),"Uncle Sams Cider (5/13/2022)")</f>
        <v>Uncle Sams Cider (5/13/2022)</v>
      </c>
      <c r="H7405" s="19"/>
    </row>
    <row r="7406">
      <c r="A7406" s="9"/>
      <c r="B7406" s="15"/>
      <c r="C7406" s="9">
        <f>IFERROR(__xludf.DUMMYFUNCTION("""COMPUTED_VALUE"""),44719.3962566666)</f>
        <v>44719.39626</v>
      </c>
      <c r="D7406" s="15">
        <f>IFERROR(__xludf.DUMMYFUNCTION("""COMPUTED_VALUE"""),1.009)</f>
        <v>1.009</v>
      </c>
      <c r="E7406" s="16">
        <f>IFERROR(__xludf.DUMMYFUNCTION("""COMPUTED_VALUE"""),69.0)</f>
        <v>69</v>
      </c>
      <c r="F7406" s="19" t="str">
        <f>IFERROR(__xludf.DUMMYFUNCTION("""COMPUTED_VALUE"""),"BLACK")</f>
        <v>BLACK</v>
      </c>
      <c r="G7406" s="20" t="str">
        <f>IFERROR(__xludf.DUMMYFUNCTION("""COMPUTED_VALUE"""),"Uncle Sams Cider (5/13/2022)")</f>
        <v>Uncle Sams Cider (5/13/2022)</v>
      </c>
      <c r="H7406" s="19"/>
    </row>
    <row r="7407">
      <c r="A7407" s="9"/>
      <c r="B7407" s="15"/>
      <c r="C7407" s="9">
        <f>IFERROR(__xludf.DUMMYFUNCTION("""COMPUTED_VALUE"""),44719.3858349305)</f>
        <v>44719.38583</v>
      </c>
      <c r="D7407" s="15">
        <f>IFERROR(__xludf.DUMMYFUNCTION("""COMPUTED_VALUE"""),1.009)</f>
        <v>1.009</v>
      </c>
      <c r="E7407" s="16">
        <f>IFERROR(__xludf.DUMMYFUNCTION("""COMPUTED_VALUE"""),69.0)</f>
        <v>69</v>
      </c>
      <c r="F7407" s="19" t="str">
        <f>IFERROR(__xludf.DUMMYFUNCTION("""COMPUTED_VALUE"""),"BLACK")</f>
        <v>BLACK</v>
      </c>
      <c r="G7407" s="20" t="str">
        <f>IFERROR(__xludf.DUMMYFUNCTION("""COMPUTED_VALUE"""),"Uncle Sams Cider (5/13/2022)")</f>
        <v>Uncle Sams Cider (5/13/2022)</v>
      </c>
      <c r="H7407" s="19"/>
    </row>
    <row r="7408">
      <c r="A7408" s="9"/>
      <c r="B7408" s="15"/>
      <c r="C7408" s="9">
        <f>IFERROR(__xludf.DUMMYFUNCTION("""COMPUTED_VALUE"""),44719.3754145601)</f>
        <v>44719.37541</v>
      </c>
      <c r="D7408" s="15">
        <f>IFERROR(__xludf.DUMMYFUNCTION("""COMPUTED_VALUE"""),1.009)</f>
        <v>1.009</v>
      </c>
      <c r="E7408" s="16">
        <f>IFERROR(__xludf.DUMMYFUNCTION("""COMPUTED_VALUE"""),69.0)</f>
        <v>69</v>
      </c>
      <c r="F7408" s="19" t="str">
        <f>IFERROR(__xludf.DUMMYFUNCTION("""COMPUTED_VALUE"""),"BLACK")</f>
        <v>BLACK</v>
      </c>
      <c r="G7408" s="20" t="str">
        <f>IFERROR(__xludf.DUMMYFUNCTION("""COMPUTED_VALUE"""),"Uncle Sams Cider (5/13/2022)")</f>
        <v>Uncle Sams Cider (5/13/2022)</v>
      </c>
      <c r="H7408" s="19"/>
    </row>
    <row r="7409">
      <c r="A7409" s="9"/>
      <c r="B7409" s="15"/>
      <c r="C7409" s="9">
        <f>IFERROR(__xludf.DUMMYFUNCTION("""COMPUTED_VALUE"""),44719.3649815509)</f>
        <v>44719.36498</v>
      </c>
      <c r="D7409" s="15">
        <f>IFERROR(__xludf.DUMMYFUNCTION("""COMPUTED_VALUE"""),1.01)</f>
        <v>1.01</v>
      </c>
      <c r="E7409" s="16">
        <f>IFERROR(__xludf.DUMMYFUNCTION("""COMPUTED_VALUE"""),69.0)</f>
        <v>69</v>
      </c>
      <c r="F7409" s="19" t="str">
        <f>IFERROR(__xludf.DUMMYFUNCTION("""COMPUTED_VALUE"""),"BLACK")</f>
        <v>BLACK</v>
      </c>
      <c r="G7409" s="20" t="str">
        <f>IFERROR(__xludf.DUMMYFUNCTION("""COMPUTED_VALUE"""),"Uncle Sams Cider (5/13/2022)")</f>
        <v>Uncle Sams Cider (5/13/2022)</v>
      </c>
      <c r="H7409" s="19"/>
    </row>
    <row r="7410">
      <c r="A7410" s="9"/>
      <c r="B7410" s="15"/>
      <c r="C7410" s="9">
        <f>IFERROR(__xludf.DUMMYFUNCTION("""COMPUTED_VALUE"""),44719.3545624074)</f>
        <v>44719.35456</v>
      </c>
      <c r="D7410" s="15">
        <f>IFERROR(__xludf.DUMMYFUNCTION("""COMPUTED_VALUE"""),1.009)</f>
        <v>1.009</v>
      </c>
      <c r="E7410" s="16">
        <f>IFERROR(__xludf.DUMMYFUNCTION("""COMPUTED_VALUE"""),69.0)</f>
        <v>69</v>
      </c>
      <c r="F7410" s="19" t="str">
        <f>IFERROR(__xludf.DUMMYFUNCTION("""COMPUTED_VALUE"""),"BLACK")</f>
        <v>BLACK</v>
      </c>
      <c r="G7410" s="20" t="str">
        <f>IFERROR(__xludf.DUMMYFUNCTION("""COMPUTED_VALUE"""),"Uncle Sams Cider (5/13/2022)")</f>
        <v>Uncle Sams Cider (5/13/2022)</v>
      </c>
      <c r="H7410" s="19"/>
    </row>
    <row r="7411">
      <c r="A7411" s="9"/>
      <c r="B7411" s="15"/>
      <c r="C7411" s="9">
        <f>IFERROR(__xludf.DUMMYFUNCTION("""COMPUTED_VALUE"""),44719.3441415162)</f>
        <v>44719.34414</v>
      </c>
      <c r="D7411" s="15">
        <f>IFERROR(__xludf.DUMMYFUNCTION("""COMPUTED_VALUE"""),1.009)</f>
        <v>1.009</v>
      </c>
      <c r="E7411" s="16">
        <f>IFERROR(__xludf.DUMMYFUNCTION("""COMPUTED_VALUE"""),69.0)</f>
        <v>69</v>
      </c>
      <c r="F7411" s="19" t="str">
        <f>IFERROR(__xludf.DUMMYFUNCTION("""COMPUTED_VALUE"""),"BLACK")</f>
        <v>BLACK</v>
      </c>
      <c r="G7411" s="20" t="str">
        <f>IFERROR(__xludf.DUMMYFUNCTION("""COMPUTED_VALUE"""),"Uncle Sams Cider (5/13/2022)")</f>
        <v>Uncle Sams Cider (5/13/2022)</v>
      </c>
      <c r="H7411" s="19"/>
    </row>
    <row r="7412">
      <c r="A7412" s="9"/>
      <c r="B7412" s="15"/>
      <c r="C7412" s="9">
        <f>IFERROR(__xludf.DUMMYFUNCTION("""COMPUTED_VALUE"""),44719.3337195486)</f>
        <v>44719.33372</v>
      </c>
      <c r="D7412" s="15">
        <f>IFERROR(__xludf.DUMMYFUNCTION("""COMPUTED_VALUE"""),1.009)</f>
        <v>1.009</v>
      </c>
      <c r="E7412" s="16">
        <f>IFERROR(__xludf.DUMMYFUNCTION("""COMPUTED_VALUE"""),69.0)</f>
        <v>69</v>
      </c>
      <c r="F7412" s="19" t="str">
        <f>IFERROR(__xludf.DUMMYFUNCTION("""COMPUTED_VALUE"""),"BLACK")</f>
        <v>BLACK</v>
      </c>
      <c r="G7412" s="20" t="str">
        <f>IFERROR(__xludf.DUMMYFUNCTION("""COMPUTED_VALUE"""),"Uncle Sams Cider (5/13/2022)")</f>
        <v>Uncle Sams Cider (5/13/2022)</v>
      </c>
      <c r="H7412" s="19"/>
    </row>
    <row r="7413">
      <c r="A7413" s="9"/>
      <c r="B7413" s="15"/>
      <c r="C7413" s="9">
        <f>IFERROR(__xludf.DUMMYFUNCTION("""COMPUTED_VALUE"""),44719.3232999884)</f>
        <v>44719.3233</v>
      </c>
      <c r="D7413" s="15">
        <f>IFERROR(__xludf.DUMMYFUNCTION("""COMPUTED_VALUE"""),1.009)</f>
        <v>1.009</v>
      </c>
      <c r="E7413" s="16">
        <f>IFERROR(__xludf.DUMMYFUNCTION("""COMPUTED_VALUE"""),69.0)</f>
        <v>69</v>
      </c>
      <c r="F7413" s="19" t="str">
        <f>IFERROR(__xludf.DUMMYFUNCTION("""COMPUTED_VALUE"""),"BLACK")</f>
        <v>BLACK</v>
      </c>
      <c r="G7413" s="20" t="str">
        <f>IFERROR(__xludf.DUMMYFUNCTION("""COMPUTED_VALUE"""),"Uncle Sams Cider (5/13/2022)")</f>
        <v>Uncle Sams Cider (5/13/2022)</v>
      </c>
      <c r="H7413" s="19"/>
    </row>
    <row r="7414">
      <c r="A7414" s="9"/>
      <c r="B7414" s="15"/>
      <c r="C7414" s="9">
        <f>IFERROR(__xludf.DUMMYFUNCTION("""COMPUTED_VALUE"""),44719.3128791088)</f>
        <v>44719.31288</v>
      </c>
      <c r="D7414" s="15">
        <f>IFERROR(__xludf.DUMMYFUNCTION("""COMPUTED_VALUE"""),1.01)</f>
        <v>1.01</v>
      </c>
      <c r="E7414" s="16">
        <f>IFERROR(__xludf.DUMMYFUNCTION("""COMPUTED_VALUE"""),69.0)</f>
        <v>69</v>
      </c>
      <c r="F7414" s="19" t="str">
        <f>IFERROR(__xludf.DUMMYFUNCTION("""COMPUTED_VALUE"""),"BLACK")</f>
        <v>BLACK</v>
      </c>
      <c r="G7414" s="20" t="str">
        <f>IFERROR(__xludf.DUMMYFUNCTION("""COMPUTED_VALUE"""),"Uncle Sams Cider (5/13/2022)")</f>
        <v>Uncle Sams Cider (5/13/2022)</v>
      </c>
      <c r="H7414" s="19"/>
    </row>
    <row r="7415">
      <c r="A7415" s="9"/>
      <c r="B7415" s="15"/>
      <c r="C7415" s="9">
        <f>IFERROR(__xludf.DUMMYFUNCTION("""COMPUTED_VALUE"""),44719.3024574537)</f>
        <v>44719.30246</v>
      </c>
      <c r="D7415" s="15">
        <f>IFERROR(__xludf.DUMMYFUNCTION("""COMPUTED_VALUE"""),1.01)</f>
        <v>1.01</v>
      </c>
      <c r="E7415" s="16">
        <f>IFERROR(__xludf.DUMMYFUNCTION("""COMPUTED_VALUE"""),69.0)</f>
        <v>69</v>
      </c>
      <c r="F7415" s="19" t="str">
        <f>IFERROR(__xludf.DUMMYFUNCTION("""COMPUTED_VALUE"""),"BLACK")</f>
        <v>BLACK</v>
      </c>
      <c r="G7415" s="20" t="str">
        <f>IFERROR(__xludf.DUMMYFUNCTION("""COMPUTED_VALUE"""),"Uncle Sams Cider (5/13/2022)")</f>
        <v>Uncle Sams Cider (5/13/2022)</v>
      </c>
      <c r="H7415" s="19"/>
    </row>
    <row r="7416">
      <c r="A7416" s="9"/>
      <c r="B7416" s="15"/>
      <c r="C7416" s="9">
        <f>IFERROR(__xludf.DUMMYFUNCTION("""COMPUTED_VALUE"""),44719.2920362847)</f>
        <v>44719.29204</v>
      </c>
      <c r="D7416" s="15">
        <f>IFERROR(__xludf.DUMMYFUNCTION("""COMPUTED_VALUE"""),1.009)</f>
        <v>1.009</v>
      </c>
      <c r="E7416" s="16">
        <f>IFERROR(__xludf.DUMMYFUNCTION("""COMPUTED_VALUE"""),69.0)</f>
        <v>69</v>
      </c>
      <c r="F7416" s="19" t="str">
        <f>IFERROR(__xludf.DUMMYFUNCTION("""COMPUTED_VALUE"""),"BLACK")</f>
        <v>BLACK</v>
      </c>
      <c r="G7416" s="20" t="str">
        <f>IFERROR(__xludf.DUMMYFUNCTION("""COMPUTED_VALUE"""),"Uncle Sams Cider (5/13/2022)")</f>
        <v>Uncle Sams Cider (5/13/2022)</v>
      </c>
      <c r="H7416" s="19"/>
    </row>
    <row r="7417">
      <c r="A7417" s="9"/>
      <c r="B7417" s="15"/>
      <c r="C7417" s="9">
        <f>IFERROR(__xludf.DUMMYFUNCTION("""COMPUTED_VALUE"""),44719.2816133796)</f>
        <v>44719.28161</v>
      </c>
      <c r="D7417" s="15">
        <f>IFERROR(__xludf.DUMMYFUNCTION("""COMPUTED_VALUE"""),1.009)</f>
        <v>1.009</v>
      </c>
      <c r="E7417" s="16">
        <f>IFERROR(__xludf.DUMMYFUNCTION("""COMPUTED_VALUE"""),69.0)</f>
        <v>69</v>
      </c>
      <c r="F7417" s="19" t="str">
        <f>IFERROR(__xludf.DUMMYFUNCTION("""COMPUTED_VALUE"""),"BLACK")</f>
        <v>BLACK</v>
      </c>
      <c r="G7417" s="20" t="str">
        <f>IFERROR(__xludf.DUMMYFUNCTION("""COMPUTED_VALUE"""),"Uncle Sams Cider (5/13/2022)")</f>
        <v>Uncle Sams Cider (5/13/2022)</v>
      </c>
      <c r="H7417" s="19"/>
    </row>
    <row r="7418">
      <c r="A7418" s="9"/>
      <c r="B7418" s="15"/>
      <c r="C7418" s="9">
        <f>IFERROR(__xludf.DUMMYFUNCTION("""COMPUTED_VALUE"""),44719.2711924421)</f>
        <v>44719.27119</v>
      </c>
      <c r="D7418" s="15">
        <f>IFERROR(__xludf.DUMMYFUNCTION("""COMPUTED_VALUE"""),1.009)</f>
        <v>1.009</v>
      </c>
      <c r="E7418" s="16">
        <f>IFERROR(__xludf.DUMMYFUNCTION("""COMPUTED_VALUE"""),69.0)</f>
        <v>69</v>
      </c>
      <c r="F7418" s="19" t="str">
        <f>IFERROR(__xludf.DUMMYFUNCTION("""COMPUTED_VALUE"""),"BLACK")</f>
        <v>BLACK</v>
      </c>
      <c r="G7418" s="20" t="str">
        <f>IFERROR(__xludf.DUMMYFUNCTION("""COMPUTED_VALUE"""),"Uncle Sams Cider (5/13/2022)")</f>
        <v>Uncle Sams Cider (5/13/2022)</v>
      </c>
      <c r="H7418" s="19"/>
    </row>
    <row r="7419">
      <c r="A7419" s="9"/>
      <c r="B7419" s="15"/>
      <c r="C7419" s="9">
        <f>IFERROR(__xludf.DUMMYFUNCTION("""COMPUTED_VALUE"""),44719.2607696643)</f>
        <v>44719.26077</v>
      </c>
      <c r="D7419" s="15">
        <f>IFERROR(__xludf.DUMMYFUNCTION("""COMPUTED_VALUE"""),1.009)</f>
        <v>1.009</v>
      </c>
      <c r="E7419" s="16">
        <f>IFERROR(__xludf.DUMMYFUNCTION("""COMPUTED_VALUE"""),69.0)</f>
        <v>69</v>
      </c>
      <c r="F7419" s="19" t="str">
        <f>IFERROR(__xludf.DUMMYFUNCTION("""COMPUTED_VALUE"""),"BLACK")</f>
        <v>BLACK</v>
      </c>
      <c r="G7419" s="20" t="str">
        <f>IFERROR(__xludf.DUMMYFUNCTION("""COMPUTED_VALUE"""),"Uncle Sams Cider (5/13/2022)")</f>
        <v>Uncle Sams Cider (5/13/2022)</v>
      </c>
      <c r="H7419" s="19"/>
    </row>
    <row r="7420">
      <c r="A7420" s="9"/>
      <c r="B7420" s="15"/>
      <c r="C7420" s="9">
        <f>IFERROR(__xludf.DUMMYFUNCTION("""COMPUTED_VALUE"""),44719.2503487731)</f>
        <v>44719.25035</v>
      </c>
      <c r="D7420" s="15">
        <f>IFERROR(__xludf.DUMMYFUNCTION("""COMPUTED_VALUE"""),1.01)</f>
        <v>1.01</v>
      </c>
      <c r="E7420" s="16">
        <f>IFERROR(__xludf.DUMMYFUNCTION("""COMPUTED_VALUE"""),69.0)</f>
        <v>69</v>
      </c>
      <c r="F7420" s="19" t="str">
        <f>IFERROR(__xludf.DUMMYFUNCTION("""COMPUTED_VALUE"""),"BLACK")</f>
        <v>BLACK</v>
      </c>
      <c r="G7420" s="20" t="str">
        <f>IFERROR(__xludf.DUMMYFUNCTION("""COMPUTED_VALUE"""),"Uncle Sams Cider (5/13/2022)")</f>
        <v>Uncle Sams Cider (5/13/2022)</v>
      </c>
      <c r="H7420" s="19"/>
    </row>
    <row r="7421">
      <c r="A7421" s="9"/>
      <c r="B7421" s="15"/>
      <c r="C7421" s="9">
        <f>IFERROR(__xludf.DUMMYFUNCTION("""COMPUTED_VALUE"""),44719.2399270486)</f>
        <v>44719.23993</v>
      </c>
      <c r="D7421" s="15">
        <f>IFERROR(__xludf.DUMMYFUNCTION("""COMPUTED_VALUE"""),1.01)</f>
        <v>1.01</v>
      </c>
      <c r="E7421" s="16">
        <f>IFERROR(__xludf.DUMMYFUNCTION("""COMPUTED_VALUE"""),69.0)</f>
        <v>69</v>
      </c>
      <c r="F7421" s="19" t="str">
        <f>IFERROR(__xludf.DUMMYFUNCTION("""COMPUTED_VALUE"""),"BLACK")</f>
        <v>BLACK</v>
      </c>
      <c r="G7421" s="20" t="str">
        <f>IFERROR(__xludf.DUMMYFUNCTION("""COMPUTED_VALUE"""),"Uncle Sams Cider (5/13/2022)")</f>
        <v>Uncle Sams Cider (5/13/2022)</v>
      </c>
      <c r="H7421" s="19"/>
    </row>
    <row r="7422">
      <c r="A7422" s="9"/>
      <c r="B7422" s="15"/>
      <c r="C7422" s="9">
        <f>IFERROR(__xludf.DUMMYFUNCTION("""COMPUTED_VALUE"""),44719.2295065972)</f>
        <v>44719.22951</v>
      </c>
      <c r="D7422" s="15">
        <f>IFERROR(__xludf.DUMMYFUNCTION("""COMPUTED_VALUE"""),1.009)</f>
        <v>1.009</v>
      </c>
      <c r="E7422" s="16">
        <f>IFERROR(__xludf.DUMMYFUNCTION("""COMPUTED_VALUE"""),69.0)</f>
        <v>69</v>
      </c>
      <c r="F7422" s="19" t="str">
        <f>IFERROR(__xludf.DUMMYFUNCTION("""COMPUTED_VALUE"""),"BLACK")</f>
        <v>BLACK</v>
      </c>
      <c r="G7422" s="20" t="str">
        <f>IFERROR(__xludf.DUMMYFUNCTION("""COMPUTED_VALUE"""),"Uncle Sams Cider (5/13/2022)")</f>
        <v>Uncle Sams Cider (5/13/2022)</v>
      </c>
      <c r="H7422" s="19"/>
    </row>
    <row r="7423">
      <c r="A7423" s="9"/>
      <c r="B7423" s="15"/>
      <c r="C7423" s="9">
        <f>IFERROR(__xludf.DUMMYFUNCTION("""COMPUTED_VALUE"""),44719.2190739699)</f>
        <v>44719.21907</v>
      </c>
      <c r="D7423" s="15">
        <f>IFERROR(__xludf.DUMMYFUNCTION("""COMPUTED_VALUE"""),1.01)</f>
        <v>1.01</v>
      </c>
      <c r="E7423" s="16">
        <f>IFERROR(__xludf.DUMMYFUNCTION("""COMPUTED_VALUE"""),69.0)</f>
        <v>69</v>
      </c>
      <c r="F7423" s="19" t="str">
        <f>IFERROR(__xludf.DUMMYFUNCTION("""COMPUTED_VALUE"""),"BLACK")</f>
        <v>BLACK</v>
      </c>
      <c r="G7423" s="20" t="str">
        <f>IFERROR(__xludf.DUMMYFUNCTION("""COMPUTED_VALUE"""),"Uncle Sams Cider (5/13/2022)")</f>
        <v>Uncle Sams Cider (5/13/2022)</v>
      </c>
      <c r="H7423" s="19"/>
    </row>
    <row r="7424">
      <c r="A7424" s="9"/>
      <c r="B7424" s="15"/>
      <c r="C7424" s="9">
        <f>IFERROR(__xludf.DUMMYFUNCTION("""COMPUTED_VALUE"""),44719.2086507175)</f>
        <v>44719.20865</v>
      </c>
      <c r="D7424" s="15">
        <f>IFERROR(__xludf.DUMMYFUNCTION("""COMPUTED_VALUE"""),1.009)</f>
        <v>1.009</v>
      </c>
      <c r="E7424" s="16">
        <f>IFERROR(__xludf.DUMMYFUNCTION("""COMPUTED_VALUE"""),69.0)</f>
        <v>69</v>
      </c>
      <c r="F7424" s="19" t="str">
        <f>IFERROR(__xludf.DUMMYFUNCTION("""COMPUTED_VALUE"""),"BLACK")</f>
        <v>BLACK</v>
      </c>
      <c r="G7424" s="20" t="str">
        <f>IFERROR(__xludf.DUMMYFUNCTION("""COMPUTED_VALUE"""),"Uncle Sams Cider (5/13/2022)")</f>
        <v>Uncle Sams Cider (5/13/2022)</v>
      </c>
      <c r="H7424" s="19"/>
    </row>
    <row r="7425">
      <c r="A7425" s="9"/>
      <c r="B7425" s="15"/>
      <c r="C7425" s="9">
        <f>IFERROR(__xludf.DUMMYFUNCTION("""COMPUTED_VALUE"""),44719.1982283217)</f>
        <v>44719.19823</v>
      </c>
      <c r="D7425" s="15">
        <f>IFERROR(__xludf.DUMMYFUNCTION("""COMPUTED_VALUE"""),1.009)</f>
        <v>1.009</v>
      </c>
      <c r="E7425" s="16">
        <f>IFERROR(__xludf.DUMMYFUNCTION("""COMPUTED_VALUE"""),69.0)</f>
        <v>69</v>
      </c>
      <c r="F7425" s="19" t="str">
        <f>IFERROR(__xludf.DUMMYFUNCTION("""COMPUTED_VALUE"""),"BLACK")</f>
        <v>BLACK</v>
      </c>
      <c r="G7425" s="20" t="str">
        <f>IFERROR(__xludf.DUMMYFUNCTION("""COMPUTED_VALUE"""),"Uncle Sams Cider (5/13/2022)")</f>
        <v>Uncle Sams Cider (5/13/2022)</v>
      </c>
      <c r="H7425" s="19"/>
    </row>
    <row r="7426">
      <c r="A7426" s="9"/>
      <c r="B7426" s="15"/>
      <c r="C7426" s="9">
        <f>IFERROR(__xludf.DUMMYFUNCTION("""COMPUTED_VALUE"""),44719.1878063078)</f>
        <v>44719.18781</v>
      </c>
      <c r="D7426" s="15">
        <f>IFERROR(__xludf.DUMMYFUNCTION("""COMPUTED_VALUE"""),1.009)</f>
        <v>1.009</v>
      </c>
      <c r="E7426" s="16">
        <f>IFERROR(__xludf.DUMMYFUNCTION("""COMPUTED_VALUE"""),69.0)</f>
        <v>69</v>
      </c>
      <c r="F7426" s="19" t="str">
        <f>IFERROR(__xludf.DUMMYFUNCTION("""COMPUTED_VALUE"""),"BLACK")</f>
        <v>BLACK</v>
      </c>
      <c r="G7426" s="20" t="str">
        <f>IFERROR(__xludf.DUMMYFUNCTION("""COMPUTED_VALUE"""),"Uncle Sams Cider (5/13/2022)")</f>
        <v>Uncle Sams Cider (5/13/2022)</v>
      </c>
      <c r="H7426" s="19"/>
    </row>
    <row r="7427">
      <c r="A7427" s="9"/>
      <c r="B7427" s="15"/>
      <c r="C7427" s="9">
        <f>IFERROR(__xludf.DUMMYFUNCTION("""COMPUTED_VALUE"""),44719.1773848032)</f>
        <v>44719.17738</v>
      </c>
      <c r="D7427" s="15">
        <f>IFERROR(__xludf.DUMMYFUNCTION("""COMPUTED_VALUE"""),1.01)</f>
        <v>1.01</v>
      </c>
      <c r="E7427" s="16">
        <f>IFERROR(__xludf.DUMMYFUNCTION("""COMPUTED_VALUE"""),69.0)</f>
        <v>69</v>
      </c>
      <c r="F7427" s="19" t="str">
        <f>IFERROR(__xludf.DUMMYFUNCTION("""COMPUTED_VALUE"""),"BLACK")</f>
        <v>BLACK</v>
      </c>
      <c r="G7427" s="20" t="str">
        <f>IFERROR(__xludf.DUMMYFUNCTION("""COMPUTED_VALUE"""),"Uncle Sams Cider (5/13/2022)")</f>
        <v>Uncle Sams Cider (5/13/2022)</v>
      </c>
      <c r="H7427" s="19"/>
    </row>
    <row r="7428">
      <c r="A7428" s="9"/>
      <c r="B7428" s="15"/>
      <c r="C7428" s="9">
        <f>IFERROR(__xludf.DUMMYFUNCTION("""COMPUTED_VALUE"""),44719.166962199)</f>
        <v>44719.16696</v>
      </c>
      <c r="D7428" s="15">
        <f>IFERROR(__xludf.DUMMYFUNCTION("""COMPUTED_VALUE"""),1.01)</f>
        <v>1.01</v>
      </c>
      <c r="E7428" s="16">
        <f>IFERROR(__xludf.DUMMYFUNCTION("""COMPUTED_VALUE"""),69.0)</f>
        <v>69</v>
      </c>
      <c r="F7428" s="19" t="str">
        <f>IFERROR(__xludf.DUMMYFUNCTION("""COMPUTED_VALUE"""),"BLACK")</f>
        <v>BLACK</v>
      </c>
      <c r="G7428" s="20" t="str">
        <f>IFERROR(__xludf.DUMMYFUNCTION("""COMPUTED_VALUE"""),"Uncle Sams Cider (5/13/2022)")</f>
        <v>Uncle Sams Cider (5/13/2022)</v>
      </c>
      <c r="H7428" s="19"/>
    </row>
    <row r="7429">
      <c r="A7429" s="9"/>
      <c r="B7429" s="15"/>
      <c r="C7429" s="9">
        <f>IFERROR(__xludf.DUMMYFUNCTION("""COMPUTED_VALUE"""),44719.1565419328)</f>
        <v>44719.15654</v>
      </c>
      <c r="D7429" s="15">
        <f>IFERROR(__xludf.DUMMYFUNCTION("""COMPUTED_VALUE"""),1.01)</f>
        <v>1.01</v>
      </c>
      <c r="E7429" s="16">
        <f>IFERROR(__xludf.DUMMYFUNCTION("""COMPUTED_VALUE"""),69.0)</f>
        <v>69</v>
      </c>
      <c r="F7429" s="19" t="str">
        <f>IFERROR(__xludf.DUMMYFUNCTION("""COMPUTED_VALUE"""),"BLACK")</f>
        <v>BLACK</v>
      </c>
      <c r="G7429" s="20" t="str">
        <f>IFERROR(__xludf.DUMMYFUNCTION("""COMPUTED_VALUE"""),"Uncle Sams Cider (5/13/2022)")</f>
        <v>Uncle Sams Cider (5/13/2022)</v>
      </c>
      <c r="H7429" s="19"/>
    </row>
    <row r="7430">
      <c r="A7430" s="9"/>
      <c r="B7430" s="15"/>
      <c r="C7430" s="9">
        <f>IFERROR(__xludf.DUMMYFUNCTION("""COMPUTED_VALUE"""),44719.1461185069)</f>
        <v>44719.14612</v>
      </c>
      <c r="D7430" s="15">
        <f>IFERROR(__xludf.DUMMYFUNCTION("""COMPUTED_VALUE"""),1.01)</f>
        <v>1.01</v>
      </c>
      <c r="E7430" s="16">
        <f>IFERROR(__xludf.DUMMYFUNCTION("""COMPUTED_VALUE"""),69.0)</f>
        <v>69</v>
      </c>
      <c r="F7430" s="19" t="str">
        <f>IFERROR(__xludf.DUMMYFUNCTION("""COMPUTED_VALUE"""),"BLACK")</f>
        <v>BLACK</v>
      </c>
      <c r="G7430" s="20" t="str">
        <f>IFERROR(__xludf.DUMMYFUNCTION("""COMPUTED_VALUE"""),"Uncle Sams Cider (5/13/2022)")</f>
        <v>Uncle Sams Cider (5/13/2022)</v>
      </c>
      <c r="H7430" s="19"/>
    </row>
    <row r="7431">
      <c r="A7431" s="9"/>
      <c r="B7431" s="15"/>
      <c r="C7431" s="9">
        <f>IFERROR(__xludf.DUMMYFUNCTION("""COMPUTED_VALUE"""),44719.1356972222)</f>
        <v>44719.1357</v>
      </c>
      <c r="D7431" s="15">
        <f>IFERROR(__xludf.DUMMYFUNCTION("""COMPUTED_VALUE"""),1.009)</f>
        <v>1.009</v>
      </c>
      <c r="E7431" s="16">
        <f>IFERROR(__xludf.DUMMYFUNCTION("""COMPUTED_VALUE"""),69.0)</f>
        <v>69</v>
      </c>
      <c r="F7431" s="19" t="str">
        <f>IFERROR(__xludf.DUMMYFUNCTION("""COMPUTED_VALUE"""),"BLACK")</f>
        <v>BLACK</v>
      </c>
      <c r="G7431" s="20" t="str">
        <f>IFERROR(__xludf.DUMMYFUNCTION("""COMPUTED_VALUE"""),"Uncle Sams Cider (5/13/2022)")</f>
        <v>Uncle Sams Cider (5/13/2022)</v>
      </c>
      <c r="H7431" s="19"/>
    </row>
    <row r="7432">
      <c r="A7432" s="9"/>
      <c r="B7432" s="15"/>
      <c r="C7432" s="9">
        <f>IFERROR(__xludf.DUMMYFUNCTION("""COMPUTED_VALUE"""),44719.1252760648)</f>
        <v>44719.12528</v>
      </c>
      <c r="D7432" s="15">
        <f>IFERROR(__xludf.DUMMYFUNCTION("""COMPUTED_VALUE"""),1.01)</f>
        <v>1.01</v>
      </c>
      <c r="E7432" s="16">
        <f>IFERROR(__xludf.DUMMYFUNCTION("""COMPUTED_VALUE"""),69.0)</f>
        <v>69</v>
      </c>
      <c r="F7432" s="19" t="str">
        <f>IFERROR(__xludf.DUMMYFUNCTION("""COMPUTED_VALUE"""),"BLACK")</f>
        <v>BLACK</v>
      </c>
      <c r="G7432" s="20" t="str">
        <f>IFERROR(__xludf.DUMMYFUNCTION("""COMPUTED_VALUE"""),"Uncle Sams Cider (5/13/2022)")</f>
        <v>Uncle Sams Cider (5/13/2022)</v>
      </c>
      <c r="H7432" s="19"/>
    </row>
    <row r="7433">
      <c r="A7433" s="9"/>
      <c r="B7433" s="15"/>
      <c r="C7433" s="9">
        <f>IFERROR(__xludf.DUMMYFUNCTION("""COMPUTED_VALUE"""),44719.1148549189)</f>
        <v>44719.11485</v>
      </c>
      <c r="D7433" s="15">
        <f>IFERROR(__xludf.DUMMYFUNCTION("""COMPUTED_VALUE"""),1.01)</f>
        <v>1.01</v>
      </c>
      <c r="E7433" s="16">
        <f>IFERROR(__xludf.DUMMYFUNCTION("""COMPUTED_VALUE"""),69.0)</f>
        <v>69</v>
      </c>
      <c r="F7433" s="19" t="str">
        <f>IFERROR(__xludf.DUMMYFUNCTION("""COMPUTED_VALUE"""),"BLACK")</f>
        <v>BLACK</v>
      </c>
      <c r="G7433" s="20" t="str">
        <f>IFERROR(__xludf.DUMMYFUNCTION("""COMPUTED_VALUE"""),"Uncle Sams Cider (5/13/2022)")</f>
        <v>Uncle Sams Cider (5/13/2022)</v>
      </c>
      <c r="H7433" s="19"/>
    </row>
    <row r="7434">
      <c r="A7434" s="9"/>
      <c r="B7434" s="15"/>
      <c r="C7434" s="9">
        <f>IFERROR(__xludf.DUMMYFUNCTION("""COMPUTED_VALUE"""),44719.1044333101)</f>
        <v>44719.10443</v>
      </c>
      <c r="D7434" s="15">
        <f>IFERROR(__xludf.DUMMYFUNCTION("""COMPUTED_VALUE"""),1.01)</f>
        <v>1.01</v>
      </c>
      <c r="E7434" s="16">
        <f>IFERROR(__xludf.DUMMYFUNCTION("""COMPUTED_VALUE"""),69.0)</f>
        <v>69</v>
      </c>
      <c r="F7434" s="19" t="str">
        <f>IFERROR(__xludf.DUMMYFUNCTION("""COMPUTED_VALUE"""),"BLACK")</f>
        <v>BLACK</v>
      </c>
      <c r="G7434" s="20" t="str">
        <f>IFERROR(__xludf.DUMMYFUNCTION("""COMPUTED_VALUE"""),"Uncle Sams Cider (5/13/2022)")</f>
        <v>Uncle Sams Cider (5/13/2022)</v>
      </c>
      <c r="H7434" s="19"/>
    </row>
    <row r="7435">
      <c r="A7435" s="9"/>
      <c r="B7435" s="15"/>
      <c r="C7435" s="9">
        <f>IFERROR(__xludf.DUMMYFUNCTION("""COMPUTED_VALUE"""),44719.0940108217)</f>
        <v>44719.09401</v>
      </c>
      <c r="D7435" s="15">
        <f>IFERROR(__xludf.DUMMYFUNCTION("""COMPUTED_VALUE"""),1.01)</f>
        <v>1.01</v>
      </c>
      <c r="E7435" s="16">
        <f>IFERROR(__xludf.DUMMYFUNCTION("""COMPUTED_VALUE"""),69.0)</f>
        <v>69</v>
      </c>
      <c r="F7435" s="19" t="str">
        <f>IFERROR(__xludf.DUMMYFUNCTION("""COMPUTED_VALUE"""),"BLACK")</f>
        <v>BLACK</v>
      </c>
      <c r="G7435" s="20" t="str">
        <f>IFERROR(__xludf.DUMMYFUNCTION("""COMPUTED_VALUE"""),"Uncle Sams Cider (5/13/2022)")</f>
        <v>Uncle Sams Cider (5/13/2022)</v>
      </c>
      <c r="H7435" s="19"/>
    </row>
    <row r="7436">
      <c r="A7436" s="9"/>
      <c r="B7436" s="15"/>
      <c r="C7436" s="9">
        <f>IFERROR(__xludf.DUMMYFUNCTION("""COMPUTED_VALUE"""),44719.0835774421)</f>
        <v>44719.08358</v>
      </c>
      <c r="D7436" s="15">
        <f>IFERROR(__xludf.DUMMYFUNCTION("""COMPUTED_VALUE"""),1.01)</f>
        <v>1.01</v>
      </c>
      <c r="E7436" s="16">
        <f>IFERROR(__xludf.DUMMYFUNCTION("""COMPUTED_VALUE"""),69.0)</f>
        <v>69</v>
      </c>
      <c r="F7436" s="19" t="str">
        <f>IFERROR(__xludf.DUMMYFUNCTION("""COMPUTED_VALUE"""),"BLACK")</f>
        <v>BLACK</v>
      </c>
      <c r="G7436" s="20" t="str">
        <f>IFERROR(__xludf.DUMMYFUNCTION("""COMPUTED_VALUE"""),"Uncle Sams Cider (5/13/2022)")</f>
        <v>Uncle Sams Cider (5/13/2022)</v>
      </c>
      <c r="H7436" s="19"/>
    </row>
    <row r="7437">
      <c r="A7437" s="9"/>
      <c r="B7437" s="15"/>
      <c r="C7437" s="9">
        <f>IFERROR(__xludf.DUMMYFUNCTION("""COMPUTED_VALUE"""),44719.0731565625)</f>
        <v>44719.07316</v>
      </c>
      <c r="D7437" s="15">
        <f>IFERROR(__xludf.DUMMYFUNCTION("""COMPUTED_VALUE"""),1.01)</f>
        <v>1.01</v>
      </c>
      <c r="E7437" s="16">
        <f>IFERROR(__xludf.DUMMYFUNCTION("""COMPUTED_VALUE"""),69.0)</f>
        <v>69</v>
      </c>
      <c r="F7437" s="19" t="str">
        <f>IFERROR(__xludf.DUMMYFUNCTION("""COMPUTED_VALUE"""),"BLACK")</f>
        <v>BLACK</v>
      </c>
      <c r="G7437" s="20" t="str">
        <f>IFERROR(__xludf.DUMMYFUNCTION("""COMPUTED_VALUE"""),"Uncle Sams Cider (5/13/2022)")</f>
        <v>Uncle Sams Cider (5/13/2022)</v>
      </c>
      <c r="H7437" s="19"/>
    </row>
    <row r="7438">
      <c r="A7438" s="9"/>
      <c r="B7438" s="15"/>
      <c r="C7438" s="9">
        <f>IFERROR(__xludf.DUMMYFUNCTION("""COMPUTED_VALUE"""),44719.0627346296)</f>
        <v>44719.06273</v>
      </c>
      <c r="D7438" s="15">
        <f>IFERROR(__xludf.DUMMYFUNCTION("""COMPUTED_VALUE"""),1.01)</f>
        <v>1.01</v>
      </c>
      <c r="E7438" s="16">
        <f>IFERROR(__xludf.DUMMYFUNCTION("""COMPUTED_VALUE"""),69.0)</f>
        <v>69</v>
      </c>
      <c r="F7438" s="19" t="str">
        <f>IFERROR(__xludf.DUMMYFUNCTION("""COMPUTED_VALUE"""),"BLACK")</f>
        <v>BLACK</v>
      </c>
      <c r="G7438" s="20" t="str">
        <f>IFERROR(__xludf.DUMMYFUNCTION("""COMPUTED_VALUE"""),"Uncle Sams Cider (5/13/2022)")</f>
        <v>Uncle Sams Cider (5/13/2022)</v>
      </c>
      <c r="H7438" s="19"/>
    </row>
    <row r="7439">
      <c r="A7439" s="9"/>
      <c r="B7439" s="15"/>
      <c r="C7439" s="9">
        <f>IFERROR(__xludf.DUMMYFUNCTION("""COMPUTED_VALUE"""),44719.0523140972)</f>
        <v>44719.05231</v>
      </c>
      <c r="D7439" s="15">
        <f>IFERROR(__xludf.DUMMYFUNCTION("""COMPUTED_VALUE"""),1.01)</f>
        <v>1.01</v>
      </c>
      <c r="E7439" s="16">
        <f>IFERROR(__xludf.DUMMYFUNCTION("""COMPUTED_VALUE"""),69.0)</f>
        <v>69</v>
      </c>
      <c r="F7439" s="19" t="str">
        <f>IFERROR(__xludf.DUMMYFUNCTION("""COMPUTED_VALUE"""),"BLACK")</f>
        <v>BLACK</v>
      </c>
      <c r="G7439" s="20" t="str">
        <f>IFERROR(__xludf.DUMMYFUNCTION("""COMPUTED_VALUE"""),"Uncle Sams Cider (5/13/2022)")</f>
        <v>Uncle Sams Cider (5/13/2022)</v>
      </c>
      <c r="H7439" s="19"/>
    </row>
    <row r="7440">
      <c r="A7440" s="9"/>
      <c r="B7440" s="15"/>
      <c r="C7440" s="9">
        <f>IFERROR(__xludf.DUMMYFUNCTION("""COMPUTED_VALUE"""),44719.0418929745)</f>
        <v>44719.04189</v>
      </c>
      <c r="D7440" s="15">
        <f>IFERROR(__xludf.DUMMYFUNCTION("""COMPUTED_VALUE"""),1.01)</f>
        <v>1.01</v>
      </c>
      <c r="E7440" s="16">
        <f>IFERROR(__xludf.DUMMYFUNCTION("""COMPUTED_VALUE"""),69.0)</f>
        <v>69</v>
      </c>
      <c r="F7440" s="19" t="str">
        <f>IFERROR(__xludf.DUMMYFUNCTION("""COMPUTED_VALUE"""),"BLACK")</f>
        <v>BLACK</v>
      </c>
      <c r="G7440" s="20" t="str">
        <f>IFERROR(__xludf.DUMMYFUNCTION("""COMPUTED_VALUE"""),"Uncle Sams Cider (5/13/2022)")</f>
        <v>Uncle Sams Cider (5/13/2022)</v>
      </c>
      <c r="H7440" s="19"/>
    </row>
    <row r="7441">
      <c r="A7441" s="9"/>
      <c r="B7441" s="15"/>
      <c r="C7441" s="9">
        <f>IFERROR(__xludf.DUMMYFUNCTION("""COMPUTED_VALUE"""),44719.0314717129)</f>
        <v>44719.03147</v>
      </c>
      <c r="D7441" s="15">
        <f>IFERROR(__xludf.DUMMYFUNCTION("""COMPUTED_VALUE"""),1.01)</f>
        <v>1.01</v>
      </c>
      <c r="E7441" s="16">
        <f>IFERROR(__xludf.DUMMYFUNCTION("""COMPUTED_VALUE"""),69.0)</f>
        <v>69</v>
      </c>
      <c r="F7441" s="19" t="str">
        <f>IFERROR(__xludf.DUMMYFUNCTION("""COMPUTED_VALUE"""),"BLACK")</f>
        <v>BLACK</v>
      </c>
      <c r="G7441" s="20" t="str">
        <f>IFERROR(__xludf.DUMMYFUNCTION("""COMPUTED_VALUE"""),"Uncle Sams Cider (5/13/2022)")</f>
        <v>Uncle Sams Cider (5/13/2022)</v>
      </c>
      <c r="H7441" s="19"/>
    </row>
    <row r="7442">
      <c r="A7442" s="9"/>
      <c r="B7442" s="15"/>
      <c r="C7442" s="9">
        <f>IFERROR(__xludf.DUMMYFUNCTION("""COMPUTED_VALUE"""),44719.021038831)</f>
        <v>44719.02104</v>
      </c>
      <c r="D7442" s="15">
        <f>IFERROR(__xludf.DUMMYFUNCTION("""COMPUTED_VALUE"""),1.01)</f>
        <v>1.01</v>
      </c>
      <c r="E7442" s="16">
        <f>IFERROR(__xludf.DUMMYFUNCTION("""COMPUTED_VALUE"""),69.0)</f>
        <v>69</v>
      </c>
      <c r="F7442" s="19" t="str">
        <f>IFERROR(__xludf.DUMMYFUNCTION("""COMPUTED_VALUE"""),"BLACK")</f>
        <v>BLACK</v>
      </c>
      <c r="G7442" s="20" t="str">
        <f>IFERROR(__xludf.DUMMYFUNCTION("""COMPUTED_VALUE"""),"Uncle Sams Cider (5/13/2022)")</f>
        <v>Uncle Sams Cider (5/13/2022)</v>
      </c>
      <c r="H7442" s="19"/>
    </row>
    <row r="7443">
      <c r="A7443" s="9"/>
      <c r="B7443" s="15"/>
      <c r="C7443" s="9">
        <f>IFERROR(__xludf.DUMMYFUNCTION("""COMPUTED_VALUE"""),44719.0106172685)</f>
        <v>44719.01062</v>
      </c>
      <c r="D7443" s="15">
        <f>IFERROR(__xludf.DUMMYFUNCTION("""COMPUTED_VALUE"""),1.01)</f>
        <v>1.01</v>
      </c>
      <c r="E7443" s="16">
        <f>IFERROR(__xludf.DUMMYFUNCTION("""COMPUTED_VALUE"""),69.0)</f>
        <v>69</v>
      </c>
      <c r="F7443" s="19" t="str">
        <f>IFERROR(__xludf.DUMMYFUNCTION("""COMPUTED_VALUE"""),"BLACK")</f>
        <v>BLACK</v>
      </c>
      <c r="G7443" s="20" t="str">
        <f>IFERROR(__xludf.DUMMYFUNCTION("""COMPUTED_VALUE"""),"Uncle Sams Cider (5/13/2022)")</f>
        <v>Uncle Sams Cider (5/13/2022)</v>
      </c>
      <c r="H7443" s="19"/>
    </row>
    <row r="7444">
      <c r="A7444" s="9"/>
      <c r="B7444" s="15"/>
      <c r="C7444" s="9">
        <f>IFERROR(__xludf.DUMMYFUNCTION("""COMPUTED_VALUE"""),44719.0001960879)</f>
        <v>44719.0002</v>
      </c>
      <c r="D7444" s="15">
        <f>IFERROR(__xludf.DUMMYFUNCTION("""COMPUTED_VALUE"""),1.01)</f>
        <v>1.01</v>
      </c>
      <c r="E7444" s="16">
        <f>IFERROR(__xludf.DUMMYFUNCTION("""COMPUTED_VALUE"""),69.0)</f>
        <v>69</v>
      </c>
      <c r="F7444" s="19" t="str">
        <f>IFERROR(__xludf.DUMMYFUNCTION("""COMPUTED_VALUE"""),"BLACK")</f>
        <v>BLACK</v>
      </c>
      <c r="G7444" s="20" t="str">
        <f>IFERROR(__xludf.DUMMYFUNCTION("""COMPUTED_VALUE"""),"Uncle Sams Cider (5/13/2022)")</f>
        <v>Uncle Sams Cider (5/13/2022)</v>
      </c>
      <c r="H7444" s="19"/>
    </row>
    <row r="7445">
      <c r="A7445" s="9"/>
      <c r="B7445" s="15"/>
      <c r="C7445" s="9">
        <f>IFERROR(__xludf.DUMMYFUNCTION("""COMPUTED_VALUE"""),44718.989775949)</f>
        <v>44718.98978</v>
      </c>
      <c r="D7445" s="15">
        <f>IFERROR(__xludf.DUMMYFUNCTION("""COMPUTED_VALUE"""),1.01)</f>
        <v>1.01</v>
      </c>
      <c r="E7445" s="16">
        <f>IFERROR(__xludf.DUMMYFUNCTION("""COMPUTED_VALUE"""),69.0)</f>
        <v>69</v>
      </c>
      <c r="F7445" s="19" t="str">
        <f>IFERROR(__xludf.DUMMYFUNCTION("""COMPUTED_VALUE"""),"BLACK")</f>
        <v>BLACK</v>
      </c>
      <c r="G7445" s="20" t="str">
        <f>IFERROR(__xludf.DUMMYFUNCTION("""COMPUTED_VALUE"""),"Uncle Sams Cider (5/13/2022)")</f>
        <v>Uncle Sams Cider (5/13/2022)</v>
      </c>
      <c r="H7445" s="19"/>
    </row>
    <row r="7446">
      <c r="A7446" s="9"/>
      <c r="B7446" s="15"/>
      <c r="C7446" s="9">
        <f>IFERROR(__xludf.DUMMYFUNCTION("""COMPUTED_VALUE"""),44718.9793551851)</f>
        <v>44718.97936</v>
      </c>
      <c r="D7446" s="15">
        <f>IFERROR(__xludf.DUMMYFUNCTION("""COMPUTED_VALUE"""),1.01)</f>
        <v>1.01</v>
      </c>
      <c r="E7446" s="16">
        <f>IFERROR(__xludf.DUMMYFUNCTION("""COMPUTED_VALUE"""),69.0)</f>
        <v>69</v>
      </c>
      <c r="F7446" s="19" t="str">
        <f>IFERROR(__xludf.DUMMYFUNCTION("""COMPUTED_VALUE"""),"BLACK")</f>
        <v>BLACK</v>
      </c>
      <c r="G7446" s="20" t="str">
        <f>IFERROR(__xludf.DUMMYFUNCTION("""COMPUTED_VALUE"""),"Uncle Sams Cider (5/13/2022)")</f>
        <v>Uncle Sams Cider (5/13/2022)</v>
      </c>
      <c r="H7446" s="19"/>
    </row>
    <row r="7447">
      <c r="A7447" s="9"/>
      <c r="B7447" s="15"/>
      <c r="C7447" s="9">
        <f>IFERROR(__xludf.DUMMYFUNCTION("""COMPUTED_VALUE"""),44718.9689354861)</f>
        <v>44718.96894</v>
      </c>
      <c r="D7447" s="15">
        <f>IFERROR(__xludf.DUMMYFUNCTION("""COMPUTED_VALUE"""),1.01)</f>
        <v>1.01</v>
      </c>
      <c r="E7447" s="16">
        <f>IFERROR(__xludf.DUMMYFUNCTION("""COMPUTED_VALUE"""),69.0)</f>
        <v>69</v>
      </c>
      <c r="F7447" s="19" t="str">
        <f>IFERROR(__xludf.DUMMYFUNCTION("""COMPUTED_VALUE"""),"BLACK")</f>
        <v>BLACK</v>
      </c>
      <c r="G7447" s="20" t="str">
        <f>IFERROR(__xludf.DUMMYFUNCTION("""COMPUTED_VALUE"""),"Uncle Sams Cider (5/13/2022)")</f>
        <v>Uncle Sams Cider (5/13/2022)</v>
      </c>
      <c r="H7447" s="19"/>
    </row>
    <row r="7448">
      <c r="A7448" s="9"/>
      <c r="B7448" s="15"/>
      <c r="C7448" s="9">
        <f>IFERROR(__xludf.DUMMYFUNCTION("""COMPUTED_VALUE"""),44718.9585140625)</f>
        <v>44718.95851</v>
      </c>
      <c r="D7448" s="15">
        <f>IFERROR(__xludf.DUMMYFUNCTION("""COMPUTED_VALUE"""),1.01)</f>
        <v>1.01</v>
      </c>
      <c r="E7448" s="16">
        <f>IFERROR(__xludf.DUMMYFUNCTION("""COMPUTED_VALUE"""),69.0)</f>
        <v>69</v>
      </c>
      <c r="F7448" s="19" t="str">
        <f>IFERROR(__xludf.DUMMYFUNCTION("""COMPUTED_VALUE"""),"BLACK")</f>
        <v>BLACK</v>
      </c>
      <c r="G7448" s="20" t="str">
        <f>IFERROR(__xludf.DUMMYFUNCTION("""COMPUTED_VALUE"""),"Uncle Sams Cider (5/13/2022)")</f>
        <v>Uncle Sams Cider (5/13/2022)</v>
      </c>
      <c r="H7448" s="19"/>
    </row>
    <row r="7449">
      <c r="A7449" s="9"/>
      <c r="B7449" s="15"/>
      <c r="C7449" s="9">
        <f>IFERROR(__xludf.DUMMYFUNCTION("""COMPUTED_VALUE"""),44718.9480929051)</f>
        <v>44718.94809</v>
      </c>
      <c r="D7449" s="15">
        <f>IFERROR(__xludf.DUMMYFUNCTION("""COMPUTED_VALUE"""),1.01)</f>
        <v>1.01</v>
      </c>
      <c r="E7449" s="16">
        <f>IFERROR(__xludf.DUMMYFUNCTION("""COMPUTED_VALUE"""),69.0)</f>
        <v>69</v>
      </c>
      <c r="F7449" s="19" t="str">
        <f>IFERROR(__xludf.DUMMYFUNCTION("""COMPUTED_VALUE"""),"BLACK")</f>
        <v>BLACK</v>
      </c>
      <c r="G7449" s="20" t="str">
        <f>IFERROR(__xludf.DUMMYFUNCTION("""COMPUTED_VALUE"""),"Uncle Sams Cider (5/13/2022)")</f>
        <v>Uncle Sams Cider (5/13/2022)</v>
      </c>
      <c r="H7449" s="19"/>
    </row>
    <row r="7450">
      <c r="A7450" s="9"/>
      <c r="B7450" s="15"/>
      <c r="C7450" s="9">
        <f>IFERROR(__xludf.DUMMYFUNCTION("""COMPUTED_VALUE"""),44718.9376502777)</f>
        <v>44718.93765</v>
      </c>
      <c r="D7450" s="15">
        <f>IFERROR(__xludf.DUMMYFUNCTION("""COMPUTED_VALUE"""),1.01)</f>
        <v>1.01</v>
      </c>
      <c r="E7450" s="16">
        <f>IFERROR(__xludf.DUMMYFUNCTION("""COMPUTED_VALUE"""),69.0)</f>
        <v>69</v>
      </c>
      <c r="F7450" s="19" t="str">
        <f>IFERROR(__xludf.DUMMYFUNCTION("""COMPUTED_VALUE"""),"BLACK")</f>
        <v>BLACK</v>
      </c>
      <c r="G7450" s="20" t="str">
        <f>IFERROR(__xludf.DUMMYFUNCTION("""COMPUTED_VALUE"""),"Uncle Sams Cider (5/13/2022)")</f>
        <v>Uncle Sams Cider (5/13/2022)</v>
      </c>
      <c r="H7450" s="19"/>
    </row>
    <row r="7451">
      <c r="A7451" s="9"/>
      <c r="B7451" s="15"/>
      <c r="C7451" s="9">
        <f>IFERROR(__xludf.DUMMYFUNCTION("""COMPUTED_VALUE"""),44718.9272293518)</f>
        <v>44718.92723</v>
      </c>
      <c r="D7451" s="15">
        <f>IFERROR(__xludf.DUMMYFUNCTION("""COMPUTED_VALUE"""),1.01)</f>
        <v>1.01</v>
      </c>
      <c r="E7451" s="16">
        <f>IFERROR(__xludf.DUMMYFUNCTION("""COMPUTED_VALUE"""),69.0)</f>
        <v>69</v>
      </c>
      <c r="F7451" s="19" t="str">
        <f>IFERROR(__xludf.DUMMYFUNCTION("""COMPUTED_VALUE"""),"BLACK")</f>
        <v>BLACK</v>
      </c>
      <c r="G7451" s="20" t="str">
        <f>IFERROR(__xludf.DUMMYFUNCTION("""COMPUTED_VALUE"""),"Uncle Sams Cider (5/13/2022)")</f>
        <v>Uncle Sams Cider (5/13/2022)</v>
      </c>
      <c r="H7451" s="19"/>
    </row>
    <row r="7452">
      <c r="A7452" s="9"/>
      <c r="B7452" s="15"/>
      <c r="C7452" s="9">
        <f>IFERROR(__xludf.DUMMYFUNCTION("""COMPUTED_VALUE"""),44718.9168084953)</f>
        <v>44718.91681</v>
      </c>
      <c r="D7452" s="15">
        <f>IFERROR(__xludf.DUMMYFUNCTION("""COMPUTED_VALUE"""),1.01)</f>
        <v>1.01</v>
      </c>
      <c r="E7452" s="16">
        <f>IFERROR(__xludf.DUMMYFUNCTION("""COMPUTED_VALUE"""),69.0)</f>
        <v>69</v>
      </c>
      <c r="F7452" s="19" t="str">
        <f>IFERROR(__xludf.DUMMYFUNCTION("""COMPUTED_VALUE"""),"BLACK")</f>
        <v>BLACK</v>
      </c>
      <c r="G7452" s="20" t="str">
        <f>IFERROR(__xludf.DUMMYFUNCTION("""COMPUTED_VALUE"""),"Uncle Sams Cider (5/13/2022)")</f>
        <v>Uncle Sams Cider (5/13/2022)</v>
      </c>
      <c r="H7452" s="19"/>
    </row>
    <row r="7453">
      <c r="A7453" s="9"/>
      <c r="B7453" s="15"/>
      <c r="C7453" s="9">
        <f>IFERROR(__xludf.DUMMYFUNCTION("""COMPUTED_VALUE"""),44718.9063876504)</f>
        <v>44718.90639</v>
      </c>
      <c r="D7453" s="15">
        <f>IFERROR(__xludf.DUMMYFUNCTION("""COMPUTED_VALUE"""),1.01)</f>
        <v>1.01</v>
      </c>
      <c r="E7453" s="16">
        <f>IFERROR(__xludf.DUMMYFUNCTION("""COMPUTED_VALUE"""),69.0)</f>
        <v>69</v>
      </c>
      <c r="F7453" s="19" t="str">
        <f>IFERROR(__xludf.DUMMYFUNCTION("""COMPUTED_VALUE"""),"BLACK")</f>
        <v>BLACK</v>
      </c>
      <c r="G7453" s="20" t="str">
        <f>IFERROR(__xludf.DUMMYFUNCTION("""COMPUTED_VALUE"""),"Uncle Sams Cider (5/13/2022)")</f>
        <v>Uncle Sams Cider (5/13/2022)</v>
      </c>
      <c r="H7453" s="19"/>
    </row>
    <row r="7454">
      <c r="A7454" s="9"/>
      <c r="B7454" s="15"/>
      <c r="C7454" s="9">
        <f>IFERROR(__xludf.DUMMYFUNCTION("""COMPUTED_VALUE"""),44718.8959661458)</f>
        <v>44718.89597</v>
      </c>
      <c r="D7454" s="15">
        <f>IFERROR(__xludf.DUMMYFUNCTION("""COMPUTED_VALUE"""),1.01)</f>
        <v>1.01</v>
      </c>
      <c r="E7454" s="16">
        <f>IFERROR(__xludf.DUMMYFUNCTION("""COMPUTED_VALUE"""),69.0)</f>
        <v>69</v>
      </c>
      <c r="F7454" s="19" t="str">
        <f>IFERROR(__xludf.DUMMYFUNCTION("""COMPUTED_VALUE"""),"BLACK")</f>
        <v>BLACK</v>
      </c>
      <c r="G7454" s="20" t="str">
        <f>IFERROR(__xludf.DUMMYFUNCTION("""COMPUTED_VALUE"""),"Uncle Sams Cider (5/13/2022)")</f>
        <v>Uncle Sams Cider (5/13/2022)</v>
      </c>
      <c r="H7454" s="19"/>
    </row>
    <row r="7455">
      <c r="A7455" s="9"/>
      <c r="B7455" s="15"/>
      <c r="C7455" s="9">
        <f>IFERROR(__xludf.DUMMYFUNCTION("""COMPUTED_VALUE"""),44718.8855452199)</f>
        <v>44718.88555</v>
      </c>
      <c r="D7455" s="15">
        <f>IFERROR(__xludf.DUMMYFUNCTION("""COMPUTED_VALUE"""),1.01)</f>
        <v>1.01</v>
      </c>
      <c r="E7455" s="16">
        <f>IFERROR(__xludf.DUMMYFUNCTION("""COMPUTED_VALUE"""),69.0)</f>
        <v>69</v>
      </c>
      <c r="F7455" s="19" t="str">
        <f>IFERROR(__xludf.DUMMYFUNCTION("""COMPUTED_VALUE"""),"BLACK")</f>
        <v>BLACK</v>
      </c>
      <c r="G7455" s="20" t="str">
        <f>IFERROR(__xludf.DUMMYFUNCTION("""COMPUTED_VALUE"""),"Uncle Sams Cider (5/13/2022)")</f>
        <v>Uncle Sams Cider (5/13/2022)</v>
      </c>
      <c r="H7455" s="19"/>
    </row>
    <row r="7456">
      <c r="A7456" s="9"/>
      <c r="B7456" s="15"/>
      <c r="C7456" s="9">
        <f>IFERROR(__xludf.DUMMYFUNCTION("""COMPUTED_VALUE"""),44718.8751245023)</f>
        <v>44718.87512</v>
      </c>
      <c r="D7456" s="15">
        <f>IFERROR(__xludf.DUMMYFUNCTION("""COMPUTED_VALUE"""),1.01)</f>
        <v>1.01</v>
      </c>
      <c r="E7456" s="16">
        <f>IFERROR(__xludf.DUMMYFUNCTION("""COMPUTED_VALUE"""),69.0)</f>
        <v>69</v>
      </c>
      <c r="F7456" s="19" t="str">
        <f>IFERROR(__xludf.DUMMYFUNCTION("""COMPUTED_VALUE"""),"BLACK")</f>
        <v>BLACK</v>
      </c>
      <c r="G7456" s="20" t="str">
        <f>IFERROR(__xludf.DUMMYFUNCTION("""COMPUTED_VALUE"""),"Uncle Sams Cider (5/13/2022)")</f>
        <v>Uncle Sams Cider (5/13/2022)</v>
      </c>
      <c r="H7456" s="19"/>
    </row>
    <row r="7457">
      <c r="A7457" s="9"/>
      <c r="B7457" s="15"/>
      <c r="C7457" s="9">
        <f>IFERROR(__xludf.DUMMYFUNCTION("""COMPUTED_VALUE"""),44718.8647031134)</f>
        <v>44718.8647</v>
      </c>
      <c r="D7457" s="15">
        <f>IFERROR(__xludf.DUMMYFUNCTION("""COMPUTED_VALUE"""),1.01)</f>
        <v>1.01</v>
      </c>
      <c r="E7457" s="16">
        <f>IFERROR(__xludf.DUMMYFUNCTION("""COMPUTED_VALUE"""),69.0)</f>
        <v>69</v>
      </c>
      <c r="F7457" s="19" t="str">
        <f>IFERROR(__xludf.DUMMYFUNCTION("""COMPUTED_VALUE"""),"BLACK")</f>
        <v>BLACK</v>
      </c>
      <c r="G7457" s="20" t="str">
        <f>IFERROR(__xludf.DUMMYFUNCTION("""COMPUTED_VALUE"""),"Uncle Sams Cider (5/13/2022)")</f>
        <v>Uncle Sams Cider (5/13/2022)</v>
      </c>
      <c r="H7457" s="19"/>
    </row>
    <row r="7458">
      <c r="A7458" s="9"/>
      <c r="B7458" s="15"/>
      <c r="C7458" s="9">
        <f>IFERROR(__xludf.DUMMYFUNCTION("""COMPUTED_VALUE"""),44718.8542581713)</f>
        <v>44718.85426</v>
      </c>
      <c r="D7458" s="15">
        <f>IFERROR(__xludf.DUMMYFUNCTION("""COMPUTED_VALUE"""),1.01)</f>
        <v>1.01</v>
      </c>
      <c r="E7458" s="16">
        <f>IFERROR(__xludf.DUMMYFUNCTION("""COMPUTED_VALUE"""),69.0)</f>
        <v>69</v>
      </c>
      <c r="F7458" s="19" t="str">
        <f>IFERROR(__xludf.DUMMYFUNCTION("""COMPUTED_VALUE"""),"BLACK")</f>
        <v>BLACK</v>
      </c>
      <c r="G7458" s="20" t="str">
        <f>IFERROR(__xludf.DUMMYFUNCTION("""COMPUTED_VALUE"""),"Uncle Sams Cider (5/13/2022)")</f>
        <v>Uncle Sams Cider (5/13/2022)</v>
      </c>
      <c r="H7458" s="19"/>
    </row>
    <row r="7459">
      <c r="A7459" s="9"/>
      <c r="B7459" s="15"/>
      <c r="C7459" s="9">
        <f>IFERROR(__xludf.DUMMYFUNCTION("""COMPUTED_VALUE"""),44718.8438035763)</f>
        <v>44718.8438</v>
      </c>
      <c r="D7459" s="15">
        <f>IFERROR(__xludf.DUMMYFUNCTION("""COMPUTED_VALUE"""),1.01)</f>
        <v>1.01</v>
      </c>
      <c r="E7459" s="16">
        <f>IFERROR(__xludf.DUMMYFUNCTION("""COMPUTED_VALUE"""),69.0)</f>
        <v>69</v>
      </c>
      <c r="F7459" s="19" t="str">
        <f>IFERROR(__xludf.DUMMYFUNCTION("""COMPUTED_VALUE"""),"BLACK")</f>
        <v>BLACK</v>
      </c>
      <c r="G7459" s="20" t="str">
        <f>IFERROR(__xludf.DUMMYFUNCTION("""COMPUTED_VALUE"""),"Uncle Sams Cider (5/13/2022)")</f>
        <v>Uncle Sams Cider (5/13/2022)</v>
      </c>
      <c r="H7459" s="19"/>
    </row>
    <row r="7460">
      <c r="A7460" s="9"/>
      <c r="B7460" s="15"/>
      <c r="C7460" s="9">
        <f>IFERROR(__xludf.DUMMYFUNCTION("""COMPUTED_VALUE"""),44718.8333830671)</f>
        <v>44718.83338</v>
      </c>
      <c r="D7460" s="15">
        <f>IFERROR(__xludf.DUMMYFUNCTION("""COMPUTED_VALUE"""),1.01)</f>
        <v>1.01</v>
      </c>
      <c r="E7460" s="16">
        <f>IFERROR(__xludf.DUMMYFUNCTION("""COMPUTED_VALUE"""),69.0)</f>
        <v>69</v>
      </c>
      <c r="F7460" s="19" t="str">
        <f>IFERROR(__xludf.DUMMYFUNCTION("""COMPUTED_VALUE"""),"BLACK")</f>
        <v>BLACK</v>
      </c>
      <c r="G7460" s="20" t="str">
        <f>IFERROR(__xludf.DUMMYFUNCTION("""COMPUTED_VALUE"""),"Uncle Sams Cider (5/13/2022)")</f>
        <v>Uncle Sams Cider (5/13/2022)</v>
      </c>
      <c r="H7460" s="19"/>
    </row>
    <row r="7461">
      <c r="A7461" s="9"/>
      <c r="B7461" s="15"/>
      <c r="C7461" s="9">
        <f>IFERROR(__xludf.DUMMYFUNCTION("""COMPUTED_VALUE"""),44718.8229612731)</f>
        <v>44718.82296</v>
      </c>
      <c r="D7461" s="15">
        <f>IFERROR(__xludf.DUMMYFUNCTION("""COMPUTED_VALUE"""),1.01)</f>
        <v>1.01</v>
      </c>
      <c r="E7461" s="16">
        <f>IFERROR(__xludf.DUMMYFUNCTION("""COMPUTED_VALUE"""),69.0)</f>
        <v>69</v>
      </c>
      <c r="F7461" s="19" t="str">
        <f>IFERROR(__xludf.DUMMYFUNCTION("""COMPUTED_VALUE"""),"BLACK")</f>
        <v>BLACK</v>
      </c>
      <c r="G7461" s="20" t="str">
        <f>IFERROR(__xludf.DUMMYFUNCTION("""COMPUTED_VALUE"""),"Uncle Sams Cider (5/13/2022)")</f>
        <v>Uncle Sams Cider (5/13/2022)</v>
      </c>
      <c r="H7461" s="19"/>
    </row>
    <row r="7462">
      <c r="A7462" s="9"/>
      <c r="B7462" s="15"/>
      <c r="C7462" s="9">
        <f>IFERROR(__xludf.DUMMYFUNCTION("""COMPUTED_VALUE"""),44718.8125388425)</f>
        <v>44718.81254</v>
      </c>
      <c r="D7462" s="15">
        <f>IFERROR(__xludf.DUMMYFUNCTION("""COMPUTED_VALUE"""),1.01)</f>
        <v>1.01</v>
      </c>
      <c r="E7462" s="16">
        <f>IFERROR(__xludf.DUMMYFUNCTION("""COMPUTED_VALUE"""),69.0)</f>
        <v>69</v>
      </c>
      <c r="F7462" s="19" t="str">
        <f>IFERROR(__xludf.DUMMYFUNCTION("""COMPUTED_VALUE"""),"BLACK")</f>
        <v>BLACK</v>
      </c>
      <c r="G7462" s="20" t="str">
        <f>IFERROR(__xludf.DUMMYFUNCTION("""COMPUTED_VALUE"""),"Uncle Sams Cider (5/13/2022)")</f>
        <v>Uncle Sams Cider (5/13/2022)</v>
      </c>
      <c r="H7462" s="19"/>
    </row>
    <row r="7463">
      <c r="A7463" s="9"/>
      <c r="B7463" s="15"/>
      <c r="C7463" s="9">
        <f>IFERROR(__xludf.DUMMYFUNCTION("""COMPUTED_VALUE"""),44718.8021179861)</f>
        <v>44718.80212</v>
      </c>
      <c r="D7463" s="15">
        <f>IFERROR(__xludf.DUMMYFUNCTION("""COMPUTED_VALUE"""),1.01)</f>
        <v>1.01</v>
      </c>
      <c r="E7463" s="16">
        <f>IFERROR(__xludf.DUMMYFUNCTION("""COMPUTED_VALUE"""),69.0)</f>
        <v>69</v>
      </c>
      <c r="F7463" s="19" t="str">
        <f>IFERROR(__xludf.DUMMYFUNCTION("""COMPUTED_VALUE"""),"BLACK")</f>
        <v>BLACK</v>
      </c>
      <c r="G7463" s="20" t="str">
        <f>IFERROR(__xludf.DUMMYFUNCTION("""COMPUTED_VALUE"""),"Uncle Sams Cider (5/13/2022)")</f>
        <v>Uncle Sams Cider (5/13/2022)</v>
      </c>
      <c r="H7463" s="19"/>
    </row>
    <row r="7464">
      <c r="A7464" s="9"/>
      <c r="B7464" s="15"/>
      <c r="C7464" s="9">
        <f>IFERROR(__xludf.DUMMYFUNCTION("""COMPUTED_VALUE"""),44718.7916859143)</f>
        <v>44718.79169</v>
      </c>
      <c r="D7464" s="15">
        <f>IFERROR(__xludf.DUMMYFUNCTION("""COMPUTED_VALUE"""),1.01)</f>
        <v>1.01</v>
      </c>
      <c r="E7464" s="16">
        <f>IFERROR(__xludf.DUMMYFUNCTION("""COMPUTED_VALUE"""),69.0)</f>
        <v>69</v>
      </c>
      <c r="F7464" s="19" t="str">
        <f>IFERROR(__xludf.DUMMYFUNCTION("""COMPUTED_VALUE"""),"BLACK")</f>
        <v>BLACK</v>
      </c>
      <c r="G7464" s="20" t="str">
        <f>IFERROR(__xludf.DUMMYFUNCTION("""COMPUTED_VALUE"""),"Uncle Sams Cider (5/13/2022)")</f>
        <v>Uncle Sams Cider (5/13/2022)</v>
      </c>
      <c r="H7464" s="19"/>
    </row>
    <row r="7465">
      <c r="A7465" s="9"/>
      <c r="B7465" s="15"/>
      <c r="C7465" s="9">
        <f>IFERROR(__xludf.DUMMYFUNCTION("""COMPUTED_VALUE"""),44718.7812643518)</f>
        <v>44718.78126</v>
      </c>
      <c r="D7465" s="15">
        <f>IFERROR(__xludf.DUMMYFUNCTION("""COMPUTED_VALUE"""),1.01)</f>
        <v>1.01</v>
      </c>
      <c r="E7465" s="16">
        <f>IFERROR(__xludf.DUMMYFUNCTION("""COMPUTED_VALUE"""),69.0)</f>
        <v>69</v>
      </c>
      <c r="F7465" s="19" t="str">
        <f>IFERROR(__xludf.DUMMYFUNCTION("""COMPUTED_VALUE"""),"BLACK")</f>
        <v>BLACK</v>
      </c>
      <c r="G7465" s="20" t="str">
        <f>IFERROR(__xludf.DUMMYFUNCTION("""COMPUTED_VALUE"""),"Uncle Sams Cider (5/13/2022)")</f>
        <v>Uncle Sams Cider (5/13/2022)</v>
      </c>
      <c r="H7465" s="19"/>
    </row>
    <row r="7466">
      <c r="A7466" s="9"/>
      <c r="B7466" s="15"/>
      <c r="C7466" s="9">
        <f>IFERROR(__xludf.DUMMYFUNCTION("""COMPUTED_VALUE"""),44718.7708430092)</f>
        <v>44718.77084</v>
      </c>
      <c r="D7466" s="15">
        <f>IFERROR(__xludf.DUMMYFUNCTION("""COMPUTED_VALUE"""),1.01)</f>
        <v>1.01</v>
      </c>
      <c r="E7466" s="16">
        <f>IFERROR(__xludf.DUMMYFUNCTION("""COMPUTED_VALUE"""),69.0)</f>
        <v>69</v>
      </c>
      <c r="F7466" s="19" t="str">
        <f>IFERROR(__xludf.DUMMYFUNCTION("""COMPUTED_VALUE"""),"BLACK")</f>
        <v>BLACK</v>
      </c>
      <c r="G7466" s="20" t="str">
        <f>IFERROR(__xludf.DUMMYFUNCTION("""COMPUTED_VALUE"""),"Uncle Sams Cider (5/13/2022)")</f>
        <v>Uncle Sams Cider (5/13/2022)</v>
      </c>
      <c r="H7466" s="19"/>
    </row>
    <row r="7467">
      <c r="A7467" s="9"/>
      <c r="B7467" s="15"/>
      <c r="C7467" s="9">
        <f>IFERROR(__xludf.DUMMYFUNCTION("""COMPUTED_VALUE"""),44718.760420162)</f>
        <v>44718.76042</v>
      </c>
      <c r="D7467" s="15">
        <f>IFERROR(__xludf.DUMMYFUNCTION("""COMPUTED_VALUE"""),1.01)</f>
        <v>1.01</v>
      </c>
      <c r="E7467" s="16">
        <f>IFERROR(__xludf.DUMMYFUNCTION("""COMPUTED_VALUE"""),69.0)</f>
        <v>69</v>
      </c>
      <c r="F7467" s="19" t="str">
        <f>IFERROR(__xludf.DUMMYFUNCTION("""COMPUTED_VALUE"""),"BLACK")</f>
        <v>BLACK</v>
      </c>
      <c r="G7467" s="20" t="str">
        <f>IFERROR(__xludf.DUMMYFUNCTION("""COMPUTED_VALUE"""),"Uncle Sams Cider (5/13/2022)")</f>
        <v>Uncle Sams Cider (5/13/2022)</v>
      </c>
      <c r="H7467" s="19"/>
    </row>
    <row r="7468">
      <c r="A7468" s="9"/>
      <c r="B7468" s="15"/>
      <c r="C7468" s="9">
        <f>IFERROR(__xludf.DUMMYFUNCTION("""COMPUTED_VALUE"""),44718.7499991898)</f>
        <v>44718.75</v>
      </c>
      <c r="D7468" s="15">
        <f>IFERROR(__xludf.DUMMYFUNCTION("""COMPUTED_VALUE"""),1.01)</f>
        <v>1.01</v>
      </c>
      <c r="E7468" s="16">
        <f>IFERROR(__xludf.DUMMYFUNCTION("""COMPUTED_VALUE"""),69.0)</f>
        <v>69</v>
      </c>
      <c r="F7468" s="19" t="str">
        <f>IFERROR(__xludf.DUMMYFUNCTION("""COMPUTED_VALUE"""),"BLACK")</f>
        <v>BLACK</v>
      </c>
      <c r="G7468" s="20" t="str">
        <f>IFERROR(__xludf.DUMMYFUNCTION("""COMPUTED_VALUE"""),"Uncle Sams Cider (5/13/2022)")</f>
        <v>Uncle Sams Cider (5/13/2022)</v>
      </c>
      <c r="H7468" s="19"/>
    </row>
    <row r="7469">
      <c r="A7469" s="9"/>
      <c r="B7469" s="15"/>
      <c r="C7469" s="9">
        <f>IFERROR(__xludf.DUMMYFUNCTION("""COMPUTED_VALUE"""),44718.7395790972)</f>
        <v>44718.73958</v>
      </c>
      <c r="D7469" s="15">
        <f>IFERROR(__xludf.DUMMYFUNCTION("""COMPUTED_VALUE"""),1.01)</f>
        <v>1.01</v>
      </c>
      <c r="E7469" s="16">
        <f>IFERROR(__xludf.DUMMYFUNCTION("""COMPUTED_VALUE"""),69.0)</f>
        <v>69</v>
      </c>
      <c r="F7469" s="19" t="str">
        <f>IFERROR(__xludf.DUMMYFUNCTION("""COMPUTED_VALUE"""),"BLACK")</f>
        <v>BLACK</v>
      </c>
      <c r="G7469" s="20" t="str">
        <f>IFERROR(__xludf.DUMMYFUNCTION("""COMPUTED_VALUE"""),"Uncle Sams Cider (5/13/2022)")</f>
        <v>Uncle Sams Cider (5/13/2022)</v>
      </c>
      <c r="H7469" s="19"/>
    </row>
    <row r="7470">
      <c r="A7470" s="9"/>
      <c r="B7470" s="15"/>
      <c r="C7470" s="9">
        <f>IFERROR(__xludf.DUMMYFUNCTION("""COMPUTED_VALUE"""),44718.7291341435)</f>
        <v>44718.72913</v>
      </c>
      <c r="D7470" s="15">
        <f>IFERROR(__xludf.DUMMYFUNCTION("""COMPUTED_VALUE"""),1.01)</f>
        <v>1.01</v>
      </c>
      <c r="E7470" s="16">
        <f>IFERROR(__xludf.DUMMYFUNCTION("""COMPUTED_VALUE"""),69.0)</f>
        <v>69</v>
      </c>
      <c r="F7470" s="19" t="str">
        <f>IFERROR(__xludf.DUMMYFUNCTION("""COMPUTED_VALUE"""),"BLACK")</f>
        <v>BLACK</v>
      </c>
      <c r="G7470" s="20" t="str">
        <f>IFERROR(__xludf.DUMMYFUNCTION("""COMPUTED_VALUE"""),"Uncle Sams Cider (5/13/2022)")</f>
        <v>Uncle Sams Cider (5/13/2022)</v>
      </c>
      <c r="H7470" s="19"/>
    </row>
    <row r="7471">
      <c r="A7471" s="9"/>
      <c r="B7471" s="15"/>
      <c r="C7471" s="9">
        <f>IFERROR(__xludf.DUMMYFUNCTION("""COMPUTED_VALUE"""),44718.718712905)</f>
        <v>44718.71871</v>
      </c>
      <c r="D7471" s="15">
        <f>IFERROR(__xludf.DUMMYFUNCTION("""COMPUTED_VALUE"""),1.01)</f>
        <v>1.01</v>
      </c>
      <c r="E7471" s="16">
        <f>IFERROR(__xludf.DUMMYFUNCTION("""COMPUTED_VALUE"""),69.0)</f>
        <v>69</v>
      </c>
      <c r="F7471" s="19" t="str">
        <f>IFERROR(__xludf.DUMMYFUNCTION("""COMPUTED_VALUE"""),"BLACK")</f>
        <v>BLACK</v>
      </c>
      <c r="G7471" s="20" t="str">
        <f>IFERROR(__xludf.DUMMYFUNCTION("""COMPUTED_VALUE"""),"Uncle Sams Cider (5/13/2022)")</f>
        <v>Uncle Sams Cider (5/13/2022)</v>
      </c>
      <c r="H7471" s="19"/>
    </row>
    <row r="7472">
      <c r="A7472" s="9"/>
      <c r="B7472" s="15"/>
      <c r="C7472" s="9">
        <f>IFERROR(__xludf.DUMMYFUNCTION("""COMPUTED_VALUE"""),44718.7082797685)</f>
        <v>44718.70828</v>
      </c>
      <c r="D7472" s="15">
        <f>IFERROR(__xludf.DUMMYFUNCTION("""COMPUTED_VALUE"""),1.01)</f>
        <v>1.01</v>
      </c>
      <c r="E7472" s="16">
        <f>IFERROR(__xludf.DUMMYFUNCTION("""COMPUTED_VALUE"""),69.0)</f>
        <v>69</v>
      </c>
      <c r="F7472" s="19" t="str">
        <f>IFERROR(__xludf.DUMMYFUNCTION("""COMPUTED_VALUE"""),"BLACK")</f>
        <v>BLACK</v>
      </c>
      <c r="G7472" s="20" t="str">
        <f>IFERROR(__xludf.DUMMYFUNCTION("""COMPUTED_VALUE"""),"Uncle Sams Cider (5/13/2022)")</f>
        <v>Uncle Sams Cider (5/13/2022)</v>
      </c>
      <c r="H7472" s="19"/>
    </row>
    <row r="7473">
      <c r="A7473" s="9"/>
      <c r="B7473" s="15"/>
      <c r="C7473" s="9">
        <f>IFERROR(__xludf.DUMMYFUNCTION("""COMPUTED_VALUE"""),44718.6978580324)</f>
        <v>44718.69786</v>
      </c>
      <c r="D7473" s="15">
        <f>IFERROR(__xludf.DUMMYFUNCTION("""COMPUTED_VALUE"""),1.01)</f>
        <v>1.01</v>
      </c>
      <c r="E7473" s="16">
        <f>IFERROR(__xludf.DUMMYFUNCTION("""COMPUTED_VALUE"""),69.0)</f>
        <v>69</v>
      </c>
      <c r="F7473" s="19" t="str">
        <f>IFERROR(__xludf.DUMMYFUNCTION("""COMPUTED_VALUE"""),"BLACK")</f>
        <v>BLACK</v>
      </c>
      <c r="G7473" s="20" t="str">
        <f>IFERROR(__xludf.DUMMYFUNCTION("""COMPUTED_VALUE"""),"Uncle Sams Cider (5/13/2022)")</f>
        <v>Uncle Sams Cider (5/13/2022)</v>
      </c>
      <c r="H7473" s="19"/>
    </row>
    <row r="7474">
      <c r="A7474" s="9"/>
      <c r="B7474" s="15"/>
      <c r="C7474" s="9">
        <f>IFERROR(__xludf.DUMMYFUNCTION("""COMPUTED_VALUE"""),44718.6874361805)</f>
        <v>44718.68744</v>
      </c>
      <c r="D7474" s="15">
        <f>IFERROR(__xludf.DUMMYFUNCTION("""COMPUTED_VALUE"""),1.01)</f>
        <v>1.01</v>
      </c>
      <c r="E7474" s="16">
        <f>IFERROR(__xludf.DUMMYFUNCTION("""COMPUTED_VALUE"""),69.0)</f>
        <v>69</v>
      </c>
      <c r="F7474" s="19" t="str">
        <f>IFERROR(__xludf.DUMMYFUNCTION("""COMPUTED_VALUE"""),"BLACK")</f>
        <v>BLACK</v>
      </c>
      <c r="G7474" s="20" t="str">
        <f>IFERROR(__xludf.DUMMYFUNCTION("""COMPUTED_VALUE"""),"Uncle Sams Cider (5/13/2022)")</f>
        <v>Uncle Sams Cider (5/13/2022)</v>
      </c>
      <c r="H7474" s="19"/>
    </row>
    <row r="7475">
      <c r="A7475" s="9"/>
      <c r="B7475" s="15"/>
      <c r="C7475" s="9">
        <f>IFERROR(__xludf.DUMMYFUNCTION("""COMPUTED_VALUE"""),44718.6770135301)</f>
        <v>44718.67701</v>
      </c>
      <c r="D7475" s="15">
        <f>IFERROR(__xludf.DUMMYFUNCTION("""COMPUTED_VALUE"""),1.01)</f>
        <v>1.01</v>
      </c>
      <c r="E7475" s="16">
        <f>IFERROR(__xludf.DUMMYFUNCTION("""COMPUTED_VALUE"""),69.0)</f>
        <v>69</v>
      </c>
      <c r="F7475" s="19" t="str">
        <f>IFERROR(__xludf.DUMMYFUNCTION("""COMPUTED_VALUE"""),"BLACK")</f>
        <v>BLACK</v>
      </c>
      <c r="G7475" s="20" t="str">
        <f>IFERROR(__xludf.DUMMYFUNCTION("""COMPUTED_VALUE"""),"Uncle Sams Cider (5/13/2022)")</f>
        <v>Uncle Sams Cider (5/13/2022)</v>
      </c>
      <c r="H7475" s="19"/>
    </row>
    <row r="7476">
      <c r="A7476" s="9"/>
      <c r="B7476" s="15"/>
      <c r="C7476" s="9">
        <f>IFERROR(__xludf.DUMMYFUNCTION("""COMPUTED_VALUE"""),44718.6665911458)</f>
        <v>44718.66659</v>
      </c>
      <c r="D7476" s="15">
        <f>IFERROR(__xludf.DUMMYFUNCTION("""COMPUTED_VALUE"""),1.01)</f>
        <v>1.01</v>
      </c>
      <c r="E7476" s="16">
        <f>IFERROR(__xludf.DUMMYFUNCTION("""COMPUTED_VALUE"""),69.0)</f>
        <v>69</v>
      </c>
      <c r="F7476" s="19" t="str">
        <f>IFERROR(__xludf.DUMMYFUNCTION("""COMPUTED_VALUE"""),"BLACK")</f>
        <v>BLACK</v>
      </c>
      <c r="G7476" s="20" t="str">
        <f>IFERROR(__xludf.DUMMYFUNCTION("""COMPUTED_VALUE"""),"Uncle Sams Cider (5/13/2022)")</f>
        <v>Uncle Sams Cider (5/13/2022)</v>
      </c>
      <c r="H7476" s="19"/>
    </row>
    <row r="7477">
      <c r="A7477" s="9"/>
      <c r="B7477" s="15"/>
      <c r="C7477" s="9">
        <f>IFERROR(__xludf.DUMMYFUNCTION("""COMPUTED_VALUE"""),44718.6561687615)</f>
        <v>44718.65617</v>
      </c>
      <c r="D7477" s="15">
        <f>IFERROR(__xludf.DUMMYFUNCTION("""COMPUTED_VALUE"""),1.01)</f>
        <v>1.01</v>
      </c>
      <c r="E7477" s="16">
        <f>IFERROR(__xludf.DUMMYFUNCTION("""COMPUTED_VALUE"""),69.0)</f>
        <v>69</v>
      </c>
      <c r="F7477" s="19" t="str">
        <f>IFERROR(__xludf.DUMMYFUNCTION("""COMPUTED_VALUE"""),"BLACK")</f>
        <v>BLACK</v>
      </c>
      <c r="G7477" s="20" t="str">
        <f>IFERROR(__xludf.DUMMYFUNCTION("""COMPUTED_VALUE"""),"Uncle Sams Cider (5/13/2022)")</f>
        <v>Uncle Sams Cider (5/13/2022)</v>
      </c>
      <c r="H7477" s="19"/>
    </row>
    <row r="7478">
      <c r="A7478" s="9"/>
      <c r="B7478" s="15"/>
      <c r="C7478" s="9">
        <f>IFERROR(__xludf.DUMMYFUNCTION("""COMPUTED_VALUE"""),44718.6457477083)</f>
        <v>44718.64575</v>
      </c>
      <c r="D7478" s="15">
        <f>IFERROR(__xludf.DUMMYFUNCTION("""COMPUTED_VALUE"""),1.01)</f>
        <v>1.01</v>
      </c>
      <c r="E7478" s="16">
        <f>IFERROR(__xludf.DUMMYFUNCTION("""COMPUTED_VALUE"""),69.0)</f>
        <v>69</v>
      </c>
      <c r="F7478" s="19" t="str">
        <f>IFERROR(__xludf.DUMMYFUNCTION("""COMPUTED_VALUE"""),"BLACK")</f>
        <v>BLACK</v>
      </c>
      <c r="G7478" s="20" t="str">
        <f>IFERROR(__xludf.DUMMYFUNCTION("""COMPUTED_VALUE"""),"Uncle Sams Cider (5/13/2022)")</f>
        <v>Uncle Sams Cider (5/13/2022)</v>
      </c>
      <c r="H7478" s="19"/>
    </row>
    <row r="7479">
      <c r="A7479" s="9"/>
      <c r="B7479" s="15"/>
      <c r="C7479" s="9">
        <f>IFERROR(__xludf.DUMMYFUNCTION("""COMPUTED_VALUE"""),44718.6353143171)</f>
        <v>44718.63531</v>
      </c>
      <c r="D7479" s="15">
        <f>IFERROR(__xludf.DUMMYFUNCTION("""COMPUTED_VALUE"""),1.01)</f>
        <v>1.01</v>
      </c>
      <c r="E7479" s="16">
        <f>IFERROR(__xludf.DUMMYFUNCTION("""COMPUTED_VALUE"""),69.0)</f>
        <v>69</v>
      </c>
      <c r="F7479" s="19" t="str">
        <f>IFERROR(__xludf.DUMMYFUNCTION("""COMPUTED_VALUE"""),"BLACK")</f>
        <v>BLACK</v>
      </c>
      <c r="G7479" s="20" t="str">
        <f>IFERROR(__xludf.DUMMYFUNCTION("""COMPUTED_VALUE"""),"Uncle Sams Cider (5/13/2022)")</f>
        <v>Uncle Sams Cider (5/13/2022)</v>
      </c>
      <c r="H7479" s="19"/>
    </row>
    <row r="7480">
      <c r="A7480" s="9"/>
      <c r="B7480" s="15"/>
      <c r="C7480" s="9">
        <f>IFERROR(__xludf.DUMMYFUNCTION("""COMPUTED_VALUE"""),44718.6248927083)</f>
        <v>44718.62489</v>
      </c>
      <c r="D7480" s="15">
        <f>IFERROR(__xludf.DUMMYFUNCTION("""COMPUTED_VALUE"""),1.01)</f>
        <v>1.01</v>
      </c>
      <c r="E7480" s="16">
        <f>IFERROR(__xludf.DUMMYFUNCTION("""COMPUTED_VALUE"""),69.0)</f>
        <v>69</v>
      </c>
      <c r="F7480" s="19" t="str">
        <f>IFERROR(__xludf.DUMMYFUNCTION("""COMPUTED_VALUE"""),"BLACK")</f>
        <v>BLACK</v>
      </c>
      <c r="G7480" s="20" t="str">
        <f>IFERROR(__xludf.DUMMYFUNCTION("""COMPUTED_VALUE"""),"Uncle Sams Cider (5/13/2022)")</f>
        <v>Uncle Sams Cider (5/13/2022)</v>
      </c>
      <c r="H7480" s="19"/>
    </row>
    <row r="7481">
      <c r="A7481" s="9"/>
      <c r="B7481" s="15"/>
      <c r="C7481" s="9">
        <f>IFERROR(__xludf.DUMMYFUNCTION("""COMPUTED_VALUE"""),44718.614471875)</f>
        <v>44718.61447</v>
      </c>
      <c r="D7481" s="15">
        <f>IFERROR(__xludf.DUMMYFUNCTION("""COMPUTED_VALUE"""),1.01)</f>
        <v>1.01</v>
      </c>
      <c r="E7481" s="16">
        <f>IFERROR(__xludf.DUMMYFUNCTION("""COMPUTED_VALUE"""),69.0)</f>
        <v>69</v>
      </c>
      <c r="F7481" s="19" t="str">
        <f>IFERROR(__xludf.DUMMYFUNCTION("""COMPUTED_VALUE"""),"BLACK")</f>
        <v>BLACK</v>
      </c>
      <c r="G7481" s="20" t="str">
        <f>IFERROR(__xludf.DUMMYFUNCTION("""COMPUTED_VALUE"""),"Uncle Sams Cider (5/13/2022)")</f>
        <v>Uncle Sams Cider (5/13/2022)</v>
      </c>
      <c r="H7481" s="19"/>
    </row>
    <row r="7482">
      <c r="A7482" s="9"/>
      <c r="B7482" s="15"/>
      <c r="C7482" s="9">
        <f>IFERROR(__xludf.DUMMYFUNCTION("""COMPUTED_VALUE"""),44718.6040492129)</f>
        <v>44718.60405</v>
      </c>
      <c r="D7482" s="15">
        <f>IFERROR(__xludf.DUMMYFUNCTION("""COMPUTED_VALUE"""),1.01)</f>
        <v>1.01</v>
      </c>
      <c r="E7482" s="16">
        <f>IFERROR(__xludf.DUMMYFUNCTION("""COMPUTED_VALUE"""),69.0)</f>
        <v>69</v>
      </c>
      <c r="F7482" s="19" t="str">
        <f>IFERROR(__xludf.DUMMYFUNCTION("""COMPUTED_VALUE"""),"BLACK")</f>
        <v>BLACK</v>
      </c>
      <c r="G7482" s="20" t="str">
        <f>IFERROR(__xludf.DUMMYFUNCTION("""COMPUTED_VALUE"""),"Uncle Sams Cider (5/13/2022)")</f>
        <v>Uncle Sams Cider (5/13/2022)</v>
      </c>
      <c r="H7482" s="19"/>
    </row>
    <row r="7483">
      <c r="A7483" s="9"/>
      <c r="B7483" s="15"/>
      <c r="C7483" s="9">
        <f>IFERROR(__xludf.DUMMYFUNCTION("""COMPUTED_VALUE"""),44718.5936279513)</f>
        <v>44718.59363</v>
      </c>
      <c r="D7483" s="15">
        <f>IFERROR(__xludf.DUMMYFUNCTION("""COMPUTED_VALUE"""),1.01)</f>
        <v>1.01</v>
      </c>
      <c r="E7483" s="16">
        <f>IFERROR(__xludf.DUMMYFUNCTION("""COMPUTED_VALUE"""),69.0)</f>
        <v>69</v>
      </c>
      <c r="F7483" s="19" t="str">
        <f>IFERROR(__xludf.DUMMYFUNCTION("""COMPUTED_VALUE"""),"BLACK")</f>
        <v>BLACK</v>
      </c>
      <c r="G7483" s="20" t="str">
        <f>IFERROR(__xludf.DUMMYFUNCTION("""COMPUTED_VALUE"""),"Uncle Sams Cider (5/13/2022)")</f>
        <v>Uncle Sams Cider (5/13/2022)</v>
      </c>
      <c r="H7483" s="19"/>
    </row>
    <row r="7484">
      <c r="A7484" s="9"/>
      <c r="B7484" s="15"/>
      <c r="C7484" s="9">
        <f>IFERROR(__xludf.DUMMYFUNCTION("""COMPUTED_VALUE"""),44718.5832071643)</f>
        <v>44718.58321</v>
      </c>
      <c r="D7484" s="15">
        <f>IFERROR(__xludf.DUMMYFUNCTION("""COMPUTED_VALUE"""),1.01)</f>
        <v>1.01</v>
      </c>
      <c r="E7484" s="16">
        <f>IFERROR(__xludf.DUMMYFUNCTION("""COMPUTED_VALUE"""),69.0)</f>
        <v>69</v>
      </c>
      <c r="F7484" s="19" t="str">
        <f>IFERROR(__xludf.DUMMYFUNCTION("""COMPUTED_VALUE"""),"BLACK")</f>
        <v>BLACK</v>
      </c>
      <c r="G7484" s="20" t="str">
        <f>IFERROR(__xludf.DUMMYFUNCTION("""COMPUTED_VALUE"""),"Uncle Sams Cider (5/13/2022)")</f>
        <v>Uncle Sams Cider (5/13/2022)</v>
      </c>
      <c r="H7484" s="19"/>
    </row>
    <row r="7485">
      <c r="A7485" s="9"/>
      <c r="B7485" s="15"/>
      <c r="C7485" s="9">
        <f>IFERROR(__xludf.DUMMYFUNCTION("""COMPUTED_VALUE"""),44718.5727861689)</f>
        <v>44718.57279</v>
      </c>
      <c r="D7485" s="15">
        <f>IFERROR(__xludf.DUMMYFUNCTION("""COMPUTED_VALUE"""),1.01)</f>
        <v>1.01</v>
      </c>
      <c r="E7485" s="16">
        <f>IFERROR(__xludf.DUMMYFUNCTION("""COMPUTED_VALUE"""),69.0)</f>
        <v>69</v>
      </c>
      <c r="F7485" s="19" t="str">
        <f>IFERROR(__xludf.DUMMYFUNCTION("""COMPUTED_VALUE"""),"BLACK")</f>
        <v>BLACK</v>
      </c>
      <c r="G7485" s="20" t="str">
        <f>IFERROR(__xludf.DUMMYFUNCTION("""COMPUTED_VALUE"""),"Uncle Sams Cider (5/13/2022)")</f>
        <v>Uncle Sams Cider (5/13/2022)</v>
      </c>
      <c r="H7485" s="19"/>
    </row>
    <row r="7486">
      <c r="A7486" s="9"/>
      <c r="B7486" s="15"/>
      <c r="C7486" s="9">
        <f>IFERROR(__xludf.DUMMYFUNCTION("""COMPUTED_VALUE"""),44718.5623642939)</f>
        <v>44718.56236</v>
      </c>
      <c r="D7486" s="15">
        <f>IFERROR(__xludf.DUMMYFUNCTION("""COMPUTED_VALUE"""),1.01)</f>
        <v>1.01</v>
      </c>
      <c r="E7486" s="16">
        <f>IFERROR(__xludf.DUMMYFUNCTION("""COMPUTED_VALUE"""),69.0)</f>
        <v>69</v>
      </c>
      <c r="F7486" s="19" t="str">
        <f>IFERROR(__xludf.DUMMYFUNCTION("""COMPUTED_VALUE"""),"BLACK")</f>
        <v>BLACK</v>
      </c>
      <c r="G7486" s="20" t="str">
        <f>IFERROR(__xludf.DUMMYFUNCTION("""COMPUTED_VALUE"""),"Uncle Sams Cider (5/13/2022)")</f>
        <v>Uncle Sams Cider (5/13/2022)</v>
      </c>
      <c r="H7486" s="19"/>
    </row>
    <row r="7487">
      <c r="A7487" s="9"/>
      <c r="B7487" s="15"/>
      <c r="C7487" s="9">
        <f>IFERROR(__xludf.DUMMYFUNCTION("""COMPUTED_VALUE"""),44718.5519434722)</f>
        <v>44718.55194</v>
      </c>
      <c r="D7487" s="15">
        <f>IFERROR(__xludf.DUMMYFUNCTION("""COMPUTED_VALUE"""),1.01)</f>
        <v>1.01</v>
      </c>
      <c r="E7487" s="16">
        <f>IFERROR(__xludf.DUMMYFUNCTION("""COMPUTED_VALUE"""),68.0)</f>
        <v>68</v>
      </c>
      <c r="F7487" s="19" t="str">
        <f>IFERROR(__xludf.DUMMYFUNCTION("""COMPUTED_VALUE"""),"BLACK")</f>
        <v>BLACK</v>
      </c>
      <c r="G7487" s="20" t="str">
        <f>IFERROR(__xludf.DUMMYFUNCTION("""COMPUTED_VALUE"""),"Uncle Sams Cider (5/13/2022)")</f>
        <v>Uncle Sams Cider (5/13/2022)</v>
      </c>
      <c r="H7487" s="19"/>
    </row>
    <row r="7488">
      <c r="A7488" s="9"/>
      <c r="B7488" s="15"/>
      <c r="C7488" s="9">
        <f>IFERROR(__xludf.DUMMYFUNCTION("""COMPUTED_VALUE"""),44718.5415112268)</f>
        <v>44718.54151</v>
      </c>
      <c r="D7488" s="15">
        <f>IFERROR(__xludf.DUMMYFUNCTION("""COMPUTED_VALUE"""),1.01)</f>
        <v>1.01</v>
      </c>
      <c r="E7488" s="16">
        <f>IFERROR(__xludf.DUMMYFUNCTION("""COMPUTED_VALUE"""),69.0)</f>
        <v>69</v>
      </c>
      <c r="F7488" s="19" t="str">
        <f>IFERROR(__xludf.DUMMYFUNCTION("""COMPUTED_VALUE"""),"BLACK")</f>
        <v>BLACK</v>
      </c>
      <c r="G7488" s="20" t="str">
        <f>IFERROR(__xludf.DUMMYFUNCTION("""COMPUTED_VALUE"""),"Uncle Sams Cider (5/13/2022)")</f>
        <v>Uncle Sams Cider (5/13/2022)</v>
      </c>
      <c r="H7488" s="19"/>
    </row>
    <row r="7489">
      <c r="A7489" s="9"/>
      <c r="B7489" s="15"/>
      <c r="C7489" s="9">
        <f>IFERROR(__xludf.DUMMYFUNCTION("""COMPUTED_VALUE"""),44718.5310896643)</f>
        <v>44718.53109</v>
      </c>
      <c r="D7489" s="15">
        <f>IFERROR(__xludf.DUMMYFUNCTION("""COMPUTED_VALUE"""),1.01)</f>
        <v>1.01</v>
      </c>
      <c r="E7489" s="16">
        <f>IFERROR(__xludf.DUMMYFUNCTION("""COMPUTED_VALUE"""),69.0)</f>
        <v>69</v>
      </c>
      <c r="F7489" s="19" t="str">
        <f>IFERROR(__xludf.DUMMYFUNCTION("""COMPUTED_VALUE"""),"BLACK")</f>
        <v>BLACK</v>
      </c>
      <c r="G7489" s="20" t="str">
        <f>IFERROR(__xludf.DUMMYFUNCTION("""COMPUTED_VALUE"""),"Uncle Sams Cider (5/13/2022)")</f>
        <v>Uncle Sams Cider (5/13/2022)</v>
      </c>
      <c r="H7489" s="19"/>
    </row>
    <row r="7490">
      <c r="A7490" s="9"/>
      <c r="B7490" s="15"/>
      <c r="C7490" s="9">
        <f>IFERROR(__xludf.DUMMYFUNCTION("""COMPUTED_VALUE"""),44718.5206682638)</f>
        <v>44718.52067</v>
      </c>
      <c r="D7490" s="15">
        <f>IFERROR(__xludf.DUMMYFUNCTION("""COMPUTED_VALUE"""),1.01)</f>
        <v>1.01</v>
      </c>
      <c r="E7490" s="16">
        <f>IFERROR(__xludf.DUMMYFUNCTION("""COMPUTED_VALUE"""),69.0)</f>
        <v>69</v>
      </c>
      <c r="F7490" s="19" t="str">
        <f>IFERROR(__xludf.DUMMYFUNCTION("""COMPUTED_VALUE"""),"BLACK")</f>
        <v>BLACK</v>
      </c>
      <c r="G7490" s="20" t="str">
        <f>IFERROR(__xludf.DUMMYFUNCTION("""COMPUTED_VALUE"""),"Uncle Sams Cider (5/13/2022)")</f>
        <v>Uncle Sams Cider (5/13/2022)</v>
      </c>
      <c r="H7490" s="19"/>
    </row>
    <row r="7491">
      <c r="A7491" s="9"/>
      <c r="B7491" s="15"/>
      <c r="C7491" s="9">
        <f>IFERROR(__xludf.DUMMYFUNCTION("""COMPUTED_VALUE"""),44718.5102478935)</f>
        <v>44718.51025</v>
      </c>
      <c r="D7491" s="15">
        <f>IFERROR(__xludf.DUMMYFUNCTION("""COMPUTED_VALUE"""),1.01)</f>
        <v>1.01</v>
      </c>
      <c r="E7491" s="16">
        <f>IFERROR(__xludf.DUMMYFUNCTION("""COMPUTED_VALUE"""),68.0)</f>
        <v>68</v>
      </c>
      <c r="F7491" s="19" t="str">
        <f>IFERROR(__xludf.DUMMYFUNCTION("""COMPUTED_VALUE"""),"BLACK")</f>
        <v>BLACK</v>
      </c>
      <c r="G7491" s="20" t="str">
        <f>IFERROR(__xludf.DUMMYFUNCTION("""COMPUTED_VALUE"""),"Uncle Sams Cider (5/13/2022)")</f>
        <v>Uncle Sams Cider (5/13/2022)</v>
      </c>
      <c r="H7491" s="19"/>
    </row>
    <row r="7492">
      <c r="A7492" s="9"/>
      <c r="B7492" s="15"/>
      <c r="C7492" s="9">
        <f>IFERROR(__xludf.DUMMYFUNCTION("""COMPUTED_VALUE"""),44718.4998274074)</f>
        <v>44718.49983</v>
      </c>
      <c r="D7492" s="15">
        <f>IFERROR(__xludf.DUMMYFUNCTION("""COMPUTED_VALUE"""),1.01)</f>
        <v>1.01</v>
      </c>
      <c r="E7492" s="16">
        <f>IFERROR(__xludf.DUMMYFUNCTION("""COMPUTED_VALUE"""),69.0)</f>
        <v>69</v>
      </c>
      <c r="F7492" s="19" t="str">
        <f>IFERROR(__xludf.DUMMYFUNCTION("""COMPUTED_VALUE"""),"BLACK")</f>
        <v>BLACK</v>
      </c>
      <c r="G7492" s="20" t="str">
        <f>IFERROR(__xludf.DUMMYFUNCTION("""COMPUTED_VALUE"""),"Uncle Sams Cider (5/13/2022)")</f>
        <v>Uncle Sams Cider (5/13/2022)</v>
      </c>
      <c r="H7492" s="19"/>
    </row>
    <row r="7493">
      <c r="A7493" s="9"/>
      <c r="B7493" s="15"/>
      <c r="C7493" s="9">
        <f>IFERROR(__xludf.DUMMYFUNCTION("""COMPUTED_VALUE"""),44718.4894048958)</f>
        <v>44718.4894</v>
      </c>
      <c r="D7493" s="15">
        <f>IFERROR(__xludf.DUMMYFUNCTION("""COMPUTED_VALUE"""),1.01)</f>
        <v>1.01</v>
      </c>
      <c r="E7493" s="16">
        <f>IFERROR(__xludf.DUMMYFUNCTION("""COMPUTED_VALUE"""),68.0)</f>
        <v>68</v>
      </c>
      <c r="F7493" s="19" t="str">
        <f>IFERROR(__xludf.DUMMYFUNCTION("""COMPUTED_VALUE"""),"BLACK")</f>
        <v>BLACK</v>
      </c>
      <c r="G7493" s="20" t="str">
        <f>IFERROR(__xludf.DUMMYFUNCTION("""COMPUTED_VALUE"""),"Uncle Sams Cider (5/13/2022)")</f>
        <v>Uncle Sams Cider (5/13/2022)</v>
      </c>
      <c r="H7493" s="19"/>
    </row>
    <row r="7494">
      <c r="A7494" s="9"/>
      <c r="B7494" s="15"/>
      <c r="C7494" s="9">
        <f>IFERROR(__xludf.DUMMYFUNCTION("""COMPUTED_VALUE"""),44718.4789854629)</f>
        <v>44718.47899</v>
      </c>
      <c r="D7494" s="15">
        <f>IFERROR(__xludf.DUMMYFUNCTION("""COMPUTED_VALUE"""),1.01)</f>
        <v>1.01</v>
      </c>
      <c r="E7494" s="16">
        <f>IFERROR(__xludf.DUMMYFUNCTION("""COMPUTED_VALUE"""),69.0)</f>
        <v>69</v>
      </c>
      <c r="F7494" s="19" t="str">
        <f>IFERROR(__xludf.DUMMYFUNCTION("""COMPUTED_VALUE"""),"BLACK")</f>
        <v>BLACK</v>
      </c>
      <c r="G7494" s="20" t="str">
        <f>IFERROR(__xludf.DUMMYFUNCTION("""COMPUTED_VALUE"""),"Uncle Sams Cider (5/13/2022)")</f>
        <v>Uncle Sams Cider (5/13/2022)</v>
      </c>
      <c r="H7494" s="19"/>
    </row>
    <row r="7495">
      <c r="A7495" s="9"/>
      <c r="B7495" s="15"/>
      <c r="C7495" s="9">
        <f>IFERROR(__xludf.DUMMYFUNCTION("""COMPUTED_VALUE"""),44718.4685646875)</f>
        <v>44718.46856</v>
      </c>
      <c r="D7495" s="15">
        <f>IFERROR(__xludf.DUMMYFUNCTION("""COMPUTED_VALUE"""),1.01)</f>
        <v>1.01</v>
      </c>
      <c r="E7495" s="16">
        <f>IFERROR(__xludf.DUMMYFUNCTION("""COMPUTED_VALUE"""),68.0)</f>
        <v>68</v>
      </c>
      <c r="F7495" s="19" t="str">
        <f>IFERROR(__xludf.DUMMYFUNCTION("""COMPUTED_VALUE"""),"BLACK")</f>
        <v>BLACK</v>
      </c>
      <c r="G7495" s="20" t="str">
        <f>IFERROR(__xludf.DUMMYFUNCTION("""COMPUTED_VALUE"""),"Uncle Sams Cider (5/13/2022)")</f>
        <v>Uncle Sams Cider (5/13/2022)</v>
      </c>
      <c r="H7495" s="19"/>
    </row>
    <row r="7496">
      <c r="A7496" s="9"/>
      <c r="B7496" s="15"/>
      <c r="C7496" s="9">
        <f>IFERROR(__xludf.DUMMYFUNCTION("""COMPUTED_VALUE"""),44718.4581309606)</f>
        <v>44718.45813</v>
      </c>
      <c r="D7496" s="15">
        <f>IFERROR(__xludf.DUMMYFUNCTION("""COMPUTED_VALUE"""),1.01)</f>
        <v>1.01</v>
      </c>
      <c r="E7496" s="16">
        <f>IFERROR(__xludf.DUMMYFUNCTION("""COMPUTED_VALUE"""),69.0)</f>
        <v>69</v>
      </c>
      <c r="F7496" s="19" t="str">
        <f>IFERROR(__xludf.DUMMYFUNCTION("""COMPUTED_VALUE"""),"BLACK")</f>
        <v>BLACK</v>
      </c>
      <c r="G7496" s="20" t="str">
        <f>IFERROR(__xludf.DUMMYFUNCTION("""COMPUTED_VALUE"""),"Uncle Sams Cider (5/13/2022)")</f>
        <v>Uncle Sams Cider (5/13/2022)</v>
      </c>
      <c r="H7496" s="19"/>
    </row>
    <row r="7497">
      <c r="A7497" s="9"/>
      <c r="B7497" s="15"/>
      <c r="C7497" s="9">
        <f>IFERROR(__xludf.DUMMYFUNCTION("""COMPUTED_VALUE"""),44718.4477103009)</f>
        <v>44718.44771</v>
      </c>
      <c r="D7497" s="15">
        <f>IFERROR(__xludf.DUMMYFUNCTION("""COMPUTED_VALUE"""),1.01)</f>
        <v>1.01</v>
      </c>
      <c r="E7497" s="16">
        <f>IFERROR(__xludf.DUMMYFUNCTION("""COMPUTED_VALUE"""),68.0)</f>
        <v>68</v>
      </c>
      <c r="F7497" s="19" t="str">
        <f>IFERROR(__xludf.DUMMYFUNCTION("""COMPUTED_VALUE"""),"BLACK")</f>
        <v>BLACK</v>
      </c>
      <c r="G7497" s="20" t="str">
        <f>IFERROR(__xludf.DUMMYFUNCTION("""COMPUTED_VALUE"""),"Uncle Sams Cider (5/13/2022)")</f>
        <v>Uncle Sams Cider (5/13/2022)</v>
      </c>
      <c r="H7497" s="19"/>
    </row>
    <row r="7498">
      <c r="A7498" s="9"/>
      <c r="B7498" s="15"/>
      <c r="C7498" s="9">
        <f>IFERROR(__xludf.DUMMYFUNCTION("""COMPUTED_VALUE"""),44718.4372899884)</f>
        <v>44718.43729</v>
      </c>
      <c r="D7498" s="15">
        <f>IFERROR(__xludf.DUMMYFUNCTION("""COMPUTED_VALUE"""),1.01)</f>
        <v>1.01</v>
      </c>
      <c r="E7498" s="16">
        <f>IFERROR(__xludf.DUMMYFUNCTION("""COMPUTED_VALUE"""),68.0)</f>
        <v>68</v>
      </c>
      <c r="F7498" s="19" t="str">
        <f>IFERROR(__xludf.DUMMYFUNCTION("""COMPUTED_VALUE"""),"BLACK")</f>
        <v>BLACK</v>
      </c>
      <c r="G7498" s="20" t="str">
        <f>IFERROR(__xludf.DUMMYFUNCTION("""COMPUTED_VALUE"""),"Uncle Sams Cider (5/13/2022)")</f>
        <v>Uncle Sams Cider (5/13/2022)</v>
      </c>
      <c r="H7498" s="19"/>
    </row>
    <row r="7499">
      <c r="A7499" s="9"/>
      <c r="B7499" s="15"/>
      <c r="C7499" s="9">
        <f>IFERROR(__xludf.DUMMYFUNCTION("""COMPUTED_VALUE"""),44718.4268684722)</f>
        <v>44718.42687</v>
      </c>
      <c r="D7499" s="15">
        <f>IFERROR(__xludf.DUMMYFUNCTION("""COMPUTED_VALUE"""),1.01)</f>
        <v>1.01</v>
      </c>
      <c r="E7499" s="16">
        <f>IFERROR(__xludf.DUMMYFUNCTION("""COMPUTED_VALUE"""),68.0)</f>
        <v>68</v>
      </c>
      <c r="F7499" s="19" t="str">
        <f>IFERROR(__xludf.DUMMYFUNCTION("""COMPUTED_VALUE"""),"BLACK")</f>
        <v>BLACK</v>
      </c>
      <c r="G7499" s="20" t="str">
        <f>IFERROR(__xludf.DUMMYFUNCTION("""COMPUTED_VALUE"""),"Uncle Sams Cider (5/13/2022)")</f>
        <v>Uncle Sams Cider (5/13/2022)</v>
      </c>
      <c r="H7499" s="19"/>
    </row>
    <row r="7500">
      <c r="A7500" s="9"/>
      <c r="B7500" s="15"/>
      <c r="C7500" s="9">
        <f>IFERROR(__xludf.DUMMYFUNCTION("""COMPUTED_VALUE"""),44718.416448831)</f>
        <v>44718.41645</v>
      </c>
      <c r="D7500" s="15">
        <f>IFERROR(__xludf.DUMMYFUNCTION("""COMPUTED_VALUE"""),1.01)</f>
        <v>1.01</v>
      </c>
      <c r="E7500" s="16">
        <f>IFERROR(__xludf.DUMMYFUNCTION("""COMPUTED_VALUE"""),68.0)</f>
        <v>68</v>
      </c>
      <c r="F7500" s="19" t="str">
        <f>IFERROR(__xludf.DUMMYFUNCTION("""COMPUTED_VALUE"""),"BLACK")</f>
        <v>BLACK</v>
      </c>
      <c r="G7500" s="20" t="str">
        <f>IFERROR(__xludf.DUMMYFUNCTION("""COMPUTED_VALUE"""),"Uncle Sams Cider (5/13/2022)")</f>
        <v>Uncle Sams Cider (5/13/2022)</v>
      </c>
      <c r="H7500" s="19"/>
    </row>
    <row r="7501">
      <c r="A7501" s="9"/>
      <c r="B7501" s="15"/>
      <c r="C7501" s="9">
        <f>IFERROR(__xludf.DUMMYFUNCTION("""COMPUTED_VALUE"""),44718.4060290625)</f>
        <v>44718.40603</v>
      </c>
      <c r="D7501" s="15">
        <f>IFERROR(__xludf.DUMMYFUNCTION("""COMPUTED_VALUE"""),1.01)</f>
        <v>1.01</v>
      </c>
      <c r="E7501" s="16">
        <f>IFERROR(__xludf.DUMMYFUNCTION("""COMPUTED_VALUE"""),69.0)</f>
        <v>69</v>
      </c>
      <c r="F7501" s="19" t="str">
        <f>IFERROR(__xludf.DUMMYFUNCTION("""COMPUTED_VALUE"""),"BLACK")</f>
        <v>BLACK</v>
      </c>
      <c r="G7501" s="20" t="str">
        <f>IFERROR(__xludf.DUMMYFUNCTION("""COMPUTED_VALUE"""),"Uncle Sams Cider (5/13/2022)")</f>
        <v>Uncle Sams Cider (5/13/2022)</v>
      </c>
      <c r="H7501" s="19"/>
    </row>
    <row r="7502">
      <c r="A7502" s="9"/>
      <c r="B7502" s="15"/>
      <c r="C7502" s="9">
        <f>IFERROR(__xludf.DUMMYFUNCTION("""COMPUTED_VALUE"""),44718.3955976273)</f>
        <v>44718.3956</v>
      </c>
      <c r="D7502" s="15">
        <f>IFERROR(__xludf.DUMMYFUNCTION("""COMPUTED_VALUE"""),1.01)</f>
        <v>1.01</v>
      </c>
      <c r="E7502" s="16">
        <f>IFERROR(__xludf.DUMMYFUNCTION("""COMPUTED_VALUE"""),68.0)</f>
        <v>68</v>
      </c>
      <c r="F7502" s="19" t="str">
        <f>IFERROR(__xludf.DUMMYFUNCTION("""COMPUTED_VALUE"""),"BLACK")</f>
        <v>BLACK</v>
      </c>
      <c r="G7502" s="20" t="str">
        <f>IFERROR(__xludf.DUMMYFUNCTION("""COMPUTED_VALUE"""),"Uncle Sams Cider (5/13/2022)")</f>
        <v>Uncle Sams Cider (5/13/2022)</v>
      </c>
      <c r="H7502" s="19"/>
    </row>
    <row r="7503">
      <c r="A7503" s="9"/>
      <c r="B7503" s="15"/>
      <c r="C7503" s="9">
        <f>IFERROR(__xludf.DUMMYFUNCTION("""COMPUTED_VALUE"""),44718.3851539583)</f>
        <v>44718.38515</v>
      </c>
      <c r="D7503" s="15">
        <f>IFERROR(__xludf.DUMMYFUNCTION("""COMPUTED_VALUE"""),1.01)</f>
        <v>1.01</v>
      </c>
      <c r="E7503" s="16">
        <f>IFERROR(__xludf.DUMMYFUNCTION("""COMPUTED_VALUE"""),68.0)</f>
        <v>68</v>
      </c>
      <c r="F7503" s="19" t="str">
        <f>IFERROR(__xludf.DUMMYFUNCTION("""COMPUTED_VALUE"""),"BLACK")</f>
        <v>BLACK</v>
      </c>
      <c r="G7503" s="20" t="str">
        <f>IFERROR(__xludf.DUMMYFUNCTION("""COMPUTED_VALUE"""),"Uncle Sams Cider (5/13/2022)")</f>
        <v>Uncle Sams Cider (5/13/2022)</v>
      </c>
      <c r="H7503" s="19"/>
    </row>
    <row r="7504">
      <c r="A7504" s="9"/>
      <c r="B7504" s="15"/>
      <c r="C7504" s="9">
        <f>IFERROR(__xludf.DUMMYFUNCTION("""COMPUTED_VALUE"""),44718.3747198148)</f>
        <v>44718.37472</v>
      </c>
      <c r="D7504" s="15">
        <f>IFERROR(__xludf.DUMMYFUNCTION("""COMPUTED_VALUE"""),1.01)</f>
        <v>1.01</v>
      </c>
      <c r="E7504" s="16">
        <f>IFERROR(__xludf.DUMMYFUNCTION("""COMPUTED_VALUE"""),68.0)</f>
        <v>68</v>
      </c>
      <c r="F7504" s="19" t="str">
        <f>IFERROR(__xludf.DUMMYFUNCTION("""COMPUTED_VALUE"""),"BLACK")</f>
        <v>BLACK</v>
      </c>
      <c r="G7504" s="20" t="str">
        <f>IFERROR(__xludf.DUMMYFUNCTION("""COMPUTED_VALUE"""),"Uncle Sams Cider (5/13/2022)")</f>
        <v>Uncle Sams Cider (5/13/2022)</v>
      </c>
      <c r="H7504" s="19"/>
    </row>
    <row r="7505">
      <c r="A7505" s="9"/>
      <c r="B7505" s="15"/>
      <c r="C7505" s="9">
        <f>IFERROR(__xludf.DUMMYFUNCTION("""COMPUTED_VALUE"""),44718.3642972685)</f>
        <v>44718.3643</v>
      </c>
      <c r="D7505" s="15">
        <f>IFERROR(__xludf.DUMMYFUNCTION("""COMPUTED_VALUE"""),1.01)</f>
        <v>1.01</v>
      </c>
      <c r="E7505" s="16">
        <f>IFERROR(__xludf.DUMMYFUNCTION("""COMPUTED_VALUE"""),68.0)</f>
        <v>68</v>
      </c>
      <c r="F7505" s="19" t="str">
        <f>IFERROR(__xludf.DUMMYFUNCTION("""COMPUTED_VALUE"""),"BLACK")</f>
        <v>BLACK</v>
      </c>
      <c r="G7505" s="20" t="str">
        <f>IFERROR(__xludf.DUMMYFUNCTION("""COMPUTED_VALUE"""),"Uncle Sams Cider (5/13/2022)")</f>
        <v>Uncle Sams Cider (5/13/2022)</v>
      </c>
      <c r="H7505" s="19"/>
    </row>
    <row r="7506">
      <c r="A7506" s="9"/>
      <c r="B7506" s="15"/>
      <c r="C7506" s="9">
        <f>IFERROR(__xludf.DUMMYFUNCTION("""COMPUTED_VALUE"""),44718.3538776967)</f>
        <v>44718.35388</v>
      </c>
      <c r="D7506" s="15">
        <f>IFERROR(__xludf.DUMMYFUNCTION("""COMPUTED_VALUE"""),1.01)</f>
        <v>1.01</v>
      </c>
      <c r="E7506" s="16">
        <f>IFERROR(__xludf.DUMMYFUNCTION("""COMPUTED_VALUE"""),68.0)</f>
        <v>68</v>
      </c>
      <c r="F7506" s="19" t="str">
        <f>IFERROR(__xludf.DUMMYFUNCTION("""COMPUTED_VALUE"""),"BLACK")</f>
        <v>BLACK</v>
      </c>
      <c r="G7506" s="20" t="str">
        <f>IFERROR(__xludf.DUMMYFUNCTION("""COMPUTED_VALUE"""),"Uncle Sams Cider (5/13/2022)")</f>
        <v>Uncle Sams Cider (5/13/2022)</v>
      </c>
      <c r="H7506" s="19"/>
    </row>
    <row r="7507">
      <c r="A7507" s="9"/>
      <c r="B7507" s="15"/>
      <c r="C7507" s="9">
        <f>IFERROR(__xludf.DUMMYFUNCTION("""COMPUTED_VALUE"""),44718.3434444213)</f>
        <v>44718.34344</v>
      </c>
      <c r="D7507" s="15">
        <f>IFERROR(__xludf.DUMMYFUNCTION("""COMPUTED_VALUE"""),1.01)</f>
        <v>1.01</v>
      </c>
      <c r="E7507" s="16">
        <f>IFERROR(__xludf.DUMMYFUNCTION("""COMPUTED_VALUE"""),68.0)</f>
        <v>68</v>
      </c>
      <c r="F7507" s="19" t="str">
        <f>IFERROR(__xludf.DUMMYFUNCTION("""COMPUTED_VALUE"""),"BLACK")</f>
        <v>BLACK</v>
      </c>
      <c r="G7507" s="20" t="str">
        <f>IFERROR(__xludf.DUMMYFUNCTION("""COMPUTED_VALUE"""),"Uncle Sams Cider (5/13/2022)")</f>
        <v>Uncle Sams Cider (5/13/2022)</v>
      </c>
      <c r="H7507" s="19"/>
    </row>
    <row r="7508">
      <c r="A7508" s="9"/>
      <c r="B7508" s="15"/>
      <c r="C7508" s="9">
        <f>IFERROR(__xludf.DUMMYFUNCTION("""COMPUTED_VALUE"""),44718.3330236574)</f>
        <v>44718.33302</v>
      </c>
      <c r="D7508" s="15">
        <f>IFERROR(__xludf.DUMMYFUNCTION("""COMPUTED_VALUE"""),1.01)</f>
        <v>1.01</v>
      </c>
      <c r="E7508" s="16">
        <f>IFERROR(__xludf.DUMMYFUNCTION("""COMPUTED_VALUE"""),68.0)</f>
        <v>68</v>
      </c>
      <c r="F7508" s="19" t="str">
        <f>IFERROR(__xludf.DUMMYFUNCTION("""COMPUTED_VALUE"""),"BLACK")</f>
        <v>BLACK</v>
      </c>
      <c r="G7508" s="20" t="str">
        <f>IFERROR(__xludf.DUMMYFUNCTION("""COMPUTED_VALUE"""),"Uncle Sams Cider (5/13/2022)")</f>
        <v>Uncle Sams Cider (5/13/2022)</v>
      </c>
      <c r="H7508" s="19"/>
    </row>
    <row r="7509">
      <c r="A7509" s="9"/>
      <c r="B7509" s="15"/>
      <c r="C7509" s="9">
        <f>IFERROR(__xludf.DUMMYFUNCTION("""COMPUTED_VALUE"""),44718.3226026967)</f>
        <v>44718.3226</v>
      </c>
      <c r="D7509" s="15">
        <f>IFERROR(__xludf.DUMMYFUNCTION("""COMPUTED_VALUE"""),1.01)</f>
        <v>1.01</v>
      </c>
      <c r="E7509" s="16">
        <f>IFERROR(__xludf.DUMMYFUNCTION("""COMPUTED_VALUE"""),68.0)</f>
        <v>68</v>
      </c>
      <c r="F7509" s="19" t="str">
        <f>IFERROR(__xludf.DUMMYFUNCTION("""COMPUTED_VALUE"""),"BLACK")</f>
        <v>BLACK</v>
      </c>
      <c r="G7509" s="20" t="str">
        <f>IFERROR(__xludf.DUMMYFUNCTION("""COMPUTED_VALUE"""),"Uncle Sams Cider (5/13/2022)")</f>
        <v>Uncle Sams Cider (5/13/2022)</v>
      </c>
      <c r="H7509" s="19"/>
    </row>
    <row r="7510">
      <c r="A7510" s="9"/>
      <c r="B7510" s="15"/>
      <c r="C7510" s="9">
        <f>IFERROR(__xludf.DUMMYFUNCTION("""COMPUTED_VALUE"""),44718.312181412)</f>
        <v>44718.31218</v>
      </c>
      <c r="D7510" s="15">
        <f>IFERROR(__xludf.DUMMYFUNCTION("""COMPUTED_VALUE"""),1.01)</f>
        <v>1.01</v>
      </c>
      <c r="E7510" s="16">
        <f>IFERROR(__xludf.DUMMYFUNCTION("""COMPUTED_VALUE"""),68.0)</f>
        <v>68</v>
      </c>
      <c r="F7510" s="19" t="str">
        <f>IFERROR(__xludf.DUMMYFUNCTION("""COMPUTED_VALUE"""),"BLACK")</f>
        <v>BLACK</v>
      </c>
      <c r="G7510" s="20" t="str">
        <f>IFERROR(__xludf.DUMMYFUNCTION("""COMPUTED_VALUE"""),"Uncle Sams Cider (5/13/2022)")</f>
        <v>Uncle Sams Cider (5/13/2022)</v>
      </c>
      <c r="H7510" s="19"/>
    </row>
    <row r="7511">
      <c r="A7511" s="9"/>
      <c r="B7511" s="15"/>
      <c r="C7511" s="9">
        <f>IFERROR(__xludf.DUMMYFUNCTION("""COMPUTED_VALUE"""),44718.3017249537)</f>
        <v>44718.30172</v>
      </c>
      <c r="D7511" s="15">
        <f>IFERROR(__xludf.DUMMYFUNCTION("""COMPUTED_VALUE"""),1.01)</f>
        <v>1.01</v>
      </c>
      <c r="E7511" s="16">
        <f>IFERROR(__xludf.DUMMYFUNCTION("""COMPUTED_VALUE"""),68.0)</f>
        <v>68</v>
      </c>
      <c r="F7511" s="19" t="str">
        <f>IFERROR(__xludf.DUMMYFUNCTION("""COMPUTED_VALUE"""),"BLACK")</f>
        <v>BLACK</v>
      </c>
      <c r="G7511" s="20" t="str">
        <f>IFERROR(__xludf.DUMMYFUNCTION("""COMPUTED_VALUE"""),"Uncle Sams Cider (5/13/2022)")</f>
        <v>Uncle Sams Cider (5/13/2022)</v>
      </c>
      <c r="H7511" s="19"/>
    </row>
    <row r="7512">
      <c r="A7512" s="9"/>
      <c r="B7512" s="15"/>
      <c r="C7512" s="9">
        <f>IFERROR(__xludf.DUMMYFUNCTION("""COMPUTED_VALUE"""),44718.291305706)</f>
        <v>44718.29131</v>
      </c>
      <c r="D7512" s="15">
        <f>IFERROR(__xludf.DUMMYFUNCTION("""COMPUTED_VALUE"""),1.01)</f>
        <v>1.01</v>
      </c>
      <c r="E7512" s="16">
        <f>IFERROR(__xludf.DUMMYFUNCTION("""COMPUTED_VALUE"""),68.0)</f>
        <v>68</v>
      </c>
      <c r="F7512" s="19" t="str">
        <f>IFERROR(__xludf.DUMMYFUNCTION("""COMPUTED_VALUE"""),"BLACK")</f>
        <v>BLACK</v>
      </c>
      <c r="G7512" s="20" t="str">
        <f>IFERROR(__xludf.DUMMYFUNCTION("""COMPUTED_VALUE"""),"Uncle Sams Cider (5/13/2022)")</f>
        <v>Uncle Sams Cider (5/13/2022)</v>
      </c>
      <c r="H7512" s="19"/>
    </row>
    <row r="7513">
      <c r="A7513" s="9"/>
      <c r="B7513" s="15"/>
      <c r="C7513" s="9">
        <f>IFERROR(__xludf.DUMMYFUNCTION("""COMPUTED_VALUE"""),44718.280872824)</f>
        <v>44718.28087</v>
      </c>
      <c r="D7513" s="15">
        <f>IFERROR(__xludf.DUMMYFUNCTION("""COMPUTED_VALUE"""),1.01)</f>
        <v>1.01</v>
      </c>
      <c r="E7513" s="16">
        <f>IFERROR(__xludf.DUMMYFUNCTION("""COMPUTED_VALUE"""),68.0)</f>
        <v>68</v>
      </c>
      <c r="F7513" s="19" t="str">
        <f>IFERROR(__xludf.DUMMYFUNCTION("""COMPUTED_VALUE"""),"BLACK")</f>
        <v>BLACK</v>
      </c>
      <c r="G7513" s="20" t="str">
        <f>IFERROR(__xludf.DUMMYFUNCTION("""COMPUTED_VALUE"""),"Uncle Sams Cider (5/13/2022)")</f>
        <v>Uncle Sams Cider (5/13/2022)</v>
      </c>
      <c r="H7513" s="19"/>
    </row>
    <row r="7514">
      <c r="A7514" s="9"/>
      <c r="B7514" s="15"/>
      <c r="C7514" s="9">
        <f>IFERROR(__xludf.DUMMYFUNCTION("""COMPUTED_VALUE"""),44718.2704393518)</f>
        <v>44718.27044</v>
      </c>
      <c r="D7514" s="15">
        <f>IFERROR(__xludf.DUMMYFUNCTION("""COMPUTED_VALUE"""),1.01)</f>
        <v>1.01</v>
      </c>
      <c r="E7514" s="16">
        <f>IFERROR(__xludf.DUMMYFUNCTION("""COMPUTED_VALUE"""),68.0)</f>
        <v>68</v>
      </c>
      <c r="F7514" s="19" t="str">
        <f>IFERROR(__xludf.DUMMYFUNCTION("""COMPUTED_VALUE"""),"BLACK")</f>
        <v>BLACK</v>
      </c>
      <c r="G7514" s="20" t="str">
        <f>IFERROR(__xludf.DUMMYFUNCTION("""COMPUTED_VALUE"""),"Uncle Sams Cider (5/13/2022)")</f>
        <v>Uncle Sams Cider (5/13/2022)</v>
      </c>
      <c r="H7514" s="19"/>
    </row>
    <row r="7515">
      <c r="A7515" s="9"/>
      <c r="B7515" s="15"/>
      <c r="C7515" s="9">
        <f>IFERROR(__xludf.DUMMYFUNCTION("""COMPUTED_VALUE"""),44718.2600191666)</f>
        <v>44718.26002</v>
      </c>
      <c r="D7515" s="15">
        <f>IFERROR(__xludf.DUMMYFUNCTION("""COMPUTED_VALUE"""),1.01)</f>
        <v>1.01</v>
      </c>
      <c r="E7515" s="16">
        <f>IFERROR(__xludf.DUMMYFUNCTION("""COMPUTED_VALUE"""),68.0)</f>
        <v>68</v>
      </c>
      <c r="F7515" s="19" t="str">
        <f>IFERROR(__xludf.DUMMYFUNCTION("""COMPUTED_VALUE"""),"BLACK")</f>
        <v>BLACK</v>
      </c>
      <c r="G7515" s="20" t="str">
        <f>IFERROR(__xludf.DUMMYFUNCTION("""COMPUTED_VALUE"""),"Uncle Sams Cider (5/13/2022)")</f>
        <v>Uncle Sams Cider (5/13/2022)</v>
      </c>
      <c r="H7515" s="19"/>
    </row>
    <row r="7516">
      <c r="A7516" s="9"/>
      <c r="B7516" s="15"/>
      <c r="C7516" s="9">
        <f>IFERROR(__xludf.DUMMYFUNCTION("""COMPUTED_VALUE"""),44718.2496003819)</f>
        <v>44718.2496</v>
      </c>
      <c r="D7516" s="15">
        <f>IFERROR(__xludf.DUMMYFUNCTION("""COMPUTED_VALUE"""),1.01)</f>
        <v>1.01</v>
      </c>
      <c r="E7516" s="16">
        <f>IFERROR(__xludf.DUMMYFUNCTION("""COMPUTED_VALUE"""),68.0)</f>
        <v>68</v>
      </c>
      <c r="F7516" s="19" t="str">
        <f>IFERROR(__xludf.DUMMYFUNCTION("""COMPUTED_VALUE"""),"BLACK")</f>
        <v>BLACK</v>
      </c>
      <c r="G7516" s="20" t="str">
        <f>IFERROR(__xludf.DUMMYFUNCTION("""COMPUTED_VALUE"""),"Uncle Sams Cider (5/13/2022)")</f>
        <v>Uncle Sams Cider (5/13/2022)</v>
      </c>
      <c r="H7516" s="19"/>
    </row>
    <row r="7517">
      <c r="A7517" s="9"/>
      <c r="B7517" s="15"/>
      <c r="C7517" s="9">
        <f>IFERROR(__xludf.DUMMYFUNCTION("""COMPUTED_VALUE"""),44718.2391782986)</f>
        <v>44718.23918</v>
      </c>
      <c r="D7517" s="15">
        <f>IFERROR(__xludf.DUMMYFUNCTION("""COMPUTED_VALUE"""),1.01)</f>
        <v>1.01</v>
      </c>
      <c r="E7517" s="16">
        <f>IFERROR(__xludf.DUMMYFUNCTION("""COMPUTED_VALUE"""),68.0)</f>
        <v>68</v>
      </c>
      <c r="F7517" s="19" t="str">
        <f>IFERROR(__xludf.DUMMYFUNCTION("""COMPUTED_VALUE"""),"BLACK")</f>
        <v>BLACK</v>
      </c>
      <c r="G7517" s="20" t="str">
        <f>IFERROR(__xludf.DUMMYFUNCTION("""COMPUTED_VALUE"""),"Uncle Sams Cider (5/13/2022)")</f>
        <v>Uncle Sams Cider (5/13/2022)</v>
      </c>
      <c r="H7517" s="19"/>
    </row>
    <row r="7518">
      <c r="A7518" s="9"/>
      <c r="B7518" s="15"/>
      <c r="C7518" s="9">
        <f>IFERROR(__xludf.DUMMYFUNCTION("""COMPUTED_VALUE"""),44718.228757662)</f>
        <v>44718.22876</v>
      </c>
      <c r="D7518" s="15">
        <f>IFERROR(__xludf.DUMMYFUNCTION("""COMPUTED_VALUE"""),1.011)</f>
        <v>1.011</v>
      </c>
      <c r="E7518" s="16">
        <f>IFERROR(__xludf.DUMMYFUNCTION("""COMPUTED_VALUE"""),68.0)</f>
        <v>68</v>
      </c>
      <c r="F7518" s="19" t="str">
        <f>IFERROR(__xludf.DUMMYFUNCTION("""COMPUTED_VALUE"""),"BLACK")</f>
        <v>BLACK</v>
      </c>
      <c r="G7518" s="20" t="str">
        <f>IFERROR(__xludf.DUMMYFUNCTION("""COMPUTED_VALUE"""),"Uncle Sams Cider (5/13/2022)")</f>
        <v>Uncle Sams Cider (5/13/2022)</v>
      </c>
      <c r="H7518" s="19"/>
    </row>
    <row r="7519">
      <c r="A7519" s="9"/>
      <c r="B7519" s="15"/>
      <c r="C7519" s="9">
        <f>IFERROR(__xludf.DUMMYFUNCTION("""COMPUTED_VALUE"""),44718.2183374768)</f>
        <v>44718.21834</v>
      </c>
      <c r="D7519" s="15">
        <f>IFERROR(__xludf.DUMMYFUNCTION("""COMPUTED_VALUE"""),1.01)</f>
        <v>1.01</v>
      </c>
      <c r="E7519" s="16">
        <f>IFERROR(__xludf.DUMMYFUNCTION("""COMPUTED_VALUE"""),68.0)</f>
        <v>68</v>
      </c>
      <c r="F7519" s="19" t="str">
        <f>IFERROR(__xludf.DUMMYFUNCTION("""COMPUTED_VALUE"""),"BLACK")</f>
        <v>BLACK</v>
      </c>
      <c r="G7519" s="20" t="str">
        <f>IFERROR(__xludf.DUMMYFUNCTION("""COMPUTED_VALUE"""),"Uncle Sams Cider (5/13/2022)")</f>
        <v>Uncle Sams Cider (5/13/2022)</v>
      </c>
      <c r="H7519" s="19"/>
    </row>
    <row r="7520">
      <c r="A7520" s="9"/>
      <c r="B7520" s="15"/>
      <c r="C7520" s="9">
        <f>IFERROR(__xludf.DUMMYFUNCTION("""COMPUTED_VALUE"""),44718.2079159837)</f>
        <v>44718.20792</v>
      </c>
      <c r="D7520" s="15">
        <f>IFERROR(__xludf.DUMMYFUNCTION("""COMPUTED_VALUE"""),1.01)</f>
        <v>1.01</v>
      </c>
      <c r="E7520" s="16">
        <f>IFERROR(__xludf.DUMMYFUNCTION("""COMPUTED_VALUE"""),68.0)</f>
        <v>68</v>
      </c>
      <c r="F7520" s="19" t="str">
        <f>IFERROR(__xludf.DUMMYFUNCTION("""COMPUTED_VALUE"""),"BLACK")</f>
        <v>BLACK</v>
      </c>
      <c r="G7520" s="20" t="str">
        <f>IFERROR(__xludf.DUMMYFUNCTION("""COMPUTED_VALUE"""),"Uncle Sams Cider (5/13/2022)")</f>
        <v>Uncle Sams Cider (5/13/2022)</v>
      </c>
      <c r="H7520" s="19"/>
    </row>
    <row r="7521">
      <c r="A7521" s="9"/>
      <c r="B7521" s="15"/>
      <c r="C7521" s="9">
        <f>IFERROR(__xludf.DUMMYFUNCTION("""COMPUTED_VALUE"""),44718.1974820717)</f>
        <v>44718.19748</v>
      </c>
      <c r="D7521" s="15">
        <f>IFERROR(__xludf.DUMMYFUNCTION("""COMPUTED_VALUE"""),1.01)</f>
        <v>1.01</v>
      </c>
      <c r="E7521" s="16">
        <f>IFERROR(__xludf.DUMMYFUNCTION("""COMPUTED_VALUE"""),68.0)</f>
        <v>68</v>
      </c>
      <c r="F7521" s="19" t="str">
        <f>IFERROR(__xludf.DUMMYFUNCTION("""COMPUTED_VALUE"""),"BLACK")</f>
        <v>BLACK</v>
      </c>
      <c r="G7521" s="20" t="str">
        <f>IFERROR(__xludf.DUMMYFUNCTION("""COMPUTED_VALUE"""),"Uncle Sams Cider (5/13/2022)")</f>
        <v>Uncle Sams Cider (5/13/2022)</v>
      </c>
      <c r="H7521" s="19"/>
    </row>
    <row r="7522">
      <c r="A7522" s="9"/>
      <c r="B7522" s="15"/>
      <c r="C7522" s="9">
        <f>IFERROR(__xludf.DUMMYFUNCTION("""COMPUTED_VALUE"""),44718.1870605208)</f>
        <v>44718.18706</v>
      </c>
      <c r="D7522" s="15">
        <f>IFERROR(__xludf.DUMMYFUNCTION("""COMPUTED_VALUE"""),1.01)</f>
        <v>1.01</v>
      </c>
      <c r="E7522" s="16">
        <f>IFERROR(__xludf.DUMMYFUNCTION("""COMPUTED_VALUE"""),68.0)</f>
        <v>68</v>
      </c>
      <c r="F7522" s="19" t="str">
        <f>IFERROR(__xludf.DUMMYFUNCTION("""COMPUTED_VALUE"""),"BLACK")</f>
        <v>BLACK</v>
      </c>
      <c r="G7522" s="20" t="str">
        <f>IFERROR(__xludf.DUMMYFUNCTION("""COMPUTED_VALUE"""),"Uncle Sams Cider (5/13/2022)")</f>
        <v>Uncle Sams Cider (5/13/2022)</v>
      </c>
      <c r="H7522" s="19"/>
    </row>
    <row r="7523">
      <c r="A7523" s="9"/>
      <c r="B7523" s="15"/>
      <c r="C7523" s="9">
        <f>IFERROR(__xludf.DUMMYFUNCTION("""COMPUTED_VALUE"""),44718.1766386342)</f>
        <v>44718.17664</v>
      </c>
      <c r="D7523" s="15">
        <f>IFERROR(__xludf.DUMMYFUNCTION("""COMPUTED_VALUE"""),1.01)</f>
        <v>1.01</v>
      </c>
      <c r="E7523" s="16">
        <f>IFERROR(__xludf.DUMMYFUNCTION("""COMPUTED_VALUE"""),68.0)</f>
        <v>68</v>
      </c>
      <c r="F7523" s="19" t="str">
        <f>IFERROR(__xludf.DUMMYFUNCTION("""COMPUTED_VALUE"""),"BLACK")</f>
        <v>BLACK</v>
      </c>
      <c r="G7523" s="20" t="str">
        <f>IFERROR(__xludf.DUMMYFUNCTION("""COMPUTED_VALUE"""),"Uncle Sams Cider (5/13/2022)")</f>
        <v>Uncle Sams Cider (5/13/2022)</v>
      </c>
      <c r="H7523" s="19"/>
    </row>
    <row r="7524">
      <c r="A7524" s="9"/>
      <c r="B7524" s="15"/>
      <c r="C7524" s="9">
        <f>IFERROR(__xludf.DUMMYFUNCTION("""COMPUTED_VALUE"""),44718.1662171643)</f>
        <v>44718.16622</v>
      </c>
      <c r="D7524" s="15">
        <f>IFERROR(__xludf.DUMMYFUNCTION("""COMPUTED_VALUE"""),1.011)</f>
        <v>1.011</v>
      </c>
      <c r="E7524" s="16">
        <f>IFERROR(__xludf.DUMMYFUNCTION("""COMPUTED_VALUE"""),68.0)</f>
        <v>68</v>
      </c>
      <c r="F7524" s="19" t="str">
        <f>IFERROR(__xludf.DUMMYFUNCTION("""COMPUTED_VALUE"""),"BLACK")</f>
        <v>BLACK</v>
      </c>
      <c r="G7524" s="20" t="str">
        <f>IFERROR(__xludf.DUMMYFUNCTION("""COMPUTED_VALUE"""),"Uncle Sams Cider (5/13/2022)")</f>
        <v>Uncle Sams Cider (5/13/2022)</v>
      </c>
      <c r="H7524" s="19"/>
    </row>
    <row r="7525">
      <c r="A7525" s="9"/>
      <c r="B7525" s="15"/>
      <c r="C7525" s="9">
        <f>IFERROR(__xludf.DUMMYFUNCTION("""COMPUTED_VALUE"""),44718.1557960069)</f>
        <v>44718.1558</v>
      </c>
      <c r="D7525" s="15">
        <f>IFERROR(__xludf.DUMMYFUNCTION("""COMPUTED_VALUE"""),1.01)</f>
        <v>1.01</v>
      </c>
      <c r="E7525" s="16">
        <f>IFERROR(__xludf.DUMMYFUNCTION("""COMPUTED_VALUE"""),68.0)</f>
        <v>68</v>
      </c>
      <c r="F7525" s="19" t="str">
        <f>IFERROR(__xludf.DUMMYFUNCTION("""COMPUTED_VALUE"""),"BLACK")</f>
        <v>BLACK</v>
      </c>
      <c r="G7525" s="20" t="str">
        <f>IFERROR(__xludf.DUMMYFUNCTION("""COMPUTED_VALUE"""),"Uncle Sams Cider (5/13/2022)")</f>
        <v>Uncle Sams Cider (5/13/2022)</v>
      </c>
      <c r="H7525" s="19"/>
    </row>
    <row r="7526">
      <c r="A7526" s="9"/>
      <c r="B7526" s="15"/>
      <c r="C7526" s="9">
        <f>IFERROR(__xludf.DUMMYFUNCTION("""COMPUTED_VALUE"""),44718.1453629976)</f>
        <v>44718.14536</v>
      </c>
      <c r="D7526" s="15">
        <f>IFERROR(__xludf.DUMMYFUNCTION("""COMPUTED_VALUE"""),1.01)</f>
        <v>1.01</v>
      </c>
      <c r="E7526" s="16">
        <f>IFERROR(__xludf.DUMMYFUNCTION("""COMPUTED_VALUE"""),68.0)</f>
        <v>68</v>
      </c>
      <c r="F7526" s="19" t="str">
        <f>IFERROR(__xludf.DUMMYFUNCTION("""COMPUTED_VALUE"""),"BLACK")</f>
        <v>BLACK</v>
      </c>
      <c r="G7526" s="20" t="str">
        <f>IFERROR(__xludf.DUMMYFUNCTION("""COMPUTED_VALUE"""),"Uncle Sams Cider (5/13/2022)")</f>
        <v>Uncle Sams Cider (5/13/2022)</v>
      </c>
      <c r="H7526" s="19"/>
    </row>
    <row r="7527">
      <c r="A7527" s="9"/>
      <c r="B7527" s="15"/>
      <c r="C7527" s="9">
        <f>IFERROR(__xludf.DUMMYFUNCTION("""COMPUTED_VALUE"""),44718.1349428819)</f>
        <v>44718.13494</v>
      </c>
      <c r="D7527" s="15">
        <f>IFERROR(__xludf.DUMMYFUNCTION("""COMPUTED_VALUE"""),1.01)</f>
        <v>1.01</v>
      </c>
      <c r="E7527" s="16">
        <f>IFERROR(__xludf.DUMMYFUNCTION("""COMPUTED_VALUE"""),68.0)</f>
        <v>68</v>
      </c>
      <c r="F7527" s="19" t="str">
        <f>IFERROR(__xludf.DUMMYFUNCTION("""COMPUTED_VALUE"""),"BLACK")</f>
        <v>BLACK</v>
      </c>
      <c r="G7527" s="20" t="str">
        <f>IFERROR(__xludf.DUMMYFUNCTION("""COMPUTED_VALUE"""),"Uncle Sams Cider (5/13/2022)")</f>
        <v>Uncle Sams Cider (5/13/2022)</v>
      </c>
      <c r="H7527" s="19"/>
    </row>
    <row r="7528">
      <c r="A7528" s="9"/>
      <c r="B7528" s="15"/>
      <c r="C7528" s="9">
        <f>IFERROR(__xludf.DUMMYFUNCTION("""COMPUTED_VALUE"""),44718.1244876967)</f>
        <v>44718.12449</v>
      </c>
      <c r="D7528" s="15">
        <f>IFERROR(__xludf.DUMMYFUNCTION("""COMPUTED_VALUE"""),1.01)</f>
        <v>1.01</v>
      </c>
      <c r="E7528" s="16">
        <f>IFERROR(__xludf.DUMMYFUNCTION("""COMPUTED_VALUE"""),68.0)</f>
        <v>68</v>
      </c>
      <c r="F7528" s="19" t="str">
        <f>IFERROR(__xludf.DUMMYFUNCTION("""COMPUTED_VALUE"""),"BLACK")</f>
        <v>BLACK</v>
      </c>
      <c r="G7528" s="20" t="str">
        <f>IFERROR(__xludf.DUMMYFUNCTION("""COMPUTED_VALUE"""),"Uncle Sams Cider (5/13/2022)")</f>
        <v>Uncle Sams Cider (5/13/2022)</v>
      </c>
      <c r="H7528" s="19"/>
    </row>
    <row r="7529">
      <c r="A7529" s="9"/>
      <c r="B7529" s="15"/>
      <c r="C7529" s="9">
        <f>IFERROR(__xludf.DUMMYFUNCTION("""COMPUTED_VALUE"""),44718.1140195833)</f>
        <v>44718.11402</v>
      </c>
      <c r="D7529" s="15">
        <f>IFERROR(__xludf.DUMMYFUNCTION("""COMPUTED_VALUE"""),1.011)</f>
        <v>1.011</v>
      </c>
      <c r="E7529" s="16">
        <f>IFERROR(__xludf.DUMMYFUNCTION("""COMPUTED_VALUE"""),68.0)</f>
        <v>68</v>
      </c>
      <c r="F7529" s="19" t="str">
        <f>IFERROR(__xludf.DUMMYFUNCTION("""COMPUTED_VALUE"""),"BLACK")</f>
        <v>BLACK</v>
      </c>
      <c r="G7529" s="20" t="str">
        <f>IFERROR(__xludf.DUMMYFUNCTION("""COMPUTED_VALUE"""),"Uncle Sams Cider (5/13/2022)")</f>
        <v>Uncle Sams Cider (5/13/2022)</v>
      </c>
      <c r="H7529" s="19"/>
    </row>
    <row r="7530">
      <c r="A7530" s="9"/>
      <c r="B7530" s="15"/>
      <c r="C7530" s="9">
        <f>IFERROR(__xludf.DUMMYFUNCTION("""COMPUTED_VALUE"""),44718.103600162)</f>
        <v>44718.1036</v>
      </c>
      <c r="D7530" s="15">
        <f>IFERROR(__xludf.DUMMYFUNCTION("""COMPUTED_VALUE"""),1.011)</f>
        <v>1.011</v>
      </c>
      <c r="E7530" s="16">
        <f>IFERROR(__xludf.DUMMYFUNCTION("""COMPUTED_VALUE"""),68.0)</f>
        <v>68</v>
      </c>
      <c r="F7530" s="19" t="str">
        <f>IFERROR(__xludf.DUMMYFUNCTION("""COMPUTED_VALUE"""),"BLACK")</f>
        <v>BLACK</v>
      </c>
      <c r="G7530" s="20" t="str">
        <f>IFERROR(__xludf.DUMMYFUNCTION("""COMPUTED_VALUE"""),"Uncle Sams Cider (5/13/2022)")</f>
        <v>Uncle Sams Cider (5/13/2022)</v>
      </c>
      <c r="H7530" s="19"/>
    </row>
    <row r="7531">
      <c r="A7531" s="9"/>
      <c r="B7531" s="15"/>
      <c r="C7531" s="9">
        <f>IFERROR(__xludf.DUMMYFUNCTION("""COMPUTED_VALUE"""),44718.0931819676)</f>
        <v>44718.09318</v>
      </c>
      <c r="D7531" s="15">
        <f>IFERROR(__xludf.DUMMYFUNCTION("""COMPUTED_VALUE"""),1.01)</f>
        <v>1.01</v>
      </c>
      <c r="E7531" s="16">
        <f>IFERROR(__xludf.DUMMYFUNCTION("""COMPUTED_VALUE"""),68.0)</f>
        <v>68</v>
      </c>
      <c r="F7531" s="19" t="str">
        <f>IFERROR(__xludf.DUMMYFUNCTION("""COMPUTED_VALUE"""),"BLACK")</f>
        <v>BLACK</v>
      </c>
      <c r="G7531" s="20" t="str">
        <f>IFERROR(__xludf.DUMMYFUNCTION("""COMPUTED_VALUE"""),"Uncle Sams Cider (5/13/2022)")</f>
        <v>Uncle Sams Cider (5/13/2022)</v>
      </c>
      <c r="H7531" s="19"/>
    </row>
    <row r="7532">
      <c r="A7532" s="9"/>
      <c r="B7532" s="15"/>
      <c r="C7532" s="9">
        <f>IFERROR(__xludf.DUMMYFUNCTION("""COMPUTED_VALUE"""),44718.0827605555)</f>
        <v>44718.08276</v>
      </c>
      <c r="D7532" s="15">
        <f>IFERROR(__xludf.DUMMYFUNCTION("""COMPUTED_VALUE"""),1.01)</f>
        <v>1.01</v>
      </c>
      <c r="E7532" s="16">
        <f>IFERROR(__xludf.DUMMYFUNCTION("""COMPUTED_VALUE"""),68.0)</f>
        <v>68</v>
      </c>
      <c r="F7532" s="19" t="str">
        <f>IFERROR(__xludf.DUMMYFUNCTION("""COMPUTED_VALUE"""),"BLACK")</f>
        <v>BLACK</v>
      </c>
      <c r="G7532" s="20" t="str">
        <f>IFERROR(__xludf.DUMMYFUNCTION("""COMPUTED_VALUE"""),"Uncle Sams Cider (5/13/2022)")</f>
        <v>Uncle Sams Cider (5/13/2022)</v>
      </c>
      <c r="H7532" s="19"/>
    </row>
    <row r="7533">
      <c r="A7533" s="9"/>
      <c r="B7533" s="15"/>
      <c r="C7533" s="9">
        <f>IFERROR(__xludf.DUMMYFUNCTION("""COMPUTED_VALUE"""),44718.0723396296)</f>
        <v>44718.07234</v>
      </c>
      <c r="D7533" s="15">
        <f>IFERROR(__xludf.DUMMYFUNCTION("""COMPUTED_VALUE"""),1.011)</f>
        <v>1.011</v>
      </c>
      <c r="E7533" s="16">
        <f>IFERROR(__xludf.DUMMYFUNCTION("""COMPUTED_VALUE"""),68.0)</f>
        <v>68</v>
      </c>
      <c r="F7533" s="19" t="str">
        <f>IFERROR(__xludf.DUMMYFUNCTION("""COMPUTED_VALUE"""),"BLACK")</f>
        <v>BLACK</v>
      </c>
      <c r="G7533" s="20" t="str">
        <f>IFERROR(__xludf.DUMMYFUNCTION("""COMPUTED_VALUE"""),"Uncle Sams Cider (5/13/2022)")</f>
        <v>Uncle Sams Cider (5/13/2022)</v>
      </c>
      <c r="H7533" s="19"/>
    </row>
    <row r="7534">
      <c r="A7534" s="9"/>
      <c r="B7534" s="15"/>
      <c r="C7534" s="9">
        <f>IFERROR(__xludf.DUMMYFUNCTION("""COMPUTED_VALUE"""),44718.061918125)</f>
        <v>44718.06192</v>
      </c>
      <c r="D7534" s="15">
        <f>IFERROR(__xludf.DUMMYFUNCTION("""COMPUTED_VALUE"""),1.011)</f>
        <v>1.011</v>
      </c>
      <c r="E7534" s="16">
        <f>IFERROR(__xludf.DUMMYFUNCTION("""COMPUTED_VALUE"""),68.0)</f>
        <v>68</v>
      </c>
      <c r="F7534" s="19" t="str">
        <f>IFERROR(__xludf.DUMMYFUNCTION("""COMPUTED_VALUE"""),"BLACK")</f>
        <v>BLACK</v>
      </c>
      <c r="G7534" s="20" t="str">
        <f>IFERROR(__xludf.DUMMYFUNCTION("""COMPUTED_VALUE"""),"Uncle Sams Cider (5/13/2022)")</f>
        <v>Uncle Sams Cider (5/13/2022)</v>
      </c>
      <c r="H7534" s="19"/>
    </row>
    <row r="7535">
      <c r="A7535" s="9"/>
      <c r="B7535" s="15"/>
      <c r="C7535" s="9">
        <f>IFERROR(__xludf.DUMMYFUNCTION("""COMPUTED_VALUE"""),44718.0514973726)</f>
        <v>44718.0515</v>
      </c>
      <c r="D7535" s="15">
        <f>IFERROR(__xludf.DUMMYFUNCTION("""COMPUTED_VALUE"""),1.011)</f>
        <v>1.011</v>
      </c>
      <c r="E7535" s="16">
        <f>IFERROR(__xludf.DUMMYFUNCTION("""COMPUTED_VALUE"""),68.0)</f>
        <v>68</v>
      </c>
      <c r="F7535" s="19" t="str">
        <f>IFERROR(__xludf.DUMMYFUNCTION("""COMPUTED_VALUE"""),"BLACK")</f>
        <v>BLACK</v>
      </c>
      <c r="G7535" s="20" t="str">
        <f>IFERROR(__xludf.DUMMYFUNCTION("""COMPUTED_VALUE"""),"Uncle Sams Cider (5/13/2022)")</f>
        <v>Uncle Sams Cider (5/13/2022)</v>
      </c>
      <c r="H7535" s="19"/>
    </row>
    <row r="7536">
      <c r="A7536" s="9"/>
      <c r="B7536" s="15"/>
      <c r="C7536" s="9">
        <f>IFERROR(__xludf.DUMMYFUNCTION("""COMPUTED_VALUE"""),44718.0410751041)</f>
        <v>44718.04108</v>
      </c>
      <c r="D7536" s="15">
        <f>IFERROR(__xludf.DUMMYFUNCTION("""COMPUTED_VALUE"""),1.01)</f>
        <v>1.01</v>
      </c>
      <c r="E7536" s="16">
        <f>IFERROR(__xludf.DUMMYFUNCTION("""COMPUTED_VALUE"""),68.0)</f>
        <v>68</v>
      </c>
      <c r="F7536" s="19" t="str">
        <f>IFERROR(__xludf.DUMMYFUNCTION("""COMPUTED_VALUE"""),"BLACK")</f>
        <v>BLACK</v>
      </c>
      <c r="G7536" s="20" t="str">
        <f>IFERROR(__xludf.DUMMYFUNCTION("""COMPUTED_VALUE"""),"Uncle Sams Cider (5/13/2022)")</f>
        <v>Uncle Sams Cider (5/13/2022)</v>
      </c>
      <c r="H7536" s="19"/>
    </row>
    <row r="7537">
      <c r="A7537" s="9"/>
      <c r="B7537" s="15"/>
      <c r="C7537" s="9">
        <f>IFERROR(__xludf.DUMMYFUNCTION("""COMPUTED_VALUE"""),44718.0306528009)</f>
        <v>44718.03065</v>
      </c>
      <c r="D7537" s="15">
        <f>IFERROR(__xludf.DUMMYFUNCTION("""COMPUTED_VALUE"""),1.011)</f>
        <v>1.011</v>
      </c>
      <c r="E7537" s="16">
        <f>IFERROR(__xludf.DUMMYFUNCTION("""COMPUTED_VALUE"""),68.0)</f>
        <v>68</v>
      </c>
      <c r="F7537" s="19" t="str">
        <f>IFERROR(__xludf.DUMMYFUNCTION("""COMPUTED_VALUE"""),"BLACK")</f>
        <v>BLACK</v>
      </c>
      <c r="G7537" s="20" t="str">
        <f>IFERROR(__xludf.DUMMYFUNCTION("""COMPUTED_VALUE"""),"Uncle Sams Cider (5/13/2022)")</f>
        <v>Uncle Sams Cider (5/13/2022)</v>
      </c>
      <c r="H7537" s="19"/>
    </row>
    <row r="7538">
      <c r="A7538" s="9"/>
      <c r="B7538" s="15"/>
      <c r="C7538" s="9">
        <f>IFERROR(__xludf.DUMMYFUNCTION("""COMPUTED_VALUE"""),44718.020229618)</f>
        <v>44718.02023</v>
      </c>
      <c r="D7538" s="15">
        <f>IFERROR(__xludf.DUMMYFUNCTION("""COMPUTED_VALUE"""),1.011)</f>
        <v>1.011</v>
      </c>
      <c r="E7538" s="16">
        <f>IFERROR(__xludf.DUMMYFUNCTION("""COMPUTED_VALUE"""),68.0)</f>
        <v>68</v>
      </c>
      <c r="F7538" s="19" t="str">
        <f>IFERROR(__xludf.DUMMYFUNCTION("""COMPUTED_VALUE"""),"BLACK")</f>
        <v>BLACK</v>
      </c>
      <c r="G7538" s="20" t="str">
        <f>IFERROR(__xludf.DUMMYFUNCTION("""COMPUTED_VALUE"""),"Uncle Sams Cider (5/13/2022)")</f>
        <v>Uncle Sams Cider (5/13/2022)</v>
      </c>
      <c r="H7538" s="19"/>
    </row>
    <row r="7539">
      <c r="A7539" s="9"/>
      <c r="B7539" s="15"/>
      <c r="C7539" s="9">
        <f>IFERROR(__xludf.DUMMYFUNCTION("""COMPUTED_VALUE"""),44718.0098085185)</f>
        <v>44718.00981</v>
      </c>
      <c r="D7539" s="15">
        <f>IFERROR(__xludf.DUMMYFUNCTION("""COMPUTED_VALUE"""),1.011)</f>
        <v>1.011</v>
      </c>
      <c r="E7539" s="16">
        <f>IFERROR(__xludf.DUMMYFUNCTION("""COMPUTED_VALUE"""),68.0)</f>
        <v>68</v>
      </c>
      <c r="F7539" s="19" t="str">
        <f>IFERROR(__xludf.DUMMYFUNCTION("""COMPUTED_VALUE"""),"BLACK")</f>
        <v>BLACK</v>
      </c>
      <c r="G7539" s="20" t="str">
        <f>IFERROR(__xludf.DUMMYFUNCTION("""COMPUTED_VALUE"""),"Uncle Sams Cider (5/13/2022)")</f>
        <v>Uncle Sams Cider (5/13/2022)</v>
      </c>
      <c r="H7539" s="19"/>
    </row>
    <row r="7540">
      <c r="A7540" s="9"/>
      <c r="B7540" s="15"/>
      <c r="C7540" s="9">
        <f>IFERROR(__xludf.DUMMYFUNCTION("""COMPUTED_VALUE"""),44717.9993881712)</f>
        <v>44717.99939</v>
      </c>
      <c r="D7540" s="15">
        <f>IFERROR(__xludf.DUMMYFUNCTION("""COMPUTED_VALUE"""),1.011)</f>
        <v>1.011</v>
      </c>
      <c r="E7540" s="16">
        <f>IFERROR(__xludf.DUMMYFUNCTION("""COMPUTED_VALUE"""),68.0)</f>
        <v>68</v>
      </c>
      <c r="F7540" s="19" t="str">
        <f>IFERROR(__xludf.DUMMYFUNCTION("""COMPUTED_VALUE"""),"BLACK")</f>
        <v>BLACK</v>
      </c>
      <c r="G7540" s="20" t="str">
        <f>IFERROR(__xludf.DUMMYFUNCTION("""COMPUTED_VALUE"""),"Uncle Sams Cider (5/13/2022)")</f>
        <v>Uncle Sams Cider (5/13/2022)</v>
      </c>
      <c r="H7540" s="19"/>
    </row>
    <row r="7541">
      <c r="A7541" s="9"/>
      <c r="B7541" s="15"/>
      <c r="C7541" s="9">
        <f>IFERROR(__xludf.DUMMYFUNCTION("""COMPUTED_VALUE"""),44717.9889681713)</f>
        <v>44717.98897</v>
      </c>
      <c r="D7541" s="15">
        <f>IFERROR(__xludf.DUMMYFUNCTION("""COMPUTED_VALUE"""),1.01)</f>
        <v>1.01</v>
      </c>
      <c r="E7541" s="16">
        <f>IFERROR(__xludf.DUMMYFUNCTION("""COMPUTED_VALUE"""),68.0)</f>
        <v>68</v>
      </c>
      <c r="F7541" s="19" t="str">
        <f>IFERROR(__xludf.DUMMYFUNCTION("""COMPUTED_VALUE"""),"BLACK")</f>
        <v>BLACK</v>
      </c>
      <c r="G7541" s="20" t="str">
        <f>IFERROR(__xludf.DUMMYFUNCTION("""COMPUTED_VALUE"""),"Uncle Sams Cider (5/13/2022)")</f>
        <v>Uncle Sams Cider (5/13/2022)</v>
      </c>
      <c r="H7541" s="19"/>
    </row>
    <row r="7542">
      <c r="A7542" s="9"/>
      <c r="B7542" s="15"/>
      <c r="C7542" s="9">
        <f>IFERROR(__xludf.DUMMYFUNCTION("""COMPUTED_VALUE"""),44717.9785487268)</f>
        <v>44717.97855</v>
      </c>
      <c r="D7542" s="15">
        <f>IFERROR(__xludf.DUMMYFUNCTION("""COMPUTED_VALUE"""),1.01)</f>
        <v>1.01</v>
      </c>
      <c r="E7542" s="16">
        <f>IFERROR(__xludf.DUMMYFUNCTION("""COMPUTED_VALUE"""),68.0)</f>
        <v>68</v>
      </c>
      <c r="F7542" s="19" t="str">
        <f>IFERROR(__xludf.DUMMYFUNCTION("""COMPUTED_VALUE"""),"BLACK")</f>
        <v>BLACK</v>
      </c>
      <c r="G7542" s="20" t="str">
        <f>IFERROR(__xludf.DUMMYFUNCTION("""COMPUTED_VALUE"""),"Uncle Sams Cider (5/13/2022)")</f>
        <v>Uncle Sams Cider (5/13/2022)</v>
      </c>
      <c r="H7542" s="19"/>
    </row>
    <row r="7543">
      <c r="A7543" s="9"/>
      <c r="B7543" s="15"/>
      <c r="C7543" s="9">
        <f>IFERROR(__xludf.DUMMYFUNCTION("""COMPUTED_VALUE"""),44717.9681279629)</f>
        <v>44717.96813</v>
      </c>
      <c r="D7543" s="15">
        <f>IFERROR(__xludf.DUMMYFUNCTION("""COMPUTED_VALUE"""),1.011)</f>
        <v>1.011</v>
      </c>
      <c r="E7543" s="16">
        <f>IFERROR(__xludf.DUMMYFUNCTION("""COMPUTED_VALUE"""),68.0)</f>
        <v>68</v>
      </c>
      <c r="F7543" s="19" t="str">
        <f>IFERROR(__xludf.DUMMYFUNCTION("""COMPUTED_VALUE"""),"BLACK")</f>
        <v>BLACK</v>
      </c>
      <c r="G7543" s="20" t="str">
        <f>IFERROR(__xludf.DUMMYFUNCTION("""COMPUTED_VALUE"""),"Uncle Sams Cider (5/13/2022)")</f>
        <v>Uncle Sams Cider (5/13/2022)</v>
      </c>
      <c r="H7543" s="19"/>
    </row>
    <row r="7544">
      <c r="A7544" s="9"/>
      <c r="B7544" s="15"/>
      <c r="C7544" s="9">
        <f>IFERROR(__xludf.DUMMYFUNCTION("""COMPUTED_VALUE"""),44717.957705868)</f>
        <v>44717.95771</v>
      </c>
      <c r="D7544" s="15">
        <f>IFERROR(__xludf.DUMMYFUNCTION("""COMPUTED_VALUE"""),1.011)</f>
        <v>1.011</v>
      </c>
      <c r="E7544" s="16">
        <f>IFERROR(__xludf.DUMMYFUNCTION("""COMPUTED_VALUE"""),68.0)</f>
        <v>68</v>
      </c>
      <c r="F7544" s="19" t="str">
        <f>IFERROR(__xludf.DUMMYFUNCTION("""COMPUTED_VALUE"""),"BLACK")</f>
        <v>BLACK</v>
      </c>
      <c r="G7544" s="20" t="str">
        <f>IFERROR(__xludf.DUMMYFUNCTION("""COMPUTED_VALUE"""),"Uncle Sams Cider (5/13/2022)")</f>
        <v>Uncle Sams Cider (5/13/2022)</v>
      </c>
      <c r="H7544" s="19"/>
    </row>
    <row r="7545">
      <c r="A7545" s="9"/>
      <c r="B7545" s="15"/>
      <c r="C7545" s="9">
        <f>IFERROR(__xludf.DUMMYFUNCTION("""COMPUTED_VALUE"""),44717.9472833796)</f>
        <v>44717.94728</v>
      </c>
      <c r="D7545" s="15">
        <f>IFERROR(__xludf.DUMMYFUNCTION("""COMPUTED_VALUE"""),1.011)</f>
        <v>1.011</v>
      </c>
      <c r="E7545" s="16">
        <f>IFERROR(__xludf.DUMMYFUNCTION("""COMPUTED_VALUE"""),68.0)</f>
        <v>68</v>
      </c>
      <c r="F7545" s="19" t="str">
        <f>IFERROR(__xludf.DUMMYFUNCTION("""COMPUTED_VALUE"""),"BLACK")</f>
        <v>BLACK</v>
      </c>
      <c r="G7545" s="20" t="str">
        <f>IFERROR(__xludf.DUMMYFUNCTION("""COMPUTED_VALUE"""),"Uncle Sams Cider (5/13/2022)")</f>
        <v>Uncle Sams Cider (5/13/2022)</v>
      </c>
      <c r="H7545" s="19"/>
    </row>
    <row r="7546">
      <c r="A7546" s="9"/>
      <c r="B7546" s="15"/>
      <c r="C7546" s="9">
        <f>IFERROR(__xludf.DUMMYFUNCTION("""COMPUTED_VALUE"""),44717.9368512615)</f>
        <v>44717.93685</v>
      </c>
      <c r="D7546" s="15">
        <f>IFERROR(__xludf.DUMMYFUNCTION("""COMPUTED_VALUE"""),1.01)</f>
        <v>1.01</v>
      </c>
      <c r="E7546" s="16">
        <f>IFERROR(__xludf.DUMMYFUNCTION("""COMPUTED_VALUE"""),68.0)</f>
        <v>68</v>
      </c>
      <c r="F7546" s="19" t="str">
        <f>IFERROR(__xludf.DUMMYFUNCTION("""COMPUTED_VALUE"""),"BLACK")</f>
        <v>BLACK</v>
      </c>
      <c r="G7546" s="20" t="str">
        <f>IFERROR(__xludf.DUMMYFUNCTION("""COMPUTED_VALUE"""),"Uncle Sams Cider (5/13/2022)")</f>
        <v>Uncle Sams Cider (5/13/2022)</v>
      </c>
      <c r="H7546" s="19"/>
    </row>
    <row r="7547">
      <c r="A7547" s="9"/>
      <c r="B7547" s="15"/>
      <c r="C7547" s="9">
        <f>IFERROR(__xludf.DUMMYFUNCTION("""COMPUTED_VALUE"""),44717.9264297453)</f>
        <v>44717.92643</v>
      </c>
      <c r="D7547" s="15">
        <f>IFERROR(__xludf.DUMMYFUNCTION("""COMPUTED_VALUE"""),1.011)</f>
        <v>1.011</v>
      </c>
      <c r="E7547" s="16">
        <f>IFERROR(__xludf.DUMMYFUNCTION("""COMPUTED_VALUE"""),68.0)</f>
        <v>68</v>
      </c>
      <c r="F7547" s="19" t="str">
        <f>IFERROR(__xludf.DUMMYFUNCTION("""COMPUTED_VALUE"""),"BLACK")</f>
        <v>BLACK</v>
      </c>
      <c r="G7547" s="20" t="str">
        <f>IFERROR(__xludf.DUMMYFUNCTION("""COMPUTED_VALUE"""),"Uncle Sams Cider (5/13/2022)")</f>
        <v>Uncle Sams Cider (5/13/2022)</v>
      </c>
      <c r="H7547" s="19"/>
    </row>
    <row r="7548">
      <c r="A7548" s="9"/>
      <c r="B7548" s="15"/>
      <c r="C7548" s="9">
        <f>IFERROR(__xludf.DUMMYFUNCTION("""COMPUTED_VALUE"""),44717.9160073611)</f>
        <v>44717.91601</v>
      </c>
      <c r="D7548" s="15">
        <f>IFERROR(__xludf.DUMMYFUNCTION("""COMPUTED_VALUE"""),1.011)</f>
        <v>1.011</v>
      </c>
      <c r="E7548" s="16">
        <f>IFERROR(__xludf.DUMMYFUNCTION("""COMPUTED_VALUE"""),68.0)</f>
        <v>68</v>
      </c>
      <c r="F7548" s="19" t="str">
        <f>IFERROR(__xludf.DUMMYFUNCTION("""COMPUTED_VALUE"""),"BLACK")</f>
        <v>BLACK</v>
      </c>
      <c r="G7548" s="20" t="str">
        <f>IFERROR(__xludf.DUMMYFUNCTION("""COMPUTED_VALUE"""),"Uncle Sams Cider (5/13/2022)")</f>
        <v>Uncle Sams Cider (5/13/2022)</v>
      </c>
      <c r="H7548" s="19"/>
    </row>
    <row r="7549">
      <c r="A7549" s="9"/>
      <c r="B7549" s="15"/>
      <c r="C7549" s="9">
        <f>IFERROR(__xludf.DUMMYFUNCTION("""COMPUTED_VALUE"""),44717.905587662)</f>
        <v>44717.90559</v>
      </c>
      <c r="D7549" s="15">
        <f>IFERROR(__xludf.DUMMYFUNCTION("""COMPUTED_VALUE"""),1.011)</f>
        <v>1.011</v>
      </c>
      <c r="E7549" s="16">
        <f>IFERROR(__xludf.DUMMYFUNCTION("""COMPUTED_VALUE"""),68.0)</f>
        <v>68</v>
      </c>
      <c r="F7549" s="19" t="str">
        <f>IFERROR(__xludf.DUMMYFUNCTION("""COMPUTED_VALUE"""),"BLACK")</f>
        <v>BLACK</v>
      </c>
      <c r="G7549" s="20" t="str">
        <f>IFERROR(__xludf.DUMMYFUNCTION("""COMPUTED_VALUE"""),"Uncle Sams Cider (5/13/2022)")</f>
        <v>Uncle Sams Cider (5/13/2022)</v>
      </c>
      <c r="H7549" s="19"/>
    </row>
    <row r="7550">
      <c r="A7550" s="9"/>
      <c r="B7550" s="15"/>
      <c r="C7550" s="9">
        <f>IFERROR(__xludf.DUMMYFUNCTION("""COMPUTED_VALUE"""),44717.8951666666)</f>
        <v>44717.89517</v>
      </c>
      <c r="D7550" s="15">
        <f>IFERROR(__xludf.DUMMYFUNCTION("""COMPUTED_VALUE"""),1.011)</f>
        <v>1.011</v>
      </c>
      <c r="E7550" s="16">
        <f>IFERROR(__xludf.DUMMYFUNCTION("""COMPUTED_VALUE"""),68.0)</f>
        <v>68</v>
      </c>
      <c r="F7550" s="19" t="str">
        <f>IFERROR(__xludf.DUMMYFUNCTION("""COMPUTED_VALUE"""),"BLACK")</f>
        <v>BLACK</v>
      </c>
      <c r="G7550" s="20" t="str">
        <f>IFERROR(__xludf.DUMMYFUNCTION("""COMPUTED_VALUE"""),"Uncle Sams Cider (5/13/2022)")</f>
        <v>Uncle Sams Cider (5/13/2022)</v>
      </c>
      <c r="H7550" s="19"/>
    </row>
    <row r="7551">
      <c r="A7551" s="9"/>
      <c r="B7551" s="15"/>
      <c r="C7551" s="9">
        <f>IFERROR(__xludf.DUMMYFUNCTION("""COMPUTED_VALUE"""),44717.8847457754)</f>
        <v>44717.88475</v>
      </c>
      <c r="D7551" s="15">
        <f>IFERROR(__xludf.DUMMYFUNCTION("""COMPUTED_VALUE"""),1.011)</f>
        <v>1.011</v>
      </c>
      <c r="E7551" s="16">
        <f>IFERROR(__xludf.DUMMYFUNCTION("""COMPUTED_VALUE"""),68.0)</f>
        <v>68</v>
      </c>
      <c r="F7551" s="19" t="str">
        <f>IFERROR(__xludf.DUMMYFUNCTION("""COMPUTED_VALUE"""),"BLACK")</f>
        <v>BLACK</v>
      </c>
      <c r="G7551" s="20" t="str">
        <f>IFERROR(__xludf.DUMMYFUNCTION("""COMPUTED_VALUE"""),"Uncle Sams Cider (5/13/2022)")</f>
        <v>Uncle Sams Cider (5/13/2022)</v>
      </c>
      <c r="H7551" s="19"/>
    </row>
    <row r="7552">
      <c r="A7552" s="9"/>
      <c r="B7552" s="15"/>
      <c r="C7552" s="9">
        <f>IFERROR(__xludf.DUMMYFUNCTION("""COMPUTED_VALUE"""),44717.8743234027)</f>
        <v>44717.87432</v>
      </c>
      <c r="D7552" s="15">
        <f>IFERROR(__xludf.DUMMYFUNCTION("""COMPUTED_VALUE"""),1.011)</f>
        <v>1.011</v>
      </c>
      <c r="E7552" s="16">
        <f>IFERROR(__xludf.DUMMYFUNCTION("""COMPUTED_VALUE"""),68.0)</f>
        <v>68</v>
      </c>
      <c r="F7552" s="19" t="str">
        <f>IFERROR(__xludf.DUMMYFUNCTION("""COMPUTED_VALUE"""),"BLACK")</f>
        <v>BLACK</v>
      </c>
      <c r="G7552" s="20" t="str">
        <f>IFERROR(__xludf.DUMMYFUNCTION("""COMPUTED_VALUE"""),"Uncle Sams Cider (5/13/2022)")</f>
        <v>Uncle Sams Cider (5/13/2022)</v>
      </c>
      <c r="H7552" s="19"/>
    </row>
    <row r="7553">
      <c r="A7553" s="9"/>
      <c r="B7553" s="15"/>
      <c r="C7553" s="9">
        <f>IFERROR(__xludf.DUMMYFUNCTION("""COMPUTED_VALUE"""),44717.8638437152)</f>
        <v>44717.86384</v>
      </c>
      <c r="D7553" s="15">
        <f>IFERROR(__xludf.DUMMYFUNCTION("""COMPUTED_VALUE"""),1.011)</f>
        <v>1.011</v>
      </c>
      <c r="E7553" s="16">
        <f>IFERROR(__xludf.DUMMYFUNCTION("""COMPUTED_VALUE"""),68.0)</f>
        <v>68</v>
      </c>
      <c r="F7553" s="19" t="str">
        <f>IFERROR(__xludf.DUMMYFUNCTION("""COMPUTED_VALUE"""),"BLACK")</f>
        <v>BLACK</v>
      </c>
      <c r="G7553" s="20" t="str">
        <f>IFERROR(__xludf.DUMMYFUNCTION("""COMPUTED_VALUE"""),"Uncle Sams Cider (5/13/2022)")</f>
        <v>Uncle Sams Cider (5/13/2022)</v>
      </c>
      <c r="H7553" s="19"/>
    </row>
    <row r="7554">
      <c r="A7554" s="9"/>
      <c r="B7554" s="15"/>
      <c r="C7554" s="9">
        <f>IFERROR(__xludf.DUMMYFUNCTION("""COMPUTED_VALUE"""),44717.8534232523)</f>
        <v>44717.85342</v>
      </c>
      <c r="D7554" s="15">
        <f>IFERROR(__xludf.DUMMYFUNCTION("""COMPUTED_VALUE"""),1.011)</f>
        <v>1.011</v>
      </c>
      <c r="E7554" s="16">
        <f>IFERROR(__xludf.DUMMYFUNCTION("""COMPUTED_VALUE"""),68.0)</f>
        <v>68</v>
      </c>
      <c r="F7554" s="19" t="str">
        <f>IFERROR(__xludf.DUMMYFUNCTION("""COMPUTED_VALUE"""),"BLACK")</f>
        <v>BLACK</v>
      </c>
      <c r="G7554" s="20" t="str">
        <f>IFERROR(__xludf.DUMMYFUNCTION("""COMPUTED_VALUE"""),"Uncle Sams Cider (5/13/2022)")</f>
        <v>Uncle Sams Cider (5/13/2022)</v>
      </c>
      <c r="H7554" s="19"/>
    </row>
    <row r="7555">
      <c r="A7555" s="9"/>
      <c r="B7555" s="15"/>
      <c r="C7555" s="9">
        <f>IFERROR(__xludf.DUMMYFUNCTION("""COMPUTED_VALUE"""),44717.8430012268)</f>
        <v>44717.843</v>
      </c>
      <c r="D7555" s="15">
        <f>IFERROR(__xludf.DUMMYFUNCTION("""COMPUTED_VALUE"""),1.01)</f>
        <v>1.01</v>
      </c>
      <c r="E7555" s="16">
        <f>IFERROR(__xludf.DUMMYFUNCTION("""COMPUTED_VALUE"""),68.0)</f>
        <v>68</v>
      </c>
      <c r="F7555" s="19" t="str">
        <f>IFERROR(__xludf.DUMMYFUNCTION("""COMPUTED_VALUE"""),"BLACK")</f>
        <v>BLACK</v>
      </c>
      <c r="G7555" s="20" t="str">
        <f>IFERROR(__xludf.DUMMYFUNCTION("""COMPUTED_VALUE"""),"Uncle Sams Cider (5/13/2022)")</f>
        <v>Uncle Sams Cider (5/13/2022)</v>
      </c>
      <c r="H7555" s="19"/>
    </row>
    <row r="7556">
      <c r="A7556" s="9"/>
      <c r="B7556" s="15"/>
      <c r="C7556" s="9">
        <f>IFERROR(__xludf.DUMMYFUNCTION("""COMPUTED_VALUE"""),44717.8325807754)</f>
        <v>44717.83258</v>
      </c>
      <c r="D7556" s="15">
        <f>IFERROR(__xludf.DUMMYFUNCTION("""COMPUTED_VALUE"""),1.011)</f>
        <v>1.011</v>
      </c>
      <c r="E7556" s="16">
        <f>IFERROR(__xludf.DUMMYFUNCTION("""COMPUTED_VALUE"""),68.0)</f>
        <v>68</v>
      </c>
      <c r="F7556" s="19" t="str">
        <f>IFERROR(__xludf.DUMMYFUNCTION("""COMPUTED_VALUE"""),"BLACK")</f>
        <v>BLACK</v>
      </c>
      <c r="G7556" s="20" t="str">
        <f>IFERROR(__xludf.DUMMYFUNCTION("""COMPUTED_VALUE"""),"Uncle Sams Cider (5/13/2022)")</f>
        <v>Uncle Sams Cider (5/13/2022)</v>
      </c>
      <c r="H7556" s="19"/>
    </row>
    <row r="7557">
      <c r="A7557" s="9"/>
      <c r="B7557" s="15"/>
      <c r="C7557" s="9">
        <f>IFERROR(__xludf.DUMMYFUNCTION("""COMPUTED_VALUE"""),44717.8221584606)</f>
        <v>44717.82216</v>
      </c>
      <c r="D7557" s="15">
        <f>IFERROR(__xludf.DUMMYFUNCTION("""COMPUTED_VALUE"""),1.011)</f>
        <v>1.011</v>
      </c>
      <c r="E7557" s="16">
        <f>IFERROR(__xludf.DUMMYFUNCTION("""COMPUTED_VALUE"""),68.0)</f>
        <v>68</v>
      </c>
      <c r="F7557" s="19" t="str">
        <f>IFERROR(__xludf.DUMMYFUNCTION("""COMPUTED_VALUE"""),"BLACK")</f>
        <v>BLACK</v>
      </c>
      <c r="G7557" s="20" t="str">
        <f>IFERROR(__xludf.DUMMYFUNCTION("""COMPUTED_VALUE"""),"Uncle Sams Cider (5/13/2022)")</f>
        <v>Uncle Sams Cider (5/13/2022)</v>
      </c>
      <c r="H7557" s="19"/>
    </row>
    <row r="7558">
      <c r="A7558" s="9"/>
      <c r="B7558" s="15"/>
      <c r="C7558" s="9">
        <f>IFERROR(__xludf.DUMMYFUNCTION("""COMPUTED_VALUE"""),44717.8117370833)</f>
        <v>44717.81174</v>
      </c>
      <c r="D7558" s="15">
        <f>IFERROR(__xludf.DUMMYFUNCTION("""COMPUTED_VALUE"""),1.011)</f>
        <v>1.011</v>
      </c>
      <c r="E7558" s="16">
        <f>IFERROR(__xludf.DUMMYFUNCTION("""COMPUTED_VALUE"""),68.0)</f>
        <v>68</v>
      </c>
      <c r="F7558" s="19" t="str">
        <f>IFERROR(__xludf.DUMMYFUNCTION("""COMPUTED_VALUE"""),"BLACK")</f>
        <v>BLACK</v>
      </c>
      <c r="G7558" s="20" t="str">
        <f>IFERROR(__xludf.DUMMYFUNCTION("""COMPUTED_VALUE"""),"Uncle Sams Cider (5/13/2022)")</f>
        <v>Uncle Sams Cider (5/13/2022)</v>
      </c>
      <c r="H7558" s="19"/>
    </row>
    <row r="7559">
      <c r="A7559" s="9"/>
      <c r="B7559" s="15"/>
      <c r="C7559" s="9">
        <f>IFERROR(__xludf.DUMMYFUNCTION("""COMPUTED_VALUE"""),44717.8013172685)</f>
        <v>44717.80132</v>
      </c>
      <c r="D7559" s="15">
        <f>IFERROR(__xludf.DUMMYFUNCTION("""COMPUTED_VALUE"""),1.011)</f>
        <v>1.011</v>
      </c>
      <c r="E7559" s="16">
        <f>IFERROR(__xludf.DUMMYFUNCTION("""COMPUTED_VALUE"""),68.0)</f>
        <v>68</v>
      </c>
      <c r="F7559" s="19" t="str">
        <f>IFERROR(__xludf.DUMMYFUNCTION("""COMPUTED_VALUE"""),"BLACK")</f>
        <v>BLACK</v>
      </c>
      <c r="G7559" s="20" t="str">
        <f>IFERROR(__xludf.DUMMYFUNCTION("""COMPUTED_VALUE"""),"Uncle Sams Cider (5/13/2022)")</f>
        <v>Uncle Sams Cider (5/13/2022)</v>
      </c>
      <c r="H7559" s="19"/>
    </row>
    <row r="7560">
      <c r="A7560" s="9"/>
      <c r="B7560" s="15"/>
      <c r="C7560" s="9">
        <f>IFERROR(__xludf.DUMMYFUNCTION("""COMPUTED_VALUE"""),44717.790895868)</f>
        <v>44717.7909</v>
      </c>
      <c r="D7560" s="15">
        <f>IFERROR(__xludf.DUMMYFUNCTION("""COMPUTED_VALUE"""),1.011)</f>
        <v>1.011</v>
      </c>
      <c r="E7560" s="16">
        <f>IFERROR(__xludf.DUMMYFUNCTION("""COMPUTED_VALUE"""),68.0)</f>
        <v>68</v>
      </c>
      <c r="F7560" s="19" t="str">
        <f>IFERROR(__xludf.DUMMYFUNCTION("""COMPUTED_VALUE"""),"BLACK")</f>
        <v>BLACK</v>
      </c>
      <c r="G7560" s="20" t="str">
        <f>IFERROR(__xludf.DUMMYFUNCTION("""COMPUTED_VALUE"""),"Uncle Sams Cider (5/13/2022)")</f>
        <v>Uncle Sams Cider (5/13/2022)</v>
      </c>
      <c r="H7560" s="19"/>
    </row>
    <row r="7561">
      <c r="A7561" s="9"/>
      <c r="B7561" s="15"/>
      <c r="C7561" s="9">
        <f>IFERROR(__xludf.DUMMYFUNCTION("""COMPUTED_VALUE"""),44717.780472662)</f>
        <v>44717.78047</v>
      </c>
      <c r="D7561" s="15">
        <f>IFERROR(__xludf.DUMMYFUNCTION("""COMPUTED_VALUE"""),1.011)</f>
        <v>1.011</v>
      </c>
      <c r="E7561" s="16">
        <f>IFERROR(__xludf.DUMMYFUNCTION("""COMPUTED_VALUE"""),68.0)</f>
        <v>68</v>
      </c>
      <c r="F7561" s="19" t="str">
        <f>IFERROR(__xludf.DUMMYFUNCTION("""COMPUTED_VALUE"""),"BLACK")</f>
        <v>BLACK</v>
      </c>
      <c r="G7561" s="20" t="str">
        <f>IFERROR(__xludf.DUMMYFUNCTION("""COMPUTED_VALUE"""),"Uncle Sams Cider (5/13/2022)")</f>
        <v>Uncle Sams Cider (5/13/2022)</v>
      </c>
      <c r="H7561" s="19"/>
    </row>
    <row r="7562">
      <c r="A7562" s="9"/>
      <c r="B7562" s="15"/>
      <c r="C7562" s="9">
        <f>IFERROR(__xludf.DUMMYFUNCTION("""COMPUTED_VALUE"""),44717.7700511689)</f>
        <v>44717.77005</v>
      </c>
      <c r="D7562" s="15">
        <f>IFERROR(__xludf.DUMMYFUNCTION("""COMPUTED_VALUE"""),1.011)</f>
        <v>1.011</v>
      </c>
      <c r="E7562" s="16">
        <f>IFERROR(__xludf.DUMMYFUNCTION("""COMPUTED_VALUE"""),68.0)</f>
        <v>68</v>
      </c>
      <c r="F7562" s="19" t="str">
        <f>IFERROR(__xludf.DUMMYFUNCTION("""COMPUTED_VALUE"""),"BLACK")</f>
        <v>BLACK</v>
      </c>
      <c r="G7562" s="20" t="str">
        <f>IFERROR(__xludf.DUMMYFUNCTION("""COMPUTED_VALUE"""),"Uncle Sams Cider (5/13/2022)")</f>
        <v>Uncle Sams Cider (5/13/2022)</v>
      </c>
      <c r="H7562" s="19"/>
    </row>
    <row r="7563">
      <c r="A7563" s="9"/>
      <c r="B7563" s="15"/>
      <c r="C7563" s="9">
        <f>IFERROR(__xludf.DUMMYFUNCTION("""COMPUTED_VALUE"""),44717.759630706)</f>
        <v>44717.75963</v>
      </c>
      <c r="D7563" s="15">
        <f>IFERROR(__xludf.DUMMYFUNCTION("""COMPUTED_VALUE"""),1.011)</f>
        <v>1.011</v>
      </c>
      <c r="E7563" s="16">
        <f>IFERROR(__xludf.DUMMYFUNCTION("""COMPUTED_VALUE"""),68.0)</f>
        <v>68</v>
      </c>
      <c r="F7563" s="19" t="str">
        <f>IFERROR(__xludf.DUMMYFUNCTION("""COMPUTED_VALUE"""),"BLACK")</f>
        <v>BLACK</v>
      </c>
      <c r="G7563" s="20" t="str">
        <f>IFERROR(__xludf.DUMMYFUNCTION("""COMPUTED_VALUE"""),"Uncle Sams Cider (5/13/2022)")</f>
        <v>Uncle Sams Cider (5/13/2022)</v>
      </c>
      <c r="H7563" s="19"/>
    </row>
    <row r="7564">
      <c r="A7564" s="9"/>
      <c r="B7564" s="15"/>
      <c r="C7564" s="9">
        <f>IFERROR(__xludf.DUMMYFUNCTION("""COMPUTED_VALUE"""),44717.7492104629)</f>
        <v>44717.74921</v>
      </c>
      <c r="D7564" s="15">
        <f>IFERROR(__xludf.DUMMYFUNCTION("""COMPUTED_VALUE"""),1.011)</f>
        <v>1.011</v>
      </c>
      <c r="E7564" s="16">
        <f>IFERROR(__xludf.DUMMYFUNCTION("""COMPUTED_VALUE"""),68.0)</f>
        <v>68</v>
      </c>
      <c r="F7564" s="19" t="str">
        <f>IFERROR(__xludf.DUMMYFUNCTION("""COMPUTED_VALUE"""),"BLACK")</f>
        <v>BLACK</v>
      </c>
      <c r="G7564" s="20" t="str">
        <f>IFERROR(__xludf.DUMMYFUNCTION("""COMPUTED_VALUE"""),"Uncle Sams Cider (5/13/2022)")</f>
        <v>Uncle Sams Cider (5/13/2022)</v>
      </c>
      <c r="H7564" s="19"/>
    </row>
    <row r="7565">
      <c r="A7565" s="9"/>
      <c r="B7565" s="15"/>
      <c r="C7565" s="9">
        <f>IFERROR(__xludf.DUMMYFUNCTION("""COMPUTED_VALUE"""),44717.7387890625)</f>
        <v>44717.73879</v>
      </c>
      <c r="D7565" s="15">
        <f>IFERROR(__xludf.DUMMYFUNCTION("""COMPUTED_VALUE"""),1.011)</f>
        <v>1.011</v>
      </c>
      <c r="E7565" s="16">
        <f>IFERROR(__xludf.DUMMYFUNCTION("""COMPUTED_VALUE"""),68.0)</f>
        <v>68</v>
      </c>
      <c r="F7565" s="19" t="str">
        <f>IFERROR(__xludf.DUMMYFUNCTION("""COMPUTED_VALUE"""),"BLACK")</f>
        <v>BLACK</v>
      </c>
      <c r="G7565" s="20" t="str">
        <f>IFERROR(__xludf.DUMMYFUNCTION("""COMPUTED_VALUE"""),"Uncle Sams Cider (5/13/2022)")</f>
        <v>Uncle Sams Cider (5/13/2022)</v>
      </c>
      <c r="H7565" s="19"/>
    </row>
    <row r="7566">
      <c r="A7566" s="9"/>
      <c r="B7566" s="15"/>
      <c r="C7566" s="9">
        <f>IFERROR(__xludf.DUMMYFUNCTION("""COMPUTED_VALUE"""),44717.7283564467)</f>
        <v>44717.72836</v>
      </c>
      <c r="D7566" s="15">
        <f>IFERROR(__xludf.DUMMYFUNCTION("""COMPUTED_VALUE"""),1.011)</f>
        <v>1.011</v>
      </c>
      <c r="E7566" s="16">
        <f>IFERROR(__xludf.DUMMYFUNCTION("""COMPUTED_VALUE"""),68.0)</f>
        <v>68</v>
      </c>
      <c r="F7566" s="19" t="str">
        <f>IFERROR(__xludf.DUMMYFUNCTION("""COMPUTED_VALUE"""),"BLACK")</f>
        <v>BLACK</v>
      </c>
      <c r="G7566" s="20" t="str">
        <f>IFERROR(__xludf.DUMMYFUNCTION("""COMPUTED_VALUE"""),"Uncle Sams Cider (5/13/2022)")</f>
        <v>Uncle Sams Cider (5/13/2022)</v>
      </c>
      <c r="H7566" s="19"/>
    </row>
    <row r="7567">
      <c r="A7567" s="9"/>
      <c r="B7567" s="15"/>
      <c r="C7567" s="9">
        <f>IFERROR(__xludf.DUMMYFUNCTION("""COMPUTED_VALUE"""),44717.7179253935)</f>
        <v>44717.71793</v>
      </c>
      <c r="D7567" s="15">
        <f>IFERROR(__xludf.DUMMYFUNCTION("""COMPUTED_VALUE"""),1.011)</f>
        <v>1.011</v>
      </c>
      <c r="E7567" s="16">
        <f>IFERROR(__xludf.DUMMYFUNCTION("""COMPUTED_VALUE"""),68.0)</f>
        <v>68</v>
      </c>
      <c r="F7567" s="19" t="str">
        <f>IFERROR(__xludf.DUMMYFUNCTION("""COMPUTED_VALUE"""),"BLACK")</f>
        <v>BLACK</v>
      </c>
      <c r="G7567" s="20" t="str">
        <f>IFERROR(__xludf.DUMMYFUNCTION("""COMPUTED_VALUE"""),"Uncle Sams Cider (5/13/2022)")</f>
        <v>Uncle Sams Cider (5/13/2022)</v>
      </c>
      <c r="H7567" s="19"/>
    </row>
    <row r="7568">
      <c r="A7568" s="9"/>
      <c r="B7568" s="15"/>
      <c r="C7568" s="9">
        <f>IFERROR(__xludf.DUMMYFUNCTION("""COMPUTED_VALUE"""),44717.707502037)</f>
        <v>44717.7075</v>
      </c>
      <c r="D7568" s="15">
        <f>IFERROR(__xludf.DUMMYFUNCTION("""COMPUTED_VALUE"""),1.011)</f>
        <v>1.011</v>
      </c>
      <c r="E7568" s="16">
        <f>IFERROR(__xludf.DUMMYFUNCTION("""COMPUTED_VALUE"""),68.0)</f>
        <v>68</v>
      </c>
      <c r="F7568" s="19" t="str">
        <f>IFERROR(__xludf.DUMMYFUNCTION("""COMPUTED_VALUE"""),"BLACK")</f>
        <v>BLACK</v>
      </c>
      <c r="G7568" s="20" t="str">
        <f>IFERROR(__xludf.DUMMYFUNCTION("""COMPUTED_VALUE"""),"Uncle Sams Cider (5/13/2022)")</f>
        <v>Uncle Sams Cider (5/13/2022)</v>
      </c>
      <c r="H7568" s="19"/>
    </row>
    <row r="7569">
      <c r="A7569" s="9"/>
      <c r="B7569" s="15"/>
      <c r="C7569" s="9">
        <f>IFERROR(__xludf.DUMMYFUNCTION("""COMPUTED_VALUE"""),44717.6970706597)</f>
        <v>44717.69707</v>
      </c>
      <c r="D7569" s="15">
        <f>IFERROR(__xludf.DUMMYFUNCTION("""COMPUTED_VALUE"""),1.011)</f>
        <v>1.011</v>
      </c>
      <c r="E7569" s="16">
        <f>IFERROR(__xludf.DUMMYFUNCTION("""COMPUTED_VALUE"""),68.0)</f>
        <v>68</v>
      </c>
      <c r="F7569" s="19" t="str">
        <f>IFERROR(__xludf.DUMMYFUNCTION("""COMPUTED_VALUE"""),"BLACK")</f>
        <v>BLACK</v>
      </c>
      <c r="G7569" s="20" t="str">
        <f>IFERROR(__xludf.DUMMYFUNCTION("""COMPUTED_VALUE"""),"Uncle Sams Cider (5/13/2022)")</f>
        <v>Uncle Sams Cider (5/13/2022)</v>
      </c>
      <c r="H7569" s="19"/>
    </row>
    <row r="7570">
      <c r="A7570" s="9"/>
      <c r="B7570" s="15"/>
      <c r="C7570" s="9">
        <f>IFERROR(__xludf.DUMMYFUNCTION("""COMPUTED_VALUE"""),44717.6866496759)</f>
        <v>44717.68665</v>
      </c>
      <c r="D7570" s="15">
        <f>IFERROR(__xludf.DUMMYFUNCTION("""COMPUTED_VALUE"""),1.011)</f>
        <v>1.011</v>
      </c>
      <c r="E7570" s="16">
        <f>IFERROR(__xludf.DUMMYFUNCTION("""COMPUTED_VALUE"""),68.0)</f>
        <v>68</v>
      </c>
      <c r="F7570" s="19" t="str">
        <f>IFERROR(__xludf.DUMMYFUNCTION("""COMPUTED_VALUE"""),"BLACK")</f>
        <v>BLACK</v>
      </c>
      <c r="G7570" s="20" t="str">
        <f>IFERROR(__xludf.DUMMYFUNCTION("""COMPUTED_VALUE"""),"Uncle Sams Cider (5/13/2022)")</f>
        <v>Uncle Sams Cider (5/13/2022)</v>
      </c>
      <c r="H7570" s="19"/>
    </row>
    <row r="7571">
      <c r="A7571" s="9"/>
      <c r="B7571" s="15"/>
      <c r="C7571" s="9">
        <f>IFERROR(__xludf.DUMMYFUNCTION("""COMPUTED_VALUE"""),44717.6762281712)</f>
        <v>44717.67623</v>
      </c>
      <c r="D7571" s="15">
        <f>IFERROR(__xludf.DUMMYFUNCTION("""COMPUTED_VALUE"""),1.011)</f>
        <v>1.011</v>
      </c>
      <c r="E7571" s="16">
        <f>IFERROR(__xludf.DUMMYFUNCTION("""COMPUTED_VALUE"""),68.0)</f>
        <v>68</v>
      </c>
      <c r="F7571" s="19" t="str">
        <f>IFERROR(__xludf.DUMMYFUNCTION("""COMPUTED_VALUE"""),"BLACK")</f>
        <v>BLACK</v>
      </c>
      <c r="G7571" s="20" t="str">
        <f>IFERROR(__xludf.DUMMYFUNCTION("""COMPUTED_VALUE"""),"Uncle Sams Cider (5/13/2022)")</f>
        <v>Uncle Sams Cider (5/13/2022)</v>
      </c>
      <c r="H7571" s="19"/>
    </row>
    <row r="7572">
      <c r="A7572" s="9"/>
      <c r="B7572" s="15"/>
      <c r="C7572" s="9">
        <f>IFERROR(__xludf.DUMMYFUNCTION("""COMPUTED_VALUE"""),44717.665796574)</f>
        <v>44717.6658</v>
      </c>
      <c r="D7572" s="15">
        <f>IFERROR(__xludf.DUMMYFUNCTION("""COMPUTED_VALUE"""),1.011)</f>
        <v>1.011</v>
      </c>
      <c r="E7572" s="16">
        <f>IFERROR(__xludf.DUMMYFUNCTION("""COMPUTED_VALUE"""),68.0)</f>
        <v>68</v>
      </c>
      <c r="F7572" s="19" t="str">
        <f>IFERROR(__xludf.DUMMYFUNCTION("""COMPUTED_VALUE"""),"BLACK")</f>
        <v>BLACK</v>
      </c>
      <c r="G7572" s="20" t="str">
        <f>IFERROR(__xludf.DUMMYFUNCTION("""COMPUTED_VALUE"""),"Uncle Sams Cider (5/13/2022)")</f>
        <v>Uncle Sams Cider (5/13/2022)</v>
      </c>
      <c r="H7572" s="19"/>
    </row>
    <row r="7573">
      <c r="A7573" s="9"/>
      <c r="B7573" s="15"/>
      <c r="C7573" s="9">
        <f>IFERROR(__xludf.DUMMYFUNCTION("""COMPUTED_VALUE"""),44717.6553753125)</f>
        <v>44717.65538</v>
      </c>
      <c r="D7573" s="15">
        <f>IFERROR(__xludf.DUMMYFUNCTION("""COMPUTED_VALUE"""),1.011)</f>
        <v>1.011</v>
      </c>
      <c r="E7573" s="16">
        <f>IFERROR(__xludf.DUMMYFUNCTION("""COMPUTED_VALUE"""),68.0)</f>
        <v>68</v>
      </c>
      <c r="F7573" s="19" t="str">
        <f>IFERROR(__xludf.DUMMYFUNCTION("""COMPUTED_VALUE"""),"BLACK")</f>
        <v>BLACK</v>
      </c>
      <c r="G7573" s="20" t="str">
        <f>IFERROR(__xludf.DUMMYFUNCTION("""COMPUTED_VALUE"""),"Uncle Sams Cider (5/13/2022)")</f>
        <v>Uncle Sams Cider (5/13/2022)</v>
      </c>
      <c r="H7573" s="19"/>
    </row>
    <row r="7574">
      <c r="A7574" s="9"/>
      <c r="B7574" s="15"/>
      <c r="C7574" s="9">
        <f>IFERROR(__xludf.DUMMYFUNCTION("""COMPUTED_VALUE"""),44717.6449533796)</f>
        <v>44717.64495</v>
      </c>
      <c r="D7574" s="15">
        <f>IFERROR(__xludf.DUMMYFUNCTION("""COMPUTED_VALUE"""),1.011)</f>
        <v>1.011</v>
      </c>
      <c r="E7574" s="16">
        <f>IFERROR(__xludf.DUMMYFUNCTION("""COMPUTED_VALUE"""),68.0)</f>
        <v>68</v>
      </c>
      <c r="F7574" s="19" t="str">
        <f>IFERROR(__xludf.DUMMYFUNCTION("""COMPUTED_VALUE"""),"BLACK")</f>
        <v>BLACK</v>
      </c>
      <c r="G7574" s="20" t="str">
        <f>IFERROR(__xludf.DUMMYFUNCTION("""COMPUTED_VALUE"""),"Uncle Sams Cider (5/13/2022)")</f>
        <v>Uncle Sams Cider (5/13/2022)</v>
      </c>
      <c r="H7574" s="19"/>
    </row>
    <row r="7575">
      <c r="A7575" s="9"/>
      <c r="B7575" s="15"/>
      <c r="C7575" s="9">
        <f>IFERROR(__xludf.DUMMYFUNCTION("""COMPUTED_VALUE"""),44717.6345329166)</f>
        <v>44717.63453</v>
      </c>
      <c r="D7575" s="15">
        <f>IFERROR(__xludf.DUMMYFUNCTION("""COMPUTED_VALUE"""),1.011)</f>
        <v>1.011</v>
      </c>
      <c r="E7575" s="16">
        <f>IFERROR(__xludf.DUMMYFUNCTION("""COMPUTED_VALUE"""),68.0)</f>
        <v>68</v>
      </c>
      <c r="F7575" s="19" t="str">
        <f>IFERROR(__xludf.DUMMYFUNCTION("""COMPUTED_VALUE"""),"BLACK")</f>
        <v>BLACK</v>
      </c>
      <c r="G7575" s="20" t="str">
        <f>IFERROR(__xludf.DUMMYFUNCTION("""COMPUTED_VALUE"""),"Uncle Sams Cider (5/13/2022)")</f>
        <v>Uncle Sams Cider (5/13/2022)</v>
      </c>
      <c r="H7575" s="19"/>
    </row>
    <row r="7576">
      <c r="A7576" s="9"/>
      <c r="B7576" s="15"/>
      <c r="C7576" s="9">
        <f>IFERROR(__xludf.DUMMYFUNCTION("""COMPUTED_VALUE"""),44717.6241137152)</f>
        <v>44717.62411</v>
      </c>
      <c r="D7576" s="15">
        <f>IFERROR(__xludf.DUMMYFUNCTION("""COMPUTED_VALUE"""),1.011)</f>
        <v>1.011</v>
      </c>
      <c r="E7576" s="16">
        <f>IFERROR(__xludf.DUMMYFUNCTION("""COMPUTED_VALUE"""),68.0)</f>
        <v>68</v>
      </c>
      <c r="F7576" s="19" t="str">
        <f>IFERROR(__xludf.DUMMYFUNCTION("""COMPUTED_VALUE"""),"BLACK")</f>
        <v>BLACK</v>
      </c>
      <c r="G7576" s="20" t="str">
        <f>IFERROR(__xludf.DUMMYFUNCTION("""COMPUTED_VALUE"""),"Uncle Sams Cider (5/13/2022)")</f>
        <v>Uncle Sams Cider (5/13/2022)</v>
      </c>
      <c r="H7576" s="19"/>
    </row>
    <row r="7577">
      <c r="A7577" s="9"/>
      <c r="B7577" s="15"/>
      <c r="C7577" s="9">
        <f>IFERROR(__xludf.DUMMYFUNCTION("""COMPUTED_VALUE"""),44717.6136914351)</f>
        <v>44717.61369</v>
      </c>
      <c r="D7577" s="15">
        <f>IFERROR(__xludf.DUMMYFUNCTION("""COMPUTED_VALUE"""),1.011)</f>
        <v>1.011</v>
      </c>
      <c r="E7577" s="16">
        <f>IFERROR(__xludf.DUMMYFUNCTION("""COMPUTED_VALUE"""),68.0)</f>
        <v>68</v>
      </c>
      <c r="F7577" s="19" t="str">
        <f>IFERROR(__xludf.DUMMYFUNCTION("""COMPUTED_VALUE"""),"BLACK")</f>
        <v>BLACK</v>
      </c>
      <c r="G7577" s="20" t="str">
        <f>IFERROR(__xludf.DUMMYFUNCTION("""COMPUTED_VALUE"""),"Uncle Sams Cider (5/13/2022)")</f>
        <v>Uncle Sams Cider (5/13/2022)</v>
      </c>
      <c r="H7577" s="19"/>
    </row>
    <row r="7578">
      <c r="A7578" s="9"/>
      <c r="B7578" s="15"/>
      <c r="C7578" s="9">
        <f>IFERROR(__xludf.DUMMYFUNCTION("""COMPUTED_VALUE"""),44717.6032342708)</f>
        <v>44717.60323</v>
      </c>
      <c r="D7578" s="15">
        <f>IFERROR(__xludf.DUMMYFUNCTION("""COMPUTED_VALUE"""),1.011)</f>
        <v>1.011</v>
      </c>
      <c r="E7578" s="16">
        <f>IFERROR(__xludf.DUMMYFUNCTION("""COMPUTED_VALUE"""),68.0)</f>
        <v>68</v>
      </c>
      <c r="F7578" s="19" t="str">
        <f>IFERROR(__xludf.DUMMYFUNCTION("""COMPUTED_VALUE"""),"BLACK")</f>
        <v>BLACK</v>
      </c>
      <c r="G7578" s="20" t="str">
        <f>IFERROR(__xludf.DUMMYFUNCTION("""COMPUTED_VALUE"""),"Uncle Sams Cider (5/13/2022)")</f>
        <v>Uncle Sams Cider (5/13/2022)</v>
      </c>
      <c r="H7578" s="19"/>
    </row>
    <row r="7579">
      <c r="A7579" s="9"/>
      <c r="B7579" s="15"/>
      <c r="C7579" s="9">
        <f>IFERROR(__xludf.DUMMYFUNCTION("""COMPUTED_VALUE"""),44717.5928149884)</f>
        <v>44717.59281</v>
      </c>
      <c r="D7579" s="15">
        <f>IFERROR(__xludf.DUMMYFUNCTION("""COMPUTED_VALUE"""),1.011)</f>
        <v>1.011</v>
      </c>
      <c r="E7579" s="16">
        <f>IFERROR(__xludf.DUMMYFUNCTION("""COMPUTED_VALUE"""),68.0)</f>
        <v>68</v>
      </c>
      <c r="F7579" s="19" t="str">
        <f>IFERROR(__xludf.DUMMYFUNCTION("""COMPUTED_VALUE"""),"BLACK")</f>
        <v>BLACK</v>
      </c>
      <c r="G7579" s="20" t="str">
        <f>IFERROR(__xludf.DUMMYFUNCTION("""COMPUTED_VALUE"""),"Uncle Sams Cider (5/13/2022)")</f>
        <v>Uncle Sams Cider (5/13/2022)</v>
      </c>
      <c r="H7579" s="19"/>
    </row>
    <row r="7580">
      <c r="A7580" s="9"/>
      <c r="B7580" s="15"/>
      <c r="C7580" s="9">
        <f>IFERROR(__xludf.DUMMYFUNCTION("""COMPUTED_VALUE"""),44717.5823934606)</f>
        <v>44717.58239</v>
      </c>
      <c r="D7580" s="15">
        <f>IFERROR(__xludf.DUMMYFUNCTION("""COMPUTED_VALUE"""),1.011)</f>
        <v>1.011</v>
      </c>
      <c r="E7580" s="16">
        <f>IFERROR(__xludf.DUMMYFUNCTION("""COMPUTED_VALUE"""),68.0)</f>
        <v>68</v>
      </c>
      <c r="F7580" s="19" t="str">
        <f>IFERROR(__xludf.DUMMYFUNCTION("""COMPUTED_VALUE"""),"BLACK")</f>
        <v>BLACK</v>
      </c>
      <c r="G7580" s="20" t="str">
        <f>IFERROR(__xludf.DUMMYFUNCTION("""COMPUTED_VALUE"""),"Uncle Sams Cider (5/13/2022)")</f>
        <v>Uncle Sams Cider (5/13/2022)</v>
      </c>
      <c r="H7580" s="19"/>
    </row>
    <row r="7581">
      <c r="A7581" s="9"/>
      <c r="B7581" s="15"/>
      <c r="C7581" s="9">
        <f>IFERROR(__xludf.DUMMYFUNCTION("""COMPUTED_VALUE"""),44717.571964074)</f>
        <v>44717.57196</v>
      </c>
      <c r="D7581" s="15">
        <f>IFERROR(__xludf.DUMMYFUNCTION("""COMPUTED_VALUE"""),1.011)</f>
        <v>1.011</v>
      </c>
      <c r="E7581" s="16">
        <f>IFERROR(__xludf.DUMMYFUNCTION("""COMPUTED_VALUE"""),68.0)</f>
        <v>68</v>
      </c>
      <c r="F7581" s="19" t="str">
        <f>IFERROR(__xludf.DUMMYFUNCTION("""COMPUTED_VALUE"""),"BLACK")</f>
        <v>BLACK</v>
      </c>
      <c r="G7581" s="20" t="str">
        <f>IFERROR(__xludf.DUMMYFUNCTION("""COMPUTED_VALUE"""),"Uncle Sams Cider (5/13/2022)")</f>
        <v>Uncle Sams Cider (5/13/2022)</v>
      </c>
      <c r="H7581" s="19"/>
    </row>
    <row r="7582">
      <c r="A7582" s="9"/>
      <c r="B7582" s="15"/>
      <c r="C7582" s="9">
        <f>IFERROR(__xludf.DUMMYFUNCTION("""COMPUTED_VALUE"""),44717.561543125)</f>
        <v>44717.56154</v>
      </c>
      <c r="D7582" s="15">
        <f>IFERROR(__xludf.DUMMYFUNCTION("""COMPUTED_VALUE"""),1.011)</f>
        <v>1.011</v>
      </c>
      <c r="E7582" s="16">
        <f>IFERROR(__xludf.DUMMYFUNCTION("""COMPUTED_VALUE"""),68.0)</f>
        <v>68</v>
      </c>
      <c r="F7582" s="19" t="str">
        <f>IFERROR(__xludf.DUMMYFUNCTION("""COMPUTED_VALUE"""),"BLACK")</f>
        <v>BLACK</v>
      </c>
      <c r="G7582" s="20" t="str">
        <f>IFERROR(__xludf.DUMMYFUNCTION("""COMPUTED_VALUE"""),"Uncle Sams Cider (5/13/2022)")</f>
        <v>Uncle Sams Cider (5/13/2022)</v>
      </c>
      <c r="H7582" s="19"/>
    </row>
    <row r="7583">
      <c r="A7583" s="9"/>
      <c r="B7583" s="15"/>
      <c r="C7583" s="9">
        <f>IFERROR(__xludf.DUMMYFUNCTION("""COMPUTED_VALUE"""),44717.5511236342)</f>
        <v>44717.55112</v>
      </c>
      <c r="D7583" s="15">
        <f>IFERROR(__xludf.DUMMYFUNCTION("""COMPUTED_VALUE"""),1.011)</f>
        <v>1.011</v>
      </c>
      <c r="E7583" s="16">
        <f>IFERROR(__xludf.DUMMYFUNCTION("""COMPUTED_VALUE"""),68.0)</f>
        <v>68</v>
      </c>
      <c r="F7583" s="19" t="str">
        <f>IFERROR(__xludf.DUMMYFUNCTION("""COMPUTED_VALUE"""),"BLACK")</f>
        <v>BLACK</v>
      </c>
      <c r="G7583" s="20" t="str">
        <f>IFERROR(__xludf.DUMMYFUNCTION("""COMPUTED_VALUE"""),"Uncle Sams Cider (5/13/2022)")</f>
        <v>Uncle Sams Cider (5/13/2022)</v>
      </c>
      <c r="H7583" s="19"/>
    </row>
    <row r="7584">
      <c r="A7584" s="9"/>
      <c r="B7584" s="15"/>
      <c r="C7584" s="9">
        <f>IFERROR(__xludf.DUMMYFUNCTION("""COMPUTED_VALUE"""),44717.5407022106)</f>
        <v>44717.5407</v>
      </c>
      <c r="D7584" s="15">
        <f>IFERROR(__xludf.DUMMYFUNCTION("""COMPUTED_VALUE"""),1.011)</f>
        <v>1.011</v>
      </c>
      <c r="E7584" s="16">
        <f>IFERROR(__xludf.DUMMYFUNCTION("""COMPUTED_VALUE"""),68.0)</f>
        <v>68</v>
      </c>
      <c r="F7584" s="19" t="str">
        <f>IFERROR(__xludf.DUMMYFUNCTION("""COMPUTED_VALUE"""),"BLACK")</f>
        <v>BLACK</v>
      </c>
      <c r="G7584" s="20" t="str">
        <f>IFERROR(__xludf.DUMMYFUNCTION("""COMPUTED_VALUE"""),"Uncle Sams Cider (5/13/2022)")</f>
        <v>Uncle Sams Cider (5/13/2022)</v>
      </c>
      <c r="H7584" s="19"/>
    </row>
    <row r="7585">
      <c r="A7585" s="9"/>
      <c r="B7585" s="15"/>
      <c r="C7585" s="9">
        <f>IFERROR(__xludf.DUMMYFUNCTION("""COMPUTED_VALUE"""),44717.5302815162)</f>
        <v>44717.53028</v>
      </c>
      <c r="D7585" s="15">
        <f>IFERROR(__xludf.DUMMYFUNCTION("""COMPUTED_VALUE"""),1.011)</f>
        <v>1.011</v>
      </c>
      <c r="E7585" s="16">
        <f>IFERROR(__xludf.DUMMYFUNCTION("""COMPUTED_VALUE"""),68.0)</f>
        <v>68</v>
      </c>
      <c r="F7585" s="19" t="str">
        <f>IFERROR(__xludf.DUMMYFUNCTION("""COMPUTED_VALUE"""),"BLACK")</f>
        <v>BLACK</v>
      </c>
      <c r="G7585" s="20" t="str">
        <f>IFERROR(__xludf.DUMMYFUNCTION("""COMPUTED_VALUE"""),"Uncle Sams Cider (5/13/2022)")</f>
        <v>Uncle Sams Cider (5/13/2022)</v>
      </c>
      <c r="H7585" s="19"/>
    </row>
    <row r="7586">
      <c r="A7586" s="9"/>
      <c r="B7586" s="15"/>
      <c r="C7586" s="9">
        <f>IFERROR(__xludf.DUMMYFUNCTION("""COMPUTED_VALUE"""),44717.5198492939)</f>
        <v>44717.51985</v>
      </c>
      <c r="D7586" s="15">
        <f>IFERROR(__xludf.DUMMYFUNCTION("""COMPUTED_VALUE"""),1.011)</f>
        <v>1.011</v>
      </c>
      <c r="E7586" s="16">
        <f>IFERROR(__xludf.DUMMYFUNCTION("""COMPUTED_VALUE"""),67.0)</f>
        <v>67</v>
      </c>
      <c r="F7586" s="19" t="str">
        <f>IFERROR(__xludf.DUMMYFUNCTION("""COMPUTED_VALUE"""),"BLACK")</f>
        <v>BLACK</v>
      </c>
      <c r="G7586" s="20" t="str">
        <f>IFERROR(__xludf.DUMMYFUNCTION("""COMPUTED_VALUE"""),"Uncle Sams Cider (5/13/2022)")</f>
        <v>Uncle Sams Cider (5/13/2022)</v>
      </c>
      <c r="H7586" s="19"/>
    </row>
    <row r="7587">
      <c r="A7587" s="9"/>
      <c r="B7587" s="15"/>
      <c r="C7587" s="9">
        <f>IFERROR(__xludf.DUMMYFUNCTION("""COMPUTED_VALUE"""),44717.5094279282)</f>
        <v>44717.50943</v>
      </c>
      <c r="D7587" s="15">
        <f>IFERROR(__xludf.DUMMYFUNCTION("""COMPUTED_VALUE"""),1.011)</f>
        <v>1.011</v>
      </c>
      <c r="E7587" s="16">
        <f>IFERROR(__xludf.DUMMYFUNCTION("""COMPUTED_VALUE"""),68.0)</f>
        <v>68</v>
      </c>
      <c r="F7587" s="19" t="str">
        <f>IFERROR(__xludf.DUMMYFUNCTION("""COMPUTED_VALUE"""),"BLACK")</f>
        <v>BLACK</v>
      </c>
      <c r="G7587" s="20" t="str">
        <f>IFERROR(__xludf.DUMMYFUNCTION("""COMPUTED_VALUE"""),"Uncle Sams Cider (5/13/2022)")</f>
        <v>Uncle Sams Cider (5/13/2022)</v>
      </c>
      <c r="H7587" s="19"/>
    </row>
    <row r="7588">
      <c r="A7588" s="9"/>
      <c r="B7588" s="15"/>
      <c r="C7588" s="9">
        <f>IFERROR(__xludf.DUMMYFUNCTION("""COMPUTED_VALUE"""),44717.4990069791)</f>
        <v>44717.49901</v>
      </c>
      <c r="D7588" s="15">
        <f>IFERROR(__xludf.DUMMYFUNCTION("""COMPUTED_VALUE"""),1.011)</f>
        <v>1.011</v>
      </c>
      <c r="E7588" s="16">
        <f>IFERROR(__xludf.DUMMYFUNCTION("""COMPUTED_VALUE"""),68.0)</f>
        <v>68</v>
      </c>
      <c r="F7588" s="19" t="str">
        <f>IFERROR(__xludf.DUMMYFUNCTION("""COMPUTED_VALUE"""),"BLACK")</f>
        <v>BLACK</v>
      </c>
      <c r="G7588" s="20" t="str">
        <f>IFERROR(__xludf.DUMMYFUNCTION("""COMPUTED_VALUE"""),"Uncle Sams Cider (5/13/2022)")</f>
        <v>Uncle Sams Cider (5/13/2022)</v>
      </c>
      <c r="H7588" s="19"/>
    </row>
    <row r="7589">
      <c r="A7589" s="9"/>
      <c r="B7589" s="15"/>
      <c r="C7589" s="9">
        <f>IFERROR(__xludf.DUMMYFUNCTION("""COMPUTED_VALUE"""),44717.4885399768)</f>
        <v>44717.48854</v>
      </c>
      <c r="D7589" s="15">
        <f>IFERROR(__xludf.DUMMYFUNCTION("""COMPUTED_VALUE"""),1.011)</f>
        <v>1.011</v>
      </c>
      <c r="E7589" s="16">
        <f>IFERROR(__xludf.DUMMYFUNCTION("""COMPUTED_VALUE"""),67.0)</f>
        <v>67</v>
      </c>
      <c r="F7589" s="19" t="str">
        <f>IFERROR(__xludf.DUMMYFUNCTION("""COMPUTED_VALUE"""),"BLACK")</f>
        <v>BLACK</v>
      </c>
      <c r="G7589" s="20" t="str">
        <f>IFERROR(__xludf.DUMMYFUNCTION("""COMPUTED_VALUE"""),"Uncle Sams Cider (5/13/2022)")</f>
        <v>Uncle Sams Cider (5/13/2022)</v>
      </c>
      <c r="H7589" s="19"/>
    </row>
    <row r="7590">
      <c r="A7590" s="9"/>
      <c r="B7590" s="15"/>
      <c r="C7590" s="9">
        <f>IFERROR(__xludf.DUMMYFUNCTION("""COMPUTED_VALUE"""),44717.4781062037)</f>
        <v>44717.47811</v>
      </c>
      <c r="D7590" s="15">
        <f>IFERROR(__xludf.DUMMYFUNCTION("""COMPUTED_VALUE"""),1.011)</f>
        <v>1.011</v>
      </c>
      <c r="E7590" s="16">
        <f>IFERROR(__xludf.DUMMYFUNCTION("""COMPUTED_VALUE"""),67.0)</f>
        <v>67</v>
      </c>
      <c r="F7590" s="19" t="str">
        <f>IFERROR(__xludf.DUMMYFUNCTION("""COMPUTED_VALUE"""),"BLACK")</f>
        <v>BLACK</v>
      </c>
      <c r="G7590" s="20" t="str">
        <f>IFERROR(__xludf.DUMMYFUNCTION("""COMPUTED_VALUE"""),"Uncle Sams Cider (5/13/2022)")</f>
        <v>Uncle Sams Cider (5/13/2022)</v>
      </c>
      <c r="H7590" s="19"/>
    </row>
    <row r="7591">
      <c r="A7591" s="9"/>
      <c r="B7591" s="15"/>
      <c r="C7591" s="9">
        <f>IFERROR(__xludf.DUMMYFUNCTION("""COMPUTED_VALUE"""),44717.4676842013)</f>
        <v>44717.46768</v>
      </c>
      <c r="D7591" s="15">
        <f>IFERROR(__xludf.DUMMYFUNCTION("""COMPUTED_VALUE"""),1.011)</f>
        <v>1.011</v>
      </c>
      <c r="E7591" s="16">
        <f>IFERROR(__xludf.DUMMYFUNCTION("""COMPUTED_VALUE"""),67.0)</f>
        <v>67</v>
      </c>
      <c r="F7591" s="19" t="str">
        <f>IFERROR(__xludf.DUMMYFUNCTION("""COMPUTED_VALUE"""),"BLACK")</f>
        <v>BLACK</v>
      </c>
      <c r="G7591" s="20" t="str">
        <f>IFERROR(__xludf.DUMMYFUNCTION("""COMPUTED_VALUE"""),"Uncle Sams Cider (5/13/2022)")</f>
        <v>Uncle Sams Cider (5/13/2022)</v>
      </c>
      <c r="H7591" s="19"/>
    </row>
    <row r="7592">
      <c r="A7592" s="9"/>
      <c r="B7592" s="15"/>
      <c r="C7592" s="9">
        <f>IFERROR(__xludf.DUMMYFUNCTION("""COMPUTED_VALUE"""),44717.4572627083)</f>
        <v>44717.45726</v>
      </c>
      <c r="D7592" s="15">
        <f>IFERROR(__xludf.DUMMYFUNCTION("""COMPUTED_VALUE"""),1.011)</f>
        <v>1.011</v>
      </c>
      <c r="E7592" s="16">
        <f>IFERROR(__xludf.DUMMYFUNCTION("""COMPUTED_VALUE"""),67.0)</f>
        <v>67</v>
      </c>
      <c r="F7592" s="19" t="str">
        <f>IFERROR(__xludf.DUMMYFUNCTION("""COMPUTED_VALUE"""),"BLACK")</f>
        <v>BLACK</v>
      </c>
      <c r="G7592" s="20" t="str">
        <f>IFERROR(__xludf.DUMMYFUNCTION("""COMPUTED_VALUE"""),"Uncle Sams Cider (5/13/2022)")</f>
        <v>Uncle Sams Cider (5/13/2022)</v>
      </c>
      <c r="H7592" s="19"/>
    </row>
    <row r="7593">
      <c r="A7593" s="9"/>
      <c r="B7593" s="15"/>
      <c r="C7593" s="9">
        <f>IFERROR(__xludf.DUMMYFUNCTION("""COMPUTED_VALUE"""),44717.4468413078)</f>
        <v>44717.44684</v>
      </c>
      <c r="D7593" s="15">
        <f>IFERROR(__xludf.DUMMYFUNCTION("""COMPUTED_VALUE"""),1.011)</f>
        <v>1.011</v>
      </c>
      <c r="E7593" s="16">
        <f>IFERROR(__xludf.DUMMYFUNCTION("""COMPUTED_VALUE"""),67.0)</f>
        <v>67</v>
      </c>
      <c r="F7593" s="19" t="str">
        <f>IFERROR(__xludf.DUMMYFUNCTION("""COMPUTED_VALUE"""),"BLACK")</f>
        <v>BLACK</v>
      </c>
      <c r="G7593" s="20" t="str">
        <f>IFERROR(__xludf.DUMMYFUNCTION("""COMPUTED_VALUE"""),"Uncle Sams Cider (5/13/2022)")</f>
        <v>Uncle Sams Cider (5/13/2022)</v>
      </c>
      <c r="H7593" s="19"/>
    </row>
    <row r="7594">
      <c r="A7594" s="9"/>
      <c r="B7594" s="15"/>
      <c r="C7594" s="9">
        <f>IFERROR(__xludf.DUMMYFUNCTION("""COMPUTED_VALUE"""),44717.4364213425)</f>
        <v>44717.43642</v>
      </c>
      <c r="D7594" s="15">
        <f>IFERROR(__xludf.DUMMYFUNCTION("""COMPUTED_VALUE"""),1.011)</f>
        <v>1.011</v>
      </c>
      <c r="E7594" s="16">
        <f>IFERROR(__xludf.DUMMYFUNCTION("""COMPUTED_VALUE"""),67.0)</f>
        <v>67</v>
      </c>
      <c r="F7594" s="19" t="str">
        <f>IFERROR(__xludf.DUMMYFUNCTION("""COMPUTED_VALUE"""),"BLACK")</f>
        <v>BLACK</v>
      </c>
      <c r="G7594" s="20" t="str">
        <f>IFERROR(__xludf.DUMMYFUNCTION("""COMPUTED_VALUE"""),"Uncle Sams Cider (5/13/2022)")</f>
        <v>Uncle Sams Cider (5/13/2022)</v>
      </c>
      <c r="H7594" s="19"/>
    </row>
    <row r="7595">
      <c r="A7595" s="9"/>
      <c r="B7595" s="15"/>
      <c r="C7595" s="9">
        <f>IFERROR(__xludf.DUMMYFUNCTION("""COMPUTED_VALUE"""),44717.4259895486)</f>
        <v>44717.42599</v>
      </c>
      <c r="D7595" s="15">
        <f>IFERROR(__xludf.DUMMYFUNCTION("""COMPUTED_VALUE"""),1.011)</f>
        <v>1.011</v>
      </c>
      <c r="E7595" s="16">
        <f>IFERROR(__xludf.DUMMYFUNCTION("""COMPUTED_VALUE"""),67.0)</f>
        <v>67</v>
      </c>
      <c r="F7595" s="19" t="str">
        <f>IFERROR(__xludf.DUMMYFUNCTION("""COMPUTED_VALUE"""),"BLACK")</f>
        <v>BLACK</v>
      </c>
      <c r="G7595" s="20" t="str">
        <f>IFERROR(__xludf.DUMMYFUNCTION("""COMPUTED_VALUE"""),"Uncle Sams Cider (5/13/2022)")</f>
        <v>Uncle Sams Cider (5/13/2022)</v>
      </c>
      <c r="H7595" s="19"/>
    </row>
    <row r="7596">
      <c r="A7596" s="9"/>
      <c r="B7596" s="15"/>
      <c r="C7596" s="9">
        <f>IFERROR(__xludf.DUMMYFUNCTION("""COMPUTED_VALUE"""),44717.415557824)</f>
        <v>44717.41556</v>
      </c>
      <c r="D7596" s="15">
        <f>IFERROR(__xludf.DUMMYFUNCTION("""COMPUTED_VALUE"""),1.011)</f>
        <v>1.011</v>
      </c>
      <c r="E7596" s="16">
        <f>IFERROR(__xludf.DUMMYFUNCTION("""COMPUTED_VALUE"""),67.0)</f>
        <v>67</v>
      </c>
      <c r="F7596" s="19" t="str">
        <f>IFERROR(__xludf.DUMMYFUNCTION("""COMPUTED_VALUE"""),"BLACK")</f>
        <v>BLACK</v>
      </c>
      <c r="G7596" s="20" t="str">
        <f>IFERROR(__xludf.DUMMYFUNCTION("""COMPUTED_VALUE"""),"Uncle Sams Cider (5/13/2022)")</f>
        <v>Uncle Sams Cider (5/13/2022)</v>
      </c>
      <c r="H7596" s="19"/>
    </row>
    <row r="7597">
      <c r="A7597" s="9"/>
      <c r="B7597" s="15"/>
      <c r="C7597" s="9">
        <f>IFERROR(__xludf.DUMMYFUNCTION("""COMPUTED_VALUE"""),44717.4051382523)</f>
        <v>44717.40514</v>
      </c>
      <c r="D7597" s="15">
        <f>IFERROR(__xludf.DUMMYFUNCTION("""COMPUTED_VALUE"""),1.011)</f>
        <v>1.011</v>
      </c>
      <c r="E7597" s="16">
        <f>IFERROR(__xludf.DUMMYFUNCTION("""COMPUTED_VALUE"""),67.0)</f>
        <v>67</v>
      </c>
      <c r="F7597" s="19" t="str">
        <f>IFERROR(__xludf.DUMMYFUNCTION("""COMPUTED_VALUE"""),"BLACK")</f>
        <v>BLACK</v>
      </c>
      <c r="G7597" s="20" t="str">
        <f>IFERROR(__xludf.DUMMYFUNCTION("""COMPUTED_VALUE"""),"Uncle Sams Cider (5/13/2022)")</f>
        <v>Uncle Sams Cider (5/13/2022)</v>
      </c>
      <c r="H7597" s="19"/>
    </row>
    <row r="7598">
      <c r="A7598" s="9"/>
      <c r="B7598" s="15"/>
      <c r="C7598" s="9">
        <f>IFERROR(__xludf.DUMMYFUNCTION("""COMPUTED_VALUE"""),44717.3947164467)</f>
        <v>44717.39472</v>
      </c>
      <c r="D7598" s="15">
        <f>IFERROR(__xludf.DUMMYFUNCTION("""COMPUTED_VALUE"""),1.011)</f>
        <v>1.011</v>
      </c>
      <c r="E7598" s="16">
        <f>IFERROR(__xludf.DUMMYFUNCTION("""COMPUTED_VALUE"""),67.0)</f>
        <v>67</v>
      </c>
      <c r="F7598" s="19" t="str">
        <f>IFERROR(__xludf.DUMMYFUNCTION("""COMPUTED_VALUE"""),"BLACK")</f>
        <v>BLACK</v>
      </c>
      <c r="G7598" s="20" t="str">
        <f>IFERROR(__xludf.DUMMYFUNCTION("""COMPUTED_VALUE"""),"Uncle Sams Cider (5/13/2022)")</f>
        <v>Uncle Sams Cider (5/13/2022)</v>
      </c>
      <c r="H7598" s="19"/>
    </row>
    <row r="7599">
      <c r="A7599" s="9"/>
      <c r="B7599" s="15"/>
      <c r="C7599" s="9">
        <f>IFERROR(__xludf.DUMMYFUNCTION("""COMPUTED_VALUE"""),44717.3842945833)</f>
        <v>44717.38429</v>
      </c>
      <c r="D7599" s="15">
        <f>IFERROR(__xludf.DUMMYFUNCTION("""COMPUTED_VALUE"""),1.011)</f>
        <v>1.011</v>
      </c>
      <c r="E7599" s="16">
        <f>IFERROR(__xludf.DUMMYFUNCTION("""COMPUTED_VALUE"""),67.0)</f>
        <v>67</v>
      </c>
      <c r="F7599" s="19" t="str">
        <f>IFERROR(__xludf.DUMMYFUNCTION("""COMPUTED_VALUE"""),"BLACK")</f>
        <v>BLACK</v>
      </c>
      <c r="G7599" s="20" t="str">
        <f>IFERROR(__xludf.DUMMYFUNCTION("""COMPUTED_VALUE"""),"Uncle Sams Cider (5/13/2022)")</f>
        <v>Uncle Sams Cider (5/13/2022)</v>
      </c>
      <c r="H7599" s="19"/>
    </row>
    <row r="7600">
      <c r="A7600" s="9"/>
      <c r="B7600" s="15"/>
      <c r="C7600" s="9">
        <f>IFERROR(__xludf.DUMMYFUNCTION("""COMPUTED_VALUE"""),44717.3738729629)</f>
        <v>44717.37387</v>
      </c>
      <c r="D7600" s="15">
        <f>IFERROR(__xludf.DUMMYFUNCTION("""COMPUTED_VALUE"""),1.011)</f>
        <v>1.011</v>
      </c>
      <c r="E7600" s="16">
        <f>IFERROR(__xludf.DUMMYFUNCTION("""COMPUTED_VALUE"""),67.0)</f>
        <v>67</v>
      </c>
      <c r="F7600" s="19" t="str">
        <f>IFERROR(__xludf.DUMMYFUNCTION("""COMPUTED_VALUE"""),"BLACK")</f>
        <v>BLACK</v>
      </c>
      <c r="G7600" s="20" t="str">
        <f>IFERROR(__xludf.DUMMYFUNCTION("""COMPUTED_VALUE"""),"Uncle Sams Cider (5/13/2022)")</f>
        <v>Uncle Sams Cider (5/13/2022)</v>
      </c>
      <c r="H7600" s="19"/>
    </row>
    <row r="7601">
      <c r="A7601" s="9"/>
      <c r="B7601" s="15"/>
      <c r="C7601" s="9">
        <f>IFERROR(__xludf.DUMMYFUNCTION("""COMPUTED_VALUE"""),44717.3634494675)</f>
        <v>44717.36345</v>
      </c>
      <c r="D7601" s="15">
        <f>IFERROR(__xludf.DUMMYFUNCTION("""COMPUTED_VALUE"""),1.011)</f>
        <v>1.011</v>
      </c>
      <c r="E7601" s="16">
        <f>IFERROR(__xludf.DUMMYFUNCTION("""COMPUTED_VALUE"""),67.0)</f>
        <v>67</v>
      </c>
      <c r="F7601" s="19" t="str">
        <f>IFERROR(__xludf.DUMMYFUNCTION("""COMPUTED_VALUE"""),"BLACK")</f>
        <v>BLACK</v>
      </c>
      <c r="G7601" s="20" t="str">
        <f>IFERROR(__xludf.DUMMYFUNCTION("""COMPUTED_VALUE"""),"Uncle Sams Cider (5/13/2022)")</f>
        <v>Uncle Sams Cider (5/13/2022)</v>
      </c>
      <c r="H7601" s="19"/>
    </row>
    <row r="7602">
      <c r="A7602" s="9"/>
      <c r="B7602" s="15"/>
      <c r="C7602" s="9">
        <f>IFERROR(__xludf.DUMMYFUNCTION("""COMPUTED_VALUE"""),44717.3530298726)</f>
        <v>44717.35303</v>
      </c>
      <c r="D7602" s="15">
        <f>IFERROR(__xludf.DUMMYFUNCTION("""COMPUTED_VALUE"""),1.012)</f>
        <v>1.012</v>
      </c>
      <c r="E7602" s="16">
        <f>IFERROR(__xludf.DUMMYFUNCTION("""COMPUTED_VALUE"""),67.0)</f>
        <v>67</v>
      </c>
      <c r="F7602" s="19" t="str">
        <f>IFERROR(__xludf.DUMMYFUNCTION("""COMPUTED_VALUE"""),"BLACK")</f>
        <v>BLACK</v>
      </c>
      <c r="G7602" s="20" t="str">
        <f>IFERROR(__xludf.DUMMYFUNCTION("""COMPUTED_VALUE"""),"Uncle Sams Cider (5/13/2022)")</f>
        <v>Uncle Sams Cider (5/13/2022)</v>
      </c>
      <c r="H7602" s="19"/>
    </row>
    <row r="7603">
      <c r="A7603" s="9"/>
      <c r="B7603" s="15"/>
      <c r="C7603" s="9">
        <f>IFERROR(__xludf.DUMMYFUNCTION("""COMPUTED_VALUE"""),44717.3425492245)</f>
        <v>44717.34255</v>
      </c>
      <c r="D7603" s="15">
        <f>IFERROR(__xludf.DUMMYFUNCTION("""COMPUTED_VALUE"""),1.011)</f>
        <v>1.011</v>
      </c>
      <c r="E7603" s="16">
        <f>IFERROR(__xludf.DUMMYFUNCTION("""COMPUTED_VALUE"""),67.0)</f>
        <v>67</v>
      </c>
      <c r="F7603" s="19" t="str">
        <f>IFERROR(__xludf.DUMMYFUNCTION("""COMPUTED_VALUE"""),"BLACK")</f>
        <v>BLACK</v>
      </c>
      <c r="G7603" s="20" t="str">
        <f>IFERROR(__xludf.DUMMYFUNCTION("""COMPUTED_VALUE"""),"Uncle Sams Cider (5/13/2022)")</f>
        <v>Uncle Sams Cider (5/13/2022)</v>
      </c>
      <c r="H7603" s="19"/>
    </row>
    <row r="7604">
      <c r="A7604" s="9"/>
      <c r="B7604" s="15"/>
      <c r="C7604" s="9">
        <f>IFERROR(__xludf.DUMMYFUNCTION("""COMPUTED_VALUE"""),44717.3321292245)</f>
        <v>44717.33213</v>
      </c>
      <c r="D7604" s="15">
        <f>IFERROR(__xludf.DUMMYFUNCTION("""COMPUTED_VALUE"""),1.011)</f>
        <v>1.011</v>
      </c>
      <c r="E7604" s="16">
        <f>IFERROR(__xludf.DUMMYFUNCTION("""COMPUTED_VALUE"""),67.0)</f>
        <v>67</v>
      </c>
      <c r="F7604" s="19" t="str">
        <f>IFERROR(__xludf.DUMMYFUNCTION("""COMPUTED_VALUE"""),"BLACK")</f>
        <v>BLACK</v>
      </c>
      <c r="G7604" s="20" t="str">
        <f>IFERROR(__xludf.DUMMYFUNCTION("""COMPUTED_VALUE"""),"Uncle Sams Cider (5/13/2022)")</f>
        <v>Uncle Sams Cider (5/13/2022)</v>
      </c>
      <c r="H7604" s="19"/>
    </row>
    <row r="7605">
      <c r="A7605" s="9"/>
      <c r="B7605" s="15"/>
      <c r="C7605" s="9">
        <f>IFERROR(__xludf.DUMMYFUNCTION("""COMPUTED_VALUE"""),44717.321707581)</f>
        <v>44717.32171</v>
      </c>
      <c r="D7605" s="15">
        <f>IFERROR(__xludf.DUMMYFUNCTION("""COMPUTED_VALUE"""),1.011)</f>
        <v>1.011</v>
      </c>
      <c r="E7605" s="16">
        <f>IFERROR(__xludf.DUMMYFUNCTION("""COMPUTED_VALUE"""),67.0)</f>
        <v>67</v>
      </c>
      <c r="F7605" s="19" t="str">
        <f>IFERROR(__xludf.DUMMYFUNCTION("""COMPUTED_VALUE"""),"BLACK")</f>
        <v>BLACK</v>
      </c>
      <c r="G7605" s="20" t="str">
        <f>IFERROR(__xludf.DUMMYFUNCTION("""COMPUTED_VALUE"""),"Uncle Sams Cider (5/13/2022)")</f>
        <v>Uncle Sams Cider (5/13/2022)</v>
      </c>
      <c r="H7605" s="19"/>
    </row>
    <row r="7606">
      <c r="A7606" s="9"/>
      <c r="B7606" s="15"/>
      <c r="C7606" s="9">
        <f>IFERROR(__xludf.DUMMYFUNCTION("""COMPUTED_VALUE"""),44717.3112632986)</f>
        <v>44717.31126</v>
      </c>
      <c r="D7606" s="15">
        <f>IFERROR(__xludf.DUMMYFUNCTION("""COMPUTED_VALUE"""),1.011)</f>
        <v>1.011</v>
      </c>
      <c r="E7606" s="16">
        <f>IFERROR(__xludf.DUMMYFUNCTION("""COMPUTED_VALUE"""),67.0)</f>
        <v>67</v>
      </c>
      <c r="F7606" s="19" t="str">
        <f>IFERROR(__xludf.DUMMYFUNCTION("""COMPUTED_VALUE"""),"BLACK")</f>
        <v>BLACK</v>
      </c>
      <c r="G7606" s="20" t="str">
        <f>IFERROR(__xludf.DUMMYFUNCTION("""COMPUTED_VALUE"""),"Uncle Sams Cider (5/13/2022)")</f>
        <v>Uncle Sams Cider (5/13/2022)</v>
      </c>
      <c r="H7606" s="19"/>
    </row>
    <row r="7607">
      <c r="A7607" s="9"/>
      <c r="B7607" s="15"/>
      <c r="C7607" s="9">
        <f>IFERROR(__xludf.DUMMYFUNCTION("""COMPUTED_VALUE"""),44717.3008431365)</f>
        <v>44717.30084</v>
      </c>
      <c r="D7607" s="15">
        <f>IFERROR(__xludf.DUMMYFUNCTION("""COMPUTED_VALUE"""),1.011)</f>
        <v>1.011</v>
      </c>
      <c r="E7607" s="16">
        <f>IFERROR(__xludf.DUMMYFUNCTION("""COMPUTED_VALUE"""),67.0)</f>
        <v>67</v>
      </c>
      <c r="F7607" s="19" t="str">
        <f>IFERROR(__xludf.DUMMYFUNCTION("""COMPUTED_VALUE"""),"BLACK")</f>
        <v>BLACK</v>
      </c>
      <c r="G7607" s="20" t="str">
        <f>IFERROR(__xludf.DUMMYFUNCTION("""COMPUTED_VALUE"""),"Uncle Sams Cider (5/13/2022)")</f>
        <v>Uncle Sams Cider (5/13/2022)</v>
      </c>
      <c r="H7607" s="19"/>
    </row>
    <row r="7608">
      <c r="A7608" s="9"/>
      <c r="B7608" s="15"/>
      <c r="C7608" s="9">
        <f>IFERROR(__xludf.DUMMYFUNCTION("""COMPUTED_VALUE"""),44717.2904222222)</f>
        <v>44717.29042</v>
      </c>
      <c r="D7608" s="15">
        <f>IFERROR(__xludf.DUMMYFUNCTION("""COMPUTED_VALUE"""),1.012)</f>
        <v>1.012</v>
      </c>
      <c r="E7608" s="16">
        <f>IFERROR(__xludf.DUMMYFUNCTION("""COMPUTED_VALUE"""),67.0)</f>
        <v>67</v>
      </c>
      <c r="F7608" s="19" t="str">
        <f>IFERROR(__xludf.DUMMYFUNCTION("""COMPUTED_VALUE"""),"BLACK")</f>
        <v>BLACK</v>
      </c>
      <c r="G7608" s="20" t="str">
        <f>IFERROR(__xludf.DUMMYFUNCTION("""COMPUTED_VALUE"""),"Uncle Sams Cider (5/13/2022)")</f>
        <v>Uncle Sams Cider (5/13/2022)</v>
      </c>
      <c r="H7608" s="19"/>
    </row>
    <row r="7609">
      <c r="A7609" s="9"/>
      <c r="B7609" s="15"/>
      <c r="C7609" s="9">
        <f>IFERROR(__xludf.DUMMYFUNCTION("""COMPUTED_VALUE"""),44717.2800008564)</f>
        <v>44717.28</v>
      </c>
      <c r="D7609" s="15">
        <f>IFERROR(__xludf.DUMMYFUNCTION("""COMPUTED_VALUE"""),1.012)</f>
        <v>1.012</v>
      </c>
      <c r="E7609" s="16">
        <f>IFERROR(__xludf.DUMMYFUNCTION("""COMPUTED_VALUE"""),67.0)</f>
        <v>67</v>
      </c>
      <c r="F7609" s="19" t="str">
        <f>IFERROR(__xludf.DUMMYFUNCTION("""COMPUTED_VALUE"""),"BLACK")</f>
        <v>BLACK</v>
      </c>
      <c r="G7609" s="20" t="str">
        <f>IFERROR(__xludf.DUMMYFUNCTION("""COMPUTED_VALUE"""),"Uncle Sams Cider (5/13/2022)")</f>
        <v>Uncle Sams Cider (5/13/2022)</v>
      </c>
      <c r="H7609" s="19"/>
    </row>
    <row r="7610">
      <c r="A7610" s="9"/>
      <c r="B7610" s="15"/>
      <c r="C7610" s="9">
        <f>IFERROR(__xludf.DUMMYFUNCTION("""COMPUTED_VALUE"""),44717.2695668634)</f>
        <v>44717.26957</v>
      </c>
      <c r="D7610" s="15">
        <f>IFERROR(__xludf.DUMMYFUNCTION("""COMPUTED_VALUE"""),1.011)</f>
        <v>1.011</v>
      </c>
      <c r="E7610" s="16">
        <f>IFERROR(__xludf.DUMMYFUNCTION("""COMPUTED_VALUE"""),67.0)</f>
        <v>67</v>
      </c>
      <c r="F7610" s="19" t="str">
        <f>IFERROR(__xludf.DUMMYFUNCTION("""COMPUTED_VALUE"""),"BLACK")</f>
        <v>BLACK</v>
      </c>
      <c r="G7610" s="20" t="str">
        <f>IFERROR(__xludf.DUMMYFUNCTION("""COMPUTED_VALUE"""),"Uncle Sams Cider (5/13/2022)")</f>
        <v>Uncle Sams Cider (5/13/2022)</v>
      </c>
      <c r="H7610" s="19"/>
    </row>
    <row r="7611">
      <c r="A7611" s="9"/>
      <c r="B7611" s="15"/>
      <c r="C7611" s="9">
        <f>IFERROR(__xludf.DUMMYFUNCTION("""COMPUTED_VALUE"""),44717.2591453356)</f>
        <v>44717.25915</v>
      </c>
      <c r="D7611" s="15">
        <f>IFERROR(__xludf.DUMMYFUNCTION("""COMPUTED_VALUE"""),1.011)</f>
        <v>1.011</v>
      </c>
      <c r="E7611" s="16">
        <f>IFERROR(__xludf.DUMMYFUNCTION("""COMPUTED_VALUE"""),67.0)</f>
        <v>67</v>
      </c>
      <c r="F7611" s="19" t="str">
        <f>IFERROR(__xludf.DUMMYFUNCTION("""COMPUTED_VALUE"""),"BLACK")</f>
        <v>BLACK</v>
      </c>
      <c r="G7611" s="20" t="str">
        <f>IFERROR(__xludf.DUMMYFUNCTION("""COMPUTED_VALUE"""),"Uncle Sams Cider (5/13/2022)")</f>
        <v>Uncle Sams Cider (5/13/2022)</v>
      </c>
      <c r="H7611" s="19"/>
    </row>
    <row r="7612">
      <c r="A7612" s="9"/>
      <c r="B7612" s="15"/>
      <c r="C7612" s="9">
        <f>IFERROR(__xludf.DUMMYFUNCTION("""COMPUTED_VALUE"""),44717.2486906134)</f>
        <v>44717.24869</v>
      </c>
      <c r="D7612" s="15">
        <f>IFERROR(__xludf.DUMMYFUNCTION("""COMPUTED_VALUE"""),1.011)</f>
        <v>1.011</v>
      </c>
      <c r="E7612" s="16">
        <f>IFERROR(__xludf.DUMMYFUNCTION("""COMPUTED_VALUE"""),67.0)</f>
        <v>67</v>
      </c>
      <c r="F7612" s="19" t="str">
        <f>IFERROR(__xludf.DUMMYFUNCTION("""COMPUTED_VALUE"""),"BLACK")</f>
        <v>BLACK</v>
      </c>
      <c r="G7612" s="20" t="str">
        <f>IFERROR(__xludf.DUMMYFUNCTION("""COMPUTED_VALUE"""),"Uncle Sams Cider (5/13/2022)")</f>
        <v>Uncle Sams Cider (5/13/2022)</v>
      </c>
      <c r="H7612" s="19"/>
    </row>
    <row r="7613">
      <c r="A7613" s="9"/>
      <c r="B7613" s="15"/>
      <c r="C7613" s="9">
        <f>IFERROR(__xludf.DUMMYFUNCTION("""COMPUTED_VALUE"""),44717.2382585995)</f>
        <v>44717.23826</v>
      </c>
      <c r="D7613" s="15">
        <f>IFERROR(__xludf.DUMMYFUNCTION("""COMPUTED_VALUE"""),1.011)</f>
        <v>1.011</v>
      </c>
      <c r="E7613" s="16">
        <f>IFERROR(__xludf.DUMMYFUNCTION("""COMPUTED_VALUE"""),67.0)</f>
        <v>67</v>
      </c>
      <c r="F7613" s="19" t="str">
        <f>IFERROR(__xludf.DUMMYFUNCTION("""COMPUTED_VALUE"""),"BLACK")</f>
        <v>BLACK</v>
      </c>
      <c r="G7613" s="20" t="str">
        <f>IFERROR(__xludf.DUMMYFUNCTION("""COMPUTED_VALUE"""),"Uncle Sams Cider (5/13/2022)")</f>
        <v>Uncle Sams Cider (5/13/2022)</v>
      </c>
      <c r="H7613" s="19"/>
    </row>
    <row r="7614">
      <c r="A7614" s="9"/>
      <c r="B7614" s="15"/>
      <c r="C7614" s="9">
        <f>IFERROR(__xludf.DUMMYFUNCTION("""COMPUTED_VALUE"""),44717.2278250463)</f>
        <v>44717.22783</v>
      </c>
      <c r="D7614" s="15">
        <f>IFERROR(__xludf.DUMMYFUNCTION("""COMPUTED_VALUE"""),1.011)</f>
        <v>1.011</v>
      </c>
      <c r="E7614" s="16">
        <f>IFERROR(__xludf.DUMMYFUNCTION("""COMPUTED_VALUE"""),67.0)</f>
        <v>67</v>
      </c>
      <c r="F7614" s="19" t="str">
        <f>IFERROR(__xludf.DUMMYFUNCTION("""COMPUTED_VALUE"""),"BLACK")</f>
        <v>BLACK</v>
      </c>
      <c r="G7614" s="20" t="str">
        <f>IFERROR(__xludf.DUMMYFUNCTION("""COMPUTED_VALUE"""),"Uncle Sams Cider (5/13/2022)")</f>
        <v>Uncle Sams Cider (5/13/2022)</v>
      </c>
      <c r="H7614" s="19"/>
    </row>
    <row r="7615">
      <c r="A7615" s="9"/>
      <c r="B7615" s="15"/>
      <c r="C7615" s="9">
        <f>IFERROR(__xludf.DUMMYFUNCTION("""COMPUTED_VALUE"""),44717.217404537)</f>
        <v>44717.2174</v>
      </c>
      <c r="D7615" s="15">
        <f>IFERROR(__xludf.DUMMYFUNCTION("""COMPUTED_VALUE"""),1.011)</f>
        <v>1.011</v>
      </c>
      <c r="E7615" s="16">
        <f>IFERROR(__xludf.DUMMYFUNCTION("""COMPUTED_VALUE"""),67.0)</f>
        <v>67</v>
      </c>
      <c r="F7615" s="19" t="str">
        <f>IFERROR(__xludf.DUMMYFUNCTION("""COMPUTED_VALUE"""),"BLACK")</f>
        <v>BLACK</v>
      </c>
      <c r="G7615" s="20" t="str">
        <f>IFERROR(__xludf.DUMMYFUNCTION("""COMPUTED_VALUE"""),"Uncle Sams Cider (5/13/2022)")</f>
        <v>Uncle Sams Cider (5/13/2022)</v>
      </c>
      <c r="H7615" s="19"/>
    </row>
    <row r="7616">
      <c r="A7616" s="9"/>
      <c r="B7616" s="15"/>
      <c r="C7616" s="9">
        <f>IFERROR(__xludf.DUMMYFUNCTION("""COMPUTED_VALUE"""),44717.2069720023)</f>
        <v>44717.20697</v>
      </c>
      <c r="D7616" s="15">
        <f>IFERROR(__xludf.DUMMYFUNCTION("""COMPUTED_VALUE"""),1.011)</f>
        <v>1.011</v>
      </c>
      <c r="E7616" s="16">
        <f>IFERROR(__xludf.DUMMYFUNCTION("""COMPUTED_VALUE"""),67.0)</f>
        <v>67</v>
      </c>
      <c r="F7616" s="19" t="str">
        <f>IFERROR(__xludf.DUMMYFUNCTION("""COMPUTED_VALUE"""),"BLACK")</f>
        <v>BLACK</v>
      </c>
      <c r="G7616" s="20" t="str">
        <f>IFERROR(__xludf.DUMMYFUNCTION("""COMPUTED_VALUE"""),"Uncle Sams Cider (5/13/2022)")</f>
        <v>Uncle Sams Cider (5/13/2022)</v>
      </c>
      <c r="H7616" s="19"/>
    </row>
    <row r="7617">
      <c r="A7617" s="9"/>
      <c r="B7617" s="15"/>
      <c r="C7617" s="9">
        <f>IFERROR(__xludf.DUMMYFUNCTION("""COMPUTED_VALUE"""),44717.1965272685)</f>
        <v>44717.19653</v>
      </c>
      <c r="D7617" s="15">
        <f>IFERROR(__xludf.DUMMYFUNCTION("""COMPUTED_VALUE"""),1.011)</f>
        <v>1.011</v>
      </c>
      <c r="E7617" s="16">
        <f>IFERROR(__xludf.DUMMYFUNCTION("""COMPUTED_VALUE"""),67.0)</f>
        <v>67</v>
      </c>
      <c r="F7617" s="19" t="str">
        <f>IFERROR(__xludf.DUMMYFUNCTION("""COMPUTED_VALUE"""),"BLACK")</f>
        <v>BLACK</v>
      </c>
      <c r="G7617" s="20" t="str">
        <f>IFERROR(__xludf.DUMMYFUNCTION("""COMPUTED_VALUE"""),"Uncle Sams Cider (5/13/2022)")</f>
        <v>Uncle Sams Cider (5/13/2022)</v>
      </c>
      <c r="H7617" s="19"/>
    </row>
    <row r="7618">
      <c r="A7618" s="9"/>
      <c r="B7618" s="15"/>
      <c r="C7618" s="9">
        <f>IFERROR(__xludf.DUMMYFUNCTION("""COMPUTED_VALUE"""),44717.1860823842)</f>
        <v>44717.18608</v>
      </c>
      <c r="D7618" s="15">
        <f>IFERROR(__xludf.DUMMYFUNCTION("""COMPUTED_VALUE"""),1.011)</f>
        <v>1.011</v>
      </c>
      <c r="E7618" s="16">
        <f>IFERROR(__xludf.DUMMYFUNCTION("""COMPUTED_VALUE"""),67.0)</f>
        <v>67</v>
      </c>
      <c r="F7618" s="19" t="str">
        <f>IFERROR(__xludf.DUMMYFUNCTION("""COMPUTED_VALUE"""),"BLACK")</f>
        <v>BLACK</v>
      </c>
      <c r="G7618" s="20" t="str">
        <f>IFERROR(__xludf.DUMMYFUNCTION("""COMPUTED_VALUE"""),"Uncle Sams Cider (5/13/2022)")</f>
        <v>Uncle Sams Cider (5/13/2022)</v>
      </c>
      <c r="H7618" s="19"/>
    </row>
    <row r="7619">
      <c r="A7619" s="9"/>
      <c r="B7619" s="15"/>
      <c r="C7619" s="9">
        <f>IFERROR(__xludf.DUMMYFUNCTION("""COMPUTED_VALUE"""),44717.1756490625)</f>
        <v>44717.17565</v>
      </c>
      <c r="D7619" s="15">
        <f>IFERROR(__xludf.DUMMYFUNCTION("""COMPUTED_VALUE"""),1.012)</f>
        <v>1.012</v>
      </c>
      <c r="E7619" s="16">
        <f>IFERROR(__xludf.DUMMYFUNCTION("""COMPUTED_VALUE"""),67.0)</f>
        <v>67</v>
      </c>
      <c r="F7619" s="19" t="str">
        <f>IFERROR(__xludf.DUMMYFUNCTION("""COMPUTED_VALUE"""),"BLACK")</f>
        <v>BLACK</v>
      </c>
      <c r="G7619" s="20" t="str">
        <f>IFERROR(__xludf.DUMMYFUNCTION("""COMPUTED_VALUE"""),"Uncle Sams Cider (5/13/2022)")</f>
        <v>Uncle Sams Cider (5/13/2022)</v>
      </c>
      <c r="H7619" s="19"/>
    </row>
    <row r="7620">
      <c r="A7620" s="9"/>
      <c r="B7620" s="15"/>
      <c r="C7620" s="9">
        <f>IFERROR(__xludf.DUMMYFUNCTION("""COMPUTED_VALUE"""),44717.1652285648)</f>
        <v>44717.16523</v>
      </c>
      <c r="D7620" s="15">
        <f>IFERROR(__xludf.DUMMYFUNCTION("""COMPUTED_VALUE"""),1.011)</f>
        <v>1.011</v>
      </c>
      <c r="E7620" s="16">
        <f>IFERROR(__xludf.DUMMYFUNCTION("""COMPUTED_VALUE"""),67.0)</f>
        <v>67</v>
      </c>
      <c r="F7620" s="19" t="str">
        <f>IFERROR(__xludf.DUMMYFUNCTION("""COMPUTED_VALUE"""),"BLACK")</f>
        <v>BLACK</v>
      </c>
      <c r="G7620" s="20" t="str">
        <f>IFERROR(__xludf.DUMMYFUNCTION("""COMPUTED_VALUE"""),"Uncle Sams Cider (5/13/2022)")</f>
        <v>Uncle Sams Cider (5/13/2022)</v>
      </c>
      <c r="H7620" s="19"/>
    </row>
    <row r="7621">
      <c r="A7621" s="9"/>
      <c r="B7621" s="15"/>
      <c r="C7621" s="9">
        <f>IFERROR(__xludf.DUMMYFUNCTION("""COMPUTED_VALUE"""),44717.1548077546)</f>
        <v>44717.15481</v>
      </c>
      <c r="D7621" s="15">
        <f>IFERROR(__xludf.DUMMYFUNCTION("""COMPUTED_VALUE"""),1.012)</f>
        <v>1.012</v>
      </c>
      <c r="E7621" s="16">
        <f>IFERROR(__xludf.DUMMYFUNCTION("""COMPUTED_VALUE"""),67.0)</f>
        <v>67</v>
      </c>
      <c r="F7621" s="19" t="str">
        <f>IFERROR(__xludf.DUMMYFUNCTION("""COMPUTED_VALUE"""),"BLACK")</f>
        <v>BLACK</v>
      </c>
      <c r="G7621" s="20" t="str">
        <f>IFERROR(__xludf.DUMMYFUNCTION("""COMPUTED_VALUE"""),"Uncle Sams Cider (5/13/2022)")</f>
        <v>Uncle Sams Cider (5/13/2022)</v>
      </c>
      <c r="H7621" s="19"/>
    </row>
    <row r="7622">
      <c r="A7622" s="9"/>
      <c r="B7622" s="15"/>
      <c r="C7622" s="9">
        <f>IFERROR(__xludf.DUMMYFUNCTION("""COMPUTED_VALUE"""),44717.1443506713)</f>
        <v>44717.14435</v>
      </c>
      <c r="D7622" s="15">
        <f>IFERROR(__xludf.DUMMYFUNCTION("""COMPUTED_VALUE"""),1.011)</f>
        <v>1.011</v>
      </c>
      <c r="E7622" s="16">
        <f>IFERROR(__xludf.DUMMYFUNCTION("""COMPUTED_VALUE"""),67.0)</f>
        <v>67</v>
      </c>
      <c r="F7622" s="19" t="str">
        <f>IFERROR(__xludf.DUMMYFUNCTION("""COMPUTED_VALUE"""),"BLACK")</f>
        <v>BLACK</v>
      </c>
      <c r="G7622" s="20" t="str">
        <f>IFERROR(__xludf.DUMMYFUNCTION("""COMPUTED_VALUE"""),"Uncle Sams Cider (5/13/2022)")</f>
        <v>Uncle Sams Cider (5/13/2022)</v>
      </c>
      <c r="H7622" s="19"/>
    </row>
    <row r="7623">
      <c r="A7623" s="9"/>
      <c r="B7623" s="15"/>
      <c r="C7623" s="9">
        <f>IFERROR(__xludf.DUMMYFUNCTION("""COMPUTED_VALUE"""),44717.1339302893)</f>
        <v>44717.13393</v>
      </c>
      <c r="D7623" s="15">
        <f>IFERROR(__xludf.DUMMYFUNCTION("""COMPUTED_VALUE"""),1.012)</f>
        <v>1.012</v>
      </c>
      <c r="E7623" s="16">
        <f>IFERROR(__xludf.DUMMYFUNCTION("""COMPUTED_VALUE"""),67.0)</f>
        <v>67</v>
      </c>
      <c r="F7623" s="19" t="str">
        <f>IFERROR(__xludf.DUMMYFUNCTION("""COMPUTED_VALUE"""),"BLACK")</f>
        <v>BLACK</v>
      </c>
      <c r="G7623" s="20" t="str">
        <f>IFERROR(__xludf.DUMMYFUNCTION("""COMPUTED_VALUE"""),"Uncle Sams Cider (5/13/2022)")</f>
        <v>Uncle Sams Cider (5/13/2022)</v>
      </c>
      <c r="H7623" s="19"/>
    </row>
    <row r="7624">
      <c r="A7624" s="9"/>
      <c r="B7624" s="15"/>
      <c r="C7624" s="9">
        <f>IFERROR(__xludf.DUMMYFUNCTION("""COMPUTED_VALUE"""),44717.1235087268)</f>
        <v>44717.12351</v>
      </c>
      <c r="D7624" s="15">
        <f>IFERROR(__xludf.DUMMYFUNCTION("""COMPUTED_VALUE"""),1.011)</f>
        <v>1.011</v>
      </c>
      <c r="E7624" s="16">
        <f>IFERROR(__xludf.DUMMYFUNCTION("""COMPUTED_VALUE"""),67.0)</f>
        <v>67</v>
      </c>
      <c r="F7624" s="19" t="str">
        <f>IFERROR(__xludf.DUMMYFUNCTION("""COMPUTED_VALUE"""),"BLACK")</f>
        <v>BLACK</v>
      </c>
      <c r="G7624" s="20" t="str">
        <f>IFERROR(__xludf.DUMMYFUNCTION("""COMPUTED_VALUE"""),"Uncle Sams Cider (5/13/2022)")</f>
        <v>Uncle Sams Cider (5/13/2022)</v>
      </c>
      <c r="H7624" s="19"/>
    </row>
    <row r="7625">
      <c r="A7625" s="9"/>
      <c r="B7625" s="15"/>
      <c r="C7625" s="9">
        <f>IFERROR(__xludf.DUMMYFUNCTION("""COMPUTED_VALUE"""),44717.1130858912)</f>
        <v>44717.11309</v>
      </c>
      <c r="D7625" s="15">
        <f>IFERROR(__xludf.DUMMYFUNCTION("""COMPUTED_VALUE"""),1.012)</f>
        <v>1.012</v>
      </c>
      <c r="E7625" s="16">
        <f>IFERROR(__xludf.DUMMYFUNCTION("""COMPUTED_VALUE"""),67.0)</f>
        <v>67</v>
      </c>
      <c r="F7625" s="19" t="str">
        <f>IFERROR(__xludf.DUMMYFUNCTION("""COMPUTED_VALUE"""),"BLACK")</f>
        <v>BLACK</v>
      </c>
      <c r="G7625" s="20" t="str">
        <f>IFERROR(__xludf.DUMMYFUNCTION("""COMPUTED_VALUE"""),"Uncle Sams Cider (5/13/2022)")</f>
        <v>Uncle Sams Cider (5/13/2022)</v>
      </c>
      <c r="H7625" s="19"/>
    </row>
    <row r="7626">
      <c r="A7626" s="9"/>
      <c r="B7626" s="15"/>
      <c r="C7626" s="9">
        <f>IFERROR(__xludf.DUMMYFUNCTION("""COMPUTED_VALUE"""),44717.1026294213)</f>
        <v>44717.10263</v>
      </c>
      <c r="D7626" s="15">
        <f>IFERROR(__xludf.DUMMYFUNCTION("""COMPUTED_VALUE"""),1.011)</f>
        <v>1.011</v>
      </c>
      <c r="E7626" s="16">
        <f>IFERROR(__xludf.DUMMYFUNCTION("""COMPUTED_VALUE"""),67.0)</f>
        <v>67</v>
      </c>
      <c r="F7626" s="19" t="str">
        <f>IFERROR(__xludf.DUMMYFUNCTION("""COMPUTED_VALUE"""),"BLACK")</f>
        <v>BLACK</v>
      </c>
      <c r="G7626" s="20" t="str">
        <f>IFERROR(__xludf.DUMMYFUNCTION("""COMPUTED_VALUE"""),"Uncle Sams Cider (5/13/2022)")</f>
        <v>Uncle Sams Cider (5/13/2022)</v>
      </c>
      <c r="H7626" s="19"/>
    </row>
    <row r="7627">
      <c r="A7627" s="9"/>
      <c r="B7627" s="15"/>
      <c r="C7627" s="9">
        <f>IFERROR(__xludf.DUMMYFUNCTION("""COMPUTED_VALUE"""),44717.0922062152)</f>
        <v>44717.09221</v>
      </c>
      <c r="D7627" s="15">
        <f>IFERROR(__xludf.DUMMYFUNCTION("""COMPUTED_VALUE"""),1.011)</f>
        <v>1.011</v>
      </c>
      <c r="E7627" s="16">
        <f>IFERROR(__xludf.DUMMYFUNCTION("""COMPUTED_VALUE"""),67.0)</f>
        <v>67</v>
      </c>
      <c r="F7627" s="19" t="str">
        <f>IFERROR(__xludf.DUMMYFUNCTION("""COMPUTED_VALUE"""),"BLACK")</f>
        <v>BLACK</v>
      </c>
      <c r="G7627" s="20" t="str">
        <f>IFERROR(__xludf.DUMMYFUNCTION("""COMPUTED_VALUE"""),"Uncle Sams Cider (5/13/2022)")</f>
        <v>Uncle Sams Cider (5/13/2022)</v>
      </c>
      <c r="H7627" s="19"/>
    </row>
    <row r="7628">
      <c r="A7628" s="9"/>
      <c r="B7628" s="15"/>
      <c r="C7628" s="9">
        <f>IFERROR(__xludf.DUMMYFUNCTION("""COMPUTED_VALUE"""),44717.0817850347)</f>
        <v>44717.08179</v>
      </c>
      <c r="D7628" s="15">
        <f>IFERROR(__xludf.DUMMYFUNCTION("""COMPUTED_VALUE"""),1.012)</f>
        <v>1.012</v>
      </c>
      <c r="E7628" s="16">
        <f>IFERROR(__xludf.DUMMYFUNCTION("""COMPUTED_VALUE"""),67.0)</f>
        <v>67</v>
      </c>
      <c r="F7628" s="19" t="str">
        <f>IFERROR(__xludf.DUMMYFUNCTION("""COMPUTED_VALUE"""),"BLACK")</f>
        <v>BLACK</v>
      </c>
      <c r="G7628" s="20" t="str">
        <f>IFERROR(__xludf.DUMMYFUNCTION("""COMPUTED_VALUE"""),"Uncle Sams Cider (5/13/2022)")</f>
        <v>Uncle Sams Cider (5/13/2022)</v>
      </c>
      <c r="H7628" s="19"/>
    </row>
    <row r="7629">
      <c r="A7629" s="9"/>
      <c r="B7629" s="15"/>
      <c r="C7629" s="9">
        <f>IFERROR(__xludf.DUMMYFUNCTION("""COMPUTED_VALUE"""),44717.0713626389)</f>
        <v>44717.07136</v>
      </c>
      <c r="D7629" s="15">
        <f>IFERROR(__xludf.DUMMYFUNCTION("""COMPUTED_VALUE"""),1.011)</f>
        <v>1.011</v>
      </c>
      <c r="E7629" s="16">
        <f>IFERROR(__xludf.DUMMYFUNCTION("""COMPUTED_VALUE"""),67.0)</f>
        <v>67</v>
      </c>
      <c r="F7629" s="19" t="str">
        <f>IFERROR(__xludf.DUMMYFUNCTION("""COMPUTED_VALUE"""),"BLACK")</f>
        <v>BLACK</v>
      </c>
      <c r="G7629" s="20" t="str">
        <f>IFERROR(__xludf.DUMMYFUNCTION("""COMPUTED_VALUE"""),"Uncle Sams Cider (5/13/2022)")</f>
        <v>Uncle Sams Cider (5/13/2022)</v>
      </c>
      <c r="H7629" s="19"/>
    </row>
    <row r="7630">
      <c r="A7630" s="9"/>
      <c r="B7630" s="15"/>
      <c r="C7630" s="9">
        <f>IFERROR(__xludf.DUMMYFUNCTION("""COMPUTED_VALUE"""),44717.0609412615)</f>
        <v>44717.06094</v>
      </c>
      <c r="D7630" s="15">
        <f>IFERROR(__xludf.DUMMYFUNCTION("""COMPUTED_VALUE"""),1.012)</f>
        <v>1.012</v>
      </c>
      <c r="E7630" s="16">
        <f>IFERROR(__xludf.DUMMYFUNCTION("""COMPUTED_VALUE"""),67.0)</f>
        <v>67</v>
      </c>
      <c r="F7630" s="19" t="str">
        <f>IFERROR(__xludf.DUMMYFUNCTION("""COMPUTED_VALUE"""),"BLACK")</f>
        <v>BLACK</v>
      </c>
      <c r="G7630" s="20" t="str">
        <f>IFERROR(__xludf.DUMMYFUNCTION("""COMPUTED_VALUE"""),"Uncle Sams Cider (5/13/2022)")</f>
        <v>Uncle Sams Cider (5/13/2022)</v>
      </c>
      <c r="H7630" s="19"/>
    </row>
    <row r="7631">
      <c r="A7631" s="9"/>
      <c r="B7631" s="15"/>
      <c r="C7631" s="9">
        <f>IFERROR(__xludf.DUMMYFUNCTION("""COMPUTED_VALUE"""),44717.0505191088)</f>
        <v>44717.05052</v>
      </c>
      <c r="D7631" s="15">
        <f>IFERROR(__xludf.DUMMYFUNCTION("""COMPUTED_VALUE"""),1.011)</f>
        <v>1.011</v>
      </c>
      <c r="E7631" s="16">
        <f>IFERROR(__xludf.DUMMYFUNCTION("""COMPUTED_VALUE"""),67.0)</f>
        <v>67</v>
      </c>
      <c r="F7631" s="19" t="str">
        <f>IFERROR(__xludf.DUMMYFUNCTION("""COMPUTED_VALUE"""),"BLACK")</f>
        <v>BLACK</v>
      </c>
      <c r="G7631" s="20" t="str">
        <f>IFERROR(__xludf.DUMMYFUNCTION("""COMPUTED_VALUE"""),"Uncle Sams Cider (5/13/2022)")</f>
        <v>Uncle Sams Cider (5/13/2022)</v>
      </c>
      <c r="H7631" s="19"/>
    </row>
    <row r="7632">
      <c r="A7632" s="9"/>
      <c r="B7632" s="15"/>
      <c r="C7632" s="9">
        <f>IFERROR(__xludf.DUMMYFUNCTION("""COMPUTED_VALUE"""),44717.0400978009)</f>
        <v>44717.0401</v>
      </c>
      <c r="D7632" s="15">
        <f>IFERROR(__xludf.DUMMYFUNCTION("""COMPUTED_VALUE"""),1.011)</f>
        <v>1.011</v>
      </c>
      <c r="E7632" s="16">
        <f>IFERROR(__xludf.DUMMYFUNCTION("""COMPUTED_VALUE"""),67.0)</f>
        <v>67</v>
      </c>
      <c r="F7632" s="19" t="str">
        <f>IFERROR(__xludf.DUMMYFUNCTION("""COMPUTED_VALUE"""),"BLACK")</f>
        <v>BLACK</v>
      </c>
      <c r="G7632" s="20" t="str">
        <f>IFERROR(__xludf.DUMMYFUNCTION("""COMPUTED_VALUE"""),"Uncle Sams Cider (5/13/2022)")</f>
        <v>Uncle Sams Cider (5/13/2022)</v>
      </c>
      <c r="H7632" s="19"/>
    </row>
    <row r="7633">
      <c r="A7633" s="9"/>
      <c r="B7633" s="15"/>
      <c r="C7633" s="9">
        <f>IFERROR(__xludf.DUMMYFUNCTION("""COMPUTED_VALUE"""),44717.0296745949)</f>
        <v>44717.02967</v>
      </c>
      <c r="D7633" s="15">
        <f>IFERROR(__xludf.DUMMYFUNCTION("""COMPUTED_VALUE"""),1.011)</f>
        <v>1.011</v>
      </c>
      <c r="E7633" s="16">
        <f>IFERROR(__xludf.DUMMYFUNCTION("""COMPUTED_VALUE"""),67.0)</f>
        <v>67</v>
      </c>
      <c r="F7633" s="19" t="str">
        <f>IFERROR(__xludf.DUMMYFUNCTION("""COMPUTED_VALUE"""),"BLACK")</f>
        <v>BLACK</v>
      </c>
      <c r="G7633" s="20" t="str">
        <f>IFERROR(__xludf.DUMMYFUNCTION("""COMPUTED_VALUE"""),"Uncle Sams Cider (5/13/2022)")</f>
        <v>Uncle Sams Cider (5/13/2022)</v>
      </c>
      <c r="H7633" s="19"/>
    </row>
    <row r="7634">
      <c r="A7634" s="9"/>
      <c r="B7634" s="15"/>
      <c r="C7634" s="9">
        <f>IFERROR(__xludf.DUMMYFUNCTION("""COMPUTED_VALUE"""),44717.0192414004)</f>
        <v>44717.01924</v>
      </c>
      <c r="D7634" s="15">
        <f>IFERROR(__xludf.DUMMYFUNCTION("""COMPUTED_VALUE"""),1.011)</f>
        <v>1.011</v>
      </c>
      <c r="E7634" s="16">
        <f>IFERROR(__xludf.DUMMYFUNCTION("""COMPUTED_VALUE"""),67.0)</f>
        <v>67</v>
      </c>
      <c r="F7634" s="19" t="str">
        <f>IFERROR(__xludf.DUMMYFUNCTION("""COMPUTED_VALUE"""),"BLACK")</f>
        <v>BLACK</v>
      </c>
      <c r="G7634" s="20" t="str">
        <f>IFERROR(__xludf.DUMMYFUNCTION("""COMPUTED_VALUE"""),"Uncle Sams Cider (5/13/2022)")</f>
        <v>Uncle Sams Cider (5/13/2022)</v>
      </c>
      <c r="H7634" s="19"/>
    </row>
    <row r="7635">
      <c r="A7635" s="9"/>
      <c r="B7635" s="15"/>
      <c r="C7635" s="9">
        <f>IFERROR(__xludf.DUMMYFUNCTION("""COMPUTED_VALUE"""),44717.0088209259)</f>
        <v>44717.00882</v>
      </c>
      <c r="D7635" s="15">
        <f>IFERROR(__xludf.DUMMYFUNCTION("""COMPUTED_VALUE"""),1.011)</f>
        <v>1.011</v>
      </c>
      <c r="E7635" s="16">
        <f>IFERROR(__xludf.DUMMYFUNCTION("""COMPUTED_VALUE"""),67.0)</f>
        <v>67</v>
      </c>
      <c r="F7635" s="19" t="str">
        <f>IFERROR(__xludf.DUMMYFUNCTION("""COMPUTED_VALUE"""),"BLACK")</f>
        <v>BLACK</v>
      </c>
      <c r="G7635" s="20" t="str">
        <f>IFERROR(__xludf.DUMMYFUNCTION("""COMPUTED_VALUE"""),"Uncle Sams Cider (5/13/2022)")</f>
        <v>Uncle Sams Cider (5/13/2022)</v>
      </c>
      <c r="H7635" s="19"/>
    </row>
    <row r="7636">
      <c r="A7636" s="9"/>
      <c r="B7636" s="15"/>
      <c r="C7636" s="9">
        <f>IFERROR(__xludf.DUMMYFUNCTION("""COMPUTED_VALUE"""),44716.99840125)</f>
        <v>44716.9984</v>
      </c>
      <c r="D7636" s="15">
        <f>IFERROR(__xludf.DUMMYFUNCTION("""COMPUTED_VALUE"""),1.011)</f>
        <v>1.011</v>
      </c>
      <c r="E7636" s="16">
        <f>IFERROR(__xludf.DUMMYFUNCTION("""COMPUTED_VALUE"""),67.0)</f>
        <v>67</v>
      </c>
      <c r="F7636" s="19" t="str">
        <f>IFERROR(__xludf.DUMMYFUNCTION("""COMPUTED_VALUE"""),"BLACK")</f>
        <v>BLACK</v>
      </c>
      <c r="G7636" s="20" t="str">
        <f>IFERROR(__xludf.DUMMYFUNCTION("""COMPUTED_VALUE"""),"Uncle Sams Cider (5/13/2022)")</f>
        <v>Uncle Sams Cider (5/13/2022)</v>
      </c>
      <c r="H7636" s="19"/>
    </row>
    <row r="7637">
      <c r="A7637" s="9"/>
      <c r="B7637" s="15"/>
      <c r="C7637" s="9">
        <f>IFERROR(__xludf.DUMMYFUNCTION("""COMPUTED_VALUE"""),44716.9879814351)</f>
        <v>44716.98798</v>
      </c>
      <c r="D7637" s="15">
        <f>IFERROR(__xludf.DUMMYFUNCTION("""COMPUTED_VALUE"""),1.011)</f>
        <v>1.011</v>
      </c>
      <c r="E7637" s="16">
        <f>IFERROR(__xludf.DUMMYFUNCTION("""COMPUTED_VALUE"""),67.0)</f>
        <v>67</v>
      </c>
      <c r="F7637" s="19" t="str">
        <f>IFERROR(__xludf.DUMMYFUNCTION("""COMPUTED_VALUE"""),"BLACK")</f>
        <v>BLACK</v>
      </c>
      <c r="G7637" s="20" t="str">
        <f>IFERROR(__xludf.DUMMYFUNCTION("""COMPUTED_VALUE"""),"Uncle Sams Cider (5/13/2022)")</f>
        <v>Uncle Sams Cider (5/13/2022)</v>
      </c>
      <c r="H7637" s="19"/>
    </row>
    <row r="7638">
      <c r="A7638" s="9"/>
      <c r="B7638" s="15"/>
      <c r="C7638" s="9">
        <f>IFERROR(__xludf.DUMMYFUNCTION("""COMPUTED_VALUE"""),44716.9775607291)</f>
        <v>44716.97756</v>
      </c>
      <c r="D7638" s="15">
        <f>IFERROR(__xludf.DUMMYFUNCTION("""COMPUTED_VALUE"""),1.012)</f>
        <v>1.012</v>
      </c>
      <c r="E7638" s="16">
        <f>IFERROR(__xludf.DUMMYFUNCTION("""COMPUTED_VALUE"""),67.0)</f>
        <v>67</v>
      </c>
      <c r="F7638" s="19" t="str">
        <f>IFERROR(__xludf.DUMMYFUNCTION("""COMPUTED_VALUE"""),"BLACK")</f>
        <v>BLACK</v>
      </c>
      <c r="G7638" s="20" t="str">
        <f>IFERROR(__xludf.DUMMYFUNCTION("""COMPUTED_VALUE"""),"Uncle Sams Cider (5/13/2022)")</f>
        <v>Uncle Sams Cider (5/13/2022)</v>
      </c>
      <c r="H7638" s="19"/>
    </row>
    <row r="7639">
      <c r="A7639" s="9"/>
      <c r="B7639" s="15"/>
      <c r="C7639" s="9">
        <f>IFERROR(__xludf.DUMMYFUNCTION("""COMPUTED_VALUE"""),44716.9671270138)</f>
        <v>44716.96713</v>
      </c>
      <c r="D7639" s="15">
        <f>IFERROR(__xludf.DUMMYFUNCTION("""COMPUTED_VALUE"""),1.012)</f>
        <v>1.012</v>
      </c>
      <c r="E7639" s="16">
        <f>IFERROR(__xludf.DUMMYFUNCTION("""COMPUTED_VALUE"""),67.0)</f>
        <v>67</v>
      </c>
      <c r="F7639" s="19" t="str">
        <f>IFERROR(__xludf.DUMMYFUNCTION("""COMPUTED_VALUE"""),"BLACK")</f>
        <v>BLACK</v>
      </c>
      <c r="G7639" s="20" t="str">
        <f>IFERROR(__xludf.DUMMYFUNCTION("""COMPUTED_VALUE"""),"Uncle Sams Cider (5/13/2022)")</f>
        <v>Uncle Sams Cider (5/13/2022)</v>
      </c>
      <c r="H7639" s="19"/>
    </row>
    <row r="7640">
      <c r="A7640" s="9"/>
      <c r="B7640" s="15"/>
      <c r="C7640" s="9">
        <f>IFERROR(__xludf.DUMMYFUNCTION("""COMPUTED_VALUE"""),44716.9566947453)</f>
        <v>44716.95669</v>
      </c>
      <c r="D7640" s="15">
        <f>IFERROR(__xludf.DUMMYFUNCTION("""COMPUTED_VALUE"""),1.012)</f>
        <v>1.012</v>
      </c>
      <c r="E7640" s="16">
        <f>IFERROR(__xludf.DUMMYFUNCTION("""COMPUTED_VALUE"""),67.0)</f>
        <v>67</v>
      </c>
      <c r="F7640" s="19" t="str">
        <f>IFERROR(__xludf.DUMMYFUNCTION("""COMPUTED_VALUE"""),"BLACK")</f>
        <v>BLACK</v>
      </c>
      <c r="G7640" s="20" t="str">
        <f>IFERROR(__xludf.DUMMYFUNCTION("""COMPUTED_VALUE"""),"Uncle Sams Cider (5/13/2022)")</f>
        <v>Uncle Sams Cider (5/13/2022)</v>
      </c>
      <c r="H7640" s="19"/>
    </row>
    <row r="7641">
      <c r="A7641" s="9"/>
      <c r="B7641" s="15"/>
      <c r="C7641" s="9">
        <f>IFERROR(__xludf.DUMMYFUNCTION("""COMPUTED_VALUE"""),44716.946272581)</f>
        <v>44716.94627</v>
      </c>
      <c r="D7641" s="15">
        <f>IFERROR(__xludf.DUMMYFUNCTION("""COMPUTED_VALUE"""),1.011)</f>
        <v>1.011</v>
      </c>
      <c r="E7641" s="16">
        <f>IFERROR(__xludf.DUMMYFUNCTION("""COMPUTED_VALUE"""),67.0)</f>
        <v>67</v>
      </c>
      <c r="F7641" s="19" t="str">
        <f>IFERROR(__xludf.DUMMYFUNCTION("""COMPUTED_VALUE"""),"BLACK")</f>
        <v>BLACK</v>
      </c>
      <c r="G7641" s="20" t="str">
        <f>IFERROR(__xludf.DUMMYFUNCTION("""COMPUTED_VALUE"""),"Uncle Sams Cider (5/13/2022)")</f>
        <v>Uncle Sams Cider (5/13/2022)</v>
      </c>
      <c r="H7641" s="19"/>
    </row>
    <row r="7642">
      <c r="A7642" s="9"/>
      <c r="B7642" s="15"/>
      <c r="C7642" s="9">
        <f>IFERROR(__xludf.DUMMYFUNCTION("""COMPUTED_VALUE"""),44716.9358520949)</f>
        <v>44716.93585</v>
      </c>
      <c r="D7642" s="15">
        <f>IFERROR(__xludf.DUMMYFUNCTION("""COMPUTED_VALUE"""),1.012)</f>
        <v>1.012</v>
      </c>
      <c r="E7642" s="16">
        <f>IFERROR(__xludf.DUMMYFUNCTION("""COMPUTED_VALUE"""),67.0)</f>
        <v>67</v>
      </c>
      <c r="F7642" s="19" t="str">
        <f>IFERROR(__xludf.DUMMYFUNCTION("""COMPUTED_VALUE"""),"BLACK")</f>
        <v>BLACK</v>
      </c>
      <c r="G7642" s="20" t="str">
        <f>IFERROR(__xludf.DUMMYFUNCTION("""COMPUTED_VALUE"""),"Uncle Sams Cider (5/13/2022)")</f>
        <v>Uncle Sams Cider (5/13/2022)</v>
      </c>
      <c r="H7642" s="19"/>
    </row>
    <row r="7643">
      <c r="A7643" s="9"/>
      <c r="B7643" s="15"/>
      <c r="C7643" s="9">
        <f>IFERROR(__xludf.DUMMYFUNCTION("""COMPUTED_VALUE"""),44716.9254323611)</f>
        <v>44716.92543</v>
      </c>
      <c r="D7643" s="15">
        <f>IFERROR(__xludf.DUMMYFUNCTION("""COMPUTED_VALUE"""),1.012)</f>
        <v>1.012</v>
      </c>
      <c r="E7643" s="16">
        <f>IFERROR(__xludf.DUMMYFUNCTION("""COMPUTED_VALUE"""),67.0)</f>
        <v>67</v>
      </c>
      <c r="F7643" s="19" t="str">
        <f>IFERROR(__xludf.DUMMYFUNCTION("""COMPUTED_VALUE"""),"BLACK")</f>
        <v>BLACK</v>
      </c>
      <c r="G7643" s="20" t="str">
        <f>IFERROR(__xludf.DUMMYFUNCTION("""COMPUTED_VALUE"""),"Uncle Sams Cider (5/13/2022)")</f>
        <v>Uncle Sams Cider (5/13/2022)</v>
      </c>
      <c r="H7643" s="19"/>
    </row>
    <row r="7644">
      <c r="A7644" s="9"/>
      <c r="B7644" s="15"/>
      <c r="C7644" s="9">
        <f>IFERROR(__xludf.DUMMYFUNCTION("""COMPUTED_VALUE"""),44716.9150120833)</f>
        <v>44716.91501</v>
      </c>
      <c r="D7644" s="15">
        <f>IFERROR(__xludf.DUMMYFUNCTION("""COMPUTED_VALUE"""),1.012)</f>
        <v>1.012</v>
      </c>
      <c r="E7644" s="16">
        <f>IFERROR(__xludf.DUMMYFUNCTION("""COMPUTED_VALUE"""),67.0)</f>
        <v>67</v>
      </c>
      <c r="F7644" s="19" t="str">
        <f>IFERROR(__xludf.DUMMYFUNCTION("""COMPUTED_VALUE"""),"BLACK")</f>
        <v>BLACK</v>
      </c>
      <c r="G7644" s="20" t="str">
        <f>IFERROR(__xludf.DUMMYFUNCTION("""COMPUTED_VALUE"""),"Uncle Sams Cider (5/13/2022)")</f>
        <v>Uncle Sams Cider (5/13/2022)</v>
      </c>
      <c r="H7644" s="19"/>
    </row>
    <row r="7645">
      <c r="A7645" s="9"/>
      <c r="B7645" s="15"/>
      <c r="C7645" s="9">
        <f>IFERROR(__xludf.DUMMYFUNCTION("""COMPUTED_VALUE"""),44716.9045924189)</f>
        <v>44716.90459</v>
      </c>
      <c r="D7645" s="15">
        <f>IFERROR(__xludf.DUMMYFUNCTION("""COMPUTED_VALUE"""),1.012)</f>
        <v>1.012</v>
      </c>
      <c r="E7645" s="16">
        <f>IFERROR(__xludf.DUMMYFUNCTION("""COMPUTED_VALUE"""),67.0)</f>
        <v>67</v>
      </c>
      <c r="F7645" s="19" t="str">
        <f>IFERROR(__xludf.DUMMYFUNCTION("""COMPUTED_VALUE"""),"BLACK")</f>
        <v>BLACK</v>
      </c>
      <c r="G7645" s="20" t="str">
        <f>IFERROR(__xludf.DUMMYFUNCTION("""COMPUTED_VALUE"""),"Uncle Sams Cider (5/13/2022)")</f>
        <v>Uncle Sams Cider (5/13/2022)</v>
      </c>
      <c r="H7645" s="19"/>
    </row>
    <row r="7646">
      <c r="A7646" s="9"/>
      <c r="B7646" s="15"/>
      <c r="C7646" s="9">
        <f>IFERROR(__xludf.DUMMYFUNCTION("""COMPUTED_VALUE"""),44716.8941720833)</f>
        <v>44716.89417</v>
      </c>
      <c r="D7646" s="15">
        <f>IFERROR(__xludf.DUMMYFUNCTION("""COMPUTED_VALUE"""),1.011)</f>
        <v>1.011</v>
      </c>
      <c r="E7646" s="16">
        <f>IFERROR(__xludf.DUMMYFUNCTION("""COMPUTED_VALUE"""),67.0)</f>
        <v>67</v>
      </c>
      <c r="F7646" s="19" t="str">
        <f>IFERROR(__xludf.DUMMYFUNCTION("""COMPUTED_VALUE"""),"BLACK")</f>
        <v>BLACK</v>
      </c>
      <c r="G7646" s="20" t="str">
        <f>IFERROR(__xludf.DUMMYFUNCTION("""COMPUTED_VALUE"""),"Uncle Sams Cider (5/13/2022)")</f>
        <v>Uncle Sams Cider (5/13/2022)</v>
      </c>
      <c r="H7646" s="19"/>
    </row>
    <row r="7647">
      <c r="A7647" s="9"/>
      <c r="B7647" s="15"/>
      <c r="C7647" s="9">
        <f>IFERROR(__xludf.DUMMYFUNCTION("""COMPUTED_VALUE"""),44716.883751331)</f>
        <v>44716.88375</v>
      </c>
      <c r="D7647" s="15">
        <f>IFERROR(__xludf.DUMMYFUNCTION("""COMPUTED_VALUE"""),1.011)</f>
        <v>1.011</v>
      </c>
      <c r="E7647" s="16">
        <f>IFERROR(__xludf.DUMMYFUNCTION("""COMPUTED_VALUE"""),67.0)</f>
        <v>67</v>
      </c>
      <c r="F7647" s="19" t="str">
        <f>IFERROR(__xludf.DUMMYFUNCTION("""COMPUTED_VALUE"""),"BLACK")</f>
        <v>BLACK</v>
      </c>
      <c r="G7647" s="20" t="str">
        <f>IFERROR(__xludf.DUMMYFUNCTION("""COMPUTED_VALUE"""),"Uncle Sams Cider (5/13/2022)")</f>
        <v>Uncle Sams Cider (5/13/2022)</v>
      </c>
      <c r="H7647" s="19"/>
    </row>
    <row r="7648">
      <c r="A7648" s="9"/>
      <c r="B7648" s="15"/>
      <c r="C7648" s="9">
        <f>IFERROR(__xludf.DUMMYFUNCTION("""COMPUTED_VALUE"""),44716.8733306134)</f>
        <v>44716.87333</v>
      </c>
      <c r="D7648" s="15">
        <f>IFERROR(__xludf.DUMMYFUNCTION("""COMPUTED_VALUE"""),1.012)</f>
        <v>1.012</v>
      </c>
      <c r="E7648" s="16">
        <f>IFERROR(__xludf.DUMMYFUNCTION("""COMPUTED_VALUE"""),66.0)</f>
        <v>66</v>
      </c>
      <c r="F7648" s="19" t="str">
        <f>IFERROR(__xludf.DUMMYFUNCTION("""COMPUTED_VALUE"""),"BLACK")</f>
        <v>BLACK</v>
      </c>
      <c r="G7648" s="20" t="str">
        <f>IFERROR(__xludf.DUMMYFUNCTION("""COMPUTED_VALUE"""),"Uncle Sams Cider (5/13/2022)")</f>
        <v>Uncle Sams Cider (5/13/2022)</v>
      </c>
      <c r="H7648" s="19"/>
    </row>
    <row r="7649">
      <c r="A7649" s="9"/>
      <c r="B7649" s="15"/>
      <c r="C7649" s="9">
        <f>IFERROR(__xludf.DUMMYFUNCTION("""COMPUTED_VALUE"""),44716.8629087963)</f>
        <v>44716.86291</v>
      </c>
      <c r="D7649" s="15">
        <f>IFERROR(__xludf.DUMMYFUNCTION("""COMPUTED_VALUE"""),1.012)</f>
        <v>1.012</v>
      </c>
      <c r="E7649" s="16">
        <f>IFERROR(__xludf.DUMMYFUNCTION("""COMPUTED_VALUE"""),66.0)</f>
        <v>66</v>
      </c>
      <c r="F7649" s="19" t="str">
        <f>IFERROR(__xludf.DUMMYFUNCTION("""COMPUTED_VALUE"""),"BLACK")</f>
        <v>BLACK</v>
      </c>
      <c r="G7649" s="20" t="str">
        <f>IFERROR(__xludf.DUMMYFUNCTION("""COMPUTED_VALUE"""),"Uncle Sams Cider (5/13/2022)")</f>
        <v>Uncle Sams Cider (5/13/2022)</v>
      </c>
      <c r="H7649" s="19"/>
    </row>
    <row r="7650">
      <c r="A7650" s="9"/>
      <c r="B7650" s="15"/>
      <c r="C7650" s="9">
        <f>IFERROR(__xludf.DUMMYFUNCTION("""COMPUTED_VALUE"""),44716.8524756712)</f>
        <v>44716.85248</v>
      </c>
      <c r="D7650" s="15">
        <f>IFERROR(__xludf.DUMMYFUNCTION("""COMPUTED_VALUE"""),1.012)</f>
        <v>1.012</v>
      </c>
      <c r="E7650" s="16">
        <f>IFERROR(__xludf.DUMMYFUNCTION("""COMPUTED_VALUE"""),66.0)</f>
        <v>66</v>
      </c>
      <c r="F7650" s="19" t="str">
        <f>IFERROR(__xludf.DUMMYFUNCTION("""COMPUTED_VALUE"""),"BLACK")</f>
        <v>BLACK</v>
      </c>
      <c r="G7650" s="20" t="str">
        <f>IFERROR(__xludf.DUMMYFUNCTION("""COMPUTED_VALUE"""),"Uncle Sams Cider (5/13/2022)")</f>
        <v>Uncle Sams Cider (5/13/2022)</v>
      </c>
      <c r="H7650" s="19"/>
    </row>
    <row r="7651">
      <c r="A7651" s="9"/>
      <c r="B7651" s="15"/>
      <c r="C7651" s="9">
        <f>IFERROR(__xludf.DUMMYFUNCTION("""COMPUTED_VALUE"""),44716.8420560995)</f>
        <v>44716.84206</v>
      </c>
      <c r="D7651" s="15">
        <f>IFERROR(__xludf.DUMMYFUNCTION("""COMPUTED_VALUE"""),1.012)</f>
        <v>1.012</v>
      </c>
      <c r="E7651" s="16">
        <f>IFERROR(__xludf.DUMMYFUNCTION("""COMPUTED_VALUE"""),66.0)</f>
        <v>66</v>
      </c>
      <c r="F7651" s="19" t="str">
        <f>IFERROR(__xludf.DUMMYFUNCTION("""COMPUTED_VALUE"""),"BLACK")</f>
        <v>BLACK</v>
      </c>
      <c r="G7651" s="20" t="str">
        <f>IFERROR(__xludf.DUMMYFUNCTION("""COMPUTED_VALUE"""),"Uncle Sams Cider (5/13/2022)")</f>
        <v>Uncle Sams Cider (5/13/2022)</v>
      </c>
      <c r="H7651" s="19"/>
    </row>
    <row r="7652">
      <c r="A7652" s="9"/>
      <c r="B7652" s="15"/>
      <c r="C7652" s="9">
        <f>IFERROR(__xludf.DUMMYFUNCTION("""COMPUTED_VALUE"""),44716.8316334953)</f>
        <v>44716.83163</v>
      </c>
      <c r="D7652" s="15">
        <f>IFERROR(__xludf.DUMMYFUNCTION("""COMPUTED_VALUE"""),1.012)</f>
        <v>1.012</v>
      </c>
      <c r="E7652" s="16">
        <f>IFERROR(__xludf.DUMMYFUNCTION("""COMPUTED_VALUE"""),66.0)</f>
        <v>66</v>
      </c>
      <c r="F7652" s="19" t="str">
        <f>IFERROR(__xludf.DUMMYFUNCTION("""COMPUTED_VALUE"""),"BLACK")</f>
        <v>BLACK</v>
      </c>
      <c r="G7652" s="20" t="str">
        <f>IFERROR(__xludf.DUMMYFUNCTION("""COMPUTED_VALUE"""),"Uncle Sams Cider (5/13/2022)")</f>
        <v>Uncle Sams Cider (5/13/2022)</v>
      </c>
      <c r="H7652" s="19"/>
    </row>
    <row r="7653">
      <c r="A7653" s="9"/>
      <c r="B7653" s="15"/>
      <c r="C7653" s="9">
        <f>IFERROR(__xludf.DUMMYFUNCTION("""COMPUTED_VALUE"""),44716.8212136574)</f>
        <v>44716.82121</v>
      </c>
      <c r="D7653" s="15">
        <f>IFERROR(__xludf.DUMMYFUNCTION("""COMPUTED_VALUE"""),1.012)</f>
        <v>1.012</v>
      </c>
      <c r="E7653" s="16">
        <f>IFERROR(__xludf.DUMMYFUNCTION("""COMPUTED_VALUE"""),66.0)</f>
        <v>66</v>
      </c>
      <c r="F7653" s="19" t="str">
        <f>IFERROR(__xludf.DUMMYFUNCTION("""COMPUTED_VALUE"""),"BLACK")</f>
        <v>BLACK</v>
      </c>
      <c r="G7653" s="20" t="str">
        <f>IFERROR(__xludf.DUMMYFUNCTION("""COMPUTED_VALUE"""),"Uncle Sams Cider (5/13/2022)")</f>
        <v>Uncle Sams Cider (5/13/2022)</v>
      </c>
      <c r="H7653" s="19"/>
    </row>
    <row r="7654">
      <c r="A7654" s="9"/>
      <c r="B7654" s="15"/>
      <c r="C7654" s="9">
        <f>IFERROR(__xludf.DUMMYFUNCTION("""COMPUTED_VALUE"""),44716.8107916898)</f>
        <v>44716.81079</v>
      </c>
      <c r="D7654" s="15">
        <f>IFERROR(__xludf.DUMMYFUNCTION("""COMPUTED_VALUE"""),1.012)</f>
        <v>1.012</v>
      </c>
      <c r="E7654" s="16">
        <f>IFERROR(__xludf.DUMMYFUNCTION("""COMPUTED_VALUE"""),66.0)</f>
        <v>66</v>
      </c>
      <c r="F7654" s="19" t="str">
        <f>IFERROR(__xludf.DUMMYFUNCTION("""COMPUTED_VALUE"""),"BLACK")</f>
        <v>BLACK</v>
      </c>
      <c r="G7654" s="20" t="str">
        <f>IFERROR(__xludf.DUMMYFUNCTION("""COMPUTED_VALUE"""),"Uncle Sams Cider (5/13/2022)")</f>
        <v>Uncle Sams Cider (5/13/2022)</v>
      </c>
      <c r="H7654" s="19"/>
    </row>
    <row r="7655">
      <c r="A7655" s="9"/>
      <c r="B7655" s="15"/>
      <c r="C7655" s="9">
        <f>IFERROR(__xludf.DUMMYFUNCTION("""COMPUTED_VALUE"""),44716.8003708217)</f>
        <v>44716.80037</v>
      </c>
      <c r="D7655" s="15">
        <f>IFERROR(__xludf.DUMMYFUNCTION("""COMPUTED_VALUE"""),1.012)</f>
        <v>1.012</v>
      </c>
      <c r="E7655" s="16">
        <f>IFERROR(__xludf.DUMMYFUNCTION("""COMPUTED_VALUE"""),66.0)</f>
        <v>66</v>
      </c>
      <c r="F7655" s="19" t="str">
        <f>IFERROR(__xludf.DUMMYFUNCTION("""COMPUTED_VALUE"""),"BLACK")</f>
        <v>BLACK</v>
      </c>
      <c r="G7655" s="20" t="str">
        <f>IFERROR(__xludf.DUMMYFUNCTION("""COMPUTED_VALUE"""),"Uncle Sams Cider (5/13/2022)")</f>
        <v>Uncle Sams Cider (5/13/2022)</v>
      </c>
      <c r="H7655" s="19"/>
    </row>
    <row r="7656">
      <c r="A7656" s="9"/>
      <c r="B7656" s="15"/>
      <c r="C7656" s="9">
        <f>IFERROR(__xludf.DUMMYFUNCTION("""COMPUTED_VALUE"""),44716.789949375)</f>
        <v>44716.78995</v>
      </c>
      <c r="D7656" s="15">
        <f>IFERROR(__xludf.DUMMYFUNCTION("""COMPUTED_VALUE"""),1.012)</f>
        <v>1.012</v>
      </c>
      <c r="E7656" s="16">
        <f>IFERROR(__xludf.DUMMYFUNCTION("""COMPUTED_VALUE"""),66.0)</f>
        <v>66</v>
      </c>
      <c r="F7656" s="19" t="str">
        <f>IFERROR(__xludf.DUMMYFUNCTION("""COMPUTED_VALUE"""),"BLACK")</f>
        <v>BLACK</v>
      </c>
      <c r="G7656" s="20" t="str">
        <f>IFERROR(__xludf.DUMMYFUNCTION("""COMPUTED_VALUE"""),"Uncle Sams Cider (5/13/2022)")</f>
        <v>Uncle Sams Cider (5/13/2022)</v>
      </c>
      <c r="H7656" s="19"/>
    </row>
    <row r="7657">
      <c r="A7657" s="9"/>
      <c r="B7657" s="15"/>
      <c r="C7657" s="9">
        <f>IFERROR(__xludf.DUMMYFUNCTION("""COMPUTED_VALUE"""),44716.7795044213)</f>
        <v>44716.7795</v>
      </c>
      <c r="D7657" s="15">
        <f>IFERROR(__xludf.DUMMYFUNCTION("""COMPUTED_VALUE"""),1.012)</f>
        <v>1.012</v>
      </c>
      <c r="E7657" s="16">
        <f>IFERROR(__xludf.DUMMYFUNCTION("""COMPUTED_VALUE"""),66.0)</f>
        <v>66</v>
      </c>
      <c r="F7657" s="19" t="str">
        <f>IFERROR(__xludf.DUMMYFUNCTION("""COMPUTED_VALUE"""),"BLACK")</f>
        <v>BLACK</v>
      </c>
      <c r="G7657" s="20" t="str">
        <f>IFERROR(__xludf.DUMMYFUNCTION("""COMPUTED_VALUE"""),"Uncle Sams Cider (5/13/2022)")</f>
        <v>Uncle Sams Cider (5/13/2022)</v>
      </c>
      <c r="H7657" s="19"/>
    </row>
    <row r="7658">
      <c r="A7658" s="9"/>
      <c r="B7658" s="15"/>
      <c r="C7658" s="9">
        <f>IFERROR(__xludf.DUMMYFUNCTION("""COMPUTED_VALUE"""),44716.7690830671)</f>
        <v>44716.76908</v>
      </c>
      <c r="D7658" s="15">
        <f>IFERROR(__xludf.DUMMYFUNCTION("""COMPUTED_VALUE"""),1.012)</f>
        <v>1.012</v>
      </c>
      <c r="E7658" s="16">
        <f>IFERROR(__xludf.DUMMYFUNCTION("""COMPUTED_VALUE"""),66.0)</f>
        <v>66</v>
      </c>
      <c r="F7658" s="19" t="str">
        <f>IFERROR(__xludf.DUMMYFUNCTION("""COMPUTED_VALUE"""),"BLACK")</f>
        <v>BLACK</v>
      </c>
      <c r="G7658" s="20" t="str">
        <f>IFERROR(__xludf.DUMMYFUNCTION("""COMPUTED_VALUE"""),"Uncle Sams Cider (5/13/2022)")</f>
        <v>Uncle Sams Cider (5/13/2022)</v>
      </c>
      <c r="H7658" s="19"/>
    </row>
    <row r="7659">
      <c r="A7659" s="9"/>
      <c r="B7659" s="15"/>
      <c r="C7659" s="9">
        <f>IFERROR(__xludf.DUMMYFUNCTION("""COMPUTED_VALUE"""),44716.7586611805)</f>
        <v>44716.75866</v>
      </c>
      <c r="D7659" s="15">
        <f>IFERROR(__xludf.DUMMYFUNCTION("""COMPUTED_VALUE"""),1.012)</f>
        <v>1.012</v>
      </c>
      <c r="E7659" s="16">
        <f>IFERROR(__xludf.DUMMYFUNCTION("""COMPUTED_VALUE"""),66.0)</f>
        <v>66</v>
      </c>
      <c r="F7659" s="19" t="str">
        <f>IFERROR(__xludf.DUMMYFUNCTION("""COMPUTED_VALUE"""),"BLACK")</f>
        <v>BLACK</v>
      </c>
      <c r="G7659" s="20" t="str">
        <f>IFERROR(__xludf.DUMMYFUNCTION("""COMPUTED_VALUE"""),"Uncle Sams Cider (5/13/2022)")</f>
        <v>Uncle Sams Cider (5/13/2022)</v>
      </c>
      <c r="H7659" s="19"/>
    </row>
    <row r="7660">
      <c r="A7660" s="9"/>
      <c r="B7660" s="15"/>
      <c r="C7660" s="9">
        <f>IFERROR(__xludf.DUMMYFUNCTION("""COMPUTED_VALUE"""),44716.7482404398)</f>
        <v>44716.74824</v>
      </c>
      <c r="D7660" s="15">
        <f>IFERROR(__xludf.DUMMYFUNCTION("""COMPUTED_VALUE"""),1.012)</f>
        <v>1.012</v>
      </c>
      <c r="E7660" s="16">
        <f>IFERROR(__xludf.DUMMYFUNCTION("""COMPUTED_VALUE"""),66.0)</f>
        <v>66</v>
      </c>
      <c r="F7660" s="19" t="str">
        <f>IFERROR(__xludf.DUMMYFUNCTION("""COMPUTED_VALUE"""),"BLACK")</f>
        <v>BLACK</v>
      </c>
      <c r="G7660" s="20" t="str">
        <f>IFERROR(__xludf.DUMMYFUNCTION("""COMPUTED_VALUE"""),"Uncle Sams Cider (5/13/2022)")</f>
        <v>Uncle Sams Cider (5/13/2022)</v>
      </c>
      <c r="H7660" s="19"/>
    </row>
    <row r="7661">
      <c r="A7661" s="9"/>
      <c r="B7661" s="15"/>
      <c r="C7661" s="9">
        <f>IFERROR(__xludf.DUMMYFUNCTION("""COMPUTED_VALUE"""),44716.7378073263)</f>
        <v>44716.73781</v>
      </c>
      <c r="D7661" s="15">
        <f>IFERROR(__xludf.DUMMYFUNCTION("""COMPUTED_VALUE"""),1.012)</f>
        <v>1.012</v>
      </c>
      <c r="E7661" s="16">
        <f>IFERROR(__xludf.DUMMYFUNCTION("""COMPUTED_VALUE"""),66.0)</f>
        <v>66</v>
      </c>
      <c r="F7661" s="19" t="str">
        <f>IFERROR(__xludf.DUMMYFUNCTION("""COMPUTED_VALUE"""),"BLACK")</f>
        <v>BLACK</v>
      </c>
      <c r="G7661" s="20" t="str">
        <f>IFERROR(__xludf.DUMMYFUNCTION("""COMPUTED_VALUE"""),"Uncle Sams Cider (5/13/2022)")</f>
        <v>Uncle Sams Cider (5/13/2022)</v>
      </c>
      <c r="H7661" s="19"/>
    </row>
    <row r="7662">
      <c r="A7662" s="9"/>
      <c r="B7662" s="15"/>
      <c r="C7662" s="9">
        <f>IFERROR(__xludf.DUMMYFUNCTION("""COMPUTED_VALUE"""),44716.727385405)</f>
        <v>44716.72739</v>
      </c>
      <c r="D7662" s="15">
        <f>IFERROR(__xludf.DUMMYFUNCTION("""COMPUTED_VALUE"""),1.012)</f>
        <v>1.012</v>
      </c>
      <c r="E7662" s="16">
        <f>IFERROR(__xludf.DUMMYFUNCTION("""COMPUTED_VALUE"""),66.0)</f>
        <v>66</v>
      </c>
      <c r="F7662" s="19" t="str">
        <f>IFERROR(__xludf.DUMMYFUNCTION("""COMPUTED_VALUE"""),"BLACK")</f>
        <v>BLACK</v>
      </c>
      <c r="G7662" s="20" t="str">
        <f>IFERROR(__xludf.DUMMYFUNCTION("""COMPUTED_VALUE"""),"Uncle Sams Cider (5/13/2022)")</f>
        <v>Uncle Sams Cider (5/13/2022)</v>
      </c>
      <c r="H7662" s="19"/>
    </row>
    <row r="7663">
      <c r="A7663" s="9"/>
      <c r="B7663" s="15"/>
      <c r="C7663" s="9">
        <f>IFERROR(__xludf.DUMMYFUNCTION("""COMPUTED_VALUE"""),44716.716967581)</f>
        <v>44716.71697</v>
      </c>
      <c r="D7663" s="15">
        <f>IFERROR(__xludf.DUMMYFUNCTION("""COMPUTED_VALUE"""),1.012)</f>
        <v>1.012</v>
      </c>
      <c r="E7663" s="16">
        <f>IFERROR(__xludf.DUMMYFUNCTION("""COMPUTED_VALUE"""),66.0)</f>
        <v>66</v>
      </c>
      <c r="F7663" s="19" t="str">
        <f>IFERROR(__xludf.DUMMYFUNCTION("""COMPUTED_VALUE"""),"BLACK")</f>
        <v>BLACK</v>
      </c>
      <c r="G7663" s="20" t="str">
        <f>IFERROR(__xludf.DUMMYFUNCTION("""COMPUTED_VALUE"""),"Uncle Sams Cider (5/13/2022)")</f>
        <v>Uncle Sams Cider (5/13/2022)</v>
      </c>
      <c r="H7663" s="19"/>
    </row>
    <row r="7664">
      <c r="A7664" s="9"/>
      <c r="B7664" s="15"/>
      <c r="C7664" s="9">
        <f>IFERROR(__xludf.DUMMYFUNCTION("""COMPUTED_VALUE"""),44716.7065461574)</f>
        <v>44716.70655</v>
      </c>
      <c r="D7664" s="15">
        <f>IFERROR(__xludf.DUMMYFUNCTION("""COMPUTED_VALUE"""),1.012)</f>
        <v>1.012</v>
      </c>
      <c r="E7664" s="16">
        <f>IFERROR(__xludf.DUMMYFUNCTION("""COMPUTED_VALUE"""),66.0)</f>
        <v>66</v>
      </c>
      <c r="F7664" s="19" t="str">
        <f>IFERROR(__xludf.DUMMYFUNCTION("""COMPUTED_VALUE"""),"BLACK")</f>
        <v>BLACK</v>
      </c>
      <c r="G7664" s="20" t="str">
        <f>IFERROR(__xludf.DUMMYFUNCTION("""COMPUTED_VALUE"""),"Uncle Sams Cider (5/13/2022)")</f>
        <v>Uncle Sams Cider (5/13/2022)</v>
      </c>
      <c r="H7664" s="19"/>
    </row>
    <row r="7665">
      <c r="A7665" s="9"/>
      <c r="B7665" s="15"/>
      <c r="C7665" s="9">
        <f>IFERROR(__xludf.DUMMYFUNCTION("""COMPUTED_VALUE"""),44716.6961260763)</f>
        <v>44716.69613</v>
      </c>
      <c r="D7665" s="15">
        <f>IFERROR(__xludf.DUMMYFUNCTION("""COMPUTED_VALUE"""),1.012)</f>
        <v>1.012</v>
      </c>
      <c r="E7665" s="16">
        <f>IFERROR(__xludf.DUMMYFUNCTION("""COMPUTED_VALUE"""),66.0)</f>
        <v>66</v>
      </c>
      <c r="F7665" s="19" t="str">
        <f>IFERROR(__xludf.DUMMYFUNCTION("""COMPUTED_VALUE"""),"BLACK")</f>
        <v>BLACK</v>
      </c>
      <c r="G7665" s="20" t="str">
        <f>IFERROR(__xludf.DUMMYFUNCTION("""COMPUTED_VALUE"""),"Uncle Sams Cider (5/13/2022)")</f>
        <v>Uncle Sams Cider (5/13/2022)</v>
      </c>
      <c r="H7665" s="19"/>
    </row>
    <row r="7666">
      <c r="A7666" s="9"/>
      <c r="B7666" s="15"/>
      <c r="C7666" s="9">
        <f>IFERROR(__xludf.DUMMYFUNCTION("""COMPUTED_VALUE"""),44716.6857035995)</f>
        <v>44716.6857</v>
      </c>
      <c r="D7666" s="15">
        <f>IFERROR(__xludf.DUMMYFUNCTION("""COMPUTED_VALUE"""),1.012)</f>
        <v>1.012</v>
      </c>
      <c r="E7666" s="16">
        <f>IFERROR(__xludf.DUMMYFUNCTION("""COMPUTED_VALUE"""),66.0)</f>
        <v>66</v>
      </c>
      <c r="F7666" s="19" t="str">
        <f>IFERROR(__xludf.DUMMYFUNCTION("""COMPUTED_VALUE"""),"BLACK")</f>
        <v>BLACK</v>
      </c>
      <c r="G7666" s="20" t="str">
        <f>IFERROR(__xludf.DUMMYFUNCTION("""COMPUTED_VALUE"""),"Uncle Sams Cider (5/13/2022)")</f>
        <v>Uncle Sams Cider (5/13/2022)</v>
      </c>
      <c r="H7666" s="19"/>
    </row>
    <row r="7667">
      <c r="A7667" s="9"/>
      <c r="B7667" s="15"/>
      <c r="C7667" s="9">
        <f>IFERROR(__xludf.DUMMYFUNCTION("""COMPUTED_VALUE"""),44716.6752598263)</f>
        <v>44716.67526</v>
      </c>
      <c r="D7667" s="15">
        <f>IFERROR(__xludf.DUMMYFUNCTION("""COMPUTED_VALUE"""),1.012)</f>
        <v>1.012</v>
      </c>
      <c r="E7667" s="16">
        <f>IFERROR(__xludf.DUMMYFUNCTION("""COMPUTED_VALUE"""),66.0)</f>
        <v>66</v>
      </c>
      <c r="F7667" s="19" t="str">
        <f>IFERROR(__xludf.DUMMYFUNCTION("""COMPUTED_VALUE"""),"BLACK")</f>
        <v>BLACK</v>
      </c>
      <c r="G7667" s="20" t="str">
        <f>IFERROR(__xludf.DUMMYFUNCTION("""COMPUTED_VALUE"""),"Uncle Sams Cider (5/13/2022)")</f>
        <v>Uncle Sams Cider (5/13/2022)</v>
      </c>
      <c r="H7667" s="19"/>
    </row>
    <row r="7668">
      <c r="A7668" s="9"/>
      <c r="B7668" s="15"/>
      <c r="C7668" s="9">
        <f>IFERROR(__xludf.DUMMYFUNCTION("""COMPUTED_VALUE"""),44716.6648376967)</f>
        <v>44716.66484</v>
      </c>
      <c r="D7668" s="15">
        <f>IFERROR(__xludf.DUMMYFUNCTION("""COMPUTED_VALUE"""),1.012)</f>
        <v>1.012</v>
      </c>
      <c r="E7668" s="16">
        <f>IFERROR(__xludf.DUMMYFUNCTION("""COMPUTED_VALUE"""),66.0)</f>
        <v>66</v>
      </c>
      <c r="F7668" s="19" t="str">
        <f>IFERROR(__xludf.DUMMYFUNCTION("""COMPUTED_VALUE"""),"BLACK")</f>
        <v>BLACK</v>
      </c>
      <c r="G7668" s="20" t="str">
        <f>IFERROR(__xludf.DUMMYFUNCTION("""COMPUTED_VALUE"""),"Uncle Sams Cider (5/13/2022)")</f>
        <v>Uncle Sams Cider (5/13/2022)</v>
      </c>
      <c r="H7668" s="19"/>
    </row>
    <row r="7669">
      <c r="A7669" s="9"/>
      <c r="B7669" s="15"/>
      <c r="C7669" s="9">
        <f>IFERROR(__xludf.DUMMYFUNCTION("""COMPUTED_VALUE"""),44716.6543936342)</f>
        <v>44716.65439</v>
      </c>
      <c r="D7669" s="15">
        <f>IFERROR(__xludf.DUMMYFUNCTION("""COMPUTED_VALUE"""),1.012)</f>
        <v>1.012</v>
      </c>
      <c r="E7669" s="16">
        <f>IFERROR(__xludf.DUMMYFUNCTION("""COMPUTED_VALUE"""),66.0)</f>
        <v>66</v>
      </c>
      <c r="F7669" s="19" t="str">
        <f>IFERROR(__xludf.DUMMYFUNCTION("""COMPUTED_VALUE"""),"BLACK")</f>
        <v>BLACK</v>
      </c>
      <c r="G7669" s="20" t="str">
        <f>IFERROR(__xludf.DUMMYFUNCTION("""COMPUTED_VALUE"""),"Uncle Sams Cider (5/13/2022)")</f>
        <v>Uncle Sams Cider (5/13/2022)</v>
      </c>
      <c r="H7669" s="19"/>
    </row>
    <row r="7670">
      <c r="A7670" s="9"/>
      <c r="B7670" s="15"/>
      <c r="C7670" s="9">
        <f>IFERROR(__xludf.DUMMYFUNCTION("""COMPUTED_VALUE"""),44716.643961412)</f>
        <v>44716.64396</v>
      </c>
      <c r="D7670" s="15">
        <f>IFERROR(__xludf.DUMMYFUNCTION("""COMPUTED_VALUE"""),1.012)</f>
        <v>1.012</v>
      </c>
      <c r="E7670" s="16">
        <f>IFERROR(__xludf.DUMMYFUNCTION("""COMPUTED_VALUE"""),66.0)</f>
        <v>66</v>
      </c>
      <c r="F7670" s="19" t="str">
        <f>IFERROR(__xludf.DUMMYFUNCTION("""COMPUTED_VALUE"""),"BLACK")</f>
        <v>BLACK</v>
      </c>
      <c r="G7670" s="20" t="str">
        <f>IFERROR(__xludf.DUMMYFUNCTION("""COMPUTED_VALUE"""),"Uncle Sams Cider (5/13/2022)")</f>
        <v>Uncle Sams Cider (5/13/2022)</v>
      </c>
      <c r="H7670" s="19"/>
    </row>
    <row r="7671">
      <c r="A7671" s="9"/>
      <c r="B7671" s="15"/>
      <c r="C7671" s="9">
        <f>IFERROR(__xludf.DUMMYFUNCTION("""COMPUTED_VALUE"""),44716.6335392708)</f>
        <v>44716.63354</v>
      </c>
      <c r="D7671" s="15">
        <f>IFERROR(__xludf.DUMMYFUNCTION("""COMPUTED_VALUE"""),1.012)</f>
        <v>1.012</v>
      </c>
      <c r="E7671" s="16">
        <f>IFERROR(__xludf.DUMMYFUNCTION("""COMPUTED_VALUE"""),66.0)</f>
        <v>66</v>
      </c>
      <c r="F7671" s="19" t="str">
        <f>IFERROR(__xludf.DUMMYFUNCTION("""COMPUTED_VALUE"""),"BLACK")</f>
        <v>BLACK</v>
      </c>
      <c r="G7671" s="20" t="str">
        <f>IFERROR(__xludf.DUMMYFUNCTION("""COMPUTED_VALUE"""),"Uncle Sams Cider (5/13/2022)")</f>
        <v>Uncle Sams Cider (5/13/2022)</v>
      </c>
      <c r="H7671" s="19"/>
    </row>
    <row r="7672">
      <c r="A7672" s="9"/>
      <c r="B7672" s="15"/>
      <c r="C7672" s="9">
        <f>IFERROR(__xludf.DUMMYFUNCTION("""COMPUTED_VALUE"""),44716.6231179282)</f>
        <v>44716.62312</v>
      </c>
      <c r="D7672" s="15">
        <f>IFERROR(__xludf.DUMMYFUNCTION("""COMPUTED_VALUE"""),1.012)</f>
        <v>1.012</v>
      </c>
      <c r="E7672" s="16">
        <f>IFERROR(__xludf.DUMMYFUNCTION("""COMPUTED_VALUE"""),66.0)</f>
        <v>66</v>
      </c>
      <c r="F7672" s="19" t="str">
        <f>IFERROR(__xludf.DUMMYFUNCTION("""COMPUTED_VALUE"""),"BLACK")</f>
        <v>BLACK</v>
      </c>
      <c r="G7672" s="20" t="str">
        <f>IFERROR(__xludf.DUMMYFUNCTION("""COMPUTED_VALUE"""),"Uncle Sams Cider (5/13/2022)")</f>
        <v>Uncle Sams Cider (5/13/2022)</v>
      </c>
      <c r="H7672" s="19"/>
    </row>
    <row r="7673">
      <c r="A7673" s="9"/>
      <c r="B7673" s="15"/>
      <c r="C7673" s="9">
        <f>IFERROR(__xludf.DUMMYFUNCTION("""COMPUTED_VALUE"""),44716.6126964351)</f>
        <v>44716.6127</v>
      </c>
      <c r="D7673" s="15">
        <f>IFERROR(__xludf.DUMMYFUNCTION("""COMPUTED_VALUE"""),1.012)</f>
        <v>1.012</v>
      </c>
      <c r="E7673" s="16">
        <f>IFERROR(__xludf.DUMMYFUNCTION("""COMPUTED_VALUE"""),66.0)</f>
        <v>66</v>
      </c>
      <c r="F7673" s="19" t="str">
        <f>IFERROR(__xludf.DUMMYFUNCTION("""COMPUTED_VALUE"""),"BLACK")</f>
        <v>BLACK</v>
      </c>
      <c r="G7673" s="20" t="str">
        <f>IFERROR(__xludf.DUMMYFUNCTION("""COMPUTED_VALUE"""),"Uncle Sams Cider (5/13/2022)")</f>
        <v>Uncle Sams Cider (5/13/2022)</v>
      </c>
      <c r="H7673" s="19"/>
    </row>
    <row r="7674">
      <c r="A7674" s="9"/>
      <c r="B7674" s="15"/>
      <c r="C7674" s="9">
        <f>IFERROR(__xludf.DUMMYFUNCTION("""COMPUTED_VALUE"""),44716.6022624884)</f>
        <v>44716.60226</v>
      </c>
      <c r="D7674" s="15">
        <f>IFERROR(__xludf.DUMMYFUNCTION("""COMPUTED_VALUE"""),1.012)</f>
        <v>1.012</v>
      </c>
      <c r="E7674" s="16">
        <f>IFERROR(__xludf.DUMMYFUNCTION("""COMPUTED_VALUE"""),66.0)</f>
        <v>66</v>
      </c>
      <c r="F7674" s="19" t="str">
        <f>IFERROR(__xludf.DUMMYFUNCTION("""COMPUTED_VALUE"""),"BLACK")</f>
        <v>BLACK</v>
      </c>
      <c r="G7674" s="20" t="str">
        <f>IFERROR(__xludf.DUMMYFUNCTION("""COMPUTED_VALUE"""),"Uncle Sams Cider (5/13/2022)")</f>
        <v>Uncle Sams Cider (5/13/2022)</v>
      </c>
      <c r="H7674" s="19"/>
    </row>
    <row r="7675">
      <c r="A7675" s="9"/>
      <c r="B7675" s="15"/>
      <c r="C7675" s="9">
        <f>IFERROR(__xludf.DUMMYFUNCTION("""COMPUTED_VALUE"""),44716.5918427662)</f>
        <v>44716.59184</v>
      </c>
      <c r="D7675" s="15">
        <f>IFERROR(__xludf.DUMMYFUNCTION("""COMPUTED_VALUE"""),1.012)</f>
        <v>1.012</v>
      </c>
      <c r="E7675" s="16">
        <f>IFERROR(__xludf.DUMMYFUNCTION("""COMPUTED_VALUE"""),66.0)</f>
        <v>66</v>
      </c>
      <c r="F7675" s="19" t="str">
        <f>IFERROR(__xludf.DUMMYFUNCTION("""COMPUTED_VALUE"""),"BLACK")</f>
        <v>BLACK</v>
      </c>
      <c r="G7675" s="20" t="str">
        <f>IFERROR(__xludf.DUMMYFUNCTION("""COMPUTED_VALUE"""),"Uncle Sams Cider (5/13/2022)")</f>
        <v>Uncle Sams Cider (5/13/2022)</v>
      </c>
      <c r="H7675" s="19"/>
    </row>
    <row r="7676">
      <c r="A7676" s="9"/>
      <c r="B7676" s="15"/>
      <c r="C7676" s="9">
        <f>IFERROR(__xludf.DUMMYFUNCTION("""COMPUTED_VALUE"""),44716.5814207986)</f>
        <v>44716.58142</v>
      </c>
      <c r="D7676" s="15">
        <f>IFERROR(__xludf.DUMMYFUNCTION("""COMPUTED_VALUE"""),1.012)</f>
        <v>1.012</v>
      </c>
      <c r="E7676" s="16">
        <f>IFERROR(__xludf.DUMMYFUNCTION("""COMPUTED_VALUE"""),66.0)</f>
        <v>66</v>
      </c>
      <c r="F7676" s="19" t="str">
        <f>IFERROR(__xludf.DUMMYFUNCTION("""COMPUTED_VALUE"""),"BLACK")</f>
        <v>BLACK</v>
      </c>
      <c r="G7676" s="20" t="str">
        <f>IFERROR(__xludf.DUMMYFUNCTION("""COMPUTED_VALUE"""),"Uncle Sams Cider (5/13/2022)")</f>
        <v>Uncle Sams Cider (5/13/2022)</v>
      </c>
      <c r="H7676" s="19"/>
    </row>
    <row r="7677">
      <c r="A7677" s="9"/>
      <c r="B7677" s="15"/>
      <c r="C7677" s="9">
        <f>IFERROR(__xludf.DUMMYFUNCTION("""COMPUTED_VALUE"""),44716.5709872916)</f>
        <v>44716.57099</v>
      </c>
      <c r="D7677" s="15">
        <f>IFERROR(__xludf.DUMMYFUNCTION("""COMPUTED_VALUE"""),1.012)</f>
        <v>1.012</v>
      </c>
      <c r="E7677" s="16">
        <f>IFERROR(__xludf.DUMMYFUNCTION("""COMPUTED_VALUE"""),66.0)</f>
        <v>66</v>
      </c>
      <c r="F7677" s="19" t="str">
        <f>IFERROR(__xludf.DUMMYFUNCTION("""COMPUTED_VALUE"""),"BLACK")</f>
        <v>BLACK</v>
      </c>
      <c r="G7677" s="20" t="str">
        <f>IFERROR(__xludf.DUMMYFUNCTION("""COMPUTED_VALUE"""),"Uncle Sams Cider (5/13/2022)")</f>
        <v>Uncle Sams Cider (5/13/2022)</v>
      </c>
      <c r="H7677" s="19"/>
    </row>
    <row r="7678">
      <c r="A7678" s="9"/>
      <c r="B7678" s="15"/>
      <c r="C7678" s="9">
        <f>IFERROR(__xludf.DUMMYFUNCTION("""COMPUTED_VALUE"""),44716.5605540625)</f>
        <v>44716.56055</v>
      </c>
      <c r="D7678" s="15">
        <f>IFERROR(__xludf.DUMMYFUNCTION("""COMPUTED_VALUE"""),1.012)</f>
        <v>1.012</v>
      </c>
      <c r="E7678" s="16">
        <f>IFERROR(__xludf.DUMMYFUNCTION("""COMPUTED_VALUE"""),66.0)</f>
        <v>66</v>
      </c>
      <c r="F7678" s="19" t="str">
        <f>IFERROR(__xludf.DUMMYFUNCTION("""COMPUTED_VALUE"""),"BLACK")</f>
        <v>BLACK</v>
      </c>
      <c r="G7678" s="20" t="str">
        <f>IFERROR(__xludf.DUMMYFUNCTION("""COMPUTED_VALUE"""),"Uncle Sams Cider (5/13/2022)")</f>
        <v>Uncle Sams Cider (5/13/2022)</v>
      </c>
      <c r="H7678" s="19"/>
    </row>
    <row r="7679">
      <c r="A7679" s="9"/>
      <c r="B7679" s="15"/>
      <c r="C7679" s="9">
        <f>IFERROR(__xludf.DUMMYFUNCTION("""COMPUTED_VALUE"""),44716.5501322569)</f>
        <v>44716.55013</v>
      </c>
      <c r="D7679" s="15">
        <f>IFERROR(__xludf.DUMMYFUNCTION("""COMPUTED_VALUE"""),1.012)</f>
        <v>1.012</v>
      </c>
      <c r="E7679" s="16">
        <f>IFERROR(__xludf.DUMMYFUNCTION("""COMPUTED_VALUE"""),66.0)</f>
        <v>66</v>
      </c>
      <c r="F7679" s="19" t="str">
        <f>IFERROR(__xludf.DUMMYFUNCTION("""COMPUTED_VALUE"""),"BLACK")</f>
        <v>BLACK</v>
      </c>
      <c r="G7679" s="20" t="str">
        <f>IFERROR(__xludf.DUMMYFUNCTION("""COMPUTED_VALUE"""),"Uncle Sams Cider (5/13/2022)")</f>
        <v>Uncle Sams Cider (5/13/2022)</v>
      </c>
      <c r="H7679" s="19"/>
    </row>
    <row r="7680">
      <c r="A7680" s="9"/>
      <c r="B7680" s="15"/>
      <c r="C7680" s="9">
        <f>IFERROR(__xludf.DUMMYFUNCTION("""COMPUTED_VALUE"""),44716.5397105439)</f>
        <v>44716.53971</v>
      </c>
      <c r="D7680" s="15">
        <f>IFERROR(__xludf.DUMMYFUNCTION("""COMPUTED_VALUE"""),1.012)</f>
        <v>1.012</v>
      </c>
      <c r="E7680" s="16">
        <f>IFERROR(__xludf.DUMMYFUNCTION("""COMPUTED_VALUE"""),66.0)</f>
        <v>66</v>
      </c>
      <c r="F7680" s="19" t="str">
        <f>IFERROR(__xludf.DUMMYFUNCTION("""COMPUTED_VALUE"""),"BLACK")</f>
        <v>BLACK</v>
      </c>
      <c r="G7680" s="20" t="str">
        <f>IFERROR(__xludf.DUMMYFUNCTION("""COMPUTED_VALUE"""),"Uncle Sams Cider (5/13/2022)")</f>
        <v>Uncle Sams Cider (5/13/2022)</v>
      </c>
      <c r="H7680" s="19"/>
    </row>
    <row r="7681">
      <c r="A7681" s="9"/>
      <c r="B7681" s="15"/>
      <c r="C7681" s="9">
        <f>IFERROR(__xludf.DUMMYFUNCTION("""COMPUTED_VALUE"""),44716.5292898611)</f>
        <v>44716.52929</v>
      </c>
      <c r="D7681" s="15">
        <f>IFERROR(__xludf.DUMMYFUNCTION("""COMPUTED_VALUE"""),1.012)</f>
        <v>1.012</v>
      </c>
      <c r="E7681" s="16">
        <f>IFERROR(__xludf.DUMMYFUNCTION("""COMPUTED_VALUE"""),66.0)</f>
        <v>66</v>
      </c>
      <c r="F7681" s="19" t="str">
        <f>IFERROR(__xludf.DUMMYFUNCTION("""COMPUTED_VALUE"""),"BLACK")</f>
        <v>BLACK</v>
      </c>
      <c r="G7681" s="20" t="str">
        <f>IFERROR(__xludf.DUMMYFUNCTION("""COMPUTED_VALUE"""),"Uncle Sams Cider (5/13/2022)")</f>
        <v>Uncle Sams Cider (5/13/2022)</v>
      </c>
      <c r="H7681" s="19"/>
    </row>
    <row r="7682">
      <c r="A7682" s="9"/>
      <c r="B7682" s="15"/>
      <c r="C7682" s="9">
        <f>IFERROR(__xludf.DUMMYFUNCTION("""COMPUTED_VALUE"""),44716.5188233333)</f>
        <v>44716.51882</v>
      </c>
      <c r="D7682" s="15">
        <f>IFERROR(__xludf.DUMMYFUNCTION("""COMPUTED_VALUE"""),1.012)</f>
        <v>1.012</v>
      </c>
      <c r="E7682" s="16">
        <f>IFERROR(__xludf.DUMMYFUNCTION("""COMPUTED_VALUE"""),66.0)</f>
        <v>66</v>
      </c>
      <c r="F7682" s="19" t="str">
        <f>IFERROR(__xludf.DUMMYFUNCTION("""COMPUTED_VALUE"""),"BLACK")</f>
        <v>BLACK</v>
      </c>
      <c r="G7682" s="20" t="str">
        <f>IFERROR(__xludf.DUMMYFUNCTION("""COMPUTED_VALUE"""),"Uncle Sams Cider (5/13/2022)")</f>
        <v>Uncle Sams Cider (5/13/2022)</v>
      </c>
      <c r="H7682" s="19"/>
    </row>
    <row r="7683">
      <c r="A7683" s="9"/>
      <c r="B7683" s="15"/>
      <c r="C7683" s="9">
        <f>IFERROR(__xludf.DUMMYFUNCTION("""COMPUTED_VALUE"""),44716.5083902662)</f>
        <v>44716.50839</v>
      </c>
      <c r="D7683" s="15">
        <f>IFERROR(__xludf.DUMMYFUNCTION("""COMPUTED_VALUE"""),1.012)</f>
        <v>1.012</v>
      </c>
      <c r="E7683" s="16">
        <f>IFERROR(__xludf.DUMMYFUNCTION("""COMPUTED_VALUE"""),66.0)</f>
        <v>66</v>
      </c>
      <c r="F7683" s="19" t="str">
        <f>IFERROR(__xludf.DUMMYFUNCTION("""COMPUTED_VALUE"""),"BLACK")</f>
        <v>BLACK</v>
      </c>
      <c r="G7683" s="20" t="str">
        <f>IFERROR(__xludf.DUMMYFUNCTION("""COMPUTED_VALUE"""),"Uncle Sams Cider (5/13/2022)")</f>
        <v>Uncle Sams Cider (5/13/2022)</v>
      </c>
      <c r="H7683" s="19"/>
    </row>
    <row r="7684">
      <c r="A7684" s="9"/>
      <c r="B7684" s="15"/>
      <c r="C7684" s="9">
        <f>IFERROR(__xludf.DUMMYFUNCTION("""COMPUTED_VALUE"""),44716.497932581)</f>
        <v>44716.49793</v>
      </c>
      <c r="D7684" s="15">
        <f>IFERROR(__xludf.DUMMYFUNCTION("""COMPUTED_VALUE"""),1.012)</f>
        <v>1.012</v>
      </c>
      <c r="E7684" s="16">
        <f>IFERROR(__xludf.DUMMYFUNCTION("""COMPUTED_VALUE"""),66.0)</f>
        <v>66</v>
      </c>
      <c r="F7684" s="19" t="str">
        <f>IFERROR(__xludf.DUMMYFUNCTION("""COMPUTED_VALUE"""),"BLACK")</f>
        <v>BLACK</v>
      </c>
      <c r="G7684" s="20" t="str">
        <f>IFERROR(__xludf.DUMMYFUNCTION("""COMPUTED_VALUE"""),"Uncle Sams Cider (5/13/2022)")</f>
        <v>Uncle Sams Cider (5/13/2022)</v>
      </c>
      <c r="H7684" s="19"/>
    </row>
    <row r="7685">
      <c r="A7685" s="9"/>
      <c r="B7685" s="15"/>
      <c r="C7685" s="9">
        <f>IFERROR(__xludf.DUMMYFUNCTION("""COMPUTED_VALUE"""),44716.4875111111)</f>
        <v>44716.48751</v>
      </c>
      <c r="D7685" s="15">
        <f>IFERROR(__xludf.DUMMYFUNCTION("""COMPUTED_VALUE"""),1.012)</f>
        <v>1.012</v>
      </c>
      <c r="E7685" s="16">
        <f>IFERROR(__xludf.DUMMYFUNCTION("""COMPUTED_VALUE"""),66.0)</f>
        <v>66</v>
      </c>
      <c r="F7685" s="19" t="str">
        <f>IFERROR(__xludf.DUMMYFUNCTION("""COMPUTED_VALUE"""),"BLACK")</f>
        <v>BLACK</v>
      </c>
      <c r="G7685" s="20" t="str">
        <f>IFERROR(__xludf.DUMMYFUNCTION("""COMPUTED_VALUE"""),"Uncle Sams Cider (5/13/2022)")</f>
        <v>Uncle Sams Cider (5/13/2022)</v>
      </c>
      <c r="H7685" s="19"/>
    </row>
    <row r="7686">
      <c r="A7686" s="9"/>
      <c r="B7686" s="15"/>
      <c r="C7686" s="9">
        <f>IFERROR(__xludf.DUMMYFUNCTION("""COMPUTED_VALUE"""),44716.4770780439)</f>
        <v>44716.47708</v>
      </c>
      <c r="D7686" s="15">
        <f>IFERROR(__xludf.DUMMYFUNCTION("""COMPUTED_VALUE"""),1.012)</f>
        <v>1.012</v>
      </c>
      <c r="E7686" s="16">
        <f>IFERROR(__xludf.DUMMYFUNCTION("""COMPUTED_VALUE"""),66.0)</f>
        <v>66</v>
      </c>
      <c r="F7686" s="19" t="str">
        <f>IFERROR(__xludf.DUMMYFUNCTION("""COMPUTED_VALUE"""),"BLACK")</f>
        <v>BLACK</v>
      </c>
      <c r="G7686" s="20" t="str">
        <f>IFERROR(__xludf.DUMMYFUNCTION("""COMPUTED_VALUE"""),"Uncle Sams Cider (5/13/2022)")</f>
        <v>Uncle Sams Cider (5/13/2022)</v>
      </c>
      <c r="H7686" s="19"/>
    </row>
    <row r="7687">
      <c r="A7687" s="9"/>
      <c r="B7687" s="15"/>
      <c r="C7687" s="9">
        <f>IFERROR(__xludf.DUMMYFUNCTION("""COMPUTED_VALUE"""),44716.4666564467)</f>
        <v>44716.46666</v>
      </c>
      <c r="D7687" s="15">
        <f>IFERROR(__xludf.DUMMYFUNCTION("""COMPUTED_VALUE"""),1.012)</f>
        <v>1.012</v>
      </c>
      <c r="E7687" s="16">
        <f>IFERROR(__xludf.DUMMYFUNCTION("""COMPUTED_VALUE"""),66.0)</f>
        <v>66</v>
      </c>
      <c r="F7687" s="19" t="str">
        <f>IFERROR(__xludf.DUMMYFUNCTION("""COMPUTED_VALUE"""),"BLACK")</f>
        <v>BLACK</v>
      </c>
      <c r="G7687" s="20" t="str">
        <f>IFERROR(__xludf.DUMMYFUNCTION("""COMPUTED_VALUE"""),"Uncle Sams Cider (5/13/2022)")</f>
        <v>Uncle Sams Cider (5/13/2022)</v>
      </c>
      <c r="H7687" s="19"/>
    </row>
    <row r="7688">
      <c r="A7688" s="9"/>
      <c r="B7688" s="15"/>
      <c r="C7688" s="9">
        <f>IFERROR(__xludf.DUMMYFUNCTION("""COMPUTED_VALUE"""),44716.4562237268)</f>
        <v>44716.45622</v>
      </c>
      <c r="D7688" s="15">
        <f>IFERROR(__xludf.DUMMYFUNCTION("""COMPUTED_VALUE"""),1.012)</f>
        <v>1.012</v>
      </c>
      <c r="E7688" s="16">
        <f>IFERROR(__xludf.DUMMYFUNCTION("""COMPUTED_VALUE"""),66.0)</f>
        <v>66</v>
      </c>
      <c r="F7688" s="19" t="str">
        <f>IFERROR(__xludf.DUMMYFUNCTION("""COMPUTED_VALUE"""),"BLACK")</f>
        <v>BLACK</v>
      </c>
      <c r="G7688" s="20" t="str">
        <f>IFERROR(__xludf.DUMMYFUNCTION("""COMPUTED_VALUE"""),"Uncle Sams Cider (5/13/2022)")</f>
        <v>Uncle Sams Cider (5/13/2022)</v>
      </c>
      <c r="H7688" s="19"/>
    </row>
    <row r="7689">
      <c r="A7689" s="9"/>
      <c r="B7689" s="15"/>
      <c r="C7689" s="9">
        <f>IFERROR(__xludf.DUMMYFUNCTION("""COMPUTED_VALUE"""),44716.445801574)</f>
        <v>44716.4458</v>
      </c>
      <c r="D7689" s="15">
        <f>IFERROR(__xludf.DUMMYFUNCTION("""COMPUTED_VALUE"""),1.012)</f>
        <v>1.012</v>
      </c>
      <c r="E7689" s="16">
        <f>IFERROR(__xludf.DUMMYFUNCTION("""COMPUTED_VALUE"""),66.0)</f>
        <v>66</v>
      </c>
      <c r="F7689" s="19" t="str">
        <f>IFERROR(__xludf.DUMMYFUNCTION("""COMPUTED_VALUE"""),"BLACK")</f>
        <v>BLACK</v>
      </c>
      <c r="G7689" s="20" t="str">
        <f>IFERROR(__xludf.DUMMYFUNCTION("""COMPUTED_VALUE"""),"Uncle Sams Cider (5/13/2022)")</f>
        <v>Uncle Sams Cider (5/13/2022)</v>
      </c>
      <c r="H7689" s="19"/>
    </row>
    <row r="7690">
      <c r="A7690" s="9"/>
      <c r="B7690" s="15"/>
      <c r="C7690" s="9">
        <f>IFERROR(__xludf.DUMMYFUNCTION("""COMPUTED_VALUE"""),44716.4353813888)</f>
        <v>44716.43538</v>
      </c>
      <c r="D7690" s="15">
        <f>IFERROR(__xludf.DUMMYFUNCTION("""COMPUTED_VALUE"""),1.012)</f>
        <v>1.012</v>
      </c>
      <c r="E7690" s="16">
        <f>IFERROR(__xludf.DUMMYFUNCTION("""COMPUTED_VALUE"""),66.0)</f>
        <v>66</v>
      </c>
      <c r="F7690" s="19" t="str">
        <f>IFERROR(__xludf.DUMMYFUNCTION("""COMPUTED_VALUE"""),"BLACK")</f>
        <v>BLACK</v>
      </c>
      <c r="G7690" s="20" t="str">
        <f>IFERROR(__xludf.DUMMYFUNCTION("""COMPUTED_VALUE"""),"Uncle Sams Cider (5/13/2022)")</f>
        <v>Uncle Sams Cider (5/13/2022)</v>
      </c>
      <c r="H7690" s="19"/>
    </row>
    <row r="7691">
      <c r="A7691" s="9"/>
      <c r="B7691" s="15"/>
      <c r="C7691" s="9">
        <f>IFERROR(__xludf.DUMMYFUNCTION("""COMPUTED_VALUE"""),44716.4249494213)</f>
        <v>44716.42495</v>
      </c>
      <c r="D7691" s="15">
        <f>IFERROR(__xludf.DUMMYFUNCTION("""COMPUTED_VALUE"""),1.012)</f>
        <v>1.012</v>
      </c>
      <c r="E7691" s="16">
        <f>IFERROR(__xludf.DUMMYFUNCTION("""COMPUTED_VALUE"""),66.0)</f>
        <v>66</v>
      </c>
      <c r="F7691" s="19" t="str">
        <f>IFERROR(__xludf.DUMMYFUNCTION("""COMPUTED_VALUE"""),"BLACK")</f>
        <v>BLACK</v>
      </c>
      <c r="G7691" s="20" t="str">
        <f>IFERROR(__xludf.DUMMYFUNCTION("""COMPUTED_VALUE"""),"Uncle Sams Cider (5/13/2022)")</f>
        <v>Uncle Sams Cider (5/13/2022)</v>
      </c>
      <c r="H7691" s="19"/>
    </row>
    <row r="7692">
      <c r="A7692" s="9"/>
      <c r="B7692" s="15"/>
      <c r="C7692" s="9">
        <f>IFERROR(__xludf.DUMMYFUNCTION("""COMPUTED_VALUE"""),44716.4145271759)</f>
        <v>44716.41453</v>
      </c>
      <c r="D7692" s="15">
        <f>IFERROR(__xludf.DUMMYFUNCTION("""COMPUTED_VALUE"""),1.012)</f>
        <v>1.012</v>
      </c>
      <c r="E7692" s="16">
        <f>IFERROR(__xludf.DUMMYFUNCTION("""COMPUTED_VALUE"""),66.0)</f>
        <v>66</v>
      </c>
      <c r="F7692" s="19" t="str">
        <f>IFERROR(__xludf.DUMMYFUNCTION("""COMPUTED_VALUE"""),"BLACK")</f>
        <v>BLACK</v>
      </c>
      <c r="G7692" s="20" t="str">
        <f>IFERROR(__xludf.DUMMYFUNCTION("""COMPUTED_VALUE"""),"Uncle Sams Cider (5/13/2022)")</f>
        <v>Uncle Sams Cider (5/13/2022)</v>
      </c>
      <c r="H7692" s="19"/>
    </row>
    <row r="7693">
      <c r="A7693" s="9"/>
      <c r="B7693" s="15"/>
      <c r="C7693" s="9">
        <f>IFERROR(__xludf.DUMMYFUNCTION("""COMPUTED_VALUE"""),44716.4041047222)</f>
        <v>44716.4041</v>
      </c>
      <c r="D7693" s="15">
        <f>IFERROR(__xludf.DUMMYFUNCTION("""COMPUTED_VALUE"""),1.012)</f>
        <v>1.012</v>
      </c>
      <c r="E7693" s="16">
        <f>IFERROR(__xludf.DUMMYFUNCTION("""COMPUTED_VALUE"""),66.0)</f>
        <v>66</v>
      </c>
      <c r="F7693" s="19" t="str">
        <f>IFERROR(__xludf.DUMMYFUNCTION("""COMPUTED_VALUE"""),"BLACK")</f>
        <v>BLACK</v>
      </c>
      <c r="G7693" s="20" t="str">
        <f>IFERROR(__xludf.DUMMYFUNCTION("""COMPUTED_VALUE"""),"Uncle Sams Cider (5/13/2022)")</f>
        <v>Uncle Sams Cider (5/13/2022)</v>
      </c>
      <c r="H7693" s="19"/>
    </row>
    <row r="7694">
      <c r="A7694" s="9"/>
      <c r="B7694" s="15"/>
      <c r="C7694" s="9">
        <f>IFERROR(__xludf.DUMMYFUNCTION("""COMPUTED_VALUE"""),44716.3936826851)</f>
        <v>44716.39368</v>
      </c>
      <c r="D7694" s="15">
        <f>IFERROR(__xludf.DUMMYFUNCTION("""COMPUTED_VALUE"""),1.012)</f>
        <v>1.012</v>
      </c>
      <c r="E7694" s="16">
        <f>IFERROR(__xludf.DUMMYFUNCTION("""COMPUTED_VALUE"""),66.0)</f>
        <v>66</v>
      </c>
      <c r="F7694" s="19" t="str">
        <f>IFERROR(__xludf.DUMMYFUNCTION("""COMPUTED_VALUE"""),"BLACK")</f>
        <v>BLACK</v>
      </c>
      <c r="G7694" s="20" t="str">
        <f>IFERROR(__xludf.DUMMYFUNCTION("""COMPUTED_VALUE"""),"Uncle Sams Cider (5/13/2022)")</f>
        <v>Uncle Sams Cider (5/13/2022)</v>
      </c>
      <c r="H7694" s="19"/>
    </row>
    <row r="7695">
      <c r="A7695" s="9"/>
      <c r="B7695" s="15"/>
      <c r="C7695" s="9">
        <f>IFERROR(__xludf.DUMMYFUNCTION("""COMPUTED_VALUE"""),44716.3832492013)</f>
        <v>44716.38325</v>
      </c>
      <c r="D7695" s="15">
        <f>IFERROR(__xludf.DUMMYFUNCTION("""COMPUTED_VALUE"""),1.012)</f>
        <v>1.012</v>
      </c>
      <c r="E7695" s="16">
        <f>IFERROR(__xludf.DUMMYFUNCTION("""COMPUTED_VALUE"""),66.0)</f>
        <v>66</v>
      </c>
      <c r="F7695" s="19" t="str">
        <f>IFERROR(__xludf.DUMMYFUNCTION("""COMPUTED_VALUE"""),"BLACK")</f>
        <v>BLACK</v>
      </c>
      <c r="G7695" s="20" t="str">
        <f>IFERROR(__xludf.DUMMYFUNCTION("""COMPUTED_VALUE"""),"Uncle Sams Cider (5/13/2022)")</f>
        <v>Uncle Sams Cider (5/13/2022)</v>
      </c>
      <c r="H7695" s="19"/>
    </row>
    <row r="7696">
      <c r="A7696" s="9"/>
      <c r="B7696" s="15"/>
      <c r="C7696" s="9">
        <f>IFERROR(__xludf.DUMMYFUNCTION("""COMPUTED_VALUE"""),44716.3728274768)</f>
        <v>44716.37283</v>
      </c>
      <c r="D7696" s="15">
        <f>IFERROR(__xludf.DUMMYFUNCTION("""COMPUTED_VALUE"""),1.012)</f>
        <v>1.012</v>
      </c>
      <c r="E7696" s="16">
        <f>IFERROR(__xludf.DUMMYFUNCTION("""COMPUTED_VALUE"""),66.0)</f>
        <v>66</v>
      </c>
      <c r="F7696" s="19" t="str">
        <f>IFERROR(__xludf.DUMMYFUNCTION("""COMPUTED_VALUE"""),"BLACK")</f>
        <v>BLACK</v>
      </c>
      <c r="G7696" s="20" t="str">
        <f>IFERROR(__xludf.DUMMYFUNCTION("""COMPUTED_VALUE"""),"Uncle Sams Cider (5/13/2022)")</f>
        <v>Uncle Sams Cider (5/13/2022)</v>
      </c>
      <c r="H7696" s="19"/>
    </row>
    <row r="7697">
      <c r="A7697" s="9"/>
      <c r="B7697" s="15"/>
      <c r="C7697" s="9">
        <f>IFERROR(__xludf.DUMMYFUNCTION("""COMPUTED_VALUE"""),44716.3624075694)</f>
        <v>44716.36241</v>
      </c>
      <c r="D7697" s="15">
        <f>IFERROR(__xludf.DUMMYFUNCTION("""COMPUTED_VALUE"""),1.012)</f>
        <v>1.012</v>
      </c>
      <c r="E7697" s="16">
        <f>IFERROR(__xludf.DUMMYFUNCTION("""COMPUTED_VALUE"""),66.0)</f>
        <v>66</v>
      </c>
      <c r="F7697" s="19" t="str">
        <f>IFERROR(__xludf.DUMMYFUNCTION("""COMPUTED_VALUE"""),"BLACK")</f>
        <v>BLACK</v>
      </c>
      <c r="G7697" s="20" t="str">
        <f>IFERROR(__xludf.DUMMYFUNCTION("""COMPUTED_VALUE"""),"Uncle Sams Cider (5/13/2022)")</f>
        <v>Uncle Sams Cider (5/13/2022)</v>
      </c>
      <c r="H7697" s="19"/>
    </row>
    <row r="7698">
      <c r="A7698" s="9"/>
      <c r="B7698" s="15"/>
      <c r="C7698" s="9">
        <f>IFERROR(__xludf.DUMMYFUNCTION("""COMPUTED_VALUE"""),44716.351987037)</f>
        <v>44716.35199</v>
      </c>
      <c r="D7698" s="15">
        <f>IFERROR(__xludf.DUMMYFUNCTION("""COMPUTED_VALUE"""),1.012)</f>
        <v>1.012</v>
      </c>
      <c r="E7698" s="16">
        <f>IFERROR(__xludf.DUMMYFUNCTION("""COMPUTED_VALUE"""),66.0)</f>
        <v>66</v>
      </c>
      <c r="F7698" s="19" t="str">
        <f>IFERROR(__xludf.DUMMYFUNCTION("""COMPUTED_VALUE"""),"BLACK")</f>
        <v>BLACK</v>
      </c>
      <c r="G7698" s="20" t="str">
        <f>IFERROR(__xludf.DUMMYFUNCTION("""COMPUTED_VALUE"""),"Uncle Sams Cider (5/13/2022)")</f>
        <v>Uncle Sams Cider (5/13/2022)</v>
      </c>
      <c r="H7698" s="19"/>
    </row>
    <row r="7699">
      <c r="A7699" s="9"/>
      <c r="B7699" s="15"/>
      <c r="C7699" s="9">
        <f>IFERROR(__xludf.DUMMYFUNCTION("""COMPUTED_VALUE"""),44716.3415671064)</f>
        <v>44716.34157</v>
      </c>
      <c r="D7699" s="15">
        <f>IFERROR(__xludf.DUMMYFUNCTION("""COMPUTED_VALUE"""),1.012)</f>
        <v>1.012</v>
      </c>
      <c r="E7699" s="16">
        <f>IFERROR(__xludf.DUMMYFUNCTION("""COMPUTED_VALUE"""),66.0)</f>
        <v>66</v>
      </c>
      <c r="F7699" s="19" t="str">
        <f>IFERROR(__xludf.DUMMYFUNCTION("""COMPUTED_VALUE"""),"BLACK")</f>
        <v>BLACK</v>
      </c>
      <c r="G7699" s="20" t="str">
        <f>IFERROR(__xludf.DUMMYFUNCTION("""COMPUTED_VALUE"""),"Uncle Sams Cider (5/13/2022)")</f>
        <v>Uncle Sams Cider (5/13/2022)</v>
      </c>
      <c r="H7699" s="19"/>
    </row>
    <row r="7700">
      <c r="A7700" s="9"/>
      <c r="B7700" s="15"/>
      <c r="C7700" s="9">
        <f>IFERROR(__xludf.DUMMYFUNCTION("""COMPUTED_VALUE"""),44716.3311471527)</f>
        <v>44716.33115</v>
      </c>
      <c r="D7700" s="15">
        <f>IFERROR(__xludf.DUMMYFUNCTION("""COMPUTED_VALUE"""),1.012)</f>
        <v>1.012</v>
      </c>
      <c r="E7700" s="16">
        <f>IFERROR(__xludf.DUMMYFUNCTION("""COMPUTED_VALUE"""),66.0)</f>
        <v>66</v>
      </c>
      <c r="F7700" s="19" t="str">
        <f>IFERROR(__xludf.DUMMYFUNCTION("""COMPUTED_VALUE"""),"BLACK")</f>
        <v>BLACK</v>
      </c>
      <c r="G7700" s="20" t="str">
        <f>IFERROR(__xludf.DUMMYFUNCTION("""COMPUTED_VALUE"""),"Uncle Sams Cider (5/13/2022)")</f>
        <v>Uncle Sams Cider (5/13/2022)</v>
      </c>
      <c r="H7700" s="19"/>
    </row>
    <row r="7701">
      <c r="A7701" s="9"/>
      <c r="B7701" s="15"/>
      <c r="C7701" s="9">
        <f>IFERROR(__xludf.DUMMYFUNCTION("""COMPUTED_VALUE"""),44716.320678993)</f>
        <v>44716.32068</v>
      </c>
      <c r="D7701" s="15">
        <f>IFERROR(__xludf.DUMMYFUNCTION("""COMPUTED_VALUE"""),1.012)</f>
        <v>1.012</v>
      </c>
      <c r="E7701" s="16">
        <f>IFERROR(__xludf.DUMMYFUNCTION("""COMPUTED_VALUE"""),66.0)</f>
        <v>66</v>
      </c>
      <c r="F7701" s="19" t="str">
        <f>IFERROR(__xludf.DUMMYFUNCTION("""COMPUTED_VALUE"""),"BLACK")</f>
        <v>BLACK</v>
      </c>
      <c r="G7701" s="20" t="str">
        <f>IFERROR(__xludf.DUMMYFUNCTION("""COMPUTED_VALUE"""),"Uncle Sams Cider (5/13/2022)")</f>
        <v>Uncle Sams Cider (5/13/2022)</v>
      </c>
      <c r="H7701" s="19"/>
    </row>
    <row r="7702">
      <c r="A7702" s="9"/>
      <c r="B7702" s="15"/>
      <c r="C7702" s="9">
        <f>IFERROR(__xludf.DUMMYFUNCTION("""COMPUTED_VALUE"""),44716.3102563773)</f>
        <v>44716.31026</v>
      </c>
      <c r="D7702" s="15">
        <f>IFERROR(__xludf.DUMMYFUNCTION("""COMPUTED_VALUE"""),1.012)</f>
        <v>1.012</v>
      </c>
      <c r="E7702" s="16">
        <f>IFERROR(__xludf.DUMMYFUNCTION("""COMPUTED_VALUE"""),66.0)</f>
        <v>66</v>
      </c>
      <c r="F7702" s="19" t="str">
        <f>IFERROR(__xludf.DUMMYFUNCTION("""COMPUTED_VALUE"""),"BLACK")</f>
        <v>BLACK</v>
      </c>
      <c r="G7702" s="20" t="str">
        <f>IFERROR(__xludf.DUMMYFUNCTION("""COMPUTED_VALUE"""),"Uncle Sams Cider (5/13/2022)")</f>
        <v>Uncle Sams Cider (5/13/2022)</v>
      </c>
      <c r="H7702" s="19"/>
    </row>
    <row r="7703">
      <c r="A7703" s="9"/>
      <c r="B7703" s="15"/>
      <c r="C7703" s="9">
        <f>IFERROR(__xludf.DUMMYFUNCTION("""COMPUTED_VALUE"""),44716.299835949)</f>
        <v>44716.29984</v>
      </c>
      <c r="D7703" s="15">
        <f>IFERROR(__xludf.DUMMYFUNCTION("""COMPUTED_VALUE"""),1.012)</f>
        <v>1.012</v>
      </c>
      <c r="E7703" s="16">
        <f>IFERROR(__xludf.DUMMYFUNCTION("""COMPUTED_VALUE"""),66.0)</f>
        <v>66</v>
      </c>
      <c r="F7703" s="19" t="str">
        <f>IFERROR(__xludf.DUMMYFUNCTION("""COMPUTED_VALUE"""),"BLACK")</f>
        <v>BLACK</v>
      </c>
      <c r="G7703" s="20" t="str">
        <f>IFERROR(__xludf.DUMMYFUNCTION("""COMPUTED_VALUE"""),"Uncle Sams Cider (5/13/2022)")</f>
        <v>Uncle Sams Cider (5/13/2022)</v>
      </c>
      <c r="H7703" s="19"/>
    </row>
    <row r="7704">
      <c r="A7704" s="9"/>
      <c r="B7704" s="15"/>
      <c r="C7704" s="9">
        <f>IFERROR(__xludf.DUMMYFUNCTION("""COMPUTED_VALUE"""),44716.2894134027)</f>
        <v>44716.28941</v>
      </c>
      <c r="D7704" s="15">
        <f>IFERROR(__xludf.DUMMYFUNCTION("""COMPUTED_VALUE"""),1.012)</f>
        <v>1.012</v>
      </c>
      <c r="E7704" s="16">
        <f>IFERROR(__xludf.DUMMYFUNCTION("""COMPUTED_VALUE"""),66.0)</f>
        <v>66</v>
      </c>
      <c r="F7704" s="19" t="str">
        <f>IFERROR(__xludf.DUMMYFUNCTION("""COMPUTED_VALUE"""),"BLACK")</f>
        <v>BLACK</v>
      </c>
      <c r="G7704" s="20" t="str">
        <f>IFERROR(__xludf.DUMMYFUNCTION("""COMPUTED_VALUE"""),"Uncle Sams Cider (5/13/2022)")</f>
        <v>Uncle Sams Cider (5/13/2022)</v>
      </c>
      <c r="H7704" s="19"/>
    </row>
    <row r="7705">
      <c r="A7705" s="9"/>
      <c r="B7705" s="15"/>
      <c r="C7705" s="9">
        <f>IFERROR(__xludf.DUMMYFUNCTION("""COMPUTED_VALUE"""),44716.27899125)</f>
        <v>44716.27899</v>
      </c>
      <c r="D7705" s="15">
        <f>IFERROR(__xludf.DUMMYFUNCTION("""COMPUTED_VALUE"""),1.012)</f>
        <v>1.012</v>
      </c>
      <c r="E7705" s="16">
        <f>IFERROR(__xludf.DUMMYFUNCTION("""COMPUTED_VALUE"""),66.0)</f>
        <v>66</v>
      </c>
      <c r="F7705" s="19" t="str">
        <f>IFERROR(__xludf.DUMMYFUNCTION("""COMPUTED_VALUE"""),"BLACK")</f>
        <v>BLACK</v>
      </c>
      <c r="G7705" s="20" t="str">
        <f>IFERROR(__xludf.DUMMYFUNCTION("""COMPUTED_VALUE"""),"Uncle Sams Cider (5/13/2022)")</f>
        <v>Uncle Sams Cider (5/13/2022)</v>
      </c>
      <c r="H7705" s="19"/>
    </row>
    <row r="7706">
      <c r="A7706" s="9"/>
      <c r="B7706" s="15"/>
      <c r="C7706" s="9">
        <f>IFERROR(__xludf.DUMMYFUNCTION("""COMPUTED_VALUE"""),44716.2685586111)</f>
        <v>44716.26856</v>
      </c>
      <c r="D7706" s="15">
        <f>IFERROR(__xludf.DUMMYFUNCTION("""COMPUTED_VALUE"""),1.012)</f>
        <v>1.012</v>
      </c>
      <c r="E7706" s="16">
        <f>IFERROR(__xludf.DUMMYFUNCTION("""COMPUTED_VALUE"""),66.0)</f>
        <v>66</v>
      </c>
      <c r="F7706" s="19" t="str">
        <f>IFERROR(__xludf.DUMMYFUNCTION("""COMPUTED_VALUE"""),"BLACK")</f>
        <v>BLACK</v>
      </c>
      <c r="G7706" s="20" t="str">
        <f>IFERROR(__xludf.DUMMYFUNCTION("""COMPUTED_VALUE"""),"Uncle Sams Cider (5/13/2022)")</f>
        <v>Uncle Sams Cider (5/13/2022)</v>
      </c>
      <c r="H7706" s="19"/>
    </row>
    <row r="7707">
      <c r="A7707" s="9"/>
      <c r="B7707" s="15"/>
      <c r="C7707" s="9">
        <f>IFERROR(__xludf.DUMMYFUNCTION("""COMPUTED_VALUE"""),44716.2581377314)</f>
        <v>44716.25814</v>
      </c>
      <c r="D7707" s="15">
        <f>IFERROR(__xludf.DUMMYFUNCTION("""COMPUTED_VALUE"""),1.012)</f>
        <v>1.012</v>
      </c>
      <c r="E7707" s="16">
        <f>IFERROR(__xludf.DUMMYFUNCTION("""COMPUTED_VALUE"""),66.0)</f>
        <v>66</v>
      </c>
      <c r="F7707" s="19" t="str">
        <f>IFERROR(__xludf.DUMMYFUNCTION("""COMPUTED_VALUE"""),"BLACK")</f>
        <v>BLACK</v>
      </c>
      <c r="G7707" s="20" t="str">
        <f>IFERROR(__xludf.DUMMYFUNCTION("""COMPUTED_VALUE"""),"Uncle Sams Cider (5/13/2022)")</f>
        <v>Uncle Sams Cider (5/13/2022)</v>
      </c>
      <c r="H7707" s="19"/>
    </row>
    <row r="7708">
      <c r="A7708" s="9"/>
      <c r="B7708" s="15"/>
      <c r="C7708" s="9">
        <f>IFERROR(__xludf.DUMMYFUNCTION("""COMPUTED_VALUE"""),44716.2477153588)</f>
        <v>44716.24772</v>
      </c>
      <c r="D7708" s="15">
        <f>IFERROR(__xludf.DUMMYFUNCTION("""COMPUTED_VALUE"""),1.012)</f>
        <v>1.012</v>
      </c>
      <c r="E7708" s="16">
        <f>IFERROR(__xludf.DUMMYFUNCTION("""COMPUTED_VALUE"""),66.0)</f>
        <v>66</v>
      </c>
      <c r="F7708" s="19" t="str">
        <f>IFERROR(__xludf.DUMMYFUNCTION("""COMPUTED_VALUE"""),"BLACK")</f>
        <v>BLACK</v>
      </c>
      <c r="G7708" s="20" t="str">
        <f>IFERROR(__xludf.DUMMYFUNCTION("""COMPUTED_VALUE"""),"Uncle Sams Cider (5/13/2022)")</f>
        <v>Uncle Sams Cider (5/13/2022)</v>
      </c>
      <c r="H7708" s="19"/>
    </row>
    <row r="7709">
      <c r="A7709" s="9"/>
      <c r="B7709" s="15"/>
      <c r="C7709" s="9">
        <f>IFERROR(__xludf.DUMMYFUNCTION("""COMPUTED_VALUE"""),44716.2372834953)</f>
        <v>44716.23728</v>
      </c>
      <c r="D7709" s="15">
        <f>IFERROR(__xludf.DUMMYFUNCTION("""COMPUTED_VALUE"""),1.012)</f>
        <v>1.012</v>
      </c>
      <c r="E7709" s="16">
        <f>IFERROR(__xludf.DUMMYFUNCTION("""COMPUTED_VALUE"""),66.0)</f>
        <v>66</v>
      </c>
      <c r="F7709" s="19" t="str">
        <f>IFERROR(__xludf.DUMMYFUNCTION("""COMPUTED_VALUE"""),"BLACK")</f>
        <v>BLACK</v>
      </c>
      <c r="G7709" s="20" t="str">
        <f>IFERROR(__xludf.DUMMYFUNCTION("""COMPUTED_VALUE"""),"Uncle Sams Cider (5/13/2022)")</f>
        <v>Uncle Sams Cider (5/13/2022)</v>
      </c>
      <c r="H7709" s="19"/>
    </row>
    <row r="7710">
      <c r="A7710" s="9"/>
      <c r="B7710" s="15"/>
      <c r="C7710" s="9">
        <f>IFERROR(__xludf.DUMMYFUNCTION("""COMPUTED_VALUE"""),44716.2268630555)</f>
        <v>44716.22686</v>
      </c>
      <c r="D7710" s="15">
        <f>IFERROR(__xludf.DUMMYFUNCTION("""COMPUTED_VALUE"""),1.012)</f>
        <v>1.012</v>
      </c>
      <c r="E7710" s="16">
        <f>IFERROR(__xludf.DUMMYFUNCTION("""COMPUTED_VALUE"""),66.0)</f>
        <v>66</v>
      </c>
      <c r="F7710" s="19" t="str">
        <f>IFERROR(__xludf.DUMMYFUNCTION("""COMPUTED_VALUE"""),"BLACK")</f>
        <v>BLACK</v>
      </c>
      <c r="G7710" s="20" t="str">
        <f>IFERROR(__xludf.DUMMYFUNCTION("""COMPUTED_VALUE"""),"Uncle Sams Cider (5/13/2022)")</f>
        <v>Uncle Sams Cider (5/13/2022)</v>
      </c>
      <c r="H7710" s="19"/>
    </row>
    <row r="7711">
      <c r="A7711" s="9"/>
      <c r="B7711" s="15"/>
      <c r="C7711" s="9">
        <f>IFERROR(__xludf.DUMMYFUNCTION("""COMPUTED_VALUE"""),44716.2164417361)</f>
        <v>44716.21644</v>
      </c>
      <c r="D7711" s="15">
        <f>IFERROR(__xludf.DUMMYFUNCTION("""COMPUTED_VALUE"""),1.012)</f>
        <v>1.012</v>
      </c>
      <c r="E7711" s="16">
        <f>IFERROR(__xludf.DUMMYFUNCTION("""COMPUTED_VALUE"""),66.0)</f>
        <v>66</v>
      </c>
      <c r="F7711" s="19" t="str">
        <f>IFERROR(__xludf.DUMMYFUNCTION("""COMPUTED_VALUE"""),"BLACK")</f>
        <v>BLACK</v>
      </c>
      <c r="G7711" s="20" t="str">
        <f>IFERROR(__xludf.DUMMYFUNCTION("""COMPUTED_VALUE"""),"Uncle Sams Cider (5/13/2022)")</f>
        <v>Uncle Sams Cider (5/13/2022)</v>
      </c>
      <c r="H7711" s="19"/>
    </row>
    <row r="7712">
      <c r="A7712" s="9"/>
      <c r="B7712" s="15"/>
      <c r="C7712" s="9">
        <f>IFERROR(__xludf.DUMMYFUNCTION("""COMPUTED_VALUE"""),44716.2060099537)</f>
        <v>44716.20601</v>
      </c>
      <c r="D7712" s="15">
        <f>IFERROR(__xludf.DUMMYFUNCTION("""COMPUTED_VALUE"""),1.012)</f>
        <v>1.012</v>
      </c>
      <c r="E7712" s="16">
        <f>IFERROR(__xludf.DUMMYFUNCTION("""COMPUTED_VALUE"""),66.0)</f>
        <v>66</v>
      </c>
      <c r="F7712" s="19" t="str">
        <f>IFERROR(__xludf.DUMMYFUNCTION("""COMPUTED_VALUE"""),"BLACK")</f>
        <v>BLACK</v>
      </c>
      <c r="G7712" s="20" t="str">
        <f>IFERROR(__xludf.DUMMYFUNCTION("""COMPUTED_VALUE"""),"Uncle Sams Cider (5/13/2022)")</f>
        <v>Uncle Sams Cider (5/13/2022)</v>
      </c>
      <c r="H7712" s="19"/>
    </row>
    <row r="7713">
      <c r="A7713" s="9"/>
      <c r="B7713" s="15"/>
      <c r="C7713" s="9">
        <f>IFERROR(__xludf.DUMMYFUNCTION("""COMPUTED_VALUE"""),44716.1955656481)</f>
        <v>44716.19557</v>
      </c>
      <c r="D7713" s="15">
        <f>IFERROR(__xludf.DUMMYFUNCTION("""COMPUTED_VALUE"""),1.012)</f>
        <v>1.012</v>
      </c>
      <c r="E7713" s="16">
        <f>IFERROR(__xludf.DUMMYFUNCTION("""COMPUTED_VALUE"""),66.0)</f>
        <v>66</v>
      </c>
      <c r="F7713" s="19" t="str">
        <f>IFERROR(__xludf.DUMMYFUNCTION("""COMPUTED_VALUE"""),"BLACK")</f>
        <v>BLACK</v>
      </c>
      <c r="G7713" s="20" t="str">
        <f>IFERROR(__xludf.DUMMYFUNCTION("""COMPUTED_VALUE"""),"Uncle Sams Cider (5/13/2022)")</f>
        <v>Uncle Sams Cider (5/13/2022)</v>
      </c>
      <c r="H7713" s="19"/>
    </row>
    <row r="7714">
      <c r="A7714" s="9"/>
      <c r="B7714" s="15"/>
      <c r="C7714" s="9">
        <f>IFERROR(__xludf.DUMMYFUNCTION("""COMPUTED_VALUE"""),44716.1851454166)</f>
        <v>44716.18515</v>
      </c>
      <c r="D7714" s="15">
        <f>IFERROR(__xludf.DUMMYFUNCTION("""COMPUTED_VALUE"""),1.012)</f>
        <v>1.012</v>
      </c>
      <c r="E7714" s="16">
        <f>IFERROR(__xludf.DUMMYFUNCTION("""COMPUTED_VALUE"""),66.0)</f>
        <v>66</v>
      </c>
      <c r="F7714" s="19" t="str">
        <f>IFERROR(__xludf.DUMMYFUNCTION("""COMPUTED_VALUE"""),"BLACK")</f>
        <v>BLACK</v>
      </c>
      <c r="G7714" s="20" t="str">
        <f>IFERROR(__xludf.DUMMYFUNCTION("""COMPUTED_VALUE"""),"Uncle Sams Cider (5/13/2022)")</f>
        <v>Uncle Sams Cider (5/13/2022)</v>
      </c>
      <c r="H7714" s="19"/>
    </row>
    <row r="7715">
      <c r="A7715" s="9"/>
      <c r="B7715" s="15"/>
      <c r="C7715" s="9">
        <f>IFERROR(__xludf.DUMMYFUNCTION("""COMPUTED_VALUE"""),44716.1747135301)</f>
        <v>44716.17471</v>
      </c>
      <c r="D7715" s="15">
        <f>IFERROR(__xludf.DUMMYFUNCTION("""COMPUTED_VALUE"""),1.012)</f>
        <v>1.012</v>
      </c>
      <c r="E7715" s="16">
        <f>IFERROR(__xludf.DUMMYFUNCTION("""COMPUTED_VALUE"""),66.0)</f>
        <v>66</v>
      </c>
      <c r="F7715" s="19" t="str">
        <f>IFERROR(__xludf.DUMMYFUNCTION("""COMPUTED_VALUE"""),"BLACK")</f>
        <v>BLACK</v>
      </c>
      <c r="G7715" s="20" t="str">
        <f>IFERROR(__xludf.DUMMYFUNCTION("""COMPUTED_VALUE"""),"Uncle Sams Cider (5/13/2022)")</f>
        <v>Uncle Sams Cider (5/13/2022)</v>
      </c>
      <c r="H7715" s="19"/>
    </row>
    <row r="7716">
      <c r="A7716" s="9"/>
      <c r="B7716" s="15"/>
      <c r="C7716" s="9">
        <f>IFERROR(__xludf.DUMMYFUNCTION("""COMPUTED_VALUE"""),44716.1642911574)</f>
        <v>44716.16429</v>
      </c>
      <c r="D7716" s="15">
        <f>IFERROR(__xludf.DUMMYFUNCTION("""COMPUTED_VALUE"""),1.012)</f>
        <v>1.012</v>
      </c>
      <c r="E7716" s="16">
        <f>IFERROR(__xludf.DUMMYFUNCTION("""COMPUTED_VALUE"""),66.0)</f>
        <v>66</v>
      </c>
      <c r="F7716" s="19" t="str">
        <f>IFERROR(__xludf.DUMMYFUNCTION("""COMPUTED_VALUE"""),"BLACK")</f>
        <v>BLACK</v>
      </c>
      <c r="G7716" s="20" t="str">
        <f>IFERROR(__xludf.DUMMYFUNCTION("""COMPUTED_VALUE"""),"Uncle Sams Cider (5/13/2022)")</f>
        <v>Uncle Sams Cider (5/13/2022)</v>
      </c>
      <c r="H7716" s="19"/>
    </row>
    <row r="7717">
      <c r="A7717" s="9"/>
      <c r="B7717" s="15"/>
      <c r="C7717" s="9">
        <f>IFERROR(__xludf.DUMMYFUNCTION("""COMPUTED_VALUE"""),44716.1538461921)</f>
        <v>44716.15385</v>
      </c>
      <c r="D7717" s="15">
        <f>IFERROR(__xludf.DUMMYFUNCTION("""COMPUTED_VALUE"""),1.013)</f>
        <v>1.013</v>
      </c>
      <c r="E7717" s="16">
        <f>IFERROR(__xludf.DUMMYFUNCTION("""COMPUTED_VALUE"""),66.0)</f>
        <v>66</v>
      </c>
      <c r="F7717" s="19" t="str">
        <f>IFERROR(__xludf.DUMMYFUNCTION("""COMPUTED_VALUE"""),"BLACK")</f>
        <v>BLACK</v>
      </c>
      <c r="G7717" s="20" t="str">
        <f>IFERROR(__xludf.DUMMYFUNCTION("""COMPUTED_VALUE"""),"Uncle Sams Cider (5/13/2022)")</f>
        <v>Uncle Sams Cider (5/13/2022)</v>
      </c>
      <c r="H7717" s="19"/>
    </row>
    <row r="7718">
      <c r="A7718" s="9"/>
      <c r="B7718" s="15"/>
      <c r="C7718" s="9">
        <f>IFERROR(__xludf.DUMMYFUNCTION("""COMPUTED_VALUE"""),44716.1434136921)</f>
        <v>44716.14341</v>
      </c>
      <c r="D7718" s="15">
        <f>IFERROR(__xludf.DUMMYFUNCTION("""COMPUTED_VALUE"""),1.013)</f>
        <v>1.013</v>
      </c>
      <c r="E7718" s="16">
        <f>IFERROR(__xludf.DUMMYFUNCTION("""COMPUTED_VALUE"""),66.0)</f>
        <v>66</v>
      </c>
      <c r="F7718" s="19" t="str">
        <f>IFERROR(__xludf.DUMMYFUNCTION("""COMPUTED_VALUE"""),"BLACK")</f>
        <v>BLACK</v>
      </c>
      <c r="G7718" s="20" t="str">
        <f>IFERROR(__xludf.DUMMYFUNCTION("""COMPUTED_VALUE"""),"Uncle Sams Cider (5/13/2022)")</f>
        <v>Uncle Sams Cider (5/13/2022)</v>
      </c>
      <c r="H7718" s="19"/>
    </row>
    <row r="7719">
      <c r="A7719" s="9"/>
      <c r="B7719" s="15"/>
      <c r="C7719" s="9">
        <f>IFERROR(__xludf.DUMMYFUNCTION("""COMPUTED_VALUE"""),44716.1329924421)</f>
        <v>44716.13299</v>
      </c>
      <c r="D7719" s="15">
        <f>IFERROR(__xludf.DUMMYFUNCTION("""COMPUTED_VALUE"""),1.012)</f>
        <v>1.012</v>
      </c>
      <c r="E7719" s="16">
        <f>IFERROR(__xludf.DUMMYFUNCTION("""COMPUTED_VALUE"""),66.0)</f>
        <v>66</v>
      </c>
      <c r="F7719" s="19" t="str">
        <f>IFERROR(__xludf.DUMMYFUNCTION("""COMPUTED_VALUE"""),"BLACK")</f>
        <v>BLACK</v>
      </c>
      <c r="G7719" s="20" t="str">
        <f>IFERROR(__xludf.DUMMYFUNCTION("""COMPUTED_VALUE"""),"Uncle Sams Cider (5/13/2022)")</f>
        <v>Uncle Sams Cider (5/13/2022)</v>
      </c>
      <c r="H7719" s="19"/>
    </row>
    <row r="7720">
      <c r="A7720" s="9"/>
      <c r="B7720" s="15"/>
      <c r="C7720" s="9">
        <f>IFERROR(__xludf.DUMMYFUNCTION("""COMPUTED_VALUE"""),44716.1225726388)</f>
        <v>44716.12257</v>
      </c>
      <c r="D7720" s="15">
        <f>IFERROR(__xludf.DUMMYFUNCTION("""COMPUTED_VALUE"""),1.012)</f>
        <v>1.012</v>
      </c>
      <c r="E7720" s="16">
        <f>IFERROR(__xludf.DUMMYFUNCTION("""COMPUTED_VALUE"""),66.0)</f>
        <v>66</v>
      </c>
      <c r="F7720" s="19" t="str">
        <f>IFERROR(__xludf.DUMMYFUNCTION("""COMPUTED_VALUE"""),"BLACK")</f>
        <v>BLACK</v>
      </c>
      <c r="G7720" s="20" t="str">
        <f>IFERROR(__xludf.DUMMYFUNCTION("""COMPUTED_VALUE"""),"Uncle Sams Cider (5/13/2022)")</f>
        <v>Uncle Sams Cider (5/13/2022)</v>
      </c>
      <c r="H7720" s="19"/>
    </row>
    <row r="7721">
      <c r="A7721" s="9"/>
      <c r="B7721" s="15"/>
      <c r="C7721" s="9">
        <f>IFERROR(__xludf.DUMMYFUNCTION("""COMPUTED_VALUE"""),44716.1121274768)</f>
        <v>44716.11213</v>
      </c>
      <c r="D7721" s="15">
        <f>IFERROR(__xludf.DUMMYFUNCTION("""COMPUTED_VALUE"""),1.012)</f>
        <v>1.012</v>
      </c>
      <c r="E7721" s="16">
        <f>IFERROR(__xludf.DUMMYFUNCTION("""COMPUTED_VALUE"""),66.0)</f>
        <v>66</v>
      </c>
      <c r="F7721" s="19" t="str">
        <f>IFERROR(__xludf.DUMMYFUNCTION("""COMPUTED_VALUE"""),"BLACK")</f>
        <v>BLACK</v>
      </c>
      <c r="G7721" s="20" t="str">
        <f>IFERROR(__xludf.DUMMYFUNCTION("""COMPUTED_VALUE"""),"Uncle Sams Cider (5/13/2022)")</f>
        <v>Uncle Sams Cider (5/13/2022)</v>
      </c>
      <c r="H7721" s="19"/>
    </row>
    <row r="7722">
      <c r="A7722" s="9"/>
      <c r="B7722" s="15"/>
      <c r="C7722" s="9">
        <f>IFERROR(__xludf.DUMMYFUNCTION("""COMPUTED_VALUE"""),44716.1016967939)</f>
        <v>44716.1017</v>
      </c>
      <c r="D7722" s="15">
        <f>IFERROR(__xludf.DUMMYFUNCTION("""COMPUTED_VALUE"""),1.012)</f>
        <v>1.012</v>
      </c>
      <c r="E7722" s="16">
        <f>IFERROR(__xludf.DUMMYFUNCTION("""COMPUTED_VALUE"""),66.0)</f>
        <v>66</v>
      </c>
      <c r="F7722" s="19" t="str">
        <f>IFERROR(__xludf.DUMMYFUNCTION("""COMPUTED_VALUE"""),"BLACK")</f>
        <v>BLACK</v>
      </c>
      <c r="G7722" s="20" t="str">
        <f>IFERROR(__xludf.DUMMYFUNCTION("""COMPUTED_VALUE"""),"Uncle Sams Cider (5/13/2022)")</f>
        <v>Uncle Sams Cider (5/13/2022)</v>
      </c>
      <c r="H7722" s="19"/>
    </row>
    <row r="7723">
      <c r="A7723" s="9"/>
      <c r="B7723" s="15"/>
      <c r="C7723" s="9">
        <f>IFERROR(__xludf.DUMMYFUNCTION("""COMPUTED_VALUE"""),44716.0912752314)</f>
        <v>44716.09128</v>
      </c>
      <c r="D7723" s="15">
        <f>IFERROR(__xludf.DUMMYFUNCTION("""COMPUTED_VALUE"""),1.013)</f>
        <v>1.013</v>
      </c>
      <c r="E7723" s="16">
        <f>IFERROR(__xludf.DUMMYFUNCTION("""COMPUTED_VALUE"""),66.0)</f>
        <v>66</v>
      </c>
      <c r="F7723" s="19" t="str">
        <f>IFERROR(__xludf.DUMMYFUNCTION("""COMPUTED_VALUE"""),"BLACK")</f>
        <v>BLACK</v>
      </c>
      <c r="G7723" s="20" t="str">
        <f>IFERROR(__xludf.DUMMYFUNCTION("""COMPUTED_VALUE"""),"Uncle Sams Cider (5/13/2022)")</f>
        <v>Uncle Sams Cider (5/13/2022)</v>
      </c>
      <c r="H7723" s="19"/>
    </row>
    <row r="7724">
      <c r="A7724" s="9"/>
      <c r="B7724" s="15"/>
      <c r="C7724" s="9">
        <f>IFERROR(__xludf.DUMMYFUNCTION("""COMPUTED_VALUE"""),44716.0808293518)</f>
        <v>44716.08083</v>
      </c>
      <c r="D7724" s="15">
        <f>IFERROR(__xludf.DUMMYFUNCTION("""COMPUTED_VALUE"""),1.012)</f>
        <v>1.012</v>
      </c>
      <c r="E7724" s="16">
        <f>IFERROR(__xludf.DUMMYFUNCTION("""COMPUTED_VALUE"""),67.0)</f>
        <v>67</v>
      </c>
      <c r="F7724" s="19" t="str">
        <f>IFERROR(__xludf.DUMMYFUNCTION("""COMPUTED_VALUE"""),"BLACK")</f>
        <v>BLACK</v>
      </c>
      <c r="G7724" s="20" t="str">
        <f>IFERROR(__xludf.DUMMYFUNCTION("""COMPUTED_VALUE"""),"Uncle Sams Cider (5/13/2022)")</f>
        <v>Uncle Sams Cider (5/13/2022)</v>
      </c>
      <c r="H7724" s="19"/>
    </row>
    <row r="7725">
      <c r="A7725" s="9"/>
      <c r="B7725" s="15"/>
      <c r="C7725" s="9">
        <f>IFERROR(__xludf.DUMMYFUNCTION("""COMPUTED_VALUE"""),44716.0704078472)</f>
        <v>44716.07041</v>
      </c>
      <c r="D7725" s="15">
        <f>IFERROR(__xludf.DUMMYFUNCTION("""COMPUTED_VALUE"""),1.012)</f>
        <v>1.012</v>
      </c>
      <c r="E7725" s="16">
        <f>IFERROR(__xludf.DUMMYFUNCTION("""COMPUTED_VALUE"""),67.0)</f>
        <v>67</v>
      </c>
      <c r="F7725" s="19" t="str">
        <f>IFERROR(__xludf.DUMMYFUNCTION("""COMPUTED_VALUE"""),"BLACK")</f>
        <v>BLACK</v>
      </c>
      <c r="G7725" s="20" t="str">
        <f>IFERROR(__xludf.DUMMYFUNCTION("""COMPUTED_VALUE"""),"Uncle Sams Cider (5/13/2022)")</f>
        <v>Uncle Sams Cider (5/13/2022)</v>
      </c>
      <c r="H7725" s="19"/>
    </row>
    <row r="7726">
      <c r="A7726" s="9"/>
      <c r="B7726" s="15"/>
      <c r="C7726" s="9">
        <f>IFERROR(__xludf.DUMMYFUNCTION("""COMPUTED_VALUE"""),44716.0599762384)</f>
        <v>44716.05998</v>
      </c>
      <c r="D7726" s="15">
        <f>IFERROR(__xludf.DUMMYFUNCTION("""COMPUTED_VALUE"""),1.012)</f>
        <v>1.012</v>
      </c>
      <c r="E7726" s="16">
        <f>IFERROR(__xludf.DUMMYFUNCTION("""COMPUTED_VALUE"""),67.0)</f>
        <v>67</v>
      </c>
      <c r="F7726" s="19" t="str">
        <f>IFERROR(__xludf.DUMMYFUNCTION("""COMPUTED_VALUE"""),"BLACK")</f>
        <v>BLACK</v>
      </c>
      <c r="G7726" s="20" t="str">
        <f>IFERROR(__xludf.DUMMYFUNCTION("""COMPUTED_VALUE"""),"Uncle Sams Cider (5/13/2022)")</f>
        <v>Uncle Sams Cider (5/13/2022)</v>
      </c>
      <c r="H7726" s="19"/>
    </row>
    <row r="7727">
      <c r="A7727" s="9"/>
      <c r="B7727" s="15"/>
      <c r="C7727" s="9">
        <f>IFERROR(__xludf.DUMMYFUNCTION("""COMPUTED_VALUE"""),44716.0495306597)</f>
        <v>44716.04953</v>
      </c>
      <c r="D7727" s="15">
        <f>IFERROR(__xludf.DUMMYFUNCTION("""COMPUTED_VALUE"""),1.012)</f>
        <v>1.012</v>
      </c>
      <c r="E7727" s="16">
        <f>IFERROR(__xludf.DUMMYFUNCTION("""COMPUTED_VALUE"""),68.0)</f>
        <v>68</v>
      </c>
      <c r="F7727" s="19" t="str">
        <f>IFERROR(__xludf.DUMMYFUNCTION("""COMPUTED_VALUE"""),"BLACK")</f>
        <v>BLACK</v>
      </c>
      <c r="G7727" s="20" t="str">
        <f>IFERROR(__xludf.DUMMYFUNCTION("""COMPUTED_VALUE"""),"Uncle Sams Cider (5/13/2022)")</f>
        <v>Uncle Sams Cider (5/13/2022)</v>
      </c>
      <c r="H7727" s="19"/>
    </row>
    <row r="7728">
      <c r="A7728" s="9"/>
      <c r="B7728" s="15"/>
      <c r="C7728" s="9">
        <f>IFERROR(__xludf.DUMMYFUNCTION("""COMPUTED_VALUE"""),44716.039085949)</f>
        <v>44716.03909</v>
      </c>
      <c r="D7728" s="15">
        <f>IFERROR(__xludf.DUMMYFUNCTION("""COMPUTED_VALUE"""),1.012)</f>
        <v>1.012</v>
      </c>
      <c r="E7728" s="16">
        <f>IFERROR(__xludf.DUMMYFUNCTION("""COMPUTED_VALUE"""),69.0)</f>
        <v>69</v>
      </c>
      <c r="F7728" s="19" t="str">
        <f>IFERROR(__xludf.DUMMYFUNCTION("""COMPUTED_VALUE"""),"BLACK")</f>
        <v>BLACK</v>
      </c>
      <c r="G7728" s="20" t="str">
        <f>IFERROR(__xludf.DUMMYFUNCTION("""COMPUTED_VALUE"""),"Uncle Sams Cider (5/13/2022)")</f>
        <v>Uncle Sams Cider (5/13/2022)</v>
      </c>
      <c r="H7728" s="19"/>
    </row>
    <row r="7729">
      <c r="A7729" s="9"/>
      <c r="B7729" s="15"/>
      <c r="C7729" s="9">
        <f>IFERROR(__xludf.DUMMYFUNCTION("""COMPUTED_VALUE"""),44716.0286519907)</f>
        <v>44716.02865</v>
      </c>
      <c r="D7729" s="15">
        <f>IFERROR(__xludf.DUMMYFUNCTION("""COMPUTED_VALUE"""),1.012)</f>
        <v>1.012</v>
      </c>
      <c r="E7729" s="16">
        <f>IFERROR(__xludf.DUMMYFUNCTION("""COMPUTED_VALUE"""),70.0)</f>
        <v>70</v>
      </c>
      <c r="F7729" s="19" t="str">
        <f>IFERROR(__xludf.DUMMYFUNCTION("""COMPUTED_VALUE"""),"BLACK")</f>
        <v>BLACK</v>
      </c>
      <c r="G7729" s="20" t="str">
        <f>IFERROR(__xludf.DUMMYFUNCTION("""COMPUTED_VALUE"""),"Uncle Sams Cider (5/13/2022)")</f>
        <v>Uncle Sams Cider (5/13/2022)</v>
      </c>
      <c r="H7729" s="19"/>
    </row>
    <row r="7730">
      <c r="A7730" s="9"/>
      <c r="B7730" s="15"/>
      <c r="C7730" s="9">
        <f>IFERROR(__xludf.DUMMYFUNCTION("""COMPUTED_VALUE"""),44716.0182312962)</f>
        <v>44716.01823</v>
      </c>
      <c r="D7730" s="15">
        <f>IFERROR(__xludf.DUMMYFUNCTION("""COMPUTED_VALUE"""),1.012)</f>
        <v>1.012</v>
      </c>
      <c r="E7730" s="16">
        <f>IFERROR(__xludf.DUMMYFUNCTION("""COMPUTED_VALUE"""),70.0)</f>
        <v>70</v>
      </c>
      <c r="F7730" s="19" t="str">
        <f>IFERROR(__xludf.DUMMYFUNCTION("""COMPUTED_VALUE"""),"BLACK")</f>
        <v>BLACK</v>
      </c>
      <c r="G7730" s="20" t="str">
        <f>IFERROR(__xludf.DUMMYFUNCTION("""COMPUTED_VALUE"""),"Uncle Sams Cider (5/13/2022)")</f>
        <v>Uncle Sams Cider (5/13/2022)</v>
      </c>
      <c r="H7730" s="19"/>
    </row>
    <row r="7731">
      <c r="A7731" s="9"/>
      <c r="B7731" s="15"/>
      <c r="C7731" s="9">
        <f>IFERROR(__xludf.DUMMYFUNCTION("""COMPUTED_VALUE"""),44716.0077998495)</f>
        <v>44716.0078</v>
      </c>
      <c r="D7731" s="15">
        <f>IFERROR(__xludf.DUMMYFUNCTION("""COMPUTED_VALUE"""),1.012)</f>
        <v>1.012</v>
      </c>
      <c r="E7731" s="16">
        <f>IFERROR(__xludf.DUMMYFUNCTION("""COMPUTED_VALUE"""),70.0)</f>
        <v>70</v>
      </c>
      <c r="F7731" s="19" t="str">
        <f>IFERROR(__xludf.DUMMYFUNCTION("""COMPUTED_VALUE"""),"BLACK")</f>
        <v>BLACK</v>
      </c>
      <c r="G7731" s="20" t="str">
        <f>IFERROR(__xludf.DUMMYFUNCTION("""COMPUTED_VALUE"""),"Uncle Sams Cider (5/13/2022)")</f>
        <v>Uncle Sams Cider (5/13/2022)</v>
      </c>
      <c r="H7731" s="19"/>
    </row>
    <row r="7732">
      <c r="A7732" s="9"/>
      <c r="B7732" s="15"/>
      <c r="C7732" s="9">
        <f>IFERROR(__xludf.DUMMYFUNCTION("""COMPUTED_VALUE"""),44715.9973532523)</f>
        <v>44715.99735</v>
      </c>
      <c r="D7732" s="15">
        <f>IFERROR(__xludf.DUMMYFUNCTION("""COMPUTED_VALUE"""),1.012)</f>
        <v>1.012</v>
      </c>
      <c r="E7732" s="16">
        <f>IFERROR(__xludf.DUMMYFUNCTION("""COMPUTED_VALUE"""),70.0)</f>
        <v>70</v>
      </c>
      <c r="F7732" s="19" t="str">
        <f>IFERROR(__xludf.DUMMYFUNCTION("""COMPUTED_VALUE"""),"BLACK")</f>
        <v>BLACK</v>
      </c>
      <c r="G7732" s="20" t="str">
        <f>IFERROR(__xludf.DUMMYFUNCTION("""COMPUTED_VALUE"""),"Uncle Sams Cider (5/13/2022)")</f>
        <v>Uncle Sams Cider (5/13/2022)</v>
      </c>
      <c r="H7732" s="19"/>
    </row>
    <row r="7733">
      <c r="A7733" s="9"/>
      <c r="B7733" s="15"/>
      <c r="C7733" s="9">
        <f>IFERROR(__xludf.DUMMYFUNCTION("""COMPUTED_VALUE"""),44715.9869317824)</f>
        <v>44715.98693</v>
      </c>
      <c r="D7733" s="15">
        <f>IFERROR(__xludf.DUMMYFUNCTION("""COMPUTED_VALUE"""),1.012)</f>
        <v>1.012</v>
      </c>
      <c r="E7733" s="16">
        <f>IFERROR(__xludf.DUMMYFUNCTION("""COMPUTED_VALUE"""),70.0)</f>
        <v>70</v>
      </c>
      <c r="F7733" s="19" t="str">
        <f>IFERROR(__xludf.DUMMYFUNCTION("""COMPUTED_VALUE"""),"BLACK")</f>
        <v>BLACK</v>
      </c>
      <c r="G7733" s="20" t="str">
        <f>IFERROR(__xludf.DUMMYFUNCTION("""COMPUTED_VALUE"""),"Uncle Sams Cider (5/13/2022)")</f>
        <v>Uncle Sams Cider (5/13/2022)</v>
      </c>
      <c r="H7733" s="19"/>
    </row>
    <row r="7734">
      <c r="A7734" s="9"/>
      <c r="B7734" s="15"/>
      <c r="C7734" s="9">
        <f>IFERROR(__xludf.DUMMYFUNCTION("""COMPUTED_VALUE"""),44715.9765106134)</f>
        <v>44715.97651</v>
      </c>
      <c r="D7734" s="15">
        <f>IFERROR(__xludf.DUMMYFUNCTION("""COMPUTED_VALUE"""),1.013)</f>
        <v>1.013</v>
      </c>
      <c r="E7734" s="16">
        <f>IFERROR(__xludf.DUMMYFUNCTION("""COMPUTED_VALUE"""),70.0)</f>
        <v>70</v>
      </c>
      <c r="F7734" s="19" t="str">
        <f>IFERROR(__xludf.DUMMYFUNCTION("""COMPUTED_VALUE"""),"BLACK")</f>
        <v>BLACK</v>
      </c>
      <c r="G7734" s="20" t="str">
        <f>IFERROR(__xludf.DUMMYFUNCTION("""COMPUTED_VALUE"""),"Uncle Sams Cider (5/13/2022)")</f>
        <v>Uncle Sams Cider (5/13/2022)</v>
      </c>
      <c r="H7734" s="19"/>
    </row>
    <row r="7735">
      <c r="A7735" s="9"/>
      <c r="B7735" s="15"/>
      <c r="C7735" s="9">
        <f>IFERROR(__xludf.DUMMYFUNCTION("""COMPUTED_VALUE"""),44715.9660896064)</f>
        <v>44715.96609</v>
      </c>
      <c r="D7735" s="15">
        <f>IFERROR(__xludf.DUMMYFUNCTION("""COMPUTED_VALUE"""),1.012)</f>
        <v>1.012</v>
      </c>
      <c r="E7735" s="16">
        <f>IFERROR(__xludf.DUMMYFUNCTION("""COMPUTED_VALUE"""),70.0)</f>
        <v>70</v>
      </c>
      <c r="F7735" s="19" t="str">
        <f>IFERROR(__xludf.DUMMYFUNCTION("""COMPUTED_VALUE"""),"BLACK")</f>
        <v>BLACK</v>
      </c>
      <c r="G7735" s="20" t="str">
        <f>IFERROR(__xludf.DUMMYFUNCTION("""COMPUTED_VALUE"""),"Uncle Sams Cider (5/13/2022)")</f>
        <v>Uncle Sams Cider (5/13/2022)</v>
      </c>
      <c r="H7735" s="19"/>
    </row>
    <row r="7736">
      <c r="A7736" s="9"/>
      <c r="B7736" s="15"/>
      <c r="C7736" s="9">
        <f>IFERROR(__xludf.DUMMYFUNCTION("""COMPUTED_VALUE"""),44715.9556673611)</f>
        <v>44715.95567</v>
      </c>
      <c r="D7736" s="15">
        <f>IFERROR(__xludf.DUMMYFUNCTION("""COMPUTED_VALUE"""),1.012)</f>
        <v>1.012</v>
      </c>
      <c r="E7736" s="16">
        <f>IFERROR(__xludf.DUMMYFUNCTION("""COMPUTED_VALUE"""),70.0)</f>
        <v>70</v>
      </c>
      <c r="F7736" s="19" t="str">
        <f>IFERROR(__xludf.DUMMYFUNCTION("""COMPUTED_VALUE"""),"BLACK")</f>
        <v>BLACK</v>
      </c>
      <c r="G7736" s="20" t="str">
        <f>IFERROR(__xludf.DUMMYFUNCTION("""COMPUTED_VALUE"""),"Uncle Sams Cider (5/13/2022)")</f>
        <v>Uncle Sams Cider (5/13/2022)</v>
      </c>
      <c r="H7736" s="19"/>
    </row>
    <row r="7737">
      <c r="A7737" s="9"/>
      <c r="B7737" s="15"/>
      <c r="C7737" s="9">
        <f>IFERROR(__xludf.DUMMYFUNCTION("""COMPUTED_VALUE"""),44715.9452471296)</f>
        <v>44715.94525</v>
      </c>
      <c r="D7737" s="15">
        <f>IFERROR(__xludf.DUMMYFUNCTION("""COMPUTED_VALUE"""),1.012)</f>
        <v>1.012</v>
      </c>
      <c r="E7737" s="16">
        <f>IFERROR(__xludf.DUMMYFUNCTION("""COMPUTED_VALUE"""),70.0)</f>
        <v>70</v>
      </c>
      <c r="F7737" s="19" t="str">
        <f>IFERROR(__xludf.DUMMYFUNCTION("""COMPUTED_VALUE"""),"BLACK")</f>
        <v>BLACK</v>
      </c>
      <c r="G7737" s="20" t="str">
        <f>IFERROR(__xludf.DUMMYFUNCTION("""COMPUTED_VALUE"""),"Uncle Sams Cider (5/13/2022)")</f>
        <v>Uncle Sams Cider (5/13/2022)</v>
      </c>
      <c r="H7737" s="19"/>
    </row>
    <row r="7738">
      <c r="A7738" s="9"/>
      <c r="B7738" s="15"/>
      <c r="C7738" s="9">
        <f>IFERROR(__xludf.DUMMYFUNCTION("""COMPUTED_VALUE"""),44715.9348255787)</f>
        <v>44715.93483</v>
      </c>
      <c r="D7738" s="15">
        <f>IFERROR(__xludf.DUMMYFUNCTION("""COMPUTED_VALUE"""),1.012)</f>
        <v>1.012</v>
      </c>
      <c r="E7738" s="16">
        <f>IFERROR(__xludf.DUMMYFUNCTION("""COMPUTED_VALUE"""),70.0)</f>
        <v>70</v>
      </c>
      <c r="F7738" s="19" t="str">
        <f>IFERROR(__xludf.DUMMYFUNCTION("""COMPUTED_VALUE"""),"BLACK")</f>
        <v>BLACK</v>
      </c>
      <c r="G7738" s="20" t="str">
        <f>IFERROR(__xludf.DUMMYFUNCTION("""COMPUTED_VALUE"""),"Uncle Sams Cider (5/13/2022)")</f>
        <v>Uncle Sams Cider (5/13/2022)</v>
      </c>
      <c r="H7738" s="19"/>
    </row>
    <row r="7739">
      <c r="A7739" s="9"/>
      <c r="B7739" s="15"/>
      <c r="C7739" s="9">
        <f>IFERROR(__xludf.DUMMYFUNCTION("""COMPUTED_VALUE"""),44715.9243683912)</f>
        <v>44715.92437</v>
      </c>
      <c r="D7739" s="15">
        <f>IFERROR(__xludf.DUMMYFUNCTION("""COMPUTED_VALUE"""),1.012)</f>
        <v>1.012</v>
      </c>
      <c r="E7739" s="16">
        <f>IFERROR(__xludf.DUMMYFUNCTION("""COMPUTED_VALUE"""),70.0)</f>
        <v>70</v>
      </c>
      <c r="F7739" s="19" t="str">
        <f>IFERROR(__xludf.DUMMYFUNCTION("""COMPUTED_VALUE"""),"BLACK")</f>
        <v>BLACK</v>
      </c>
      <c r="G7739" s="20" t="str">
        <f>IFERROR(__xludf.DUMMYFUNCTION("""COMPUTED_VALUE"""),"Uncle Sams Cider (5/13/2022)")</f>
        <v>Uncle Sams Cider (5/13/2022)</v>
      </c>
      <c r="H7739" s="19"/>
    </row>
    <row r="7740">
      <c r="A7740" s="9"/>
      <c r="B7740" s="15"/>
      <c r="C7740" s="9">
        <f>IFERROR(__xludf.DUMMYFUNCTION("""COMPUTED_VALUE"""),44715.9139454629)</f>
        <v>44715.91395</v>
      </c>
      <c r="D7740" s="15">
        <f>IFERROR(__xludf.DUMMYFUNCTION("""COMPUTED_VALUE"""),1.012)</f>
        <v>1.012</v>
      </c>
      <c r="E7740" s="16">
        <f>IFERROR(__xludf.DUMMYFUNCTION("""COMPUTED_VALUE"""),70.0)</f>
        <v>70</v>
      </c>
      <c r="F7740" s="19" t="str">
        <f>IFERROR(__xludf.DUMMYFUNCTION("""COMPUTED_VALUE"""),"BLACK")</f>
        <v>BLACK</v>
      </c>
      <c r="G7740" s="20" t="str">
        <f>IFERROR(__xludf.DUMMYFUNCTION("""COMPUTED_VALUE"""),"Uncle Sams Cider (5/13/2022)")</f>
        <v>Uncle Sams Cider (5/13/2022)</v>
      </c>
      <c r="H7740" s="19"/>
    </row>
    <row r="7741">
      <c r="A7741" s="9"/>
      <c r="B7741" s="15"/>
      <c r="C7741" s="9">
        <f>IFERROR(__xludf.DUMMYFUNCTION("""COMPUTED_VALUE"""),44715.903522581)</f>
        <v>44715.90352</v>
      </c>
      <c r="D7741" s="15">
        <f>IFERROR(__xludf.DUMMYFUNCTION("""COMPUTED_VALUE"""),1.012)</f>
        <v>1.012</v>
      </c>
      <c r="E7741" s="16">
        <f>IFERROR(__xludf.DUMMYFUNCTION("""COMPUTED_VALUE"""),70.0)</f>
        <v>70</v>
      </c>
      <c r="F7741" s="19" t="str">
        <f>IFERROR(__xludf.DUMMYFUNCTION("""COMPUTED_VALUE"""),"BLACK")</f>
        <v>BLACK</v>
      </c>
      <c r="G7741" s="20" t="str">
        <f>IFERROR(__xludf.DUMMYFUNCTION("""COMPUTED_VALUE"""),"Uncle Sams Cider (5/13/2022)")</f>
        <v>Uncle Sams Cider (5/13/2022)</v>
      </c>
      <c r="H7741" s="19"/>
    </row>
    <row r="7742">
      <c r="A7742" s="9"/>
      <c r="B7742" s="15"/>
      <c r="C7742" s="9">
        <f>IFERROR(__xludf.DUMMYFUNCTION("""COMPUTED_VALUE"""),44715.8931000463)</f>
        <v>44715.8931</v>
      </c>
      <c r="D7742" s="15">
        <f>IFERROR(__xludf.DUMMYFUNCTION("""COMPUTED_VALUE"""),1.013)</f>
        <v>1.013</v>
      </c>
      <c r="E7742" s="16">
        <f>IFERROR(__xludf.DUMMYFUNCTION("""COMPUTED_VALUE"""),70.0)</f>
        <v>70</v>
      </c>
      <c r="F7742" s="19" t="str">
        <f>IFERROR(__xludf.DUMMYFUNCTION("""COMPUTED_VALUE"""),"BLACK")</f>
        <v>BLACK</v>
      </c>
      <c r="G7742" s="20" t="str">
        <f>IFERROR(__xludf.DUMMYFUNCTION("""COMPUTED_VALUE"""),"Uncle Sams Cider (5/13/2022)")</f>
        <v>Uncle Sams Cider (5/13/2022)</v>
      </c>
      <c r="H7742" s="19"/>
    </row>
    <row r="7743">
      <c r="A7743" s="9"/>
      <c r="B7743" s="15"/>
      <c r="C7743" s="9">
        <f>IFERROR(__xludf.DUMMYFUNCTION("""COMPUTED_VALUE"""),44715.8826697453)</f>
        <v>44715.88267</v>
      </c>
      <c r="D7743" s="15">
        <f>IFERROR(__xludf.DUMMYFUNCTION("""COMPUTED_VALUE"""),1.013)</f>
        <v>1.013</v>
      </c>
      <c r="E7743" s="16">
        <f>IFERROR(__xludf.DUMMYFUNCTION("""COMPUTED_VALUE"""),70.0)</f>
        <v>70</v>
      </c>
      <c r="F7743" s="19" t="str">
        <f>IFERROR(__xludf.DUMMYFUNCTION("""COMPUTED_VALUE"""),"BLACK")</f>
        <v>BLACK</v>
      </c>
      <c r="G7743" s="20" t="str">
        <f>IFERROR(__xludf.DUMMYFUNCTION("""COMPUTED_VALUE"""),"Uncle Sams Cider (5/13/2022)")</f>
        <v>Uncle Sams Cider (5/13/2022)</v>
      </c>
      <c r="H7743" s="19"/>
    </row>
    <row r="7744">
      <c r="A7744" s="9"/>
      <c r="B7744" s="15"/>
      <c r="C7744" s="9">
        <f>IFERROR(__xludf.DUMMYFUNCTION("""COMPUTED_VALUE"""),44715.8722374305)</f>
        <v>44715.87224</v>
      </c>
      <c r="D7744" s="15">
        <f>IFERROR(__xludf.DUMMYFUNCTION("""COMPUTED_VALUE"""),1.013)</f>
        <v>1.013</v>
      </c>
      <c r="E7744" s="16">
        <f>IFERROR(__xludf.DUMMYFUNCTION("""COMPUTED_VALUE"""),70.0)</f>
        <v>70</v>
      </c>
      <c r="F7744" s="19" t="str">
        <f>IFERROR(__xludf.DUMMYFUNCTION("""COMPUTED_VALUE"""),"BLACK")</f>
        <v>BLACK</v>
      </c>
      <c r="G7744" s="20" t="str">
        <f>IFERROR(__xludf.DUMMYFUNCTION("""COMPUTED_VALUE"""),"Uncle Sams Cider (5/13/2022)")</f>
        <v>Uncle Sams Cider (5/13/2022)</v>
      </c>
      <c r="H7744" s="19"/>
    </row>
    <row r="7745">
      <c r="A7745" s="9"/>
      <c r="B7745" s="15"/>
      <c r="C7745" s="9">
        <f>IFERROR(__xludf.DUMMYFUNCTION("""COMPUTED_VALUE"""),44715.8618177199)</f>
        <v>44715.86182</v>
      </c>
      <c r="D7745" s="15">
        <f>IFERROR(__xludf.DUMMYFUNCTION("""COMPUTED_VALUE"""),1.012)</f>
        <v>1.012</v>
      </c>
      <c r="E7745" s="16">
        <f>IFERROR(__xludf.DUMMYFUNCTION("""COMPUTED_VALUE"""),70.0)</f>
        <v>70</v>
      </c>
      <c r="F7745" s="19" t="str">
        <f>IFERROR(__xludf.DUMMYFUNCTION("""COMPUTED_VALUE"""),"BLACK")</f>
        <v>BLACK</v>
      </c>
      <c r="G7745" s="20" t="str">
        <f>IFERROR(__xludf.DUMMYFUNCTION("""COMPUTED_VALUE"""),"Uncle Sams Cider (5/13/2022)")</f>
        <v>Uncle Sams Cider (5/13/2022)</v>
      </c>
      <c r="H7745" s="19"/>
    </row>
    <row r="7746">
      <c r="A7746" s="9"/>
      <c r="B7746" s="15"/>
      <c r="C7746" s="9">
        <f>IFERROR(__xludf.DUMMYFUNCTION("""COMPUTED_VALUE"""),44715.8513973148)</f>
        <v>44715.8514</v>
      </c>
      <c r="D7746" s="15">
        <f>IFERROR(__xludf.DUMMYFUNCTION("""COMPUTED_VALUE"""),1.012)</f>
        <v>1.012</v>
      </c>
      <c r="E7746" s="16">
        <f>IFERROR(__xludf.DUMMYFUNCTION("""COMPUTED_VALUE"""),70.0)</f>
        <v>70</v>
      </c>
      <c r="F7746" s="19" t="str">
        <f>IFERROR(__xludf.DUMMYFUNCTION("""COMPUTED_VALUE"""),"BLACK")</f>
        <v>BLACK</v>
      </c>
      <c r="G7746" s="20" t="str">
        <f>IFERROR(__xludf.DUMMYFUNCTION("""COMPUTED_VALUE"""),"Uncle Sams Cider (5/13/2022)")</f>
        <v>Uncle Sams Cider (5/13/2022)</v>
      </c>
      <c r="H7746" s="19"/>
    </row>
    <row r="7747">
      <c r="A7747" s="9"/>
      <c r="B7747" s="15"/>
      <c r="C7747" s="9">
        <f>IFERROR(__xludf.DUMMYFUNCTION("""COMPUTED_VALUE"""),44715.8409765856)</f>
        <v>44715.84098</v>
      </c>
      <c r="D7747" s="15">
        <f>IFERROR(__xludf.DUMMYFUNCTION("""COMPUTED_VALUE"""),1.013)</f>
        <v>1.013</v>
      </c>
      <c r="E7747" s="16">
        <f>IFERROR(__xludf.DUMMYFUNCTION("""COMPUTED_VALUE"""),70.0)</f>
        <v>70</v>
      </c>
      <c r="F7747" s="19" t="str">
        <f>IFERROR(__xludf.DUMMYFUNCTION("""COMPUTED_VALUE"""),"BLACK")</f>
        <v>BLACK</v>
      </c>
      <c r="G7747" s="20" t="str">
        <f>IFERROR(__xludf.DUMMYFUNCTION("""COMPUTED_VALUE"""),"Uncle Sams Cider (5/13/2022)")</f>
        <v>Uncle Sams Cider (5/13/2022)</v>
      </c>
      <c r="H7747" s="19"/>
    </row>
    <row r="7748">
      <c r="A7748" s="9"/>
      <c r="B7748" s="15"/>
      <c r="C7748" s="9">
        <f>IFERROR(__xludf.DUMMYFUNCTION("""COMPUTED_VALUE"""),44715.8305444328)</f>
        <v>44715.83054</v>
      </c>
      <c r="D7748" s="15">
        <f>IFERROR(__xludf.DUMMYFUNCTION("""COMPUTED_VALUE"""),1.012)</f>
        <v>1.012</v>
      </c>
      <c r="E7748" s="16">
        <f>IFERROR(__xludf.DUMMYFUNCTION("""COMPUTED_VALUE"""),70.0)</f>
        <v>70</v>
      </c>
      <c r="F7748" s="19" t="str">
        <f>IFERROR(__xludf.DUMMYFUNCTION("""COMPUTED_VALUE"""),"BLACK")</f>
        <v>BLACK</v>
      </c>
      <c r="G7748" s="20" t="str">
        <f>IFERROR(__xludf.DUMMYFUNCTION("""COMPUTED_VALUE"""),"Uncle Sams Cider (5/13/2022)")</f>
        <v>Uncle Sams Cider (5/13/2022)</v>
      </c>
      <c r="H7748" s="19"/>
    </row>
    <row r="7749">
      <c r="A7749" s="9"/>
      <c r="B7749" s="15"/>
      <c r="C7749" s="9">
        <f>IFERROR(__xludf.DUMMYFUNCTION("""COMPUTED_VALUE"""),44715.8201244675)</f>
        <v>44715.82012</v>
      </c>
      <c r="D7749" s="15">
        <f>IFERROR(__xludf.DUMMYFUNCTION("""COMPUTED_VALUE"""),1.012)</f>
        <v>1.012</v>
      </c>
      <c r="E7749" s="16">
        <f>IFERROR(__xludf.DUMMYFUNCTION("""COMPUTED_VALUE"""),70.0)</f>
        <v>70</v>
      </c>
      <c r="F7749" s="19" t="str">
        <f>IFERROR(__xludf.DUMMYFUNCTION("""COMPUTED_VALUE"""),"BLACK")</f>
        <v>BLACK</v>
      </c>
      <c r="G7749" s="20" t="str">
        <f>IFERROR(__xludf.DUMMYFUNCTION("""COMPUTED_VALUE"""),"Uncle Sams Cider (5/13/2022)")</f>
        <v>Uncle Sams Cider (5/13/2022)</v>
      </c>
      <c r="H7749" s="19"/>
    </row>
    <row r="7750">
      <c r="A7750" s="9"/>
      <c r="B7750" s="15"/>
      <c r="C7750" s="9">
        <f>IFERROR(__xludf.DUMMYFUNCTION("""COMPUTED_VALUE"""),44715.8097021064)</f>
        <v>44715.8097</v>
      </c>
      <c r="D7750" s="15">
        <f>IFERROR(__xludf.DUMMYFUNCTION("""COMPUTED_VALUE"""),1.012)</f>
        <v>1.012</v>
      </c>
      <c r="E7750" s="16">
        <f>IFERROR(__xludf.DUMMYFUNCTION("""COMPUTED_VALUE"""),70.0)</f>
        <v>70</v>
      </c>
      <c r="F7750" s="19" t="str">
        <f>IFERROR(__xludf.DUMMYFUNCTION("""COMPUTED_VALUE"""),"BLACK")</f>
        <v>BLACK</v>
      </c>
      <c r="G7750" s="20" t="str">
        <f>IFERROR(__xludf.DUMMYFUNCTION("""COMPUTED_VALUE"""),"Uncle Sams Cider (5/13/2022)")</f>
        <v>Uncle Sams Cider (5/13/2022)</v>
      </c>
      <c r="H7750" s="19"/>
    </row>
    <row r="7751">
      <c r="A7751" s="9"/>
      <c r="B7751" s="15"/>
      <c r="C7751" s="9">
        <f>IFERROR(__xludf.DUMMYFUNCTION("""COMPUTED_VALUE"""),44715.7992809606)</f>
        <v>44715.79928</v>
      </c>
      <c r="D7751" s="15">
        <f>IFERROR(__xludf.DUMMYFUNCTION("""COMPUTED_VALUE"""),1.013)</f>
        <v>1.013</v>
      </c>
      <c r="E7751" s="16">
        <f>IFERROR(__xludf.DUMMYFUNCTION("""COMPUTED_VALUE"""),69.0)</f>
        <v>69</v>
      </c>
      <c r="F7751" s="19" t="str">
        <f>IFERROR(__xludf.DUMMYFUNCTION("""COMPUTED_VALUE"""),"BLACK")</f>
        <v>BLACK</v>
      </c>
      <c r="G7751" s="20" t="str">
        <f>IFERROR(__xludf.DUMMYFUNCTION("""COMPUTED_VALUE"""),"Uncle Sams Cider (5/13/2022)")</f>
        <v>Uncle Sams Cider (5/13/2022)</v>
      </c>
      <c r="H7751" s="19"/>
    </row>
    <row r="7752">
      <c r="A7752" s="9"/>
      <c r="B7752" s="15"/>
      <c r="C7752" s="9">
        <f>IFERROR(__xludf.DUMMYFUNCTION("""COMPUTED_VALUE"""),44715.788860787)</f>
        <v>44715.78886</v>
      </c>
      <c r="D7752" s="15">
        <f>IFERROR(__xludf.DUMMYFUNCTION("""COMPUTED_VALUE"""),1.013)</f>
        <v>1.013</v>
      </c>
      <c r="E7752" s="16">
        <f>IFERROR(__xludf.DUMMYFUNCTION("""COMPUTED_VALUE"""),69.0)</f>
        <v>69</v>
      </c>
      <c r="F7752" s="19" t="str">
        <f>IFERROR(__xludf.DUMMYFUNCTION("""COMPUTED_VALUE"""),"BLACK")</f>
        <v>BLACK</v>
      </c>
      <c r="G7752" s="20" t="str">
        <f>IFERROR(__xludf.DUMMYFUNCTION("""COMPUTED_VALUE"""),"Uncle Sams Cider (5/13/2022)")</f>
        <v>Uncle Sams Cider (5/13/2022)</v>
      </c>
      <c r="H7752" s="19"/>
    </row>
    <row r="7753">
      <c r="A7753" s="9"/>
      <c r="B7753" s="15"/>
      <c r="C7753" s="9">
        <f>IFERROR(__xludf.DUMMYFUNCTION("""COMPUTED_VALUE"""),44715.7784053125)</f>
        <v>44715.77841</v>
      </c>
      <c r="D7753" s="15">
        <f>IFERROR(__xludf.DUMMYFUNCTION("""COMPUTED_VALUE"""),1.012)</f>
        <v>1.012</v>
      </c>
      <c r="E7753" s="16">
        <f>IFERROR(__xludf.DUMMYFUNCTION("""COMPUTED_VALUE"""),70.0)</f>
        <v>70</v>
      </c>
      <c r="F7753" s="19" t="str">
        <f>IFERROR(__xludf.DUMMYFUNCTION("""COMPUTED_VALUE"""),"BLACK")</f>
        <v>BLACK</v>
      </c>
      <c r="G7753" s="20" t="str">
        <f>IFERROR(__xludf.DUMMYFUNCTION("""COMPUTED_VALUE"""),"Uncle Sams Cider (5/13/2022)")</f>
        <v>Uncle Sams Cider (5/13/2022)</v>
      </c>
      <c r="H7753" s="19"/>
    </row>
    <row r="7754">
      <c r="A7754" s="9"/>
      <c r="B7754" s="15"/>
      <c r="C7754" s="9">
        <f>IFERROR(__xludf.DUMMYFUNCTION("""COMPUTED_VALUE"""),44715.7679840277)</f>
        <v>44715.76798</v>
      </c>
      <c r="D7754" s="15">
        <f>IFERROR(__xludf.DUMMYFUNCTION("""COMPUTED_VALUE"""),1.013)</f>
        <v>1.013</v>
      </c>
      <c r="E7754" s="16">
        <f>IFERROR(__xludf.DUMMYFUNCTION("""COMPUTED_VALUE"""),70.0)</f>
        <v>70</v>
      </c>
      <c r="F7754" s="19" t="str">
        <f>IFERROR(__xludf.DUMMYFUNCTION("""COMPUTED_VALUE"""),"BLACK")</f>
        <v>BLACK</v>
      </c>
      <c r="G7754" s="20" t="str">
        <f>IFERROR(__xludf.DUMMYFUNCTION("""COMPUTED_VALUE"""),"Uncle Sams Cider (5/13/2022)")</f>
        <v>Uncle Sams Cider (5/13/2022)</v>
      </c>
      <c r="H7754" s="19"/>
    </row>
    <row r="7755">
      <c r="A7755" s="9"/>
      <c r="B7755" s="15"/>
      <c r="C7755" s="9">
        <f>IFERROR(__xludf.DUMMYFUNCTION("""COMPUTED_VALUE"""),44715.7575510995)</f>
        <v>44715.75755</v>
      </c>
      <c r="D7755" s="15">
        <f>IFERROR(__xludf.DUMMYFUNCTION("""COMPUTED_VALUE"""),1.013)</f>
        <v>1.013</v>
      </c>
      <c r="E7755" s="16">
        <f>IFERROR(__xludf.DUMMYFUNCTION("""COMPUTED_VALUE"""),69.0)</f>
        <v>69</v>
      </c>
      <c r="F7755" s="19" t="str">
        <f>IFERROR(__xludf.DUMMYFUNCTION("""COMPUTED_VALUE"""),"BLACK")</f>
        <v>BLACK</v>
      </c>
      <c r="G7755" s="20" t="str">
        <f>IFERROR(__xludf.DUMMYFUNCTION("""COMPUTED_VALUE"""),"Uncle Sams Cider (5/13/2022)")</f>
        <v>Uncle Sams Cider (5/13/2022)</v>
      </c>
      <c r="H7755" s="19"/>
    </row>
    <row r="7756">
      <c r="A7756" s="9"/>
      <c r="B7756" s="15"/>
      <c r="C7756" s="9">
        <f>IFERROR(__xludf.DUMMYFUNCTION("""COMPUTED_VALUE"""),44715.7471294212)</f>
        <v>44715.74713</v>
      </c>
      <c r="D7756" s="15">
        <f>IFERROR(__xludf.DUMMYFUNCTION("""COMPUTED_VALUE"""),1.013)</f>
        <v>1.013</v>
      </c>
      <c r="E7756" s="16">
        <f>IFERROR(__xludf.DUMMYFUNCTION("""COMPUTED_VALUE"""),69.0)</f>
        <v>69</v>
      </c>
      <c r="F7756" s="19" t="str">
        <f>IFERROR(__xludf.DUMMYFUNCTION("""COMPUTED_VALUE"""),"BLACK")</f>
        <v>BLACK</v>
      </c>
      <c r="G7756" s="20" t="str">
        <f>IFERROR(__xludf.DUMMYFUNCTION("""COMPUTED_VALUE"""),"Uncle Sams Cider (5/13/2022)")</f>
        <v>Uncle Sams Cider (5/13/2022)</v>
      </c>
      <c r="H7756" s="19"/>
    </row>
    <row r="7757">
      <c r="A7757" s="9"/>
      <c r="B7757" s="15"/>
      <c r="C7757" s="9">
        <f>IFERROR(__xludf.DUMMYFUNCTION("""COMPUTED_VALUE"""),44715.7367077546)</f>
        <v>44715.73671</v>
      </c>
      <c r="D7757" s="15">
        <f>IFERROR(__xludf.DUMMYFUNCTION("""COMPUTED_VALUE"""),1.012)</f>
        <v>1.012</v>
      </c>
      <c r="E7757" s="16">
        <f>IFERROR(__xludf.DUMMYFUNCTION("""COMPUTED_VALUE"""),69.0)</f>
        <v>69</v>
      </c>
      <c r="F7757" s="19" t="str">
        <f>IFERROR(__xludf.DUMMYFUNCTION("""COMPUTED_VALUE"""),"BLACK")</f>
        <v>BLACK</v>
      </c>
      <c r="G7757" s="20" t="str">
        <f>IFERROR(__xludf.DUMMYFUNCTION("""COMPUTED_VALUE"""),"Uncle Sams Cider (5/13/2022)")</f>
        <v>Uncle Sams Cider (5/13/2022)</v>
      </c>
      <c r="H7757" s="19"/>
    </row>
    <row r="7758">
      <c r="A7758" s="9"/>
      <c r="B7758" s="15"/>
      <c r="C7758" s="9">
        <f>IFERROR(__xludf.DUMMYFUNCTION("""COMPUTED_VALUE"""),44715.7262746296)</f>
        <v>44715.72627</v>
      </c>
      <c r="D7758" s="15">
        <f>IFERROR(__xludf.DUMMYFUNCTION("""COMPUTED_VALUE"""),1.013)</f>
        <v>1.013</v>
      </c>
      <c r="E7758" s="16">
        <f>IFERROR(__xludf.DUMMYFUNCTION("""COMPUTED_VALUE"""),70.0)</f>
        <v>70</v>
      </c>
      <c r="F7758" s="19" t="str">
        <f>IFERROR(__xludf.DUMMYFUNCTION("""COMPUTED_VALUE"""),"BLACK")</f>
        <v>BLACK</v>
      </c>
      <c r="G7758" s="20" t="str">
        <f>IFERROR(__xludf.DUMMYFUNCTION("""COMPUTED_VALUE"""),"Uncle Sams Cider (5/13/2022)")</f>
        <v>Uncle Sams Cider (5/13/2022)</v>
      </c>
      <c r="H7758" s="19"/>
    </row>
    <row r="7759">
      <c r="A7759" s="9"/>
      <c r="B7759" s="15"/>
      <c r="C7759" s="9">
        <f>IFERROR(__xludf.DUMMYFUNCTION("""COMPUTED_VALUE"""),44715.7158533912)</f>
        <v>44715.71585</v>
      </c>
      <c r="D7759" s="15">
        <f>IFERROR(__xludf.DUMMYFUNCTION("""COMPUTED_VALUE"""),1.013)</f>
        <v>1.013</v>
      </c>
      <c r="E7759" s="16">
        <f>IFERROR(__xludf.DUMMYFUNCTION("""COMPUTED_VALUE"""),69.0)</f>
        <v>69</v>
      </c>
      <c r="F7759" s="19" t="str">
        <f>IFERROR(__xludf.DUMMYFUNCTION("""COMPUTED_VALUE"""),"BLACK")</f>
        <v>BLACK</v>
      </c>
      <c r="G7759" s="20" t="str">
        <f>IFERROR(__xludf.DUMMYFUNCTION("""COMPUTED_VALUE"""),"Uncle Sams Cider (5/13/2022)")</f>
        <v>Uncle Sams Cider (5/13/2022)</v>
      </c>
      <c r="H7759" s="19"/>
    </row>
    <row r="7760">
      <c r="A7760" s="9"/>
      <c r="B7760" s="15"/>
      <c r="C7760" s="9">
        <f>IFERROR(__xludf.DUMMYFUNCTION("""COMPUTED_VALUE"""),44715.705431956)</f>
        <v>44715.70543</v>
      </c>
      <c r="D7760" s="15">
        <f>IFERROR(__xludf.DUMMYFUNCTION("""COMPUTED_VALUE"""),1.013)</f>
        <v>1.013</v>
      </c>
      <c r="E7760" s="16">
        <f>IFERROR(__xludf.DUMMYFUNCTION("""COMPUTED_VALUE"""),69.0)</f>
        <v>69</v>
      </c>
      <c r="F7760" s="19" t="str">
        <f>IFERROR(__xludf.DUMMYFUNCTION("""COMPUTED_VALUE"""),"BLACK")</f>
        <v>BLACK</v>
      </c>
      <c r="G7760" s="20" t="str">
        <f>IFERROR(__xludf.DUMMYFUNCTION("""COMPUTED_VALUE"""),"Uncle Sams Cider (5/13/2022)")</f>
        <v>Uncle Sams Cider (5/13/2022)</v>
      </c>
      <c r="H7760" s="19"/>
    </row>
    <row r="7761">
      <c r="A7761" s="9"/>
      <c r="B7761" s="15"/>
      <c r="C7761" s="9">
        <f>IFERROR(__xludf.DUMMYFUNCTION("""COMPUTED_VALUE"""),44715.6950111574)</f>
        <v>44715.69501</v>
      </c>
      <c r="D7761" s="15">
        <f>IFERROR(__xludf.DUMMYFUNCTION("""COMPUTED_VALUE"""),1.012)</f>
        <v>1.012</v>
      </c>
      <c r="E7761" s="16">
        <f>IFERROR(__xludf.DUMMYFUNCTION("""COMPUTED_VALUE"""),69.0)</f>
        <v>69</v>
      </c>
      <c r="F7761" s="19" t="str">
        <f>IFERROR(__xludf.DUMMYFUNCTION("""COMPUTED_VALUE"""),"BLACK")</f>
        <v>BLACK</v>
      </c>
      <c r="G7761" s="20" t="str">
        <f>IFERROR(__xludf.DUMMYFUNCTION("""COMPUTED_VALUE"""),"Uncle Sams Cider (5/13/2022)")</f>
        <v>Uncle Sams Cider (5/13/2022)</v>
      </c>
      <c r="H7761" s="19"/>
    </row>
    <row r="7762">
      <c r="A7762" s="9"/>
      <c r="B7762" s="15"/>
      <c r="C7762" s="9">
        <f>IFERROR(__xludf.DUMMYFUNCTION("""COMPUTED_VALUE"""),44715.6845892245)</f>
        <v>44715.68459</v>
      </c>
      <c r="D7762" s="15">
        <f>IFERROR(__xludf.DUMMYFUNCTION("""COMPUTED_VALUE"""),1.012)</f>
        <v>1.012</v>
      </c>
      <c r="E7762" s="16">
        <f>IFERROR(__xludf.DUMMYFUNCTION("""COMPUTED_VALUE"""),69.0)</f>
        <v>69</v>
      </c>
      <c r="F7762" s="19" t="str">
        <f>IFERROR(__xludf.DUMMYFUNCTION("""COMPUTED_VALUE"""),"BLACK")</f>
        <v>BLACK</v>
      </c>
      <c r="G7762" s="20" t="str">
        <f>IFERROR(__xludf.DUMMYFUNCTION("""COMPUTED_VALUE"""),"Uncle Sams Cider (5/13/2022)")</f>
        <v>Uncle Sams Cider (5/13/2022)</v>
      </c>
      <c r="H7762" s="19"/>
    </row>
    <row r="7763">
      <c r="A7763" s="9"/>
      <c r="B7763" s="15"/>
      <c r="C7763" s="9">
        <f>IFERROR(__xludf.DUMMYFUNCTION("""COMPUTED_VALUE"""),44715.6741318171)</f>
        <v>44715.67413</v>
      </c>
      <c r="D7763" s="15">
        <f>IFERROR(__xludf.DUMMYFUNCTION("""COMPUTED_VALUE"""),1.013)</f>
        <v>1.013</v>
      </c>
      <c r="E7763" s="16">
        <f>IFERROR(__xludf.DUMMYFUNCTION("""COMPUTED_VALUE"""),69.0)</f>
        <v>69</v>
      </c>
      <c r="F7763" s="19" t="str">
        <f>IFERROR(__xludf.DUMMYFUNCTION("""COMPUTED_VALUE"""),"BLACK")</f>
        <v>BLACK</v>
      </c>
      <c r="G7763" s="20" t="str">
        <f>IFERROR(__xludf.DUMMYFUNCTION("""COMPUTED_VALUE"""),"Uncle Sams Cider (5/13/2022)")</f>
        <v>Uncle Sams Cider (5/13/2022)</v>
      </c>
      <c r="H7763" s="19"/>
    </row>
    <row r="7764">
      <c r="A7764" s="9"/>
      <c r="B7764" s="15"/>
      <c r="C7764" s="9">
        <f>IFERROR(__xludf.DUMMYFUNCTION("""COMPUTED_VALUE"""),44715.6637088078)</f>
        <v>44715.66371</v>
      </c>
      <c r="D7764" s="15">
        <f>IFERROR(__xludf.DUMMYFUNCTION("""COMPUTED_VALUE"""),1.013)</f>
        <v>1.013</v>
      </c>
      <c r="E7764" s="16">
        <f>IFERROR(__xludf.DUMMYFUNCTION("""COMPUTED_VALUE"""),69.0)</f>
        <v>69</v>
      </c>
      <c r="F7764" s="19" t="str">
        <f>IFERROR(__xludf.DUMMYFUNCTION("""COMPUTED_VALUE"""),"BLACK")</f>
        <v>BLACK</v>
      </c>
      <c r="G7764" s="20" t="str">
        <f>IFERROR(__xludf.DUMMYFUNCTION("""COMPUTED_VALUE"""),"Uncle Sams Cider (5/13/2022)")</f>
        <v>Uncle Sams Cider (5/13/2022)</v>
      </c>
      <c r="H7764" s="19"/>
    </row>
    <row r="7765">
      <c r="A7765" s="9"/>
      <c r="B7765" s="15"/>
      <c r="C7765" s="9">
        <f>IFERROR(__xludf.DUMMYFUNCTION("""COMPUTED_VALUE"""),44715.6532875)</f>
        <v>44715.65329</v>
      </c>
      <c r="D7765" s="15">
        <f>IFERROR(__xludf.DUMMYFUNCTION("""COMPUTED_VALUE"""),1.013)</f>
        <v>1.013</v>
      </c>
      <c r="E7765" s="16">
        <f>IFERROR(__xludf.DUMMYFUNCTION("""COMPUTED_VALUE"""),69.0)</f>
        <v>69</v>
      </c>
      <c r="F7765" s="19" t="str">
        <f>IFERROR(__xludf.DUMMYFUNCTION("""COMPUTED_VALUE"""),"BLACK")</f>
        <v>BLACK</v>
      </c>
      <c r="G7765" s="20" t="str">
        <f>IFERROR(__xludf.DUMMYFUNCTION("""COMPUTED_VALUE"""),"Uncle Sams Cider (5/13/2022)")</f>
        <v>Uncle Sams Cider (5/13/2022)</v>
      </c>
      <c r="H7765" s="19"/>
    </row>
    <row r="7766">
      <c r="A7766" s="9"/>
      <c r="B7766" s="15"/>
      <c r="C7766" s="9">
        <f>IFERROR(__xludf.DUMMYFUNCTION("""COMPUTED_VALUE"""),44715.6428655671)</f>
        <v>44715.64287</v>
      </c>
      <c r="D7766" s="15">
        <f>IFERROR(__xludf.DUMMYFUNCTION("""COMPUTED_VALUE"""),1.013)</f>
        <v>1.013</v>
      </c>
      <c r="E7766" s="16">
        <f>IFERROR(__xludf.DUMMYFUNCTION("""COMPUTED_VALUE"""),69.0)</f>
        <v>69</v>
      </c>
      <c r="F7766" s="19" t="str">
        <f>IFERROR(__xludf.DUMMYFUNCTION("""COMPUTED_VALUE"""),"BLACK")</f>
        <v>BLACK</v>
      </c>
      <c r="G7766" s="20" t="str">
        <f>IFERROR(__xludf.DUMMYFUNCTION("""COMPUTED_VALUE"""),"Uncle Sams Cider (5/13/2022)")</f>
        <v>Uncle Sams Cider (5/13/2022)</v>
      </c>
      <c r="H7766" s="19"/>
    </row>
    <row r="7767">
      <c r="A7767" s="9"/>
      <c r="B7767" s="15"/>
      <c r="C7767" s="9">
        <f>IFERROR(__xludf.DUMMYFUNCTION("""COMPUTED_VALUE"""),44715.6324445254)</f>
        <v>44715.63244</v>
      </c>
      <c r="D7767" s="15">
        <f>IFERROR(__xludf.DUMMYFUNCTION("""COMPUTED_VALUE"""),1.013)</f>
        <v>1.013</v>
      </c>
      <c r="E7767" s="16">
        <f>IFERROR(__xludf.DUMMYFUNCTION("""COMPUTED_VALUE"""),69.0)</f>
        <v>69</v>
      </c>
      <c r="F7767" s="19" t="str">
        <f>IFERROR(__xludf.DUMMYFUNCTION("""COMPUTED_VALUE"""),"BLACK")</f>
        <v>BLACK</v>
      </c>
      <c r="G7767" s="20" t="str">
        <f>IFERROR(__xludf.DUMMYFUNCTION("""COMPUTED_VALUE"""),"Uncle Sams Cider (5/13/2022)")</f>
        <v>Uncle Sams Cider (5/13/2022)</v>
      </c>
      <c r="H7767" s="19"/>
    </row>
    <row r="7768">
      <c r="A7768" s="9"/>
      <c r="B7768" s="15"/>
      <c r="C7768" s="9">
        <f>IFERROR(__xludf.DUMMYFUNCTION("""COMPUTED_VALUE"""),44715.6220223379)</f>
        <v>44715.62202</v>
      </c>
      <c r="D7768" s="15">
        <f>IFERROR(__xludf.DUMMYFUNCTION("""COMPUTED_VALUE"""),1.013)</f>
        <v>1.013</v>
      </c>
      <c r="E7768" s="16">
        <f>IFERROR(__xludf.DUMMYFUNCTION("""COMPUTED_VALUE"""),69.0)</f>
        <v>69</v>
      </c>
      <c r="F7768" s="19" t="str">
        <f>IFERROR(__xludf.DUMMYFUNCTION("""COMPUTED_VALUE"""),"BLACK")</f>
        <v>BLACK</v>
      </c>
      <c r="G7768" s="20" t="str">
        <f>IFERROR(__xludf.DUMMYFUNCTION("""COMPUTED_VALUE"""),"Uncle Sams Cider (5/13/2022)")</f>
        <v>Uncle Sams Cider (5/13/2022)</v>
      </c>
      <c r="H7768" s="19"/>
    </row>
    <row r="7769">
      <c r="A7769" s="9"/>
      <c r="B7769" s="15"/>
      <c r="C7769" s="9">
        <f>IFERROR(__xludf.DUMMYFUNCTION("""COMPUTED_VALUE"""),44715.6115765625)</f>
        <v>44715.61158</v>
      </c>
      <c r="D7769" s="15">
        <f>IFERROR(__xludf.DUMMYFUNCTION("""COMPUTED_VALUE"""),1.013)</f>
        <v>1.013</v>
      </c>
      <c r="E7769" s="16">
        <f>IFERROR(__xludf.DUMMYFUNCTION("""COMPUTED_VALUE"""),69.0)</f>
        <v>69</v>
      </c>
      <c r="F7769" s="19" t="str">
        <f>IFERROR(__xludf.DUMMYFUNCTION("""COMPUTED_VALUE"""),"BLACK")</f>
        <v>BLACK</v>
      </c>
      <c r="G7769" s="20" t="str">
        <f>IFERROR(__xludf.DUMMYFUNCTION("""COMPUTED_VALUE"""),"Uncle Sams Cider (5/13/2022)")</f>
        <v>Uncle Sams Cider (5/13/2022)</v>
      </c>
      <c r="H7769" s="19"/>
    </row>
    <row r="7770">
      <c r="A7770" s="9"/>
      <c r="B7770" s="15"/>
      <c r="C7770" s="9">
        <f>IFERROR(__xludf.DUMMYFUNCTION("""COMPUTED_VALUE"""),44715.6011561458)</f>
        <v>44715.60116</v>
      </c>
      <c r="D7770" s="15">
        <f>IFERROR(__xludf.DUMMYFUNCTION("""COMPUTED_VALUE"""),1.013)</f>
        <v>1.013</v>
      </c>
      <c r="E7770" s="16">
        <f>IFERROR(__xludf.DUMMYFUNCTION("""COMPUTED_VALUE"""),69.0)</f>
        <v>69</v>
      </c>
      <c r="F7770" s="19" t="str">
        <f>IFERROR(__xludf.DUMMYFUNCTION("""COMPUTED_VALUE"""),"BLACK")</f>
        <v>BLACK</v>
      </c>
      <c r="G7770" s="20" t="str">
        <f>IFERROR(__xludf.DUMMYFUNCTION("""COMPUTED_VALUE"""),"Uncle Sams Cider (5/13/2022)")</f>
        <v>Uncle Sams Cider (5/13/2022)</v>
      </c>
      <c r="H7770" s="19"/>
    </row>
    <row r="7771">
      <c r="A7771" s="9"/>
      <c r="B7771" s="15"/>
      <c r="C7771" s="9">
        <f>IFERROR(__xludf.DUMMYFUNCTION("""COMPUTED_VALUE"""),44715.5907347685)</f>
        <v>44715.59073</v>
      </c>
      <c r="D7771" s="15">
        <f>IFERROR(__xludf.DUMMYFUNCTION("""COMPUTED_VALUE"""),1.013)</f>
        <v>1.013</v>
      </c>
      <c r="E7771" s="16">
        <f>IFERROR(__xludf.DUMMYFUNCTION("""COMPUTED_VALUE"""),69.0)</f>
        <v>69</v>
      </c>
      <c r="F7771" s="19" t="str">
        <f>IFERROR(__xludf.DUMMYFUNCTION("""COMPUTED_VALUE"""),"BLACK")</f>
        <v>BLACK</v>
      </c>
      <c r="G7771" s="20" t="str">
        <f>IFERROR(__xludf.DUMMYFUNCTION("""COMPUTED_VALUE"""),"Uncle Sams Cider (5/13/2022)")</f>
        <v>Uncle Sams Cider (5/13/2022)</v>
      </c>
      <c r="H7771" s="19"/>
    </row>
    <row r="7772">
      <c r="A7772" s="9"/>
      <c r="B7772" s="15"/>
      <c r="C7772" s="9">
        <f>IFERROR(__xludf.DUMMYFUNCTION("""COMPUTED_VALUE"""),44715.580302905)</f>
        <v>44715.5803</v>
      </c>
      <c r="D7772" s="15">
        <f>IFERROR(__xludf.DUMMYFUNCTION("""COMPUTED_VALUE"""),1.013)</f>
        <v>1.013</v>
      </c>
      <c r="E7772" s="16">
        <f>IFERROR(__xludf.DUMMYFUNCTION("""COMPUTED_VALUE"""),69.0)</f>
        <v>69</v>
      </c>
      <c r="F7772" s="19" t="str">
        <f>IFERROR(__xludf.DUMMYFUNCTION("""COMPUTED_VALUE"""),"BLACK")</f>
        <v>BLACK</v>
      </c>
      <c r="G7772" s="20" t="str">
        <f>IFERROR(__xludf.DUMMYFUNCTION("""COMPUTED_VALUE"""),"Uncle Sams Cider (5/13/2022)")</f>
        <v>Uncle Sams Cider (5/13/2022)</v>
      </c>
      <c r="H7772" s="19"/>
    </row>
    <row r="7773">
      <c r="A7773" s="9"/>
      <c r="B7773" s="15"/>
      <c r="C7773" s="9">
        <f>IFERROR(__xludf.DUMMYFUNCTION("""COMPUTED_VALUE"""),44715.5698703472)</f>
        <v>44715.56987</v>
      </c>
      <c r="D7773" s="15">
        <f>IFERROR(__xludf.DUMMYFUNCTION("""COMPUTED_VALUE"""),1.013)</f>
        <v>1.013</v>
      </c>
      <c r="E7773" s="16">
        <f>IFERROR(__xludf.DUMMYFUNCTION("""COMPUTED_VALUE"""),69.0)</f>
        <v>69</v>
      </c>
      <c r="F7773" s="19" t="str">
        <f>IFERROR(__xludf.DUMMYFUNCTION("""COMPUTED_VALUE"""),"BLACK")</f>
        <v>BLACK</v>
      </c>
      <c r="G7773" s="20" t="str">
        <f>IFERROR(__xludf.DUMMYFUNCTION("""COMPUTED_VALUE"""),"Uncle Sams Cider (5/13/2022)")</f>
        <v>Uncle Sams Cider (5/13/2022)</v>
      </c>
      <c r="H7773" s="19"/>
    </row>
    <row r="7774">
      <c r="A7774" s="9"/>
      <c r="B7774" s="15"/>
      <c r="C7774" s="9">
        <f>IFERROR(__xludf.DUMMYFUNCTION("""COMPUTED_VALUE"""),44715.5594498148)</f>
        <v>44715.55945</v>
      </c>
      <c r="D7774" s="15">
        <f>IFERROR(__xludf.DUMMYFUNCTION("""COMPUTED_VALUE"""),1.013)</f>
        <v>1.013</v>
      </c>
      <c r="E7774" s="16">
        <f>IFERROR(__xludf.DUMMYFUNCTION("""COMPUTED_VALUE"""),69.0)</f>
        <v>69</v>
      </c>
      <c r="F7774" s="19" t="str">
        <f>IFERROR(__xludf.DUMMYFUNCTION("""COMPUTED_VALUE"""),"BLACK")</f>
        <v>BLACK</v>
      </c>
      <c r="G7774" s="20" t="str">
        <f>IFERROR(__xludf.DUMMYFUNCTION("""COMPUTED_VALUE"""),"Uncle Sams Cider (5/13/2022)")</f>
        <v>Uncle Sams Cider (5/13/2022)</v>
      </c>
      <c r="H7774" s="19"/>
    </row>
    <row r="7775">
      <c r="A7775" s="9"/>
      <c r="B7775" s="15"/>
      <c r="C7775" s="9">
        <f>IFERROR(__xludf.DUMMYFUNCTION("""COMPUTED_VALUE"""),44715.5490290162)</f>
        <v>44715.54903</v>
      </c>
      <c r="D7775" s="15">
        <f>IFERROR(__xludf.DUMMYFUNCTION("""COMPUTED_VALUE"""),1.013)</f>
        <v>1.013</v>
      </c>
      <c r="E7775" s="16">
        <f>IFERROR(__xludf.DUMMYFUNCTION("""COMPUTED_VALUE"""),69.0)</f>
        <v>69</v>
      </c>
      <c r="F7775" s="19" t="str">
        <f>IFERROR(__xludf.DUMMYFUNCTION("""COMPUTED_VALUE"""),"BLACK")</f>
        <v>BLACK</v>
      </c>
      <c r="G7775" s="20" t="str">
        <f>IFERROR(__xludf.DUMMYFUNCTION("""COMPUTED_VALUE"""),"Uncle Sams Cider (5/13/2022)")</f>
        <v>Uncle Sams Cider (5/13/2022)</v>
      </c>
      <c r="H7775" s="19"/>
    </row>
    <row r="7776">
      <c r="A7776" s="9"/>
      <c r="B7776" s="15"/>
      <c r="C7776" s="9">
        <f>IFERROR(__xludf.DUMMYFUNCTION("""COMPUTED_VALUE"""),44715.5386086342)</f>
        <v>44715.53861</v>
      </c>
      <c r="D7776" s="15">
        <f>IFERROR(__xludf.DUMMYFUNCTION("""COMPUTED_VALUE"""),1.013)</f>
        <v>1.013</v>
      </c>
      <c r="E7776" s="16">
        <f>IFERROR(__xludf.DUMMYFUNCTION("""COMPUTED_VALUE"""),69.0)</f>
        <v>69</v>
      </c>
      <c r="F7776" s="19" t="str">
        <f>IFERROR(__xludf.DUMMYFUNCTION("""COMPUTED_VALUE"""),"BLACK")</f>
        <v>BLACK</v>
      </c>
      <c r="G7776" s="20" t="str">
        <f>IFERROR(__xludf.DUMMYFUNCTION("""COMPUTED_VALUE"""),"Uncle Sams Cider (5/13/2022)")</f>
        <v>Uncle Sams Cider (5/13/2022)</v>
      </c>
      <c r="H7776" s="19"/>
    </row>
    <row r="7777">
      <c r="A7777" s="9"/>
      <c r="B7777" s="15"/>
      <c r="C7777" s="9">
        <f>IFERROR(__xludf.DUMMYFUNCTION("""COMPUTED_VALUE"""),44715.5281871759)</f>
        <v>44715.52819</v>
      </c>
      <c r="D7777" s="15">
        <f>IFERROR(__xludf.DUMMYFUNCTION("""COMPUTED_VALUE"""),1.013)</f>
        <v>1.013</v>
      </c>
      <c r="E7777" s="16">
        <f>IFERROR(__xludf.DUMMYFUNCTION("""COMPUTED_VALUE"""),69.0)</f>
        <v>69</v>
      </c>
      <c r="F7777" s="19" t="str">
        <f>IFERROR(__xludf.DUMMYFUNCTION("""COMPUTED_VALUE"""),"BLACK")</f>
        <v>BLACK</v>
      </c>
      <c r="G7777" s="20" t="str">
        <f>IFERROR(__xludf.DUMMYFUNCTION("""COMPUTED_VALUE"""),"Uncle Sams Cider (5/13/2022)")</f>
        <v>Uncle Sams Cider (5/13/2022)</v>
      </c>
      <c r="H7777" s="19"/>
    </row>
    <row r="7778">
      <c r="A7778" s="9"/>
      <c r="B7778" s="15"/>
      <c r="C7778" s="9">
        <f>IFERROR(__xludf.DUMMYFUNCTION("""COMPUTED_VALUE"""),44715.5177425231)</f>
        <v>44715.51774</v>
      </c>
      <c r="D7778" s="15">
        <f>IFERROR(__xludf.DUMMYFUNCTION("""COMPUTED_VALUE"""),1.013)</f>
        <v>1.013</v>
      </c>
      <c r="E7778" s="16">
        <f>IFERROR(__xludf.DUMMYFUNCTION("""COMPUTED_VALUE"""),69.0)</f>
        <v>69</v>
      </c>
      <c r="F7778" s="19" t="str">
        <f>IFERROR(__xludf.DUMMYFUNCTION("""COMPUTED_VALUE"""),"BLACK")</f>
        <v>BLACK</v>
      </c>
      <c r="G7778" s="20" t="str">
        <f>IFERROR(__xludf.DUMMYFUNCTION("""COMPUTED_VALUE"""),"Uncle Sams Cider (5/13/2022)")</f>
        <v>Uncle Sams Cider (5/13/2022)</v>
      </c>
      <c r="H7778" s="19"/>
    </row>
    <row r="7779">
      <c r="A7779" s="9"/>
      <c r="B7779" s="15"/>
      <c r="C7779" s="9">
        <f>IFERROR(__xludf.DUMMYFUNCTION("""COMPUTED_VALUE"""),44715.5073086342)</f>
        <v>44715.50731</v>
      </c>
      <c r="D7779" s="15">
        <f>IFERROR(__xludf.DUMMYFUNCTION("""COMPUTED_VALUE"""),1.013)</f>
        <v>1.013</v>
      </c>
      <c r="E7779" s="16">
        <f>IFERROR(__xludf.DUMMYFUNCTION("""COMPUTED_VALUE"""),69.0)</f>
        <v>69</v>
      </c>
      <c r="F7779" s="19" t="str">
        <f>IFERROR(__xludf.DUMMYFUNCTION("""COMPUTED_VALUE"""),"BLACK")</f>
        <v>BLACK</v>
      </c>
      <c r="G7779" s="20" t="str">
        <f>IFERROR(__xludf.DUMMYFUNCTION("""COMPUTED_VALUE"""),"Uncle Sams Cider (5/13/2022)")</f>
        <v>Uncle Sams Cider (5/13/2022)</v>
      </c>
      <c r="H7779" s="19"/>
    </row>
    <row r="7780">
      <c r="A7780" s="9"/>
      <c r="B7780" s="15"/>
      <c r="C7780" s="9">
        <f>IFERROR(__xludf.DUMMYFUNCTION("""COMPUTED_VALUE"""),44715.4968867245)</f>
        <v>44715.49689</v>
      </c>
      <c r="D7780" s="15">
        <f>IFERROR(__xludf.DUMMYFUNCTION("""COMPUTED_VALUE"""),1.013)</f>
        <v>1.013</v>
      </c>
      <c r="E7780" s="16">
        <f>IFERROR(__xludf.DUMMYFUNCTION("""COMPUTED_VALUE"""),69.0)</f>
        <v>69</v>
      </c>
      <c r="F7780" s="19" t="str">
        <f>IFERROR(__xludf.DUMMYFUNCTION("""COMPUTED_VALUE"""),"BLACK")</f>
        <v>BLACK</v>
      </c>
      <c r="G7780" s="20" t="str">
        <f>IFERROR(__xludf.DUMMYFUNCTION("""COMPUTED_VALUE"""),"Uncle Sams Cider (5/13/2022)")</f>
        <v>Uncle Sams Cider (5/13/2022)</v>
      </c>
      <c r="H7780" s="19"/>
    </row>
    <row r="7781">
      <c r="A7781" s="9"/>
      <c r="B7781" s="15"/>
      <c r="C7781" s="9">
        <f>IFERROR(__xludf.DUMMYFUNCTION("""COMPUTED_VALUE"""),44715.486443368)</f>
        <v>44715.48644</v>
      </c>
      <c r="D7781" s="15">
        <f>IFERROR(__xludf.DUMMYFUNCTION("""COMPUTED_VALUE"""),1.013)</f>
        <v>1.013</v>
      </c>
      <c r="E7781" s="16">
        <f>IFERROR(__xludf.DUMMYFUNCTION("""COMPUTED_VALUE"""),69.0)</f>
        <v>69</v>
      </c>
      <c r="F7781" s="19" t="str">
        <f>IFERROR(__xludf.DUMMYFUNCTION("""COMPUTED_VALUE"""),"BLACK")</f>
        <v>BLACK</v>
      </c>
      <c r="G7781" s="20" t="str">
        <f>IFERROR(__xludf.DUMMYFUNCTION("""COMPUTED_VALUE"""),"Uncle Sams Cider (5/13/2022)")</f>
        <v>Uncle Sams Cider (5/13/2022)</v>
      </c>
      <c r="H7781" s="19"/>
    </row>
    <row r="7782">
      <c r="A7782" s="9"/>
      <c r="B7782" s="15"/>
      <c r="C7782" s="9">
        <f>IFERROR(__xludf.DUMMYFUNCTION("""COMPUTED_VALUE"""),44715.4760230324)</f>
        <v>44715.47602</v>
      </c>
      <c r="D7782" s="15">
        <f>IFERROR(__xludf.DUMMYFUNCTION("""COMPUTED_VALUE"""),1.013)</f>
        <v>1.013</v>
      </c>
      <c r="E7782" s="16">
        <f>IFERROR(__xludf.DUMMYFUNCTION("""COMPUTED_VALUE"""),69.0)</f>
        <v>69</v>
      </c>
      <c r="F7782" s="19" t="str">
        <f>IFERROR(__xludf.DUMMYFUNCTION("""COMPUTED_VALUE"""),"BLACK")</f>
        <v>BLACK</v>
      </c>
      <c r="G7782" s="20" t="str">
        <f>IFERROR(__xludf.DUMMYFUNCTION("""COMPUTED_VALUE"""),"Uncle Sams Cider (5/13/2022)")</f>
        <v>Uncle Sams Cider (5/13/2022)</v>
      </c>
      <c r="H7782" s="19"/>
    </row>
    <row r="7783">
      <c r="A7783" s="9"/>
      <c r="B7783" s="15"/>
      <c r="C7783" s="9">
        <f>IFERROR(__xludf.DUMMYFUNCTION("""COMPUTED_VALUE"""),44715.4655999652)</f>
        <v>44715.4656</v>
      </c>
      <c r="D7783" s="15">
        <f>IFERROR(__xludf.DUMMYFUNCTION("""COMPUTED_VALUE"""),1.013)</f>
        <v>1.013</v>
      </c>
      <c r="E7783" s="16">
        <f>IFERROR(__xludf.DUMMYFUNCTION("""COMPUTED_VALUE"""),69.0)</f>
        <v>69</v>
      </c>
      <c r="F7783" s="19" t="str">
        <f>IFERROR(__xludf.DUMMYFUNCTION("""COMPUTED_VALUE"""),"BLACK")</f>
        <v>BLACK</v>
      </c>
      <c r="G7783" s="20" t="str">
        <f>IFERROR(__xludf.DUMMYFUNCTION("""COMPUTED_VALUE"""),"Uncle Sams Cider (5/13/2022)")</f>
        <v>Uncle Sams Cider (5/13/2022)</v>
      </c>
      <c r="H7783" s="19"/>
    </row>
    <row r="7784">
      <c r="A7784" s="9"/>
      <c r="B7784" s="15"/>
      <c r="C7784" s="9">
        <f>IFERROR(__xludf.DUMMYFUNCTION("""COMPUTED_VALUE"""),44715.4551798032)</f>
        <v>44715.45518</v>
      </c>
      <c r="D7784" s="15">
        <f>IFERROR(__xludf.DUMMYFUNCTION("""COMPUTED_VALUE"""),1.013)</f>
        <v>1.013</v>
      </c>
      <c r="E7784" s="16">
        <f>IFERROR(__xludf.DUMMYFUNCTION("""COMPUTED_VALUE"""),69.0)</f>
        <v>69</v>
      </c>
      <c r="F7784" s="19" t="str">
        <f>IFERROR(__xludf.DUMMYFUNCTION("""COMPUTED_VALUE"""),"BLACK")</f>
        <v>BLACK</v>
      </c>
      <c r="G7784" s="20" t="str">
        <f>IFERROR(__xludf.DUMMYFUNCTION("""COMPUTED_VALUE"""),"Uncle Sams Cider (5/13/2022)")</f>
        <v>Uncle Sams Cider (5/13/2022)</v>
      </c>
      <c r="H7784" s="19"/>
    </row>
    <row r="7785">
      <c r="A7785" s="9"/>
      <c r="B7785" s="15"/>
      <c r="C7785" s="9">
        <f>IFERROR(__xludf.DUMMYFUNCTION("""COMPUTED_VALUE"""),44715.4447584143)</f>
        <v>44715.44476</v>
      </c>
      <c r="D7785" s="15">
        <f>IFERROR(__xludf.DUMMYFUNCTION("""COMPUTED_VALUE"""),1.013)</f>
        <v>1.013</v>
      </c>
      <c r="E7785" s="16">
        <f>IFERROR(__xludf.DUMMYFUNCTION("""COMPUTED_VALUE"""),69.0)</f>
        <v>69</v>
      </c>
      <c r="F7785" s="19" t="str">
        <f>IFERROR(__xludf.DUMMYFUNCTION("""COMPUTED_VALUE"""),"BLACK")</f>
        <v>BLACK</v>
      </c>
      <c r="G7785" s="20" t="str">
        <f>IFERROR(__xludf.DUMMYFUNCTION("""COMPUTED_VALUE"""),"Uncle Sams Cider (5/13/2022)")</f>
        <v>Uncle Sams Cider (5/13/2022)</v>
      </c>
      <c r="H7785" s="19"/>
    </row>
    <row r="7786">
      <c r="A7786" s="9"/>
      <c r="B7786" s="15"/>
      <c r="C7786" s="9">
        <f>IFERROR(__xludf.DUMMYFUNCTION("""COMPUTED_VALUE"""),44715.4342807523)</f>
        <v>44715.43428</v>
      </c>
      <c r="D7786" s="15">
        <f>IFERROR(__xludf.DUMMYFUNCTION("""COMPUTED_VALUE"""),1.013)</f>
        <v>1.013</v>
      </c>
      <c r="E7786" s="16">
        <f>IFERROR(__xludf.DUMMYFUNCTION("""COMPUTED_VALUE"""),69.0)</f>
        <v>69</v>
      </c>
      <c r="F7786" s="19" t="str">
        <f>IFERROR(__xludf.DUMMYFUNCTION("""COMPUTED_VALUE"""),"BLACK")</f>
        <v>BLACK</v>
      </c>
      <c r="G7786" s="20" t="str">
        <f>IFERROR(__xludf.DUMMYFUNCTION("""COMPUTED_VALUE"""),"Uncle Sams Cider (5/13/2022)")</f>
        <v>Uncle Sams Cider (5/13/2022)</v>
      </c>
      <c r="H7786" s="19"/>
    </row>
    <row r="7787">
      <c r="A7787" s="9"/>
      <c r="B7787" s="15"/>
      <c r="C7787" s="9">
        <f>IFERROR(__xludf.DUMMYFUNCTION("""COMPUTED_VALUE"""),44715.4238592129)</f>
        <v>44715.42386</v>
      </c>
      <c r="D7787" s="15">
        <f>IFERROR(__xludf.DUMMYFUNCTION("""COMPUTED_VALUE"""),1.013)</f>
        <v>1.013</v>
      </c>
      <c r="E7787" s="16">
        <f>IFERROR(__xludf.DUMMYFUNCTION("""COMPUTED_VALUE"""),69.0)</f>
        <v>69</v>
      </c>
      <c r="F7787" s="19" t="str">
        <f>IFERROR(__xludf.DUMMYFUNCTION("""COMPUTED_VALUE"""),"BLACK")</f>
        <v>BLACK</v>
      </c>
      <c r="G7787" s="20" t="str">
        <f>IFERROR(__xludf.DUMMYFUNCTION("""COMPUTED_VALUE"""),"Uncle Sams Cider (5/13/2022)")</f>
        <v>Uncle Sams Cider (5/13/2022)</v>
      </c>
      <c r="H7787" s="19"/>
    </row>
    <row r="7788">
      <c r="A7788" s="9"/>
      <c r="B7788" s="15"/>
      <c r="C7788" s="9">
        <f>IFERROR(__xludf.DUMMYFUNCTION("""COMPUTED_VALUE"""),44715.413439074)</f>
        <v>44715.41344</v>
      </c>
      <c r="D7788" s="15">
        <f>IFERROR(__xludf.DUMMYFUNCTION("""COMPUTED_VALUE"""),1.013)</f>
        <v>1.013</v>
      </c>
      <c r="E7788" s="16">
        <f>IFERROR(__xludf.DUMMYFUNCTION("""COMPUTED_VALUE"""),69.0)</f>
        <v>69</v>
      </c>
      <c r="F7788" s="19" t="str">
        <f>IFERROR(__xludf.DUMMYFUNCTION("""COMPUTED_VALUE"""),"BLACK")</f>
        <v>BLACK</v>
      </c>
      <c r="G7788" s="20" t="str">
        <f>IFERROR(__xludf.DUMMYFUNCTION("""COMPUTED_VALUE"""),"Uncle Sams Cider (5/13/2022)")</f>
        <v>Uncle Sams Cider (5/13/2022)</v>
      </c>
      <c r="H7788" s="19"/>
    </row>
    <row r="7789">
      <c r="A7789" s="9"/>
      <c r="B7789" s="15"/>
      <c r="C7789" s="9">
        <f>IFERROR(__xludf.DUMMYFUNCTION("""COMPUTED_VALUE"""),44715.4030167129)</f>
        <v>44715.40302</v>
      </c>
      <c r="D7789" s="15">
        <f>IFERROR(__xludf.DUMMYFUNCTION("""COMPUTED_VALUE"""),1.013)</f>
        <v>1.013</v>
      </c>
      <c r="E7789" s="16">
        <f>IFERROR(__xludf.DUMMYFUNCTION("""COMPUTED_VALUE"""),69.0)</f>
        <v>69</v>
      </c>
      <c r="F7789" s="19" t="str">
        <f>IFERROR(__xludf.DUMMYFUNCTION("""COMPUTED_VALUE"""),"BLACK")</f>
        <v>BLACK</v>
      </c>
      <c r="G7789" s="20" t="str">
        <f>IFERROR(__xludf.DUMMYFUNCTION("""COMPUTED_VALUE"""),"Uncle Sams Cider (5/13/2022)")</f>
        <v>Uncle Sams Cider (5/13/2022)</v>
      </c>
      <c r="H7789" s="19"/>
    </row>
    <row r="7790">
      <c r="A7790" s="9"/>
      <c r="B7790" s="15"/>
      <c r="C7790" s="9">
        <f>IFERROR(__xludf.DUMMYFUNCTION("""COMPUTED_VALUE"""),44715.3925959953)</f>
        <v>44715.3926</v>
      </c>
      <c r="D7790" s="15">
        <f>IFERROR(__xludf.DUMMYFUNCTION("""COMPUTED_VALUE"""),1.013)</f>
        <v>1.013</v>
      </c>
      <c r="E7790" s="16">
        <f>IFERROR(__xludf.DUMMYFUNCTION("""COMPUTED_VALUE"""),69.0)</f>
        <v>69</v>
      </c>
      <c r="F7790" s="19" t="str">
        <f>IFERROR(__xludf.DUMMYFUNCTION("""COMPUTED_VALUE"""),"BLACK")</f>
        <v>BLACK</v>
      </c>
      <c r="G7790" s="20" t="str">
        <f>IFERROR(__xludf.DUMMYFUNCTION("""COMPUTED_VALUE"""),"Uncle Sams Cider (5/13/2022)")</f>
        <v>Uncle Sams Cider (5/13/2022)</v>
      </c>
      <c r="H7790" s="19"/>
    </row>
    <row r="7791">
      <c r="A7791" s="9"/>
      <c r="B7791" s="15"/>
      <c r="C7791" s="9">
        <f>IFERROR(__xludf.DUMMYFUNCTION("""COMPUTED_VALUE"""),44715.3821745833)</f>
        <v>44715.38217</v>
      </c>
      <c r="D7791" s="15">
        <f>IFERROR(__xludf.DUMMYFUNCTION("""COMPUTED_VALUE"""),1.013)</f>
        <v>1.013</v>
      </c>
      <c r="E7791" s="16">
        <f>IFERROR(__xludf.DUMMYFUNCTION("""COMPUTED_VALUE"""),69.0)</f>
        <v>69</v>
      </c>
      <c r="F7791" s="19" t="str">
        <f>IFERROR(__xludf.DUMMYFUNCTION("""COMPUTED_VALUE"""),"BLACK")</f>
        <v>BLACK</v>
      </c>
      <c r="G7791" s="20" t="str">
        <f>IFERROR(__xludf.DUMMYFUNCTION("""COMPUTED_VALUE"""),"Uncle Sams Cider (5/13/2022)")</f>
        <v>Uncle Sams Cider (5/13/2022)</v>
      </c>
      <c r="H7791" s="19"/>
    </row>
    <row r="7792">
      <c r="A7792" s="9"/>
      <c r="B7792" s="15"/>
      <c r="C7792" s="9">
        <f>IFERROR(__xludf.DUMMYFUNCTION("""COMPUTED_VALUE"""),44715.371742662)</f>
        <v>44715.37174</v>
      </c>
      <c r="D7792" s="15">
        <f>IFERROR(__xludf.DUMMYFUNCTION("""COMPUTED_VALUE"""),1.013)</f>
        <v>1.013</v>
      </c>
      <c r="E7792" s="16">
        <f>IFERROR(__xludf.DUMMYFUNCTION("""COMPUTED_VALUE"""),69.0)</f>
        <v>69</v>
      </c>
      <c r="F7792" s="19" t="str">
        <f>IFERROR(__xludf.DUMMYFUNCTION("""COMPUTED_VALUE"""),"BLACK")</f>
        <v>BLACK</v>
      </c>
      <c r="G7792" s="20" t="str">
        <f>IFERROR(__xludf.DUMMYFUNCTION("""COMPUTED_VALUE"""),"Uncle Sams Cider (5/13/2022)")</f>
        <v>Uncle Sams Cider (5/13/2022)</v>
      </c>
      <c r="H7792" s="19"/>
    </row>
    <row r="7793">
      <c r="A7793" s="9"/>
      <c r="B7793" s="15"/>
      <c r="C7793" s="9">
        <f>IFERROR(__xludf.DUMMYFUNCTION("""COMPUTED_VALUE"""),44715.3613207754)</f>
        <v>44715.36132</v>
      </c>
      <c r="D7793" s="15">
        <f>IFERROR(__xludf.DUMMYFUNCTION("""COMPUTED_VALUE"""),1.013)</f>
        <v>1.013</v>
      </c>
      <c r="E7793" s="16">
        <f>IFERROR(__xludf.DUMMYFUNCTION("""COMPUTED_VALUE"""),69.0)</f>
        <v>69</v>
      </c>
      <c r="F7793" s="19" t="str">
        <f>IFERROR(__xludf.DUMMYFUNCTION("""COMPUTED_VALUE"""),"BLACK")</f>
        <v>BLACK</v>
      </c>
      <c r="G7793" s="20" t="str">
        <f>IFERROR(__xludf.DUMMYFUNCTION("""COMPUTED_VALUE"""),"Uncle Sams Cider (5/13/2022)")</f>
        <v>Uncle Sams Cider (5/13/2022)</v>
      </c>
      <c r="H7793" s="19"/>
    </row>
    <row r="7794">
      <c r="A7794" s="9"/>
      <c r="B7794" s="15"/>
      <c r="C7794" s="9">
        <f>IFERROR(__xludf.DUMMYFUNCTION("""COMPUTED_VALUE"""),44715.3509007291)</f>
        <v>44715.3509</v>
      </c>
      <c r="D7794" s="15">
        <f>IFERROR(__xludf.DUMMYFUNCTION("""COMPUTED_VALUE"""),1.013)</f>
        <v>1.013</v>
      </c>
      <c r="E7794" s="16">
        <f>IFERROR(__xludf.DUMMYFUNCTION("""COMPUTED_VALUE"""),69.0)</f>
        <v>69</v>
      </c>
      <c r="F7794" s="19" t="str">
        <f>IFERROR(__xludf.DUMMYFUNCTION("""COMPUTED_VALUE"""),"BLACK")</f>
        <v>BLACK</v>
      </c>
      <c r="G7794" s="20" t="str">
        <f>IFERROR(__xludf.DUMMYFUNCTION("""COMPUTED_VALUE"""),"Uncle Sams Cider (5/13/2022)")</f>
        <v>Uncle Sams Cider (5/13/2022)</v>
      </c>
      <c r="H7794" s="19"/>
    </row>
    <row r="7795">
      <c r="A7795" s="9"/>
      <c r="B7795" s="15"/>
      <c r="C7795" s="9">
        <f>IFERROR(__xludf.DUMMYFUNCTION("""COMPUTED_VALUE"""),44715.3404803819)</f>
        <v>44715.34048</v>
      </c>
      <c r="D7795" s="15">
        <f>IFERROR(__xludf.DUMMYFUNCTION("""COMPUTED_VALUE"""),1.013)</f>
        <v>1.013</v>
      </c>
      <c r="E7795" s="16">
        <f>IFERROR(__xludf.DUMMYFUNCTION("""COMPUTED_VALUE"""),69.0)</f>
        <v>69</v>
      </c>
      <c r="F7795" s="19" t="str">
        <f>IFERROR(__xludf.DUMMYFUNCTION("""COMPUTED_VALUE"""),"BLACK")</f>
        <v>BLACK</v>
      </c>
      <c r="G7795" s="20" t="str">
        <f>IFERROR(__xludf.DUMMYFUNCTION("""COMPUTED_VALUE"""),"Uncle Sams Cider (5/13/2022)")</f>
        <v>Uncle Sams Cider (5/13/2022)</v>
      </c>
      <c r="H7795" s="19"/>
    </row>
    <row r="7796">
      <c r="A7796" s="9"/>
      <c r="B7796" s="15"/>
      <c r="C7796" s="9">
        <f>IFERROR(__xludf.DUMMYFUNCTION("""COMPUTED_VALUE"""),44715.3300607176)</f>
        <v>44715.33006</v>
      </c>
      <c r="D7796" s="15">
        <f>IFERROR(__xludf.DUMMYFUNCTION("""COMPUTED_VALUE"""),1.013)</f>
        <v>1.013</v>
      </c>
      <c r="E7796" s="16">
        <f>IFERROR(__xludf.DUMMYFUNCTION("""COMPUTED_VALUE"""),69.0)</f>
        <v>69</v>
      </c>
      <c r="F7796" s="19" t="str">
        <f>IFERROR(__xludf.DUMMYFUNCTION("""COMPUTED_VALUE"""),"BLACK")</f>
        <v>BLACK</v>
      </c>
      <c r="G7796" s="20" t="str">
        <f>IFERROR(__xludf.DUMMYFUNCTION("""COMPUTED_VALUE"""),"Uncle Sams Cider (5/13/2022)")</f>
        <v>Uncle Sams Cider (5/13/2022)</v>
      </c>
      <c r="H7796" s="19"/>
    </row>
    <row r="7797">
      <c r="A7797" s="9"/>
      <c r="B7797" s="15"/>
      <c r="C7797" s="9">
        <f>IFERROR(__xludf.DUMMYFUNCTION("""COMPUTED_VALUE"""),44715.3196377199)</f>
        <v>44715.31964</v>
      </c>
      <c r="D7797" s="15">
        <f>IFERROR(__xludf.DUMMYFUNCTION("""COMPUTED_VALUE"""),1.013)</f>
        <v>1.013</v>
      </c>
      <c r="E7797" s="16">
        <f>IFERROR(__xludf.DUMMYFUNCTION("""COMPUTED_VALUE"""),69.0)</f>
        <v>69</v>
      </c>
      <c r="F7797" s="19" t="str">
        <f>IFERROR(__xludf.DUMMYFUNCTION("""COMPUTED_VALUE"""),"BLACK")</f>
        <v>BLACK</v>
      </c>
      <c r="G7797" s="20" t="str">
        <f>IFERROR(__xludf.DUMMYFUNCTION("""COMPUTED_VALUE"""),"Uncle Sams Cider (5/13/2022)")</f>
        <v>Uncle Sams Cider (5/13/2022)</v>
      </c>
      <c r="H7797" s="19"/>
    </row>
    <row r="7798">
      <c r="A7798" s="9"/>
      <c r="B7798" s="15"/>
      <c r="C7798" s="9">
        <f>IFERROR(__xludf.DUMMYFUNCTION("""COMPUTED_VALUE"""),44715.3092062963)</f>
        <v>44715.30921</v>
      </c>
      <c r="D7798" s="15">
        <f>IFERROR(__xludf.DUMMYFUNCTION("""COMPUTED_VALUE"""),1.013)</f>
        <v>1.013</v>
      </c>
      <c r="E7798" s="16">
        <f>IFERROR(__xludf.DUMMYFUNCTION("""COMPUTED_VALUE"""),69.0)</f>
        <v>69</v>
      </c>
      <c r="F7798" s="19" t="str">
        <f>IFERROR(__xludf.DUMMYFUNCTION("""COMPUTED_VALUE"""),"BLACK")</f>
        <v>BLACK</v>
      </c>
      <c r="G7798" s="20" t="str">
        <f>IFERROR(__xludf.DUMMYFUNCTION("""COMPUTED_VALUE"""),"Uncle Sams Cider (5/13/2022)")</f>
        <v>Uncle Sams Cider (5/13/2022)</v>
      </c>
      <c r="H7798" s="19"/>
    </row>
    <row r="7799">
      <c r="A7799" s="9"/>
      <c r="B7799" s="15"/>
      <c r="C7799" s="9">
        <f>IFERROR(__xludf.DUMMYFUNCTION("""COMPUTED_VALUE"""),44715.2987847569)</f>
        <v>44715.29878</v>
      </c>
      <c r="D7799" s="15">
        <f>IFERROR(__xludf.DUMMYFUNCTION("""COMPUTED_VALUE"""),1.013)</f>
        <v>1.013</v>
      </c>
      <c r="E7799" s="16">
        <f>IFERROR(__xludf.DUMMYFUNCTION("""COMPUTED_VALUE"""),69.0)</f>
        <v>69</v>
      </c>
      <c r="F7799" s="19" t="str">
        <f>IFERROR(__xludf.DUMMYFUNCTION("""COMPUTED_VALUE"""),"BLACK")</f>
        <v>BLACK</v>
      </c>
      <c r="G7799" s="20" t="str">
        <f>IFERROR(__xludf.DUMMYFUNCTION("""COMPUTED_VALUE"""),"Uncle Sams Cider (5/13/2022)")</f>
        <v>Uncle Sams Cider (5/13/2022)</v>
      </c>
      <c r="H7799" s="19"/>
    </row>
    <row r="7800">
      <c r="A7800" s="9"/>
      <c r="B7800" s="15"/>
      <c r="C7800" s="9">
        <f>IFERROR(__xludf.DUMMYFUNCTION("""COMPUTED_VALUE"""),44715.2883657754)</f>
        <v>44715.28837</v>
      </c>
      <c r="D7800" s="15">
        <f>IFERROR(__xludf.DUMMYFUNCTION("""COMPUTED_VALUE"""),1.013)</f>
        <v>1.013</v>
      </c>
      <c r="E7800" s="16">
        <f>IFERROR(__xludf.DUMMYFUNCTION("""COMPUTED_VALUE"""),69.0)</f>
        <v>69</v>
      </c>
      <c r="F7800" s="19" t="str">
        <f>IFERROR(__xludf.DUMMYFUNCTION("""COMPUTED_VALUE"""),"BLACK")</f>
        <v>BLACK</v>
      </c>
      <c r="G7800" s="20" t="str">
        <f>IFERROR(__xludf.DUMMYFUNCTION("""COMPUTED_VALUE"""),"Uncle Sams Cider (5/13/2022)")</f>
        <v>Uncle Sams Cider (5/13/2022)</v>
      </c>
      <c r="H7800" s="19"/>
    </row>
    <row r="7801">
      <c r="A7801" s="9"/>
      <c r="B7801" s="15"/>
      <c r="C7801" s="9">
        <f>IFERROR(__xludf.DUMMYFUNCTION("""COMPUTED_VALUE"""),44715.2779444097)</f>
        <v>44715.27794</v>
      </c>
      <c r="D7801" s="15">
        <f>IFERROR(__xludf.DUMMYFUNCTION("""COMPUTED_VALUE"""),1.013)</f>
        <v>1.013</v>
      </c>
      <c r="E7801" s="16">
        <f>IFERROR(__xludf.DUMMYFUNCTION("""COMPUTED_VALUE"""),69.0)</f>
        <v>69</v>
      </c>
      <c r="F7801" s="19" t="str">
        <f>IFERROR(__xludf.DUMMYFUNCTION("""COMPUTED_VALUE"""),"BLACK")</f>
        <v>BLACK</v>
      </c>
      <c r="G7801" s="20" t="str">
        <f>IFERROR(__xludf.DUMMYFUNCTION("""COMPUTED_VALUE"""),"Uncle Sams Cider (5/13/2022)")</f>
        <v>Uncle Sams Cider (5/13/2022)</v>
      </c>
      <c r="H7801" s="19"/>
    </row>
    <row r="7802">
      <c r="A7802" s="9"/>
      <c r="B7802" s="15"/>
      <c r="C7802" s="9">
        <f>IFERROR(__xludf.DUMMYFUNCTION("""COMPUTED_VALUE"""),44715.2675214583)</f>
        <v>44715.26752</v>
      </c>
      <c r="D7802" s="15">
        <f>IFERROR(__xludf.DUMMYFUNCTION("""COMPUTED_VALUE"""),1.013)</f>
        <v>1.013</v>
      </c>
      <c r="E7802" s="16">
        <f>IFERROR(__xludf.DUMMYFUNCTION("""COMPUTED_VALUE"""),69.0)</f>
        <v>69</v>
      </c>
      <c r="F7802" s="19" t="str">
        <f>IFERROR(__xludf.DUMMYFUNCTION("""COMPUTED_VALUE"""),"BLACK")</f>
        <v>BLACK</v>
      </c>
      <c r="G7802" s="20" t="str">
        <f>IFERROR(__xludf.DUMMYFUNCTION("""COMPUTED_VALUE"""),"Uncle Sams Cider (5/13/2022)")</f>
        <v>Uncle Sams Cider (5/13/2022)</v>
      </c>
      <c r="H7802" s="19"/>
    </row>
    <row r="7803">
      <c r="A7803" s="9"/>
      <c r="B7803" s="15"/>
      <c r="C7803" s="9">
        <f>IFERROR(__xludf.DUMMYFUNCTION("""COMPUTED_VALUE"""),44715.2571017476)</f>
        <v>44715.2571</v>
      </c>
      <c r="D7803" s="15">
        <f>IFERROR(__xludf.DUMMYFUNCTION("""COMPUTED_VALUE"""),1.013)</f>
        <v>1.013</v>
      </c>
      <c r="E7803" s="16">
        <f>IFERROR(__xludf.DUMMYFUNCTION("""COMPUTED_VALUE"""),69.0)</f>
        <v>69</v>
      </c>
      <c r="F7803" s="19" t="str">
        <f>IFERROR(__xludf.DUMMYFUNCTION("""COMPUTED_VALUE"""),"BLACK")</f>
        <v>BLACK</v>
      </c>
      <c r="G7803" s="20" t="str">
        <f>IFERROR(__xludf.DUMMYFUNCTION("""COMPUTED_VALUE"""),"Uncle Sams Cider (5/13/2022)")</f>
        <v>Uncle Sams Cider (5/13/2022)</v>
      </c>
      <c r="H7803" s="19"/>
    </row>
    <row r="7804">
      <c r="A7804" s="9"/>
      <c r="B7804" s="15"/>
      <c r="C7804" s="9">
        <f>IFERROR(__xludf.DUMMYFUNCTION("""COMPUTED_VALUE"""),44715.2466800231)</f>
        <v>44715.24668</v>
      </c>
      <c r="D7804" s="15">
        <f>IFERROR(__xludf.DUMMYFUNCTION("""COMPUTED_VALUE"""),1.013)</f>
        <v>1.013</v>
      </c>
      <c r="E7804" s="16">
        <f>IFERROR(__xludf.DUMMYFUNCTION("""COMPUTED_VALUE"""),69.0)</f>
        <v>69</v>
      </c>
      <c r="F7804" s="19" t="str">
        <f>IFERROR(__xludf.DUMMYFUNCTION("""COMPUTED_VALUE"""),"BLACK")</f>
        <v>BLACK</v>
      </c>
      <c r="G7804" s="20" t="str">
        <f>IFERROR(__xludf.DUMMYFUNCTION("""COMPUTED_VALUE"""),"Uncle Sams Cider (5/13/2022)")</f>
        <v>Uncle Sams Cider (5/13/2022)</v>
      </c>
      <c r="H7804" s="19"/>
    </row>
    <row r="7805">
      <c r="A7805" s="9"/>
      <c r="B7805" s="15"/>
      <c r="C7805" s="9">
        <f>IFERROR(__xludf.DUMMYFUNCTION("""COMPUTED_VALUE"""),44715.2362472338)</f>
        <v>44715.23625</v>
      </c>
      <c r="D7805" s="15">
        <f>IFERROR(__xludf.DUMMYFUNCTION("""COMPUTED_VALUE"""),1.013)</f>
        <v>1.013</v>
      </c>
      <c r="E7805" s="16">
        <f>IFERROR(__xludf.DUMMYFUNCTION("""COMPUTED_VALUE"""),69.0)</f>
        <v>69</v>
      </c>
      <c r="F7805" s="19" t="str">
        <f>IFERROR(__xludf.DUMMYFUNCTION("""COMPUTED_VALUE"""),"BLACK")</f>
        <v>BLACK</v>
      </c>
      <c r="G7805" s="20" t="str">
        <f>IFERROR(__xludf.DUMMYFUNCTION("""COMPUTED_VALUE"""),"Uncle Sams Cider (5/13/2022)")</f>
        <v>Uncle Sams Cider (5/13/2022)</v>
      </c>
      <c r="H7805" s="19"/>
    </row>
    <row r="7806">
      <c r="A7806" s="9"/>
      <c r="B7806" s="15"/>
      <c r="C7806" s="9">
        <f>IFERROR(__xludf.DUMMYFUNCTION("""COMPUTED_VALUE"""),44715.2258255439)</f>
        <v>44715.22583</v>
      </c>
      <c r="D7806" s="15">
        <f>IFERROR(__xludf.DUMMYFUNCTION("""COMPUTED_VALUE"""),1.013)</f>
        <v>1.013</v>
      </c>
      <c r="E7806" s="16">
        <f>IFERROR(__xludf.DUMMYFUNCTION("""COMPUTED_VALUE"""),69.0)</f>
        <v>69</v>
      </c>
      <c r="F7806" s="19" t="str">
        <f>IFERROR(__xludf.DUMMYFUNCTION("""COMPUTED_VALUE"""),"BLACK")</f>
        <v>BLACK</v>
      </c>
      <c r="G7806" s="20" t="str">
        <f>IFERROR(__xludf.DUMMYFUNCTION("""COMPUTED_VALUE"""),"Uncle Sams Cider (5/13/2022)")</f>
        <v>Uncle Sams Cider (5/13/2022)</v>
      </c>
      <c r="H7806" s="19"/>
    </row>
    <row r="7807">
      <c r="A7807" s="9"/>
      <c r="B7807" s="15"/>
      <c r="C7807" s="9">
        <f>IFERROR(__xludf.DUMMYFUNCTION("""COMPUTED_VALUE"""),44715.2154035416)</f>
        <v>44715.2154</v>
      </c>
      <c r="D7807" s="15">
        <f>IFERROR(__xludf.DUMMYFUNCTION("""COMPUTED_VALUE"""),1.013)</f>
        <v>1.013</v>
      </c>
      <c r="E7807" s="16">
        <f>IFERROR(__xludf.DUMMYFUNCTION("""COMPUTED_VALUE"""),69.0)</f>
        <v>69</v>
      </c>
      <c r="F7807" s="19" t="str">
        <f>IFERROR(__xludf.DUMMYFUNCTION("""COMPUTED_VALUE"""),"BLACK")</f>
        <v>BLACK</v>
      </c>
      <c r="G7807" s="20" t="str">
        <f>IFERROR(__xludf.DUMMYFUNCTION("""COMPUTED_VALUE"""),"Uncle Sams Cider (5/13/2022)")</f>
        <v>Uncle Sams Cider (5/13/2022)</v>
      </c>
      <c r="H7807" s="19"/>
    </row>
    <row r="7808">
      <c r="A7808" s="9"/>
      <c r="B7808" s="15"/>
      <c r="C7808" s="9">
        <f>IFERROR(__xludf.DUMMYFUNCTION("""COMPUTED_VALUE"""),44715.2049828125)</f>
        <v>44715.20498</v>
      </c>
      <c r="D7808" s="15">
        <f>IFERROR(__xludf.DUMMYFUNCTION("""COMPUTED_VALUE"""),1.013)</f>
        <v>1.013</v>
      </c>
      <c r="E7808" s="16">
        <f>IFERROR(__xludf.DUMMYFUNCTION("""COMPUTED_VALUE"""),69.0)</f>
        <v>69</v>
      </c>
      <c r="F7808" s="19" t="str">
        <f>IFERROR(__xludf.DUMMYFUNCTION("""COMPUTED_VALUE"""),"BLACK")</f>
        <v>BLACK</v>
      </c>
      <c r="G7808" s="20" t="str">
        <f>IFERROR(__xludf.DUMMYFUNCTION("""COMPUTED_VALUE"""),"Uncle Sams Cider (5/13/2022)")</f>
        <v>Uncle Sams Cider (5/13/2022)</v>
      </c>
      <c r="H7808" s="19"/>
    </row>
    <row r="7809">
      <c r="A7809" s="9"/>
      <c r="B7809" s="15"/>
      <c r="C7809" s="9">
        <f>IFERROR(__xludf.DUMMYFUNCTION("""COMPUTED_VALUE"""),44715.1945629861)</f>
        <v>44715.19456</v>
      </c>
      <c r="D7809" s="15">
        <f>IFERROR(__xludf.DUMMYFUNCTION("""COMPUTED_VALUE"""),1.013)</f>
        <v>1.013</v>
      </c>
      <c r="E7809" s="16">
        <f>IFERROR(__xludf.DUMMYFUNCTION("""COMPUTED_VALUE"""),69.0)</f>
        <v>69</v>
      </c>
      <c r="F7809" s="19" t="str">
        <f>IFERROR(__xludf.DUMMYFUNCTION("""COMPUTED_VALUE"""),"BLACK")</f>
        <v>BLACK</v>
      </c>
      <c r="G7809" s="20" t="str">
        <f>IFERROR(__xludf.DUMMYFUNCTION("""COMPUTED_VALUE"""),"Uncle Sams Cider (5/13/2022)")</f>
        <v>Uncle Sams Cider (5/13/2022)</v>
      </c>
      <c r="H7809" s="19"/>
    </row>
    <row r="7810">
      <c r="A7810" s="9"/>
      <c r="B7810" s="15"/>
      <c r="C7810" s="9">
        <f>IFERROR(__xludf.DUMMYFUNCTION("""COMPUTED_VALUE"""),44715.184140949)</f>
        <v>44715.18414</v>
      </c>
      <c r="D7810" s="15">
        <f>IFERROR(__xludf.DUMMYFUNCTION("""COMPUTED_VALUE"""),1.013)</f>
        <v>1.013</v>
      </c>
      <c r="E7810" s="16">
        <f>IFERROR(__xludf.DUMMYFUNCTION("""COMPUTED_VALUE"""),69.0)</f>
        <v>69</v>
      </c>
      <c r="F7810" s="19" t="str">
        <f>IFERROR(__xludf.DUMMYFUNCTION("""COMPUTED_VALUE"""),"BLACK")</f>
        <v>BLACK</v>
      </c>
      <c r="G7810" s="20" t="str">
        <f>IFERROR(__xludf.DUMMYFUNCTION("""COMPUTED_VALUE"""),"Uncle Sams Cider (5/13/2022)")</f>
        <v>Uncle Sams Cider (5/13/2022)</v>
      </c>
      <c r="H7810" s="19"/>
    </row>
    <row r="7811">
      <c r="A7811" s="9"/>
      <c r="B7811" s="15"/>
      <c r="C7811" s="9">
        <f>IFERROR(__xludf.DUMMYFUNCTION("""COMPUTED_VALUE"""),44715.1737201157)</f>
        <v>44715.17372</v>
      </c>
      <c r="D7811" s="15">
        <f>IFERROR(__xludf.DUMMYFUNCTION("""COMPUTED_VALUE"""),1.013)</f>
        <v>1.013</v>
      </c>
      <c r="E7811" s="16">
        <f>IFERROR(__xludf.DUMMYFUNCTION("""COMPUTED_VALUE"""),69.0)</f>
        <v>69</v>
      </c>
      <c r="F7811" s="19" t="str">
        <f>IFERROR(__xludf.DUMMYFUNCTION("""COMPUTED_VALUE"""),"BLACK")</f>
        <v>BLACK</v>
      </c>
      <c r="G7811" s="20" t="str">
        <f>IFERROR(__xludf.DUMMYFUNCTION("""COMPUTED_VALUE"""),"Uncle Sams Cider (5/13/2022)")</f>
        <v>Uncle Sams Cider (5/13/2022)</v>
      </c>
      <c r="H7811" s="19"/>
    </row>
    <row r="7812">
      <c r="A7812" s="9"/>
      <c r="B7812" s="15"/>
      <c r="C7812" s="9">
        <f>IFERROR(__xludf.DUMMYFUNCTION("""COMPUTED_VALUE"""),44715.163276331)</f>
        <v>44715.16328</v>
      </c>
      <c r="D7812" s="15">
        <f>IFERROR(__xludf.DUMMYFUNCTION("""COMPUTED_VALUE"""),1.013)</f>
        <v>1.013</v>
      </c>
      <c r="E7812" s="16">
        <f>IFERROR(__xludf.DUMMYFUNCTION("""COMPUTED_VALUE"""),69.0)</f>
        <v>69</v>
      </c>
      <c r="F7812" s="19" t="str">
        <f>IFERROR(__xludf.DUMMYFUNCTION("""COMPUTED_VALUE"""),"BLACK")</f>
        <v>BLACK</v>
      </c>
      <c r="G7812" s="20" t="str">
        <f>IFERROR(__xludf.DUMMYFUNCTION("""COMPUTED_VALUE"""),"Uncle Sams Cider (5/13/2022)")</f>
        <v>Uncle Sams Cider (5/13/2022)</v>
      </c>
      <c r="H7812" s="19"/>
    </row>
    <row r="7813">
      <c r="A7813" s="9"/>
      <c r="B7813" s="15"/>
      <c r="C7813" s="9">
        <f>IFERROR(__xludf.DUMMYFUNCTION("""COMPUTED_VALUE"""),44715.1528554745)</f>
        <v>44715.15286</v>
      </c>
      <c r="D7813" s="15">
        <f>IFERROR(__xludf.DUMMYFUNCTION("""COMPUTED_VALUE"""),1.013)</f>
        <v>1.013</v>
      </c>
      <c r="E7813" s="16">
        <f>IFERROR(__xludf.DUMMYFUNCTION("""COMPUTED_VALUE"""),69.0)</f>
        <v>69</v>
      </c>
      <c r="F7813" s="19" t="str">
        <f>IFERROR(__xludf.DUMMYFUNCTION("""COMPUTED_VALUE"""),"BLACK")</f>
        <v>BLACK</v>
      </c>
      <c r="G7813" s="20" t="str">
        <f>IFERROR(__xludf.DUMMYFUNCTION("""COMPUTED_VALUE"""),"Uncle Sams Cider (5/13/2022)")</f>
        <v>Uncle Sams Cider (5/13/2022)</v>
      </c>
      <c r="H7813" s="19"/>
    </row>
    <row r="7814">
      <c r="A7814" s="9"/>
      <c r="B7814" s="15"/>
      <c r="C7814" s="9">
        <f>IFERROR(__xludf.DUMMYFUNCTION("""COMPUTED_VALUE"""),44715.14241103)</f>
        <v>44715.14241</v>
      </c>
      <c r="D7814" s="15">
        <f>IFERROR(__xludf.DUMMYFUNCTION("""COMPUTED_VALUE"""),1.013)</f>
        <v>1.013</v>
      </c>
      <c r="E7814" s="16">
        <f>IFERROR(__xludf.DUMMYFUNCTION("""COMPUTED_VALUE"""),69.0)</f>
        <v>69</v>
      </c>
      <c r="F7814" s="19" t="str">
        <f>IFERROR(__xludf.DUMMYFUNCTION("""COMPUTED_VALUE"""),"BLACK")</f>
        <v>BLACK</v>
      </c>
      <c r="G7814" s="20" t="str">
        <f>IFERROR(__xludf.DUMMYFUNCTION("""COMPUTED_VALUE"""),"Uncle Sams Cider (5/13/2022)")</f>
        <v>Uncle Sams Cider (5/13/2022)</v>
      </c>
      <c r="H7814" s="19"/>
    </row>
    <row r="7815">
      <c r="A7815" s="9"/>
      <c r="B7815" s="15"/>
      <c r="C7815" s="9">
        <f>IFERROR(__xludf.DUMMYFUNCTION("""COMPUTED_VALUE"""),44715.131955787)</f>
        <v>44715.13196</v>
      </c>
      <c r="D7815" s="15">
        <f>IFERROR(__xludf.DUMMYFUNCTION("""COMPUTED_VALUE"""),1.013)</f>
        <v>1.013</v>
      </c>
      <c r="E7815" s="16">
        <f>IFERROR(__xludf.DUMMYFUNCTION("""COMPUTED_VALUE"""),69.0)</f>
        <v>69</v>
      </c>
      <c r="F7815" s="19" t="str">
        <f>IFERROR(__xludf.DUMMYFUNCTION("""COMPUTED_VALUE"""),"BLACK")</f>
        <v>BLACK</v>
      </c>
      <c r="G7815" s="20" t="str">
        <f>IFERROR(__xludf.DUMMYFUNCTION("""COMPUTED_VALUE"""),"Uncle Sams Cider (5/13/2022)")</f>
        <v>Uncle Sams Cider (5/13/2022)</v>
      </c>
      <c r="H7815" s="19"/>
    </row>
    <row r="7816">
      <c r="A7816" s="9"/>
      <c r="B7816" s="15"/>
      <c r="C7816" s="9">
        <f>IFERROR(__xludf.DUMMYFUNCTION("""COMPUTED_VALUE"""),44715.1214992013)</f>
        <v>44715.1215</v>
      </c>
      <c r="D7816" s="15">
        <f>IFERROR(__xludf.DUMMYFUNCTION("""COMPUTED_VALUE"""),1.013)</f>
        <v>1.013</v>
      </c>
      <c r="E7816" s="16">
        <f>IFERROR(__xludf.DUMMYFUNCTION("""COMPUTED_VALUE"""),69.0)</f>
        <v>69</v>
      </c>
      <c r="F7816" s="19" t="str">
        <f>IFERROR(__xludf.DUMMYFUNCTION("""COMPUTED_VALUE"""),"BLACK")</f>
        <v>BLACK</v>
      </c>
      <c r="G7816" s="20" t="str">
        <f>IFERROR(__xludf.DUMMYFUNCTION("""COMPUTED_VALUE"""),"Uncle Sams Cider (5/13/2022)")</f>
        <v>Uncle Sams Cider (5/13/2022)</v>
      </c>
      <c r="H7816" s="19"/>
    </row>
    <row r="7817">
      <c r="A7817" s="9"/>
      <c r="B7817" s="15"/>
      <c r="C7817" s="9">
        <f>IFERROR(__xludf.DUMMYFUNCTION("""COMPUTED_VALUE"""),44715.1110771296)</f>
        <v>44715.11108</v>
      </c>
      <c r="D7817" s="15">
        <f>IFERROR(__xludf.DUMMYFUNCTION("""COMPUTED_VALUE"""),1.013)</f>
        <v>1.013</v>
      </c>
      <c r="E7817" s="16">
        <f>IFERROR(__xludf.DUMMYFUNCTION("""COMPUTED_VALUE"""),69.0)</f>
        <v>69</v>
      </c>
      <c r="F7817" s="19" t="str">
        <f>IFERROR(__xludf.DUMMYFUNCTION("""COMPUTED_VALUE"""),"BLACK")</f>
        <v>BLACK</v>
      </c>
      <c r="G7817" s="20" t="str">
        <f>IFERROR(__xludf.DUMMYFUNCTION("""COMPUTED_VALUE"""),"Uncle Sams Cider (5/13/2022)")</f>
        <v>Uncle Sams Cider (5/13/2022)</v>
      </c>
      <c r="H7817" s="19"/>
    </row>
    <row r="7818">
      <c r="A7818" s="9"/>
      <c r="B7818" s="15"/>
      <c r="C7818" s="9">
        <f>IFERROR(__xludf.DUMMYFUNCTION("""COMPUTED_VALUE"""),44715.1006562384)</f>
        <v>44715.10066</v>
      </c>
      <c r="D7818" s="15">
        <f>IFERROR(__xludf.DUMMYFUNCTION("""COMPUTED_VALUE"""),1.013)</f>
        <v>1.013</v>
      </c>
      <c r="E7818" s="16">
        <f>IFERROR(__xludf.DUMMYFUNCTION("""COMPUTED_VALUE"""),69.0)</f>
        <v>69</v>
      </c>
      <c r="F7818" s="19" t="str">
        <f>IFERROR(__xludf.DUMMYFUNCTION("""COMPUTED_VALUE"""),"BLACK")</f>
        <v>BLACK</v>
      </c>
      <c r="G7818" s="20" t="str">
        <f>IFERROR(__xludf.DUMMYFUNCTION("""COMPUTED_VALUE"""),"Uncle Sams Cider (5/13/2022)")</f>
        <v>Uncle Sams Cider (5/13/2022)</v>
      </c>
      <c r="H7818" s="19"/>
    </row>
    <row r="7819">
      <c r="A7819" s="9"/>
      <c r="B7819" s="15"/>
      <c r="C7819" s="9">
        <f>IFERROR(__xludf.DUMMYFUNCTION("""COMPUTED_VALUE"""),44715.0902117245)</f>
        <v>44715.09021</v>
      </c>
      <c r="D7819" s="15">
        <f>IFERROR(__xludf.DUMMYFUNCTION("""COMPUTED_VALUE"""),1.013)</f>
        <v>1.013</v>
      </c>
      <c r="E7819" s="16">
        <f>IFERROR(__xludf.DUMMYFUNCTION("""COMPUTED_VALUE"""),69.0)</f>
        <v>69</v>
      </c>
      <c r="F7819" s="19" t="str">
        <f>IFERROR(__xludf.DUMMYFUNCTION("""COMPUTED_VALUE"""),"BLACK")</f>
        <v>BLACK</v>
      </c>
      <c r="G7819" s="20" t="str">
        <f>IFERROR(__xludf.DUMMYFUNCTION("""COMPUTED_VALUE"""),"Uncle Sams Cider (5/13/2022)")</f>
        <v>Uncle Sams Cider (5/13/2022)</v>
      </c>
      <c r="H7819" s="19"/>
    </row>
    <row r="7820">
      <c r="A7820" s="9"/>
      <c r="B7820" s="15"/>
      <c r="C7820" s="9">
        <f>IFERROR(__xludf.DUMMYFUNCTION("""COMPUTED_VALUE"""),44715.0797902546)</f>
        <v>44715.07979</v>
      </c>
      <c r="D7820" s="15">
        <f>IFERROR(__xludf.DUMMYFUNCTION("""COMPUTED_VALUE"""),1.013)</f>
        <v>1.013</v>
      </c>
      <c r="E7820" s="16">
        <f>IFERROR(__xludf.DUMMYFUNCTION("""COMPUTED_VALUE"""),69.0)</f>
        <v>69</v>
      </c>
      <c r="F7820" s="19" t="str">
        <f>IFERROR(__xludf.DUMMYFUNCTION("""COMPUTED_VALUE"""),"BLACK")</f>
        <v>BLACK</v>
      </c>
      <c r="G7820" s="20" t="str">
        <f>IFERROR(__xludf.DUMMYFUNCTION("""COMPUTED_VALUE"""),"Uncle Sams Cider (5/13/2022)")</f>
        <v>Uncle Sams Cider (5/13/2022)</v>
      </c>
      <c r="H7820" s="19"/>
    </row>
    <row r="7821">
      <c r="A7821" s="9"/>
      <c r="B7821" s="15"/>
      <c r="C7821" s="9">
        <f>IFERROR(__xludf.DUMMYFUNCTION("""COMPUTED_VALUE"""),44715.0693670833)</f>
        <v>44715.06937</v>
      </c>
      <c r="D7821" s="15">
        <f>IFERROR(__xludf.DUMMYFUNCTION("""COMPUTED_VALUE"""),1.013)</f>
        <v>1.013</v>
      </c>
      <c r="E7821" s="16">
        <f>IFERROR(__xludf.DUMMYFUNCTION("""COMPUTED_VALUE"""),69.0)</f>
        <v>69</v>
      </c>
      <c r="F7821" s="19" t="str">
        <f>IFERROR(__xludf.DUMMYFUNCTION("""COMPUTED_VALUE"""),"BLACK")</f>
        <v>BLACK</v>
      </c>
      <c r="G7821" s="20" t="str">
        <f>IFERROR(__xludf.DUMMYFUNCTION("""COMPUTED_VALUE"""),"Uncle Sams Cider (5/13/2022)")</f>
        <v>Uncle Sams Cider (5/13/2022)</v>
      </c>
      <c r="H7821" s="19"/>
    </row>
    <row r="7822">
      <c r="A7822" s="9"/>
      <c r="B7822" s="15"/>
      <c r="C7822" s="9">
        <f>IFERROR(__xludf.DUMMYFUNCTION("""COMPUTED_VALUE"""),44715.0589225925)</f>
        <v>44715.05892</v>
      </c>
      <c r="D7822" s="15">
        <f>IFERROR(__xludf.DUMMYFUNCTION("""COMPUTED_VALUE"""),1.014)</f>
        <v>1.014</v>
      </c>
      <c r="E7822" s="16">
        <f>IFERROR(__xludf.DUMMYFUNCTION("""COMPUTED_VALUE"""),69.0)</f>
        <v>69</v>
      </c>
      <c r="F7822" s="19" t="str">
        <f>IFERROR(__xludf.DUMMYFUNCTION("""COMPUTED_VALUE"""),"BLACK")</f>
        <v>BLACK</v>
      </c>
      <c r="G7822" s="20" t="str">
        <f>IFERROR(__xludf.DUMMYFUNCTION("""COMPUTED_VALUE"""),"Uncle Sams Cider (5/13/2022)")</f>
        <v>Uncle Sams Cider (5/13/2022)</v>
      </c>
      <c r="H7822" s="19"/>
    </row>
    <row r="7823">
      <c r="A7823" s="9"/>
      <c r="B7823" s="15"/>
      <c r="C7823" s="9">
        <f>IFERROR(__xludf.DUMMYFUNCTION("""COMPUTED_VALUE"""),44715.0485020486)</f>
        <v>44715.0485</v>
      </c>
      <c r="D7823" s="15">
        <f>IFERROR(__xludf.DUMMYFUNCTION("""COMPUTED_VALUE"""),1.013)</f>
        <v>1.013</v>
      </c>
      <c r="E7823" s="16">
        <f>IFERROR(__xludf.DUMMYFUNCTION("""COMPUTED_VALUE"""),69.0)</f>
        <v>69</v>
      </c>
      <c r="F7823" s="19" t="str">
        <f>IFERROR(__xludf.DUMMYFUNCTION("""COMPUTED_VALUE"""),"BLACK")</f>
        <v>BLACK</v>
      </c>
      <c r="G7823" s="20" t="str">
        <f>IFERROR(__xludf.DUMMYFUNCTION("""COMPUTED_VALUE"""),"Uncle Sams Cider (5/13/2022)")</f>
        <v>Uncle Sams Cider (5/13/2022)</v>
      </c>
      <c r="H7823" s="19"/>
    </row>
    <row r="7824">
      <c r="A7824" s="9"/>
      <c r="B7824" s="15"/>
      <c r="C7824" s="9">
        <f>IFERROR(__xludf.DUMMYFUNCTION("""COMPUTED_VALUE"""),44715.0380700231)</f>
        <v>44715.03807</v>
      </c>
      <c r="D7824" s="15">
        <f>IFERROR(__xludf.DUMMYFUNCTION("""COMPUTED_VALUE"""),1.014)</f>
        <v>1.014</v>
      </c>
      <c r="E7824" s="16">
        <f>IFERROR(__xludf.DUMMYFUNCTION("""COMPUTED_VALUE"""),69.0)</f>
        <v>69</v>
      </c>
      <c r="F7824" s="19" t="str">
        <f>IFERROR(__xludf.DUMMYFUNCTION("""COMPUTED_VALUE"""),"BLACK")</f>
        <v>BLACK</v>
      </c>
      <c r="G7824" s="20" t="str">
        <f>IFERROR(__xludf.DUMMYFUNCTION("""COMPUTED_VALUE"""),"Uncle Sams Cider (5/13/2022)")</f>
        <v>Uncle Sams Cider (5/13/2022)</v>
      </c>
      <c r="H7824" s="19"/>
    </row>
    <row r="7825">
      <c r="A7825" s="9"/>
      <c r="B7825" s="15"/>
      <c r="C7825" s="9">
        <f>IFERROR(__xludf.DUMMYFUNCTION("""COMPUTED_VALUE"""),44715.0276479398)</f>
        <v>44715.02765</v>
      </c>
      <c r="D7825" s="15">
        <f>IFERROR(__xludf.DUMMYFUNCTION("""COMPUTED_VALUE"""),1.014)</f>
        <v>1.014</v>
      </c>
      <c r="E7825" s="16">
        <f>IFERROR(__xludf.DUMMYFUNCTION("""COMPUTED_VALUE"""),69.0)</f>
        <v>69</v>
      </c>
      <c r="F7825" s="19" t="str">
        <f>IFERROR(__xludf.DUMMYFUNCTION("""COMPUTED_VALUE"""),"BLACK")</f>
        <v>BLACK</v>
      </c>
      <c r="G7825" s="20" t="str">
        <f>IFERROR(__xludf.DUMMYFUNCTION("""COMPUTED_VALUE"""),"Uncle Sams Cider (5/13/2022)")</f>
        <v>Uncle Sams Cider (5/13/2022)</v>
      </c>
      <c r="H7825" s="19"/>
    </row>
    <row r="7826">
      <c r="A7826" s="9"/>
      <c r="B7826" s="15"/>
      <c r="C7826" s="9">
        <f>IFERROR(__xludf.DUMMYFUNCTION("""COMPUTED_VALUE"""),44715.0172264351)</f>
        <v>44715.01723</v>
      </c>
      <c r="D7826" s="15">
        <f>IFERROR(__xludf.DUMMYFUNCTION("""COMPUTED_VALUE"""),1.013)</f>
        <v>1.013</v>
      </c>
      <c r="E7826" s="16">
        <f>IFERROR(__xludf.DUMMYFUNCTION("""COMPUTED_VALUE"""),69.0)</f>
        <v>69</v>
      </c>
      <c r="F7826" s="19" t="str">
        <f>IFERROR(__xludf.DUMMYFUNCTION("""COMPUTED_VALUE"""),"BLACK")</f>
        <v>BLACK</v>
      </c>
      <c r="G7826" s="20" t="str">
        <f>IFERROR(__xludf.DUMMYFUNCTION("""COMPUTED_VALUE"""),"Uncle Sams Cider (5/13/2022)")</f>
        <v>Uncle Sams Cider (5/13/2022)</v>
      </c>
      <c r="H7826" s="19"/>
    </row>
    <row r="7827">
      <c r="A7827" s="9"/>
      <c r="B7827" s="15"/>
      <c r="C7827" s="9">
        <f>IFERROR(__xludf.DUMMYFUNCTION("""COMPUTED_VALUE"""),44715.0068056597)</f>
        <v>44715.00681</v>
      </c>
      <c r="D7827" s="15">
        <f>IFERROR(__xludf.DUMMYFUNCTION("""COMPUTED_VALUE"""),1.014)</f>
        <v>1.014</v>
      </c>
      <c r="E7827" s="16">
        <f>IFERROR(__xludf.DUMMYFUNCTION("""COMPUTED_VALUE"""),69.0)</f>
        <v>69</v>
      </c>
      <c r="F7827" s="19" t="str">
        <f>IFERROR(__xludf.DUMMYFUNCTION("""COMPUTED_VALUE"""),"BLACK")</f>
        <v>BLACK</v>
      </c>
      <c r="G7827" s="20" t="str">
        <f>IFERROR(__xludf.DUMMYFUNCTION("""COMPUTED_VALUE"""),"Uncle Sams Cider (5/13/2022)")</f>
        <v>Uncle Sams Cider (5/13/2022)</v>
      </c>
      <c r="H7827" s="19"/>
    </row>
    <row r="7828">
      <c r="A7828" s="9"/>
      <c r="B7828" s="15"/>
      <c r="C7828" s="9">
        <f>IFERROR(__xludf.DUMMYFUNCTION("""COMPUTED_VALUE"""),44714.996383368)</f>
        <v>44714.99638</v>
      </c>
      <c r="D7828" s="15">
        <f>IFERROR(__xludf.DUMMYFUNCTION("""COMPUTED_VALUE"""),1.014)</f>
        <v>1.014</v>
      </c>
      <c r="E7828" s="16">
        <f>IFERROR(__xludf.DUMMYFUNCTION("""COMPUTED_VALUE"""),69.0)</f>
        <v>69</v>
      </c>
      <c r="F7828" s="19" t="str">
        <f>IFERROR(__xludf.DUMMYFUNCTION("""COMPUTED_VALUE"""),"BLACK")</f>
        <v>BLACK</v>
      </c>
      <c r="G7828" s="20" t="str">
        <f>IFERROR(__xludf.DUMMYFUNCTION("""COMPUTED_VALUE"""),"Uncle Sams Cider (5/13/2022)")</f>
        <v>Uncle Sams Cider (5/13/2022)</v>
      </c>
      <c r="H7828" s="19"/>
    </row>
    <row r="7829">
      <c r="A7829" s="9"/>
      <c r="B7829" s="15"/>
      <c r="C7829" s="9">
        <f>IFERROR(__xludf.DUMMYFUNCTION("""COMPUTED_VALUE"""),44714.985964537)</f>
        <v>44714.98596</v>
      </c>
      <c r="D7829" s="15">
        <f>IFERROR(__xludf.DUMMYFUNCTION("""COMPUTED_VALUE"""),1.013)</f>
        <v>1.013</v>
      </c>
      <c r="E7829" s="16">
        <f>IFERROR(__xludf.DUMMYFUNCTION("""COMPUTED_VALUE"""),69.0)</f>
        <v>69</v>
      </c>
      <c r="F7829" s="19" t="str">
        <f>IFERROR(__xludf.DUMMYFUNCTION("""COMPUTED_VALUE"""),"BLACK")</f>
        <v>BLACK</v>
      </c>
      <c r="G7829" s="20" t="str">
        <f>IFERROR(__xludf.DUMMYFUNCTION("""COMPUTED_VALUE"""),"Uncle Sams Cider (5/13/2022)")</f>
        <v>Uncle Sams Cider (5/13/2022)</v>
      </c>
      <c r="H7829" s="19"/>
    </row>
    <row r="7830">
      <c r="A7830" s="9"/>
      <c r="B7830" s="15"/>
      <c r="C7830" s="9">
        <f>IFERROR(__xludf.DUMMYFUNCTION("""COMPUTED_VALUE"""),44714.9755318055)</f>
        <v>44714.97553</v>
      </c>
      <c r="D7830" s="15">
        <f>IFERROR(__xludf.DUMMYFUNCTION("""COMPUTED_VALUE"""),1.014)</f>
        <v>1.014</v>
      </c>
      <c r="E7830" s="16">
        <f>IFERROR(__xludf.DUMMYFUNCTION("""COMPUTED_VALUE"""),69.0)</f>
        <v>69</v>
      </c>
      <c r="F7830" s="19" t="str">
        <f>IFERROR(__xludf.DUMMYFUNCTION("""COMPUTED_VALUE"""),"BLACK")</f>
        <v>BLACK</v>
      </c>
      <c r="G7830" s="20" t="str">
        <f>IFERROR(__xludf.DUMMYFUNCTION("""COMPUTED_VALUE"""),"Uncle Sams Cider (5/13/2022)")</f>
        <v>Uncle Sams Cider (5/13/2022)</v>
      </c>
      <c r="H7830" s="19"/>
    </row>
    <row r="7831">
      <c r="A7831" s="9"/>
      <c r="B7831" s="15"/>
      <c r="C7831" s="9">
        <f>IFERROR(__xludf.DUMMYFUNCTION("""COMPUTED_VALUE"""),44714.965110949)</f>
        <v>44714.96511</v>
      </c>
      <c r="D7831" s="15">
        <f>IFERROR(__xludf.DUMMYFUNCTION("""COMPUTED_VALUE"""),1.014)</f>
        <v>1.014</v>
      </c>
      <c r="E7831" s="16">
        <f>IFERROR(__xludf.DUMMYFUNCTION("""COMPUTED_VALUE"""),69.0)</f>
        <v>69</v>
      </c>
      <c r="F7831" s="19" t="str">
        <f>IFERROR(__xludf.DUMMYFUNCTION("""COMPUTED_VALUE"""),"BLACK")</f>
        <v>BLACK</v>
      </c>
      <c r="G7831" s="20" t="str">
        <f>IFERROR(__xludf.DUMMYFUNCTION("""COMPUTED_VALUE"""),"Uncle Sams Cider (5/13/2022)")</f>
        <v>Uncle Sams Cider (5/13/2022)</v>
      </c>
      <c r="H7831" s="19"/>
    </row>
    <row r="7832">
      <c r="A7832" s="9"/>
      <c r="B7832" s="15"/>
      <c r="C7832" s="9">
        <f>IFERROR(__xludf.DUMMYFUNCTION("""COMPUTED_VALUE"""),44714.9546893171)</f>
        <v>44714.95469</v>
      </c>
      <c r="D7832" s="15">
        <f>IFERROR(__xludf.DUMMYFUNCTION("""COMPUTED_VALUE"""),1.014)</f>
        <v>1.014</v>
      </c>
      <c r="E7832" s="16">
        <f>IFERROR(__xludf.DUMMYFUNCTION("""COMPUTED_VALUE"""),69.0)</f>
        <v>69</v>
      </c>
      <c r="F7832" s="19" t="str">
        <f>IFERROR(__xludf.DUMMYFUNCTION("""COMPUTED_VALUE"""),"BLACK")</f>
        <v>BLACK</v>
      </c>
      <c r="G7832" s="20" t="str">
        <f>IFERROR(__xludf.DUMMYFUNCTION("""COMPUTED_VALUE"""),"Uncle Sams Cider (5/13/2022)")</f>
        <v>Uncle Sams Cider (5/13/2022)</v>
      </c>
      <c r="H7832" s="19"/>
    </row>
    <row r="7833">
      <c r="A7833" s="9"/>
      <c r="B7833" s="15"/>
      <c r="C7833" s="9">
        <f>IFERROR(__xludf.DUMMYFUNCTION("""COMPUTED_VALUE"""),44714.9442673379)</f>
        <v>44714.94427</v>
      </c>
      <c r="D7833" s="15">
        <f>IFERROR(__xludf.DUMMYFUNCTION("""COMPUTED_VALUE"""),1.014)</f>
        <v>1.014</v>
      </c>
      <c r="E7833" s="16">
        <f>IFERROR(__xludf.DUMMYFUNCTION("""COMPUTED_VALUE"""),69.0)</f>
        <v>69</v>
      </c>
      <c r="F7833" s="19" t="str">
        <f>IFERROR(__xludf.DUMMYFUNCTION("""COMPUTED_VALUE"""),"BLACK")</f>
        <v>BLACK</v>
      </c>
      <c r="G7833" s="20" t="str">
        <f>IFERROR(__xludf.DUMMYFUNCTION("""COMPUTED_VALUE"""),"Uncle Sams Cider (5/13/2022)")</f>
        <v>Uncle Sams Cider (5/13/2022)</v>
      </c>
      <c r="H7833" s="19"/>
    </row>
    <row r="7834">
      <c r="A7834" s="9"/>
      <c r="B7834" s="15"/>
      <c r="C7834" s="9">
        <f>IFERROR(__xludf.DUMMYFUNCTION("""COMPUTED_VALUE"""),44714.9338233449)</f>
        <v>44714.93382</v>
      </c>
      <c r="D7834" s="15">
        <f>IFERROR(__xludf.DUMMYFUNCTION("""COMPUTED_VALUE"""),1.014)</f>
        <v>1.014</v>
      </c>
      <c r="E7834" s="16">
        <f>IFERROR(__xludf.DUMMYFUNCTION("""COMPUTED_VALUE"""),69.0)</f>
        <v>69</v>
      </c>
      <c r="F7834" s="19" t="str">
        <f>IFERROR(__xludf.DUMMYFUNCTION("""COMPUTED_VALUE"""),"BLACK")</f>
        <v>BLACK</v>
      </c>
      <c r="G7834" s="20" t="str">
        <f>IFERROR(__xludf.DUMMYFUNCTION("""COMPUTED_VALUE"""),"Uncle Sams Cider (5/13/2022)")</f>
        <v>Uncle Sams Cider (5/13/2022)</v>
      </c>
      <c r="H7834" s="19"/>
    </row>
    <row r="7835">
      <c r="A7835" s="9"/>
      <c r="B7835" s="15"/>
      <c r="C7835" s="9">
        <f>IFERROR(__xludf.DUMMYFUNCTION("""COMPUTED_VALUE"""),44714.9233899074)</f>
        <v>44714.92339</v>
      </c>
      <c r="D7835" s="15">
        <f>IFERROR(__xludf.DUMMYFUNCTION("""COMPUTED_VALUE"""),1.014)</f>
        <v>1.014</v>
      </c>
      <c r="E7835" s="16">
        <f>IFERROR(__xludf.DUMMYFUNCTION("""COMPUTED_VALUE"""),69.0)</f>
        <v>69</v>
      </c>
      <c r="F7835" s="19" t="str">
        <f>IFERROR(__xludf.DUMMYFUNCTION("""COMPUTED_VALUE"""),"BLACK")</f>
        <v>BLACK</v>
      </c>
      <c r="G7835" s="20" t="str">
        <f>IFERROR(__xludf.DUMMYFUNCTION("""COMPUTED_VALUE"""),"Uncle Sams Cider (5/13/2022)")</f>
        <v>Uncle Sams Cider (5/13/2022)</v>
      </c>
      <c r="H7835" s="19"/>
    </row>
    <row r="7836">
      <c r="A7836" s="9"/>
      <c r="B7836" s="15"/>
      <c r="C7836" s="9">
        <f>IFERROR(__xludf.DUMMYFUNCTION("""COMPUTED_VALUE"""),44714.9129691782)</f>
        <v>44714.91297</v>
      </c>
      <c r="D7836" s="15">
        <f>IFERROR(__xludf.DUMMYFUNCTION("""COMPUTED_VALUE"""),1.014)</f>
        <v>1.014</v>
      </c>
      <c r="E7836" s="16">
        <f>IFERROR(__xludf.DUMMYFUNCTION("""COMPUTED_VALUE"""),69.0)</f>
        <v>69</v>
      </c>
      <c r="F7836" s="19" t="str">
        <f>IFERROR(__xludf.DUMMYFUNCTION("""COMPUTED_VALUE"""),"BLACK")</f>
        <v>BLACK</v>
      </c>
      <c r="G7836" s="20" t="str">
        <f>IFERROR(__xludf.DUMMYFUNCTION("""COMPUTED_VALUE"""),"Uncle Sams Cider (5/13/2022)")</f>
        <v>Uncle Sams Cider (5/13/2022)</v>
      </c>
      <c r="H7836" s="19"/>
    </row>
    <row r="7837">
      <c r="A7837" s="9"/>
      <c r="B7837" s="15"/>
      <c r="C7837" s="9">
        <f>IFERROR(__xludf.DUMMYFUNCTION("""COMPUTED_VALUE"""),44714.9025487037)</f>
        <v>44714.90255</v>
      </c>
      <c r="D7837" s="15">
        <f>IFERROR(__xludf.DUMMYFUNCTION("""COMPUTED_VALUE"""),1.014)</f>
        <v>1.014</v>
      </c>
      <c r="E7837" s="16">
        <f>IFERROR(__xludf.DUMMYFUNCTION("""COMPUTED_VALUE"""),69.0)</f>
        <v>69</v>
      </c>
      <c r="F7837" s="19" t="str">
        <f>IFERROR(__xludf.DUMMYFUNCTION("""COMPUTED_VALUE"""),"BLACK")</f>
        <v>BLACK</v>
      </c>
      <c r="G7837" s="20" t="str">
        <f>IFERROR(__xludf.DUMMYFUNCTION("""COMPUTED_VALUE"""),"Uncle Sams Cider (5/13/2022)")</f>
        <v>Uncle Sams Cider (5/13/2022)</v>
      </c>
      <c r="H7837" s="19"/>
    </row>
    <row r="7838">
      <c r="A7838" s="9"/>
      <c r="B7838" s="15"/>
      <c r="C7838" s="9">
        <f>IFERROR(__xludf.DUMMYFUNCTION("""COMPUTED_VALUE"""),44714.8921293402)</f>
        <v>44714.89213</v>
      </c>
      <c r="D7838" s="15">
        <f>IFERROR(__xludf.DUMMYFUNCTION("""COMPUTED_VALUE"""),1.014)</f>
        <v>1.014</v>
      </c>
      <c r="E7838" s="16">
        <f>IFERROR(__xludf.DUMMYFUNCTION("""COMPUTED_VALUE"""),69.0)</f>
        <v>69</v>
      </c>
      <c r="F7838" s="19" t="str">
        <f>IFERROR(__xludf.DUMMYFUNCTION("""COMPUTED_VALUE"""),"BLACK")</f>
        <v>BLACK</v>
      </c>
      <c r="G7838" s="20" t="str">
        <f>IFERROR(__xludf.DUMMYFUNCTION("""COMPUTED_VALUE"""),"Uncle Sams Cider (5/13/2022)")</f>
        <v>Uncle Sams Cider (5/13/2022)</v>
      </c>
      <c r="H7838" s="19"/>
    </row>
    <row r="7839">
      <c r="A7839" s="9"/>
      <c r="B7839" s="15"/>
      <c r="C7839" s="9">
        <f>IFERROR(__xludf.DUMMYFUNCTION("""COMPUTED_VALUE"""),44714.8817065277)</f>
        <v>44714.88171</v>
      </c>
      <c r="D7839" s="15">
        <f>IFERROR(__xludf.DUMMYFUNCTION("""COMPUTED_VALUE"""),1.014)</f>
        <v>1.014</v>
      </c>
      <c r="E7839" s="16">
        <f>IFERROR(__xludf.DUMMYFUNCTION("""COMPUTED_VALUE"""),69.0)</f>
        <v>69</v>
      </c>
      <c r="F7839" s="19" t="str">
        <f>IFERROR(__xludf.DUMMYFUNCTION("""COMPUTED_VALUE"""),"BLACK")</f>
        <v>BLACK</v>
      </c>
      <c r="G7839" s="20" t="str">
        <f>IFERROR(__xludf.DUMMYFUNCTION("""COMPUTED_VALUE"""),"Uncle Sams Cider (5/13/2022)")</f>
        <v>Uncle Sams Cider (5/13/2022)</v>
      </c>
      <c r="H7839" s="19"/>
    </row>
    <row r="7840">
      <c r="A7840" s="9"/>
      <c r="B7840" s="15"/>
      <c r="C7840" s="9">
        <f>IFERROR(__xludf.DUMMYFUNCTION("""COMPUTED_VALUE"""),44714.8712855787)</f>
        <v>44714.87129</v>
      </c>
      <c r="D7840" s="15">
        <f>IFERROR(__xludf.DUMMYFUNCTION("""COMPUTED_VALUE"""),1.014)</f>
        <v>1.014</v>
      </c>
      <c r="E7840" s="16">
        <f>IFERROR(__xludf.DUMMYFUNCTION("""COMPUTED_VALUE"""),69.0)</f>
        <v>69</v>
      </c>
      <c r="F7840" s="19" t="str">
        <f>IFERROR(__xludf.DUMMYFUNCTION("""COMPUTED_VALUE"""),"BLACK")</f>
        <v>BLACK</v>
      </c>
      <c r="G7840" s="20" t="str">
        <f>IFERROR(__xludf.DUMMYFUNCTION("""COMPUTED_VALUE"""),"Uncle Sams Cider (5/13/2022)")</f>
        <v>Uncle Sams Cider (5/13/2022)</v>
      </c>
      <c r="H7840" s="19"/>
    </row>
    <row r="7841">
      <c r="A7841" s="9"/>
      <c r="B7841" s="15"/>
      <c r="C7841" s="9">
        <f>IFERROR(__xludf.DUMMYFUNCTION("""COMPUTED_VALUE"""),44714.8608519328)</f>
        <v>44714.86085</v>
      </c>
      <c r="D7841" s="15">
        <f>IFERROR(__xludf.DUMMYFUNCTION("""COMPUTED_VALUE"""),1.014)</f>
        <v>1.014</v>
      </c>
      <c r="E7841" s="16">
        <f>IFERROR(__xludf.DUMMYFUNCTION("""COMPUTED_VALUE"""),69.0)</f>
        <v>69</v>
      </c>
      <c r="F7841" s="19" t="str">
        <f>IFERROR(__xludf.DUMMYFUNCTION("""COMPUTED_VALUE"""),"BLACK")</f>
        <v>BLACK</v>
      </c>
      <c r="G7841" s="20" t="str">
        <f>IFERROR(__xludf.DUMMYFUNCTION("""COMPUTED_VALUE"""),"Uncle Sams Cider (5/13/2022)")</f>
        <v>Uncle Sams Cider (5/13/2022)</v>
      </c>
      <c r="H7841" s="19"/>
    </row>
    <row r="7842">
      <c r="A7842" s="9"/>
      <c r="B7842" s="15"/>
      <c r="C7842" s="9">
        <f>IFERROR(__xludf.DUMMYFUNCTION("""COMPUTED_VALUE"""),44714.8504197338)</f>
        <v>44714.85042</v>
      </c>
      <c r="D7842" s="15">
        <f>IFERROR(__xludf.DUMMYFUNCTION("""COMPUTED_VALUE"""),1.014)</f>
        <v>1.014</v>
      </c>
      <c r="E7842" s="16">
        <f>IFERROR(__xludf.DUMMYFUNCTION("""COMPUTED_VALUE"""),69.0)</f>
        <v>69</v>
      </c>
      <c r="F7842" s="19" t="str">
        <f>IFERROR(__xludf.DUMMYFUNCTION("""COMPUTED_VALUE"""),"BLACK")</f>
        <v>BLACK</v>
      </c>
      <c r="G7842" s="20" t="str">
        <f>IFERROR(__xludf.DUMMYFUNCTION("""COMPUTED_VALUE"""),"Uncle Sams Cider (5/13/2022)")</f>
        <v>Uncle Sams Cider (5/13/2022)</v>
      </c>
      <c r="H7842" s="19"/>
    </row>
    <row r="7843">
      <c r="A7843" s="9"/>
      <c r="B7843" s="15"/>
      <c r="C7843" s="9">
        <f>IFERROR(__xludf.DUMMYFUNCTION("""COMPUTED_VALUE"""),44714.8399637731)</f>
        <v>44714.83996</v>
      </c>
      <c r="D7843" s="15">
        <f>IFERROR(__xludf.DUMMYFUNCTION("""COMPUTED_VALUE"""),1.014)</f>
        <v>1.014</v>
      </c>
      <c r="E7843" s="16">
        <f>IFERROR(__xludf.DUMMYFUNCTION("""COMPUTED_VALUE"""),69.0)</f>
        <v>69</v>
      </c>
      <c r="F7843" s="19" t="str">
        <f>IFERROR(__xludf.DUMMYFUNCTION("""COMPUTED_VALUE"""),"BLACK")</f>
        <v>BLACK</v>
      </c>
      <c r="G7843" s="20" t="str">
        <f>IFERROR(__xludf.DUMMYFUNCTION("""COMPUTED_VALUE"""),"Uncle Sams Cider (5/13/2022)")</f>
        <v>Uncle Sams Cider (5/13/2022)</v>
      </c>
      <c r="H7843" s="19"/>
    </row>
    <row r="7844">
      <c r="A7844" s="9"/>
      <c r="B7844" s="15"/>
      <c r="C7844" s="9">
        <f>IFERROR(__xludf.DUMMYFUNCTION("""COMPUTED_VALUE"""),44714.8295054166)</f>
        <v>44714.82951</v>
      </c>
      <c r="D7844" s="15">
        <f>IFERROR(__xludf.DUMMYFUNCTION("""COMPUTED_VALUE"""),1.014)</f>
        <v>1.014</v>
      </c>
      <c r="E7844" s="16">
        <f>IFERROR(__xludf.DUMMYFUNCTION("""COMPUTED_VALUE"""),69.0)</f>
        <v>69</v>
      </c>
      <c r="F7844" s="19" t="str">
        <f>IFERROR(__xludf.DUMMYFUNCTION("""COMPUTED_VALUE"""),"BLACK")</f>
        <v>BLACK</v>
      </c>
      <c r="G7844" s="20" t="str">
        <f>IFERROR(__xludf.DUMMYFUNCTION("""COMPUTED_VALUE"""),"Uncle Sams Cider (5/13/2022)")</f>
        <v>Uncle Sams Cider (5/13/2022)</v>
      </c>
      <c r="H7844" s="19"/>
    </row>
    <row r="7845">
      <c r="A7845" s="9"/>
      <c r="B7845" s="15"/>
      <c r="C7845" s="9">
        <f>IFERROR(__xludf.DUMMYFUNCTION("""COMPUTED_VALUE"""),44714.8190844328)</f>
        <v>44714.81908</v>
      </c>
      <c r="D7845" s="15">
        <f>IFERROR(__xludf.DUMMYFUNCTION("""COMPUTED_VALUE"""),1.014)</f>
        <v>1.014</v>
      </c>
      <c r="E7845" s="16">
        <f>IFERROR(__xludf.DUMMYFUNCTION("""COMPUTED_VALUE"""),69.0)</f>
        <v>69</v>
      </c>
      <c r="F7845" s="19" t="str">
        <f>IFERROR(__xludf.DUMMYFUNCTION("""COMPUTED_VALUE"""),"BLACK")</f>
        <v>BLACK</v>
      </c>
      <c r="G7845" s="20" t="str">
        <f>IFERROR(__xludf.DUMMYFUNCTION("""COMPUTED_VALUE"""),"Uncle Sams Cider (5/13/2022)")</f>
        <v>Uncle Sams Cider (5/13/2022)</v>
      </c>
      <c r="H7845" s="19"/>
    </row>
    <row r="7846">
      <c r="A7846" s="9"/>
      <c r="B7846" s="15"/>
      <c r="C7846" s="9">
        <f>IFERROR(__xludf.DUMMYFUNCTION("""COMPUTED_VALUE"""),44714.8086646527)</f>
        <v>44714.80866</v>
      </c>
      <c r="D7846" s="15">
        <f>IFERROR(__xludf.DUMMYFUNCTION("""COMPUTED_VALUE"""),1.014)</f>
        <v>1.014</v>
      </c>
      <c r="E7846" s="16">
        <f>IFERROR(__xludf.DUMMYFUNCTION("""COMPUTED_VALUE"""),68.0)</f>
        <v>68</v>
      </c>
      <c r="F7846" s="19" t="str">
        <f>IFERROR(__xludf.DUMMYFUNCTION("""COMPUTED_VALUE"""),"BLACK")</f>
        <v>BLACK</v>
      </c>
      <c r="G7846" s="20" t="str">
        <f>IFERROR(__xludf.DUMMYFUNCTION("""COMPUTED_VALUE"""),"Uncle Sams Cider (5/13/2022)")</f>
        <v>Uncle Sams Cider (5/13/2022)</v>
      </c>
      <c r="H7846" s="19"/>
    </row>
    <row r="7847">
      <c r="A7847" s="9"/>
      <c r="B7847" s="15"/>
      <c r="C7847" s="9">
        <f>IFERROR(__xludf.DUMMYFUNCTION("""COMPUTED_VALUE"""),44714.7982465972)</f>
        <v>44714.79825</v>
      </c>
      <c r="D7847" s="15">
        <f>IFERROR(__xludf.DUMMYFUNCTION("""COMPUTED_VALUE"""),1.014)</f>
        <v>1.014</v>
      </c>
      <c r="E7847" s="16">
        <f>IFERROR(__xludf.DUMMYFUNCTION("""COMPUTED_VALUE"""),68.0)</f>
        <v>68</v>
      </c>
      <c r="F7847" s="19" t="str">
        <f>IFERROR(__xludf.DUMMYFUNCTION("""COMPUTED_VALUE"""),"BLACK")</f>
        <v>BLACK</v>
      </c>
      <c r="G7847" s="20" t="str">
        <f>IFERROR(__xludf.DUMMYFUNCTION("""COMPUTED_VALUE"""),"Uncle Sams Cider (5/13/2022)")</f>
        <v>Uncle Sams Cider (5/13/2022)</v>
      </c>
      <c r="H7847" s="19"/>
    </row>
    <row r="7848">
      <c r="A7848" s="9"/>
      <c r="B7848" s="15"/>
      <c r="C7848" s="9">
        <f>IFERROR(__xludf.DUMMYFUNCTION("""COMPUTED_VALUE"""),44714.78782478)</f>
        <v>44714.78782</v>
      </c>
      <c r="D7848" s="15">
        <f>IFERROR(__xludf.DUMMYFUNCTION("""COMPUTED_VALUE"""),1.014)</f>
        <v>1.014</v>
      </c>
      <c r="E7848" s="16">
        <f>IFERROR(__xludf.DUMMYFUNCTION("""COMPUTED_VALUE"""),68.0)</f>
        <v>68</v>
      </c>
      <c r="F7848" s="19" t="str">
        <f>IFERROR(__xludf.DUMMYFUNCTION("""COMPUTED_VALUE"""),"BLACK")</f>
        <v>BLACK</v>
      </c>
      <c r="G7848" s="20" t="str">
        <f>IFERROR(__xludf.DUMMYFUNCTION("""COMPUTED_VALUE"""),"Uncle Sams Cider (5/13/2022)")</f>
        <v>Uncle Sams Cider (5/13/2022)</v>
      </c>
      <c r="H7848" s="19"/>
    </row>
    <row r="7849">
      <c r="A7849" s="9"/>
      <c r="B7849" s="15"/>
      <c r="C7849" s="9">
        <f>IFERROR(__xludf.DUMMYFUNCTION("""COMPUTED_VALUE"""),44714.777402199)</f>
        <v>44714.7774</v>
      </c>
      <c r="D7849" s="15">
        <f>IFERROR(__xludf.DUMMYFUNCTION("""COMPUTED_VALUE"""),1.014)</f>
        <v>1.014</v>
      </c>
      <c r="E7849" s="16">
        <f>IFERROR(__xludf.DUMMYFUNCTION("""COMPUTED_VALUE"""),68.0)</f>
        <v>68</v>
      </c>
      <c r="F7849" s="19" t="str">
        <f>IFERROR(__xludf.DUMMYFUNCTION("""COMPUTED_VALUE"""),"BLACK")</f>
        <v>BLACK</v>
      </c>
      <c r="G7849" s="20" t="str">
        <f>IFERROR(__xludf.DUMMYFUNCTION("""COMPUTED_VALUE"""),"Uncle Sams Cider (5/13/2022)")</f>
        <v>Uncle Sams Cider (5/13/2022)</v>
      </c>
      <c r="H7849" s="19"/>
    </row>
    <row r="7850">
      <c r="A7850" s="9"/>
      <c r="B7850" s="15"/>
      <c r="C7850" s="9">
        <f>IFERROR(__xludf.DUMMYFUNCTION("""COMPUTED_VALUE"""),44714.7669585763)</f>
        <v>44714.76696</v>
      </c>
      <c r="D7850" s="15">
        <f>IFERROR(__xludf.DUMMYFUNCTION("""COMPUTED_VALUE"""),1.014)</f>
        <v>1.014</v>
      </c>
      <c r="E7850" s="16">
        <f>IFERROR(__xludf.DUMMYFUNCTION("""COMPUTED_VALUE"""),68.0)</f>
        <v>68</v>
      </c>
      <c r="F7850" s="19" t="str">
        <f>IFERROR(__xludf.DUMMYFUNCTION("""COMPUTED_VALUE"""),"BLACK")</f>
        <v>BLACK</v>
      </c>
      <c r="G7850" s="20" t="str">
        <f>IFERROR(__xludf.DUMMYFUNCTION("""COMPUTED_VALUE"""),"Uncle Sams Cider (5/13/2022)")</f>
        <v>Uncle Sams Cider (5/13/2022)</v>
      </c>
      <c r="H7850" s="19"/>
    </row>
    <row r="7851">
      <c r="A7851" s="9"/>
      <c r="B7851" s="15"/>
      <c r="C7851" s="9">
        <f>IFERROR(__xludf.DUMMYFUNCTION("""COMPUTED_VALUE"""),44714.7565382523)</f>
        <v>44714.75654</v>
      </c>
      <c r="D7851" s="15">
        <f>IFERROR(__xludf.DUMMYFUNCTION("""COMPUTED_VALUE"""),1.014)</f>
        <v>1.014</v>
      </c>
      <c r="E7851" s="16">
        <f>IFERROR(__xludf.DUMMYFUNCTION("""COMPUTED_VALUE"""),68.0)</f>
        <v>68</v>
      </c>
      <c r="F7851" s="19" t="str">
        <f>IFERROR(__xludf.DUMMYFUNCTION("""COMPUTED_VALUE"""),"BLACK")</f>
        <v>BLACK</v>
      </c>
      <c r="G7851" s="20" t="str">
        <f>IFERROR(__xludf.DUMMYFUNCTION("""COMPUTED_VALUE"""),"Uncle Sams Cider (5/13/2022)")</f>
        <v>Uncle Sams Cider (5/13/2022)</v>
      </c>
      <c r="H7851" s="19"/>
    </row>
    <row r="7852">
      <c r="A7852" s="9"/>
      <c r="B7852" s="15"/>
      <c r="C7852" s="9">
        <f>IFERROR(__xludf.DUMMYFUNCTION("""COMPUTED_VALUE"""),44714.7461170949)</f>
        <v>44714.74612</v>
      </c>
      <c r="D7852" s="15">
        <f>IFERROR(__xludf.DUMMYFUNCTION("""COMPUTED_VALUE"""),1.014)</f>
        <v>1.014</v>
      </c>
      <c r="E7852" s="16">
        <f>IFERROR(__xludf.DUMMYFUNCTION("""COMPUTED_VALUE"""),68.0)</f>
        <v>68</v>
      </c>
      <c r="F7852" s="19" t="str">
        <f>IFERROR(__xludf.DUMMYFUNCTION("""COMPUTED_VALUE"""),"BLACK")</f>
        <v>BLACK</v>
      </c>
      <c r="G7852" s="20" t="str">
        <f>IFERROR(__xludf.DUMMYFUNCTION("""COMPUTED_VALUE"""),"Uncle Sams Cider (5/13/2022)")</f>
        <v>Uncle Sams Cider (5/13/2022)</v>
      </c>
      <c r="H7852" s="19"/>
    </row>
    <row r="7853">
      <c r="A7853" s="9"/>
      <c r="B7853" s="15"/>
      <c r="C7853" s="9">
        <f>IFERROR(__xludf.DUMMYFUNCTION("""COMPUTED_VALUE"""),44714.7356968402)</f>
        <v>44714.7357</v>
      </c>
      <c r="D7853" s="15">
        <f>IFERROR(__xludf.DUMMYFUNCTION("""COMPUTED_VALUE"""),1.014)</f>
        <v>1.014</v>
      </c>
      <c r="E7853" s="16">
        <f>IFERROR(__xludf.DUMMYFUNCTION("""COMPUTED_VALUE"""),68.0)</f>
        <v>68</v>
      </c>
      <c r="F7853" s="19" t="str">
        <f>IFERROR(__xludf.DUMMYFUNCTION("""COMPUTED_VALUE"""),"BLACK")</f>
        <v>BLACK</v>
      </c>
      <c r="G7853" s="20" t="str">
        <f>IFERROR(__xludf.DUMMYFUNCTION("""COMPUTED_VALUE"""),"Uncle Sams Cider (5/13/2022)")</f>
        <v>Uncle Sams Cider (5/13/2022)</v>
      </c>
      <c r="H7853" s="19"/>
    </row>
    <row r="7854">
      <c r="A7854" s="9"/>
      <c r="B7854" s="15"/>
      <c r="C7854" s="9">
        <f>IFERROR(__xludf.DUMMYFUNCTION("""COMPUTED_VALUE"""),44714.7252743287)</f>
        <v>44714.72527</v>
      </c>
      <c r="D7854" s="15">
        <f>IFERROR(__xludf.DUMMYFUNCTION("""COMPUTED_VALUE"""),1.014)</f>
        <v>1.014</v>
      </c>
      <c r="E7854" s="16">
        <f>IFERROR(__xludf.DUMMYFUNCTION("""COMPUTED_VALUE"""),68.0)</f>
        <v>68</v>
      </c>
      <c r="F7854" s="19" t="str">
        <f>IFERROR(__xludf.DUMMYFUNCTION("""COMPUTED_VALUE"""),"BLACK")</f>
        <v>BLACK</v>
      </c>
      <c r="G7854" s="20" t="str">
        <f>IFERROR(__xludf.DUMMYFUNCTION("""COMPUTED_VALUE"""),"Uncle Sams Cider (5/13/2022)")</f>
        <v>Uncle Sams Cider (5/13/2022)</v>
      </c>
      <c r="H7854" s="19"/>
    </row>
    <row r="7855">
      <c r="A7855" s="9"/>
      <c r="B7855" s="15"/>
      <c r="C7855" s="9">
        <f>IFERROR(__xludf.DUMMYFUNCTION("""COMPUTED_VALUE"""),44714.7148534722)</f>
        <v>44714.71485</v>
      </c>
      <c r="D7855" s="15">
        <f>IFERROR(__xludf.DUMMYFUNCTION("""COMPUTED_VALUE"""),1.014)</f>
        <v>1.014</v>
      </c>
      <c r="E7855" s="16">
        <f>IFERROR(__xludf.DUMMYFUNCTION("""COMPUTED_VALUE"""),68.0)</f>
        <v>68</v>
      </c>
      <c r="F7855" s="19" t="str">
        <f>IFERROR(__xludf.DUMMYFUNCTION("""COMPUTED_VALUE"""),"BLACK")</f>
        <v>BLACK</v>
      </c>
      <c r="G7855" s="20" t="str">
        <f>IFERROR(__xludf.DUMMYFUNCTION("""COMPUTED_VALUE"""),"Uncle Sams Cider (5/13/2022)")</f>
        <v>Uncle Sams Cider (5/13/2022)</v>
      </c>
      <c r="H7855" s="19"/>
    </row>
    <row r="7856">
      <c r="A7856" s="9"/>
      <c r="B7856" s="15"/>
      <c r="C7856" s="9">
        <f>IFERROR(__xludf.DUMMYFUNCTION("""COMPUTED_VALUE"""),44714.7044309722)</f>
        <v>44714.70443</v>
      </c>
      <c r="D7856" s="15">
        <f>IFERROR(__xludf.DUMMYFUNCTION("""COMPUTED_VALUE"""),1.014)</f>
        <v>1.014</v>
      </c>
      <c r="E7856" s="16">
        <f>IFERROR(__xludf.DUMMYFUNCTION("""COMPUTED_VALUE"""),68.0)</f>
        <v>68</v>
      </c>
      <c r="F7856" s="19" t="str">
        <f>IFERROR(__xludf.DUMMYFUNCTION("""COMPUTED_VALUE"""),"BLACK")</f>
        <v>BLACK</v>
      </c>
      <c r="G7856" s="20" t="str">
        <f>IFERROR(__xludf.DUMMYFUNCTION("""COMPUTED_VALUE"""),"Uncle Sams Cider (5/13/2022)")</f>
        <v>Uncle Sams Cider (5/13/2022)</v>
      </c>
      <c r="H7856" s="19"/>
    </row>
    <row r="7857">
      <c r="A7857" s="9"/>
      <c r="B7857" s="15"/>
      <c r="C7857" s="9">
        <f>IFERROR(__xludf.DUMMYFUNCTION("""COMPUTED_VALUE"""),44714.6940109722)</f>
        <v>44714.69401</v>
      </c>
      <c r="D7857" s="15">
        <f>IFERROR(__xludf.DUMMYFUNCTION("""COMPUTED_VALUE"""),1.014)</f>
        <v>1.014</v>
      </c>
      <c r="E7857" s="16">
        <f>IFERROR(__xludf.DUMMYFUNCTION("""COMPUTED_VALUE"""),68.0)</f>
        <v>68</v>
      </c>
      <c r="F7857" s="19" t="str">
        <f>IFERROR(__xludf.DUMMYFUNCTION("""COMPUTED_VALUE"""),"BLACK")</f>
        <v>BLACK</v>
      </c>
      <c r="G7857" s="20" t="str">
        <f>IFERROR(__xludf.DUMMYFUNCTION("""COMPUTED_VALUE"""),"Uncle Sams Cider (5/13/2022)")</f>
        <v>Uncle Sams Cider (5/13/2022)</v>
      </c>
      <c r="H7857" s="19"/>
    </row>
    <row r="7858">
      <c r="A7858" s="9"/>
      <c r="B7858" s="15"/>
      <c r="C7858" s="9">
        <f>IFERROR(__xludf.DUMMYFUNCTION("""COMPUTED_VALUE"""),44714.6835782754)</f>
        <v>44714.68358</v>
      </c>
      <c r="D7858" s="15">
        <f>IFERROR(__xludf.DUMMYFUNCTION("""COMPUTED_VALUE"""),1.014)</f>
        <v>1.014</v>
      </c>
      <c r="E7858" s="16">
        <f>IFERROR(__xludf.DUMMYFUNCTION("""COMPUTED_VALUE"""),68.0)</f>
        <v>68</v>
      </c>
      <c r="F7858" s="19" t="str">
        <f>IFERROR(__xludf.DUMMYFUNCTION("""COMPUTED_VALUE"""),"BLACK")</f>
        <v>BLACK</v>
      </c>
      <c r="G7858" s="20" t="str">
        <f>IFERROR(__xludf.DUMMYFUNCTION("""COMPUTED_VALUE"""),"Uncle Sams Cider (5/13/2022)")</f>
        <v>Uncle Sams Cider (5/13/2022)</v>
      </c>
      <c r="H7858" s="19"/>
    </row>
    <row r="7859">
      <c r="A7859" s="9"/>
      <c r="B7859" s="15"/>
      <c r="C7859" s="9">
        <f>IFERROR(__xludf.DUMMYFUNCTION("""COMPUTED_VALUE"""),44714.673145)</f>
        <v>44714.67315</v>
      </c>
      <c r="D7859" s="15">
        <f>IFERROR(__xludf.DUMMYFUNCTION("""COMPUTED_VALUE"""),1.014)</f>
        <v>1.014</v>
      </c>
      <c r="E7859" s="16">
        <f>IFERROR(__xludf.DUMMYFUNCTION("""COMPUTED_VALUE"""),68.0)</f>
        <v>68</v>
      </c>
      <c r="F7859" s="19" t="str">
        <f>IFERROR(__xludf.DUMMYFUNCTION("""COMPUTED_VALUE"""),"BLACK")</f>
        <v>BLACK</v>
      </c>
      <c r="G7859" s="20" t="str">
        <f>IFERROR(__xludf.DUMMYFUNCTION("""COMPUTED_VALUE"""),"Uncle Sams Cider (5/13/2022)")</f>
        <v>Uncle Sams Cider (5/13/2022)</v>
      </c>
      <c r="H7859" s="19"/>
    </row>
    <row r="7860">
      <c r="A7860" s="9"/>
      <c r="B7860" s="15"/>
      <c r="C7860" s="9">
        <f>IFERROR(__xludf.DUMMYFUNCTION("""COMPUTED_VALUE"""),44714.6627115972)</f>
        <v>44714.66271</v>
      </c>
      <c r="D7860" s="15">
        <f>IFERROR(__xludf.DUMMYFUNCTION("""COMPUTED_VALUE"""),1.014)</f>
        <v>1.014</v>
      </c>
      <c r="E7860" s="16">
        <f>IFERROR(__xludf.DUMMYFUNCTION("""COMPUTED_VALUE"""),68.0)</f>
        <v>68</v>
      </c>
      <c r="F7860" s="19" t="str">
        <f>IFERROR(__xludf.DUMMYFUNCTION("""COMPUTED_VALUE"""),"BLACK")</f>
        <v>BLACK</v>
      </c>
      <c r="G7860" s="20" t="str">
        <f>IFERROR(__xludf.DUMMYFUNCTION("""COMPUTED_VALUE"""),"Uncle Sams Cider (5/13/2022)")</f>
        <v>Uncle Sams Cider (5/13/2022)</v>
      </c>
      <c r="H7860" s="19"/>
    </row>
    <row r="7861">
      <c r="A7861" s="9"/>
      <c r="B7861" s="15"/>
      <c r="C7861" s="9">
        <f>IFERROR(__xludf.DUMMYFUNCTION("""COMPUTED_VALUE"""),44714.6522680555)</f>
        <v>44714.65227</v>
      </c>
      <c r="D7861" s="15">
        <f>IFERROR(__xludf.DUMMYFUNCTION("""COMPUTED_VALUE"""),1.014)</f>
        <v>1.014</v>
      </c>
      <c r="E7861" s="16">
        <f>IFERROR(__xludf.DUMMYFUNCTION("""COMPUTED_VALUE"""),68.0)</f>
        <v>68</v>
      </c>
      <c r="F7861" s="19" t="str">
        <f>IFERROR(__xludf.DUMMYFUNCTION("""COMPUTED_VALUE"""),"BLACK")</f>
        <v>BLACK</v>
      </c>
      <c r="G7861" s="20" t="str">
        <f>IFERROR(__xludf.DUMMYFUNCTION("""COMPUTED_VALUE"""),"Uncle Sams Cider (5/13/2022)")</f>
        <v>Uncle Sams Cider (5/13/2022)</v>
      </c>
      <c r="H7861" s="19"/>
    </row>
    <row r="7862">
      <c r="A7862" s="9"/>
      <c r="B7862" s="15"/>
      <c r="C7862" s="9">
        <f>IFERROR(__xludf.DUMMYFUNCTION("""COMPUTED_VALUE"""),44714.6418364236)</f>
        <v>44714.64184</v>
      </c>
      <c r="D7862" s="15">
        <f>IFERROR(__xludf.DUMMYFUNCTION("""COMPUTED_VALUE"""),1.014)</f>
        <v>1.014</v>
      </c>
      <c r="E7862" s="16">
        <f>IFERROR(__xludf.DUMMYFUNCTION("""COMPUTED_VALUE"""),68.0)</f>
        <v>68</v>
      </c>
      <c r="F7862" s="19" t="str">
        <f>IFERROR(__xludf.DUMMYFUNCTION("""COMPUTED_VALUE"""),"BLACK")</f>
        <v>BLACK</v>
      </c>
      <c r="G7862" s="20" t="str">
        <f>IFERROR(__xludf.DUMMYFUNCTION("""COMPUTED_VALUE"""),"Uncle Sams Cider (5/13/2022)")</f>
        <v>Uncle Sams Cider (5/13/2022)</v>
      </c>
      <c r="H7862" s="19"/>
    </row>
    <row r="7863">
      <c r="A7863" s="9"/>
      <c r="B7863" s="15"/>
      <c r="C7863" s="9">
        <f>IFERROR(__xludf.DUMMYFUNCTION("""COMPUTED_VALUE"""),44714.6314028009)</f>
        <v>44714.6314</v>
      </c>
      <c r="D7863" s="15">
        <f>IFERROR(__xludf.DUMMYFUNCTION("""COMPUTED_VALUE"""),1.014)</f>
        <v>1.014</v>
      </c>
      <c r="E7863" s="16">
        <f>IFERROR(__xludf.DUMMYFUNCTION("""COMPUTED_VALUE"""),68.0)</f>
        <v>68</v>
      </c>
      <c r="F7863" s="19" t="str">
        <f>IFERROR(__xludf.DUMMYFUNCTION("""COMPUTED_VALUE"""),"BLACK")</f>
        <v>BLACK</v>
      </c>
      <c r="G7863" s="20" t="str">
        <f>IFERROR(__xludf.DUMMYFUNCTION("""COMPUTED_VALUE"""),"Uncle Sams Cider (5/13/2022)")</f>
        <v>Uncle Sams Cider (5/13/2022)</v>
      </c>
      <c r="H7863" s="19"/>
    </row>
    <row r="7864">
      <c r="A7864" s="9"/>
      <c r="B7864" s="15"/>
      <c r="C7864" s="9">
        <f>IFERROR(__xludf.DUMMYFUNCTION("""COMPUTED_VALUE"""),44714.6209474537)</f>
        <v>44714.62095</v>
      </c>
      <c r="D7864" s="15">
        <f>IFERROR(__xludf.DUMMYFUNCTION("""COMPUTED_VALUE"""),1.014)</f>
        <v>1.014</v>
      </c>
      <c r="E7864" s="16">
        <f>IFERROR(__xludf.DUMMYFUNCTION("""COMPUTED_VALUE"""),68.0)</f>
        <v>68</v>
      </c>
      <c r="F7864" s="19" t="str">
        <f>IFERROR(__xludf.DUMMYFUNCTION("""COMPUTED_VALUE"""),"BLACK")</f>
        <v>BLACK</v>
      </c>
      <c r="G7864" s="20" t="str">
        <f>IFERROR(__xludf.DUMMYFUNCTION("""COMPUTED_VALUE"""),"Uncle Sams Cider (5/13/2022)")</f>
        <v>Uncle Sams Cider (5/13/2022)</v>
      </c>
      <c r="H7864" s="19"/>
    </row>
    <row r="7865">
      <c r="A7865" s="9"/>
      <c r="B7865" s="15"/>
      <c r="C7865" s="9">
        <f>IFERROR(__xludf.DUMMYFUNCTION("""COMPUTED_VALUE"""),44714.6105152083)</f>
        <v>44714.61052</v>
      </c>
      <c r="D7865" s="15">
        <f>IFERROR(__xludf.DUMMYFUNCTION("""COMPUTED_VALUE"""),1.014)</f>
        <v>1.014</v>
      </c>
      <c r="E7865" s="16">
        <f>IFERROR(__xludf.DUMMYFUNCTION("""COMPUTED_VALUE"""),68.0)</f>
        <v>68</v>
      </c>
      <c r="F7865" s="19" t="str">
        <f>IFERROR(__xludf.DUMMYFUNCTION("""COMPUTED_VALUE"""),"BLACK")</f>
        <v>BLACK</v>
      </c>
      <c r="G7865" s="20" t="str">
        <f>IFERROR(__xludf.DUMMYFUNCTION("""COMPUTED_VALUE"""),"Uncle Sams Cider (5/13/2022)")</f>
        <v>Uncle Sams Cider (5/13/2022)</v>
      </c>
      <c r="H7865" s="19"/>
    </row>
    <row r="7866">
      <c r="A7866" s="9"/>
      <c r="B7866" s="15"/>
      <c r="C7866" s="9">
        <f>IFERROR(__xludf.DUMMYFUNCTION("""COMPUTED_VALUE"""),44714.6000925578)</f>
        <v>44714.60009</v>
      </c>
      <c r="D7866" s="15">
        <f>IFERROR(__xludf.DUMMYFUNCTION("""COMPUTED_VALUE"""),1.014)</f>
        <v>1.014</v>
      </c>
      <c r="E7866" s="16">
        <f>IFERROR(__xludf.DUMMYFUNCTION("""COMPUTED_VALUE"""),68.0)</f>
        <v>68</v>
      </c>
      <c r="F7866" s="19" t="str">
        <f>IFERROR(__xludf.DUMMYFUNCTION("""COMPUTED_VALUE"""),"BLACK")</f>
        <v>BLACK</v>
      </c>
      <c r="G7866" s="20" t="str">
        <f>IFERROR(__xludf.DUMMYFUNCTION("""COMPUTED_VALUE"""),"Uncle Sams Cider (5/13/2022)")</f>
        <v>Uncle Sams Cider (5/13/2022)</v>
      </c>
      <c r="H7866" s="19"/>
    </row>
    <row r="7867">
      <c r="A7867" s="9"/>
      <c r="B7867" s="15"/>
      <c r="C7867" s="9">
        <f>IFERROR(__xludf.DUMMYFUNCTION("""COMPUTED_VALUE"""),44714.5896723148)</f>
        <v>44714.58967</v>
      </c>
      <c r="D7867" s="15">
        <f>IFERROR(__xludf.DUMMYFUNCTION("""COMPUTED_VALUE"""),1.014)</f>
        <v>1.014</v>
      </c>
      <c r="E7867" s="16">
        <f>IFERROR(__xludf.DUMMYFUNCTION("""COMPUTED_VALUE"""),68.0)</f>
        <v>68</v>
      </c>
      <c r="F7867" s="19" t="str">
        <f>IFERROR(__xludf.DUMMYFUNCTION("""COMPUTED_VALUE"""),"BLACK")</f>
        <v>BLACK</v>
      </c>
      <c r="G7867" s="20" t="str">
        <f>IFERROR(__xludf.DUMMYFUNCTION("""COMPUTED_VALUE"""),"Uncle Sams Cider (5/13/2022)")</f>
        <v>Uncle Sams Cider (5/13/2022)</v>
      </c>
      <c r="H7867" s="19"/>
    </row>
    <row r="7868">
      <c r="A7868" s="9"/>
      <c r="B7868" s="15"/>
      <c r="C7868" s="9">
        <f>IFERROR(__xludf.DUMMYFUNCTION("""COMPUTED_VALUE"""),44714.5792506944)</f>
        <v>44714.57925</v>
      </c>
      <c r="D7868" s="15">
        <f>IFERROR(__xludf.DUMMYFUNCTION("""COMPUTED_VALUE"""),1.014)</f>
        <v>1.014</v>
      </c>
      <c r="E7868" s="16">
        <f>IFERROR(__xludf.DUMMYFUNCTION("""COMPUTED_VALUE"""),68.0)</f>
        <v>68</v>
      </c>
      <c r="F7868" s="19" t="str">
        <f>IFERROR(__xludf.DUMMYFUNCTION("""COMPUTED_VALUE"""),"BLACK")</f>
        <v>BLACK</v>
      </c>
      <c r="G7868" s="20" t="str">
        <f>IFERROR(__xludf.DUMMYFUNCTION("""COMPUTED_VALUE"""),"Uncle Sams Cider (5/13/2022)")</f>
        <v>Uncle Sams Cider (5/13/2022)</v>
      </c>
      <c r="H7868" s="19"/>
    </row>
    <row r="7869">
      <c r="A7869" s="9"/>
      <c r="B7869" s="15"/>
      <c r="C7869" s="9">
        <f>IFERROR(__xludf.DUMMYFUNCTION("""COMPUTED_VALUE"""),44714.568816655)</f>
        <v>44714.56882</v>
      </c>
      <c r="D7869" s="15">
        <f>IFERROR(__xludf.DUMMYFUNCTION("""COMPUTED_VALUE"""),1.014)</f>
        <v>1.014</v>
      </c>
      <c r="E7869" s="16">
        <f>IFERROR(__xludf.DUMMYFUNCTION("""COMPUTED_VALUE"""),68.0)</f>
        <v>68</v>
      </c>
      <c r="F7869" s="19" t="str">
        <f>IFERROR(__xludf.DUMMYFUNCTION("""COMPUTED_VALUE"""),"BLACK")</f>
        <v>BLACK</v>
      </c>
      <c r="G7869" s="20" t="str">
        <f>IFERROR(__xludf.DUMMYFUNCTION("""COMPUTED_VALUE"""),"Uncle Sams Cider (5/13/2022)")</f>
        <v>Uncle Sams Cider (5/13/2022)</v>
      </c>
      <c r="H7869" s="19"/>
    </row>
    <row r="7870">
      <c r="A7870" s="9"/>
      <c r="B7870" s="15"/>
      <c r="C7870" s="9">
        <f>IFERROR(__xludf.DUMMYFUNCTION("""COMPUTED_VALUE"""),44714.5583598379)</f>
        <v>44714.55836</v>
      </c>
      <c r="D7870" s="15">
        <f>IFERROR(__xludf.DUMMYFUNCTION("""COMPUTED_VALUE"""),1.014)</f>
        <v>1.014</v>
      </c>
      <c r="E7870" s="16">
        <f>IFERROR(__xludf.DUMMYFUNCTION("""COMPUTED_VALUE"""),68.0)</f>
        <v>68</v>
      </c>
      <c r="F7870" s="19" t="str">
        <f>IFERROR(__xludf.DUMMYFUNCTION("""COMPUTED_VALUE"""),"BLACK")</f>
        <v>BLACK</v>
      </c>
      <c r="G7870" s="20" t="str">
        <f>IFERROR(__xludf.DUMMYFUNCTION("""COMPUTED_VALUE"""),"Uncle Sams Cider (5/13/2022)")</f>
        <v>Uncle Sams Cider (5/13/2022)</v>
      </c>
      <c r="H7870" s="19"/>
    </row>
    <row r="7871">
      <c r="A7871" s="9"/>
      <c r="B7871" s="15"/>
      <c r="C7871" s="9">
        <f>IFERROR(__xludf.DUMMYFUNCTION("""COMPUTED_VALUE"""),44714.5479396296)</f>
        <v>44714.54794</v>
      </c>
      <c r="D7871" s="15">
        <f>IFERROR(__xludf.DUMMYFUNCTION("""COMPUTED_VALUE"""),1.014)</f>
        <v>1.014</v>
      </c>
      <c r="E7871" s="16">
        <f>IFERROR(__xludf.DUMMYFUNCTION("""COMPUTED_VALUE"""),68.0)</f>
        <v>68</v>
      </c>
      <c r="F7871" s="19" t="str">
        <f>IFERROR(__xludf.DUMMYFUNCTION("""COMPUTED_VALUE"""),"BLACK")</f>
        <v>BLACK</v>
      </c>
      <c r="G7871" s="20" t="str">
        <f>IFERROR(__xludf.DUMMYFUNCTION("""COMPUTED_VALUE"""),"Uncle Sams Cider (5/13/2022)")</f>
        <v>Uncle Sams Cider (5/13/2022)</v>
      </c>
      <c r="H7871" s="19"/>
    </row>
    <row r="7872">
      <c r="A7872" s="9"/>
      <c r="B7872" s="15"/>
      <c r="C7872" s="9">
        <f>IFERROR(__xludf.DUMMYFUNCTION("""COMPUTED_VALUE"""),44714.5375185995)</f>
        <v>44714.53752</v>
      </c>
      <c r="D7872" s="15">
        <f>IFERROR(__xludf.DUMMYFUNCTION("""COMPUTED_VALUE"""),1.014)</f>
        <v>1.014</v>
      </c>
      <c r="E7872" s="16">
        <f>IFERROR(__xludf.DUMMYFUNCTION("""COMPUTED_VALUE"""),68.0)</f>
        <v>68</v>
      </c>
      <c r="F7872" s="19" t="str">
        <f>IFERROR(__xludf.DUMMYFUNCTION("""COMPUTED_VALUE"""),"BLACK")</f>
        <v>BLACK</v>
      </c>
      <c r="G7872" s="20" t="str">
        <f>IFERROR(__xludf.DUMMYFUNCTION("""COMPUTED_VALUE"""),"Uncle Sams Cider (5/13/2022)")</f>
        <v>Uncle Sams Cider (5/13/2022)</v>
      </c>
      <c r="H7872" s="19"/>
    </row>
    <row r="7873">
      <c r="A7873" s="9"/>
      <c r="B7873" s="15"/>
      <c r="C7873" s="9">
        <f>IFERROR(__xludf.DUMMYFUNCTION("""COMPUTED_VALUE"""),44714.5270965046)</f>
        <v>44714.5271</v>
      </c>
      <c r="D7873" s="15">
        <f>IFERROR(__xludf.DUMMYFUNCTION("""COMPUTED_VALUE"""),1.014)</f>
        <v>1.014</v>
      </c>
      <c r="E7873" s="16">
        <f>IFERROR(__xludf.DUMMYFUNCTION("""COMPUTED_VALUE"""),68.0)</f>
        <v>68</v>
      </c>
      <c r="F7873" s="19" t="str">
        <f>IFERROR(__xludf.DUMMYFUNCTION("""COMPUTED_VALUE"""),"BLACK")</f>
        <v>BLACK</v>
      </c>
      <c r="G7873" s="20" t="str">
        <f>IFERROR(__xludf.DUMMYFUNCTION("""COMPUTED_VALUE"""),"Uncle Sams Cider (5/13/2022)")</f>
        <v>Uncle Sams Cider (5/13/2022)</v>
      </c>
      <c r="H7873" s="19"/>
    </row>
    <row r="7874">
      <c r="A7874" s="9"/>
      <c r="B7874" s="15"/>
      <c r="C7874" s="9">
        <f>IFERROR(__xludf.DUMMYFUNCTION("""COMPUTED_VALUE"""),44714.5166755208)</f>
        <v>44714.51668</v>
      </c>
      <c r="D7874" s="15">
        <f>IFERROR(__xludf.DUMMYFUNCTION("""COMPUTED_VALUE"""),1.014)</f>
        <v>1.014</v>
      </c>
      <c r="E7874" s="16">
        <f>IFERROR(__xludf.DUMMYFUNCTION("""COMPUTED_VALUE"""),68.0)</f>
        <v>68</v>
      </c>
      <c r="F7874" s="19" t="str">
        <f>IFERROR(__xludf.DUMMYFUNCTION("""COMPUTED_VALUE"""),"BLACK")</f>
        <v>BLACK</v>
      </c>
      <c r="G7874" s="20" t="str">
        <f>IFERROR(__xludf.DUMMYFUNCTION("""COMPUTED_VALUE"""),"Uncle Sams Cider (5/13/2022)")</f>
        <v>Uncle Sams Cider (5/13/2022)</v>
      </c>
      <c r="H7874" s="19"/>
    </row>
    <row r="7875">
      <c r="A7875" s="9"/>
      <c r="B7875" s="15"/>
      <c r="C7875" s="9">
        <f>IFERROR(__xludf.DUMMYFUNCTION("""COMPUTED_VALUE"""),44714.5062423611)</f>
        <v>44714.50624</v>
      </c>
      <c r="D7875" s="15">
        <f>IFERROR(__xludf.DUMMYFUNCTION("""COMPUTED_VALUE"""),1.014)</f>
        <v>1.014</v>
      </c>
      <c r="E7875" s="16">
        <f>IFERROR(__xludf.DUMMYFUNCTION("""COMPUTED_VALUE"""),68.0)</f>
        <v>68</v>
      </c>
      <c r="F7875" s="19" t="str">
        <f>IFERROR(__xludf.DUMMYFUNCTION("""COMPUTED_VALUE"""),"BLACK")</f>
        <v>BLACK</v>
      </c>
      <c r="G7875" s="20" t="str">
        <f>IFERROR(__xludf.DUMMYFUNCTION("""COMPUTED_VALUE"""),"Uncle Sams Cider (5/13/2022)")</f>
        <v>Uncle Sams Cider (5/13/2022)</v>
      </c>
      <c r="H7875" s="19"/>
    </row>
    <row r="7876">
      <c r="A7876" s="9"/>
      <c r="B7876" s="15"/>
      <c r="C7876" s="9">
        <f>IFERROR(__xludf.DUMMYFUNCTION("""COMPUTED_VALUE"""),44714.4958117013)</f>
        <v>44714.49581</v>
      </c>
      <c r="D7876" s="15">
        <f>IFERROR(__xludf.DUMMYFUNCTION("""COMPUTED_VALUE"""),1.014)</f>
        <v>1.014</v>
      </c>
      <c r="E7876" s="16">
        <f>IFERROR(__xludf.DUMMYFUNCTION("""COMPUTED_VALUE"""),68.0)</f>
        <v>68</v>
      </c>
      <c r="F7876" s="19" t="str">
        <f>IFERROR(__xludf.DUMMYFUNCTION("""COMPUTED_VALUE"""),"BLACK")</f>
        <v>BLACK</v>
      </c>
      <c r="G7876" s="20" t="str">
        <f>IFERROR(__xludf.DUMMYFUNCTION("""COMPUTED_VALUE"""),"Uncle Sams Cider (5/13/2022)")</f>
        <v>Uncle Sams Cider (5/13/2022)</v>
      </c>
      <c r="H7876" s="19"/>
    </row>
    <row r="7877">
      <c r="A7877" s="9"/>
      <c r="B7877" s="15"/>
      <c r="C7877" s="9">
        <f>IFERROR(__xludf.DUMMYFUNCTION("""COMPUTED_VALUE"""),44714.4853908101)</f>
        <v>44714.48539</v>
      </c>
      <c r="D7877" s="15">
        <f>IFERROR(__xludf.DUMMYFUNCTION("""COMPUTED_VALUE"""),1.014)</f>
        <v>1.014</v>
      </c>
      <c r="E7877" s="16">
        <f>IFERROR(__xludf.DUMMYFUNCTION("""COMPUTED_VALUE"""),68.0)</f>
        <v>68</v>
      </c>
      <c r="F7877" s="19" t="str">
        <f>IFERROR(__xludf.DUMMYFUNCTION("""COMPUTED_VALUE"""),"BLACK")</f>
        <v>BLACK</v>
      </c>
      <c r="G7877" s="20" t="str">
        <f>IFERROR(__xludf.DUMMYFUNCTION("""COMPUTED_VALUE"""),"Uncle Sams Cider (5/13/2022)")</f>
        <v>Uncle Sams Cider (5/13/2022)</v>
      </c>
      <c r="H7877" s="19"/>
    </row>
    <row r="7878">
      <c r="A7878" s="9"/>
      <c r="B7878" s="15"/>
      <c r="C7878" s="9">
        <f>IFERROR(__xludf.DUMMYFUNCTION("""COMPUTED_VALUE"""),44714.4749698032)</f>
        <v>44714.47497</v>
      </c>
      <c r="D7878" s="15">
        <f>IFERROR(__xludf.DUMMYFUNCTION("""COMPUTED_VALUE"""),1.014)</f>
        <v>1.014</v>
      </c>
      <c r="E7878" s="16">
        <f>IFERROR(__xludf.DUMMYFUNCTION("""COMPUTED_VALUE"""),68.0)</f>
        <v>68</v>
      </c>
      <c r="F7878" s="19" t="str">
        <f>IFERROR(__xludf.DUMMYFUNCTION("""COMPUTED_VALUE"""),"BLACK")</f>
        <v>BLACK</v>
      </c>
      <c r="G7878" s="20" t="str">
        <f>IFERROR(__xludf.DUMMYFUNCTION("""COMPUTED_VALUE"""),"Uncle Sams Cider (5/13/2022)")</f>
        <v>Uncle Sams Cider (5/13/2022)</v>
      </c>
      <c r="H7878" s="19"/>
    </row>
    <row r="7879">
      <c r="A7879" s="9"/>
      <c r="B7879" s="15"/>
      <c r="C7879" s="9">
        <f>IFERROR(__xludf.DUMMYFUNCTION("""COMPUTED_VALUE"""),44714.4645485879)</f>
        <v>44714.46455</v>
      </c>
      <c r="D7879" s="15">
        <f>IFERROR(__xludf.DUMMYFUNCTION("""COMPUTED_VALUE"""),1.014)</f>
        <v>1.014</v>
      </c>
      <c r="E7879" s="16">
        <f>IFERROR(__xludf.DUMMYFUNCTION("""COMPUTED_VALUE"""),68.0)</f>
        <v>68</v>
      </c>
      <c r="F7879" s="19" t="str">
        <f>IFERROR(__xludf.DUMMYFUNCTION("""COMPUTED_VALUE"""),"BLACK")</f>
        <v>BLACK</v>
      </c>
      <c r="G7879" s="20" t="str">
        <f>IFERROR(__xludf.DUMMYFUNCTION("""COMPUTED_VALUE"""),"Uncle Sams Cider (5/13/2022)")</f>
        <v>Uncle Sams Cider (5/13/2022)</v>
      </c>
      <c r="H7879" s="19"/>
    </row>
    <row r="7880">
      <c r="A7880" s="9"/>
      <c r="B7880" s="15"/>
      <c r="C7880" s="9">
        <f>IFERROR(__xludf.DUMMYFUNCTION("""COMPUTED_VALUE"""),44714.4541287037)</f>
        <v>44714.45413</v>
      </c>
      <c r="D7880" s="15">
        <f>IFERROR(__xludf.DUMMYFUNCTION("""COMPUTED_VALUE"""),1.014)</f>
        <v>1.014</v>
      </c>
      <c r="E7880" s="16">
        <f>IFERROR(__xludf.DUMMYFUNCTION("""COMPUTED_VALUE"""),68.0)</f>
        <v>68</v>
      </c>
      <c r="F7880" s="19" t="str">
        <f>IFERROR(__xludf.DUMMYFUNCTION("""COMPUTED_VALUE"""),"BLACK")</f>
        <v>BLACK</v>
      </c>
      <c r="G7880" s="20" t="str">
        <f>IFERROR(__xludf.DUMMYFUNCTION("""COMPUTED_VALUE"""),"Uncle Sams Cider (5/13/2022)")</f>
        <v>Uncle Sams Cider (5/13/2022)</v>
      </c>
      <c r="H7880" s="19"/>
    </row>
    <row r="7881">
      <c r="A7881" s="9"/>
      <c r="B7881" s="15"/>
      <c r="C7881" s="9">
        <f>IFERROR(__xludf.DUMMYFUNCTION("""COMPUTED_VALUE"""),44714.4437074652)</f>
        <v>44714.44371</v>
      </c>
      <c r="D7881" s="15">
        <f>IFERROR(__xludf.DUMMYFUNCTION("""COMPUTED_VALUE"""),1.014)</f>
        <v>1.014</v>
      </c>
      <c r="E7881" s="16">
        <f>IFERROR(__xludf.DUMMYFUNCTION("""COMPUTED_VALUE"""),68.0)</f>
        <v>68</v>
      </c>
      <c r="F7881" s="19" t="str">
        <f>IFERROR(__xludf.DUMMYFUNCTION("""COMPUTED_VALUE"""),"BLACK")</f>
        <v>BLACK</v>
      </c>
      <c r="G7881" s="20" t="str">
        <f>IFERROR(__xludf.DUMMYFUNCTION("""COMPUTED_VALUE"""),"Uncle Sams Cider (5/13/2022)")</f>
        <v>Uncle Sams Cider (5/13/2022)</v>
      </c>
      <c r="H7881" s="19"/>
    </row>
    <row r="7882">
      <c r="A7882" s="9"/>
      <c r="B7882" s="15"/>
      <c r="C7882" s="9">
        <f>IFERROR(__xludf.DUMMYFUNCTION("""COMPUTED_VALUE"""),44714.4332860763)</f>
        <v>44714.43329</v>
      </c>
      <c r="D7882" s="15">
        <f>IFERROR(__xludf.DUMMYFUNCTION("""COMPUTED_VALUE"""),1.014)</f>
        <v>1.014</v>
      </c>
      <c r="E7882" s="16">
        <f>IFERROR(__xludf.DUMMYFUNCTION("""COMPUTED_VALUE"""),68.0)</f>
        <v>68</v>
      </c>
      <c r="F7882" s="19" t="str">
        <f>IFERROR(__xludf.DUMMYFUNCTION("""COMPUTED_VALUE"""),"BLACK")</f>
        <v>BLACK</v>
      </c>
      <c r="G7882" s="20" t="str">
        <f>IFERROR(__xludf.DUMMYFUNCTION("""COMPUTED_VALUE"""),"Uncle Sams Cider (5/13/2022)")</f>
        <v>Uncle Sams Cider (5/13/2022)</v>
      </c>
      <c r="H7882" s="19"/>
    </row>
    <row r="7883">
      <c r="A7883" s="9"/>
      <c r="B7883" s="15"/>
      <c r="C7883" s="9">
        <f>IFERROR(__xludf.DUMMYFUNCTION("""COMPUTED_VALUE"""),44714.4228536226)</f>
        <v>44714.42285</v>
      </c>
      <c r="D7883" s="15">
        <f>IFERROR(__xludf.DUMMYFUNCTION("""COMPUTED_VALUE"""),1.014)</f>
        <v>1.014</v>
      </c>
      <c r="E7883" s="16">
        <f>IFERROR(__xludf.DUMMYFUNCTION("""COMPUTED_VALUE"""),68.0)</f>
        <v>68</v>
      </c>
      <c r="F7883" s="19" t="str">
        <f>IFERROR(__xludf.DUMMYFUNCTION("""COMPUTED_VALUE"""),"BLACK")</f>
        <v>BLACK</v>
      </c>
      <c r="G7883" s="20" t="str">
        <f>IFERROR(__xludf.DUMMYFUNCTION("""COMPUTED_VALUE"""),"Uncle Sams Cider (5/13/2022)")</f>
        <v>Uncle Sams Cider (5/13/2022)</v>
      </c>
      <c r="H7883" s="19"/>
    </row>
    <row r="7884">
      <c r="A7884" s="9"/>
      <c r="B7884" s="15"/>
      <c r="C7884" s="9">
        <f>IFERROR(__xludf.DUMMYFUNCTION("""COMPUTED_VALUE"""),44714.4124330208)</f>
        <v>44714.41243</v>
      </c>
      <c r="D7884" s="15">
        <f>IFERROR(__xludf.DUMMYFUNCTION("""COMPUTED_VALUE"""),1.014)</f>
        <v>1.014</v>
      </c>
      <c r="E7884" s="16">
        <f>IFERROR(__xludf.DUMMYFUNCTION("""COMPUTED_VALUE"""),68.0)</f>
        <v>68</v>
      </c>
      <c r="F7884" s="19" t="str">
        <f>IFERROR(__xludf.DUMMYFUNCTION("""COMPUTED_VALUE"""),"BLACK")</f>
        <v>BLACK</v>
      </c>
      <c r="G7884" s="20" t="str">
        <f>IFERROR(__xludf.DUMMYFUNCTION("""COMPUTED_VALUE"""),"Uncle Sams Cider (5/13/2022)")</f>
        <v>Uncle Sams Cider (5/13/2022)</v>
      </c>
      <c r="H7884" s="19"/>
    </row>
    <row r="7885">
      <c r="A7885" s="9"/>
      <c r="B7885" s="15"/>
      <c r="C7885" s="9">
        <f>IFERROR(__xludf.DUMMYFUNCTION("""COMPUTED_VALUE"""),44714.4020118402)</f>
        <v>44714.40201</v>
      </c>
      <c r="D7885" s="15">
        <f>IFERROR(__xludf.DUMMYFUNCTION("""COMPUTED_VALUE"""),1.014)</f>
        <v>1.014</v>
      </c>
      <c r="E7885" s="16">
        <f>IFERROR(__xludf.DUMMYFUNCTION("""COMPUTED_VALUE"""),68.0)</f>
        <v>68</v>
      </c>
      <c r="F7885" s="19" t="str">
        <f>IFERROR(__xludf.DUMMYFUNCTION("""COMPUTED_VALUE"""),"BLACK")</f>
        <v>BLACK</v>
      </c>
      <c r="G7885" s="20" t="str">
        <f>IFERROR(__xludf.DUMMYFUNCTION("""COMPUTED_VALUE"""),"Uncle Sams Cider (5/13/2022)")</f>
        <v>Uncle Sams Cider (5/13/2022)</v>
      </c>
      <c r="H7885" s="19"/>
    </row>
    <row r="7886">
      <c r="A7886" s="9"/>
      <c r="B7886" s="15"/>
      <c r="C7886" s="9">
        <f>IFERROR(__xludf.DUMMYFUNCTION("""COMPUTED_VALUE"""),44714.3915787731)</f>
        <v>44714.39158</v>
      </c>
      <c r="D7886" s="15">
        <f>IFERROR(__xludf.DUMMYFUNCTION("""COMPUTED_VALUE"""),1.014)</f>
        <v>1.014</v>
      </c>
      <c r="E7886" s="16">
        <f>IFERROR(__xludf.DUMMYFUNCTION("""COMPUTED_VALUE"""),68.0)</f>
        <v>68</v>
      </c>
      <c r="F7886" s="19" t="str">
        <f>IFERROR(__xludf.DUMMYFUNCTION("""COMPUTED_VALUE"""),"BLACK")</f>
        <v>BLACK</v>
      </c>
      <c r="G7886" s="20" t="str">
        <f>IFERROR(__xludf.DUMMYFUNCTION("""COMPUTED_VALUE"""),"Uncle Sams Cider (5/13/2022)")</f>
        <v>Uncle Sams Cider (5/13/2022)</v>
      </c>
      <c r="H7886" s="19"/>
    </row>
    <row r="7887">
      <c r="A7887" s="9"/>
      <c r="B7887" s="15"/>
      <c r="C7887" s="9">
        <f>IFERROR(__xludf.DUMMYFUNCTION("""COMPUTED_VALUE"""),44714.3811462268)</f>
        <v>44714.38115</v>
      </c>
      <c r="D7887" s="15">
        <f>IFERROR(__xludf.DUMMYFUNCTION("""COMPUTED_VALUE"""),1.014)</f>
        <v>1.014</v>
      </c>
      <c r="E7887" s="16">
        <f>IFERROR(__xludf.DUMMYFUNCTION("""COMPUTED_VALUE"""),68.0)</f>
        <v>68</v>
      </c>
      <c r="F7887" s="19" t="str">
        <f>IFERROR(__xludf.DUMMYFUNCTION("""COMPUTED_VALUE"""),"BLACK")</f>
        <v>BLACK</v>
      </c>
      <c r="G7887" s="20" t="str">
        <f>IFERROR(__xludf.DUMMYFUNCTION("""COMPUTED_VALUE"""),"Uncle Sams Cider (5/13/2022)")</f>
        <v>Uncle Sams Cider (5/13/2022)</v>
      </c>
      <c r="H7887" s="19"/>
    </row>
    <row r="7888">
      <c r="A7888" s="9"/>
      <c r="B7888" s="15"/>
      <c r="C7888" s="9">
        <f>IFERROR(__xludf.DUMMYFUNCTION("""COMPUTED_VALUE"""),44714.3707245254)</f>
        <v>44714.37072</v>
      </c>
      <c r="D7888" s="15">
        <f>IFERROR(__xludf.DUMMYFUNCTION("""COMPUTED_VALUE"""),1.014)</f>
        <v>1.014</v>
      </c>
      <c r="E7888" s="16">
        <f>IFERROR(__xludf.DUMMYFUNCTION("""COMPUTED_VALUE"""),68.0)</f>
        <v>68</v>
      </c>
      <c r="F7888" s="19" t="str">
        <f>IFERROR(__xludf.DUMMYFUNCTION("""COMPUTED_VALUE"""),"BLACK")</f>
        <v>BLACK</v>
      </c>
      <c r="G7888" s="20" t="str">
        <f>IFERROR(__xludf.DUMMYFUNCTION("""COMPUTED_VALUE"""),"Uncle Sams Cider (5/13/2022)")</f>
        <v>Uncle Sams Cider (5/13/2022)</v>
      </c>
      <c r="H7888" s="19"/>
    </row>
    <row r="7889">
      <c r="A7889" s="9"/>
      <c r="B7889" s="15"/>
      <c r="C7889" s="9">
        <f>IFERROR(__xludf.DUMMYFUNCTION("""COMPUTED_VALUE"""),44714.3602916898)</f>
        <v>44714.36029</v>
      </c>
      <c r="D7889" s="15">
        <f>IFERROR(__xludf.DUMMYFUNCTION("""COMPUTED_VALUE"""),1.014)</f>
        <v>1.014</v>
      </c>
      <c r="E7889" s="16">
        <f>IFERROR(__xludf.DUMMYFUNCTION("""COMPUTED_VALUE"""),68.0)</f>
        <v>68</v>
      </c>
      <c r="F7889" s="19" t="str">
        <f>IFERROR(__xludf.DUMMYFUNCTION("""COMPUTED_VALUE"""),"BLACK")</f>
        <v>BLACK</v>
      </c>
      <c r="G7889" s="20" t="str">
        <f>IFERROR(__xludf.DUMMYFUNCTION("""COMPUTED_VALUE"""),"Uncle Sams Cider (5/13/2022)")</f>
        <v>Uncle Sams Cider (5/13/2022)</v>
      </c>
      <c r="H7889" s="19"/>
    </row>
    <row r="7890">
      <c r="A7890" s="9"/>
      <c r="B7890" s="15"/>
      <c r="C7890" s="9">
        <f>IFERROR(__xludf.DUMMYFUNCTION("""COMPUTED_VALUE"""),44714.3498705324)</f>
        <v>44714.34987</v>
      </c>
      <c r="D7890" s="15">
        <f>IFERROR(__xludf.DUMMYFUNCTION("""COMPUTED_VALUE"""),1.014)</f>
        <v>1.014</v>
      </c>
      <c r="E7890" s="16">
        <f>IFERROR(__xludf.DUMMYFUNCTION("""COMPUTED_VALUE"""),68.0)</f>
        <v>68</v>
      </c>
      <c r="F7890" s="19" t="str">
        <f>IFERROR(__xludf.DUMMYFUNCTION("""COMPUTED_VALUE"""),"BLACK")</f>
        <v>BLACK</v>
      </c>
      <c r="G7890" s="20" t="str">
        <f>IFERROR(__xludf.DUMMYFUNCTION("""COMPUTED_VALUE"""),"Uncle Sams Cider (5/13/2022)")</f>
        <v>Uncle Sams Cider (5/13/2022)</v>
      </c>
      <c r="H7890" s="19"/>
    </row>
    <row r="7891">
      <c r="A7891" s="9"/>
      <c r="B7891" s="15"/>
      <c r="C7891" s="9">
        <f>IFERROR(__xludf.DUMMYFUNCTION("""COMPUTED_VALUE"""),44714.3394381481)</f>
        <v>44714.33944</v>
      </c>
      <c r="D7891" s="15">
        <f>IFERROR(__xludf.DUMMYFUNCTION("""COMPUTED_VALUE"""),1.014)</f>
        <v>1.014</v>
      </c>
      <c r="E7891" s="16">
        <f>IFERROR(__xludf.DUMMYFUNCTION("""COMPUTED_VALUE"""),68.0)</f>
        <v>68</v>
      </c>
      <c r="F7891" s="19" t="str">
        <f>IFERROR(__xludf.DUMMYFUNCTION("""COMPUTED_VALUE"""),"BLACK")</f>
        <v>BLACK</v>
      </c>
      <c r="G7891" s="20" t="str">
        <f>IFERROR(__xludf.DUMMYFUNCTION("""COMPUTED_VALUE"""),"Uncle Sams Cider (5/13/2022)")</f>
        <v>Uncle Sams Cider (5/13/2022)</v>
      </c>
      <c r="H7891" s="19"/>
    </row>
    <row r="7892">
      <c r="A7892" s="9"/>
      <c r="B7892" s="15"/>
      <c r="C7892" s="9">
        <f>IFERROR(__xludf.DUMMYFUNCTION("""COMPUTED_VALUE"""),44714.3290171759)</f>
        <v>44714.32902</v>
      </c>
      <c r="D7892" s="15">
        <f>IFERROR(__xludf.DUMMYFUNCTION("""COMPUTED_VALUE"""),1.014)</f>
        <v>1.014</v>
      </c>
      <c r="E7892" s="16">
        <f>IFERROR(__xludf.DUMMYFUNCTION("""COMPUTED_VALUE"""),68.0)</f>
        <v>68</v>
      </c>
      <c r="F7892" s="19" t="str">
        <f>IFERROR(__xludf.DUMMYFUNCTION("""COMPUTED_VALUE"""),"BLACK")</f>
        <v>BLACK</v>
      </c>
      <c r="G7892" s="20" t="str">
        <f>IFERROR(__xludf.DUMMYFUNCTION("""COMPUTED_VALUE"""),"Uncle Sams Cider (5/13/2022)")</f>
        <v>Uncle Sams Cider (5/13/2022)</v>
      </c>
      <c r="H7892" s="19"/>
    </row>
    <row r="7893">
      <c r="A7893" s="9"/>
      <c r="B7893" s="15"/>
      <c r="C7893" s="9">
        <f>IFERROR(__xludf.DUMMYFUNCTION("""COMPUTED_VALUE"""),44714.3185969328)</f>
        <v>44714.3186</v>
      </c>
      <c r="D7893" s="15">
        <f>IFERROR(__xludf.DUMMYFUNCTION("""COMPUTED_VALUE"""),1.014)</f>
        <v>1.014</v>
      </c>
      <c r="E7893" s="16">
        <f>IFERROR(__xludf.DUMMYFUNCTION("""COMPUTED_VALUE"""),68.0)</f>
        <v>68</v>
      </c>
      <c r="F7893" s="19" t="str">
        <f>IFERROR(__xludf.DUMMYFUNCTION("""COMPUTED_VALUE"""),"BLACK")</f>
        <v>BLACK</v>
      </c>
      <c r="G7893" s="20" t="str">
        <f>IFERROR(__xludf.DUMMYFUNCTION("""COMPUTED_VALUE"""),"Uncle Sams Cider (5/13/2022)")</f>
        <v>Uncle Sams Cider (5/13/2022)</v>
      </c>
      <c r="H7893" s="19"/>
    </row>
    <row r="7894">
      <c r="A7894" s="9"/>
      <c r="B7894" s="15"/>
      <c r="C7894" s="9">
        <f>IFERROR(__xludf.DUMMYFUNCTION("""COMPUTED_VALUE"""),44714.3081773611)</f>
        <v>44714.30818</v>
      </c>
      <c r="D7894" s="15">
        <f>IFERROR(__xludf.DUMMYFUNCTION("""COMPUTED_VALUE"""),1.014)</f>
        <v>1.014</v>
      </c>
      <c r="E7894" s="16">
        <f>IFERROR(__xludf.DUMMYFUNCTION("""COMPUTED_VALUE"""),68.0)</f>
        <v>68</v>
      </c>
      <c r="F7894" s="19" t="str">
        <f>IFERROR(__xludf.DUMMYFUNCTION("""COMPUTED_VALUE"""),"BLACK")</f>
        <v>BLACK</v>
      </c>
      <c r="G7894" s="20" t="str">
        <f>IFERROR(__xludf.DUMMYFUNCTION("""COMPUTED_VALUE"""),"Uncle Sams Cider (5/13/2022)")</f>
        <v>Uncle Sams Cider (5/13/2022)</v>
      </c>
      <c r="H7894" s="19"/>
    </row>
    <row r="7895">
      <c r="A7895" s="9"/>
      <c r="B7895" s="15"/>
      <c r="C7895" s="9">
        <f>IFERROR(__xludf.DUMMYFUNCTION("""COMPUTED_VALUE"""),44714.2977579282)</f>
        <v>44714.29776</v>
      </c>
      <c r="D7895" s="15">
        <f>IFERROR(__xludf.DUMMYFUNCTION("""COMPUTED_VALUE"""),1.014)</f>
        <v>1.014</v>
      </c>
      <c r="E7895" s="16">
        <f>IFERROR(__xludf.DUMMYFUNCTION("""COMPUTED_VALUE"""),68.0)</f>
        <v>68</v>
      </c>
      <c r="F7895" s="19" t="str">
        <f>IFERROR(__xludf.DUMMYFUNCTION("""COMPUTED_VALUE"""),"BLACK")</f>
        <v>BLACK</v>
      </c>
      <c r="G7895" s="20" t="str">
        <f>IFERROR(__xludf.DUMMYFUNCTION("""COMPUTED_VALUE"""),"Uncle Sams Cider (5/13/2022)")</f>
        <v>Uncle Sams Cider (5/13/2022)</v>
      </c>
      <c r="H7895" s="19"/>
    </row>
    <row r="7896">
      <c r="A7896" s="9"/>
      <c r="B7896" s="15"/>
      <c r="C7896" s="9">
        <f>IFERROR(__xludf.DUMMYFUNCTION("""COMPUTED_VALUE"""),44714.2873370254)</f>
        <v>44714.28734</v>
      </c>
      <c r="D7896" s="15">
        <f>IFERROR(__xludf.DUMMYFUNCTION("""COMPUTED_VALUE"""),1.014)</f>
        <v>1.014</v>
      </c>
      <c r="E7896" s="16">
        <f>IFERROR(__xludf.DUMMYFUNCTION("""COMPUTED_VALUE"""),68.0)</f>
        <v>68</v>
      </c>
      <c r="F7896" s="19" t="str">
        <f>IFERROR(__xludf.DUMMYFUNCTION("""COMPUTED_VALUE"""),"BLACK")</f>
        <v>BLACK</v>
      </c>
      <c r="G7896" s="20" t="str">
        <f>IFERROR(__xludf.DUMMYFUNCTION("""COMPUTED_VALUE"""),"Uncle Sams Cider (5/13/2022)")</f>
        <v>Uncle Sams Cider (5/13/2022)</v>
      </c>
      <c r="H7896" s="19"/>
    </row>
    <row r="7897">
      <c r="A7897" s="9"/>
      <c r="B7897" s="15"/>
      <c r="C7897" s="9">
        <f>IFERROR(__xludf.DUMMYFUNCTION("""COMPUTED_VALUE"""),44714.2769163657)</f>
        <v>44714.27692</v>
      </c>
      <c r="D7897" s="15">
        <f>IFERROR(__xludf.DUMMYFUNCTION("""COMPUTED_VALUE"""),1.014)</f>
        <v>1.014</v>
      </c>
      <c r="E7897" s="16">
        <f>IFERROR(__xludf.DUMMYFUNCTION("""COMPUTED_VALUE"""),68.0)</f>
        <v>68</v>
      </c>
      <c r="F7897" s="19" t="str">
        <f>IFERROR(__xludf.DUMMYFUNCTION("""COMPUTED_VALUE"""),"BLACK")</f>
        <v>BLACK</v>
      </c>
      <c r="G7897" s="20" t="str">
        <f>IFERROR(__xludf.DUMMYFUNCTION("""COMPUTED_VALUE"""),"Uncle Sams Cider (5/13/2022)")</f>
        <v>Uncle Sams Cider (5/13/2022)</v>
      </c>
      <c r="H7897" s="19"/>
    </row>
    <row r="7898">
      <c r="A7898" s="9"/>
      <c r="B7898" s="15"/>
      <c r="C7898" s="9">
        <f>IFERROR(__xludf.DUMMYFUNCTION("""COMPUTED_VALUE"""),44714.2664958449)</f>
        <v>44714.2665</v>
      </c>
      <c r="D7898" s="15">
        <f>IFERROR(__xludf.DUMMYFUNCTION("""COMPUTED_VALUE"""),1.014)</f>
        <v>1.014</v>
      </c>
      <c r="E7898" s="16">
        <f>IFERROR(__xludf.DUMMYFUNCTION("""COMPUTED_VALUE"""),68.0)</f>
        <v>68</v>
      </c>
      <c r="F7898" s="19" t="str">
        <f>IFERROR(__xludf.DUMMYFUNCTION("""COMPUTED_VALUE"""),"BLACK")</f>
        <v>BLACK</v>
      </c>
      <c r="G7898" s="20" t="str">
        <f>IFERROR(__xludf.DUMMYFUNCTION("""COMPUTED_VALUE"""),"Uncle Sams Cider (5/13/2022)")</f>
        <v>Uncle Sams Cider (5/13/2022)</v>
      </c>
      <c r="H7898" s="19"/>
    </row>
    <row r="7899">
      <c r="A7899" s="9"/>
      <c r="B7899" s="15"/>
      <c r="C7899" s="9">
        <f>IFERROR(__xludf.DUMMYFUNCTION("""COMPUTED_VALUE"""),44714.2560613194)</f>
        <v>44714.25606</v>
      </c>
      <c r="D7899" s="15">
        <f>IFERROR(__xludf.DUMMYFUNCTION("""COMPUTED_VALUE"""),1.014)</f>
        <v>1.014</v>
      </c>
      <c r="E7899" s="16">
        <f>IFERROR(__xludf.DUMMYFUNCTION("""COMPUTED_VALUE"""),68.0)</f>
        <v>68</v>
      </c>
      <c r="F7899" s="19" t="str">
        <f>IFERROR(__xludf.DUMMYFUNCTION("""COMPUTED_VALUE"""),"BLACK")</f>
        <v>BLACK</v>
      </c>
      <c r="G7899" s="20" t="str">
        <f>IFERROR(__xludf.DUMMYFUNCTION("""COMPUTED_VALUE"""),"Uncle Sams Cider (5/13/2022)")</f>
        <v>Uncle Sams Cider (5/13/2022)</v>
      </c>
      <c r="H7899" s="19"/>
    </row>
    <row r="7900">
      <c r="A7900" s="9"/>
      <c r="B7900" s="15"/>
      <c r="C7900" s="9">
        <f>IFERROR(__xludf.DUMMYFUNCTION("""COMPUTED_VALUE"""),44714.2456398726)</f>
        <v>44714.24564</v>
      </c>
      <c r="D7900" s="15">
        <f>IFERROR(__xludf.DUMMYFUNCTION("""COMPUTED_VALUE"""),1.014)</f>
        <v>1.014</v>
      </c>
      <c r="E7900" s="16">
        <f>IFERROR(__xludf.DUMMYFUNCTION("""COMPUTED_VALUE"""),67.0)</f>
        <v>67</v>
      </c>
      <c r="F7900" s="19" t="str">
        <f>IFERROR(__xludf.DUMMYFUNCTION("""COMPUTED_VALUE"""),"BLACK")</f>
        <v>BLACK</v>
      </c>
      <c r="G7900" s="20" t="str">
        <f>IFERROR(__xludf.DUMMYFUNCTION("""COMPUTED_VALUE"""),"Uncle Sams Cider (5/13/2022)")</f>
        <v>Uncle Sams Cider (5/13/2022)</v>
      </c>
      <c r="H7900" s="19"/>
    </row>
    <row r="7901">
      <c r="A7901" s="9"/>
      <c r="B7901" s="15"/>
      <c r="C7901" s="9">
        <f>IFERROR(__xludf.DUMMYFUNCTION("""COMPUTED_VALUE"""),44714.2352201388)</f>
        <v>44714.23522</v>
      </c>
      <c r="D7901" s="15">
        <f>IFERROR(__xludf.DUMMYFUNCTION("""COMPUTED_VALUE"""),1.015)</f>
        <v>1.015</v>
      </c>
      <c r="E7901" s="16">
        <f>IFERROR(__xludf.DUMMYFUNCTION("""COMPUTED_VALUE"""),68.0)</f>
        <v>68</v>
      </c>
      <c r="F7901" s="19" t="str">
        <f>IFERROR(__xludf.DUMMYFUNCTION("""COMPUTED_VALUE"""),"BLACK")</f>
        <v>BLACK</v>
      </c>
      <c r="G7901" s="20" t="str">
        <f>IFERROR(__xludf.DUMMYFUNCTION("""COMPUTED_VALUE"""),"Uncle Sams Cider (5/13/2022)")</f>
        <v>Uncle Sams Cider (5/13/2022)</v>
      </c>
      <c r="H7901" s="19"/>
    </row>
    <row r="7902">
      <c r="A7902" s="9"/>
      <c r="B7902" s="15"/>
      <c r="C7902" s="9">
        <f>IFERROR(__xludf.DUMMYFUNCTION("""COMPUTED_VALUE"""),44714.224799618)</f>
        <v>44714.2248</v>
      </c>
      <c r="D7902" s="15">
        <f>IFERROR(__xludf.DUMMYFUNCTION("""COMPUTED_VALUE"""),1.015)</f>
        <v>1.015</v>
      </c>
      <c r="E7902" s="16">
        <f>IFERROR(__xludf.DUMMYFUNCTION("""COMPUTED_VALUE"""),67.0)</f>
        <v>67</v>
      </c>
      <c r="F7902" s="19" t="str">
        <f>IFERROR(__xludf.DUMMYFUNCTION("""COMPUTED_VALUE"""),"BLACK")</f>
        <v>BLACK</v>
      </c>
      <c r="G7902" s="20" t="str">
        <f>IFERROR(__xludf.DUMMYFUNCTION("""COMPUTED_VALUE"""),"Uncle Sams Cider (5/13/2022)")</f>
        <v>Uncle Sams Cider (5/13/2022)</v>
      </c>
      <c r="H7902" s="19"/>
    </row>
    <row r="7903">
      <c r="A7903" s="9"/>
      <c r="B7903" s="15"/>
      <c r="C7903" s="9">
        <f>IFERROR(__xludf.DUMMYFUNCTION("""COMPUTED_VALUE"""),44714.2143798379)</f>
        <v>44714.21438</v>
      </c>
      <c r="D7903" s="15">
        <f>IFERROR(__xludf.DUMMYFUNCTION("""COMPUTED_VALUE"""),1.014)</f>
        <v>1.014</v>
      </c>
      <c r="E7903" s="16">
        <f>IFERROR(__xludf.DUMMYFUNCTION("""COMPUTED_VALUE"""),68.0)</f>
        <v>68</v>
      </c>
      <c r="F7903" s="19" t="str">
        <f>IFERROR(__xludf.DUMMYFUNCTION("""COMPUTED_VALUE"""),"BLACK")</f>
        <v>BLACK</v>
      </c>
      <c r="G7903" s="20" t="str">
        <f>IFERROR(__xludf.DUMMYFUNCTION("""COMPUTED_VALUE"""),"Uncle Sams Cider (5/13/2022)")</f>
        <v>Uncle Sams Cider (5/13/2022)</v>
      </c>
      <c r="H7903" s="19"/>
    </row>
    <row r="7904">
      <c r="A7904" s="9"/>
      <c r="B7904" s="15"/>
      <c r="C7904" s="9">
        <f>IFERROR(__xludf.DUMMYFUNCTION("""COMPUTED_VALUE"""),44714.2039342361)</f>
        <v>44714.20393</v>
      </c>
      <c r="D7904" s="15">
        <f>IFERROR(__xludf.DUMMYFUNCTION("""COMPUTED_VALUE"""),1.014)</f>
        <v>1.014</v>
      </c>
      <c r="E7904" s="16">
        <f>IFERROR(__xludf.DUMMYFUNCTION("""COMPUTED_VALUE"""),67.0)</f>
        <v>67</v>
      </c>
      <c r="F7904" s="19" t="str">
        <f>IFERROR(__xludf.DUMMYFUNCTION("""COMPUTED_VALUE"""),"BLACK")</f>
        <v>BLACK</v>
      </c>
      <c r="G7904" s="20" t="str">
        <f>IFERROR(__xludf.DUMMYFUNCTION("""COMPUTED_VALUE"""),"Uncle Sams Cider (5/13/2022)")</f>
        <v>Uncle Sams Cider (5/13/2022)</v>
      </c>
      <c r="H7904" s="19"/>
    </row>
    <row r="7905">
      <c r="A7905" s="9"/>
      <c r="B7905" s="15"/>
      <c r="C7905" s="9">
        <f>IFERROR(__xludf.DUMMYFUNCTION("""COMPUTED_VALUE"""),44714.1935123842)</f>
        <v>44714.19351</v>
      </c>
      <c r="D7905" s="15">
        <f>IFERROR(__xludf.DUMMYFUNCTION("""COMPUTED_VALUE"""),1.015)</f>
        <v>1.015</v>
      </c>
      <c r="E7905" s="16">
        <f>IFERROR(__xludf.DUMMYFUNCTION("""COMPUTED_VALUE"""),67.0)</f>
        <v>67</v>
      </c>
      <c r="F7905" s="19" t="str">
        <f>IFERROR(__xludf.DUMMYFUNCTION("""COMPUTED_VALUE"""),"BLACK")</f>
        <v>BLACK</v>
      </c>
      <c r="G7905" s="20" t="str">
        <f>IFERROR(__xludf.DUMMYFUNCTION("""COMPUTED_VALUE"""),"Uncle Sams Cider (5/13/2022)")</f>
        <v>Uncle Sams Cider (5/13/2022)</v>
      </c>
      <c r="H7905" s="19"/>
    </row>
    <row r="7906">
      <c r="A7906" s="9"/>
      <c r="B7906" s="15"/>
      <c r="C7906" s="9">
        <f>IFERROR(__xludf.DUMMYFUNCTION("""COMPUTED_VALUE"""),44714.1830922569)</f>
        <v>44714.18309</v>
      </c>
      <c r="D7906" s="15">
        <f>IFERROR(__xludf.DUMMYFUNCTION("""COMPUTED_VALUE"""),1.015)</f>
        <v>1.015</v>
      </c>
      <c r="E7906" s="16">
        <f>IFERROR(__xludf.DUMMYFUNCTION("""COMPUTED_VALUE"""),67.0)</f>
        <v>67</v>
      </c>
      <c r="F7906" s="19" t="str">
        <f>IFERROR(__xludf.DUMMYFUNCTION("""COMPUTED_VALUE"""),"BLACK")</f>
        <v>BLACK</v>
      </c>
      <c r="G7906" s="20" t="str">
        <f>IFERROR(__xludf.DUMMYFUNCTION("""COMPUTED_VALUE"""),"Uncle Sams Cider (5/13/2022)")</f>
        <v>Uncle Sams Cider (5/13/2022)</v>
      </c>
      <c r="H7906" s="19"/>
    </row>
    <row r="7907">
      <c r="A7907" s="9"/>
      <c r="B7907" s="15"/>
      <c r="C7907" s="9">
        <f>IFERROR(__xludf.DUMMYFUNCTION("""COMPUTED_VALUE"""),44714.1726588194)</f>
        <v>44714.17266</v>
      </c>
      <c r="D7907" s="15">
        <f>IFERROR(__xludf.DUMMYFUNCTION("""COMPUTED_VALUE"""),1.014)</f>
        <v>1.014</v>
      </c>
      <c r="E7907" s="16">
        <f>IFERROR(__xludf.DUMMYFUNCTION("""COMPUTED_VALUE"""),67.0)</f>
        <v>67</v>
      </c>
      <c r="F7907" s="19" t="str">
        <f>IFERROR(__xludf.DUMMYFUNCTION("""COMPUTED_VALUE"""),"BLACK")</f>
        <v>BLACK</v>
      </c>
      <c r="G7907" s="20" t="str">
        <f>IFERROR(__xludf.DUMMYFUNCTION("""COMPUTED_VALUE"""),"Uncle Sams Cider (5/13/2022)")</f>
        <v>Uncle Sams Cider (5/13/2022)</v>
      </c>
      <c r="H7907" s="19"/>
    </row>
    <row r="7908">
      <c r="A7908" s="9"/>
      <c r="B7908" s="15"/>
      <c r="C7908" s="9">
        <f>IFERROR(__xludf.DUMMYFUNCTION("""COMPUTED_VALUE"""),44714.162237905)</f>
        <v>44714.16224</v>
      </c>
      <c r="D7908" s="15">
        <f>IFERROR(__xludf.DUMMYFUNCTION("""COMPUTED_VALUE"""),1.015)</f>
        <v>1.015</v>
      </c>
      <c r="E7908" s="16">
        <f>IFERROR(__xludf.DUMMYFUNCTION("""COMPUTED_VALUE"""),67.0)</f>
        <v>67</v>
      </c>
      <c r="F7908" s="19" t="str">
        <f>IFERROR(__xludf.DUMMYFUNCTION("""COMPUTED_VALUE"""),"BLACK")</f>
        <v>BLACK</v>
      </c>
      <c r="G7908" s="20" t="str">
        <f>IFERROR(__xludf.DUMMYFUNCTION("""COMPUTED_VALUE"""),"Uncle Sams Cider (5/13/2022)")</f>
        <v>Uncle Sams Cider (5/13/2022)</v>
      </c>
      <c r="H7908" s="19"/>
    </row>
    <row r="7909">
      <c r="A7909" s="9"/>
      <c r="B7909" s="15"/>
      <c r="C7909" s="9">
        <f>IFERROR(__xludf.DUMMYFUNCTION("""COMPUTED_VALUE"""),44714.15181625)</f>
        <v>44714.15182</v>
      </c>
      <c r="D7909" s="15">
        <f>IFERROR(__xludf.DUMMYFUNCTION("""COMPUTED_VALUE"""),1.014)</f>
        <v>1.014</v>
      </c>
      <c r="E7909" s="16">
        <f>IFERROR(__xludf.DUMMYFUNCTION("""COMPUTED_VALUE"""),67.0)</f>
        <v>67</v>
      </c>
      <c r="F7909" s="19" t="str">
        <f>IFERROR(__xludf.DUMMYFUNCTION("""COMPUTED_VALUE"""),"BLACK")</f>
        <v>BLACK</v>
      </c>
      <c r="G7909" s="20" t="str">
        <f>IFERROR(__xludf.DUMMYFUNCTION("""COMPUTED_VALUE"""),"Uncle Sams Cider (5/13/2022)")</f>
        <v>Uncle Sams Cider (5/13/2022)</v>
      </c>
      <c r="H7909" s="19"/>
    </row>
    <row r="7910">
      <c r="A7910" s="9"/>
      <c r="B7910" s="15"/>
      <c r="C7910" s="9">
        <f>IFERROR(__xludf.DUMMYFUNCTION("""COMPUTED_VALUE"""),44714.1413968865)</f>
        <v>44714.1414</v>
      </c>
      <c r="D7910" s="15">
        <f>IFERROR(__xludf.DUMMYFUNCTION("""COMPUTED_VALUE"""),1.015)</f>
        <v>1.015</v>
      </c>
      <c r="E7910" s="16">
        <f>IFERROR(__xludf.DUMMYFUNCTION("""COMPUTED_VALUE"""),67.0)</f>
        <v>67</v>
      </c>
      <c r="F7910" s="19" t="str">
        <f>IFERROR(__xludf.DUMMYFUNCTION("""COMPUTED_VALUE"""),"BLACK")</f>
        <v>BLACK</v>
      </c>
      <c r="G7910" s="20" t="str">
        <f>IFERROR(__xludf.DUMMYFUNCTION("""COMPUTED_VALUE"""),"Uncle Sams Cider (5/13/2022)")</f>
        <v>Uncle Sams Cider (5/13/2022)</v>
      </c>
      <c r="H7910" s="19"/>
    </row>
    <row r="7911">
      <c r="A7911" s="9"/>
      <c r="B7911" s="15"/>
      <c r="C7911" s="9">
        <f>IFERROR(__xludf.DUMMYFUNCTION("""COMPUTED_VALUE"""),44714.1309760185)</f>
        <v>44714.13098</v>
      </c>
      <c r="D7911" s="15">
        <f>IFERROR(__xludf.DUMMYFUNCTION("""COMPUTED_VALUE"""),1.015)</f>
        <v>1.015</v>
      </c>
      <c r="E7911" s="16">
        <f>IFERROR(__xludf.DUMMYFUNCTION("""COMPUTED_VALUE"""),67.0)</f>
        <v>67</v>
      </c>
      <c r="F7911" s="19" t="str">
        <f>IFERROR(__xludf.DUMMYFUNCTION("""COMPUTED_VALUE"""),"BLACK")</f>
        <v>BLACK</v>
      </c>
      <c r="G7911" s="20" t="str">
        <f>IFERROR(__xludf.DUMMYFUNCTION("""COMPUTED_VALUE"""),"Uncle Sams Cider (5/13/2022)")</f>
        <v>Uncle Sams Cider (5/13/2022)</v>
      </c>
      <c r="H7911" s="19"/>
    </row>
    <row r="7912">
      <c r="A7912" s="9"/>
      <c r="B7912" s="15"/>
      <c r="C7912" s="9">
        <f>IFERROR(__xludf.DUMMYFUNCTION("""COMPUTED_VALUE"""),44714.1205545601)</f>
        <v>44714.12055</v>
      </c>
      <c r="D7912" s="15">
        <f>IFERROR(__xludf.DUMMYFUNCTION("""COMPUTED_VALUE"""),1.015)</f>
        <v>1.015</v>
      </c>
      <c r="E7912" s="16">
        <f>IFERROR(__xludf.DUMMYFUNCTION("""COMPUTED_VALUE"""),67.0)</f>
        <v>67</v>
      </c>
      <c r="F7912" s="19" t="str">
        <f>IFERROR(__xludf.DUMMYFUNCTION("""COMPUTED_VALUE"""),"BLACK")</f>
        <v>BLACK</v>
      </c>
      <c r="G7912" s="20" t="str">
        <f>IFERROR(__xludf.DUMMYFUNCTION("""COMPUTED_VALUE"""),"Uncle Sams Cider (5/13/2022)")</f>
        <v>Uncle Sams Cider (5/13/2022)</v>
      </c>
      <c r="H7912" s="19"/>
    </row>
    <row r="7913">
      <c r="A7913" s="9"/>
      <c r="B7913" s="15"/>
      <c r="C7913" s="9">
        <f>IFERROR(__xludf.DUMMYFUNCTION("""COMPUTED_VALUE"""),44714.1101323495)</f>
        <v>44714.11013</v>
      </c>
      <c r="D7913" s="15">
        <f>IFERROR(__xludf.DUMMYFUNCTION("""COMPUTED_VALUE"""),1.015)</f>
        <v>1.015</v>
      </c>
      <c r="E7913" s="16">
        <f>IFERROR(__xludf.DUMMYFUNCTION("""COMPUTED_VALUE"""),67.0)</f>
        <v>67</v>
      </c>
      <c r="F7913" s="19" t="str">
        <f>IFERROR(__xludf.DUMMYFUNCTION("""COMPUTED_VALUE"""),"BLACK")</f>
        <v>BLACK</v>
      </c>
      <c r="G7913" s="20" t="str">
        <f>IFERROR(__xludf.DUMMYFUNCTION("""COMPUTED_VALUE"""),"Uncle Sams Cider (5/13/2022)")</f>
        <v>Uncle Sams Cider (5/13/2022)</v>
      </c>
      <c r="H7913" s="19"/>
    </row>
    <row r="7914">
      <c r="A7914" s="9"/>
      <c r="B7914" s="15"/>
      <c r="C7914" s="9">
        <f>IFERROR(__xludf.DUMMYFUNCTION("""COMPUTED_VALUE"""),44714.0997108449)</f>
        <v>44714.09971</v>
      </c>
      <c r="D7914" s="15">
        <f>IFERROR(__xludf.DUMMYFUNCTION("""COMPUTED_VALUE"""),1.015)</f>
        <v>1.015</v>
      </c>
      <c r="E7914" s="16">
        <f>IFERROR(__xludf.DUMMYFUNCTION("""COMPUTED_VALUE"""),67.0)</f>
        <v>67</v>
      </c>
      <c r="F7914" s="19" t="str">
        <f>IFERROR(__xludf.DUMMYFUNCTION("""COMPUTED_VALUE"""),"BLACK")</f>
        <v>BLACK</v>
      </c>
      <c r="G7914" s="20" t="str">
        <f>IFERROR(__xludf.DUMMYFUNCTION("""COMPUTED_VALUE"""),"Uncle Sams Cider (5/13/2022)")</f>
        <v>Uncle Sams Cider (5/13/2022)</v>
      </c>
      <c r="H7914" s="19"/>
    </row>
    <row r="7915">
      <c r="A7915" s="9"/>
      <c r="B7915" s="15"/>
      <c r="C7915" s="9">
        <f>IFERROR(__xludf.DUMMYFUNCTION("""COMPUTED_VALUE"""),44714.0892900463)</f>
        <v>44714.08929</v>
      </c>
      <c r="D7915" s="15">
        <f>IFERROR(__xludf.DUMMYFUNCTION("""COMPUTED_VALUE"""),1.015)</f>
        <v>1.015</v>
      </c>
      <c r="E7915" s="16">
        <f>IFERROR(__xludf.DUMMYFUNCTION("""COMPUTED_VALUE"""),67.0)</f>
        <v>67</v>
      </c>
      <c r="F7915" s="19" t="str">
        <f>IFERROR(__xludf.DUMMYFUNCTION("""COMPUTED_VALUE"""),"BLACK")</f>
        <v>BLACK</v>
      </c>
      <c r="G7915" s="20" t="str">
        <f>IFERROR(__xludf.DUMMYFUNCTION("""COMPUTED_VALUE"""),"Uncle Sams Cider (5/13/2022)")</f>
        <v>Uncle Sams Cider (5/13/2022)</v>
      </c>
      <c r="H7915" s="19"/>
    </row>
    <row r="7916">
      <c r="A7916" s="9"/>
      <c r="B7916" s="15"/>
      <c r="C7916" s="9">
        <f>IFERROR(__xludf.DUMMYFUNCTION("""COMPUTED_VALUE"""),44714.0788695949)</f>
        <v>44714.07887</v>
      </c>
      <c r="D7916" s="15">
        <f>IFERROR(__xludf.DUMMYFUNCTION("""COMPUTED_VALUE"""),1.015)</f>
        <v>1.015</v>
      </c>
      <c r="E7916" s="16">
        <f>IFERROR(__xludf.DUMMYFUNCTION("""COMPUTED_VALUE"""),67.0)</f>
        <v>67</v>
      </c>
      <c r="F7916" s="19" t="str">
        <f>IFERROR(__xludf.DUMMYFUNCTION("""COMPUTED_VALUE"""),"BLACK")</f>
        <v>BLACK</v>
      </c>
      <c r="G7916" s="20" t="str">
        <f>IFERROR(__xludf.DUMMYFUNCTION("""COMPUTED_VALUE"""),"Uncle Sams Cider (5/13/2022)")</f>
        <v>Uncle Sams Cider (5/13/2022)</v>
      </c>
      <c r="H7916" s="19"/>
    </row>
    <row r="7917">
      <c r="A7917" s="9"/>
      <c r="B7917" s="15"/>
      <c r="C7917" s="9">
        <f>IFERROR(__xludf.DUMMYFUNCTION("""COMPUTED_VALUE"""),44714.0684495023)</f>
        <v>44714.06845</v>
      </c>
      <c r="D7917" s="15">
        <f>IFERROR(__xludf.DUMMYFUNCTION("""COMPUTED_VALUE"""),1.015)</f>
        <v>1.015</v>
      </c>
      <c r="E7917" s="16">
        <f>IFERROR(__xludf.DUMMYFUNCTION("""COMPUTED_VALUE"""),67.0)</f>
        <v>67</v>
      </c>
      <c r="F7917" s="19" t="str">
        <f>IFERROR(__xludf.DUMMYFUNCTION("""COMPUTED_VALUE"""),"BLACK")</f>
        <v>BLACK</v>
      </c>
      <c r="G7917" s="20" t="str">
        <f>IFERROR(__xludf.DUMMYFUNCTION("""COMPUTED_VALUE"""),"Uncle Sams Cider (5/13/2022)")</f>
        <v>Uncle Sams Cider (5/13/2022)</v>
      </c>
      <c r="H7917" s="19"/>
    </row>
    <row r="7918">
      <c r="A7918" s="9"/>
      <c r="B7918" s="15"/>
      <c r="C7918" s="9">
        <f>IFERROR(__xludf.DUMMYFUNCTION("""COMPUTED_VALUE"""),44714.0580179745)</f>
        <v>44714.05802</v>
      </c>
      <c r="D7918" s="15">
        <f>IFERROR(__xludf.DUMMYFUNCTION("""COMPUTED_VALUE"""),1.015)</f>
        <v>1.015</v>
      </c>
      <c r="E7918" s="16">
        <f>IFERROR(__xludf.DUMMYFUNCTION("""COMPUTED_VALUE"""),67.0)</f>
        <v>67</v>
      </c>
      <c r="F7918" s="19" t="str">
        <f>IFERROR(__xludf.DUMMYFUNCTION("""COMPUTED_VALUE"""),"BLACK")</f>
        <v>BLACK</v>
      </c>
      <c r="G7918" s="20" t="str">
        <f>IFERROR(__xludf.DUMMYFUNCTION("""COMPUTED_VALUE"""),"Uncle Sams Cider (5/13/2022)")</f>
        <v>Uncle Sams Cider (5/13/2022)</v>
      </c>
      <c r="H7918" s="19"/>
    </row>
    <row r="7919">
      <c r="A7919" s="9"/>
      <c r="B7919" s="15"/>
      <c r="C7919" s="9">
        <f>IFERROR(__xludf.DUMMYFUNCTION("""COMPUTED_VALUE"""),44714.047573287)</f>
        <v>44714.04757</v>
      </c>
      <c r="D7919" s="15">
        <f>IFERROR(__xludf.DUMMYFUNCTION("""COMPUTED_VALUE"""),1.015)</f>
        <v>1.015</v>
      </c>
      <c r="E7919" s="16">
        <f>IFERROR(__xludf.DUMMYFUNCTION("""COMPUTED_VALUE"""),67.0)</f>
        <v>67</v>
      </c>
      <c r="F7919" s="19" t="str">
        <f>IFERROR(__xludf.DUMMYFUNCTION("""COMPUTED_VALUE"""),"BLACK")</f>
        <v>BLACK</v>
      </c>
      <c r="G7919" s="20" t="str">
        <f>IFERROR(__xludf.DUMMYFUNCTION("""COMPUTED_VALUE"""),"Uncle Sams Cider (5/13/2022)")</f>
        <v>Uncle Sams Cider (5/13/2022)</v>
      </c>
      <c r="H7919" s="19"/>
    </row>
    <row r="7920">
      <c r="A7920" s="9"/>
      <c r="B7920" s="15"/>
      <c r="C7920" s="9">
        <f>IFERROR(__xludf.DUMMYFUNCTION("""COMPUTED_VALUE"""),44714.037127581)</f>
        <v>44714.03713</v>
      </c>
      <c r="D7920" s="15">
        <f>IFERROR(__xludf.DUMMYFUNCTION("""COMPUTED_VALUE"""),1.015)</f>
        <v>1.015</v>
      </c>
      <c r="E7920" s="16">
        <f>IFERROR(__xludf.DUMMYFUNCTION("""COMPUTED_VALUE"""),67.0)</f>
        <v>67</v>
      </c>
      <c r="F7920" s="19" t="str">
        <f>IFERROR(__xludf.DUMMYFUNCTION("""COMPUTED_VALUE"""),"BLACK")</f>
        <v>BLACK</v>
      </c>
      <c r="G7920" s="20" t="str">
        <f>IFERROR(__xludf.DUMMYFUNCTION("""COMPUTED_VALUE"""),"Uncle Sams Cider (5/13/2022)")</f>
        <v>Uncle Sams Cider (5/13/2022)</v>
      </c>
      <c r="H7920" s="19"/>
    </row>
    <row r="7921">
      <c r="A7921" s="9"/>
      <c r="B7921" s="15"/>
      <c r="C7921" s="9">
        <f>IFERROR(__xludf.DUMMYFUNCTION("""COMPUTED_VALUE"""),44714.02670625)</f>
        <v>44714.02671</v>
      </c>
      <c r="D7921" s="15">
        <f>IFERROR(__xludf.DUMMYFUNCTION("""COMPUTED_VALUE"""),1.015)</f>
        <v>1.015</v>
      </c>
      <c r="E7921" s="16">
        <f>IFERROR(__xludf.DUMMYFUNCTION("""COMPUTED_VALUE"""),67.0)</f>
        <v>67</v>
      </c>
      <c r="F7921" s="19" t="str">
        <f>IFERROR(__xludf.DUMMYFUNCTION("""COMPUTED_VALUE"""),"BLACK")</f>
        <v>BLACK</v>
      </c>
      <c r="G7921" s="20" t="str">
        <f>IFERROR(__xludf.DUMMYFUNCTION("""COMPUTED_VALUE"""),"Uncle Sams Cider (5/13/2022)")</f>
        <v>Uncle Sams Cider (5/13/2022)</v>
      </c>
      <c r="H7921" s="19"/>
    </row>
    <row r="7922">
      <c r="A7922" s="9"/>
      <c r="B7922" s="15"/>
      <c r="C7922" s="9">
        <f>IFERROR(__xludf.DUMMYFUNCTION("""COMPUTED_VALUE"""),44714.0162847916)</f>
        <v>44714.01628</v>
      </c>
      <c r="D7922" s="15">
        <f>IFERROR(__xludf.DUMMYFUNCTION("""COMPUTED_VALUE"""),1.015)</f>
        <v>1.015</v>
      </c>
      <c r="E7922" s="16">
        <f>IFERROR(__xludf.DUMMYFUNCTION("""COMPUTED_VALUE"""),67.0)</f>
        <v>67</v>
      </c>
      <c r="F7922" s="19" t="str">
        <f>IFERROR(__xludf.DUMMYFUNCTION("""COMPUTED_VALUE"""),"BLACK")</f>
        <v>BLACK</v>
      </c>
      <c r="G7922" s="20" t="str">
        <f>IFERROR(__xludf.DUMMYFUNCTION("""COMPUTED_VALUE"""),"Uncle Sams Cider (5/13/2022)")</f>
        <v>Uncle Sams Cider (5/13/2022)</v>
      </c>
      <c r="H7922" s="19"/>
    </row>
    <row r="7923">
      <c r="A7923" s="9"/>
      <c r="B7923" s="15"/>
      <c r="C7923" s="9">
        <f>IFERROR(__xludf.DUMMYFUNCTION("""COMPUTED_VALUE"""),44714.0058627893)</f>
        <v>44714.00586</v>
      </c>
      <c r="D7923" s="15">
        <f>IFERROR(__xludf.DUMMYFUNCTION("""COMPUTED_VALUE"""),1.015)</f>
        <v>1.015</v>
      </c>
      <c r="E7923" s="16">
        <f>IFERROR(__xludf.DUMMYFUNCTION("""COMPUTED_VALUE"""),67.0)</f>
        <v>67</v>
      </c>
      <c r="F7923" s="19" t="str">
        <f>IFERROR(__xludf.DUMMYFUNCTION("""COMPUTED_VALUE"""),"BLACK")</f>
        <v>BLACK</v>
      </c>
      <c r="G7923" s="20" t="str">
        <f>IFERROR(__xludf.DUMMYFUNCTION("""COMPUTED_VALUE"""),"Uncle Sams Cider (5/13/2022)")</f>
        <v>Uncle Sams Cider (5/13/2022)</v>
      </c>
      <c r="H7923" s="19"/>
    </row>
    <row r="7924">
      <c r="A7924" s="9"/>
      <c r="B7924" s="15"/>
      <c r="C7924" s="9">
        <f>IFERROR(__xludf.DUMMYFUNCTION("""COMPUTED_VALUE"""),44713.995441956)</f>
        <v>44713.99544</v>
      </c>
      <c r="D7924" s="15">
        <f>IFERROR(__xludf.DUMMYFUNCTION("""COMPUTED_VALUE"""),1.015)</f>
        <v>1.015</v>
      </c>
      <c r="E7924" s="16">
        <f>IFERROR(__xludf.DUMMYFUNCTION("""COMPUTED_VALUE"""),67.0)</f>
        <v>67</v>
      </c>
      <c r="F7924" s="19" t="str">
        <f>IFERROR(__xludf.DUMMYFUNCTION("""COMPUTED_VALUE"""),"BLACK")</f>
        <v>BLACK</v>
      </c>
      <c r="G7924" s="20" t="str">
        <f>IFERROR(__xludf.DUMMYFUNCTION("""COMPUTED_VALUE"""),"Uncle Sams Cider (5/13/2022)")</f>
        <v>Uncle Sams Cider (5/13/2022)</v>
      </c>
      <c r="H7924" s="19"/>
    </row>
    <row r="7925">
      <c r="A7925" s="9"/>
      <c r="B7925" s="15"/>
      <c r="C7925" s="9">
        <f>IFERROR(__xludf.DUMMYFUNCTION("""COMPUTED_VALUE"""),44713.9850193171)</f>
        <v>44713.98502</v>
      </c>
      <c r="D7925" s="15">
        <f>IFERROR(__xludf.DUMMYFUNCTION("""COMPUTED_VALUE"""),1.015)</f>
        <v>1.015</v>
      </c>
      <c r="E7925" s="16">
        <f>IFERROR(__xludf.DUMMYFUNCTION("""COMPUTED_VALUE"""),67.0)</f>
        <v>67</v>
      </c>
      <c r="F7925" s="19" t="str">
        <f>IFERROR(__xludf.DUMMYFUNCTION("""COMPUTED_VALUE"""),"BLACK")</f>
        <v>BLACK</v>
      </c>
      <c r="G7925" s="20" t="str">
        <f>IFERROR(__xludf.DUMMYFUNCTION("""COMPUTED_VALUE"""),"Uncle Sams Cider (5/13/2022)")</f>
        <v>Uncle Sams Cider (5/13/2022)</v>
      </c>
      <c r="H7925" s="19"/>
    </row>
    <row r="7926">
      <c r="A7926" s="9"/>
      <c r="B7926" s="15"/>
      <c r="C7926" s="9">
        <f>IFERROR(__xludf.DUMMYFUNCTION("""COMPUTED_VALUE"""),44713.9745989467)</f>
        <v>44713.9746</v>
      </c>
      <c r="D7926" s="15">
        <f>IFERROR(__xludf.DUMMYFUNCTION("""COMPUTED_VALUE"""),1.015)</f>
        <v>1.015</v>
      </c>
      <c r="E7926" s="16">
        <f>IFERROR(__xludf.DUMMYFUNCTION("""COMPUTED_VALUE"""),67.0)</f>
        <v>67</v>
      </c>
      <c r="F7926" s="19" t="str">
        <f>IFERROR(__xludf.DUMMYFUNCTION("""COMPUTED_VALUE"""),"BLACK")</f>
        <v>BLACK</v>
      </c>
      <c r="G7926" s="20" t="str">
        <f>IFERROR(__xludf.DUMMYFUNCTION("""COMPUTED_VALUE"""),"Uncle Sams Cider (5/13/2022)")</f>
        <v>Uncle Sams Cider (5/13/2022)</v>
      </c>
      <c r="H7926" s="19"/>
    </row>
    <row r="7927">
      <c r="A7927" s="9"/>
      <c r="B7927" s="15"/>
      <c r="C7927" s="9">
        <f>IFERROR(__xludf.DUMMYFUNCTION("""COMPUTED_VALUE"""),44713.9641765162)</f>
        <v>44713.96418</v>
      </c>
      <c r="D7927" s="15">
        <f>IFERROR(__xludf.DUMMYFUNCTION("""COMPUTED_VALUE"""),1.015)</f>
        <v>1.015</v>
      </c>
      <c r="E7927" s="16">
        <f>IFERROR(__xludf.DUMMYFUNCTION("""COMPUTED_VALUE"""),67.0)</f>
        <v>67</v>
      </c>
      <c r="F7927" s="19" t="str">
        <f>IFERROR(__xludf.DUMMYFUNCTION("""COMPUTED_VALUE"""),"BLACK")</f>
        <v>BLACK</v>
      </c>
      <c r="G7927" s="20" t="str">
        <f>IFERROR(__xludf.DUMMYFUNCTION("""COMPUTED_VALUE"""),"Uncle Sams Cider (5/13/2022)")</f>
        <v>Uncle Sams Cider (5/13/2022)</v>
      </c>
      <c r="H7927" s="19"/>
    </row>
    <row r="7928">
      <c r="A7928" s="9"/>
      <c r="B7928" s="15"/>
      <c r="C7928" s="9">
        <f>IFERROR(__xludf.DUMMYFUNCTION("""COMPUTED_VALUE"""),44713.9537335416)</f>
        <v>44713.95373</v>
      </c>
      <c r="D7928" s="15">
        <f>IFERROR(__xludf.DUMMYFUNCTION("""COMPUTED_VALUE"""),1.015)</f>
        <v>1.015</v>
      </c>
      <c r="E7928" s="16">
        <f>IFERROR(__xludf.DUMMYFUNCTION("""COMPUTED_VALUE"""),67.0)</f>
        <v>67</v>
      </c>
      <c r="F7928" s="19" t="str">
        <f>IFERROR(__xludf.DUMMYFUNCTION("""COMPUTED_VALUE"""),"BLACK")</f>
        <v>BLACK</v>
      </c>
      <c r="G7928" s="20" t="str">
        <f>IFERROR(__xludf.DUMMYFUNCTION("""COMPUTED_VALUE"""),"Uncle Sams Cider (5/13/2022)")</f>
        <v>Uncle Sams Cider (5/13/2022)</v>
      </c>
      <c r="H7928" s="19"/>
    </row>
    <row r="7929">
      <c r="A7929" s="9"/>
      <c r="B7929" s="15"/>
      <c r="C7929" s="9">
        <f>IFERROR(__xludf.DUMMYFUNCTION("""COMPUTED_VALUE"""),44713.943300787)</f>
        <v>44713.9433</v>
      </c>
      <c r="D7929" s="15">
        <f>IFERROR(__xludf.DUMMYFUNCTION("""COMPUTED_VALUE"""),1.015)</f>
        <v>1.015</v>
      </c>
      <c r="E7929" s="16">
        <f>IFERROR(__xludf.DUMMYFUNCTION("""COMPUTED_VALUE"""),67.0)</f>
        <v>67</v>
      </c>
      <c r="F7929" s="19" t="str">
        <f>IFERROR(__xludf.DUMMYFUNCTION("""COMPUTED_VALUE"""),"BLACK")</f>
        <v>BLACK</v>
      </c>
      <c r="G7929" s="20" t="str">
        <f>IFERROR(__xludf.DUMMYFUNCTION("""COMPUTED_VALUE"""),"Uncle Sams Cider (5/13/2022)")</f>
        <v>Uncle Sams Cider (5/13/2022)</v>
      </c>
      <c r="H7929" s="19"/>
    </row>
    <row r="7930">
      <c r="A7930" s="9"/>
      <c r="B7930" s="15"/>
      <c r="C7930" s="9">
        <f>IFERROR(__xludf.DUMMYFUNCTION("""COMPUTED_VALUE"""),44713.9328800463)</f>
        <v>44713.93288</v>
      </c>
      <c r="D7930" s="15">
        <f>IFERROR(__xludf.DUMMYFUNCTION("""COMPUTED_VALUE"""),1.015)</f>
        <v>1.015</v>
      </c>
      <c r="E7930" s="16">
        <f>IFERROR(__xludf.DUMMYFUNCTION("""COMPUTED_VALUE"""),67.0)</f>
        <v>67</v>
      </c>
      <c r="F7930" s="19" t="str">
        <f>IFERROR(__xludf.DUMMYFUNCTION("""COMPUTED_VALUE"""),"BLACK")</f>
        <v>BLACK</v>
      </c>
      <c r="G7930" s="20" t="str">
        <f>IFERROR(__xludf.DUMMYFUNCTION("""COMPUTED_VALUE"""),"Uncle Sams Cider (5/13/2022)")</f>
        <v>Uncle Sams Cider (5/13/2022)</v>
      </c>
      <c r="H7930" s="19"/>
    </row>
    <row r="7931">
      <c r="A7931" s="9"/>
      <c r="B7931" s="15"/>
      <c r="C7931" s="9">
        <f>IFERROR(__xludf.DUMMYFUNCTION("""COMPUTED_VALUE"""),44713.9224599189)</f>
        <v>44713.92246</v>
      </c>
      <c r="D7931" s="15">
        <f>IFERROR(__xludf.DUMMYFUNCTION("""COMPUTED_VALUE"""),1.015)</f>
        <v>1.015</v>
      </c>
      <c r="E7931" s="16">
        <f>IFERROR(__xludf.DUMMYFUNCTION("""COMPUTED_VALUE"""),67.0)</f>
        <v>67</v>
      </c>
      <c r="F7931" s="19" t="str">
        <f>IFERROR(__xludf.DUMMYFUNCTION("""COMPUTED_VALUE"""),"BLACK")</f>
        <v>BLACK</v>
      </c>
      <c r="G7931" s="20" t="str">
        <f>IFERROR(__xludf.DUMMYFUNCTION("""COMPUTED_VALUE"""),"Uncle Sams Cider (5/13/2022)")</f>
        <v>Uncle Sams Cider (5/13/2022)</v>
      </c>
      <c r="H7931" s="19"/>
    </row>
    <row r="7932">
      <c r="A7932" s="9"/>
      <c r="B7932" s="15"/>
      <c r="C7932" s="9">
        <f>IFERROR(__xludf.DUMMYFUNCTION("""COMPUTED_VALUE"""),44713.9120383101)</f>
        <v>44713.91204</v>
      </c>
      <c r="D7932" s="15">
        <f>IFERROR(__xludf.DUMMYFUNCTION("""COMPUTED_VALUE"""),1.015)</f>
        <v>1.015</v>
      </c>
      <c r="E7932" s="16">
        <f>IFERROR(__xludf.DUMMYFUNCTION("""COMPUTED_VALUE"""),67.0)</f>
        <v>67</v>
      </c>
      <c r="F7932" s="19" t="str">
        <f>IFERROR(__xludf.DUMMYFUNCTION("""COMPUTED_VALUE"""),"BLACK")</f>
        <v>BLACK</v>
      </c>
      <c r="G7932" s="20" t="str">
        <f>IFERROR(__xludf.DUMMYFUNCTION("""COMPUTED_VALUE"""),"Uncle Sams Cider (5/13/2022)")</f>
        <v>Uncle Sams Cider (5/13/2022)</v>
      </c>
      <c r="H7932" s="19"/>
    </row>
    <row r="7933">
      <c r="A7933" s="9"/>
      <c r="B7933" s="15"/>
      <c r="C7933" s="9">
        <f>IFERROR(__xludf.DUMMYFUNCTION("""COMPUTED_VALUE"""),44713.9016170717)</f>
        <v>44713.90162</v>
      </c>
      <c r="D7933" s="15">
        <f>IFERROR(__xludf.DUMMYFUNCTION("""COMPUTED_VALUE"""),1.015)</f>
        <v>1.015</v>
      </c>
      <c r="E7933" s="16">
        <f>IFERROR(__xludf.DUMMYFUNCTION("""COMPUTED_VALUE"""),67.0)</f>
        <v>67</v>
      </c>
      <c r="F7933" s="19" t="str">
        <f>IFERROR(__xludf.DUMMYFUNCTION("""COMPUTED_VALUE"""),"BLACK")</f>
        <v>BLACK</v>
      </c>
      <c r="G7933" s="20" t="str">
        <f>IFERROR(__xludf.DUMMYFUNCTION("""COMPUTED_VALUE"""),"Uncle Sams Cider (5/13/2022)")</f>
        <v>Uncle Sams Cider (5/13/2022)</v>
      </c>
      <c r="H7933" s="19"/>
    </row>
    <row r="7934">
      <c r="A7934" s="9"/>
      <c r="B7934" s="15"/>
      <c r="C7934" s="9">
        <f>IFERROR(__xludf.DUMMYFUNCTION("""COMPUTED_VALUE"""),44713.8911964699)</f>
        <v>44713.8912</v>
      </c>
      <c r="D7934" s="15">
        <f>IFERROR(__xludf.DUMMYFUNCTION("""COMPUTED_VALUE"""),1.015)</f>
        <v>1.015</v>
      </c>
      <c r="E7934" s="16">
        <f>IFERROR(__xludf.DUMMYFUNCTION("""COMPUTED_VALUE"""),67.0)</f>
        <v>67</v>
      </c>
      <c r="F7934" s="19" t="str">
        <f>IFERROR(__xludf.DUMMYFUNCTION("""COMPUTED_VALUE"""),"BLACK")</f>
        <v>BLACK</v>
      </c>
      <c r="G7934" s="20" t="str">
        <f>IFERROR(__xludf.DUMMYFUNCTION("""COMPUTED_VALUE"""),"Uncle Sams Cider (5/13/2022)")</f>
        <v>Uncle Sams Cider (5/13/2022)</v>
      </c>
      <c r="H7934" s="19"/>
    </row>
    <row r="7935">
      <c r="A7935" s="9"/>
      <c r="B7935" s="15"/>
      <c r="C7935" s="9">
        <f>IFERROR(__xludf.DUMMYFUNCTION("""COMPUTED_VALUE"""),44713.8807752083)</f>
        <v>44713.88078</v>
      </c>
      <c r="D7935" s="15">
        <f>IFERROR(__xludf.DUMMYFUNCTION("""COMPUTED_VALUE"""),1.015)</f>
        <v>1.015</v>
      </c>
      <c r="E7935" s="16">
        <f>IFERROR(__xludf.DUMMYFUNCTION("""COMPUTED_VALUE"""),67.0)</f>
        <v>67</v>
      </c>
      <c r="F7935" s="19" t="str">
        <f>IFERROR(__xludf.DUMMYFUNCTION("""COMPUTED_VALUE"""),"BLACK")</f>
        <v>BLACK</v>
      </c>
      <c r="G7935" s="20" t="str">
        <f>IFERROR(__xludf.DUMMYFUNCTION("""COMPUTED_VALUE"""),"Uncle Sams Cider (5/13/2022)")</f>
        <v>Uncle Sams Cider (5/13/2022)</v>
      </c>
      <c r="H7935" s="19"/>
    </row>
    <row r="7936">
      <c r="A7936" s="9"/>
      <c r="B7936" s="15"/>
      <c r="C7936" s="9">
        <f>IFERROR(__xludf.DUMMYFUNCTION("""COMPUTED_VALUE"""),44713.8703549421)</f>
        <v>44713.87035</v>
      </c>
      <c r="D7936" s="15">
        <f>IFERROR(__xludf.DUMMYFUNCTION("""COMPUTED_VALUE"""),1.015)</f>
        <v>1.015</v>
      </c>
      <c r="E7936" s="16">
        <f>IFERROR(__xludf.DUMMYFUNCTION("""COMPUTED_VALUE"""),67.0)</f>
        <v>67</v>
      </c>
      <c r="F7936" s="19" t="str">
        <f>IFERROR(__xludf.DUMMYFUNCTION("""COMPUTED_VALUE"""),"BLACK")</f>
        <v>BLACK</v>
      </c>
      <c r="G7936" s="20" t="str">
        <f>IFERROR(__xludf.DUMMYFUNCTION("""COMPUTED_VALUE"""),"Uncle Sams Cider (5/13/2022)")</f>
        <v>Uncle Sams Cider (5/13/2022)</v>
      </c>
      <c r="H7936" s="19"/>
    </row>
    <row r="7937">
      <c r="A7937" s="9"/>
      <c r="B7937" s="15"/>
      <c r="C7937" s="9">
        <f>IFERROR(__xludf.DUMMYFUNCTION("""COMPUTED_VALUE"""),44713.8599335416)</f>
        <v>44713.85993</v>
      </c>
      <c r="D7937" s="15">
        <f>IFERROR(__xludf.DUMMYFUNCTION("""COMPUTED_VALUE"""),1.015)</f>
        <v>1.015</v>
      </c>
      <c r="E7937" s="16">
        <f>IFERROR(__xludf.DUMMYFUNCTION("""COMPUTED_VALUE"""),67.0)</f>
        <v>67</v>
      </c>
      <c r="F7937" s="19" t="str">
        <f>IFERROR(__xludf.DUMMYFUNCTION("""COMPUTED_VALUE"""),"BLACK")</f>
        <v>BLACK</v>
      </c>
      <c r="G7937" s="20" t="str">
        <f>IFERROR(__xludf.DUMMYFUNCTION("""COMPUTED_VALUE"""),"Uncle Sams Cider (5/13/2022)")</f>
        <v>Uncle Sams Cider (5/13/2022)</v>
      </c>
      <c r="H7937" s="19"/>
    </row>
    <row r="7938">
      <c r="A7938" s="9"/>
      <c r="B7938" s="15"/>
      <c r="C7938" s="9">
        <f>IFERROR(__xludf.DUMMYFUNCTION("""COMPUTED_VALUE"""),44713.8495104976)</f>
        <v>44713.84951</v>
      </c>
      <c r="D7938" s="15">
        <f>IFERROR(__xludf.DUMMYFUNCTION("""COMPUTED_VALUE"""),1.015)</f>
        <v>1.015</v>
      </c>
      <c r="E7938" s="16">
        <f>IFERROR(__xludf.DUMMYFUNCTION("""COMPUTED_VALUE"""),67.0)</f>
        <v>67</v>
      </c>
      <c r="F7938" s="19" t="str">
        <f>IFERROR(__xludf.DUMMYFUNCTION("""COMPUTED_VALUE"""),"BLACK")</f>
        <v>BLACK</v>
      </c>
      <c r="G7938" s="20" t="str">
        <f>IFERROR(__xludf.DUMMYFUNCTION("""COMPUTED_VALUE"""),"Uncle Sams Cider (5/13/2022)")</f>
        <v>Uncle Sams Cider (5/13/2022)</v>
      </c>
      <c r="H7938" s="19"/>
    </row>
    <row r="7939">
      <c r="A7939" s="9"/>
      <c r="B7939" s="15"/>
      <c r="C7939" s="9">
        <f>IFERROR(__xludf.DUMMYFUNCTION("""COMPUTED_VALUE"""),44713.8390892824)</f>
        <v>44713.83909</v>
      </c>
      <c r="D7939" s="15">
        <f>IFERROR(__xludf.DUMMYFUNCTION("""COMPUTED_VALUE"""),1.015)</f>
        <v>1.015</v>
      </c>
      <c r="E7939" s="16">
        <f>IFERROR(__xludf.DUMMYFUNCTION("""COMPUTED_VALUE"""),67.0)</f>
        <v>67</v>
      </c>
      <c r="F7939" s="19" t="str">
        <f>IFERROR(__xludf.DUMMYFUNCTION("""COMPUTED_VALUE"""),"BLACK")</f>
        <v>BLACK</v>
      </c>
      <c r="G7939" s="20" t="str">
        <f>IFERROR(__xludf.DUMMYFUNCTION("""COMPUTED_VALUE"""),"Uncle Sams Cider (5/13/2022)")</f>
        <v>Uncle Sams Cider (5/13/2022)</v>
      </c>
      <c r="H7939" s="19"/>
    </row>
    <row r="7940">
      <c r="A7940" s="9"/>
      <c r="B7940" s="15"/>
      <c r="C7940" s="9">
        <f>IFERROR(__xludf.DUMMYFUNCTION("""COMPUTED_VALUE"""),44713.8286685416)</f>
        <v>44713.82867</v>
      </c>
      <c r="D7940" s="15">
        <f>IFERROR(__xludf.DUMMYFUNCTION("""COMPUTED_VALUE"""),1.015)</f>
        <v>1.015</v>
      </c>
      <c r="E7940" s="16">
        <f>IFERROR(__xludf.DUMMYFUNCTION("""COMPUTED_VALUE"""),67.0)</f>
        <v>67</v>
      </c>
      <c r="F7940" s="19" t="str">
        <f>IFERROR(__xludf.DUMMYFUNCTION("""COMPUTED_VALUE"""),"BLACK")</f>
        <v>BLACK</v>
      </c>
      <c r="G7940" s="20" t="str">
        <f>IFERROR(__xludf.DUMMYFUNCTION("""COMPUTED_VALUE"""),"Uncle Sams Cider (5/13/2022)")</f>
        <v>Uncle Sams Cider (5/13/2022)</v>
      </c>
      <c r="H7940" s="19"/>
    </row>
    <row r="7941">
      <c r="A7941" s="9"/>
      <c r="B7941" s="15"/>
      <c r="C7941" s="9">
        <f>IFERROR(__xludf.DUMMYFUNCTION("""COMPUTED_VALUE"""),44713.8182461921)</f>
        <v>44713.81825</v>
      </c>
      <c r="D7941" s="15">
        <f>IFERROR(__xludf.DUMMYFUNCTION("""COMPUTED_VALUE"""),1.015)</f>
        <v>1.015</v>
      </c>
      <c r="E7941" s="16">
        <f>IFERROR(__xludf.DUMMYFUNCTION("""COMPUTED_VALUE"""),67.0)</f>
        <v>67</v>
      </c>
      <c r="F7941" s="19" t="str">
        <f>IFERROR(__xludf.DUMMYFUNCTION("""COMPUTED_VALUE"""),"BLACK")</f>
        <v>BLACK</v>
      </c>
      <c r="G7941" s="20" t="str">
        <f>IFERROR(__xludf.DUMMYFUNCTION("""COMPUTED_VALUE"""),"Uncle Sams Cider (5/13/2022)")</f>
        <v>Uncle Sams Cider (5/13/2022)</v>
      </c>
      <c r="H7941" s="19"/>
    </row>
    <row r="7942">
      <c r="A7942" s="9"/>
      <c r="B7942" s="15"/>
      <c r="C7942" s="9">
        <f>IFERROR(__xludf.DUMMYFUNCTION("""COMPUTED_VALUE"""),44713.807824456)</f>
        <v>44713.80782</v>
      </c>
      <c r="D7942" s="15">
        <f>IFERROR(__xludf.DUMMYFUNCTION("""COMPUTED_VALUE"""),1.015)</f>
        <v>1.015</v>
      </c>
      <c r="E7942" s="16">
        <f>IFERROR(__xludf.DUMMYFUNCTION("""COMPUTED_VALUE"""),67.0)</f>
        <v>67</v>
      </c>
      <c r="F7942" s="19" t="str">
        <f>IFERROR(__xludf.DUMMYFUNCTION("""COMPUTED_VALUE"""),"BLACK")</f>
        <v>BLACK</v>
      </c>
      <c r="G7942" s="20" t="str">
        <f>IFERROR(__xludf.DUMMYFUNCTION("""COMPUTED_VALUE"""),"Uncle Sams Cider (5/13/2022)")</f>
        <v>Uncle Sams Cider (5/13/2022)</v>
      </c>
      <c r="H7942" s="19"/>
    </row>
    <row r="7943">
      <c r="A7943" s="9"/>
      <c r="B7943" s="15"/>
      <c r="C7943" s="9">
        <f>IFERROR(__xludf.DUMMYFUNCTION("""COMPUTED_VALUE"""),44713.7974038657)</f>
        <v>44713.7974</v>
      </c>
      <c r="D7943" s="15">
        <f>IFERROR(__xludf.DUMMYFUNCTION("""COMPUTED_VALUE"""),1.015)</f>
        <v>1.015</v>
      </c>
      <c r="E7943" s="16">
        <f>IFERROR(__xludf.DUMMYFUNCTION("""COMPUTED_VALUE"""),67.0)</f>
        <v>67</v>
      </c>
      <c r="F7943" s="19" t="str">
        <f>IFERROR(__xludf.DUMMYFUNCTION("""COMPUTED_VALUE"""),"BLACK")</f>
        <v>BLACK</v>
      </c>
      <c r="G7943" s="20" t="str">
        <f>IFERROR(__xludf.DUMMYFUNCTION("""COMPUTED_VALUE"""),"Uncle Sams Cider (5/13/2022)")</f>
        <v>Uncle Sams Cider (5/13/2022)</v>
      </c>
      <c r="H7943" s="19"/>
    </row>
    <row r="7944">
      <c r="A7944" s="9"/>
      <c r="B7944" s="15"/>
      <c r="C7944" s="9">
        <f>IFERROR(__xludf.DUMMYFUNCTION("""COMPUTED_VALUE"""),44713.7869831365)</f>
        <v>44713.78698</v>
      </c>
      <c r="D7944" s="15">
        <f>IFERROR(__xludf.DUMMYFUNCTION("""COMPUTED_VALUE"""),1.015)</f>
        <v>1.015</v>
      </c>
      <c r="E7944" s="16">
        <f>IFERROR(__xludf.DUMMYFUNCTION("""COMPUTED_VALUE"""),67.0)</f>
        <v>67</v>
      </c>
      <c r="F7944" s="19" t="str">
        <f>IFERROR(__xludf.DUMMYFUNCTION("""COMPUTED_VALUE"""),"BLACK")</f>
        <v>BLACK</v>
      </c>
      <c r="G7944" s="20" t="str">
        <f>IFERROR(__xludf.DUMMYFUNCTION("""COMPUTED_VALUE"""),"Uncle Sams Cider (5/13/2022)")</f>
        <v>Uncle Sams Cider (5/13/2022)</v>
      </c>
      <c r="H7944" s="19"/>
    </row>
    <row r="7945">
      <c r="A7945" s="9"/>
      <c r="B7945" s="15"/>
      <c r="C7945" s="9">
        <f>IFERROR(__xludf.DUMMYFUNCTION("""COMPUTED_VALUE"""),44713.7765602662)</f>
        <v>44713.77656</v>
      </c>
      <c r="D7945" s="15">
        <f>IFERROR(__xludf.DUMMYFUNCTION("""COMPUTED_VALUE"""),1.015)</f>
        <v>1.015</v>
      </c>
      <c r="E7945" s="16">
        <f>IFERROR(__xludf.DUMMYFUNCTION("""COMPUTED_VALUE"""),67.0)</f>
        <v>67</v>
      </c>
      <c r="F7945" s="19" t="str">
        <f>IFERROR(__xludf.DUMMYFUNCTION("""COMPUTED_VALUE"""),"BLACK")</f>
        <v>BLACK</v>
      </c>
      <c r="G7945" s="20" t="str">
        <f>IFERROR(__xludf.DUMMYFUNCTION("""COMPUTED_VALUE"""),"Uncle Sams Cider (5/13/2022)")</f>
        <v>Uncle Sams Cider (5/13/2022)</v>
      </c>
      <c r="H7945" s="19"/>
    </row>
    <row r="7946">
      <c r="A7946" s="9"/>
      <c r="B7946" s="15"/>
      <c r="C7946" s="9">
        <f>IFERROR(__xludf.DUMMYFUNCTION("""COMPUTED_VALUE"""),44713.7661418402)</f>
        <v>44713.76614</v>
      </c>
      <c r="D7946" s="15">
        <f>IFERROR(__xludf.DUMMYFUNCTION("""COMPUTED_VALUE"""),1.015)</f>
        <v>1.015</v>
      </c>
      <c r="E7946" s="16">
        <f>IFERROR(__xludf.DUMMYFUNCTION("""COMPUTED_VALUE"""),66.0)</f>
        <v>66</v>
      </c>
      <c r="F7946" s="19" t="str">
        <f>IFERROR(__xludf.DUMMYFUNCTION("""COMPUTED_VALUE"""),"BLACK")</f>
        <v>BLACK</v>
      </c>
      <c r="G7946" s="20" t="str">
        <f>IFERROR(__xludf.DUMMYFUNCTION("""COMPUTED_VALUE"""),"Uncle Sams Cider (5/13/2022)")</f>
        <v>Uncle Sams Cider (5/13/2022)</v>
      </c>
      <c r="H7946" s="19"/>
    </row>
    <row r="7947">
      <c r="A7947" s="9"/>
      <c r="B7947" s="15"/>
      <c r="C7947" s="9">
        <f>IFERROR(__xludf.DUMMYFUNCTION("""COMPUTED_VALUE"""),44713.755720868)</f>
        <v>44713.75572</v>
      </c>
      <c r="D7947" s="15">
        <f>IFERROR(__xludf.DUMMYFUNCTION("""COMPUTED_VALUE"""),1.015)</f>
        <v>1.015</v>
      </c>
      <c r="E7947" s="16">
        <f>IFERROR(__xludf.DUMMYFUNCTION("""COMPUTED_VALUE"""),66.0)</f>
        <v>66</v>
      </c>
      <c r="F7947" s="19" t="str">
        <f>IFERROR(__xludf.DUMMYFUNCTION("""COMPUTED_VALUE"""),"BLACK")</f>
        <v>BLACK</v>
      </c>
      <c r="G7947" s="20" t="str">
        <f>IFERROR(__xludf.DUMMYFUNCTION("""COMPUTED_VALUE"""),"Uncle Sams Cider (5/13/2022)")</f>
        <v>Uncle Sams Cider (5/13/2022)</v>
      </c>
      <c r="H7947" s="19"/>
    </row>
    <row r="7948">
      <c r="A7948" s="9"/>
      <c r="B7948" s="15"/>
      <c r="C7948" s="9">
        <f>IFERROR(__xludf.DUMMYFUNCTION("""COMPUTED_VALUE"""),44713.7452651273)</f>
        <v>44713.74527</v>
      </c>
      <c r="D7948" s="15">
        <f>IFERROR(__xludf.DUMMYFUNCTION("""COMPUTED_VALUE"""),1.015)</f>
        <v>1.015</v>
      </c>
      <c r="E7948" s="16">
        <f>IFERROR(__xludf.DUMMYFUNCTION("""COMPUTED_VALUE"""),66.0)</f>
        <v>66</v>
      </c>
      <c r="F7948" s="19" t="str">
        <f>IFERROR(__xludf.DUMMYFUNCTION("""COMPUTED_VALUE"""),"BLACK")</f>
        <v>BLACK</v>
      </c>
      <c r="G7948" s="20" t="str">
        <f>IFERROR(__xludf.DUMMYFUNCTION("""COMPUTED_VALUE"""),"Uncle Sams Cider (5/13/2022)")</f>
        <v>Uncle Sams Cider (5/13/2022)</v>
      </c>
      <c r="H7948" s="19"/>
    </row>
    <row r="7949">
      <c r="A7949" s="9"/>
      <c r="B7949" s="15"/>
      <c r="C7949" s="9">
        <f>IFERROR(__xludf.DUMMYFUNCTION("""COMPUTED_VALUE"""),44713.7348443518)</f>
        <v>44713.73484</v>
      </c>
      <c r="D7949" s="15">
        <f>IFERROR(__xludf.DUMMYFUNCTION("""COMPUTED_VALUE"""),1.015)</f>
        <v>1.015</v>
      </c>
      <c r="E7949" s="16">
        <f>IFERROR(__xludf.DUMMYFUNCTION("""COMPUTED_VALUE"""),66.0)</f>
        <v>66</v>
      </c>
      <c r="F7949" s="19" t="str">
        <f>IFERROR(__xludf.DUMMYFUNCTION("""COMPUTED_VALUE"""),"BLACK")</f>
        <v>BLACK</v>
      </c>
      <c r="G7949" s="20" t="str">
        <f>IFERROR(__xludf.DUMMYFUNCTION("""COMPUTED_VALUE"""),"Uncle Sams Cider (5/13/2022)")</f>
        <v>Uncle Sams Cider (5/13/2022)</v>
      </c>
      <c r="H7949" s="19"/>
    </row>
    <row r="7950">
      <c r="A7950" s="9"/>
      <c r="B7950" s="15"/>
      <c r="C7950" s="9">
        <f>IFERROR(__xludf.DUMMYFUNCTION("""COMPUTED_VALUE"""),44713.724421574)</f>
        <v>44713.72442</v>
      </c>
      <c r="D7950" s="15">
        <f>IFERROR(__xludf.DUMMYFUNCTION("""COMPUTED_VALUE"""),1.015)</f>
        <v>1.015</v>
      </c>
      <c r="E7950" s="16">
        <f>IFERROR(__xludf.DUMMYFUNCTION("""COMPUTED_VALUE"""),66.0)</f>
        <v>66</v>
      </c>
      <c r="F7950" s="19" t="str">
        <f>IFERROR(__xludf.DUMMYFUNCTION("""COMPUTED_VALUE"""),"BLACK")</f>
        <v>BLACK</v>
      </c>
      <c r="G7950" s="20" t="str">
        <f>IFERROR(__xludf.DUMMYFUNCTION("""COMPUTED_VALUE"""),"Uncle Sams Cider (5/13/2022)")</f>
        <v>Uncle Sams Cider (5/13/2022)</v>
      </c>
      <c r="H7950" s="19"/>
    </row>
    <row r="7951">
      <c r="A7951" s="9"/>
      <c r="B7951" s="15"/>
      <c r="C7951" s="9">
        <f>IFERROR(__xludf.DUMMYFUNCTION("""COMPUTED_VALUE"""),44713.7139887152)</f>
        <v>44713.71399</v>
      </c>
      <c r="D7951" s="15">
        <f>IFERROR(__xludf.DUMMYFUNCTION("""COMPUTED_VALUE"""),1.015)</f>
        <v>1.015</v>
      </c>
      <c r="E7951" s="16">
        <f>IFERROR(__xludf.DUMMYFUNCTION("""COMPUTED_VALUE"""),66.0)</f>
        <v>66</v>
      </c>
      <c r="F7951" s="19" t="str">
        <f>IFERROR(__xludf.DUMMYFUNCTION("""COMPUTED_VALUE"""),"BLACK")</f>
        <v>BLACK</v>
      </c>
      <c r="G7951" s="20" t="str">
        <f>IFERROR(__xludf.DUMMYFUNCTION("""COMPUTED_VALUE"""),"Uncle Sams Cider (5/13/2022)")</f>
        <v>Uncle Sams Cider (5/13/2022)</v>
      </c>
      <c r="H7951" s="19"/>
    </row>
    <row r="7952">
      <c r="A7952" s="9"/>
      <c r="B7952" s="15"/>
      <c r="C7952" s="9">
        <f>IFERROR(__xludf.DUMMYFUNCTION("""COMPUTED_VALUE"""),44713.7035539351)</f>
        <v>44713.70355</v>
      </c>
      <c r="D7952" s="15">
        <f>IFERROR(__xludf.DUMMYFUNCTION("""COMPUTED_VALUE"""),1.015)</f>
        <v>1.015</v>
      </c>
      <c r="E7952" s="16">
        <f>IFERROR(__xludf.DUMMYFUNCTION("""COMPUTED_VALUE"""),66.0)</f>
        <v>66</v>
      </c>
      <c r="F7952" s="19" t="str">
        <f>IFERROR(__xludf.DUMMYFUNCTION("""COMPUTED_VALUE"""),"BLACK")</f>
        <v>BLACK</v>
      </c>
      <c r="G7952" s="20" t="str">
        <f>IFERROR(__xludf.DUMMYFUNCTION("""COMPUTED_VALUE"""),"Uncle Sams Cider (5/13/2022)")</f>
        <v>Uncle Sams Cider (5/13/2022)</v>
      </c>
      <c r="H7952" s="19"/>
    </row>
    <row r="7953">
      <c r="A7953" s="9"/>
      <c r="B7953" s="15"/>
      <c r="C7953" s="9">
        <f>IFERROR(__xludf.DUMMYFUNCTION("""COMPUTED_VALUE"""),44713.6931298958)</f>
        <v>44713.69313</v>
      </c>
      <c r="D7953" s="15">
        <f>IFERROR(__xludf.DUMMYFUNCTION("""COMPUTED_VALUE"""),1.015)</f>
        <v>1.015</v>
      </c>
      <c r="E7953" s="16">
        <f>IFERROR(__xludf.DUMMYFUNCTION("""COMPUTED_VALUE"""),66.0)</f>
        <v>66</v>
      </c>
      <c r="F7953" s="19" t="str">
        <f>IFERROR(__xludf.DUMMYFUNCTION("""COMPUTED_VALUE"""),"BLACK")</f>
        <v>BLACK</v>
      </c>
      <c r="G7953" s="20" t="str">
        <f>IFERROR(__xludf.DUMMYFUNCTION("""COMPUTED_VALUE"""),"Uncle Sams Cider (5/13/2022)")</f>
        <v>Uncle Sams Cider (5/13/2022)</v>
      </c>
      <c r="H7953" s="19"/>
    </row>
    <row r="7954">
      <c r="A7954" s="9"/>
      <c r="B7954" s="15"/>
      <c r="C7954" s="9">
        <f>IFERROR(__xludf.DUMMYFUNCTION("""COMPUTED_VALUE"""),44713.6827078588)</f>
        <v>44713.68271</v>
      </c>
      <c r="D7954" s="15">
        <f>IFERROR(__xludf.DUMMYFUNCTION("""COMPUTED_VALUE"""),1.015)</f>
        <v>1.015</v>
      </c>
      <c r="E7954" s="16">
        <f>IFERROR(__xludf.DUMMYFUNCTION("""COMPUTED_VALUE"""),66.0)</f>
        <v>66</v>
      </c>
      <c r="F7954" s="19" t="str">
        <f>IFERROR(__xludf.DUMMYFUNCTION("""COMPUTED_VALUE"""),"BLACK")</f>
        <v>BLACK</v>
      </c>
      <c r="G7954" s="20" t="str">
        <f>IFERROR(__xludf.DUMMYFUNCTION("""COMPUTED_VALUE"""),"Uncle Sams Cider (5/13/2022)")</f>
        <v>Uncle Sams Cider (5/13/2022)</v>
      </c>
      <c r="H7954" s="19"/>
    </row>
    <row r="7955">
      <c r="A7955" s="9"/>
      <c r="B7955" s="15"/>
      <c r="C7955" s="9">
        <f>IFERROR(__xludf.DUMMYFUNCTION("""COMPUTED_VALUE"""),44713.6722867592)</f>
        <v>44713.67229</v>
      </c>
      <c r="D7955" s="15">
        <f>IFERROR(__xludf.DUMMYFUNCTION("""COMPUTED_VALUE"""),1.015)</f>
        <v>1.015</v>
      </c>
      <c r="E7955" s="16">
        <f>IFERROR(__xludf.DUMMYFUNCTION("""COMPUTED_VALUE"""),66.0)</f>
        <v>66</v>
      </c>
      <c r="F7955" s="19" t="str">
        <f>IFERROR(__xludf.DUMMYFUNCTION("""COMPUTED_VALUE"""),"BLACK")</f>
        <v>BLACK</v>
      </c>
      <c r="G7955" s="20" t="str">
        <f>IFERROR(__xludf.DUMMYFUNCTION("""COMPUTED_VALUE"""),"Uncle Sams Cider (5/13/2022)")</f>
        <v>Uncle Sams Cider (5/13/2022)</v>
      </c>
      <c r="H7955" s="19"/>
    </row>
    <row r="7956">
      <c r="A7956" s="9"/>
      <c r="B7956" s="15"/>
      <c r="C7956" s="9">
        <f>IFERROR(__xludf.DUMMYFUNCTION("""COMPUTED_VALUE"""),44713.6618659722)</f>
        <v>44713.66187</v>
      </c>
      <c r="D7956" s="15">
        <f>IFERROR(__xludf.DUMMYFUNCTION("""COMPUTED_VALUE"""),1.016)</f>
        <v>1.016</v>
      </c>
      <c r="E7956" s="16">
        <f>IFERROR(__xludf.DUMMYFUNCTION("""COMPUTED_VALUE"""),66.0)</f>
        <v>66</v>
      </c>
      <c r="F7956" s="19" t="str">
        <f>IFERROR(__xludf.DUMMYFUNCTION("""COMPUTED_VALUE"""),"BLACK")</f>
        <v>BLACK</v>
      </c>
      <c r="G7956" s="20" t="str">
        <f>IFERROR(__xludf.DUMMYFUNCTION("""COMPUTED_VALUE"""),"Uncle Sams Cider (5/13/2022)")</f>
        <v>Uncle Sams Cider (5/13/2022)</v>
      </c>
      <c r="H7956" s="19"/>
    </row>
    <row r="7957">
      <c r="A7957" s="9"/>
      <c r="B7957" s="15"/>
      <c r="C7957" s="9">
        <f>IFERROR(__xludf.DUMMYFUNCTION("""COMPUTED_VALUE"""),44713.6514452546)</f>
        <v>44713.65145</v>
      </c>
      <c r="D7957" s="15">
        <f>IFERROR(__xludf.DUMMYFUNCTION("""COMPUTED_VALUE"""),1.015)</f>
        <v>1.015</v>
      </c>
      <c r="E7957" s="16">
        <f>IFERROR(__xludf.DUMMYFUNCTION("""COMPUTED_VALUE"""),66.0)</f>
        <v>66</v>
      </c>
      <c r="F7957" s="19" t="str">
        <f>IFERROR(__xludf.DUMMYFUNCTION("""COMPUTED_VALUE"""),"BLACK")</f>
        <v>BLACK</v>
      </c>
      <c r="G7957" s="20" t="str">
        <f>IFERROR(__xludf.DUMMYFUNCTION("""COMPUTED_VALUE"""),"Uncle Sams Cider (5/13/2022)")</f>
        <v>Uncle Sams Cider (5/13/2022)</v>
      </c>
      <c r="H7957" s="19"/>
    </row>
    <row r="7958">
      <c r="A7958" s="9"/>
      <c r="B7958" s="15"/>
      <c r="C7958" s="9">
        <f>IFERROR(__xludf.DUMMYFUNCTION("""COMPUTED_VALUE"""),44713.6410238194)</f>
        <v>44713.64102</v>
      </c>
      <c r="D7958" s="15">
        <f>IFERROR(__xludf.DUMMYFUNCTION("""COMPUTED_VALUE"""),1.015)</f>
        <v>1.015</v>
      </c>
      <c r="E7958" s="16">
        <f>IFERROR(__xludf.DUMMYFUNCTION("""COMPUTED_VALUE"""),66.0)</f>
        <v>66</v>
      </c>
      <c r="F7958" s="19" t="str">
        <f>IFERROR(__xludf.DUMMYFUNCTION("""COMPUTED_VALUE"""),"BLACK")</f>
        <v>BLACK</v>
      </c>
      <c r="G7958" s="20" t="str">
        <f>IFERROR(__xludf.DUMMYFUNCTION("""COMPUTED_VALUE"""),"Uncle Sams Cider (5/13/2022)")</f>
        <v>Uncle Sams Cider (5/13/2022)</v>
      </c>
      <c r="H7958" s="19"/>
    </row>
    <row r="7959">
      <c r="A7959" s="9"/>
      <c r="B7959" s="15"/>
      <c r="C7959" s="9">
        <f>IFERROR(__xludf.DUMMYFUNCTION("""COMPUTED_VALUE"""),44713.6306032638)</f>
        <v>44713.6306</v>
      </c>
      <c r="D7959" s="15">
        <f>IFERROR(__xludf.DUMMYFUNCTION("""COMPUTED_VALUE"""),1.015)</f>
        <v>1.015</v>
      </c>
      <c r="E7959" s="16">
        <f>IFERROR(__xludf.DUMMYFUNCTION("""COMPUTED_VALUE"""),66.0)</f>
        <v>66</v>
      </c>
      <c r="F7959" s="19" t="str">
        <f>IFERROR(__xludf.DUMMYFUNCTION("""COMPUTED_VALUE"""),"BLACK")</f>
        <v>BLACK</v>
      </c>
      <c r="G7959" s="20" t="str">
        <f>IFERROR(__xludf.DUMMYFUNCTION("""COMPUTED_VALUE"""),"Uncle Sams Cider (5/13/2022)")</f>
        <v>Uncle Sams Cider (5/13/2022)</v>
      </c>
      <c r="H7959" s="19"/>
    </row>
    <row r="7960">
      <c r="A7960" s="9"/>
      <c r="B7960" s="15"/>
      <c r="C7960" s="9">
        <f>IFERROR(__xludf.DUMMYFUNCTION("""COMPUTED_VALUE"""),44713.6201710648)</f>
        <v>44713.62017</v>
      </c>
      <c r="D7960" s="15">
        <f>IFERROR(__xludf.DUMMYFUNCTION("""COMPUTED_VALUE"""),1.016)</f>
        <v>1.016</v>
      </c>
      <c r="E7960" s="16">
        <f>IFERROR(__xludf.DUMMYFUNCTION("""COMPUTED_VALUE"""),66.0)</f>
        <v>66</v>
      </c>
      <c r="F7960" s="19" t="str">
        <f>IFERROR(__xludf.DUMMYFUNCTION("""COMPUTED_VALUE"""),"BLACK")</f>
        <v>BLACK</v>
      </c>
      <c r="G7960" s="20" t="str">
        <f>IFERROR(__xludf.DUMMYFUNCTION("""COMPUTED_VALUE"""),"Uncle Sams Cider (5/13/2022)")</f>
        <v>Uncle Sams Cider (5/13/2022)</v>
      </c>
      <c r="H7960" s="19"/>
    </row>
    <row r="7961">
      <c r="A7961" s="9"/>
      <c r="B7961" s="15"/>
      <c r="C7961" s="9">
        <f>IFERROR(__xludf.DUMMYFUNCTION("""COMPUTED_VALUE"""),44713.609749537)</f>
        <v>44713.60975</v>
      </c>
      <c r="D7961" s="15">
        <f>IFERROR(__xludf.DUMMYFUNCTION("""COMPUTED_VALUE"""),1.015)</f>
        <v>1.015</v>
      </c>
      <c r="E7961" s="16">
        <f>IFERROR(__xludf.DUMMYFUNCTION("""COMPUTED_VALUE"""),66.0)</f>
        <v>66</v>
      </c>
      <c r="F7961" s="19" t="str">
        <f>IFERROR(__xludf.DUMMYFUNCTION("""COMPUTED_VALUE"""),"BLACK")</f>
        <v>BLACK</v>
      </c>
      <c r="G7961" s="20" t="str">
        <f>IFERROR(__xludf.DUMMYFUNCTION("""COMPUTED_VALUE"""),"Uncle Sams Cider (5/13/2022)")</f>
        <v>Uncle Sams Cider (5/13/2022)</v>
      </c>
      <c r="H7961" s="19"/>
    </row>
    <row r="7962">
      <c r="A7962" s="9"/>
      <c r="B7962" s="15"/>
      <c r="C7962" s="9">
        <f>IFERROR(__xludf.DUMMYFUNCTION("""COMPUTED_VALUE"""),44713.5993167592)</f>
        <v>44713.59932</v>
      </c>
      <c r="D7962" s="15">
        <f>IFERROR(__xludf.DUMMYFUNCTION("""COMPUTED_VALUE"""),1.015)</f>
        <v>1.015</v>
      </c>
      <c r="E7962" s="16">
        <f>IFERROR(__xludf.DUMMYFUNCTION("""COMPUTED_VALUE"""),66.0)</f>
        <v>66</v>
      </c>
      <c r="F7962" s="19" t="str">
        <f>IFERROR(__xludf.DUMMYFUNCTION("""COMPUTED_VALUE"""),"BLACK")</f>
        <v>BLACK</v>
      </c>
      <c r="G7962" s="20" t="str">
        <f>IFERROR(__xludf.DUMMYFUNCTION("""COMPUTED_VALUE"""),"Uncle Sams Cider (5/13/2022)")</f>
        <v>Uncle Sams Cider (5/13/2022)</v>
      </c>
      <c r="H7962" s="19"/>
    </row>
    <row r="7963">
      <c r="A7963" s="9"/>
      <c r="B7963" s="15"/>
      <c r="C7963" s="9">
        <f>IFERROR(__xludf.DUMMYFUNCTION("""COMPUTED_VALUE"""),44713.5888949652)</f>
        <v>44713.58889</v>
      </c>
      <c r="D7963" s="15">
        <f>IFERROR(__xludf.DUMMYFUNCTION("""COMPUTED_VALUE"""),1.015)</f>
        <v>1.015</v>
      </c>
      <c r="E7963" s="16">
        <f>IFERROR(__xludf.DUMMYFUNCTION("""COMPUTED_VALUE"""),66.0)</f>
        <v>66</v>
      </c>
      <c r="F7963" s="19" t="str">
        <f>IFERROR(__xludf.DUMMYFUNCTION("""COMPUTED_VALUE"""),"BLACK")</f>
        <v>BLACK</v>
      </c>
      <c r="G7963" s="20" t="str">
        <f>IFERROR(__xludf.DUMMYFUNCTION("""COMPUTED_VALUE"""),"Uncle Sams Cider (5/13/2022)")</f>
        <v>Uncle Sams Cider (5/13/2022)</v>
      </c>
      <c r="H7963" s="19"/>
    </row>
    <row r="7964">
      <c r="A7964" s="9"/>
      <c r="B7964" s="15"/>
      <c r="C7964" s="9">
        <f>IFERROR(__xludf.DUMMYFUNCTION("""COMPUTED_VALUE"""),44713.5784398148)</f>
        <v>44713.57844</v>
      </c>
      <c r="D7964" s="15">
        <f>IFERROR(__xludf.DUMMYFUNCTION("""COMPUTED_VALUE"""),1.015)</f>
        <v>1.015</v>
      </c>
      <c r="E7964" s="16">
        <f>IFERROR(__xludf.DUMMYFUNCTION("""COMPUTED_VALUE"""),66.0)</f>
        <v>66</v>
      </c>
      <c r="F7964" s="19" t="str">
        <f>IFERROR(__xludf.DUMMYFUNCTION("""COMPUTED_VALUE"""),"BLACK")</f>
        <v>BLACK</v>
      </c>
      <c r="G7964" s="20" t="str">
        <f>IFERROR(__xludf.DUMMYFUNCTION("""COMPUTED_VALUE"""),"Uncle Sams Cider (5/13/2022)")</f>
        <v>Uncle Sams Cider (5/13/2022)</v>
      </c>
      <c r="H7964" s="19"/>
    </row>
    <row r="7965">
      <c r="A7965" s="9"/>
      <c r="B7965" s="15"/>
      <c r="C7965" s="9">
        <f>IFERROR(__xludf.DUMMYFUNCTION("""COMPUTED_VALUE"""),44713.5680071064)</f>
        <v>44713.56801</v>
      </c>
      <c r="D7965" s="15">
        <f>IFERROR(__xludf.DUMMYFUNCTION("""COMPUTED_VALUE"""),1.016)</f>
        <v>1.016</v>
      </c>
      <c r="E7965" s="16">
        <f>IFERROR(__xludf.DUMMYFUNCTION("""COMPUTED_VALUE"""),66.0)</f>
        <v>66</v>
      </c>
      <c r="F7965" s="19" t="str">
        <f>IFERROR(__xludf.DUMMYFUNCTION("""COMPUTED_VALUE"""),"BLACK")</f>
        <v>BLACK</v>
      </c>
      <c r="G7965" s="20" t="str">
        <f>IFERROR(__xludf.DUMMYFUNCTION("""COMPUTED_VALUE"""),"Uncle Sams Cider (5/13/2022)")</f>
        <v>Uncle Sams Cider (5/13/2022)</v>
      </c>
      <c r="H7965" s="19"/>
    </row>
    <row r="7966">
      <c r="A7966" s="9"/>
      <c r="B7966" s="15"/>
      <c r="C7966" s="9">
        <f>IFERROR(__xludf.DUMMYFUNCTION("""COMPUTED_VALUE"""),44713.5575878009)</f>
        <v>44713.55759</v>
      </c>
      <c r="D7966" s="15">
        <f>IFERROR(__xludf.DUMMYFUNCTION("""COMPUTED_VALUE"""),1.015)</f>
        <v>1.015</v>
      </c>
      <c r="E7966" s="16">
        <f>IFERROR(__xludf.DUMMYFUNCTION("""COMPUTED_VALUE"""),66.0)</f>
        <v>66</v>
      </c>
      <c r="F7966" s="19" t="str">
        <f>IFERROR(__xludf.DUMMYFUNCTION("""COMPUTED_VALUE"""),"BLACK")</f>
        <v>BLACK</v>
      </c>
      <c r="G7966" s="20" t="str">
        <f>IFERROR(__xludf.DUMMYFUNCTION("""COMPUTED_VALUE"""),"Uncle Sams Cider (5/13/2022)")</f>
        <v>Uncle Sams Cider (5/13/2022)</v>
      </c>
      <c r="H7966" s="19"/>
    </row>
    <row r="7967">
      <c r="A7967" s="9"/>
      <c r="B7967" s="15"/>
      <c r="C7967" s="9">
        <f>IFERROR(__xludf.DUMMYFUNCTION("""COMPUTED_VALUE"""),44713.5471315046)</f>
        <v>44713.54713</v>
      </c>
      <c r="D7967" s="15">
        <f>IFERROR(__xludf.DUMMYFUNCTION("""COMPUTED_VALUE"""),1.015)</f>
        <v>1.015</v>
      </c>
      <c r="E7967" s="16">
        <f>IFERROR(__xludf.DUMMYFUNCTION("""COMPUTED_VALUE"""),66.0)</f>
        <v>66</v>
      </c>
      <c r="F7967" s="19" t="str">
        <f>IFERROR(__xludf.DUMMYFUNCTION("""COMPUTED_VALUE"""),"BLACK")</f>
        <v>BLACK</v>
      </c>
      <c r="G7967" s="20" t="str">
        <f>IFERROR(__xludf.DUMMYFUNCTION("""COMPUTED_VALUE"""),"Uncle Sams Cider (5/13/2022)")</f>
        <v>Uncle Sams Cider (5/13/2022)</v>
      </c>
      <c r="H7967" s="19"/>
    </row>
    <row r="7968">
      <c r="A7968" s="9"/>
      <c r="B7968" s="15"/>
      <c r="C7968" s="9">
        <f>IFERROR(__xludf.DUMMYFUNCTION("""COMPUTED_VALUE"""),44713.5367091666)</f>
        <v>44713.53671</v>
      </c>
      <c r="D7968" s="15">
        <f>IFERROR(__xludf.DUMMYFUNCTION("""COMPUTED_VALUE"""),1.016)</f>
        <v>1.016</v>
      </c>
      <c r="E7968" s="16">
        <f>IFERROR(__xludf.DUMMYFUNCTION("""COMPUTED_VALUE"""),66.0)</f>
        <v>66</v>
      </c>
      <c r="F7968" s="19" t="str">
        <f>IFERROR(__xludf.DUMMYFUNCTION("""COMPUTED_VALUE"""),"BLACK")</f>
        <v>BLACK</v>
      </c>
      <c r="G7968" s="20" t="str">
        <f>IFERROR(__xludf.DUMMYFUNCTION("""COMPUTED_VALUE"""),"Uncle Sams Cider (5/13/2022)")</f>
        <v>Uncle Sams Cider (5/13/2022)</v>
      </c>
      <c r="H7968" s="19"/>
    </row>
    <row r="7969">
      <c r="A7969" s="9"/>
      <c r="B7969" s="15"/>
      <c r="C7969" s="9">
        <f>IFERROR(__xludf.DUMMYFUNCTION("""COMPUTED_VALUE"""),44713.5262868865)</f>
        <v>44713.52629</v>
      </c>
      <c r="D7969" s="15">
        <f>IFERROR(__xludf.DUMMYFUNCTION("""COMPUTED_VALUE"""),1.016)</f>
        <v>1.016</v>
      </c>
      <c r="E7969" s="16">
        <f>IFERROR(__xludf.DUMMYFUNCTION("""COMPUTED_VALUE"""),66.0)</f>
        <v>66</v>
      </c>
      <c r="F7969" s="19" t="str">
        <f>IFERROR(__xludf.DUMMYFUNCTION("""COMPUTED_VALUE"""),"BLACK")</f>
        <v>BLACK</v>
      </c>
      <c r="G7969" s="20" t="str">
        <f>IFERROR(__xludf.DUMMYFUNCTION("""COMPUTED_VALUE"""),"Uncle Sams Cider (5/13/2022)")</f>
        <v>Uncle Sams Cider (5/13/2022)</v>
      </c>
      <c r="H7969" s="19"/>
    </row>
    <row r="7970">
      <c r="A7970" s="9"/>
      <c r="B7970" s="15"/>
      <c r="C7970" s="9">
        <f>IFERROR(__xludf.DUMMYFUNCTION("""COMPUTED_VALUE"""),44713.5158656944)</f>
        <v>44713.51587</v>
      </c>
      <c r="D7970" s="15">
        <f>IFERROR(__xludf.DUMMYFUNCTION("""COMPUTED_VALUE"""),1.016)</f>
        <v>1.016</v>
      </c>
      <c r="E7970" s="16">
        <f>IFERROR(__xludf.DUMMYFUNCTION("""COMPUTED_VALUE"""),66.0)</f>
        <v>66</v>
      </c>
      <c r="F7970" s="19" t="str">
        <f>IFERROR(__xludf.DUMMYFUNCTION("""COMPUTED_VALUE"""),"BLACK")</f>
        <v>BLACK</v>
      </c>
      <c r="G7970" s="20" t="str">
        <f>IFERROR(__xludf.DUMMYFUNCTION("""COMPUTED_VALUE"""),"Uncle Sams Cider (5/13/2022)")</f>
        <v>Uncle Sams Cider (5/13/2022)</v>
      </c>
      <c r="H7970" s="19"/>
    </row>
    <row r="7971">
      <c r="A7971" s="9"/>
      <c r="B7971" s="15"/>
      <c r="C7971" s="9">
        <f>IFERROR(__xludf.DUMMYFUNCTION("""COMPUTED_VALUE"""),44713.5054332754)</f>
        <v>44713.50543</v>
      </c>
      <c r="D7971" s="15">
        <f>IFERROR(__xludf.DUMMYFUNCTION("""COMPUTED_VALUE"""),1.016)</f>
        <v>1.016</v>
      </c>
      <c r="E7971" s="16">
        <f>IFERROR(__xludf.DUMMYFUNCTION("""COMPUTED_VALUE"""),66.0)</f>
        <v>66</v>
      </c>
      <c r="F7971" s="19" t="str">
        <f>IFERROR(__xludf.DUMMYFUNCTION("""COMPUTED_VALUE"""),"BLACK")</f>
        <v>BLACK</v>
      </c>
      <c r="G7971" s="20" t="str">
        <f>IFERROR(__xludf.DUMMYFUNCTION("""COMPUTED_VALUE"""),"Uncle Sams Cider (5/13/2022)")</f>
        <v>Uncle Sams Cider (5/13/2022)</v>
      </c>
      <c r="H7971" s="19"/>
    </row>
    <row r="7972">
      <c r="A7972" s="9"/>
      <c r="B7972" s="15"/>
      <c r="C7972" s="9">
        <f>IFERROR(__xludf.DUMMYFUNCTION("""COMPUTED_VALUE"""),44713.4950131134)</f>
        <v>44713.49501</v>
      </c>
      <c r="D7972" s="15">
        <f>IFERROR(__xludf.DUMMYFUNCTION("""COMPUTED_VALUE"""),1.015)</f>
        <v>1.015</v>
      </c>
      <c r="E7972" s="16">
        <f>IFERROR(__xludf.DUMMYFUNCTION("""COMPUTED_VALUE"""),66.0)</f>
        <v>66</v>
      </c>
      <c r="F7972" s="19" t="str">
        <f>IFERROR(__xludf.DUMMYFUNCTION("""COMPUTED_VALUE"""),"BLACK")</f>
        <v>BLACK</v>
      </c>
      <c r="G7972" s="20" t="str">
        <f>IFERROR(__xludf.DUMMYFUNCTION("""COMPUTED_VALUE"""),"Uncle Sams Cider (5/13/2022)")</f>
        <v>Uncle Sams Cider (5/13/2022)</v>
      </c>
      <c r="H7972" s="19"/>
    </row>
    <row r="7973">
      <c r="A7973" s="9"/>
      <c r="B7973" s="15"/>
      <c r="C7973" s="9">
        <f>IFERROR(__xludf.DUMMYFUNCTION("""COMPUTED_VALUE"""),44713.4845924189)</f>
        <v>44713.48459</v>
      </c>
      <c r="D7973" s="15">
        <f>IFERROR(__xludf.DUMMYFUNCTION("""COMPUTED_VALUE"""),1.016)</f>
        <v>1.016</v>
      </c>
      <c r="E7973" s="16">
        <f>IFERROR(__xludf.DUMMYFUNCTION("""COMPUTED_VALUE"""),66.0)</f>
        <v>66</v>
      </c>
      <c r="F7973" s="19" t="str">
        <f>IFERROR(__xludf.DUMMYFUNCTION("""COMPUTED_VALUE"""),"BLACK")</f>
        <v>BLACK</v>
      </c>
      <c r="G7973" s="20" t="str">
        <f>IFERROR(__xludf.DUMMYFUNCTION("""COMPUTED_VALUE"""),"Uncle Sams Cider (5/13/2022)")</f>
        <v>Uncle Sams Cider (5/13/2022)</v>
      </c>
      <c r="H7973" s="19"/>
    </row>
    <row r="7974">
      <c r="A7974" s="9"/>
      <c r="B7974" s="15"/>
      <c r="C7974" s="9">
        <f>IFERROR(__xludf.DUMMYFUNCTION("""COMPUTED_VALUE"""),44713.4741706018)</f>
        <v>44713.47417</v>
      </c>
      <c r="D7974" s="15">
        <f>IFERROR(__xludf.DUMMYFUNCTION("""COMPUTED_VALUE"""),1.016)</f>
        <v>1.016</v>
      </c>
      <c r="E7974" s="16">
        <f>IFERROR(__xludf.DUMMYFUNCTION("""COMPUTED_VALUE"""),66.0)</f>
        <v>66</v>
      </c>
      <c r="F7974" s="19" t="str">
        <f>IFERROR(__xludf.DUMMYFUNCTION("""COMPUTED_VALUE"""),"BLACK")</f>
        <v>BLACK</v>
      </c>
      <c r="G7974" s="20" t="str">
        <f>IFERROR(__xludf.DUMMYFUNCTION("""COMPUTED_VALUE"""),"Uncle Sams Cider (5/13/2022)")</f>
        <v>Uncle Sams Cider (5/13/2022)</v>
      </c>
      <c r="H7974" s="19"/>
    </row>
    <row r="7975">
      <c r="A7975" s="9"/>
      <c r="B7975" s="15"/>
      <c r="C7975" s="9">
        <f>IFERROR(__xludf.DUMMYFUNCTION("""COMPUTED_VALUE"""),44713.4637252893)</f>
        <v>44713.46373</v>
      </c>
      <c r="D7975" s="15">
        <f>IFERROR(__xludf.DUMMYFUNCTION("""COMPUTED_VALUE"""),1.016)</f>
        <v>1.016</v>
      </c>
      <c r="E7975" s="16">
        <f>IFERROR(__xludf.DUMMYFUNCTION("""COMPUTED_VALUE"""),66.0)</f>
        <v>66</v>
      </c>
      <c r="F7975" s="19" t="str">
        <f>IFERROR(__xludf.DUMMYFUNCTION("""COMPUTED_VALUE"""),"BLACK")</f>
        <v>BLACK</v>
      </c>
      <c r="G7975" s="20" t="str">
        <f>IFERROR(__xludf.DUMMYFUNCTION("""COMPUTED_VALUE"""),"Uncle Sams Cider (5/13/2022)")</f>
        <v>Uncle Sams Cider (5/13/2022)</v>
      </c>
      <c r="H7975" s="19"/>
    </row>
    <row r="7976">
      <c r="A7976" s="9"/>
      <c r="B7976" s="15"/>
      <c r="C7976" s="9">
        <f>IFERROR(__xludf.DUMMYFUNCTION("""COMPUTED_VALUE"""),44713.453293287)</f>
        <v>44713.45329</v>
      </c>
      <c r="D7976" s="15">
        <f>IFERROR(__xludf.DUMMYFUNCTION("""COMPUTED_VALUE"""),1.016)</f>
        <v>1.016</v>
      </c>
      <c r="E7976" s="16">
        <f>IFERROR(__xludf.DUMMYFUNCTION("""COMPUTED_VALUE"""),66.0)</f>
        <v>66</v>
      </c>
      <c r="F7976" s="19" t="str">
        <f>IFERROR(__xludf.DUMMYFUNCTION("""COMPUTED_VALUE"""),"BLACK")</f>
        <v>BLACK</v>
      </c>
      <c r="G7976" s="20" t="str">
        <f>IFERROR(__xludf.DUMMYFUNCTION("""COMPUTED_VALUE"""),"Uncle Sams Cider (5/13/2022)")</f>
        <v>Uncle Sams Cider (5/13/2022)</v>
      </c>
      <c r="H7976" s="19"/>
    </row>
    <row r="7977">
      <c r="A7977" s="9"/>
      <c r="B7977" s="15"/>
      <c r="C7977" s="9">
        <f>IFERROR(__xludf.DUMMYFUNCTION("""COMPUTED_VALUE"""),44713.4428596875)</f>
        <v>44713.44286</v>
      </c>
      <c r="D7977" s="15">
        <f>IFERROR(__xludf.DUMMYFUNCTION("""COMPUTED_VALUE"""),1.016)</f>
        <v>1.016</v>
      </c>
      <c r="E7977" s="16">
        <f>IFERROR(__xludf.DUMMYFUNCTION("""COMPUTED_VALUE"""),66.0)</f>
        <v>66</v>
      </c>
      <c r="F7977" s="19" t="str">
        <f>IFERROR(__xludf.DUMMYFUNCTION("""COMPUTED_VALUE"""),"BLACK")</f>
        <v>BLACK</v>
      </c>
      <c r="G7977" s="20" t="str">
        <f>IFERROR(__xludf.DUMMYFUNCTION("""COMPUTED_VALUE"""),"Uncle Sams Cider (5/13/2022)")</f>
        <v>Uncle Sams Cider (5/13/2022)</v>
      </c>
      <c r="H7977" s="19"/>
    </row>
    <row r="7978">
      <c r="A7978" s="9"/>
      <c r="B7978" s="15"/>
      <c r="C7978" s="9">
        <f>IFERROR(__xludf.DUMMYFUNCTION("""COMPUTED_VALUE"""),44713.4324383796)</f>
        <v>44713.43244</v>
      </c>
      <c r="D7978" s="15">
        <f>IFERROR(__xludf.DUMMYFUNCTION("""COMPUTED_VALUE"""),1.016)</f>
        <v>1.016</v>
      </c>
      <c r="E7978" s="16">
        <f>IFERROR(__xludf.DUMMYFUNCTION("""COMPUTED_VALUE"""),66.0)</f>
        <v>66</v>
      </c>
      <c r="F7978" s="19" t="str">
        <f>IFERROR(__xludf.DUMMYFUNCTION("""COMPUTED_VALUE"""),"BLACK")</f>
        <v>BLACK</v>
      </c>
      <c r="G7978" s="20" t="str">
        <f>IFERROR(__xludf.DUMMYFUNCTION("""COMPUTED_VALUE"""),"Uncle Sams Cider (5/13/2022)")</f>
        <v>Uncle Sams Cider (5/13/2022)</v>
      </c>
      <c r="H7978" s="19"/>
    </row>
    <row r="7979">
      <c r="A7979" s="9"/>
      <c r="B7979" s="15"/>
      <c r="C7979" s="9">
        <f>IFERROR(__xludf.DUMMYFUNCTION("""COMPUTED_VALUE"""),44713.4220052083)</f>
        <v>44713.42201</v>
      </c>
      <c r="D7979" s="15">
        <f>IFERROR(__xludf.DUMMYFUNCTION("""COMPUTED_VALUE"""),1.016)</f>
        <v>1.016</v>
      </c>
      <c r="E7979" s="16">
        <f>IFERROR(__xludf.DUMMYFUNCTION("""COMPUTED_VALUE"""),66.0)</f>
        <v>66</v>
      </c>
      <c r="F7979" s="19" t="str">
        <f>IFERROR(__xludf.DUMMYFUNCTION("""COMPUTED_VALUE"""),"BLACK")</f>
        <v>BLACK</v>
      </c>
      <c r="G7979" s="20" t="str">
        <f>IFERROR(__xludf.DUMMYFUNCTION("""COMPUTED_VALUE"""),"Uncle Sams Cider (5/13/2022)")</f>
        <v>Uncle Sams Cider (5/13/2022)</v>
      </c>
      <c r="H7979" s="19"/>
    </row>
    <row r="7980">
      <c r="A7980" s="9"/>
      <c r="B7980" s="15"/>
      <c r="C7980" s="9">
        <f>IFERROR(__xludf.DUMMYFUNCTION("""COMPUTED_VALUE"""),44713.4115837962)</f>
        <v>44713.41158</v>
      </c>
      <c r="D7980" s="15">
        <f>IFERROR(__xludf.DUMMYFUNCTION("""COMPUTED_VALUE"""),1.016)</f>
        <v>1.016</v>
      </c>
      <c r="E7980" s="16">
        <f>IFERROR(__xludf.DUMMYFUNCTION("""COMPUTED_VALUE"""),66.0)</f>
        <v>66</v>
      </c>
      <c r="F7980" s="19" t="str">
        <f>IFERROR(__xludf.DUMMYFUNCTION("""COMPUTED_VALUE"""),"BLACK")</f>
        <v>BLACK</v>
      </c>
      <c r="G7980" s="20" t="str">
        <f>IFERROR(__xludf.DUMMYFUNCTION("""COMPUTED_VALUE"""),"Uncle Sams Cider (5/13/2022)")</f>
        <v>Uncle Sams Cider (5/13/2022)</v>
      </c>
      <c r="H7980" s="19"/>
    </row>
    <row r="7981">
      <c r="A7981" s="9"/>
      <c r="B7981" s="15"/>
      <c r="C7981" s="9">
        <f>IFERROR(__xludf.DUMMYFUNCTION("""COMPUTED_VALUE"""),44713.4011613425)</f>
        <v>44713.40116</v>
      </c>
      <c r="D7981" s="15">
        <f>IFERROR(__xludf.DUMMYFUNCTION("""COMPUTED_VALUE"""),1.016)</f>
        <v>1.016</v>
      </c>
      <c r="E7981" s="16">
        <f>IFERROR(__xludf.DUMMYFUNCTION("""COMPUTED_VALUE"""),66.0)</f>
        <v>66</v>
      </c>
      <c r="F7981" s="19" t="str">
        <f>IFERROR(__xludf.DUMMYFUNCTION("""COMPUTED_VALUE"""),"BLACK")</f>
        <v>BLACK</v>
      </c>
      <c r="G7981" s="20" t="str">
        <f>IFERROR(__xludf.DUMMYFUNCTION("""COMPUTED_VALUE"""),"Uncle Sams Cider (5/13/2022)")</f>
        <v>Uncle Sams Cider (5/13/2022)</v>
      </c>
      <c r="H7981" s="19"/>
    </row>
    <row r="7982">
      <c r="A7982" s="9"/>
      <c r="B7982" s="15"/>
      <c r="C7982" s="9">
        <f>IFERROR(__xludf.DUMMYFUNCTION("""COMPUTED_VALUE"""),44713.3907400115)</f>
        <v>44713.39074</v>
      </c>
      <c r="D7982" s="15">
        <f>IFERROR(__xludf.DUMMYFUNCTION("""COMPUTED_VALUE"""),1.016)</f>
        <v>1.016</v>
      </c>
      <c r="E7982" s="16">
        <f>IFERROR(__xludf.DUMMYFUNCTION("""COMPUTED_VALUE"""),66.0)</f>
        <v>66</v>
      </c>
      <c r="F7982" s="19" t="str">
        <f>IFERROR(__xludf.DUMMYFUNCTION("""COMPUTED_VALUE"""),"BLACK")</f>
        <v>BLACK</v>
      </c>
      <c r="G7982" s="20" t="str">
        <f>IFERROR(__xludf.DUMMYFUNCTION("""COMPUTED_VALUE"""),"Uncle Sams Cider (5/13/2022)")</f>
        <v>Uncle Sams Cider (5/13/2022)</v>
      </c>
      <c r="H7982" s="19"/>
    </row>
    <row r="7983">
      <c r="A7983" s="9"/>
      <c r="B7983" s="15"/>
      <c r="C7983" s="9">
        <f>IFERROR(__xludf.DUMMYFUNCTION("""COMPUTED_VALUE"""),44713.3803068171)</f>
        <v>44713.38031</v>
      </c>
      <c r="D7983" s="15">
        <f>IFERROR(__xludf.DUMMYFUNCTION("""COMPUTED_VALUE"""),1.016)</f>
        <v>1.016</v>
      </c>
      <c r="E7983" s="16">
        <f>IFERROR(__xludf.DUMMYFUNCTION("""COMPUTED_VALUE"""),66.0)</f>
        <v>66</v>
      </c>
      <c r="F7983" s="19" t="str">
        <f>IFERROR(__xludf.DUMMYFUNCTION("""COMPUTED_VALUE"""),"BLACK")</f>
        <v>BLACK</v>
      </c>
      <c r="G7983" s="20" t="str">
        <f>IFERROR(__xludf.DUMMYFUNCTION("""COMPUTED_VALUE"""),"Uncle Sams Cider (5/13/2022)")</f>
        <v>Uncle Sams Cider (5/13/2022)</v>
      </c>
      <c r="H7983" s="19"/>
    </row>
    <row r="7984">
      <c r="A7984" s="9"/>
      <c r="B7984" s="15"/>
      <c r="C7984" s="9">
        <f>IFERROR(__xludf.DUMMYFUNCTION("""COMPUTED_VALUE"""),44713.3698856481)</f>
        <v>44713.36989</v>
      </c>
      <c r="D7984" s="15">
        <f>IFERROR(__xludf.DUMMYFUNCTION("""COMPUTED_VALUE"""),1.016)</f>
        <v>1.016</v>
      </c>
      <c r="E7984" s="16">
        <f>IFERROR(__xludf.DUMMYFUNCTION("""COMPUTED_VALUE"""),66.0)</f>
        <v>66</v>
      </c>
      <c r="F7984" s="19" t="str">
        <f>IFERROR(__xludf.DUMMYFUNCTION("""COMPUTED_VALUE"""),"BLACK")</f>
        <v>BLACK</v>
      </c>
      <c r="G7984" s="20" t="str">
        <f>IFERROR(__xludf.DUMMYFUNCTION("""COMPUTED_VALUE"""),"Uncle Sams Cider (5/13/2022)")</f>
        <v>Uncle Sams Cider (5/13/2022)</v>
      </c>
      <c r="H7984" s="19"/>
    </row>
    <row r="7985">
      <c r="A7985" s="9"/>
      <c r="B7985" s="15"/>
      <c r="C7985" s="9">
        <f>IFERROR(__xludf.DUMMYFUNCTION("""COMPUTED_VALUE"""),44713.3594540393)</f>
        <v>44713.35945</v>
      </c>
      <c r="D7985" s="15">
        <f>IFERROR(__xludf.DUMMYFUNCTION("""COMPUTED_VALUE"""),1.016)</f>
        <v>1.016</v>
      </c>
      <c r="E7985" s="16">
        <f>IFERROR(__xludf.DUMMYFUNCTION("""COMPUTED_VALUE"""),66.0)</f>
        <v>66</v>
      </c>
      <c r="F7985" s="19" t="str">
        <f>IFERROR(__xludf.DUMMYFUNCTION("""COMPUTED_VALUE"""),"BLACK")</f>
        <v>BLACK</v>
      </c>
      <c r="G7985" s="20" t="str">
        <f>IFERROR(__xludf.DUMMYFUNCTION("""COMPUTED_VALUE"""),"Uncle Sams Cider (5/13/2022)")</f>
        <v>Uncle Sams Cider (5/13/2022)</v>
      </c>
      <c r="H7985" s="19"/>
    </row>
    <row r="7986">
      <c r="A7986" s="9"/>
      <c r="B7986" s="15"/>
      <c r="C7986" s="9">
        <f>IFERROR(__xludf.DUMMYFUNCTION("""COMPUTED_VALUE"""),44713.3490198379)</f>
        <v>44713.34902</v>
      </c>
      <c r="D7986" s="15">
        <f>IFERROR(__xludf.DUMMYFUNCTION("""COMPUTED_VALUE"""),1.016)</f>
        <v>1.016</v>
      </c>
      <c r="E7986" s="16">
        <f>IFERROR(__xludf.DUMMYFUNCTION("""COMPUTED_VALUE"""),66.0)</f>
        <v>66</v>
      </c>
      <c r="F7986" s="19" t="str">
        <f>IFERROR(__xludf.DUMMYFUNCTION("""COMPUTED_VALUE"""),"BLACK")</f>
        <v>BLACK</v>
      </c>
      <c r="G7986" s="20" t="str">
        <f>IFERROR(__xludf.DUMMYFUNCTION("""COMPUTED_VALUE"""),"Uncle Sams Cider (5/13/2022)")</f>
        <v>Uncle Sams Cider (5/13/2022)</v>
      </c>
      <c r="H7986" s="19"/>
    </row>
    <row r="7987">
      <c r="A7987" s="9"/>
      <c r="B7987" s="15"/>
      <c r="C7987" s="9">
        <f>IFERROR(__xludf.DUMMYFUNCTION("""COMPUTED_VALUE"""),44713.3385992939)</f>
        <v>44713.3386</v>
      </c>
      <c r="D7987" s="15">
        <f>IFERROR(__xludf.DUMMYFUNCTION("""COMPUTED_VALUE"""),1.016)</f>
        <v>1.016</v>
      </c>
      <c r="E7987" s="16">
        <f>IFERROR(__xludf.DUMMYFUNCTION("""COMPUTED_VALUE"""),65.0)</f>
        <v>65</v>
      </c>
      <c r="F7987" s="19" t="str">
        <f>IFERROR(__xludf.DUMMYFUNCTION("""COMPUTED_VALUE"""),"BLACK")</f>
        <v>BLACK</v>
      </c>
      <c r="G7987" s="20" t="str">
        <f>IFERROR(__xludf.DUMMYFUNCTION("""COMPUTED_VALUE"""),"Uncle Sams Cider (5/13/2022)")</f>
        <v>Uncle Sams Cider (5/13/2022)</v>
      </c>
      <c r="H7987" s="19"/>
    </row>
    <row r="7988">
      <c r="A7988" s="9"/>
      <c r="B7988" s="15"/>
      <c r="C7988" s="9">
        <f>IFERROR(__xludf.DUMMYFUNCTION("""COMPUTED_VALUE"""),44713.3281667245)</f>
        <v>44713.32817</v>
      </c>
      <c r="D7988" s="15">
        <f>IFERROR(__xludf.DUMMYFUNCTION("""COMPUTED_VALUE"""),1.016)</f>
        <v>1.016</v>
      </c>
      <c r="E7988" s="16">
        <f>IFERROR(__xludf.DUMMYFUNCTION("""COMPUTED_VALUE"""),66.0)</f>
        <v>66</v>
      </c>
      <c r="F7988" s="19" t="str">
        <f>IFERROR(__xludf.DUMMYFUNCTION("""COMPUTED_VALUE"""),"BLACK")</f>
        <v>BLACK</v>
      </c>
      <c r="G7988" s="20" t="str">
        <f>IFERROR(__xludf.DUMMYFUNCTION("""COMPUTED_VALUE"""),"Uncle Sams Cider (5/13/2022)")</f>
        <v>Uncle Sams Cider (5/13/2022)</v>
      </c>
      <c r="H7988" s="19"/>
    </row>
    <row r="7989">
      <c r="A7989" s="9"/>
      <c r="B7989" s="15"/>
      <c r="C7989" s="9">
        <f>IFERROR(__xludf.DUMMYFUNCTION("""COMPUTED_VALUE"""),44713.3177455439)</f>
        <v>44713.31775</v>
      </c>
      <c r="D7989" s="15">
        <f>IFERROR(__xludf.DUMMYFUNCTION("""COMPUTED_VALUE"""),1.016)</f>
        <v>1.016</v>
      </c>
      <c r="E7989" s="16">
        <f>IFERROR(__xludf.DUMMYFUNCTION("""COMPUTED_VALUE"""),66.0)</f>
        <v>66</v>
      </c>
      <c r="F7989" s="19" t="str">
        <f>IFERROR(__xludf.DUMMYFUNCTION("""COMPUTED_VALUE"""),"BLACK")</f>
        <v>BLACK</v>
      </c>
      <c r="G7989" s="20" t="str">
        <f>IFERROR(__xludf.DUMMYFUNCTION("""COMPUTED_VALUE"""),"Uncle Sams Cider (5/13/2022)")</f>
        <v>Uncle Sams Cider (5/13/2022)</v>
      </c>
      <c r="H7989" s="19"/>
    </row>
    <row r="7990">
      <c r="A7990" s="9"/>
      <c r="B7990" s="15"/>
      <c r="C7990" s="9">
        <f>IFERROR(__xludf.DUMMYFUNCTION("""COMPUTED_VALUE"""),44713.307322905)</f>
        <v>44713.30732</v>
      </c>
      <c r="D7990" s="15">
        <f>IFERROR(__xludf.DUMMYFUNCTION("""COMPUTED_VALUE"""),1.016)</f>
        <v>1.016</v>
      </c>
      <c r="E7990" s="16">
        <f>IFERROR(__xludf.DUMMYFUNCTION("""COMPUTED_VALUE"""),66.0)</f>
        <v>66</v>
      </c>
      <c r="F7990" s="19" t="str">
        <f>IFERROR(__xludf.DUMMYFUNCTION("""COMPUTED_VALUE"""),"BLACK")</f>
        <v>BLACK</v>
      </c>
      <c r="G7990" s="20" t="str">
        <f>IFERROR(__xludf.DUMMYFUNCTION("""COMPUTED_VALUE"""),"Uncle Sams Cider (5/13/2022)")</f>
        <v>Uncle Sams Cider (5/13/2022)</v>
      </c>
      <c r="H7990" s="19"/>
    </row>
    <row r="7991">
      <c r="A7991" s="9"/>
      <c r="B7991" s="15"/>
      <c r="C7991" s="9">
        <f>IFERROR(__xludf.DUMMYFUNCTION("""COMPUTED_VALUE"""),44713.2969023842)</f>
        <v>44713.2969</v>
      </c>
      <c r="D7991" s="15">
        <f>IFERROR(__xludf.DUMMYFUNCTION("""COMPUTED_VALUE"""),1.016)</f>
        <v>1.016</v>
      </c>
      <c r="E7991" s="16">
        <f>IFERROR(__xludf.DUMMYFUNCTION("""COMPUTED_VALUE"""),66.0)</f>
        <v>66</v>
      </c>
      <c r="F7991" s="19" t="str">
        <f>IFERROR(__xludf.DUMMYFUNCTION("""COMPUTED_VALUE"""),"BLACK")</f>
        <v>BLACK</v>
      </c>
      <c r="G7991" s="20" t="str">
        <f>IFERROR(__xludf.DUMMYFUNCTION("""COMPUTED_VALUE"""),"Uncle Sams Cider (5/13/2022)")</f>
        <v>Uncle Sams Cider (5/13/2022)</v>
      </c>
      <c r="H7991" s="19"/>
    </row>
    <row r="7992">
      <c r="A7992" s="9"/>
      <c r="B7992" s="15"/>
      <c r="C7992" s="9">
        <f>IFERROR(__xludf.DUMMYFUNCTION("""COMPUTED_VALUE"""),44713.2864818518)</f>
        <v>44713.28648</v>
      </c>
      <c r="D7992" s="15">
        <f>IFERROR(__xludf.DUMMYFUNCTION("""COMPUTED_VALUE"""),1.016)</f>
        <v>1.016</v>
      </c>
      <c r="E7992" s="16">
        <f>IFERROR(__xludf.DUMMYFUNCTION("""COMPUTED_VALUE"""),66.0)</f>
        <v>66</v>
      </c>
      <c r="F7992" s="19" t="str">
        <f>IFERROR(__xludf.DUMMYFUNCTION("""COMPUTED_VALUE"""),"BLACK")</f>
        <v>BLACK</v>
      </c>
      <c r="G7992" s="20" t="str">
        <f>IFERROR(__xludf.DUMMYFUNCTION("""COMPUTED_VALUE"""),"Uncle Sams Cider (5/13/2022)")</f>
        <v>Uncle Sams Cider (5/13/2022)</v>
      </c>
      <c r="H7992" s="19"/>
    </row>
    <row r="7993">
      <c r="A7993" s="9"/>
      <c r="B7993" s="15"/>
      <c r="C7993" s="9">
        <f>IFERROR(__xludf.DUMMYFUNCTION("""COMPUTED_VALUE"""),44713.2760590046)</f>
        <v>44713.27606</v>
      </c>
      <c r="D7993" s="15">
        <f>IFERROR(__xludf.DUMMYFUNCTION("""COMPUTED_VALUE"""),1.016)</f>
        <v>1.016</v>
      </c>
      <c r="E7993" s="16">
        <f>IFERROR(__xludf.DUMMYFUNCTION("""COMPUTED_VALUE"""),66.0)</f>
        <v>66</v>
      </c>
      <c r="F7993" s="19" t="str">
        <f>IFERROR(__xludf.DUMMYFUNCTION("""COMPUTED_VALUE"""),"BLACK")</f>
        <v>BLACK</v>
      </c>
      <c r="G7993" s="20" t="str">
        <f>IFERROR(__xludf.DUMMYFUNCTION("""COMPUTED_VALUE"""),"Uncle Sams Cider (5/13/2022)")</f>
        <v>Uncle Sams Cider (5/13/2022)</v>
      </c>
      <c r="H7993" s="19"/>
    </row>
    <row r="7994">
      <c r="A7994" s="9"/>
      <c r="B7994" s="15"/>
      <c r="C7994" s="9">
        <f>IFERROR(__xludf.DUMMYFUNCTION("""COMPUTED_VALUE"""),44713.2656370138)</f>
        <v>44713.26564</v>
      </c>
      <c r="D7994" s="15">
        <f>IFERROR(__xludf.DUMMYFUNCTION("""COMPUTED_VALUE"""),1.016)</f>
        <v>1.016</v>
      </c>
      <c r="E7994" s="16">
        <f>IFERROR(__xludf.DUMMYFUNCTION("""COMPUTED_VALUE"""),66.0)</f>
        <v>66</v>
      </c>
      <c r="F7994" s="19" t="str">
        <f>IFERROR(__xludf.DUMMYFUNCTION("""COMPUTED_VALUE"""),"BLACK")</f>
        <v>BLACK</v>
      </c>
      <c r="G7994" s="20" t="str">
        <f>IFERROR(__xludf.DUMMYFUNCTION("""COMPUTED_VALUE"""),"Uncle Sams Cider (5/13/2022)")</f>
        <v>Uncle Sams Cider (5/13/2022)</v>
      </c>
      <c r="H7994" s="19"/>
    </row>
    <row r="7995">
      <c r="A7995" s="9"/>
      <c r="B7995" s="15"/>
      <c r="C7995" s="9">
        <f>IFERROR(__xludf.DUMMYFUNCTION("""COMPUTED_VALUE"""),44713.255216412)</f>
        <v>44713.25522</v>
      </c>
      <c r="D7995" s="15">
        <f>IFERROR(__xludf.DUMMYFUNCTION("""COMPUTED_VALUE"""),1.016)</f>
        <v>1.016</v>
      </c>
      <c r="E7995" s="16">
        <f>IFERROR(__xludf.DUMMYFUNCTION("""COMPUTED_VALUE"""),66.0)</f>
        <v>66</v>
      </c>
      <c r="F7995" s="19" t="str">
        <f>IFERROR(__xludf.DUMMYFUNCTION("""COMPUTED_VALUE"""),"BLACK")</f>
        <v>BLACK</v>
      </c>
      <c r="G7995" s="20" t="str">
        <f>IFERROR(__xludf.DUMMYFUNCTION("""COMPUTED_VALUE"""),"Uncle Sams Cider (5/13/2022)")</f>
        <v>Uncle Sams Cider (5/13/2022)</v>
      </c>
      <c r="H7995" s="19"/>
    </row>
    <row r="7996">
      <c r="A7996" s="9"/>
      <c r="B7996" s="15"/>
      <c r="C7996" s="9">
        <f>IFERROR(__xludf.DUMMYFUNCTION("""COMPUTED_VALUE"""),44713.2447957638)</f>
        <v>44713.2448</v>
      </c>
      <c r="D7996" s="15">
        <f>IFERROR(__xludf.DUMMYFUNCTION("""COMPUTED_VALUE"""),1.016)</f>
        <v>1.016</v>
      </c>
      <c r="E7996" s="16">
        <f>IFERROR(__xludf.DUMMYFUNCTION("""COMPUTED_VALUE"""),66.0)</f>
        <v>66</v>
      </c>
      <c r="F7996" s="19" t="str">
        <f>IFERROR(__xludf.DUMMYFUNCTION("""COMPUTED_VALUE"""),"BLACK")</f>
        <v>BLACK</v>
      </c>
      <c r="G7996" s="20" t="str">
        <f>IFERROR(__xludf.DUMMYFUNCTION("""COMPUTED_VALUE"""),"Uncle Sams Cider (5/13/2022)")</f>
        <v>Uncle Sams Cider (5/13/2022)</v>
      </c>
      <c r="H7996" s="19"/>
    </row>
    <row r="7997">
      <c r="A7997" s="9"/>
      <c r="B7997" s="15"/>
      <c r="C7997" s="9">
        <f>IFERROR(__xludf.DUMMYFUNCTION("""COMPUTED_VALUE"""),44713.2343725694)</f>
        <v>44713.23437</v>
      </c>
      <c r="D7997" s="15">
        <f>IFERROR(__xludf.DUMMYFUNCTION("""COMPUTED_VALUE"""),1.016)</f>
        <v>1.016</v>
      </c>
      <c r="E7997" s="16">
        <f>IFERROR(__xludf.DUMMYFUNCTION("""COMPUTED_VALUE"""),66.0)</f>
        <v>66</v>
      </c>
      <c r="F7997" s="19" t="str">
        <f>IFERROR(__xludf.DUMMYFUNCTION("""COMPUTED_VALUE"""),"BLACK")</f>
        <v>BLACK</v>
      </c>
      <c r="G7997" s="20" t="str">
        <f>IFERROR(__xludf.DUMMYFUNCTION("""COMPUTED_VALUE"""),"Uncle Sams Cider (5/13/2022)")</f>
        <v>Uncle Sams Cider (5/13/2022)</v>
      </c>
      <c r="H7997" s="19"/>
    </row>
    <row r="7998">
      <c r="A7998" s="9"/>
      <c r="B7998" s="15"/>
      <c r="C7998" s="9">
        <f>IFERROR(__xludf.DUMMYFUNCTION("""COMPUTED_VALUE"""),44713.2239498032)</f>
        <v>44713.22395</v>
      </c>
      <c r="D7998" s="15">
        <f>IFERROR(__xludf.DUMMYFUNCTION("""COMPUTED_VALUE"""),1.016)</f>
        <v>1.016</v>
      </c>
      <c r="E7998" s="16">
        <f>IFERROR(__xludf.DUMMYFUNCTION("""COMPUTED_VALUE"""),66.0)</f>
        <v>66</v>
      </c>
      <c r="F7998" s="19" t="str">
        <f>IFERROR(__xludf.DUMMYFUNCTION("""COMPUTED_VALUE"""),"BLACK")</f>
        <v>BLACK</v>
      </c>
      <c r="G7998" s="20" t="str">
        <f>IFERROR(__xludf.DUMMYFUNCTION("""COMPUTED_VALUE"""),"Uncle Sams Cider (5/13/2022)")</f>
        <v>Uncle Sams Cider (5/13/2022)</v>
      </c>
      <c r="H7998" s="19"/>
    </row>
    <row r="7999">
      <c r="A7999" s="9"/>
      <c r="B7999" s="15"/>
      <c r="C7999" s="9">
        <f>IFERROR(__xludf.DUMMYFUNCTION("""COMPUTED_VALUE"""),44713.2135298495)</f>
        <v>44713.21353</v>
      </c>
      <c r="D7999" s="15">
        <f>IFERROR(__xludf.DUMMYFUNCTION("""COMPUTED_VALUE"""),1.016)</f>
        <v>1.016</v>
      </c>
      <c r="E7999" s="16">
        <f>IFERROR(__xludf.DUMMYFUNCTION("""COMPUTED_VALUE"""),66.0)</f>
        <v>66</v>
      </c>
      <c r="F7999" s="19" t="str">
        <f>IFERROR(__xludf.DUMMYFUNCTION("""COMPUTED_VALUE"""),"BLACK")</f>
        <v>BLACK</v>
      </c>
      <c r="G7999" s="20" t="str">
        <f>IFERROR(__xludf.DUMMYFUNCTION("""COMPUTED_VALUE"""),"Uncle Sams Cider (5/13/2022)")</f>
        <v>Uncle Sams Cider (5/13/2022)</v>
      </c>
      <c r="H7999" s="19"/>
    </row>
    <row r="8000">
      <c r="A8000" s="9"/>
      <c r="B8000" s="15"/>
      <c r="C8000" s="9">
        <f>IFERROR(__xludf.DUMMYFUNCTION("""COMPUTED_VALUE"""),44713.203107662)</f>
        <v>44713.20311</v>
      </c>
      <c r="D8000" s="15">
        <f>IFERROR(__xludf.DUMMYFUNCTION("""COMPUTED_VALUE"""),1.016)</f>
        <v>1.016</v>
      </c>
      <c r="E8000" s="16">
        <f>IFERROR(__xludf.DUMMYFUNCTION("""COMPUTED_VALUE"""),66.0)</f>
        <v>66</v>
      </c>
      <c r="F8000" s="19" t="str">
        <f>IFERROR(__xludf.DUMMYFUNCTION("""COMPUTED_VALUE"""),"BLACK")</f>
        <v>BLACK</v>
      </c>
      <c r="G8000" s="20" t="str">
        <f>IFERROR(__xludf.DUMMYFUNCTION("""COMPUTED_VALUE"""),"Uncle Sams Cider (5/13/2022)")</f>
        <v>Uncle Sams Cider (5/13/2022)</v>
      </c>
      <c r="H8000" s="19"/>
    </row>
    <row r="8001">
      <c r="A8001" s="9"/>
      <c r="B8001" s="15"/>
      <c r="C8001" s="9">
        <f>IFERROR(__xludf.DUMMYFUNCTION("""COMPUTED_VALUE"""),44713.1926622569)</f>
        <v>44713.19266</v>
      </c>
      <c r="D8001" s="15">
        <f>IFERROR(__xludf.DUMMYFUNCTION("""COMPUTED_VALUE"""),1.016)</f>
        <v>1.016</v>
      </c>
      <c r="E8001" s="16">
        <f>IFERROR(__xludf.DUMMYFUNCTION("""COMPUTED_VALUE"""),66.0)</f>
        <v>66</v>
      </c>
      <c r="F8001" s="19" t="str">
        <f>IFERROR(__xludf.DUMMYFUNCTION("""COMPUTED_VALUE"""),"BLACK")</f>
        <v>BLACK</v>
      </c>
      <c r="G8001" s="20" t="str">
        <f>IFERROR(__xludf.DUMMYFUNCTION("""COMPUTED_VALUE"""),"Uncle Sams Cider (5/13/2022)")</f>
        <v>Uncle Sams Cider (5/13/2022)</v>
      </c>
      <c r="H8001" s="19"/>
    </row>
    <row r="8002">
      <c r="A8002" s="9"/>
      <c r="B8002" s="15"/>
      <c r="C8002" s="9">
        <f>IFERROR(__xludf.DUMMYFUNCTION("""COMPUTED_VALUE"""),44713.1822420023)</f>
        <v>44713.18224</v>
      </c>
      <c r="D8002" s="15">
        <f>IFERROR(__xludf.DUMMYFUNCTION("""COMPUTED_VALUE"""),1.016)</f>
        <v>1.016</v>
      </c>
      <c r="E8002" s="16">
        <f>IFERROR(__xludf.DUMMYFUNCTION("""COMPUTED_VALUE"""),66.0)</f>
        <v>66</v>
      </c>
      <c r="F8002" s="19" t="str">
        <f>IFERROR(__xludf.DUMMYFUNCTION("""COMPUTED_VALUE"""),"BLACK")</f>
        <v>BLACK</v>
      </c>
      <c r="G8002" s="20" t="str">
        <f>IFERROR(__xludf.DUMMYFUNCTION("""COMPUTED_VALUE"""),"Uncle Sams Cider (5/13/2022)")</f>
        <v>Uncle Sams Cider (5/13/2022)</v>
      </c>
      <c r="H8002" s="19"/>
    </row>
    <row r="8003">
      <c r="A8003" s="9"/>
      <c r="B8003" s="15"/>
      <c r="C8003" s="9">
        <f>IFERROR(__xludf.DUMMYFUNCTION("""COMPUTED_VALUE"""),44713.1718207175)</f>
        <v>44713.17182</v>
      </c>
      <c r="D8003" s="15">
        <f>IFERROR(__xludf.DUMMYFUNCTION("""COMPUTED_VALUE"""),1.016)</f>
        <v>1.016</v>
      </c>
      <c r="E8003" s="16">
        <f>IFERROR(__xludf.DUMMYFUNCTION("""COMPUTED_VALUE"""),66.0)</f>
        <v>66</v>
      </c>
      <c r="F8003" s="19" t="str">
        <f>IFERROR(__xludf.DUMMYFUNCTION("""COMPUTED_VALUE"""),"BLACK")</f>
        <v>BLACK</v>
      </c>
      <c r="G8003" s="20" t="str">
        <f>IFERROR(__xludf.DUMMYFUNCTION("""COMPUTED_VALUE"""),"Uncle Sams Cider (5/13/2022)")</f>
        <v>Uncle Sams Cider (5/13/2022)</v>
      </c>
      <c r="H8003" s="19"/>
    </row>
    <row r="8004">
      <c r="A8004" s="9"/>
      <c r="B8004" s="15"/>
      <c r="C8004" s="9">
        <f>IFERROR(__xludf.DUMMYFUNCTION("""COMPUTED_VALUE"""),44713.1613759027)</f>
        <v>44713.16138</v>
      </c>
      <c r="D8004" s="15">
        <f>IFERROR(__xludf.DUMMYFUNCTION("""COMPUTED_VALUE"""),1.016)</f>
        <v>1.016</v>
      </c>
      <c r="E8004" s="16">
        <f>IFERROR(__xludf.DUMMYFUNCTION("""COMPUTED_VALUE"""),66.0)</f>
        <v>66</v>
      </c>
      <c r="F8004" s="19" t="str">
        <f>IFERROR(__xludf.DUMMYFUNCTION("""COMPUTED_VALUE"""),"BLACK")</f>
        <v>BLACK</v>
      </c>
      <c r="G8004" s="20" t="str">
        <f>IFERROR(__xludf.DUMMYFUNCTION("""COMPUTED_VALUE"""),"Uncle Sams Cider (5/13/2022)")</f>
        <v>Uncle Sams Cider (5/13/2022)</v>
      </c>
      <c r="H8004" s="19"/>
    </row>
    <row r="8005">
      <c r="A8005" s="9"/>
      <c r="B8005" s="15"/>
      <c r="C8005" s="9">
        <f>IFERROR(__xludf.DUMMYFUNCTION("""COMPUTED_VALUE"""),44713.1509561458)</f>
        <v>44713.15096</v>
      </c>
      <c r="D8005" s="15">
        <f>IFERROR(__xludf.DUMMYFUNCTION("""COMPUTED_VALUE"""),1.016)</f>
        <v>1.016</v>
      </c>
      <c r="E8005" s="16">
        <f>IFERROR(__xludf.DUMMYFUNCTION("""COMPUTED_VALUE"""),66.0)</f>
        <v>66</v>
      </c>
      <c r="F8005" s="19" t="str">
        <f>IFERROR(__xludf.DUMMYFUNCTION("""COMPUTED_VALUE"""),"BLACK")</f>
        <v>BLACK</v>
      </c>
      <c r="G8005" s="20" t="str">
        <f>IFERROR(__xludf.DUMMYFUNCTION("""COMPUTED_VALUE"""),"Uncle Sams Cider (5/13/2022)")</f>
        <v>Uncle Sams Cider (5/13/2022)</v>
      </c>
      <c r="H8005" s="19"/>
    </row>
    <row r="8006">
      <c r="A8006" s="9"/>
      <c r="B8006" s="15"/>
      <c r="C8006" s="9">
        <f>IFERROR(__xludf.DUMMYFUNCTION("""COMPUTED_VALUE"""),44713.1405223495)</f>
        <v>44713.14052</v>
      </c>
      <c r="D8006" s="15">
        <f>IFERROR(__xludf.DUMMYFUNCTION("""COMPUTED_VALUE"""),1.016)</f>
        <v>1.016</v>
      </c>
      <c r="E8006" s="16">
        <f>IFERROR(__xludf.DUMMYFUNCTION("""COMPUTED_VALUE"""),66.0)</f>
        <v>66</v>
      </c>
      <c r="F8006" s="19" t="str">
        <f>IFERROR(__xludf.DUMMYFUNCTION("""COMPUTED_VALUE"""),"BLACK")</f>
        <v>BLACK</v>
      </c>
      <c r="G8006" s="20" t="str">
        <f>IFERROR(__xludf.DUMMYFUNCTION("""COMPUTED_VALUE"""),"Uncle Sams Cider (5/13/2022)")</f>
        <v>Uncle Sams Cider (5/13/2022)</v>
      </c>
      <c r="H8006" s="19"/>
    </row>
    <row r="8007">
      <c r="A8007" s="9"/>
      <c r="B8007" s="15"/>
      <c r="C8007" s="9">
        <f>IFERROR(__xludf.DUMMYFUNCTION("""COMPUTED_VALUE"""),44713.1300883796)</f>
        <v>44713.13009</v>
      </c>
      <c r="D8007" s="15">
        <f>IFERROR(__xludf.DUMMYFUNCTION("""COMPUTED_VALUE"""),1.016)</f>
        <v>1.016</v>
      </c>
      <c r="E8007" s="16">
        <f>IFERROR(__xludf.DUMMYFUNCTION("""COMPUTED_VALUE"""),66.0)</f>
        <v>66</v>
      </c>
      <c r="F8007" s="19" t="str">
        <f>IFERROR(__xludf.DUMMYFUNCTION("""COMPUTED_VALUE"""),"BLACK")</f>
        <v>BLACK</v>
      </c>
      <c r="G8007" s="20" t="str">
        <f>IFERROR(__xludf.DUMMYFUNCTION("""COMPUTED_VALUE"""),"Uncle Sams Cider (5/13/2022)")</f>
        <v>Uncle Sams Cider (5/13/2022)</v>
      </c>
      <c r="H8007" s="19"/>
    </row>
    <row r="8008">
      <c r="A8008" s="9"/>
      <c r="B8008" s="15"/>
      <c r="C8008" s="9">
        <f>IFERROR(__xludf.DUMMYFUNCTION("""COMPUTED_VALUE"""),44713.1196556365)</f>
        <v>44713.11966</v>
      </c>
      <c r="D8008" s="15">
        <f>IFERROR(__xludf.DUMMYFUNCTION("""COMPUTED_VALUE"""),1.016)</f>
        <v>1.016</v>
      </c>
      <c r="E8008" s="16">
        <f>IFERROR(__xludf.DUMMYFUNCTION("""COMPUTED_VALUE"""),66.0)</f>
        <v>66</v>
      </c>
      <c r="F8008" s="19" t="str">
        <f>IFERROR(__xludf.DUMMYFUNCTION("""COMPUTED_VALUE"""),"BLACK")</f>
        <v>BLACK</v>
      </c>
      <c r="G8008" s="20" t="str">
        <f>IFERROR(__xludf.DUMMYFUNCTION("""COMPUTED_VALUE"""),"Uncle Sams Cider (5/13/2022)")</f>
        <v>Uncle Sams Cider (5/13/2022)</v>
      </c>
      <c r="H8008" s="19"/>
    </row>
    <row r="8009">
      <c r="A8009" s="9"/>
      <c r="B8009" s="15"/>
      <c r="C8009" s="9">
        <f>IFERROR(__xludf.DUMMYFUNCTION("""COMPUTED_VALUE"""),44713.1092356597)</f>
        <v>44713.10924</v>
      </c>
      <c r="D8009" s="15">
        <f>IFERROR(__xludf.DUMMYFUNCTION("""COMPUTED_VALUE"""),1.016)</f>
        <v>1.016</v>
      </c>
      <c r="E8009" s="16">
        <f>IFERROR(__xludf.DUMMYFUNCTION("""COMPUTED_VALUE"""),66.0)</f>
        <v>66</v>
      </c>
      <c r="F8009" s="19" t="str">
        <f>IFERROR(__xludf.DUMMYFUNCTION("""COMPUTED_VALUE"""),"BLACK")</f>
        <v>BLACK</v>
      </c>
      <c r="G8009" s="20" t="str">
        <f>IFERROR(__xludf.DUMMYFUNCTION("""COMPUTED_VALUE"""),"Uncle Sams Cider (5/13/2022)")</f>
        <v>Uncle Sams Cider (5/13/2022)</v>
      </c>
      <c r="H8009" s="19"/>
    </row>
    <row r="8010">
      <c r="A8010" s="9"/>
      <c r="B8010" s="15"/>
      <c r="C8010" s="9">
        <f>IFERROR(__xludf.DUMMYFUNCTION("""COMPUTED_VALUE"""),44713.098803449)</f>
        <v>44713.0988</v>
      </c>
      <c r="D8010" s="15">
        <f>IFERROR(__xludf.DUMMYFUNCTION("""COMPUTED_VALUE"""),1.016)</f>
        <v>1.016</v>
      </c>
      <c r="E8010" s="16">
        <f>IFERROR(__xludf.DUMMYFUNCTION("""COMPUTED_VALUE"""),67.0)</f>
        <v>67</v>
      </c>
      <c r="F8010" s="19" t="str">
        <f>IFERROR(__xludf.DUMMYFUNCTION("""COMPUTED_VALUE"""),"BLACK")</f>
        <v>BLACK</v>
      </c>
      <c r="G8010" s="20" t="str">
        <f>IFERROR(__xludf.DUMMYFUNCTION("""COMPUTED_VALUE"""),"Uncle Sams Cider (5/13/2022)")</f>
        <v>Uncle Sams Cider (5/13/2022)</v>
      </c>
      <c r="H8010" s="19"/>
    </row>
    <row r="8011">
      <c r="A8011" s="9"/>
      <c r="B8011" s="15"/>
      <c r="C8011" s="9">
        <f>IFERROR(__xludf.DUMMYFUNCTION("""COMPUTED_VALUE"""),44713.0883842592)</f>
        <v>44713.08838</v>
      </c>
      <c r="D8011" s="15">
        <f>IFERROR(__xludf.DUMMYFUNCTION("""COMPUTED_VALUE"""),1.016)</f>
        <v>1.016</v>
      </c>
      <c r="E8011" s="16">
        <f>IFERROR(__xludf.DUMMYFUNCTION("""COMPUTED_VALUE"""),68.0)</f>
        <v>68</v>
      </c>
      <c r="F8011" s="19" t="str">
        <f>IFERROR(__xludf.DUMMYFUNCTION("""COMPUTED_VALUE"""),"BLACK")</f>
        <v>BLACK</v>
      </c>
      <c r="G8011" s="20" t="str">
        <f>IFERROR(__xludf.DUMMYFUNCTION("""COMPUTED_VALUE"""),"Uncle Sams Cider (5/13/2022)")</f>
        <v>Uncle Sams Cider (5/13/2022)</v>
      </c>
      <c r="H8011" s="19"/>
    </row>
    <row r="8012">
      <c r="A8012" s="9"/>
      <c r="B8012" s="15"/>
      <c r="C8012" s="9">
        <f>IFERROR(__xludf.DUMMYFUNCTION("""COMPUTED_VALUE"""),44713.0779632175)</f>
        <v>44713.07796</v>
      </c>
      <c r="D8012" s="15">
        <f>IFERROR(__xludf.DUMMYFUNCTION("""COMPUTED_VALUE"""),1.016)</f>
        <v>1.016</v>
      </c>
      <c r="E8012" s="16">
        <f>IFERROR(__xludf.DUMMYFUNCTION("""COMPUTED_VALUE"""),68.0)</f>
        <v>68</v>
      </c>
      <c r="F8012" s="19" t="str">
        <f>IFERROR(__xludf.DUMMYFUNCTION("""COMPUTED_VALUE"""),"BLACK")</f>
        <v>BLACK</v>
      </c>
      <c r="G8012" s="20" t="str">
        <f>IFERROR(__xludf.DUMMYFUNCTION("""COMPUTED_VALUE"""),"Uncle Sams Cider (5/13/2022)")</f>
        <v>Uncle Sams Cider (5/13/2022)</v>
      </c>
      <c r="H8012" s="19"/>
    </row>
    <row r="8013">
      <c r="A8013" s="9"/>
      <c r="B8013" s="15"/>
      <c r="C8013" s="9">
        <f>IFERROR(__xludf.DUMMYFUNCTION("""COMPUTED_VALUE"""),44713.0675415856)</f>
        <v>44713.06754</v>
      </c>
      <c r="D8013" s="15">
        <f>IFERROR(__xludf.DUMMYFUNCTION("""COMPUTED_VALUE"""),1.016)</f>
        <v>1.016</v>
      </c>
      <c r="E8013" s="16">
        <f>IFERROR(__xludf.DUMMYFUNCTION("""COMPUTED_VALUE"""),69.0)</f>
        <v>69</v>
      </c>
      <c r="F8013" s="19" t="str">
        <f>IFERROR(__xludf.DUMMYFUNCTION("""COMPUTED_VALUE"""),"BLACK")</f>
        <v>BLACK</v>
      </c>
      <c r="G8013" s="20" t="str">
        <f>IFERROR(__xludf.DUMMYFUNCTION("""COMPUTED_VALUE"""),"Uncle Sams Cider (5/13/2022)")</f>
        <v>Uncle Sams Cider (5/13/2022)</v>
      </c>
      <c r="H8013" s="19"/>
    </row>
    <row r="8014">
      <c r="A8014" s="9"/>
      <c r="B8014" s="15"/>
      <c r="C8014" s="9">
        <f>IFERROR(__xludf.DUMMYFUNCTION("""COMPUTED_VALUE"""),44713.057120324)</f>
        <v>44713.05712</v>
      </c>
      <c r="D8014" s="15">
        <f>IFERROR(__xludf.DUMMYFUNCTION("""COMPUTED_VALUE"""),1.016)</f>
        <v>1.016</v>
      </c>
      <c r="E8014" s="16">
        <f>IFERROR(__xludf.DUMMYFUNCTION("""COMPUTED_VALUE"""),70.0)</f>
        <v>70</v>
      </c>
      <c r="F8014" s="19" t="str">
        <f>IFERROR(__xludf.DUMMYFUNCTION("""COMPUTED_VALUE"""),"BLACK")</f>
        <v>BLACK</v>
      </c>
      <c r="G8014" s="20" t="str">
        <f>IFERROR(__xludf.DUMMYFUNCTION("""COMPUTED_VALUE"""),"Uncle Sams Cider (5/13/2022)")</f>
        <v>Uncle Sams Cider (5/13/2022)</v>
      </c>
      <c r="H8014" s="19"/>
    </row>
    <row r="8015">
      <c r="A8015" s="9"/>
      <c r="B8015" s="15"/>
      <c r="C8015" s="9">
        <f>IFERROR(__xludf.DUMMYFUNCTION("""COMPUTED_VALUE"""),44713.0466879861)</f>
        <v>44713.04669</v>
      </c>
      <c r="D8015" s="15">
        <f>IFERROR(__xludf.DUMMYFUNCTION("""COMPUTED_VALUE"""),1.016)</f>
        <v>1.016</v>
      </c>
      <c r="E8015" s="16">
        <f>IFERROR(__xludf.DUMMYFUNCTION("""COMPUTED_VALUE"""),70.0)</f>
        <v>70</v>
      </c>
      <c r="F8015" s="19" t="str">
        <f>IFERROR(__xludf.DUMMYFUNCTION("""COMPUTED_VALUE"""),"BLACK")</f>
        <v>BLACK</v>
      </c>
      <c r="G8015" s="20" t="str">
        <f>IFERROR(__xludf.DUMMYFUNCTION("""COMPUTED_VALUE"""),"Uncle Sams Cider (5/13/2022)")</f>
        <v>Uncle Sams Cider (5/13/2022)</v>
      </c>
      <c r="H8015" s="19"/>
    </row>
    <row r="8016">
      <c r="A8016" s="9"/>
      <c r="B8016" s="15"/>
      <c r="C8016" s="9">
        <f>IFERROR(__xludf.DUMMYFUNCTION("""COMPUTED_VALUE"""),44713.0362669328)</f>
        <v>44713.03627</v>
      </c>
      <c r="D8016" s="15">
        <f>IFERROR(__xludf.DUMMYFUNCTION("""COMPUTED_VALUE"""),1.016)</f>
        <v>1.016</v>
      </c>
      <c r="E8016" s="16">
        <f>IFERROR(__xludf.DUMMYFUNCTION("""COMPUTED_VALUE"""),70.0)</f>
        <v>70</v>
      </c>
      <c r="F8016" s="19" t="str">
        <f>IFERROR(__xludf.DUMMYFUNCTION("""COMPUTED_VALUE"""),"BLACK")</f>
        <v>BLACK</v>
      </c>
      <c r="G8016" s="20" t="str">
        <f>IFERROR(__xludf.DUMMYFUNCTION("""COMPUTED_VALUE"""),"Uncle Sams Cider (5/13/2022)")</f>
        <v>Uncle Sams Cider (5/13/2022)</v>
      </c>
      <c r="H8016" s="19"/>
    </row>
    <row r="8017">
      <c r="A8017" s="9"/>
      <c r="B8017" s="15"/>
      <c r="C8017" s="9">
        <f>IFERROR(__xludf.DUMMYFUNCTION("""COMPUTED_VALUE"""),44713.0258466319)</f>
        <v>44713.02585</v>
      </c>
      <c r="D8017" s="15">
        <f>IFERROR(__xludf.DUMMYFUNCTION("""COMPUTED_VALUE"""),1.016)</f>
        <v>1.016</v>
      </c>
      <c r="E8017" s="16">
        <f>IFERROR(__xludf.DUMMYFUNCTION("""COMPUTED_VALUE"""),70.0)</f>
        <v>70</v>
      </c>
      <c r="F8017" s="19" t="str">
        <f>IFERROR(__xludf.DUMMYFUNCTION("""COMPUTED_VALUE"""),"BLACK")</f>
        <v>BLACK</v>
      </c>
      <c r="G8017" s="20" t="str">
        <f>IFERROR(__xludf.DUMMYFUNCTION("""COMPUTED_VALUE"""),"Uncle Sams Cider (5/13/2022)")</f>
        <v>Uncle Sams Cider (5/13/2022)</v>
      </c>
      <c r="H8017" s="19"/>
    </row>
    <row r="8018">
      <c r="A8018" s="9"/>
      <c r="B8018" s="15"/>
      <c r="C8018" s="9">
        <f>IFERROR(__xludf.DUMMYFUNCTION("""COMPUTED_VALUE"""),44713.0154262037)</f>
        <v>44713.01543</v>
      </c>
      <c r="D8018" s="15">
        <f>IFERROR(__xludf.DUMMYFUNCTION("""COMPUTED_VALUE"""),1.016)</f>
        <v>1.016</v>
      </c>
      <c r="E8018" s="16">
        <f>IFERROR(__xludf.DUMMYFUNCTION("""COMPUTED_VALUE"""),70.0)</f>
        <v>70</v>
      </c>
      <c r="F8018" s="19" t="str">
        <f>IFERROR(__xludf.DUMMYFUNCTION("""COMPUTED_VALUE"""),"BLACK")</f>
        <v>BLACK</v>
      </c>
      <c r="G8018" s="20" t="str">
        <f>IFERROR(__xludf.DUMMYFUNCTION("""COMPUTED_VALUE"""),"Uncle Sams Cider (5/13/2022)")</f>
        <v>Uncle Sams Cider (5/13/2022)</v>
      </c>
      <c r="H8018" s="19"/>
    </row>
    <row r="8019">
      <c r="A8019" s="9"/>
      <c r="B8019" s="15"/>
      <c r="C8019" s="9">
        <f>IFERROR(__xludf.DUMMYFUNCTION("""COMPUTED_VALUE"""),44713.0049816203)</f>
        <v>44713.00498</v>
      </c>
      <c r="D8019" s="15">
        <f>IFERROR(__xludf.DUMMYFUNCTION("""COMPUTED_VALUE"""),1.016)</f>
        <v>1.016</v>
      </c>
      <c r="E8019" s="16">
        <f>IFERROR(__xludf.DUMMYFUNCTION("""COMPUTED_VALUE"""),70.0)</f>
        <v>70</v>
      </c>
      <c r="F8019" s="19" t="str">
        <f>IFERROR(__xludf.DUMMYFUNCTION("""COMPUTED_VALUE"""),"BLACK")</f>
        <v>BLACK</v>
      </c>
      <c r="G8019" s="20" t="str">
        <f>IFERROR(__xludf.DUMMYFUNCTION("""COMPUTED_VALUE"""),"Uncle Sams Cider (5/13/2022)")</f>
        <v>Uncle Sams Cider (5/13/2022)</v>
      </c>
      <c r="H8019" s="19"/>
    </row>
    <row r="8020">
      <c r="A8020" s="9"/>
      <c r="B8020" s="15"/>
      <c r="C8020" s="9">
        <f>IFERROR(__xludf.DUMMYFUNCTION("""COMPUTED_VALUE"""),44712.994561331)</f>
        <v>44712.99456</v>
      </c>
      <c r="D8020" s="15">
        <f>IFERROR(__xludf.DUMMYFUNCTION("""COMPUTED_VALUE"""),1.016)</f>
        <v>1.016</v>
      </c>
      <c r="E8020" s="16">
        <f>IFERROR(__xludf.DUMMYFUNCTION("""COMPUTED_VALUE"""),70.0)</f>
        <v>70</v>
      </c>
      <c r="F8020" s="19" t="str">
        <f>IFERROR(__xludf.DUMMYFUNCTION("""COMPUTED_VALUE"""),"BLACK")</f>
        <v>BLACK</v>
      </c>
      <c r="G8020" s="20" t="str">
        <f>IFERROR(__xludf.DUMMYFUNCTION("""COMPUTED_VALUE"""),"Uncle Sams Cider (5/13/2022)")</f>
        <v>Uncle Sams Cider (5/13/2022)</v>
      </c>
      <c r="H8020" s="19"/>
    </row>
    <row r="8021">
      <c r="A8021" s="9"/>
      <c r="B8021" s="15"/>
      <c r="C8021" s="9">
        <f>IFERROR(__xludf.DUMMYFUNCTION("""COMPUTED_VALUE"""),44712.9841302546)</f>
        <v>44712.98413</v>
      </c>
      <c r="D8021" s="15">
        <f>IFERROR(__xludf.DUMMYFUNCTION("""COMPUTED_VALUE"""),1.016)</f>
        <v>1.016</v>
      </c>
      <c r="E8021" s="16">
        <f>IFERROR(__xludf.DUMMYFUNCTION("""COMPUTED_VALUE"""),70.0)</f>
        <v>70</v>
      </c>
      <c r="F8021" s="19" t="str">
        <f>IFERROR(__xludf.DUMMYFUNCTION("""COMPUTED_VALUE"""),"BLACK")</f>
        <v>BLACK</v>
      </c>
      <c r="G8021" s="20" t="str">
        <f>IFERROR(__xludf.DUMMYFUNCTION("""COMPUTED_VALUE"""),"Uncle Sams Cider (5/13/2022)")</f>
        <v>Uncle Sams Cider (5/13/2022)</v>
      </c>
      <c r="H8021" s="19"/>
    </row>
    <row r="8022">
      <c r="A8022" s="9"/>
      <c r="B8022" s="15"/>
      <c r="C8022" s="9">
        <f>IFERROR(__xludf.DUMMYFUNCTION("""COMPUTED_VALUE"""),44712.9737103819)</f>
        <v>44712.97371</v>
      </c>
      <c r="D8022" s="15">
        <f>IFERROR(__xludf.DUMMYFUNCTION("""COMPUTED_VALUE"""),1.016)</f>
        <v>1.016</v>
      </c>
      <c r="E8022" s="16">
        <f>IFERROR(__xludf.DUMMYFUNCTION("""COMPUTED_VALUE"""),70.0)</f>
        <v>70</v>
      </c>
      <c r="F8022" s="19" t="str">
        <f>IFERROR(__xludf.DUMMYFUNCTION("""COMPUTED_VALUE"""),"BLACK")</f>
        <v>BLACK</v>
      </c>
      <c r="G8022" s="20" t="str">
        <f>IFERROR(__xludf.DUMMYFUNCTION("""COMPUTED_VALUE"""),"Uncle Sams Cider (5/13/2022)")</f>
        <v>Uncle Sams Cider (5/13/2022)</v>
      </c>
      <c r="H8022" s="19"/>
    </row>
    <row r="8023">
      <c r="A8023" s="9"/>
      <c r="B8023" s="15"/>
      <c r="C8023" s="9">
        <f>IFERROR(__xludf.DUMMYFUNCTION("""COMPUTED_VALUE"""),44712.9632769097)</f>
        <v>44712.96328</v>
      </c>
      <c r="D8023" s="15">
        <f>IFERROR(__xludf.DUMMYFUNCTION("""COMPUTED_VALUE"""),1.016)</f>
        <v>1.016</v>
      </c>
      <c r="E8023" s="16">
        <f>IFERROR(__xludf.DUMMYFUNCTION("""COMPUTED_VALUE"""),70.0)</f>
        <v>70</v>
      </c>
      <c r="F8023" s="19" t="str">
        <f>IFERROR(__xludf.DUMMYFUNCTION("""COMPUTED_VALUE"""),"BLACK")</f>
        <v>BLACK</v>
      </c>
      <c r="G8023" s="20" t="str">
        <f>IFERROR(__xludf.DUMMYFUNCTION("""COMPUTED_VALUE"""),"Uncle Sams Cider (5/13/2022)")</f>
        <v>Uncle Sams Cider (5/13/2022)</v>
      </c>
      <c r="H8023" s="19"/>
    </row>
    <row r="8024">
      <c r="A8024" s="9"/>
      <c r="B8024" s="15"/>
      <c r="C8024" s="9">
        <f>IFERROR(__xludf.DUMMYFUNCTION("""COMPUTED_VALUE"""),44712.9528445023)</f>
        <v>44712.95284</v>
      </c>
      <c r="D8024" s="15">
        <f>IFERROR(__xludf.DUMMYFUNCTION("""COMPUTED_VALUE"""),1.016)</f>
        <v>1.016</v>
      </c>
      <c r="E8024" s="16">
        <f>IFERROR(__xludf.DUMMYFUNCTION("""COMPUTED_VALUE"""),70.0)</f>
        <v>70</v>
      </c>
      <c r="F8024" s="19" t="str">
        <f>IFERROR(__xludf.DUMMYFUNCTION("""COMPUTED_VALUE"""),"BLACK")</f>
        <v>BLACK</v>
      </c>
      <c r="G8024" s="20" t="str">
        <f>IFERROR(__xludf.DUMMYFUNCTION("""COMPUTED_VALUE"""),"Uncle Sams Cider (5/13/2022)")</f>
        <v>Uncle Sams Cider (5/13/2022)</v>
      </c>
      <c r="H8024" s="19"/>
    </row>
    <row r="8025">
      <c r="A8025" s="9"/>
      <c r="B8025" s="15"/>
      <c r="C8025" s="9">
        <f>IFERROR(__xludf.DUMMYFUNCTION("""COMPUTED_VALUE"""),44712.9424247337)</f>
        <v>44712.94242</v>
      </c>
      <c r="D8025" s="15">
        <f>IFERROR(__xludf.DUMMYFUNCTION("""COMPUTED_VALUE"""),1.016)</f>
        <v>1.016</v>
      </c>
      <c r="E8025" s="16">
        <f>IFERROR(__xludf.DUMMYFUNCTION("""COMPUTED_VALUE"""),70.0)</f>
        <v>70</v>
      </c>
      <c r="F8025" s="19" t="str">
        <f>IFERROR(__xludf.DUMMYFUNCTION("""COMPUTED_VALUE"""),"BLACK")</f>
        <v>BLACK</v>
      </c>
      <c r="G8025" s="20" t="str">
        <f>IFERROR(__xludf.DUMMYFUNCTION("""COMPUTED_VALUE"""),"Uncle Sams Cider (5/13/2022)")</f>
        <v>Uncle Sams Cider (5/13/2022)</v>
      </c>
      <c r="H8025" s="19"/>
    </row>
    <row r="8026">
      <c r="A8026" s="9"/>
      <c r="B8026" s="15"/>
      <c r="C8026" s="9">
        <f>IFERROR(__xludf.DUMMYFUNCTION("""COMPUTED_VALUE"""),44712.9319906944)</f>
        <v>44712.93199</v>
      </c>
      <c r="D8026" s="15">
        <f>IFERROR(__xludf.DUMMYFUNCTION("""COMPUTED_VALUE"""),1.016)</f>
        <v>1.016</v>
      </c>
      <c r="E8026" s="16">
        <f>IFERROR(__xludf.DUMMYFUNCTION("""COMPUTED_VALUE"""),70.0)</f>
        <v>70</v>
      </c>
      <c r="F8026" s="19" t="str">
        <f>IFERROR(__xludf.DUMMYFUNCTION("""COMPUTED_VALUE"""),"BLACK")</f>
        <v>BLACK</v>
      </c>
      <c r="G8026" s="20" t="str">
        <f>IFERROR(__xludf.DUMMYFUNCTION("""COMPUTED_VALUE"""),"Uncle Sams Cider (5/13/2022)")</f>
        <v>Uncle Sams Cider (5/13/2022)</v>
      </c>
      <c r="H8026" s="19"/>
    </row>
    <row r="8027">
      <c r="A8027" s="9"/>
      <c r="B8027" s="15"/>
      <c r="C8027" s="9">
        <f>IFERROR(__xludf.DUMMYFUNCTION("""COMPUTED_VALUE"""),44712.9215566782)</f>
        <v>44712.92156</v>
      </c>
      <c r="D8027" s="15">
        <f>IFERROR(__xludf.DUMMYFUNCTION("""COMPUTED_VALUE"""),1.016)</f>
        <v>1.016</v>
      </c>
      <c r="E8027" s="16">
        <f>IFERROR(__xludf.DUMMYFUNCTION("""COMPUTED_VALUE"""),70.0)</f>
        <v>70</v>
      </c>
      <c r="F8027" s="19" t="str">
        <f>IFERROR(__xludf.DUMMYFUNCTION("""COMPUTED_VALUE"""),"BLACK")</f>
        <v>BLACK</v>
      </c>
      <c r="G8027" s="20" t="str">
        <f>IFERROR(__xludf.DUMMYFUNCTION("""COMPUTED_VALUE"""),"Uncle Sams Cider (5/13/2022)")</f>
        <v>Uncle Sams Cider (5/13/2022)</v>
      </c>
      <c r="H8027" s="19"/>
    </row>
    <row r="8028">
      <c r="A8028" s="9"/>
      <c r="B8028" s="15"/>
      <c r="C8028" s="9">
        <f>IFERROR(__xludf.DUMMYFUNCTION("""COMPUTED_VALUE"""),44712.911135324)</f>
        <v>44712.91114</v>
      </c>
      <c r="D8028" s="15">
        <f>IFERROR(__xludf.DUMMYFUNCTION("""COMPUTED_VALUE"""),1.016)</f>
        <v>1.016</v>
      </c>
      <c r="E8028" s="16">
        <f>IFERROR(__xludf.DUMMYFUNCTION("""COMPUTED_VALUE"""),70.0)</f>
        <v>70</v>
      </c>
      <c r="F8028" s="19" t="str">
        <f>IFERROR(__xludf.DUMMYFUNCTION("""COMPUTED_VALUE"""),"BLACK")</f>
        <v>BLACK</v>
      </c>
      <c r="G8028" s="20" t="str">
        <f>IFERROR(__xludf.DUMMYFUNCTION("""COMPUTED_VALUE"""),"Uncle Sams Cider (5/13/2022)")</f>
        <v>Uncle Sams Cider (5/13/2022)</v>
      </c>
      <c r="H8028" s="19"/>
    </row>
    <row r="8029">
      <c r="A8029" s="9"/>
      <c r="B8029" s="15"/>
      <c r="C8029" s="9">
        <f>IFERROR(__xludf.DUMMYFUNCTION("""COMPUTED_VALUE"""),44712.9007124421)</f>
        <v>44712.90071</v>
      </c>
      <c r="D8029" s="15">
        <f>IFERROR(__xludf.DUMMYFUNCTION("""COMPUTED_VALUE"""),1.016)</f>
        <v>1.016</v>
      </c>
      <c r="E8029" s="16">
        <f>IFERROR(__xludf.DUMMYFUNCTION("""COMPUTED_VALUE"""),70.0)</f>
        <v>70</v>
      </c>
      <c r="F8029" s="19" t="str">
        <f>IFERROR(__xludf.DUMMYFUNCTION("""COMPUTED_VALUE"""),"BLACK")</f>
        <v>BLACK</v>
      </c>
      <c r="G8029" s="20" t="str">
        <f>IFERROR(__xludf.DUMMYFUNCTION("""COMPUTED_VALUE"""),"Uncle Sams Cider (5/13/2022)")</f>
        <v>Uncle Sams Cider (5/13/2022)</v>
      </c>
      <c r="H8029" s="19"/>
    </row>
    <row r="8030">
      <c r="A8030" s="9"/>
      <c r="B8030" s="15"/>
      <c r="C8030" s="9">
        <f>IFERROR(__xludf.DUMMYFUNCTION("""COMPUTED_VALUE"""),44712.8902914236)</f>
        <v>44712.89029</v>
      </c>
      <c r="D8030" s="15">
        <f>IFERROR(__xludf.DUMMYFUNCTION("""COMPUTED_VALUE"""),1.016)</f>
        <v>1.016</v>
      </c>
      <c r="E8030" s="16">
        <f>IFERROR(__xludf.DUMMYFUNCTION("""COMPUTED_VALUE"""),70.0)</f>
        <v>70</v>
      </c>
      <c r="F8030" s="19" t="str">
        <f>IFERROR(__xludf.DUMMYFUNCTION("""COMPUTED_VALUE"""),"BLACK")</f>
        <v>BLACK</v>
      </c>
      <c r="G8030" s="20" t="str">
        <f>IFERROR(__xludf.DUMMYFUNCTION("""COMPUTED_VALUE"""),"Uncle Sams Cider (5/13/2022)")</f>
        <v>Uncle Sams Cider (5/13/2022)</v>
      </c>
      <c r="H8030" s="19"/>
    </row>
    <row r="8031">
      <c r="A8031" s="9"/>
      <c r="B8031" s="15"/>
      <c r="C8031" s="9">
        <f>IFERROR(__xludf.DUMMYFUNCTION("""COMPUTED_VALUE"""),44712.8798705324)</f>
        <v>44712.87987</v>
      </c>
      <c r="D8031" s="15">
        <f>IFERROR(__xludf.DUMMYFUNCTION("""COMPUTED_VALUE"""),1.016)</f>
        <v>1.016</v>
      </c>
      <c r="E8031" s="16">
        <f>IFERROR(__xludf.DUMMYFUNCTION("""COMPUTED_VALUE"""),70.0)</f>
        <v>70</v>
      </c>
      <c r="F8031" s="19" t="str">
        <f>IFERROR(__xludf.DUMMYFUNCTION("""COMPUTED_VALUE"""),"BLACK")</f>
        <v>BLACK</v>
      </c>
      <c r="G8031" s="20" t="str">
        <f>IFERROR(__xludf.DUMMYFUNCTION("""COMPUTED_VALUE"""),"Uncle Sams Cider (5/13/2022)")</f>
        <v>Uncle Sams Cider (5/13/2022)</v>
      </c>
      <c r="H8031" s="19"/>
    </row>
    <row r="8032">
      <c r="A8032" s="9"/>
      <c r="B8032" s="15"/>
      <c r="C8032" s="9">
        <f>IFERROR(__xludf.DUMMYFUNCTION("""COMPUTED_VALUE"""),44712.8694272453)</f>
        <v>44712.86943</v>
      </c>
      <c r="D8032" s="15">
        <f>IFERROR(__xludf.DUMMYFUNCTION("""COMPUTED_VALUE"""),1.016)</f>
        <v>1.016</v>
      </c>
      <c r="E8032" s="16">
        <f>IFERROR(__xludf.DUMMYFUNCTION("""COMPUTED_VALUE"""),70.0)</f>
        <v>70</v>
      </c>
      <c r="F8032" s="19" t="str">
        <f>IFERROR(__xludf.DUMMYFUNCTION("""COMPUTED_VALUE"""),"BLACK")</f>
        <v>BLACK</v>
      </c>
      <c r="G8032" s="20" t="str">
        <f>IFERROR(__xludf.DUMMYFUNCTION("""COMPUTED_VALUE"""),"Uncle Sams Cider (5/13/2022)")</f>
        <v>Uncle Sams Cider (5/13/2022)</v>
      </c>
      <c r="H8032" s="19"/>
    </row>
    <row r="8033">
      <c r="A8033" s="9"/>
      <c r="B8033" s="15"/>
      <c r="C8033" s="9">
        <f>IFERROR(__xludf.DUMMYFUNCTION("""COMPUTED_VALUE"""),44712.8590081481)</f>
        <v>44712.85901</v>
      </c>
      <c r="D8033" s="15">
        <f>IFERROR(__xludf.DUMMYFUNCTION("""COMPUTED_VALUE"""),1.016)</f>
        <v>1.016</v>
      </c>
      <c r="E8033" s="16">
        <f>IFERROR(__xludf.DUMMYFUNCTION("""COMPUTED_VALUE"""),70.0)</f>
        <v>70</v>
      </c>
      <c r="F8033" s="19" t="str">
        <f>IFERROR(__xludf.DUMMYFUNCTION("""COMPUTED_VALUE"""),"BLACK")</f>
        <v>BLACK</v>
      </c>
      <c r="G8033" s="20" t="str">
        <f>IFERROR(__xludf.DUMMYFUNCTION("""COMPUTED_VALUE"""),"Uncle Sams Cider (5/13/2022)")</f>
        <v>Uncle Sams Cider (5/13/2022)</v>
      </c>
      <c r="H8033" s="19"/>
    </row>
    <row r="8034">
      <c r="A8034" s="9"/>
      <c r="B8034" s="15"/>
      <c r="C8034" s="9">
        <f>IFERROR(__xludf.DUMMYFUNCTION("""COMPUTED_VALUE"""),44712.8485402546)</f>
        <v>44712.84854</v>
      </c>
      <c r="D8034" s="15">
        <f>IFERROR(__xludf.DUMMYFUNCTION("""COMPUTED_VALUE"""),1.016)</f>
        <v>1.016</v>
      </c>
      <c r="E8034" s="16">
        <f>IFERROR(__xludf.DUMMYFUNCTION("""COMPUTED_VALUE"""),70.0)</f>
        <v>70</v>
      </c>
      <c r="F8034" s="19" t="str">
        <f>IFERROR(__xludf.DUMMYFUNCTION("""COMPUTED_VALUE"""),"BLACK")</f>
        <v>BLACK</v>
      </c>
      <c r="G8034" s="20" t="str">
        <f>IFERROR(__xludf.DUMMYFUNCTION("""COMPUTED_VALUE"""),"Uncle Sams Cider (5/13/2022)")</f>
        <v>Uncle Sams Cider (5/13/2022)</v>
      </c>
      <c r="H8034" s="19"/>
    </row>
    <row r="8035">
      <c r="A8035" s="9"/>
      <c r="B8035" s="15"/>
      <c r="C8035" s="9">
        <f>IFERROR(__xludf.DUMMYFUNCTION("""COMPUTED_VALUE"""),44712.8381210879)</f>
        <v>44712.83812</v>
      </c>
      <c r="D8035" s="15">
        <f>IFERROR(__xludf.DUMMYFUNCTION("""COMPUTED_VALUE"""),1.016)</f>
        <v>1.016</v>
      </c>
      <c r="E8035" s="16">
        <f>IFERROR(__xludf.DUMMYFUNCTION("""COMPUTED_VALUE"""),70.0)</f>
        <v>70</v>
      </c>
      <c r="F8035" s="19" t="str">
        <f>IFERROR(__xludf.DUMMYFUNCTION("""COMPUTED_VALUE"""),"BLACK")</f>
        <v>BLACK</v>
      </c>
      <c r="G8035" s="20" t="str">
        <f>IFERROR(__xludf.DUMMYFUNCTION("""COMPUTED_VALUE"""),"Uncle Sams Cider (5/13/2022)")</f>
        <v>Uncle Sams Cider (5/13/2022)</v>
      </c>
      <c r="H8035" s="19"/>
    </row>
    <row r="8036">
      <c r="A8036" s="9"/>
      <c r="B8036" s="15"/>
      <c r="C8036" s="9">
        <f>IFERROR(__xludf.DUMMYFUNCTION("""COMPUTED_VALUE"""),44712.827699537)</f>
        <v>44712.8277</v>
      </c>
      <c r="D8036" s="15">
        <f>IFERROR(__xludf.DUMMYFUNCTION("""COMPUTED_VALUE"""),1.016)</f>
        <v>1.016</v>
      </c>
      <c r="E8036" s="16">
        <f>IFERROR(__xludf.DUMMYFUNCTION("""COMPUTED_VALUE"""),69.0)</f>
        <v>69</v>
      </c>
      <c r="F8036" s="19" t="str">
        <f>IFERROR(__xludf.DUMMYFUNCTION("""COMPUTED_VALUE"""),"BLACK")</f>
        <v>BLACK</v>
      </c>
      <c r="G8036" s="20" t="str">
        <f>IFERROR(__xludf.DUMMYFUNCTION("""COMPUTED_VALUE"""),"Uncle Sams Cider (5/13/2022)")</f>
        <v>Uncle Sams Cider (5/13/2022)</v>
      </c>
      <c r="H8036" s="19"/>
    </row>
    <row r="8037">
      <c r="A8037" s="9"/>
      <c r="B8037" s="15"/>
      <c r="C8037" s="9">
        <f>IFERROR(__xludf.DUMMYFUNCTION("""COMPUTED_VALUE"""),44712.817278368)</f>
        <v>44712.81728</v>
      </c>
      <c r="D8037" s="15">
        <f>IFERROR(__xludf.DUMMYFUNCTION("""COMPUTED_VALUE"""),1.016)</f>
        <v>1.016</v>
      </c>
      <c r="E8037" s="16">
        <f>IFERROR(__xludf.DUMMYFUNCTION("""COMPUTED_VALUE"""),69.0)</f>
        <v>69</v>
      </c>
      <c r="F8037" s="19" t="str">
        <f>IFERROR(__xludf.DUMMYFUNCTION("""COMPUTED_VALUE"""),"BLACK")</f>
        <v>BLACK</v>
      </c>
      <c r="G8037" s="20" t="str">
        <f>IFERROR(__xludf.DUMMYFUNCTION("""COMPUTED_VALUE"""),"Uncle Sams Cider (5/13/2022)")</f>
        <v>Uncle Sams Cider (5/13/2022)</v>
      </c>
      <c r="H8037" s="19"/>
    </row>
    <row r="8038">
      <c r="A8038" s="9"/>
      <c r="B8038" s="15"/>
      <c r="C8038" s="9">
        <f>IFERROR(__xludf.DUMMYFUNCTION("""COMPUTED_VALUE"""),44712.8068585532)</f>
        <v>44712.80686</v>
      </c>
      <c r="D8038" s="15">
        <f>IFERROR(__xludf.DUMMYFUNCTION("""COMPUTED_VALUE"""),1.016)</f>
        <v>1.016</v>
      </c>
      <c r="E8038" s="16">
        <f>IFERROR(__xludf.DUMMYFUNCTION("""COMPUTED_VALUE"""),69.0)</f>
        <v>69</v>
      </c>
      <c r="F8038" s="19" t="str">
        <f>IFERROR(__xludf.DUMMYFUNCTION("""COMPUTED_VALUE"""),"BLACK")</f>
        <v>BLACK</v>
      </c>
      <c r="G8038" s="20" t="str">
        <f>IFERROR(__xludf.DUMMYFUNCTION("""COMPUTED_VALUE"""),"Uncle Sams Cider (5/13/2022)")</f>
        <v>Uncle Sams Cider (5/13/2022)</v>
      </c>
      <c r="H8038" s="19"/>
    </row>
    <row r="8039">
      <c r="A8039" s="9"/>
      <c r="B8039" s="15"/>
      <c r="C8039" s="9">
        <f>IFERROR(__xludf.DUMMYFUNCTION("""COMPUTED_VALUE"""),44712.7964372337)</f>
        <v>44712.79644</v>
      </c>
      <c r="D8039" s="15">
        <f>IFERROR(__xludf.DUMMYFUNCTION("""COMPUTED_VALUE"""),1.016)</f>
        <v>1.016</v>
      </c>
      <c r="E8039" s="16">
        <f>IFERROR(__xludf.DUMMYFUNCTION("""COMPUTED_VALUE"""),69.0)</f>
        <v>69</v>
      </c>
      <c r="F8039" s="19" t="str">
        <f>IFERROR(__xludf.DUMMYFUNCTION("""COMPUTED_VALUE"""),"BLACK")</f>
        <v>BLACK</v>
      </c>
      <c r="G8039" s="20" t="str">
        <f>IFERROR(__xludf.DUMMYFUNCTION("""COMPUTED_VALUE"""),"Uncle Sams Cider (5/13/2022)")</f>
        <v>Uncle Sams Cider (5/13/2022)</v>
      </c>
      <c r="H8039" s="19"/>
    </row>
    <row r="8040">
      <c r="A8040" s="9"/>
      <c r="B8040" s="15"/>
      <c r="C8040" s="9">
        <f>IFERROR(__xludf.DUMMYFUNCTION("""COMPUTED_VALUE"""),44712.7860151041)</f>
        <v>44712.78602</v>
      </c>
      <c r="D8040" s="15">
        <f>IFERROR(__xludf.DUMMYFUNCTION("""COMPUTED_VALUE"""),1.016)</f>
        <v>1.016</v>
      </c>
      <c r="E8040" s="16">
        <f>IFERROR(__xludf.DUMMYFUNCTION("""COMPUTED_VALUE"""),69.0)</f>
        <v>69</v>
      </c>
      <c r="F8040" s="19" t="str">
        <f>IFERROR(__xludf.DUMMYFUNCTION("""COMPUTED_VALUE"""),"BLACK")</f>
        <v>BLACK</v>
      </c>
      <c r="G8040" s="20" t="str">
        <f>IFERROR(__xludf.DUMMYFUNCTION("""COMPUTED_VALUE"""),"Uncle Sams Cider (5/13/2022)")</f>
        <v>Uncle Sams Cider (5/13/2022)</v>
      </c>
      <c r="H8040" s="19"/>
    </row>
    <row r="8041">
      <c r="A8041" s="9"/>
      <c r="B8041" s="15"/>
      <c r="C8041" s="9">
        <f>IFERROR(__xludf.DUMMYFUNCTION("""COMPUTED_VALUE"""),44712.775580787)</f>
        <v>44712.77558</v>
      </c>
      <c r="D8041" s="15">
        <f>IFERROR(__xludf.DUMMYFUNCTION("""COMPUTED_VALUE"""),1.016)</f>
        <v>1.016</v>
      </c>
      <c r="E8041" s="16">
        <f>IFERROR(__xludf.DUMMYFUNCTION("""COMPUTED_VALUE"""),69.0)</f>
        <v>69</v>
      </c>
      <c r="F8041" s="19" t="str">
        <f>IFERROR(__xludf.DUMMYFUNCTION("""COMPUTED_VALUE"""),"BLACK")</f>
        <v>BLACK</v>
      </c>
      <c r="G8041" s="20" t="str">
        <f>IFERROR(__xludf.DUMMYFUNCTION("""COMPUTED_VALUE"""),"Uncle Sams Cider (5/13/2022)")</f>
        <v>Uncle Sams Cider (5/13/2022)</v>
      </c>
      <c r="H8041" s="19"/>
    </row>
    <row r="8042">
      <c r="A8042" s="9"/>
      <c r="B8042" s="15"/>
      <c r="C8042" s="9">
        <f>IFERROR(__xludf.DUMMYFUNCTION("""COMPUTED_VALUE"""),44712.7651577083)</f>
        <v>44712.76516</v>
      </c>
      <c r="D8042" s="15">
        <f>IFERROR(__xludf.DUMMYFUNCTION("""COMPUTED_VALUE"""),1.016)</f>
        <v>1.016</v>
      </c>
      <c r="E8042" s="16">
        <f>IFERROR(__xludf.DUMMYFUNCTION("""COMPUTED_VALUE"""),69.0)</f>
        <v>69</v>
      </c>
      <c r="F8042" s="19" t="str">
        <f>IFERROR(__xludf.DUMMYFUNCTION("""COMPUTED_VALUE"""),"BLACK")</f>
        <v>BLACK</v>
      </c>
      <c r="G8042" s="20" t="str">
        <f>IFERROR(__xludf.DUMMYFUNCTION("""COMPUTED_VALUE"""),"Uncle Sams Cider (5/13/2022)")</f>
        <v>Uncle Sams Cider (5/13/2022)</v>
      </c>
      <c r="H8042" s="19"/>
    </row>
    <row r="8043">
      <c r="A8043" s="9"/>
      <c r="B8043" s="15"/>
      <c r="C8043" s="9">
        <f>IFERROR(__xludf.DUMMYFUNCTION("""COMPUTED_VALUE"""),44712.7547237847)</f>
        <v>44712.75472</v>
      </c>
      <c r="D8043" s="15">
        <f>IFERROR(__xludf.DUMMYFUNCTION("""COMPUTED_VALUE"""),1.017)</f>
        <v>1.017</v>
      </c>
      <c r="E8043" s="16">
        <f>IFERROR(__xludf.DUMMYFUNCTION("""COMPUTED_VALUE"""),69.0)</f>
        <v>69</v>
      </c>
      <c r="F8043" s="19" t="str">
        <f>IFERROR(__xludf.DUMMYFUNCTION("""COMPUTED_VALUE"""),"BLACK")</f>
        <v>BLACK</v>
      </c>
      <c r="G8043" s="20" t="str">
        <f>IFERROR(__xludf.DUMMYFUNCTION("""COMPUTED_VALUE"""),"Uncle Sams Cider (5/13/2022)")</f>
        <v>Uncle Sams Cider (5/13/2022)</v>
      </c>
      <c r="H8043" s="19"/>
    </row>
    <row r="8044">
      <c r="A8044" s="9"/>
      <c r="B8044" s="15"/>
      <c r="C8044" s="9">
        <f>IFERROR(__xludf.DUMMYFUNCTION("""COMPUTED_VALUE"""),44712.7443032754)</f>
        <v>44712.7443</v>
      </c>
      <c r="D8044" s="15">
        <f>IFERROR(__xludf.DUMMYFUNCTION("""COMPUTED_VALUE"""),1.016)</f>
        <v>1.016</v>
      </c>
      <c r="E8044" s="16">
        <f>IFERROR(__xludf.DUMMYFUNCTION("""COMPUTED_VALUE"""),69.0)</f>
        <v>69</v>
      </c>
      <c r="F8044" s="19" t="str">
        <f>IFERROR(__xludf.DUMMYFUNCTION("""COMPUTED_VALUE"""),"BLACK")</f>
        <v>BLACK</v>
      </c>
      <c r="G8044" s="20" t="str">
        <f>IFERROR(__xludf.DUMMYFUNCTION("""COMPUTED_VALUE"""),"Uncle Sams Cider (5/13/2022)")</f>
        <v>Uncle Sams Cider (5/13/2022)</v>
      </c>
      <c r="H8044" s="19"/>
    </row>
    <row r="8045">
      <c r="A8045" s="9"/>
      <c r="B8045" s="15"/>
      <c r="C8045" s="9">
        <f>IFERROR(__xludf.DUMMYFUNCTION("""COMPUTED_VALUE"""),44712.7338816088)</f>
        <v>44712.73388</v>
      </c>
      <c r="D8045" s="15">
        <f>IFERROR(__xludf.DUMMYFUNCTION("""COMPUTED_VALUE"""),1.016)</f>
        <v>1.016</v>
      </c>
      <c r="E8045" s="16">
        <f>IFERROR(__xludf.DUMMYFUNCTION("""COMPUTED_VALUE"""),69.0)</f>
        <v>69</v>
      </c>
      <c r="F8045" s="19" t="str">
        <f>IFERROR(__xludf.DUMMYFUNCTION("""COMPUTED_VALUE"""),"BLACK")</f>
        <v>BLACK</v>
      </c>
      <c r="G8045" s="20" t="str">
        <f>IFERROR(__xludf.DUMMYFUNCTION("""COMPUTED_VALUE"""),"Uncle Sams Cider (5/13/2022)")</f>
        <v>Uncle Sams Cider (5/13/2022)</v>
      </c>
      <c r="H8045" s="19"/>
    </row>
    <row r="8046">
      <c r="A8046" s="9"/>
      <c r="B8046" s="15"/>
      <c r="C8046" s="9">
        <f>IFERROR(__xludf.DUMMYFUNCTION("""COMPUTED_VALUE"""),44712.7234492824)</f>
        <v>44712.72345</v>
      </c>
      <c r="D8046" s="15">
        <f>IFERROR(__xludf.DUMMYFUNCTION("""COMPUTED_VALUE"""),1.016)</f>
        <v>1.016</v>
      </c>
      <c r="E8046" s="16">
        <f>IFERROR(__xludf.DUMMYFUNCTION("""COMPUTED_VALUE"""),69.0)</f>
        <v>69</v>
      </c>
      <c r="F8046" s="19" t="str">
        <f>IFERROR(__xludf.DUMMYFUNCTION("""COMPUTED_VALUE"""),"BLACK")</f>
        <v>BLACK</v>
      </c>
      <c r="G8046" s="20" t="str">
        <f>IFERROR(__xludf.DUMMYFUNCTION("""COMPUTED_VALUE"""),"Uncle Sams Cider (5/13/2022)")</f>
        <v>Uncle Sams Cider (5/13/2022)</v>
      </c>
      <c r="H8046" s="19"/>
    </row>
    <row r="8047">
      <c r="A8047" s="9"/>
      <c r="B8047" s="15"/>
      <c r="C8047" s="9">
        <f>IFERROR(__xludf.DUMMYFUNCTION("""COMPUTED_VALUE"""),44712.7130292824)</f>
        <v>44712.71303</v>
      </c>
      <c r="D8047" s="15">
        <f>IFERROR(__xludf.DUMMYFUNCTION("""COMPUTED_VALUE"""),1.017)</f>
        <v>1.017</v>
      </c>
      <c r="E8047" s="16">
        <f>IFERROR(__xludf.DUMMYFUNCTION("""COMPUTED_VALUE"""),69.0)</f>
        <v>69</v>
      </c>
      <c r="F8047" s="19" t="str">
        <f>IFERROR(__xludf.DUMMYFUNCTION("""COMPUTED_VALUE"""),"BLACK")</f>
        <v>BLACK</v>
      </c>
      <c r="G8047" s="20" t="str">
        <f>IFERROR(__xludf.DUMMYFUNCTION("""COMPUTED_VALUE"""),"Uncle Sams Cider (5/13/2022)")</f>
        <v>Uncle Sams Cider (5/13/2022)</v>
      </c>
      <c r="H8047" s="19"/>
    </row>
    <row r="8048">
      <c r="A8048" s="9"/>
      <c r="B8048" s="15"/>
      <c r="C8048" s="9">
        <f>IFERROR(__xludf.DUMMYFUNCTION("""COMPUTED_VALUE"""),44712.7026077893)</f>
        <v>44712.70261</v>
      </c>
      <c r="D8048" s="15">
        <f>IFERROR(__xludf.DUMMYFUNCTION("""COMPUTED_VALUE"""),1.017)</f>
        <v>1.017</v>
      </c>
      <c r="E8048" s="16">
        <f>IFERROR(__xludf.DUMMYFUNCTION("""COMPUTED_VALUE"""),69.0)</f>
        <v>69</v>
      </c>
      <c r="F8048" s="19" t="str">
        <f>IFERROR(__xludf.DUMMYFUNCTION("""COMPUTED_VALUE"""),"BLACK")</f>
        <v>BLACK</v>
      </c>
      <c r="G8048" s="20" t="str">
        <f>IFERROR(__xludf.DUMMYFUNCTION("""COMPUTED_VALUE"""),"Uncle Sams Cider (5/13/2022)")</f>
        <v>Uncle Sams Cider (5/13/2022)</v>
      </c>
      <c r="H8048" s="19"/>
    </row>
    <row r="8049">
      <c r="A8049" s="9"/>
      <c r="B8049" s="15"/>
      <c r="C8049" s="9">
        <f>IFERROR(__xludf.DUMMYFUNCTION("""COMPUTED_VALUE"""),44712.6921748032)</f>
        <v>44712.69217</v>
      </c>
      <c r="D8049" s="15">
        <f>IFERROR(__xludf.DUMMYFUNCTION("""COMPUTED_VALUE"""),1.017)</f>
        <v>1.017</v>
      </c>
      <c r="E8049" s="16">
        <f>IFERROR(__xludf.DUMMYFUNCTION("""COMPUTED_VALUE"""),69.0)</f>
        <v>69</v>
      </c>
      <c r="F8049" s="19" t="str">
        <f>IFERROR(__xludf.DUMMYFUNCTION("""COMPUTED_VALUE"""),"BLACK")</f>
        <v>BLACK</v>
      </c>
      <c r="G8049" s="20" t="str">
        <f>IFERROR(__xludf.DUMMYFUNCTION("""COMPUTED_VALUE"""),"Uncle Sams Cider (5/13/2022)")</f>
        <v>Uncle Sams Cider (5/13/2022)</v>
      </c>
      <c r="H8049" s="19"/>
    </row>
    <row r="8050">
      <c r="A8050" s="9"/>
      <c r="B8050" s="15"/>
      <c r="C8050" s="9">
        <f>IFERROR(__xludf.DUMMYFUNCTION("""COMPUTED_VALUE"""),44712.6817526736)</f>
        <v>44712.68175</v>
      </c>
      <c r="D8050" s="15">
        <f>IFERROR(__xludf.DUMMYFUNCTION("""COMPUTED_VALUE"""),1.017)</f>
        <v>1.017</v>
      </c>
      <c r="E8050" s="16">
        <f>IFERROR(__xludf.DUMMYFUNCTION("""COMPUTED_VALUE"""),69.0)</f>
        <v>69</v>
      </c>
      <c r="F8050" s="19" t="str">
        <f>IFERROR(__xludf.DUMMYFUNCTION("""COMPUTED_VALUE"""),"BLACK")</f>
        <v>BLACK</v>
      </c>
      <c r="G8050" s="20" t="str">
        <f>IFERROR(__xludf.DUMMYFUNCTION("""COMPUTED_VALUE"""),"Uncle Sams Cider (5/13/2022)")</f>
        <v>Uncle Sams Cider (5/13/2022)</v>
      </c>
      <c r="H8050" s="19"/>
    </row>
    <row r="8051">
      <c r="A8051" s="9"/>
      <c r="B8051" s="15"/>
      <c r="C8051" s="9">
        <f>IFERROR(__xludf.DUMMYFUNCTION("""COMPUTED_VALUE"""),44712.6713315625)</f>
        <v>44712.67133</v>
      </c>
      <c r="D8051" s="15">
        <f>IFERROR(__xludf.DUMMYFUNCTION("""COMPUTED_VALUE"""),1.017)</f>
        <v>1.017</v>
      </c>
      <c r="E8051" s="16">
        <f>IFERROR(__xludf.DUMMYFUNCTION("""COMPUTED_VALUE"""),69.0)</f>
        <v>69</v>
      </c>
      <c r="F8051" s="19" t="str">
        <f>IFERROR(__xludf.DUMMYFUNCTION("""COMPUTED_VALUE"""),"BLACK")</f>
        <v>BLACK</v>
      </c>
      <c r="G8051" s="20" t="str">
        <f>IFERROR(__xludf.DUMMYFUNCTION("""COMPUTED_VALUE"""),"Uncle Sams Cider (5/13/2022)")</f>
        <v>Uncle Sams Cider (5/13/2022)</v>
      </c>
      <c r="H8051" s="19"/>
    </row>
    <row r="8052">
      <c r="A8052" s="9"/>
      <c r="B8052" s="15"/>
      <c r="C8052" s="9">
        <f>IFERROR(__xludf.DUMMYFUNCTION("""COMPUTED_VALUE"""),44712.6609112731)</f>
        <v>44712.66091</v>
      </c>
      <c r="D8052" s="15">
        <f>IFERROR(__xludf.DUMMYFUNCTION("""COMPUTED_VALUE"""),1.017)</f>
        <v>1.017</v>
      </c>
      <c r="E8052" s="16">
        <f>IFERROR(__xludf.DUMMYFUNCTION("""COMPUTED_VALUE"""),69.0)</f>
        <v>69</v>
      </c>
      <c r="F8052" s="19" t="str">
        <f>IFERROR(__xludf.DUMMYFUNCTION("""COMPUTED_VALUE"""),"BLACK")</f>
        <v>BLACK</v>
      </c>
      <c r="G8052" s="20" t="str">
        <f>IFERROR(__xludf.DUMMYFUNCTION("""COMPUTED_VALUE"""),"Uncle Sams Cider (5/13/2022)")</f>
        <v>Uncle Sams Cider (5/13/2022)</v>
      </c>
      <c r="H8052" s="19"/>
    </row>
    <row r="8053">
      <c r="A8053" s="9"/>
      <c r="B8053" s="15"/>
      <c r="C8053" s="9">
        <f>IFERROR(__xludf.DUMMYFUNCTION("""COMPUTED_VALUE"""),44712.6504903124)</f>
        <v>44712.65049</v>
      </c>
      <c r="D8053" s="15">
        <f>IFERROR(__xludf.DUMMYFUNCTION("""COMPUTED_VALUE"""),1.017)</f>
        <v>1.017</v>
      </c>
      <c r="E8053" s="16">
        <f>IFERROR(__xludf.DUMMYFUNCTION("""COMPUTED_VALUE"""),69.0)</f>
        <v>69</v>
      </c>
      <c r="F8053" s="19" t="str">
        <f>IFERROR(__xludf.DUMMYFUNCTION("""COMPUTED_VALUE"""),"BLACK")</f>
        <v>BLACK</v>
      </c>
      <c r="G8053" s="20" t="str">
        <f>IFERROR(__xludf.DUMMYFUNCTION("""COMPUTED_VALUE"""),"Uncle Sams Cider (5/13/2022)")</f>
        <v>Uncle Sams Cider (5/13/2022)</v>
      </c>
      <c r="H8053" s="19"/>
    </row>
    <row r="8054">
      <c r="A8054" s="9"/>
      <c r="B8054" s="15"/>
      <c r="C8054" s="9">
        <f>IFERROR(__xludf.DUMMYFUNCTION("""COMPUTED_VALUE"""),44712.6400674652)</f>
        <v>44712.64007</v>
      </c>
      <c r="D8054" s="15">
        <f>IFERROR(__xludf.DUMMYFUNCTION("""COMPUTED_VALUE"""),1.017)</f>
        <v>1.017</v>
      </c>
      <c r="E8054" s="16">
        <f>IFERROR(__xludf.DUMMYFUNCTION("""COMPUTED_VALUE"""),69.0)</f>
        <v>69</v>
      </c>
      <c r="F8054" s="19" t="str">
        <f>IFERROR(__xludf.DUMMYFUNCTION("""COMPUTED_VALUE"""),"BLACK")</f>
        <v>BLACK</v>
      </c>
      <c r="G8054" s="20" t="str">
        <f>IFERROR(__xludf.DUMMYFUNCTION("""COMPUTED_VALUE"""),"Uncle Sams Cider (5/13/2022)")</f>
        <v>Uncle Sams Cider (5/13/2022)</v>
      </c>
      <c r="H8054" s="19"/>
    </row>
    <row r="8055">
      <c r="A8055" s="9"/>
      <c r="B8055" s="15"/>
      <c r="C8055" s="9">
        <f>IFERROR(__xludf.DUMMYFUNCTION("""COMPUTED_VALUE"""),44712.6296472685)</f>
        <v>44712.62965</v>
      </c>
      <c r="D8055" s="15">
        <f>IFERROR(__xludf.DUMMYFUNCTION("""COMPUTED_VALUE"""),1.017)</f>
        <v>1.017</v>
      </c>
      <c r="E8055" s="16">
        <f>IFERROR(__xludf.DUMMYFUNCTION("""COMPUTED_VALUE"""),69.0)</f>
        <v>69</v>
      </c>
      <c r="F8055" s="19" t="str">
        <f>IFERROR(__xludf.DUMMYFUNCTION("""COMPUTED_VALUE"""),"BLACK")</f>
        <v>BLACK</v>
      </c>
      <c r="G8055" s="20" t="str">
        <f>IFERROR(__xludf.DUMMYFUNCTION("""COMPUTED_VALUE"""),"Uncle Sams Cider (5/13/2022)")</f>
        <v>Uncle Sams Cider (5/13/2022)</v>
      </c>
      <c r="H8055" s="19"/>
    </row>
    <row r="8056">
      <c r="A8056" s="9"/>
      <c r="B8056" s="15"/>
      <c r="C8056" s="9">
        <f>IFERROR(__xludf.DUMMYFUNCTION("""COMPUTED_VALUE"""),44712.6192255671)</f>
        <v>44712.61923</v>
      </c>
      <c r="D8056" s="15">
        <f>IFERROR(__xludf.DUMMYFUNCTION("""COMPUTED_VALUE"""),1.017)</f>
        <v>1.017</v>
      </c>
      <c r="E8056" s="16">
        <f>IFERROR(__xludf.DUMMYFUNCTION("""COMPUTED_VALUE"""),69.0)</f>
        <v>69</v>
      </c>
      <c r="F8056" s="19" t="str">
        <f>IFERROR(__xludf.DUMMYFUNCTION("""COMPUTED_VALUE"""),"BLACK")</f>
        <v>BLACK</v>
      </c>
      <c r="G8056" s="20" t="str">
        <f>IFERROR(__xludf.DUMMYFUNCTION("""COMPUTED_VALUE"""),"Uncle Sams Cider (5/13/2022)")</f>
        <v>Uncle Sams Cider (5/13/2022)</v>
      </c>
      <c r="H8056" s="19"/>
    </row>
    <row r="8057">
      <c r="A8057" s="9"/>
      <c r="B8057" s="15"/>
      <c r="C8057" s="9">
        <f>IFERROR(__xludf.DUMMYFUNCTION("""COMPUTED_VALUE"""),44712.6088040046)</f>
        <v>44712.6088</v>
      </c>
      <c r="D8057" s="15">
        <f>IFERROR(__xludf.DUMMYFUNCTION("""COMPUTED_VALUE"""),1.017)</f>
        <v>1.017</v>
      </c>
      <c r="E8057" s="16">
        <f>IFERROR(__xludf.DUMMYFUNCTION("""COMPUTED_VALUE"""),69.0)</f>
        <v>69</v>
      </c>
      <c r="F8057" s="19" t="str">
        <f>IFERROR(__xludf.DUMMYFUNCTION("""COMPUTED_VALUE"""),"BLACK")</f>
        <v>BLACK</v>
      </c>
      <c r="G8057" s="20" t="str">
        <f>IFERROR(__xludf.DUMMYFUNCTION("""COMPUTED_VALUE"""),"Uncle Sams Cider (5/13/2022)")</f>
        <v>Uncle Sams Cider (5/13/2022)</v>
      </c>
      <c r="H8057" s="19"/>
    </row>
    <row r="8058">
      <c r="A8058" s="9"/>
      <c r="B8058" s="15"/>
      <c r="C8058" s="9">
        <f>IFERROR(__xludf.DUMMYFUNCTION("""COMPUTED_VALUE"""),44712.598381956)</f>
        <v>44712.59838</v>
      </c>
      <c r="D8058" s="15">
        <f>IFERROR(__xludf.DUMMYFUNCTION("""COMPUTED_VALUE"""),1.017)</f>
        <v>1.017</v>
      </c>
      <c r="E8058" s="16">
        <f>IFERROR(__xludf.DUMMYFUNCTION("""COMPUTED_VALUE"""),69.0)</f>
        <v>69</v>
      </c>
      <c r="F8058" s="19" t="str">
        <f>IFERROR(__xludf.DUMMYFUNCTION("""COMPUTED_VALUE"""),"BLACK")</f>
        <v>BLACK</v>
      </c>
      <c r="G8058" s="20" t="str">
        <f>IFERROR(__xludf.DUMMYFUNCTION("""COMPUTED_VALUE"""),"Uncle Sams Cider (5/13/2022)")</f>
        <v>Uncle Sams Cider (5/13/2022)</v>
      </c>
      <c r="H8058" s="19"/>
    </row>
    <row r="8059">
      <c r="A8059" s="9"/>
      <c r="B8059" s="15"/>
      <c r="C8059" s="9">
        <f>IFERROR(__xludf.DUMMYFUNCTION("""COMPUTED_VALUE"""),44712.5879606828)</f>
        <v>44712.58796</v>
      </c>
      <c r="D8059" s="15">
        <f>IFERROR(__xludf.DUMMYFUNCTION("""COMPUTED_VALUE"""),1.017)</f>
        <v>1.017</v>
      </c>
      <c r="E8059" s="16">
        <f>IFERROR(__xludf.DUMMYFUNCTION("""COMPUTED_VALUE"""),69.0)</f>
        <v>69</v>
      </c>
      <c r="F8059" s="19" t="str">
        <f>IFERROR(__xludf.DUMMYFUNCTION("""COMPUTED_VALUE"""),"BLACK")</f>
        <v>BLACK</v>
      </c>
      <c r="G8059" s="20" t="str">
        <f>IFERROR(__xludf.DUMMYFUNCTION("""COMPUTED_VALUE"""),"Uncle Sams Cider (5/13/2022)")</f>
        <v>Uncle Sams Cider (5/13/2022)</v>
      </c>
      <c r="H8059" s="19"/>
    </row>
    <row r="8060">
      <c r="A8060" s="9"/>
      <c r="B8060" s="15"/>
      <c r="C8060" s="9">
        <f>IFERROR(__xludf.DUMMYFUNCTION("""COMPUTED_VALUE"""),44712.5775293287)</f>
        <v>44712.57753</v>
      </c>
      <c r="D8060" s="15">
        <f>IFERROR(__xludf.DUMMYFUNCTION("""COMPUTED_VALUE"""),1.017)</f>
        <v>1.017</v>
      </c>
      <c r="E8060" s="16">
        <f>IFERROR(__xludf.DUMMYFUNCTION("""COMPUTED_VALUE"""),69.0)</f>
        <v>69</v>
      </c>
      <c r="F8060" s="19" t="str">
        <f>IFERROR(__xludf.DUMMYFUNCTION("""COMPUTED_VALUE"""),"BLACK")</f>
        <v>BLACK</v>
      </c>
      <c r="G8060" s="20" t="str">
        <f>IFERROR(__xludf.DUMMYFUNCTION("""COMPUTED_VALUE"""),"Uncle Sams Cider (5/13/2022)")</f>
        <v>Uncle Sams Cider (5/13/2022)</v>
      </c>
      <c r="H8060" s="19"/>
    </row>
    <row r="8061">
      <c r="A8061" s="9"/>
      <c r="B8061" s="15"/>
      <c r="C8061" s="9">
        <f>IFERROR(__xludf.DUMMYFUNCTION("""COMPUTED_VALUE"""),44712.5670962037)</f>
        <v>44712.5671</v>
      </c>
      <c r="D8061" s="15">
        <f>IFERROR(__xludf.DUMMYFUNCTION("""COMPUTED_VALUE"""),1.017)</f>
        <v>1.017</v>
      </c>
      <c r="E8061" s="16">
        <f>IFERROR(__xludf.DUMMYFUNCTION("""COMPUTED_VALUE"""),69.0)</f>
        <v>69</v>
      </c>
      <c r="F8061" s="19" t="str">
        <f>IFERROR(__xludf.DUMMYFUNCTION("""COMPUTED_VALUE"""),"BLACK")</f>
        <v>BLACK</v>
      </c>
      <c r="G8061" s="20" t="str">
        <f>IFERROR(__xludf.DUMMYFUNCTION("""COMPUTED_VALUE"""),"Uncle Sams Cider (5/13/2022)")</f>
        <v>Uncle Sams Cider (5/13/2022)</v>
      </c>
      <c r="H8061" s="19"/>
    </row>
    <row r="8062">
      <c r="A8062" s="9"/>
      <c r="B8062" s="15"/>
      <c r="C8062" s="9">
        <f>IFERROR(__xludf.DUMMYFUNCTION("""COMPUTED_VALUE"""),44712.5566731944)</f>
        <v>44712.55667</v>
      </c>
      <c r="D8062" s="15">
        <f>IFERROR(__xludf.DUMMYFUNCTION("""COMPUTED_VALUE"""),1.017)</f>
        <v>1.017</v>
      </c>
      <c r="E8062" s="16">
        <f>IFERROR(__xludf.DUMMYFUNCTION("""COMPUTED_VALUE"""),69.0)</f>
        <v>69</v>
      </c>
      <c r="F8062" s="19" t="str">
        <f>IFERROR(__xludf.DUMMYFUNCTION("""COMPUTED_VALUE"""),"BLACK")</f>
        <v>BLACK</v>
      </c>
      <c r="G8062" s="20" t="str">
        <f>IFERROR(__xludf.DUMMYFUNCTION("""COMPUTED_VALUE"""),"Uncle Sams Cider (5/13/2022)")</f>
        <v>Uncle Sams Cider (5/13/2022)</v>
      </c>
      <c r="H8062" s="19"/>
    </row>
    <row r="8063">
      <c r="A8063" s="9"/>
      <c r="B8063" s="15"/>
      <c r="C8063" s="9">
        <f>IFERROR(__xludf.DUMMYFUNCTION("""COMPUTED_VALUE"""),44712.546227037)</f>
        <v>44712.54623</v>
      </c>
      <c r="D8063" s="15">
        <f>IFERROR(__xludf.DUMMYFUNCTION("""COMPUTED_VALUE"""),1.017)</f>
        <v>1.017</v>
      </c>
      <c r="E8063" s="16">
        <f>IFERROR(__xludf.DUMMYFUNCTION("""COMPUTED_VALUE"""),69.0)</f>
        <v>69</v>
      </c>
      <c r="F8063" s="19" t="str">
        <f>IFERROR(__xludf.DUMMYFUNCTION("""COMPUTED_VALUE"""),"BLACK")</f>
        <v>BLACK</v>
      </c>
      <c r="G8063" s="20" t="str">
        <f>IFERROR(__xludf.DUMMYFUNCTION("""COMPUTED_VALUE"""),"Uncle Sams Cider (5/13/2022)")</f>
        <v>Uncle Sams Cider (5/13/2022)</v>
      </c>
      <c r="H8063" s="19"/>
    </row>
    <row r="8064">
      <c r="A8064" s="9"/>
      <c r="B8064" s="15"/>
      <c r="C8064" s="9">
        <f>IFERROR(__xludf.DUMMYFUNCTION("""COMPUTED_VALUE"""),44712.5358062731)</f>
        <v>44712.53581</v>
      </c>
      <c r="D8064" s="15">
        <f>IFERROR(__xludf.DUMMYFUNCTION("""COMPUTED_VALUE"""),1.017)</f>
        <v>1.017</v>
      </c>
      <c r="E8064" s="16">
        <f>IFERROR(__xludf.DUMMYFUNCTION("""COMPUTED_VALUE"""),69.0)</f>
        <v>69</v>
      </c>
      <c r="F8064" s="19" t="str">
        <f>IFERROR(__xludf.DUMMYFUNCTION("""COMPUTED_VALUE"""),"BLACK")</f>
        <v>BLACK</v>
      </c>
      <c r="G8064" s="20" t="str">
        <f>IFERROR(__xludf.DUMMYFUNCTION("""COMPUTED_VALUE"""),"Uncle Sams Cider (5/13/2022)")</f>
        <v>Uncle Sams Cider (5/13/2022)</v>
      </c>
      <c r="H8064" s="19"/>
    </row>
    <row r="8065">
      <c r="A8065" s="9"/>
      <c r="B8065" s="15"/>
      <c r="C8065" s="9">
        <f>IFERROR(__xludf.DUMMYFUNCTION("""COMPUTED_VALUE"""),44712.5253866319)</f>
        <v>44712.52539</v>
      </c>
      <c r="D8065" s="15">
        <f>IFERROR(__xludf.DUMMYFUNCTION("""COMPUTED_VALUE"""),1.017)</f>
        <v>1.017</v>
      </c>
      <c r="E8065" s="16">
        <f>IFERROR(__xludf.DUMMYFUNCTION("""COMPUTED_VALUE"""),69.0)</f>
        <v>69</v>
      </c>
      <c r="F8065" s="19" t="str">
        <f>IFERROR(__xludf.DUMMYFUNCTION("""COMPUTED_VALUE"""),"BLACK")</f>
        <v>BLACK</v>
      </c>
      <c r="G8065" s="20" t="str">
        <f>IFERROR(__xludf.DUMMYFUNCTION("""COMPUTED_VALUE"""),"Uncle Sams Cider (5/13/2022)")</f>
        <v>Uncle Sams Cider (5/13/2022)</v>
      </c>
      <c r="H8065" s="19"/>
    </row>
    <row r="8066">
      <c r="A8066" s="9"/>
      <c r="B8066" s="15"/>
      <c r="C8066" s="9">
        <f>IFERROR(__xludf.DUMMYFUNCTION("""COMPUTED_VALUE"""),44712.5149631365)</f>
        <v>44712.51496</v>
      </c>
      <c r="D8066" s="15">
        <f>IFERROR(__xludf.DUMMYFUNCTION("""COMPUTED_VALUE"""),1.018)</f>
        <v>1.018</v>
      </c>
      <c r="E8066" s="16">
        <f>IFERROR(__xludf.DUMMYFUNCTION("""COMPUTED_VALUE"""),69.0)</f>
        <v>69</v>
      </c>
      <c r="F8066" s="19" t="str">
        <f>IFERROR(__xludf.DUMMYFUNCTION("""COMPUTED_VALUE"""),"BLACK")</f>
        <v>BLACK</v>
      </c>
      <c r="G8066" s="20" t="str">
        <f>IFERROR(__xludf.DUMMYFUNCTION("""COMPUTED_VALUE"""),"Uncle Sams Cider (5/13/2022)")</f>
        <v>Uncle Sams Cider (5/13/2022)</v>
      </c>
      <c r="H8066" s="19"/>
    </row>
    <row r="8067">
      <c r="A8067" s="9"/>
      <c r="B8067" s="15"/>
      <c r="C8067" s="9">
        <f>IFERROR(__xludf.DUMMYFUNCTION("""COMPUTED_VALUE"""),44712.5045297569)</f>
        <v>44712.50453</v>
      </c>
      <c r="D8067" s="15">
        <f>IFERROR(__xludf.DUMMYFUNCTION("""COMPUTED_VALUE"""),1.017)</f>
        <v>1.017</v>
      </c>
      <c r="E8067" s="16">
        <f>IFERROR(__xludf.DUMMYFUNCTION("""COMPUTED_VALUE"""),69.0)</f>
        <v>69</v>
      </c>
      <c r="F8067" s="19" t="str">
        <f>IFERROR(__xludf.DUMMYFUNCTION("""COMPUTED_VALUE"""),"BLACK")</f>
        <v>BLACK</v>
      </c>
      <c r="G8067" s="20" t="str">
        <f>IFERROR(__xludf.DUMMYFUNCTION("""COMPUTED_VALUE"""),"Uncle Sams Cider (5/13/2022)")</f>
        <v>Uncle Sams Cider (5/13/2022)</v>
      </c>
      <c r="H8067" s="19"/>
    </row>
    <row r="8068">
      <c r="A8068" s="9"/>
      <c r="B8068" s="15"/>
      <c r="C8068" s="9">
        <f>IFERROR(__xludf.DUMMYFUNCTION("""COMPUTED_VALUE"""),44712.4941096643)</f>
        <v>44712.49411</v>
      </c>
      <c r="D8068" s="15">
        <f>IFERROR(__xludf.DUMMYFUNCTION("""COMPUTED_VALUE"""),1.017)</f>
        <v>1.017</v>
      </c>
      <c r="E8068" s="16">
        <f>IFERROR(__xludf.DUMMYFUNCTION("""COMPUTED_VALUE"""),69.0)</f>
        <v>69</v>
      </c>
      <c r="F8068" s="19" t="str">
        <f>IFERROR(__xludf.DUMMYFUNCTION("""COMPUTED_VALUE"""),"BLACK")</f>
        <v>BLACK</v>
      </c>
      <c r="G8068" s="20" t="str">
        <f>IFERROR(__xludf.DUMMYFUNCTION("""COMPUTED_VALUE"""),"Uncle Sams Cider (5/13/2022)")</f>
        <v>Uncle Sams Cider (5/13/2022)</v>
      </c>
      <c r="H8068" s="19"/>
    </row>
    <row r="8069">
      <c r="A8069" s="9"/>
      <c r="B8069" s="15"/>
      <c r="C8069" s="9">
        <f>IFERROR(__xludf.DUMMYFUNCTION("""COMPUTED_VALUE"""),44712.4836665625)</f>
        <v>44712.48367</v>
      </c>
      <c r="D8069" s="15">
        <f>IFERROR(__xludf.DUMMYFUNCTION("""COMPUTED_VALUE"""),1.017)</f>
        <v>1.017</v>
      </c>
      <c r="E8069" s="16">
        <f>IFERROR(__xludf.DUMMYFUNCTION("""COMPUTED_VALUE"""),69.0)</f>
        <v>69</v>
      </c>
      <c r="F8069" s="19" t="str">
        <f>IFERROR(__xludf.DUMMYFUNCTION("""COMPUTED_VALUE"""),"BLACK")</f>
        <v>BLACK</v>
      </c>
      <c r="G8069" s="20" t="str">
        <f>IFERROR(__xludf.DUMMYFUNCTION("""COMPUTED_VALUE"""),"Uncle Sams Cider (5/13/2022)")</f>
        <v>Uncle Sams Cider (5/13/2022)</v>
      </c>
      <c r="H8069" s="19"/>
    </row>
    <row r="8070">
      <c r="A8070" s="9"/>
      <c r="B8070" s="15"/>
      <c r="C8070" s="9">
        <f>IFERROR(__xludf.DUMMYFUNCTION("""COMPUTED_VALUE"""),44712.4732234259)</f>
        <v>44712.47322</v>
      </c>
      <c r="D8070" s="15">
        <f>IFERROR(__xludf.DUMMYFUNCTION("""COMPUTED_VALUE"""),1.017)</f>
        <v>1.017</v>
      </c>
      <c r="E8070" s="16">
        <f>IFERROR(__xludf.DUMMYFUNCTION("""COMPUTED_VALUE"""),69.0)</f>
        <v>69</v>
      </c>
      <c r="F8070" s="19" t="str">
        <f>IFERROR(__xludf.DUMMYFUNCTION("""COMPUTED_VALUE"""),"BLACK")</f>
        <v>BLACK</v>
      </c>
      <c r="G8070" s="20" t="str">
        <f>IFERROR(__xludf.DUMMYFUNCTION("""COMPUTED_VALUE"""),"Uncle Sams Cider (5/13/2022)")</f>
        <v>Uncle Sams Cider (5/13/2022)</v>
      </c>
      <c r="H8070" s="19"/>
    </row>
    <row r="8071">
      <c r="A8071" s="9"/>
      <c r="B8071" s="15"/>
      <c r="C8071" s="9">
        <f>IFERROR(__xludf.DUMMYFUNCTION("""COMPUTED_VALUE"""),44712.4628003935)</f>
        <v>44712.4628</v>
      </c>
      <c r="D8071" s="15">
        <f>IFERROR(__xludf.DUMMYFUNCTION("""COMPUTED_VALUE"""),1.017)</f>
        <v>1.017</v>
      </c>
      <c r="E8071" s="16">
        <f>IFERROR(__xludf.DUMMYFUNCTION("""COMPUTED_VALUE"""),69.0)</f>
        <v>69</v>
      </c>
      <c r="F8071" s="19" t="str">
        <f>IFERROR(__xludf.DUMMYFUNCTION("""COMPUTED_VALUE"""),"BLACK")</f>
        <v>BLACK</v>
      </c>
      <c r="G8071" s="20" t="str">
        <f>IFERROR(__xludf.DUMMYFUNCTION("""COMPUTED_VALUE"""),"Uncle Sams Cider (5/13/2022)")</f>
        <v>Uncle Sams Cider (5/13/2022)</v>
      </c>
      <c r="H8071" s="19"/>
    </row>
    <row r="8072">
      <c r="A8072" s="9"/>
      <c r="B8072" s="15"/>
      <c r="C8072" s="9">
        <f>IFERROR(__xludf.DUMMYFUNCTION("""COMPUTED_VALUE"""),44712.4523786921)</f>
        <v>44712.45238</v>
      </c>
      <c r="D8072" s="15">
        <f>IFERROR(__xludf.DUMMYFUNCTION("""COMPUTED_VALUE"""),1.017)</f>
        <v>1.017</v>
      </c>
      <c r="E8072" s="16">
        <f>IFERROR(__xludf.DUMMYFUNCTION("""COMPUTED_VALUE"""),69.0)</f>
        <v>69</v>
      </c>
      <c r="F8072" s="19" t="str">
        <f>IFERROR(__xludf.DUMMYFUNCTION("""COMPUTED_VALUE"""),"BLACK")</f>
        <v>BLACK</v>
      </c>
      <c r="G8072" s="20" t="str">
        <f>IFERROR(__xludf.DUMMYFUNCTION("""COMPUTED_VALUE"""),"Uncle Sams Cider (5/13/2022)")</f>
        <v>Uncle Sams Cider (5/13/2022)</v>
      </c>
      <c r="H8072" s="19"/>
    </row>
    <row r="8073">
      <c r="A8073" s="9"/>
      <c r="B8073" s="15"/>
      <c r="C8073" s="9">
        <f>IFERROR(__xludf.DUMMYFUNCTION("""COMPUTED_VALUE"""),44712.441957905)</f>
        <v>44712.44196</v>
      </c>
      <c r="D8073" s="15">
        <f>IFERROR(__xludf.DUMMYFUNCTION("""COMPUTED_VALUE"""),1.017)</f>
        <v>1.017</v>
      </c>
      <c r="E8073" s="16">
        <f>IFERROR(__xludf.DUMMYFUNCTION("""COMPUTED_VALUE"""),69.0)</f>
        <v>69</v>
      </c>
      <c r="F8073" s="19" t="str">
        <f>IFERROR(__xludf.DUMMYFUNCTION("""COMPUTED_VALUE"""),"BLACK")</f>
        <v>BLACK</v>
      </c>
      <c r="G8073" s="20" t="str">
        <f>IFERROR(__xludf.DUMMYFUNCTION("""COMPUTED_VALUE"""),"Uncle Sams Cider (5/13/2022)")</f>
        <v>Uncle Sams Cider (5/13/2022)</v>
      </c>
      <c r="H8073" s="19"/>
    </row>
    <row r="8074">
      <c r="A8074" s="9"/>
      <c r="B8074" s="15"/>
      <c r="C8074" s="9">
        <f>IFERROR(__xludf.DUMMYFUNCTION("""COMPUTED_VALUE"""),44712.4315356597)</f>
        <v>44712.43154</v>
      </c>
      <c r="D8074" s="15">
        <f>IFERROR(__xludf.DUMMYFUNCTION("""COMPUTED_VALUE"""),1.017)</f>
        <v>1.017</v>
      </c>
      <c r="E8074" s="16">
        <f>IFERROR(__xludf.DUMMYFUNCTION("""COMPUTED_VALUE"""),69.0)</f>
        <v>69</v>
      </c>
      <c r="F8074" s="19" t="str">
        <f>IFERROR(__xludf.DUMMYFUNCTION("""COMPUTED_VALUE"""),"BLACK")</f>
        <v>BLACK</v>
      </c>
      <c r="G8074" s="20" t="str">
        <f>IFERROR(__xludf.DUMMYFUNCTION("""COMPUTED_VALUE"""),"Uncle Sams Cider (5/13/2022)")</f>
        <v>Uncle Sams Cider (5/13/2022)</v>
      </c>
      <c r="H8074" s="19"/>
    </row>
    <row r="8075">
      <c r="A8075" s="9"/>
      <c r="B8075" s="15"/>
      <c r="C8075" s="9">
        <f>IFERROR(__xludf.DUMMYFUNCTION("""COMPUTED_VALUE"""),44712.4211139814)</f>
        <v>44712.42111</v>
      </c>
      <c r="D8075" s="15">
        <f>IFERROR(__xludf.DUMMYFUNCTION("""COMPUTED_VALUE"""),1.017)</f>
        <v>1.017</v>
      </c>
      <c r="E8075" s="16">
        <f>IFERROR(__xludf.DUMMYFUNCTION("""COMPUTED_VALUE"""),69.0)</f>
        <v>69</v>
      </c>
      <c r="F8075" s="19" t="str">
        <f>IFERROR(__xludf.DUMMYFUNCTION("""COMPUTED_VALUE"""),"BLACK")</f>
        <v>BLACK</v>
      </c>
      <c r="G8075" s="20" t="str">
        <f>IFERROR(__xludf.DUMMYFUNCTION("""COMPUTED_VALUE"""),"Uncle Sams Cider (5/13/2022)")</f>
        <v>Uncle Sams Cider (5/13/2022)</v>
      </c>
      <c r="H8075" s="19"/>
    </row>
    <row r="8076">
      <c r="A8076" s="9"/>
      <c r="B8076" s="15"/>
      <c r="C8076" s="9">
        <f>IFERROR(__xludf.DUMMYFUNCTION("""COMPUTED_VALUE"""),44712.4106937963)</f>
        <v>44712.41069</v>
      </c>
      <c r="D8076" s="15">
        <f>IFERROR(__xludf.DUMMYFUNCTION("""COMPUTED_VALUE"""),1.018)</f>
        <v>1.018</v>
      </c>
      <c r="E8076" s="16">
        <f>IFERROR(__xludf.DUMMYFUNCTION("""COMPUTED_VALUE"""),69.0)</f>
        <v>69</v>
      </c>
      <c r="F8076" s="19" t="str">
        <f>IFERROR(__xludf.DUMMYFUNCTION("""COMPUTED_VALUE"""),"BLACK")</f>
        <v>BLACK</v>
      </c>
      <c r="G8076" s="20" t="str">
        <f>IFERROR(__xludf.DUMMYFUNCTION("""COMPUTED_VALUE"""),"Uncle Sams Cider (5/13/2022)")</f>
        <v>Uncle Sams Cider (5/13/2022)</v>
      </c>
      <c r="H8076" s="19"/>
    </row>
    <row r="8077">
      <c r="A8077" s="9"/>
      <c r="B8077" s="15"/>
      <c r="C8077" s="9">
        <f>IFERROR(__xludf.DUMMYFUNCTION("""COMPUTED_VALUE"""),44712.4002720138)</f>
        <v>44712.40027</v>
      </c>
      <c r="D8077" s="15">
        <f>IFERROR(__xludf.DUMMYFUNCTION("""COMPUTED_VALUE"""),1.017)</f>
        <v>1.017</v>
      </c>
      <c r="E8077" s="16">
        <f>IFERROR(__xludf.DUMMYFUNCTION("""COMPUTED_VALUE"""),69.0)</f>
        <v>69</v>
      </c>
      <c r="F8077" s="19" t="str">
        <f>IFERROR(__xludf.DUMMYFUNCTION("""COMPUTED_VALUE"""),"BLACK")</f>
        <v>BLACK</v>
      </c>
      <c r="G8077" s="20" t="str">
        <f>IFERROR(__xludf.DUMMYFUNCTION("""COMPUTED_VALUE"""),"Uncle Sams Cider (5/13/2022)")</f>
        <v>Uncle Sams Cider (5/13/2022)</v>
      </c>
      <c r="H8077" s="19"/>
    </row>
    <row r="8078">
      <c r="A8078" s="9"/>
      <c r="B8078" s="15"/>
      <c r="C8078" s="9">
        <f>IFERROR(__xludf.DUMMYFUNCTION("""COMPUTED_VALUE"""),44712.3898376736)</f>
        <v>44712.38984</v>
      </c>
      <c r="D8078" s="15">
        <f>IFERROR(__xludf.DUMMYFUNCTION("""COMPUTED_VALUE"""),1.017)</f>
        <v>1.017</v>
      </c>
      <c r="E8078" s="16">
        <f>IFERROR(__xludf.DUMMYFUNCTION("""COMPUTED_VALUE"""),69.0)</f>
        <v>69</v>
      </c>
      <c r="F8078" s="19" t="str">
        <f>IFERROR(__xludf.DUMMYFUNCTION("""COMPUTED_VALUE"""),"BLACK")</f>
        <v>BLACK</v>
      </c>
      <c r="G8078" s="20" t="str">
        <f>IFERROR(__xludf.DUMMYFUNCTION("""COMPUTED_VALUE"""),"Uncle Sams Cider (5/13/2022)")</f>
        <v>Uncle Sams Cider (5/13/2022)</v>
      </c>
      <c r="H8078" s="19"/>
    </row>
    <row r="8079">
      <c r="A8079" s="9"/>
      <c r="B8079" s="15"/>
      <c r="C8079" s="9">
        <f>IFERROR(__xludf.DUMMYFUNCTION("""COMPUTED_VALUE"""),44712.3794171527)</f>
        <v>44712.37942</v>
      </c>
      <c r="D8079" s="15">
        <f>IFERROR(__xludf.DUMMYFUNCTION("""COMPUTED_VALUE"""),1.017)</f>
        <v>1.017</v>
      </c>
      <c r="E8079" s="16">
        <f>IFERROR(__xludf.DUMMYFUNCTION("""COMPUTED_VALUE"""),69.0)</f>
        <v>69</v>
      </c>
      <c r="F8079" s="19" t="str">
        <f>IFERROR(__xludf.DUMMYFUNCTION("""COMPUTED_VALUE"""),"BLACK")</f>
        <v>BLACK</v>
      </c>
      <c r="G8079" s="20" t="str">
        <f>IFERROR(__xludf.DUMMYFUNCTION("""COMPUTED_VALUE"""),"Uncle Sams Cider (5/13/2022)")</f>
        <v>Uncle Sams Cider (5/13/2022)</v>
      </c>
      <c r="H8079" s="19"/>
    </row>
    <row r="8080">
      <c r="A8080" s="9"/>
      <c r="B8080" s="15"/>
      <c r="C8080" s="9">
        <f>IFERROR(__xludf.DUMMYFUNCTION("""COMPUTED_VALUE"""),44712.3689857175)</f>
        <v>44712.36899</v>
      </c>
      <c r="D8080" s="15">
        <f>IFERROR(__xludf.DUMMYFUNCTION("""COMPUTED_VALUE"""),1.018)</f>
        <v>1.018</v>
      </c>
      <c r="E8080" s="16">
        <f>IFERROR(__xludf.DUMMYFUNCTION("""COMPUTED_VALUE"""),69.0)</f>
        <v>69</v>
      </c>
      <c r="F8080" s="19" t="str">
        <f>IFERROR(__xludf.DUMMYFUNCTION("""COMPUTED_VALUE"""),"BLACK")</f>
        <v>BLACK</v>
      </c>
      <c r="G8080" s="20" t="str">
        <f>IFERROR(__xludf.DUMMYFUNCTION("""COMPUTED_VALUE"""),"Uncle Sams Cider (5/13/2022)")</f>
        <v>Uncle Sams Cider (5/13/2022)</v>
      </c>
      <c r="H8080" s="19"/>
    </row>
    <row r="8081">
      <c r="A8081" s="9"/>
      <c r="B8081" s="15"/>
      <c r="C8081" s="9">
        <f>IFERROR(__xludf.DUMMYFUNCTION("""COMPUTED_VALUE"""),44712.3585522338)</f>
        <v>44712.35855</v>
      </c>
      <c r="D8081" s="15">
        <f>IFERROR(__xludf.DUMMYFUNCTION("""COMPUTED_VALUE"""),1.017)</f>
        <v>1.017</v>
      </c>
      <c r="E8081" s="16">
        <f>IFERROR(__xludf.DUMMYFUNCTION("""COMPUTED_VALUE"""),69.0)</f>
        <v>69</v>
      </c>
      <c r="F8081" s="19" t="str">
        <f>IFERROR(__xludf.DUMMYFUNCTION("""COMPUTED_VALUE"""),"BLACK")</f>
        <v>BLACK</v>
      </c>
      <c r="G8081" s="20" t="str">
        <f>IFERROR(__xludf.DUMMYFUNCTION("""COMPUTED_VALUE"""),"Uncle Sams Cider (5/13/2022)")</f>
        <v>Uncle Sams Cider (5/13/2022)</v>
      </c>
      <c r="H8081" s="19"/>
    </row>
    <row r="8082">
      <c r="A8082" s="9"/>
      <c r="B8082" s="15"/>
      <c r="C8082" s="9">
        <f>IFERROR(__xludf.DUMMYFUNCTION("""COMPUTED_VALUE"""),44712.3481194328)</f>
        <v>44712.34812</v>
      </c>
      <c r="D8082" s="15">
        <f>IFERROR(__xludf.DUMMYFUNCTION("""COMPUTED_VALUE"""),1.017)</f>
        <v>1.017</v>
      </c>
      <c r="E8082" s="16">
        <f>IFERROR(__xludf.DUMMYFUNCTION("""COMPUTED_VALUE"""),69.0)</f>
        <v>69</v>
      </c>
      <c r="F8082" s="19" t="str">
        <f>IFERROR(__xludf.DUMMYFUNCTION("""COMPUTED_VALUE"""),"BLACK")</f>
        <v>BLACK</v>
      </c>
      <c r="G8082" s="20" t="str">
        <f>IFERROR(__xludf.DUMMYFUNCTION("""COMPUTED_VALUE"""),"Uncle Sams Cider (5/13/2022)")</f>
        <v>Uncle Sams Cider (5/13/2022)</v>
      </c>
      <c r="H8082" s="19"/>
    </row>
    <row r="8083">
      <c r="A8083" s="9"/>
      <c r="B8083" s="15"/>
      <c r="C8083" s="9">
        <f>IFERROR(__xludf.DUMMYFUNCTION("""COMPUTED_VALUE"""),44712.3376970138)</f>
        <v>44712.3377</v>
      </c>
      <c r="D8083" s="15">
        <f>IFERROR(__xludf.DUMMYFUNCTION("""COMPUTED_VALUE"""),1.017)</f>
        <v>1.017</v>
      </c>
      <c r="E8083" s="16">
        <f>IFERROR(__xludf.DUMMYFUNCTION("""COMPUTED_VALUE"""),69.0)</f>
        <v>69</v>
      </c>
      <c r="F8083" s="19" t="str">
        <f>IFERROR(__xludf.DUMMYFUNCTION("""COMPUTED_VALUE"""),"BLACK")</f>
        <v>BLACK</v>
      </c>
      <c r="G8083" s="20" t="str">
        <f>IFERROR(__xludf.DUMMYFUNCTION("""COMPUTED_VALUE"""),"Uncle Sams Cider (5/13/2022)")</f>
        <v>Uncle Sams Cider (5/13/2022)</v>
      </c>
      <c r="H8083" s="19"/>
    </row>
    <row r="8084">
      <c r="A8084" s="9"/>
      <c r="B8084" s="15"/>
      <c r="C8084" s="9">
        <f>IFERROR(__xludf.DUMMYFUNCTION("""COMPUTED_VALUE"""),44712.3272645949)</f>
        <v>44712.32726</v>
      </c>
      <c r="D8084" s="15">
        <f>IFERROR(__xludf.DUMMYFUNCTION("""COMPUTED_VALUE"""),1.018)</f>
        <v>1.018</v>
      </c>
      <c r="E8084" s="16">
        <f>IFERROR(__xludf.DUMMYFUNCTION("""COMPUTED_VALUE"""),69.0)</f>
        <v>69</v>
      </c>
      <c r="F8084" s="19" t="str">
        <f>IFERROR(__xludf.DUMMYFUNCTION("""COMPUTED_VALUE"""),"BLACK")</f>
        <v>BLACK</v>
      </c>
      <c r="G8084" s="20" t="str">
        <f>IFERROR(__xludf.DUMMYFUNCTION("""COMPUTED_VALUE"""),"Uncle Sams Cider (5/13/2022)")</f>
        <v>Uncle Sams Cider (5/13/2022)</v>
      </c>
      <c r="H8084" s="19"/>
    </row>
    <row r="8085">
      <c r="A8085" s="9"/>
      <c r="B8085" s="15"/>
      <c r="C8085" s="9">
        <f>IFERROR(__xludf.DUMMYFUNCTION("""COMPUTED_VALUE"""),44712.3168430092)</f>
        <v>44712.31684</v>
      </c>
      <c r="D8085" s="15">
        <f>IFERROR(__xludf.DUMMYFUNCTION("""COMPUTED_VALUE"""),1.018)</f>
        <v>1.018</v>
      </c>
      <c r="E8085" s="16">
        <f>IFERROR(__xludf.DUMMYFUNCTION("""COMPUTED_VALUE"""),69.0)</f>
        <v>69</v>
      </c>
      <c r="F8085" s="19" t="str">
        <f>IFERROR(__xludf.DUMMYFUNCTION("""COMPUTED_VALUE"""),"BLACK")</f>
        <v>BLACK</v>
      </c>
      <c r="G8085" s="20" t="str">
        <f>IFERROR(__xludf.DUMMYFUNCTION("""COMPUTED_VALUE"""),"Uncle Sams Cider (5/13/2022)")</f>
        <v>Uncle Sams Cider (5/13/2022)</v>
      </c>
      <c r="H8085" s="19"/>
    </row>
    <row r="8086">
      <c r="A8086" s="9"/>
      <c r="B8086" s="15"/>
      <c r="C8086" s="9">
        <f>IFERROR(__xludf.DUMMYFUNCTION("""COMPUTED_VALUE"""),44712.3064224652)</f>
        <v>44712.30642</v>
      </c>
      <c r="D8086" s="15">
        <f>IFERROR(__xludf.DUMMYFUNCTION("""COMPUTED_VALUE"""),1.018)</f>
        <v>1.018</v>
      </c>
      <c r="E8086" s="16">
        <f>IFERROR(__xludf.DUMMYFUNCTION("""COMPUTED_VALUE"""),69.0)</f>
        <v>69</v>
      </c>
      <c r="F8086" s="19" t="str">
        <f>IFERROR(__xludf.DUMMYFUNCTION("""COMPUTED_VALUE"""),"BLACK")</f>
        <v>BLACK</v>
      </c>
      <c r="G8086" s="20" t="str">
        <f>IFERROR(__xludf.DUMMYFUNCTION("""COMPUTED_VALUE"""),"Uncle Sams Cider (5/13/2022)")</f>
        <v>Uncle Sams Cider (5/13/2022)</v>
      </c>
      <c r="H8086" s="19"/>
    </row>
    <row r="8087">
      <c r="A8087" s="9"/>
      <c r="B8087" s="15"/>
      <c r="C8087" s="9">
        <f>IFERROR(__xludf.DUMMYFUNCTION("""COMPUTED_VALUE"""),44712.296000949)</f>
        <v>44712.296</v>
      </c>
      <c r="D8087" s="15">
        <f>IFERROR(__xludf.DUMMYFUNCTION("""COMPUTED_VALUE"""),1.018)</f>
        <v>1.018</v>
      </c>
      <c r="E8087" s="16">
        <f>IFERROR(__xludf.DUMMYFUNCTION("""COMPUTED_VALUE"""),69.0)</f>
        <v>69</v>
      </c>
      <c r="F8087" s="19" t="str">
        <f>IFERROR(__xludf.DUMMYFUNCTION("""COMPUTED_VALUE"""),"BLACK")</f>
        <v>BLACK</v>
      </c>
      <c r="G8087" s="20" t="str">
        <f>IFERROR(__xludf.DUMMYFUNCTION("""COMPUTED_VALUE"""),"Uncle Sams Cider (5/13/2022)")</f>
        <v>Uncle Sams Cider (5/13/2022)</v>
      </c>
      <c r="H8087" s="19"/>
    </row>
    <row r="8088">
      <c r="A8088" s="9"/>
      <c r="B8088" s="15"/>
      <c r="C8088" s="9">
        <f>IFERROR(__xludf.DUMMYFUNCTION("""COMPUTED_VALUE"""),44712.2855803009)</f>
        <v>44712.28558</v>
      </c>
      <c r="D8088" s="15">
        <f>IFERROR(__xludf.DUMMYFUNCTION("""COMPUTED_VALUE"""),1.017)</f>
        <v>1.017</v>
      </c>
      <c r="E8088" s="16">
        <f>IFERROR(__xludf.DUMMYFUNCTION("""COMPUTED_VALUE"""),69.0)</f>
        <v>69</v>
      </c>
      <c r="F8088" s="19" t="str">
        <f>IFERROR(__xludf.DUMMYFUNCTION("""COMPUTED_VALUE"""),"BLACK")</f>
        <v>BLACK</v>
      </c>
      <c r="G8088" s="20" t="str">
        <f>IFERROR(__xludf.DUMMYFUNCTION("""COMPUTED_VALUE"""),"Uncle Sams Cider (5/13/2022)")</f>
        <v>Uncle Sams Cider (5/13/2022)</v>
      </c>
      <c r="H8088" s="19"/>
    </row>
    <row r="8089">
      <c r="A8089" s="9"/>
      <c r="B8089" s="15"/>
      <c r="C8089" s="9">
        <f>IFERROR(__xludf.DUMMYFUNCTION("""COMPUTED_VALUE"""),44712.2751577777)</f>
        <v>44712.27516</v>
      </c>
      <c r="D8089" s="15">
        <f>IFERROR(__xludf.DUMMYFUNCTION("""COMPUTED_VALUE"""),1.018)</f>
        <v>1.018</v>
      </c>
      <c r="E8089" s="16">
        <f>IFERROR(__xludf.DUMMYFUNCTION("""COMPUTED_VALUE"""),69.0)</f>
        <v>69</v>
      </c>
      <c r="F8089" s="19" t="str">
        <f>IFERROR(__xludf.DUMMYFUNCTION("""COMPUTED_VALUE"""),"BLACK")</f>
        <v>BLACK</v>
      </c>
      <c r="G8089" s="20" t="str">
        <f>IFERROR(__xludf.DUMMYFUNCTION("""COMPUTED_VALUE"""),"Uncle Sams Cider (5/13/2022)")</f>
        <v>Uncle Sams Cider (5/13/2022)</v>
      </c>
      <c r="H8089" s="19"/>
    </row>
    <row r="8090">
      <c r="A8090" s="9"/>
      <c r="B8090" s="15"/>
      <c r="C8090" s="9">
        <f>IFERROR(__xludf.DUMMYFUNCTION("""COMPUTED_VALUE"""),44712.2647262037)</f>
        <v>44712.26473</v>
      </c>
      <c r="D8090" s="15">
        <f>IFERROR(__xludf.DUMMYFUNCTION("""COMPUTED_VALUE"""),1.017)</f>
        <v>1.017</v>
      </c>
      <c r="E8090" s="16">
        <f>IFERROR(__xludf.DUMMYFUNCTION("""COMPUTED_VALUE"""),69.0)</f>
        <v>69</v>
      </c>
      <c r="F8090" s="19" t="str">
        <f>IFERROR(__xludf.DUMMYFUNCTION("""COMPUTED_VALUE"""),"BLACK")</f>
        <v>BLACK</v>
      </c>
      <c r="G8090" s="20" t="str">
        <f>IFERROR(__xludf.DUMMYFUNCTION("""COMPUTED_VALUE"""),"Uncle Sams Cider (5/13/2022)")</f>
        <v>Uncle Sams Cider (5/13/2022)</v>
      </c>
      <c r="H8090" s="19"/>
    </row>
    <row r="8091">
      <c r="A8091" s="9"/>
      <c r="B8091" s="15"/>
      <c r="C8091" s="9">
        <f>IFERROR(__xludf.DUMMYFUNCTION("""COMPUTED_VALUE"""),44712.2542943865)</f>
        <v>44712.25429</v>
      </c>
      <c r="D8091" s="15">
        <f>IFERROR(__xludf.DUMMYFUNCTION("""COMPUTED_VALUE"""),1.018)</f>
        <v>1.018</v>
      </c>
      <c r="E8091" s="16">
        <f>IFERROR(__xludf.DUMMYFUNCTION("""COMPUTED_VALUE"""),69.0)</f>
        <v>69</v>
      </c>
      <c r="F8091" s="19" t="str">
        <f>IFERROR(__xludf.DUMMYFUNCTION("""COMPUTED_VALUE"""),"BLACK")</f>
        <v>BLACK</v>
      </c>
      <c r="G8091" s="20" t="str">
        <f>IFERROR(__xludf.DUMMYFUNCTION("""COMPUTED_VALUE"""),"Uncle Sams Cider (5/13/2022)")</f>
        <v>Uncle Sams Cider (5/13/2022)</v>
      </c>
      <c r="H8091" s="19"/>
    </row>
    <row r="8092">
      <c r="A8092" s="9"/>
      <c r="B8092" s="15"/>
      <c r="C8092" s="9">
        <f>IFERROR(__xludf.DUMMYFUNCTION("""COMPUTED_VALUE"""),44712.2438616551)</f>
        <v>44712.24386</v>
      </c>
      <c r="D8092" s="15">
        <f>IFERROR(__xludf.DUMMYFUNCTION("""COMPUTED_VALUE"""),1.018)</f>
        <v>1.018</v>
      </c>
      <c r="E8092" s="16">
        <f>IFERROR(__xludf.DUMMYFUNCTION("""COMPUTED_VALUE"""),69.0)</f>
        <v>69</v>
      </c>
      <c r="F8092" s="19" t="str">
        <f>IFERROR(__xludf.DUMMYFUNCTION("""COMPUTED_VALUE"""),"BLACK")</f>
        <v>BLACK</v>
      </c>
      <c r="G8092" s="20" t="str">
        <f>IFERROR(__xludf.DUMMYFUNCTION("""COMPUTED_VALUE"""),"Uncle Sams Cider (5/13/2022)")</f>
        <v>Uncle Sams Cider (5/13/2022)</v>
      </c>
      <c r="H8092" s="19"/>
    </row>
    <row r="8093">
      <c r="A8093" s="9"/>
      <c r="B8093" s="15"/>
      <c r="C8093" s="9">
        <f>IFERROR(__xludf.DUMMYFUNCTION("""COMPUTED_VALUE"""),44712.2334389699)</f>
        <v>44712.23344</v>
      </c>
      <c r="D8093" s="15">
        <f>IFERROR(__xludf.DUMMYFUNCTION("""COMPUTED_VALUE"""),1.018)</f>
        <v>1.018</v>
      </c>
      <c r="E8093" s="16">
        <f>IFERROR(__xludf.DUMMYFUNCTION("""COMPUTED_VALUE"""),69.0)</f>
        <v>69</v>
      </c>
      <c r="F8093" s="19" t="str">
        <f>IFERROR(__xludf.DUMMYFUNCTION("""COMPUTED_VALUE"""),"BLACK")</f>
        <v>BLACK</v>
      </c>
      <c r="G8093" s="20" t="str">
        <f>IFERROR(__xludf.DUMMYFUNCTION("""COMPUTED_VALUE"""),"Uncle Sams Cider (5/13/2022)")</f>
        <v>Uncle Sams Cider (5/13/2022)</v>
      </c>
      <c r="H8093" s="19"/>
    </row>
    <row r="8094">
      <c r="A8094" s="9"/>
      <c r="B8094" s="15"/>
      <c r="C8094" s="9">
        <f>IFERROR(__xludf.DUMMYFUNCTION("""COMPUTED_VALUE"""),44712.2230165856)</f>
        <v>44712.22302</v>
      </c>
      <c r="D8094" s="15">
        <f>IFERROR(__xludf.DUMMYFUNCTION("""COMPUTED_VALUE"""),1.018)</f>
        <v>1.018</v>
      </c>
      <c r="E8094" s="16">
        <f>IFERROR(__xludf.DUMMYFUNCTION("""COMPUTED_VALUE"""),69.0)</f>
        <v>69</v>
      </c>
      <c r="F8094" s="19" t="str">
        <f>IFERROR(__xludf.DUMMYFUNCTION("""COMPUTED_VALUE"""),"BLACK")</f>
        <v>BLACK</v>
      </c>
      <c r="G8094" s="20" t="str">
        <f>IFERROR(__xludf.DUMMYFUNCTION("""COMPUTED_VALUE"""),"Uncle Sams Cider (5/13/2022)")</f>
        <v>Uncle Sams Cider (5/13/2022)</v>
      </c>
      <c r="H8094" s="19"/>
    </row>
    <row r="8095">
      <c r="A8095" s="9"/>
      <c r="B8095" s="15"/>
      <c r="C8095" s="9">
        <f>IFERROR(__xludf.DUMMYFUNCTION("""COMPUTED_VALUE"""),44712.2125932754)</f>
        <v>44712.21259</v>
      </c>
      <c r="D8095" s="15">
        <f>IFERROR(__xludf.DUMMYFUNCTION("""COMPUTED_VALUE"""),1.018)</f>
        <v>1.018</v>
      </c>
      <c r="E8095" s="16">
        <f>IFERROR(__xludf.DUMMYFUNCTION("""COMPUTED_VALUE"""),69.0)</f>
        <v>69</v>
      </c>
      <c r="F8095" s="19" t="str">
        <f>IFERROR(__xludf.DUMMYFUNCTION("""COMPUTED_VALUE"""),"BLACK")</f>
        <v>BLACK</v>
      </c>
      <c r="G8095" s="20" t="str">
        <f>IFERROR(__xludf.DUMMYFUNCTION("""COMPUTED_VALUE"""),"Uncle Sams Cider (5/13/2022)")</f>
        <v>Uncle Sams Cider (5/13/2022)</v>
      </c>
      <c r="H8095" s="19"/>
    </row>
    <row r="8096">
      <c r="A8096" s="9"/>
      <c r="B8096" s="15"/>
      <c r="C8096" s="9">
        <f>IFERROR(__xludf.DUMMYFUNCTION("""COMPUTED_VALUE"""),44712.2021723148)</f>
        <v>44712.20217</v>
      </c>
      <c r="D8096" s="15">
        <f>IFERROR(__xludf.DUMMYFUNCTION("""COMPUTED_VALUE"""),1.018)</f>
        <v>1.018</v>
      </c>
      <c r="E8096" s="16">
        <f>IFERROR(__xludf.DUMMYFUNCTION("""COMPUTED_VALUE"""),69.0)</f>
        <v>69</v>
      </c>
      <c r="F8096" s="19" t="str">
        <f>IFERROR(__xludf.DUMMYFUNCTION("""COMPUTED_VALUE"""),"BLACK")</f>
        <v>BLACK</v>
      </c>
      <c r="G8096" s="20" t="str">
        <f>IFERROR(__xludf.DUMMYFUNCTION("""COMPUTED_VALUE"""),"Uncle Sams Cider (5/13/2022)")</f>
        <v>Uncle Sams Cider (5/13/2022)</v>
      </c>
      <c r="H8096" s="19"/>
    </row>
    <row r="8097">
      <c r="A8097" s="9"/>
      <c r="B8097" s="15"/>
      <c r="C8097" s="9">
        <f>IFERROR(__xludf.DUMMYFUNCTION("""COMPUTED_VALUE"""),44712.1917517824)</f>
        <v>44712.19175</v>
      </c>
      <c r="D8097" s="15">
        <f>IFERROR(__xludf.DUMMYFUNCTION("""COMPUTED_VALUE"""),1.018)</f>
        <v>1.018</v>
      </c>
      <c r="E8097" s="16">
        <f>IFERROR(__xludf.DUMMYFUNCTION("""COMPUTED_VALUE"""),69.0)</f>
        <v>69</v>
      </c>
      <c r="F8097" s="19" t="str">
        <f>IFERROR(__xludf.DUMMYFUNCTION("""COMPUTED_VALUE"""),"BLACK")</f>
        <v>BLACK</v>
      </c>
      <c r="G8097" s="20" t="str">
        <f>IFERROR(__xludf.DUMMYFUNCTION("""COMPUTED_VALUE"""),"Uncle Sams Cider (5/13/2022)")</f>
        <v>Uncle Sams Cider (5/13/2022)</v>
      </c>
      <c r="H8097" s="19"/>
    </row>
    <row r="8098">
      <c r="A8098" s="9"/>
      <c r="B8098" s="15"/>
      <c r="C8098" s="9">
        <f>IFERROR(__xludf.DUMMYFUNCTION("""COMPUTED_VALUE"""),44712.1813205787)</f>
        <v>44712.18132</v>
      </c>
      <c r="D8098" s="15">
        <f>IFERROR(__xludf.DUMMYFUNCTION("""COMPUTED_VALUE"""),1.018)</f>
        <v>1.018</v>
      </c>
      <c r="E8098" s="16">
        <f>IFERROR(__xludf.DUMMYFUNCTION("""COMPUTED_VALUE"""),69.0)</f>
        <v>69</v>
      </c>
      <c r="F8098" s="19" t="str">
        <f>IFERROR(__xludf.DUMMYFUNCTION("""COMPUTED_VALUE"""),"BLACK")</f>
        <v>BLACK</v>
      </c>
      <c r="G8098" s="20" t="str">
        <f>IFERROR(__xludf.DUMMYFUNCTION("""COMPUTED_VALUE"""),"Uncle Sams Cider (5/13/2022)")</f>
        <v>Uncle Sams Cider (5/13/2022)</v>
      </c>
      <c r="H8098" s="19"/>
    </row>
    <row r="8099">
      <c r="A8099" s="9"/>
      <c r="B8099" s="15"/>
      <c r="C8099" s="9">
        <f>IFERROR(__xludf.DUMMYFUNCTION("""COMPUTED_VALUE"""),44712.1708990856)</f>
        <v>44712.1709</v>
      </c>
      <c r="D8099" s="15">
        <f>IFERROR(__xludf.DUMMYFUNCTION("""COMPUTED_VALUE"""),1.018)</f>
        <v>1.018</v>
      </c>
      <c r="E8099" s="16">
        <f>IFERROR(__xludf.DUMMYFUNCTION("""COMPUTED_VALUE"""),69.0)</f>
        <v>69</v>
      </c>
      <c r="F8099" s="19" t="str">
        <f>IFERROR(__xludf.DUMMYFUNCTION("""COMPUTED_VALUE"""),"BLACK")</f>
        <v>BLACK</v>
      </c>
      <c r="G8099" s="20" t="str">
        <f>IFERROR(__xludf.DUMMYFUNCTION("""COMPUTED_VALUE"""),"Uncle Sams Cider (5/13/2022)")</f>
        <v>Uncle Sams Cider (5/13/2022)</v>
      </c>
      <c r="H8099" s="19"/>
    </row>
    <row r="8100">
      <c r="A8100" s="9"/>
      <c r="B8100" s="15"/>
      <c r="C8100" s="9">
        <f>IFERROR(__xludf.DUMMYFUNCTION("""COMPUTED_VALUE"""),44712.1604780902)</f>
        <v>44712.16048</v>
      </c>
      <c r="D8100" s="15">
        <f>IFERROR(__xludf.DUMMYFUNCTION("""COMPUTED_VALUE"""),1.018)</f>
        <v>1.018</v>
      </c>
      <c r="E8100" s="16">
        <f>IFERROR(__xludf.DUMMYFUNCTION("""COMPUTED_VALUE"""),69.0)</f>
        <v>69</v>
      </c>
      <c r="F8100" s="19" t="str">
        <f>IFERROR(__xludf.DUMMYFUNCTION("""COMPUTED_VALUE"""),"BLACK")</f>
        <v>BLACK</v>
      </c>
      <c r="G8100" s="20" t="str">
        <f>IFERROR(__xludf.DUMMYFUNCTION("""COMPUTED_VALUE"""),"Uncle Sams Cider (5/13/2022)")</f>
        <v>Uncle Sams Cider (5/13/2022)</v>
      </c>
      <c r="H8100" s="19"/>
    </row>
    <row r="8101">
      <c r="A8101" s="9"/>
      <c r="B8101" s="15"/>
      <c r="C8101" s="9">
        <f>IFERROR(__xludf.DUMMYFUNCTION("""COMPUTED_VALUE"""),44712.150058206)</f>
        <v>44712.15006</v>
      </c>
      <c r="D8101" s="15">
        <f>IFERROR(__xludf.DUMMYFUNCTION("""COMPUTED_VALUE"""),1.018)</f>
        <v>1.018</v>
      </c>
      <c r="E8101" s="16">
        <f>IFERROR(__xludf.DUMMYFUNCTION("""COMPUTED_VALUE"""),69.0)</f>
        <v>69</v>
      </c>
      <c r="F8101" s="19" t="str">
        <f>IFERROR(__xludf.DUMMYFUNCTION("""COMPUTED_VALUE"""),"BLACK")</f>
        <v>BLACK</v>
      </c>
      <c r="G8101" s="20" t="str">
        <f>IFERROR(__xludf.DUMMYFUNCTION("""COMPUTED_VALUE"""),"Uncle Sams Cider (5/13/2022)")</f>
        <v>Uncle Sams Cider (5/13/2022)</v>
      </c>
      <c r="H8101" s="19"/>
    </row>
    <row r="8102">
      <c r="A8102" s="9"/>
      <c r="B8102" s="15"/>
      <c r="C8102" s="9">
        <f>IFERROR(__xludf.DUMMYFUNCTION("""COMPUTED_VALUE"""),44712.1396389699)</f>
        <v>44712.13964</v>
      </c>
      <c r="D8102" s="15">
        <f>IFERROR(__xludf.DUMMYFUNCTION("""COMPUTED_VALUE"""),1.018)</f>
        <v>1.018</v>
      </c>
      <c r="E8102" s="16">
        <f>IFERROR(__xludf.DUMMYFUNCTION("""COMPUTED_VALUE"""),69.0)</f>
        <v>69</v>
      </c>
      <c r="F8102" s="19" t="str">
        <f>IFERROR(__xludf.DUMMYFUNCTION("""COMPUTED_VALUE"""),"BLACK")</f>
        <v>BLACK</v>
      </c>
      <c r="G8102" s="20" t="str">
        <f>IFERROR(__xludf.DUMMYFUNCTION("""COMPUTED_VALUE"""),"Uncle Sams Cider (5/13/2022)")</f>
        <v>Uncle Sams Cider (5/13/2022)</v>
      </c>
      <c r="H8102" s="19"/>
    </row>
    <row r="8103">
      <c r="A8103" s="9"/>
      <c r="B8103" s="15"/>
      <c r="C8103" s="9">
        <f>IFERROR(__xludf.DUMMYFUNCTION("""COMPUTED_VALUE"""),44712.1292162268)</f>
        <v>44712.12922</v>
      </c>
      <c r="D8103" s="15">
        <f>IFERROR(__xludf.DUMMYFUNCTION("""COMPUTED_VALUE"""),1.018)</f>
        <v>1.018</v>
      </c>
      <c r="E8103" s="16">
        <f>IFERROR(__xludf.DUMMYFUNCTION("""COMPUTED_VALUE"""),69.0)</f>
        <v>69</v>
      </c>
      <c r="F8103" s="19" t="str">
        <f>IFERROR(__xludf.DUMMYFUNCTION("""COMPUTED_VALUE"""),"BLACK")</f>
        <v>BLACK</v>
      </c>
      <c r="G8103" s="20" t="str">
        <f>IFERROR(__xludf.DUMMYFUNCTION("""COMPUTED_VALUE"""),"Uncle Sams Cider (5/13/2022)")</f>
        <v>Uncle Sams Cider (5/13/2022)</v>
      </c>
      <c r="H8103" s="19"/>
    </row>
    <row r="8104">
      <c r="A8104" s="9"/>
      <c r="B8104" s="15"/>
      <c r="C8104" s="9">
        <f>IFERROR(__xludf.DUMMYFUNCTION("""COMPUTED_VALUE"""),44712.1187960648)</f>
        <v>44712.1188</v>
      </c>
      <c r="D8104" s="15">
        <f>IFERROR(__xludf.DUMMYFUNCTION("""COMPUTED_VALUE"""),1.018)</f>
        <v>1.018</v>
      </c>
      <c r="E8104" s="16">
        <f>IFERROR(__xludf.DUMMYFUNCTION("""COMPUTED_VALUE"""),69.0)</f>
        <v>69</v>
      </c>
      <c r="F8104" s="19" t="str">
        <f>IFERROR(__xludf.DUMMYFUNCTION("""COMPUTED_VALUE"""),"BLACK")</f>
        <v>BLACK</v>
      </c>
      <c r="G8104" s="20" t="str">
        <f>IFERROR(__xludf.DUMMYFUNCTION("""COMPUTED_VALUE"""),"Uncle Sams Cider (5/13/2022)")</f>
        <v>Uncle Sams Cider (5/13/2022)</v>
      </c>
      <c r="H8104" s="19"/>
    </row>
    <row r="8105">
      <c r="A8105" s="9"/>
      <c r="B8105" s="15"/>
      <c r="C8105" s="9">
        <f>IFERROR(__xludf.DUMMYFUNCTION("""COMPUTED_VALUE"""),44712.1083398148)</f>
        <v>44712.10834</v>
      </c>
      <c r="D8105" s="15">
        <f>IFERROR(__xludf.DUMMYFUNCTION("""COMPUTED_VALUE"""),1.018)</f>
        <v>1.018</v>
      </c>
      <c r="E8105" s="16">
        <f>IFERROR(__xludf.DUMMYFUNCTION("""COMPUTED_VALUE"""),69.0)</f>
        <v>69</v>
      </c>
      <c r="F8105" s="19" t="str">
        <f>IFERROR(__xludf.DUMMYFUNCTION("""COMPUTED_VALUE"""),"BLACK")</f>
        <v>BLACK</v>
      </c>
      <c r="G8105" s="20" t="str">
        <f>IFERROR(__xludf.DUMMYFUNCTION("""COMPUTED_VALUE"""),"Uncle Sams Cider (5/13/2022)")</f>
        <v>Uncle Sams Cider (5/13/2022)</v>
      </c>
      <c r="H8105" s="19"/>
    </row>
    <row r="8106">
      <c r="A8106" s="9"/>
      <c r="B8106" s="15"/>
      <c r="C8106" s="9">
        <f>IFERROR(__xludf.DUMMYFUNCTION("""COMPUTED_VALUE"""),44712.0978945949)</f>
        <v>44712.09789</v>
      </c>
      <c r="D8106" s="15">
        <f>IFERROR(__xludf.DUMMYFUNCTION("""COMPUTED_VALUE"""),1.018)</f>
        <v>1.018</v>
      </c>
      <c r="E8106" s="16">
        <f>IFERROR(__xludf.DUMMYFUNCTION("""COMPUTED_VALUE"""),69.0)</f>
        <v>69</v>
      </c>
      <c r="F8106" s="19" t="str">
        <f>IFERROR(__xludf.DUMMYFUNCTION("""COMPUTED_VALUE"""),"BLACK")</f>
        <v>BLACK</v>
      </c>
      <c r="G8106" s="20" t="str">
        <f>IFERROR(__xludf.DUMMYFUNCTION("""COMPUTED_VALUE"""),"Uncle Sams Cider (5/13/2022)")</f>
        <v>Uncle Sams Cider (5/13/2022)</v>
      </c>
      <c r="H8106" s="19"/>
    </row>
    <row r="8107">
      <c r="A8107" s="9"/>
      <c r="B8107" s="15"/>
      <c r="C8107" s="9">
        <f>IFERROR(__xludf.DUMMYFUNCTION("""COMPUTED_VALUE"""),44712.0874611689)</f>
        <v>44712.08746</v>
      </c>
      <c r="D8107" s="15">
        <f>IFERROR(__xludf.DUMMYFUNCTION("""COMPUTED_VALUE"""),1.018)</f>
        <v>1.018</v>
      </c>
      <c r="E8107" s="16">
        <f>IFERROR(__xludf.DUMMYFUNCTION("""COMPUTED_VALUE"""),69.0)</f>
        <v>69</v>
      </c>
      <c r="F8107" s="19" t="str">
        <f>IFERROR(__xludf.DUMMYFUNCTION("""COMPUTED_VALUE"""),"BLACK")</f>
        <v>BLACK</v>
      </c>
      <c r="G8107" s="20" t="str">
        <f>IFERROR(__xludf.DUMMYFUNCTION("""COMPUTED_VALUE"""),"Uncle Sams Cider (5/13/2022)")</f>
        <v>Uncle Sams Cider (5/13/2022)</v>
      </c>
      <c r="H8107" s="19"/>
    </row>
    <row r="8108">
      <c r="A8108" s="9"/>
      <c r="B8108" s="15"/>
      <c r="C8108" s="9">
        <f>IFERROR(__xludf.DUMMYFUNCTION("""COMPUTED_VALUE"""),44712.0770414814)</f>
        <v>44712.07704</v>
      </c>
      <c r="D8108" s="15">
        <f>IFERROR(__xludf.DUMMYFUNCTION("""COMPUTED_VALUE"""),1.018)</f>
        <v>1.018</v>
      </c>
      <c r="E8108" s="16">
        <f>IFERROR(__xludf.DUMMYFUNCTION("""COMPUTED_VALUE"""),69.0)</f>
        <v>69</v>
      </c>
      <c r="F8108" s="19" t="str">
        <f>IFERROR(__xludf.DUMMYFUNCTION("""COMPUTED_VALUE"""),"BLACK")</f>
        <v>BLACK</v>
      </c>
      <c r="G8108" s="20" t="str">
        <f>IFERROR(__xludf.DUMMYFUNCTION("""COMPUTED_VALUE"""),"Uncle Sams Cider (5/13/2022)")</f>
        <v>Uncle Sams Cider (5/13/2022)</v>
      </c>
      <c r="H8108" s="19"/>
    </row>
    <row r="8109">
      <c r="A8109" s="9"/>
      <c r="B8109" s="15"/>
      <c r="C8109" s="9">
        <f>IFERROR(__xludf.DUMMYFUNCTION("""COMPUTED_VALUE"""),44712.0666219212)</f>
        <v>44712.06662</v>
      </c>
      <c r="D8109" s="15">
        <f>IFERROR(__xludf.DUMMYFUNCTION("""COMPUTED_VALUE"""),1.018)</f>
        <v>1.018</v>
      </c>
      <c r="E8109" s="16">
        <f>IFERROR(__xludf.DUMMYFUNCTION("""COMPUTED_VALUE"""),69.0)</f>
        <v>69</v>
      </c>
      <c r="F8109" s="19" t="str">
        <f>IFERROR(__xludf.DUMMYFUNCTION("""COMPUTED_VALUE"""),"BLACK")</f>
        <v>BLACK</v>
      </c>
      <c r="G8109" s="20" t="str">
        <f>IFERROR(__xludf.DUMMYFUNCTION("""COMPUTED_VALUE"""),"Uncle Sams Cider (5/13/2022)")</f>
        <v>Uncle Sams Cider (5/13/2022)</v>
      </c>
      <c r="H8109" s="19"/>
    </row>
    <row r="8110">
      <c r="A8110" s="9"/>
      <c r="B8110" s="15"/>
      <c r="C8110" s="9">
        <f>IFERROR(__xludf.DUMMYFUNCTION("""COMPUTED_VALUE"""),44712.0562029861)</f>
        <v>44712.0562</v>
      </c>
      <c r="D8110" s="15">
        <f>IFERROR(__xludf.DUMMYFUNCTION("""COMPUTED_VALUE"""),1.018)</f>
        <v>1.018</v>
      </c>
      <c r="E8110" s="16">
        <f>IFERROR(__xludf.DUMMYFUNCTION("""COMPUTED_VALUE"""),69.0)</f>
        <v>69</v>
      </c>
      <c r="F8110" s="19" t="str">
        <f>IFERROR(__xludf.DUMMYFUNCTION("""COMPUTED_VALUE"""),"BLACK")</f>
        <v>BLACK</v>
      </c>
      <c r="G8110" s="20" t="str">
        <f>IFERROR(__xludf.DUMMYFUNCTION("""COMPUTED_VALUE"""),"Uncle Sams Cider (5/13/2022)")</f>
        <v>Uncle Sams Cider (5/13/2022)</v>
      </c>
      <c r="H8110" s="19"/>
    </row>
    <row r="8111">
      <c r="A8111" s="9"/>
      <c r="B8111" s="15"/>
      <c r="C8111" s="9">
        <f>IFERROR(__xludf.DUMMYFUNCTION("""COMPUTED_VALUE"""),44712.0457706018)</f>
        <v>44712.04577</v>
      </c>
      <c r="D8111" s="15">
        <f>IFERROR(__xludf.DUMMYFUNCTION("""COMPUTED_VALUE"""),1.018)</f>
        <v>1.018</v>
      </c>
      <c r="E8111" s="16">
        <f>IFERROR(__xludf.DUMMYFUNCTION("""COMPUTED_VALUE"""),69.0)</f>
        <v>69</v>
      </c>
      <c r="F8111" s="19" t="str">
        <f>IFERROR(__xludf.DUMMYFUNCTION("""COMPUTED_VALUE"""),"BLACK")</f>
        <v>BLACK</v>
      </c>
      <c r="G8111" s="20" t="str">
        <f>IFERROR(__xludf.DUMMYFUNCTION("""COMPUTED_VALUE"""),"Uncle Sams Cider (5/13/2022)")</f>
        <v>Uncle Sams Cider (5/13/2022)</v>
      </c>
      <c r="H8111" s="19"/>
    </row>
    <row r="8112">
      <c r="A8112" s="9"/>
      <c r="B8112" s="15"/>
      <c r="C8112" s="9">
        <f>IFERROR(__xludf.DUMMYFUNCTION("""COMPUTED_VALUE"""),44712.0353384143)</f>
        <v>44712.03534</v>
      </c>
      <c r="D8112" s="15">
        <f>IFERROR(__xludf.DUMMYFUNCTION("""COMPUTED_VALUE"""),1.018)</f>
        <v>1.018</v>
      </c>
      <c r="E8112" s="16">
        <f>IFERROR(__xludf.DUMMYFUNCTION("""COMPUTED_VALUE"""),69.0)</f>
        <v>69</v>
      </c>
      <c r="F8112" s="19" t="str">
        <f>IFERROR(__xludf.DUMMYFUNCTION("""COMPUTED_VALUE"""),"BLACK")</f>
        <v>BLACK</v>
      </c>
      <c r="G8112" s="20" t="str">
        <f>IFERROR(__xludf.DUMMYFUNCTION("""COMPUTED_VALUE"""),"Uncle Sams Cider (5/13/2022)")</f>
        <v>Uncle Sams Cider (5/13/2022)</v>
      </c>
      <c r="H8112" s="19"/>
    </row>
    <row r="8113">
      <c r="A8113" s="9"/>
      <c r="B8113" s="15"/>
      <c r="C8113" s="9">
        <f>IFERROR(__xludf.DUMMYFUNCTION("""COMPUTED_VALUE"""),44712.0249167361)</f>
        <v>44712.02492</v>
      </c>
      <c r="D8113" s="15">
        <f>IFERROR(__xludf.DUMMYFUNCTION("""COMPUTED_VALUE"""),1.018)</f>
        <v>1.018</v>
      </c>
      <c r="E8113" s="16">
        <f>IFERROR(__xludf.DUMMYFUNCTION("""COMPUTED_VALUE"""),69.0)</f>
        <v>69</v>
      </c>
      <c r="F8113" s="19" t="str">
        <f>IFERROR(__xludf.DUMMYFUNCTION("""COMPUTED_VALUE"""),"BLACK")</f>
        <v>BLACK</v>
      </c>
      <c r="G8113" s="20" t="str">
        <f>IFERROR(__xludf.DUMMYFUNCTION("""COMPUTED_VALUE"""),"Uncle Sams Cider (5/13/2022)")</f>
        <v>Uncle Sams Cider (5/13/2022)</v>
      </c>
      <c r="H8113" s="19"/>
    </row>
    <row r="8114">
      <c r="A8114" s="9"/>
      <c r="B8114" s="15"/>
      <c r="C8114" s="9">
        <f>IFERROR(__xludf.DUMMYFUNCTION("""COMPUTED_VALUE"""),44712.0144945254)</f>
        <v>44712.01449</v>
      </c>
      <c r="D8114" s="15">
        <f>IFERROR(__xludf.DUMMYFUNCTION("""COMPUTED_VALUE"""),1.019)</f>
        <v>1.019</v>
      </c>
      <c r="E8114" s="16">
        <f>IFERROR(__xludf.DUMMYFUNCTION("""COMPUTED_VALUE"""),69.0)</f>
        <v>69</v>
      </c>
      <c r="F8114" s="19" t="str">
        <f>IFERROR(__xludf.DUMMYFUNCTION("""COMPUTED_VALUE"""),"BLACK")</f>
        <v>BLACK</v>
      </c>
      <c r="G8114" s="20" t="str">
        <f>IFERROR(__xludf.DUMMYFUNCTION("""COMPUTED_VALUE"""),"Uncle Sams Cider (5/13/2022)")</f>
        <v>Uncle Sams Cider (5/13/2022)</v>
      </c>
      <c r="H8114" s="19"/>
    </row>
    <row r="8115">
      <c r="A8115" s="9"/>
      <c r="B8115" s="15"/>
      <c r="C8115" s="9">
        <f>IFERROR(__xludf.DUMMYFUNCTION("""COMPUTED_VALUE"""),44712.0040736689)</f>
        <v>44712.00407</v>
      </c>
      <c r="D8115" s="15">
        <f>IFERROR(__xludf.DUMMYFUNCTION("""COMPUTED_VALUE"""),1.018)</f>
        <v>1.018</v>
      </c>
      <c r="E8115" s="16">
        <f>IFERROR(__xludf.DUMMYFUNCTION("""COMPUTED_VALUE"""),69.0)</f>
        <v>69</v>
      </c>
      <c r="F8115" s="19" t="str">
        <f>IFERROR(__xludf.DUMMYFUNCTION("""COMPUTED_VALUE"""),"BLACK")</f>
        <v>BLACK</v>
      </c>
      <c r="G8115" s="20" t="str">
        <f>IFERROR(__xludf.DUMMYFUNCTION("""COMPUTED_VALUE"""),"Uncle Sams Cider (5/13/2022)")</f>
        <v>Uncle Sams Cider (5/13/2022)</v>
      </c>
      <c r="H8115" s="19"/>
    </row>
    <row r="8116">
      <c r="A8116" s="9"/>
      <c r="B8116" s="15"/>
      <c r="C8116" s="9">
        <f>IFERROR(__xludf.DUMMYFUNCTION("""COMPUTED_VALUE"""),44711.9936529398)</f>
        <v>44711.99365</v>
      </c>
      <c r="D8116" s="15">
        <f>IFERROR(__xludf.DUMMYFUNCTION("""COMPUTED_VALUE"""),1.018)</f>
        <v>1.018</v>
      </c>
      <c r="E8116" s="16">
        <f>IFERROR(__xludf.DUMMYFUNCTION("""COMPUTED_VALUE"""),69.0)</f>
        <v>69</v>
      </c>
      <c r="F8116" s="19" t="str">
        <f>IFERROR(__xludf.DUMMYFUNCTION("""COMPUTED_VALUE"""),"BLACK")</f>
        <v>BLACK</v>
      </c>
      <c r="G8116" s="20" t="str">
        <f>IFERROR(__xludf.DUMMYFUNCTION("""COMPUTED_VALUE"""),"Uncle Sams Cider (5/13/2022)")</f>
        <v>Uncle Sams Cider (5/13/2022)</v>
      </c>
      <c r="H8116" s="19"/>
    </row>
    <row r="8117">
      <c r="A8117" s="9"/>
      <c r="B8117" s="15"/>
      <c r="C8117" s="9">
        <f>IFERROR(__xludf.DUMMYFUNCTION("""COMPUTED_VALUE"""),44711.9832324305)</f>
        <v>44711.98323</v>
      </c>
      <c r="D8117" s="15">
        <f>IFERROR(__xludf.DUMMYFUNCTION("""COMPUTED_VALUE"""),1.019)</f>
        <v>1.019</v>
      </c>
      <c r="E8117" s="16">
        <f>IFERROR(__xludf.DUMMYFUNCTION("""COMPUTED_VALUE"""),69.0)</f>
        <v>69</v>
      </c>
      <c r="F8117" s="19" t="str">
        <f>IFERROR(__xludf.DUMMYFUNCTION("""COMPUTED_VALUE"""),"BLACK")</f>
        <v>BLACK</v>
      </c>
      <c r="G8117" s="20" t="str">
        <f>IFERROR(__xludf.DUMMYFUNCTION("""COMPUTED_VALUE"""),"Uncle Sams Cider (5/13/2022)")</f>
        <v>Uncle Sams Cider (5/13/2022)</v>
      </c>
      <c r="H8117" s="19"/>
    </row>
    <row r="8118">
      <c r="A8118" s="9"/>
      <c r="B8118" s="15"/>
      <c r="C8118" s="9">
        <f>IFERROR(__xludf.DUMMYFUNCTION("""COMPUTED_VALUE"""),44711.9728120833)</f>
        <v>44711.97281</v>
      </c>
      <c r="D8118" s="15">
        <f>IFERROR(__xludf.DUMMYFUNCTION("""COMPUTED_VALUE"""),1.018)</f>
        <v>1.018</v>
      </c>
      <c r="E8118" s="16">
        <f>IFERROR(__xludf.DUMMYFUNCTION("""COMPUTED_VALUE"""),69.0)</f>
        <v>69</v>
      </c>
      <c r="F8118" s="19" t="str">
        <f>IFERROR(__xludf.DUMMYFUNCTION("""COMPUTED_VALUE"""),"BLACK")</f>
        <v>BLACK</v>
      </c>
      <c r="G8118" s="20" t="str">
        <f>IFERROR(__xludf.DUMMYFUNCTION("""COMPUTED_VALUE"""),"Uncle Sams Cider (5/13/2022)")</f>
        <v>Uncle Sams Cider (5/13/2022)</v>
      </c>
      <c r="H8118" s="19"/>
    </row>
    <row r="8119">
      <c r="A8119" s="9"/>
      <c r="B8119" s="15"/>
      <c r="C8119" s="9">
        <f>IFERROR(__xludf.DUMMYFUNCTION("""COMPUTED_VALUE"""),44711.962392037)</f>
        <v>44711.96239</v>
      </c>
      <c r="D8119" s="15">
        <f>IFERROR(__xludf.DUMMYFUNCTION("""COMPUTED_VALUE"""),1.019)</f>
        <v>1.019</v>
      </c>
      <c r="E8119" s="16">
        <f>IFERROR(__xludf.DUMMYFUNCTION("""COMPUTED_VALUE"""),69.0)</f>
        <v>69</v>
      </c>
      <c r="F8119" s="19" t="str">
        <f>IFERROR(__xludf.DUMMYFUNCTION("""COMPUTED_VALUE"""),"BLACK")</f>
        <v>BLACK</v>
      </c>
      <c r="G8119" s="20" t="str">
        <f>IFERROR(__xludf.DUMMYFUNCTION("""COMPUTED_VALUE"""),"Uncle Sams Cider (5/13/2022)")</f>
        <v>Uncle Sams Cider (5/13/2022)</v>
      </c>
      <c r="H8119" s="19"/>
    </row>
    <row r="8120">
      <c r="A8120" s="9"/>
      <c r="B8120" s="15"/>
      <c r="C8120" s="9">
        <f>IFERROR(__xludf.DUMMYFUNCTION("""COMPUTED_VALUE"""),44711.951971655)</f>
        <v>44711.95197</v>
      </c>
      <c r="D8120" s="15">
        <f>IFERROR(__xludf.DUMMYFUNCTION("""COMPUTED_VALUE"""),1.019)</f>
        <v>1.019</v>
      </c>
      <c r="E8120" s="16">
        <f>IFERROR(__xludf.DUMMYFUNCTION("""COMPUTED_VALUE"""),69.0)</f>
        <v>69</v>
      </c>
      <c r="F8120" s="19" t="str">
        <f>IFERROR(__xludf.DUMMYFUNCTION("""COMPUTED_VALUE"""),"BLACK")</f>
        <v>BLACK</v>
      </c>
      <c r="G8120" s="20" t="str">
        <f>IFERROR(__xludf.DUMMYFUNCTION("""COMPUTED_VALUE"""),"Uncle Sams Cider (5/13/2022)")</f>
        <v>Uncle Sams Cider (5/13/2022)</v>
      </c>
      <c r="H8120" s="19"/>
    </row>
    <row r="8121">
      <c r="A8121" s="9"/>
      <c r="B8121" s="15"/>
      <c r="C8121" s="9">
        <f>IFERROR(__xludf.DUMMYFUNCTION("""COMPUTED_VALUE"""),44711.9415402777)</f>
        <v>44711.94154</v>
      </c>
      <c r="D8121" s="15">
        <f>IFERROR(__xludf.DUMMYFUNCTION("""COMPUTED_VALUE"""),1.019)</f>
        <v>1.019</v>
      </c>
      <c r="E8121" s="16">
        <f>IFERROR(__xludf.DUMMYFUNCTION("""COMPUTED_VALUE"""),69.0)</f>
        <v>69</v>
      </c>
      <c r="F8121" s="19" t="str">
        <f>IFERROR(__xludf.DUMMYFUNCTION("""COMPUTED_VALUE"""),"BLACK")</f>
        <v>BLACK</v>
      </c>
      <c r="G8121" s="20" t="str">
        <f>IFERROR(__xludf.DUMMYFUNCTION("""COMPUTED_VALUE"""),"Uncle Sams Cider (5/13/2022)")</f>
        <v>Uncle Sams Cider (5/13/2022)</v>
      </c>
      <c r="H8121" s="19"/>
    </row>
    <row r="8122">
      <c r="A8122" s="9"/>
      <c r="B8122" s="15"/>
      <c r="C8122" s="9">
        <f>IFERROR(__xludf.DUMMYFUNCTION("""COMPUTED_VALUE"""),44711.9311184375)</f>
        <v>44711.93112</v>
      </c>
      <c r="D8122" s="15">
        <f>IFERROR(__xludf.DUMMYFUNCTION("""COMPUTED_VALUE"""),1.019)</f>
        <v>1.019</v>
      </c>
      <c r="E8122" s="16">
        <f>IFERROR(__xludf.DUMMYFUNCTION("""COMPUTED_VALUE"""),69.0)</f>
        <v>69</v>
      </c>
      <c r="F8122" s="19" t="str">
        <f>IFERROR(__xludf.DUMMYFUNCTION("""COMPUTED_VALUE"""),"BLACK")</f>
        <v>BLACK</v>
      </c>
      <c r="G8122" s="20" t="str">
        <f>IFERROR(__xludf.DUMMYFUNCTION("""COMPUTED_VALUE"""),"Uncle Sams Cider (5/13/2022)")</f>
        <v>Uncle Sams Cider (5/13/2022)</v>
      </c>
      <c r="H8122" s="19"/>
    </row>
    <row r="8123">
      <c r="A8123" s="9"/>
      <c r="B8123" s="15"/>
      <c r="C8123" s="9">
        <f>IFERROR(__xludf.DUMMYFUNCTION("""COMPUTED_VALUE"""),44711.9206984722)</f>
        <v>44711.9207</v>
      </c>
      <c r="D8123" s="15">
        <f>IFERROR(__xludf.DUMMYFUNCTION("""COMPUTED_VALUE"""),1.019)</f>
        <v>1.019</v>
      </c>
      <c r="E8123" s="16">
        <f>IFERROR(__xludf.DUMMYFUNCTION("""COMPUTED_VALUE"""),68.0)</f>
        <v>68</v>
      </c>
      <c r="F8123" s="19" t="str">
        <f>IFERROR(__xludf.DUMMYFUNCTION("""COMPUTED_VALUE"""),"BLACK")</f>
        <v>BLACK</v>
      </c>
      <c r="G8123" s="20" t="str">
        <f>IFERROR(__xludf.DUMMYFUNCTION("""COMPUTED_VALUE"""),"Uncle Sams Cider (5/13/2022)")</f>
        <v>Uncle Sams Cider (5/13/2022)</v>
      </c>
      <c r="H8123" s="19"/>
    </row>
    <row r="8124">
      <c r="A8124" s="9"/>
      <c r="B8124" s="15"/>
      <c r="C8124" s="9">
        <f>IFERROR(__xludf.DUMMYFUNCTION("""COMPUTED_VALUE"""),44711.9102649305)</f>
        <v>44711.91026</v>
      </c>
      <c r="D8124" s="15">
        <f>IFERROR(__xludf.DUMMYFUNCTION("""COMPUTED_VALUE"""),1.019)</f>
        <v>1.019</v>
      </c>
      <c r="E8124" s="16">
        <f>IFERROR(__xludf.DUMMYFUNCTION("""COMPUTED_VALUE"""),68.0)</f>
        <v>68</v>
      </c>
      <c r="F8124" s="19" t="str">
        <f>IFERROR(__xludf.DUMMYFUNCTION("""COMPUTED_VALUE"""),"BLACK")</f>
        <v>BLACK</v>
      </c>
      <c r="G8124" s="20" t="str">
        <f>IFERROR(__xludf.DUMMYFUNCTION("""COMPUTED_VALUE"""),"Uncle Sams Cider (5/13/2022)")</f>
        <v>Uncle Sams Cider (5/13/2022)</v>
      </c>
      <c r="H8124" s="19"/>
    </row>
    <row r="8125">
      <c r="A8125" s="9"/>
      <c r="B8125" s="15"/>
      <c r="C8125" s="9">
        <f>IFERROR(__xludf.DUMMYFUNCTION("""COMPUTED_VALUE"""),44711.8998434027)</f>
        <v>44711.89984</v>
      </c>
      <c r="D8125" s="15">
        <f>IFERROR(__xludf.DUMMYFUNCTION("""COMPUTED_VALUE"""),1.019)</f>
        <v>1.019</v>
      </c>
      <c r="E8125" s="16">
        <f>IFERROR(__xludf.DUMMYFUNCTION("""COMPUTED_VALUE"""),68.0)</f>
        <v>68</v>
      </c>
      <c r="F8125" s="19" t="str">
        <f>IFERROR(__xludf.DUMMYFUNCTION("""COMPUTED_VALUE"""),"BLACK")</f>
        <v>BLACK</v>
      </c>
      <c r="G8125" s="20" t="str">
        <f>IFERROR(__xludf.DUMMYFUNCTION("""COMPUTED_VALUE"""),"Uncle Sams Cider (5/13/2022)")</f>
        <v>Uncle Sams Cider (5/13/2022)</v>
      </c>
      <c r="H8125" s="19"/>
    </row>
    <row r="8126">
      <c r="A8126" s="9"/>
      <c r="B8126" s="15"/>
      <c r="C8126" s="9">
        <f>IFERROR(__xludf.DUMMYFUNCTION("""COMPUTED_VALUE"""),44711.8893989004)</f>
        <v>44711.8894</v>
      </c>
      <c r="D8126" s="15">
        <f>IFERROR(__xludf.DUMMYFUNCTION("""COMPUTED_VALUE"""),1.019)</f>
        <v>1.019</v>
      </c>
      <c r="E8126" s="16">
        <f>IFERROR(__xludf.DUMMYFUNCTION("""COMPUTED_VALUE"""),68.0)</f>
        <v>68</v>
      </c>
      <c r="F8126" s="19" t="str">
        <f>IFERROR(__xludf.DUMMYFUNCTION("""COMPUTED_VALUE"""),"BLACK")</f>
        <v>BLACK</v>
      </c>
      <c r="G8126" s="20" t="str">
        <f>IFERROR(__xludf.DUMMYFUNCTION("""COMPUTED_VALUE"""),"Uncle Sams Cider (5/13/2022)")</f>
        <v>Uncle Sams Cider (5/13/2022)</v>
      </c>
      <c r="H8126" s="19"/>
    </row>
    <row r="8127">
      <c r="A8127" s="9"/>
      <c r="B8127" s="15"/>
      <c r="C8127" s="9">
        <f>IFERROR(__xludf.DUMMYFUNCTION("""COMPUTED_VALUE"""),44711.8789784953)</f>
        <v>44711.87898</v>
      </c>
      <c r="D8127" s="15">
        <f>IFERROR(__xludf.DUMMYFUNCTION("""COMPUTED_VALUE"""),1.019)</f>
        <v>1.019</v>
      </c>
      <c r="E8127" s="16">
        <f>IFERROR(__xludf.DUMMYFUNCTION("""COMPUTED_VALUE"""),68.0)</f>
        <v>68</v>
      </c>
      <c r="F8127" s="19" t="str">
        <f>IFERROR(__xludf.DUMMYFUNCTION("""COMPUTED_VALUE"""),"BLACK")</f>
        <v>BLACK</v>
      </c>
      <c r="G8127" s="20" t="str">
        <f>IFERROR(__xludf.DUMMYFUNCTION("""COMPUTED_VALUE"""),"Uncle Sams Cider (5/13/2022)")</f>
        <v>Uncle Sams Cider (5/13/2022)</v>
      </c>
      <c r="H8127" s="19"/>
    </row>
    <row r="8128">
      <c r="A8128" s="9"/>
      <c r="B8128" s="15"/>
      <c r="C8128" s="9">
        <f>IFERROR(__xludf.DUMMYFUNCTION("""COMPUTED_VALUE"""),44711.8685455439)</f>
        <v>44711.86855</v>
      </c>
      <c r="D8128" s="15">
        <f>IFERROR(__xludf.DUMMYFUNCTION("""COMPUTED_VALUE"""),1.019)</f>
        <v>1.019</v>
      </c>
      <c r="E8128" s="16">
        <f>IFERROR(__xludf.DUMMYFUNCTION("""COMPUTED_VALUE"""),68.0)</f>
        <v>68</v>
      </c>
      <c r="F8128" s="19" t="str">
        <f>IFERROR(__xludf.DUMMYFUNCTION("""COMPUTED_VALUE"""),"BLACK")</f>
        <v>BLACK</v>
      </c>
      <c r="G8128" s="20" t="str">
        <f>IFERROR(__xludf.DUMMYFUNCTION("""COMPUTED_VALUE"""),"Uncle Sams Cider (5/13/2022)")</f>
        <v>Uncle Sams Cider (5/13/2022)</v>
      </c>
      <c r="H8128" s="19"/>
    </row>
    <row r="8129">
      <c r="A8129" s="9"/>
      <c r="B8129" s="15"/>
      <c r="C8129" s="9">
        <f>IFERROR(__xludf.DUMMYFUNCTION("""COMPUTED_VALUE"""),44711.8581122801)</f>
        <v>44711.85811</v>
      </c>
      <c r="D8129" s="15">
        <f>IFERROR(__xludf.DUMMYFUNCTION("""COMPUTED_VALUE"""),1.019)</f>
        <v>1.019</v>
      </c>
      <c r="E8129" s="16">
        <f>IFERROR(__xludf.DUMMYFUNCTION("""COMPUTED_VALUE"""),68.0)</f>
        <v>68</v>
      </c>
      <c r="F8129" s="19" t="str">
        <f>IFERROR(__xludf.DUMMYFUNCTION("""COMPUTED_VALUE"""),"BLACK")</f>
        <v>BLACK</v>
      </c>
      <c r="G8129" s="20" t="str">
        <f>IFERROR(__xludf.DUMMYFUNCTION("""COMPUTED_VALUE"""),"Uncle Sams Cider (5/13/2022)")</f>
        <v>Uncle Sams Cider (5/13/2022)</v>
      </c>
      <c r="H8129" s="19"/>
    </row>
    <row r="8130">
      <c r="A8130" s="9"/>
      <c r="B8130" s="15"/>
      <c r="C8130" s="9">
        <f>IFERROR(__xludf.DUMMYFUNCTION("""COMPUTED_VALUE"""),44711.8476910185)</f>
        <v>44711.84769</v>
      </c>
      <c r="D8130" s="15">
        <f>IFERROR(__xludf.DUMMYFUNCTION("""COMPUTED_VALUE"""),1.019)</f>
        <v>1.019</v>
      </c>
      <c r="E8130" s="16">
        <f>IFERROR(__xludf.DUMMYFUNCTION("""COMPUTED_VALUE"""),68.0)</f>
        <v>68</v>
      </c>
      <c r="F8130" s="19" t="str">
        <f>IFERROR(__xludf.DUMMYFUNCTION("""COMPUTED_VALUE"""),"BLACK")</f>
        <v>BLACK</v>
      </c>
      <c r="G8130" s="20" t="str">
        <f>IFERROR(__xludf.DUMMYFUNCTION("""COMPUTED_VALUE"""),"Uncle Sams Cider (5/13/2022)")</f>
        <v>Uncle Sams Cider (5/13/2022)</v>
      </c>
      <c r="H8130" s="19"/>
    </row>
    <row r="8131">
      <c r="A8131" s="9"/>
      <c r="B8131" s="15"/>
      <c r="C8131" s="9">
        <f>IFERROR(__xludf.DUMMYFUNCTION("""COMPUTED_VALUE"""),44711.8372692824)</f>
        <v>44711.83727</v>
      </c>
      <c r="D8131" s="15">
        <f>IFERROR(__xludf.DUMMYFUNCTION("""COMPUTED_VALUE"""),1.019)</f>
        <v>1.019</v>
      </c>
      <c r="E8131" s="16">
        <f>IFERROR(__xludf.DUMMYFUNCTION("""COMPUTED_VALUE"""),68.0)</f>
        <v>68</v>
      </c>
      <c r="F8131" s="19" t="str">
        <f>IFERROR(__xludf.DUMMYFUNCTION("""COMPUTED_VALUE"""),"BLACK")</f>
        <v>BLACK</v>
      </c>
      <c r="G8131" s="20" t="str">
        <f>IFERROR(__xludf.DUMMYFUNCTION("""COMPUTED_VALUE"""),"Uncle Sams Cider (5/13/2022)")</f>
        <v>Uncle Sams Cider (5/13/2022)</v>
      </c>
      <c r="H8131" s="19"/>
    </row>
    <row r="8132">
      <c r="A8132" s="9"/>
      <c r="B8132" s="15"/>
      <c r="C8132" s="9">
        <f>IFERROR(__xludf.DUMMYFUNCTION("""COMPUTED_VALUE"""),44711.8267669444)</f>
        <v>44711.82677</v>
      </c>
      <c r="D8132" s="15">
        <f>IFERROR(__xludf.DUMMYFUNCTION("""COMPUTED_VALUE"""),1.018)</f>
        <v>1.018</v>
      </c>
      <c r="E8132" s="16">
        <f>IFERROR(__xludf.DUMMYFUNCTION("""COMPUTED_VALUE"""),68.0)</f>
        <v>68</v>
      </c>
      <c r="F8132" s="19" t="str">
        <f>IFERROR(__xludf.DUMMYFUNCTION("""COMPUTED_VALUE"""),"BLACK")</f>
        <v>BLACK</v>
      </c>
      <c r="G8132" s="20" t="str">
        <f>IFERROR(__xludf.DUMMYFUNCTION("""COMPUTED_VALUE"""),"Uncle Sams Cider (5/13/2022)")</f>
        <v>Uncle Sams Cider (5/13/2022)</v>
      </c>
      <c r="H8132" s="19"/>
    </row>
    <row r="8133">
      <c r="A8133" s="9"/>
      <c r="B8133" s="15"/>
      <c r="C8133" s="9">
        <f>IFERROR(__xludf.DUMMYFUNCTION("""COMPUTED_VALUE"""),44711.8163460416)</f>
        <v>44711.81635</v>
      </c>
      <c r="D8133" s="15">
        <f>IFERROR(__xludf.DUMMYFUNCTION("""COMPUTED_VALUE"""),1.019)</f>
        <v>1.019</v>
      </c>
      <c r="E8133" s="16">
        <f>IFERROR(__xludf.DUMMYFUNCTION("""COMPUTED_VALUE"""),68.0)</f>
        <v>68</v>
      </c>
      <c r="F8133" s="19" t="str">
        <f>IFERROR(__xludf.DUMMYFUNCTION("""COMPUTED_VALUE"""),"BLACK")</f>
        <v>BLACK</v>
      </c>
      <c r="G8133" s="20" t="str">
        <f>IFERROR(__xludf.DUMMYFUNCTION("""COMPUTED_VALUE"""),"Uncle Sams Cider (5/13/2022)")</f>
        <v>Uncle Sams Cider (5/13/2022)</v>
      </c>
      <c r="H8133" s="19"/>
    </row>
    <row r="8134">
      <c r="A8134" s="9"/>
      <c r="B8134" s="15"/>
      <c r="C8134" s="9">
        <f>IFERROR(__xludf.DUMMYFUNCTION("""COMPUTED_VALUE"""),44711.8059011805)</f>
        <v>44711.8059</v>
      </c>
      <c r="D8134" s="15">
        <f>IFERROR(__xludf.DUMMYFUNCTION("""COMPUTED_VALUE"""),1.019)</f>
        <v>1.019</v>
      </c>
      <c r="E8134" s="16">
        <f>IFERROR(__xludf.DUMMYFUNCTION("""COMPUTED_VALUE"""),68.0)</f>
        <v>68</v>
      </c>
      <c r="F8134" s="19" t="str">
        <f>IFERROR(__xludf.DUMMYFUNCTION("""COMPUTED_VALUE"""),"BLACK")</f>
        <v>BLACK</v>
      </c>
      <c r="G8134" s="20" t="str">
        <f>IFERROR(__xludf.DUMMYFUNCTION("""COMPUTED_VALUE"""),"Uncle Sams Cider (5/13/2022)")</f>
        <v>Uncle Sams Cider (5/13/2022)</v>
      </c>
      <c r="H8134" s="19"/>
    </row>
    <row r="8135">
      <c r="A8135" s="9"/>
      <c r="B8135" s="15"/>
      <c r="C8135" s="9">
        <f>IFERROR(__xludf.DUMMYFUNCTION("""COMPUTED_VALUE"""),44711.7954690046)</f>
        <v>44711.79547</v>
      </c>
      <c r="D8135" s="15">
        <f>IFERROR(__xludf.DUMMYFUNCTION("""COMPUTED_VALUE"""),1.019)</f>
        <v>1.019</v>
      </c>
      <c r="E8135" s="16">
        <f>IFERROR(__xludf.DUMMYFUNCTION("""COMPUTED_VALUE"""),68.0)</f>
        <v>68</v>
      </c>
      <c r="F8135" s="19" t="str">
        <f>IFERROR(__xludf.DUMMYFUNCTION("""COMPUTED_VALUE"""),"BLACK")</f>
        <v>BLACK</v>
      </c>
      <c r="G8135" s="20" t="str">
        <f>IFERROR(__xludf.DUMMYFUNCTION("""COMPUTED_VALUE"""),"Uncle Sams Cider (5/13/2022)")</f>
        <v>Uncle Sams Cider (5/13/2022)</v>
      </c>
      <c r="H8135" s="19"/>
    </row>
    <row r="8136">
      <c r="A8136" s="9"/>
      <c r="B8136" s="15"/>
      <c r="C8136" s="9">
        <f>IFERROR(__xludf.DUMMYFUNCTION("""COMPUTED_VALUE"""),44711.7850485879)</f>
        <v>44711.78505</v>
      </c>
      <c r="D8136" s="15">
        <f>IFERROR(__xludf.DUMMYFUNCTION("""COMPUTED_VALUE"""),1.019)</f>
        <v>1.019</v>
      </c>
      <c r="E8136" s="16">
        <f>IFERROR(__xludf.DUMMYFUNCTION("""COMPUTED_VALUE"""),68.0)</f>
        <v>68</v>
      </c>
      <c r="F8136" s="19" t="str">
        <f>IFERROR(__xludf.DUMMYFUNCTION("""COMPUTED_VALUE"""),"BLACK")</f>
        <v>BLACK</v>
      </c>
      <c r="G8136" s="20" t="str">
        <f>IFERROR(__xludf.DUMMYFUNCTION("""COMPUTED_VALUE"""),"Uncle Sams Cider (5/13/2022)")</f>
        <v>Uncle Sams Cider (5/13/2022)</v>
      </c>
      <c r="H8136" s="19"/>
    </row>
    <row r="8137">
      <c r="A8137" s="9"/>
      <c r="B8137" s="15"/>
      <c r="C8137" s="9">
        <f>IFERROR(__xludf.DUMMYFUNCTION("""COMPUTED_VALUE"""),44711.7746272916)</f>
        <v>44711.77463</v>
      </c>
      <c r="D8137" s="15">
        <f>IFERROR(__xludf.DUMMYFUNCTION("""COMPUTED_VALUE"""),1.019)</f>
        <v>1.019</v>
      </c>
      <c r="E8137" s="16">
        <f>IFERROR(__xludf.DUMMYFUNCTION("""COMPUTED_VALUE"""),68.0)</f>
        <v>68</v>
      </c>
      <c r="F8137" s="19" t="str">
        <f>IFERROR(__xludf.DUMMYFUNCTION("""COMPUTED_VALUE"""),"BLACK")</f>
        <v>BLACK</v>
      </c>
      <c r="G8137" s="20" t="str">
        <f>IFERROR(__xludf.DUMMYFUNCTION("""COMPUTED_VALUE"""),"Uncle Sams Cider (5/13/2022)")</f>
        <v>Uncle Sams Cider (5/13/2022)</v>
      </c>
      <c r="H8137" s="19"/>
    </row>
    <row r="8138">
      <c r="A8138" s="9"/>
      <c r="B8138" s="15"/>
      <c r="C8138" s="9">
        <f>IFERROR(__xludf.DUMMYFUNCTION("""COMPUTED_VALUE"""),44711.7642053125)</f>
        <v>44711.76421</v>
      </c>
      <c r="D8138" s="15">
        <f>IFERROR(__xludf.DUMMYFUNCTION("""COMPUTED_VALUE"""),1.019)</f>
        <v>1.019</v>
      </c>
      <c r="E8138" s="16">
        <f>IFERROR(__xludf.DUMMYFUNCTION("""COMPUTED_VALUE"""),68.0)</f>
        <v>68</v>
      </c>
      <c r="F8138" s="19" t="str">
        <f>IFERROR(__xludf.DUMMYFUNCTION("""COMPUTED_VALUE"""),"BLACK")</f>
        <v>BLACK</v>
      </c>
      <c r="G8138" s="20" t="str">
        <f>IFERROR(__xludf.DUMMYFUNCTION("""COMPUTED_VALUE"""),"Uncle Sams Cider (5/13/2022)")</f>
        <v>Uncle Sams Cider (5/13/2022)</v>
      </c>
      <c r="H8138" s="19"/>
    </row>
    <row r="8139">
      <c r="A8139" s="9"/>
      <c r="B8139" s="15"/>
      <c r="C8139" s="9">
        <f>IFERROR(__xludf.DUMMYFUNCTION("""COMPUTED_VALUE"""),44711.7537841088)</f>
        <v>44711.75378</v>
      </c>
      <c r="D8139" s="15">
        <f>IFERROR(__xludf.DUMMYFUNCTION("""COMPUTED_VALUE"""),1.019)</f>
        <v>1.019</v>
      </c>
      <c r="E8139" s="16">
        <f>IFERROR(__xludf.DUMMYFUNCTION("""COMPUTED_VALUE"""),68.0)</f>
        <v>68</v>
      </c>
      <c r="F8139" s="19" t="str">
        <f>IFERROR(__xludf.DUMMYFUNCTION("""COMPUTED_VALUE"""),"BLACK")</f>
        <v>BLACK</v>
      </c>
      <c r="G8139" s="20" t="str">
        <f>IFERROR(__xludf.DUMMYFUNCTION("""COMPUTED_VALUE"""),"Uncle Sams Cider (5/13/2022)")</f>
        <v>Uncle Sams Cider (5/13/2022)</v>
      </c>
      <c r="H8139" s="19"/>
    </row>
    <row r="8140">
      <c r="A8140" s="9"/>
      <c r="B8140" s="15"/>
      <c r="C8140" s="9">
        <f>IFERROR(__xludf.DUMMYFUNCTION("""COMPUTED_VALUE"""),44711.7433401388)</f>
        <v>44711.74334</v>
      </c>
      <c r="D8140" s="15">
        <f>IFERROR(__xludf.DUMMYFUNCTION("""COMPUTED_VALUE"""),1.019)</f>
        <v>1.019</v>
      </c>
      <c r="E8140" s="16">
        <f>IFERROR(__xludf.DUMMYFUNCTION("""COMPUTED_VALUE"""),68.0)</f>
        <v>68</v>
      </c>
      <c r="F8140" s="19" t="str">
        <f>IFERROR(__xludf.DUMMYFUNCTION("""COMPUTED_VALUE"""),"BLACK")</f>
        <v>BLACK</v>
      </c>
      <c r="G8140" s="20" t="str">
        <f>IFERROR(__xludf.DUMMYFUNCTION("""COMPUTED_VALUE"""),"Uncle Sams Cider (5/13/2022)")</f>
        <v>Uncle Sams Cider (5/13/2022)</v>
      </c>
      <c r="H8140" s="19"/>
    </row>
    <row r="8141">
      <c r="A8141" s="9"/>
      <c r="B8141" s="15"/>
      <c r="C8141" s="9">
        <f>IFERROR(__xludf.DUMMYFUNCTION("""COMPUTED_VALUE"""),44711.7329184027)</f>
        <v>44711.73292</v>
      </c>
      <c r="D8141" s="15">
        <f>IFERROR(__xludf.DUMMYFUNCTION("""COMPUTED_VALUE"""),1.019)</f>
        <v>1.019</v>
      </c>
      <c r="E8141" s="16">
        <f>IFERROR(__xludf.DUMMYFUNCTION("""COMPUTED_VALUE"""),68.0)</f>
        <v>68</v>
      </c>
      <c r="F8141" s="19" t="str">
        <f>IFERROR(__xludf.DUMMYFUNCTION("""COMPUTED_VALUE"""),"BLACK")</f>
        <v>BLACK</v>
      </c>
      <c r="G8141" s="20" t="str">
        <f>IFERROR(__xludf.DUMMYFUNCTION("""COMPUTED_VALUE"""),"Uncle Sams Cider (5/13/2022)")</f>
        <v>Uncle Sams Cider (5/13/2022)</v>
      </c>
      <c r="H8141" s="19"/>
    </row>
    <row r="8142">
      <c r="A8142" s="9"/>
      <c r="B8142" s="15"/>
      <c r="C8142" s="9">
        <f>IFERROR(__xludf.DUMMYFUNCTION("""COMPUTED_VALUE"""),44711.7224956134)</f>
        <v>44711.7225</v>
      </c>
      <c r="D8142" s="15">
        <f>IFERROR(__xludf.DUMMYFUNCTION("""COMPUTED_VALUE"""),1.019)</f>
        <v>1.019</v>
      </c>
      <c r="E8142" s="16">
        <f>IFERROR(__xludf.DUMMYFUNCTION("""COMPUTED_VALUE"""),68.0)</f>
        <v>68</v>
      </c>
      <c r="F8142" s="19" t="str">
        <f>IFERROR(__xludf.DUMMYFUNCTION("""COMPUTED_VALUE"""),"BLACK")</f>
        <v>BLACK</v>
      </c>
      <c r="G8142" s="20" t="str">
        <f>IFERROR(__xludf.DUMMYFUNCTION("""COMPUTED_VALUE"""),"Uncle Sams Cider (5/13/2022)")</f>
        <v>Uncle Sams Cider (5/13/2022)</v>
      </c>
      <c r="H8142" s="19"/>
    </row>
    <row r="8143">
      <c r="A8143" s="9"/>
      <c r="B8143" s="15"/>
      <c r="C8143" s="9">
        <f>IFERROR(__xludf.DUMMYFUNCTION("""COMPUTED_VALUE"""),44711.7120745833)</f>
        <v>44711.71207</v>
      </c>
      <c r="D8143" s="15">
        <f>IFERROR(__xludf.DUMMYFUNCTION("""COMPUTED_VALUE"""),1.019)</f>
        <v>1.019</v>
      </c>
      <c r="E8143" s="16">
        <f>IFERROR(__xludf.DUMMYFUNCTION("""COMPUTED_VALUE"""),68.0)</f>
        <v>68</v>
      </c>
      <c r="F8143" s="19" t="str">
        <f>IFERROR(__xludf.DUMMYFUNCTION("""COMPUTED_VALUE"""),"BLACK")</f>
        <v>BLACK</v>
      </c>
      <c r="G8143" s="20" t="str">
        <f>IFERROR(__xludf.DUMMYFUNCTION("""COMPUTED_VALUE"""),"Uncle Sams Cider (5/13/2022)")</f>
        <v>Uncle Sams Cider (5/13/2022)</v>
      </c>
      <c r="H8143" s="19"/>
    </row>
    <row r="8144">
      <c r="A8144" s="9"/>
      <c r="B8144" s="15"/>
      <c r="C8144" s="9">
        <f>IFERROR(__xludf.DUMMYFUNCTION("""COMPUTED_VALUE"""),44711.7016549537)</f>
        <v>44711.70165</v>
      </c>
      <c r="D8144" s="15">
        <f>IFERROR(__xludf.DUMMYFUNCTION("""COMPUTED_VALUE"""),1.019)</f>
        <v>1.019</v>
      </c>
      <c r="E8144" s="16">
        <f>IFERROR(__xludf.DUMMYFUNCTION("""COMPUTED_VALUE"""),68.0)</f>
        <v>68</v>
      </c>
      <c r="F8144" s="19" t="str">
        <f>IFERROR(__xludf.DUMMYFUNCTION("""COMPUTED_VALUE"""),"BLACK")</f>
        <v>BLACK</v>
      </c>
      <c r="G8144" s="20" t="str">
        <f>IFERROR(__xludf.DUMMYFUNCTION("""COMPUTED_VALUE"""),"Uncle Sams Cider (5/13/2022)")</f>
        <v>Uncle Sams Cider (5/13/2022)</v>
      </c>
      <c r="H8144" s="19"/>
    </row>
    <row r="8145">
      <c r="A8145" s="9"/>
      <c r="B8145" s="15"/>
      <c r="C8145" s="9">
        <f>IFERROR(__xludf.DUMMYFUNCTION("""COMPUTED_VALUE"""),44711.6912351736)</f>
        <v>44711.69124</v>
      </c>
      <c r="D8145" s="15">
        <f>IFERROR(__xludf.DUMMYFUNCTION("""COMPUTED_VALUE"""),1.019)</f>
        <v>1.019</v>
      </c>
      <c r="E8145" s="16">
        <f>IFERROR(__xludf.DUMMYFUNCTION("""COMPUTED_VALUE"""),68.0)</f>
        <v>68</v>
      </c>
      <c r="F8145" s="19" t="str">
        <f>IFERROR(__xludf.DUMMYFUNCTION("""COMPUTED_VALUE"""),"BLACK")</f>
        <v>BLACK</v>
      </c>
      <c r="G8145" s="20" t="str">
        <f>IFERROR(__xludf.DUMMYFUNCTION("""COMPUTED_VALUE"""),"Uncle Sams Cider (5/13/2022)")</f>
        <v>Uncle Sams Cider (5/13/2022)</v>
      </c>
      <c r="H8145" s="19"/>
    </row>
    <row r="8146">
      <c r="A8146" s="9"/>
      <c r="B8146" s="15"/>
      <c r="C8146" s="9">
        <f>IFERROR(__xludf.DUMMYFUNCTION("""COMPUTED_VALUE"""),44711.6808155324)</f>
        <v>44711.68082</v>
      </c>
      <c r="D8146" s="15">
        <f>IFERROR(__xludf.DUMMYFUNCTION("""COMPUTED_VALUE"""),1.02)</f>
        <v>1.02</v>
      </c>
      <c r="E8146" s="16">
        <f>IFERROR(__xludf.DUMMYFUNCTION("""COMPUTED_VALUE"""),68.0)</f>
        <v>68</v>
      </c>
      <c r="F8146" s="19" t="str">
        <f>IFERROR(__xludf.DUMMYFUNCTION("""COMPUTED_VALUE"""),"BLACK")</f>
        <v>BLACK</v>
      </c>
      <c r="G8146" s="20" t="str">
        <f>IFERROR(__xludf.DUMMYFUNCTION("""COMPUTED_VALUE"""),"Uncle Sams Cider (5/13/2022)")</f>
        <v>Uncle Sams Cider (5/13/2022)</v>
      </c>
      <c r="H8146" s="19"/>
    </row>
    <row r="8147">
      <c r="A8147" s="9"/>
      <c r="B8147" s="15"/>
      <c r="C8147" s="9">
        <f>IFERROR(__xludf.DUMMYFUNCTION("""COMPUTED_VALUE"""),44711.6703918981)</f>
        <v>44711.67039</v>
      </c>
      <c r="D8147" s="15">
        <f>IFERROR(__xludf.DUMMYFUNCTION("""COMPUTED_VALUE"""),1.019)</f>
        <v>1.019</v>
      </c>
      <c r="E8147" s="16">
        <f>IFERROR(__xludf.DUMMYFUNCTION("""COMPUTED_VALUE"""),68.0)</f>
        <v>68</v>
      </c>
      <c r="F8147" s="19" t="str">
        <f>IFERROR(__xludf.DUMMYFUNCTION("""COMPUTED_VALUE"""),"BLACK")</f>
        <v>BLACK</v>
      </c>
      <c r="G8147" s="20" t="str">
        <f>IFERROR(__xludf.DUMMYFUNCTION("""COMPUTED_VALUE"""),"Uncle Sams Cider (5/13/2022)")</f>
        <v>Uncle Sams Cider (5/13/2022)</v>
      </c>
      <c r="H8147" s="19"/>
    </row>
    <row r="8148">
      <c r="A8148" s="9"/>
      <c r="B8148" s="15"/>
      <c r="C8148" s="9">
        <f>IFERROR(__xludf.DUMMYFUNCTION("""COMPUTED_VALUE"""),44711.6599719907)</f>
        <v>44711.65997</v>
      </c>
      <c r="D8148" s="15">
        <f>IFERROR(__xludf.DUMMYFUNCTION("""COMPUTED_VALUE"""),1.02)</f>
        <v>1.02</v>
      </c>
      <c r="E8148" s="16">
        <f>IFERROR(__xludf.DUMMYFUNCTION("""COMPUTED_VALUE"""),68.0)</f>
        <v>68</v>
      </c>
      <c r="F8148" s="19" t="str">
        <f>IFERROR(__xludf.DUMMYFUNCTION("""COMPUTED_VALUE"""),"BLACK")</f>
        <v>BLACK</v>
      </c>
      <c r="G8148" s="20" t="str">
        <f>IFERROR(__xludf.DUMMYFUNCTION("""COMPUTED_VALUE"""),"Uncle Sams Cider (5/13/2022)")</f>
        <v>Uncle Sams Cider (5/13/2022)</v>
      </c>
      <c r="H8148" s="19"/>
    </row>
    <row r="8149">
      <c r="A8149" s="9"/>
      <c r="B8149" s="15"/>
      <c r="C8149" s="9">
        <f>IFERROR(__xludf.DUMMYFUNCTION("""COMPUTED_VALUE"""),44711.6495486226)</f>
        <v>44711.64955</v>
      </c>
      <c r="D8149" s="15">
        <f>IFERROR(__xludf.DUMMYFUNCTION("""COMPUTED_VALUE"""),1.019)</f>
        <v>1.019</v>
      </c>
      <c r="E8149" s="16">
        <f>IFERROR(__xludf.DUMMYFUNCTION("""COMPUTED_VALUE"""),68.0)</f>
        <v>68</v>
      </c>
      <c r="F8149" s="19" t="str">
        <f>IFERROR(__xludf.DUMMYFUNCTION("""COMPUTED_VALUE"""),"BLACK")</f>
        <v>BLACK</v>
      </c>
      <c r="G8149" s="20" t="str">
        <f>IFERROR(__xludf.DUMMYFUNCTION("""COMPUTED_VALUE"""),"Uncle Sams Cider (5/13/2022)")</f>
        <v>Uncle Sams Cider (5/13/2022)</v>
      </c>
      <c r="H8149" s="19"/>
    </row>
    <row r="8150">
      <c r="A8150" s="9"/>
      <c r="B8150" s="15"/>
      <c r="C8150" s="9">
        <f>IFERROR(__xludf.DUMMYFUNCTION("""COMPUTED_VALUE"""),44711.6391272222)</f>
        <v>44711.63913</v>
      </c>
      <c r="D8150" s="15">
        <f>IFERROR(__xludf.DUMMYFUNCTION("""COMPUTED_VALUE"""),1.02)</f>
        <v>1.02</v>
      </c>
      <c r="E8150" s="16">
        <f>IFERROR(__xludf.DUMMYFUNCTION("""COMPUTED_VALUE"""),68.0)</f>
        <v>68</v>
      </c>
      <c r="F8150" s="19" t="str">
        <f>IFERROR(__xludf.DUMMYFUNCTION("""COMPUTED_VALUE"""),"BLACK")</f>
        <v>BLACK</v>
      </c>
      <c r="G8150" s="20" t="str">
        <f>IFERROR(__xludf.DUMMYFUNCTION("""COMPUTED_VALUE"""),"Uncle Sams Cider (5/13/2022)")</f>
        <v>Uncle Sams Cider (5/13/2022)</v>
      </c>
      <c r="H8150" s="19"/>
    </row>
    <row r="8151">
      <c r="A8151" s="9"/>
      <c r="B8151" s="15"/>
      <c r="C8151" s="9">
        <f>IFERROR(__xludf.DUMMYFUNCTION("""COMPUTED_VALUE"""),44711.628695324)</f>
        <v>44711.6287</v>
      </c>
      <c r="D8151" s="15">
        <f>IFERROR(__xludf.DUMMYFUNCTION("""COMPUTED_VALUE"""),1.019)</f>
        <v>1.019</v>
      </c>
      <c r="E8151" s="16">
        <f>IFERROR(__xludf.DUMMYFUNCTION("""COMPUTED_VALUE"""),68.0)</f>
        <v>68</v>
      </c>
      <c r="F8151" s="19" t="str">
        <f>IFERROR(__xludf.DUMMYFUNCTION("""COMPUTED_VALUE"""),"BLACK")</f>
        <v>BLACK</v>
      </c>
      <c r="G8151" s="20" t="str">
        <f>IFERROR(__xludf.DUMMYFUNCTION("""COMPUTED_VALUE"""),"Uncle Sams Cider (5/13/2022)")</f>
        <v>Uncle Sams Cider (5/13/2022)</v>
      </c>
      <c r="H8151" s="19"/>
    </row>
    <row r="8152">
      <c r="A8152" s="9"/>
      <c r="B8152" s="15"/>
      <c r="C8152" s="9">
        <f>IFERROR(__xludf.DUMMYFUNCTION("""COMPUTED_VALUE"""),44711.6182745023)</f>
        <v>44711.61827</v>
      </c>
      <c r="D8152" s="15">
        <f>IFERROR(__xludf.DUMMYFUNCTION("""COMPUTED_VALUE"""),1.019)</f>
        <v>1.019</v>
      </c>
      <c r="E8152" s="16">
        <f>IFERROR(__xludf.DUMMYFUNCTION("""COMPUTED_VALUE"""),68.0)</f>
        <v>68</v>
      </c>
      <c r="F8152" s="19" t="str">
        <f>IFERROR(__xludf.DUMMYFUNCTION("""COMPUTED_VALUE"""),"BLACK")</f>
        <v>BLACK</v>
      </c>
      <c r="G8152" s="20" t="str">
        <f>IFERROR(__xludf.DUMMYFUNCTION("""COMPUTED_VALUE"""),"Uncle Sams Cider (5/13/2022)")</f>
        <v>Uncle Sams Cider (5/13/2022)</v>
      </c>
      <c r="H8152" s="19"/>
    </row>
    <row r="8153">
      <c r="A8153" s="9"/>
      <c r="B8153" s="15"/>
      <c r="C8153" s="9">
        <f>IFERROR(__xludf.DUMMYFUNCTION("""COMPUTED_VALUE"""),44711.6078530324)</f>
        <v>44711.60785</v>
      </c>
      <c r="D8153" s="15">
        <f>IFERROR(__xludf.DUMMYFUNCTION("""COMPUTED_VALUE"""),1.019)</f>
        <v>1.019</v>
      </c>
      <c r="E8153" s="16">
        <f>IFERROR(__xludf.DUMMYFUNCTION("""COMPUTED_VALUE"""),68.0)</f>
        <v>68</v>
      </c>
      <c r="F8153" s="19" t="str">
        <f>IFERROR(__xludf.DUMMYFUNCTION("""COMPUTED_VALUE"""),"BLACK")</f>
        <v>BLACK</v>
      </c>
      <c r="G8153" s="20" t="str">
        <f>IFERROR(__xludf.DUMMYFUNCTION("""COMPUTED_VALUE"""),"Uncle Sams Cider (5/13/2022)")</f>
        <v>Uncle Sams Cider (5/13/2022)</v>
      </c>
      <c r="H8153" s="19"/>
    </row>
    <row r="8154">
      <c r="A8154" s="9"/>
      <c r="B8154" s="15"/>
      <c r="C8154" s="9">
        <f>IFERROR(__xludf.DUMMYFUNCTION("""COMPUTED_VALUE"""),44711.5974313888)</f>
        <v>44711.59743</v>
      </c>
      <c r="D8154" s="15">
        <f>IFERROR(__xludf.DUMMYFUNCTION("""COMPUTED_VALUE"""),1.019)</f>
        <v>1.019</v>
      </c>
      <c r="E8154" s="16">
        <f>IFERROR(__xludf.DUMMYFUNCTION("""COMPUTED_VALUE"""),68.0)</f>
        <v>68</v>
      </c>
      <c r="F8154" s="19" t="str">
        <f>IFERROR(__xludf.DUMMYFUNCTION("""COMPUTED_VALUE"""),"BLACK")</f>
        <v>BLACK</v>
      </c>
      <c r="G8154" s="20" t="str">
        <f>IFERROR(__xludf.DUMMYFUNCTION("""COMPUTED_VALUE"""),"Uncle Sams Cider (5/13/2022)")</f>
        <v>Uncle Sams Cider (5/13/2022)</v>
      </c>
      <c r="H8154" s="19"/>
    </row>
    <row r="8155">
      <c r="A8155" s="9"/>
      <c r="B8155" s="15"/>
      <c r="C8155" s="9">
        <f>IFERROR(__xludf.DUMMYFUNCTION("""COMPUTED_VALUE"""),44711.5869884722)</f>
        <v>44711.58699</v>
      </c>
      <c r="D8155" s="15">
        <f>IFERROR(__xludf.DUMMYFUNCTION("""COMPUTED_VALUE"""),1.02)</f>
        <v>1.02</v>
      </c>
      <c r="E8155" s="16">
        <f>IFERROR(__xludf.DUMMYFUNCTION("""COMPUTED_VALUE"""),68.0)</f>
        <v>68</v>
      </c>
      <c r="F8155" s="19" t="str">
        <f>IFERROR(__xludf.DUMMYFUNCTION("""COMPUTED_VALUE"""),"BLACK")</f>
        <v>BLACK</v>
      </c>
      <c r="G8155" s="20" t="str">
        <f>IFERROR(__xludf.DUMMYFUNCTION("""COMPUTED_VALUE"""),"Uncle Sams Cider (5/13/2022)")</f>
        <v>Uncle Sams Cider (5/13/2022)</v>
      </c>
      <c r="H8155" s="19"/>
    </row>
    <row r="8156">
      <c r="A8156" s="9"/>
      <c r="B8156" s="15"/>
      <c r="C8156" s="9">
        <f>IFERROR(__xludf.DUMMYFUNCTION("""COMPUTED_VALUE"""),44711.5765683449)</f>
        <v>44711.57657</v>
      </c>
      <c r="D8156" s="15">
        <f>IFERROR(__xludf.DUMMYFUNCTION("""COMPUTED_VALUE"""),1.02)</f>
        <v>1.02</v>
      </c>
      <c r="E8156" s="16">
        <f>IFERROR(__xludf.DUMMYFUNCTION("""COMPUTED_VALUE"""),68.0)</f>
        <v>68</v>
      </c>
      <c r="F8156" s="19" t="str">
        <f>IFERROR(__xludf.DUMMYFUNCTION("""COMPUTED_VALUE"""),"BLACK")</f>
        <v>BLACK</v>
      </c>
      <c r="G8156" s="20" t="str">
        <f>IFERROR(__xludf.DUMMYFUNCTION("""COMPUTED_VALUE"""),"Uncle Sams Cider (5/13/2022)")</f>
        <v>Uncle Sams Cider (5/13/2022)</v>
      </c>
      <c r="H8156" s="19"/>
    </row>
    <row r="8157">
      <c r="A8157" s="9"/>
      <c r="B8157" s="15"/>
      <c r="C8157" s="9">
        <f>IFERROR(__xludf.DUMMYFUNCTION("""COMPUTED_VALUE"""),44711.5661468518)</f>
        <v>44711.56615</v>
      </c>
      <c r="D8157" s="15">
        <f>IFERROR(__xludf.DUMMYFUNCTION("""COMPUTED_VALUE"""),1.02)</f>
        <v>1.02</v>
      </c>
      <c r="E8157" s="16">
        <f>IFERROR(__xludf.DUMMYFUNCTION("""COMPUTED_VALUE"""),68.0)</f>
        <v>68</v>
      </c>
      <c r="F8157" s="19" t="str">
        <f>IFERROR(__xludf.DUMMYFUNCTION("""COMPUTED_VALUE"""),"BLACK")</f>
        <v>BLACK</v>
      </c>
      <c r="G8157" s="20" t="str">
        <f>IFERROR(__xludf.DUMMYFUNCTION("""COMPUTED_VALUE"""),"Uncle Sams Cider (5/13/2022)")</f>
        <v>Uncle Sams Cider (5/13/2022)</v>
      </c>
      <c r="H8157" s="19"/>
    </row>
    <row r="8158">
      <c r="A8158" s="9"/>
      <c r="B8158" s="15"/>
      <c r="C8158" s="9">
        <f>IFERROR(__xludf.DUMMYFUNCTION("""COMPUTED_VALUE"""),44711.5557263425)</f>
        <v>44711.55573</v>
      </c>
      <c r="D8158" s="15">
        <f>IFERROR(__xludf.DUMMYFUNCTION("""COMPUTED_VALUE"""),1.02)</f>
        <v>1.02</v>
      </c>
      <c r="E8158" s="16">
        <f>IFERROR(__xludf.DUMMYFUNCTION("""COMPUTED_VALUE"""),68.0)</f>
        <v>68</v>
      </c>
      <c r="F8158" s="19" t="str">
        <f>IFERROR(__xludf.DUMMYFUNCTION("""COMPUTED_VALUE"""),"BLACK")</f>
        <v>BLACK</v>
      </c>
      <c r="G8158" s="20" t="str">
        <f>IFERROR(__xludf.DUMMYFUNCTION("""COMPUTED_VALUE"""),"Uncle Sams Cider (5/13/2022)")</f>
        <v>Uncle Sams Cider (5/13/2022)</v>
      </c>
      <c r="H8158" s="19"/>
    </row>
    <row r="8159">
      <c r="A8159" s="9"/>
      <c r="B8159" s="15"/>
      <c r="C8159" s="9">
        <f>IFERROR(__xludf.DUMMYFUNCTION("""COMPUTED_VALUE"""),44711.5452933217)</f>
        <v>44711.54529</v>
      </c>
      <c r="D8159" s="15">
        <f>IFERROR(__xludf.DUMMYFUNCTION("""COMPUTED_VALUE"""),1.02)</f>
        <v>1.02</v>
      </c>
      <c r="E8159" s="16">
        <f>IFERROR(__xludf.DUMMYFUNCTION("""COMPUTED_VALUE"""),68.0)</f>
        <v>68</v>
      </c>
      <c r="F8159" s="19" t="str">
        <f>IFERROR(__xludf.DUMMYFUNCTION("""COMPUTED_VALUE"""),"BLACK")</f>
        <v>BLACK</v>
      </c>
      <c r="G8159" s="20" t="str">
        <f>IFERROR(__xludf.DUMMYFUNCTION("""COMPUTED_VALUE"""),"Uncle Sams Cider (5/13/2022)")</f>
        <v>Uncle Sams Cider (5/13/2022)</v>
      </c>
      <c r="H8159" s="19"/>
    </row>
    <row r="8160">
      <c r="A8160" s="9"/>
      <c r="B8160" s="15"/>
      <c r="C8160" s="9">
        <f>IFERROR(__xludf.DUMMYFUNCTION("""COMPUTED_VALUE"""),44711.5348588194)</f>
        <v>44711.53486</v>
      </c>
      <c r="D8160" s="15">
        <f>IFERROR(__xludf.DUMMYFUNCTION("""COMPUTED_VALUE"""),1.02)</f>
        <v>1.02</v>
      </c>
      <c r="E8160" s="16">
        <f>IFERROR(__xludf.DUMMYFUNCTION("""COMPUTED_VALUE"""),68.0)</f>
        <v>68</v>
      </c>
      <c r="F8160" s="19" t="str">
        <f>IFERROR(__xludf.DUMMYFUNCTION("""COMPUTED_VALUE"""),"BLACK")</f>
        <v>BLACK</v>
      </c>
      <c r="G8160" s="20" t="str">
        <f>IFERROR(__xludf.DUMMYFUNCTION("""COMPUTED_VALUE"""),"Uncle Sams Cider (5/13/2022)")</f>
        <v>Uncle Sams Cider (5/13/2022)</v>
      </c>
      <c r="H8160" s="19"/>
    </row>
    <row r="8161">
      <c r="A8161" s="9"/>
      <c r="B8161" s="15"/>
      <c r="C8161" s="9">
        <f>IFERROR(__xludf.DUMMYFUNCTION("""COMPUTED_VALUE"""),44711.5244376388)</f>
        <v>44711.52444</v>
      </c>
      <c r="D8161" s="15">
        <f>IFERROR(__xludf.DUMMYFUNCTION("""COMPUTED_VALUE"""),1.02)</f>
        <v>1.02</v>
      </c>
      <c r="E8161" s="16">
        <f>IFERROR(__xludf.DUMMYFUNCTION("""COMPUTED_VALUE"""),68.0)</f>
        <v>68</v>
      </c>
      <c r="F8161" s="19" t="str">
        <f>IFERROR(__xludf.DUMMYFUNCTION("""COMPUTED_VALUE"""),"BLACK")</f>
        <v>BLACK</v>
      </c>
      <c r="G8161" s="20" t="str">
        <f>IFERROR(__xludf.DUMMYFUNCTION("""COMPUTED_VALUE"""),"Uncle Sams Cider (5/13/2022)")</f>
        <v>Uncle Sams Cider (5/13/2022)</v>
      </c>
      <c r="H8161" s="19"/>
    </row>
    <row r="8162">
      <c r="A8162" s="9"/>
      <c r="B8162" s="15"/>
      <c r="C8162" s="9">
        <f>IFERROR(__xludf.DUMMYFUNCTION("""COMPUTED_VALUE"""),44711.5140168171)</f>
        <v>44711.51402</v>
      </c>
      <c r="D8162" s="15">
        <f>IFERROR(__xludf.DUMMYFUNCTION("""COMPUTED_VALUE"""),1.02)</f>
        <v>1.02</v>
      </c>
      <c r="E8162" s="16">
        <f>IFERROR(__xludf.DUMMYFUNCTION("""COMPUTED_VALUE"""),68.0)</f>
        <v>68</v>
      </c>
      <c r="F8162" s="19" t="str">
        <f>IFERROR(__xludf.DUMMYFUNCTION("""COMPUTED_VALUE"""),"BLACK")</f>
        <v>BLACK</v>
      </c>
      <c r="G8162" s="20" t="str">
        <f>IFERROR(__xludf.DUMMYFUNCTION("""COMPUTED_VALUE"""),"Uncle Sams Cider (5/13/2022)")</f>
        <v>Uncle Sams Cider (5/13/2022)</v>
      </c>
      <c r="H8162" s="19"/>
    </row>
    <row r="8163">
      <c r="A8163" s="9"/>
      <c r="B8163" s="15"/>
      <c r="C8163" s="9">
        <f>IFERROR(__xludf.DUMMYFUNCTION("""COMPUTED_VALUE"""),44711.5035975115)</f>
        <v>44711.5036</v>
      </c>
      <c r="D8163" s="15">
        <f>IFERROR(__xludf.DUMMYFUNCTION("""COMPUTED_VALUE"""),1.02)</f>
        <v>1.02</v>
      </c>
      <c r="E8163" s="16">
        <f>IFERROR(__xludf.DUMMYFUNCTION("""COMPUTED_VALUE"""),68.0)</f>
        <v>68</v>
      </c>
      <c r="F8163" s="19" t="str">
        <f>IFERROR(__xludf.DUMMYFUNCTION("""COMPUTED_VALUE"""),"BLACK")</f>
        <v>BLACK</v>
      </c>
      <c r="G8163" s="20" t="str">
        <f>IFERROR(__xludf.DUMMYFUNCTION("""COMPUTED_VALUE"""),"Uncle Sams Cider (5/13/2022)")</f>
        <v>Uncle Sams Cider (5/13/2022)</v>
      </c>
      <c r="H8163" s="19"/>
    </row>
    <row r="8164">
      <c r="A8164" s="9"/>
      <c r="B8164" s="15"/>
      <c r="C8164" s="9">
        <f>IFERROR(__xludf.DUMMYFUNCTION("""COMPUTED_VALUE"""),44711.4931765856)</f>
        <v>44711.49318</v>
      </c>
      <c r="D8164" s="15">
        <f>IFERROR(__xludf.DUMMYFUNCTION("""COMPUTED_VALUE"""),1.02)</f>
        <v>1.02</v>
      </c>
      <c r="E8164" s="16">
        <f>IFERROR(__xludf.DUMMYFUNCTION("""COMPUTED_VALUE"""),68.0)</f>
        <v>68</v>
      </c>
      <c r="F8164" s="19" t="str">
        <f>IFERROR(__xludf.DUMMYFUNCTION("""COMPUTED_VALUE"""),"BLACK")</f>
        <v>BLACK</v>
      </c>
      <c r="G8164" s="20" t="str">
        <f>IFERROR(__xludf.DUMMYFUNCTION("""COMPUTED_VALUE"""),"Uncle Sams Cider (5/13/2022)")</f>
        <v>Uncle Sams Cider (5/13/2022)</v>
      </c>
      <c r="H8164" s="19"/>
    </row>
    <row r="8165">
      <c r="A8165" s="9"/>
      <c r="B8165" s="15"/>
      <c r="C8165" s="9">
        <f>IFERROR(__xludf.DUMMYFUNCTION("""COMPUTED_VALUE"""),44711.4827443518)</f>
        <v>44711.48274</v>
      </c>
      <c r="D8165" s="15">
        <f>IFERROR(__xludf.DUMMYFUNCTION("""COMPUTED_VALUE"""),1.02)</f>
        <v>1.02</v>
      </c>
      <c r="E8165" s="16">
        <f>IFERROR(__xludf.DUMMYFUNCTION("""COMPUTED_VALUE"""),68.0)</f>
        <v>68</v>
      </c>
      <c r="F8165" s="19" t="str">
        <f>IFERROR(__xludf.DUMMYFUNCTION("""COMPUTED_VALUE"""),"BLACK")</f>
        <v>BLACK</v>
      </c>
      <c r="G8165" s="20" t="str">
        <f>IFERROR(__xludf.DUMMYFUNCTION("""COMPUTED_VALUE"""),"Uncle Sams Cider (5/13/2022)")</f>
        <v>Uncle Sams Cider (5/13/2022)</v>
      </c>
      <c r="H8165" s="19"/>
    </row>
    <row r="8166">
      <c r="A8166" s="9"/>
      <c r="B8166" s="15"/>
      <c r="C8166" s="9">
        <f>IFERROR(__xludf.DUMMYFUNCTION("""COMPUTED_VALUE"""),44711.4723230324)</f>
        <v>44711.47232</v>
      </c>
      <c r="D8166" s="15">
        <f>IFERROR(__xludf.DUMMYFUNCTION("""COMPUTED_VALUE"""),1.02)</f>
        <v>1.02</v>
      </c>
      <c r="E8166" s="16">
        <f>IFERROR(__xludf.DUMMYFUNCTION("""COMPUTED_VALUE"""),68.0)</f>
        <v>68</v>
      </c>
      <c r="F8166" s="19" t="str">
        <f>IFERROR(__xludf.DUMMYFUNCTION("""COMPUTED_VALUE"""),"BLACK")</f>
        <v>BLACK</v>
      </c>
      <c r="G8166" s="20" t="str">
        <f>IFERROR(__xludf.DUMMYFUNCTION("""COMPUTED_VALUE"""),"Uncle Sams Cider (5/13/2022)")</f>
        <v>Uncle Sams Cider (5/13/2022)</v>
      </c>
      <c r="H8166" s="19"/>
    </row>
    <row r="8167">
      <c r="A8167" s="9"/>
      <c r="B8167" s="15"/>
      <c r="C8167" s="9">
        <f>IFERROR(__xludf.DUMMYFUNCTION("""COMPUTED_VALUE"""),44711.4619015277)</f>
        <v>44711.4619</v>
      </c>
      <c r="D8167" s="15">
        <f>IFERROR(__xludf.DUMMYFUNCTION("""COMPUTED_VALUE"""),1.02)</f>
        <v>1.02</v>
      </c>
      <c r="E8167" s="16">
        <f>IFERROR(__xludf.DUMMYFUNCTION("""COMPUTED_VALUE"""),68.0)</f>
        <v>68</v>
      </c>
      <c r="F8167" s="19" t="str">
        <f>IFERROR(__xludf.DUMMYFUNCTION("""COMPUTED_VALUE"""),"BLACK")</f>
        <v>BLACK</v>
      </c>
      <c r="G8167" s="20" t="str">
        <f>IFERROR(__xludf.DUMMYFUNCTION("""COMPUTED_VALUE"""),"Uncle Sams Cider (5/13/2022)")</f>
        <v>Uncle Sams Cider (5/13/2022)</v>
      </c>
      <c r="H8167" s="19"/>
    </row>
    <row r="8168">
      <c r="A8168" s="9"/>
      <c r="B8168" s="15"/>
      <c r="C8168" s="9">
        <f>IFERROR(__xludf.DUMMYFUNCTION("""COMPUTED_VALUE"""),44711.4514699189)</f>
        <v>44711.45147</v>
      </c>
      <c r="D8168" s="15">
        <f>IFERROR(__xludf.DUMMYFUNCTION("""COMPUTED_VALUE"""),1.02)</f>
        <v>1.02</v>
      </c>
      <c r="E8168" s="16">
        <f>IFERROR(__xludf.DUMMYFUNCTION("""COMPUTED_VALUE"""),68.0)</f>
        <v>68</v>
      </c>
      <c r="F8168" s="19" t="str">
        <f>IFERROR(__xludf.DUMMYFUNCTION("""COMPUTED_VALUE"""),"BLACK")</f>
        <v>BLACK</v>
      </c>
      <c r="G8168" s="20" t="str">
        <f>IFERROR(__xludf.DUMMYFUNCTION("""COMPUTED_VALUE"""),"Uncle Sams Cider (5/13/2022)")</f>
        <v>Uncle Sams Cider (5/13/2022)</v>
      </c>
      <c r="H8168" s="19"/>
    </row>
    <row r="8169">
      <c r="A8169" s="9"/>
      <c r="B8169" s="15"/>
      <c r="C8169" s="9">
        <f>IFERROR(__xludf.DUMMYFUNCTION("""COMPUTED_VALUE"""),44711.4410485879)</f>
        <v>44711.44105</v>
      </c>
      <c r="D8169" s="15">
        <f>IFERROR(__xludf.DUMMYFUNCTION("""COMPUTED_VALUE"""),1.02)</f>
        <v>1.02</v>
      </c>
      <c r="E8169" s="16">
        <f>IFERROR(__xludf.DUMMYFUNCTION("""COMPUTED_VALUE"""),68.0)</f>
        <v>68</v>
      </c>
      <c r="F8169" s="19" t="str">
        <f>IFERROR(__xludf.DUMMYFUNCTION("""COMPUTED_VALUE"""),"BLACK")</f>
        <v>BLACK</v>
      </c>
      <c r="G8169" s="20" t="str">
        <f>IFERROR(__xludf.DUMMYFUNCTION("""COMPUTED_VALUE"""),"Uncle Sams Cider (5/13/2022)")</f>
        <v>Uncle Sams Cider (5/13/2022)</v>
      </c>
      <c r="H8169" s="19"/>
    </row>
    <row r="8170">
      <c r="A8170" s="9"/>
      <c r="B8170" s="15"/>
      <c r="C8170" s="9">
        <f>IFERROR(__xludf.DUMMYFUNCTION("""COMPUTED_VALUE"""),44711.4306274652)</f>
        <v>44711.43063</v>
      </c>
      <c r="D8170" s="15">
        <f>IFERROR(__xludf.DUMMYFUNCTION("""COMPUTED_VALUE"""),1.02)</f>
        <v>1.02</v>
      </c>
      <c r="E8170" s="16">
        <f>IFERROR(__xludf.DUMMYFUNCTION("""COMPUTED_VALUE"""),68.0)</f>
        <v>68</v>
      </c>
      <c r="F8170" s="19" t="str">
        <f>IFERROR(__xludf.DUMMYFUNCTION("""COMPUTED_VALUE"""),"BLACK")</f>
        <v>BLACK</v>
      </c>
      <c r="G8170" s="20" t="str">
        <f>IFERROR(__xludf.DUMMYFUNCTION("""COMPUTED_VALUE"""),"Uncle Sams Cider (5/13/2022)")</f>
        <v>Uncle Sams Cider (5/13/2022)</v>
      </c>
      <c r="H8170" s="19"/>
    </row>
    <row r="8171">
      <c r="A8171" s="9"/>
      <c r="B8171" s="15"/>
      <c r="C8171" s="9">
        <f>IFERROR(__xludf.DUMMYFUNCTION("""COMPUTED_VALUE"""),44711.4201721527)</f>
        <v>44711.42017</v>
      </c>
      <c r="D8171" s="15">
        <f>IFERROR(__xludf.DUMMYFUNCTION("""COMPUTED_VALUE"""),1.02)</f>
        <v>1.02</v>
      </c>
      <c r="E8171" s="16">
        <f>IFERROR(__xludf.DUMMYFUNCTION("""COMPUTED_VALUE"""),68.0)</f>
        <v>68</v>
      </c>
      <c r="F8171" s="19" t="str">
        <f>IFERROR(__xludf.DUMMYFUNCTION("""COMPUTED_VALUE"""),"BLACK")</f>
        <v>BLACK</v>
      </c>
      <c r="G8171" s="20" t="str">
        <f>IFERROR(__xludf.DUMMYFUNCTION("""COMPUTED_VALUE"""),"Uncle Sams Cider (5/13/2022)")</f>
        <v>Uncle Sams Cider (5/13/2022)</v>
      </c>
      <c r="H8171" s="19"/>
    </row>
    <row r="8172">
      <c r="A8172" s="9"/>
      <c r="B8172" s="15"/>
      <c r="C8172" s="9">
        <f>IFERROR(__xludf.DUMMYFUNCTION("""COMPUTED_VALUE"""),44711.4097501041)</f>
        <v>44711.40975</v>
      </c>
      <c r="D8172" s="15">
        <f>IFERROR(__xludf.DUMMYFUNCTION("""COMPUTED_VALUE"""),1.02)</f>
        <v>1.02</v>
      </c>
      <c r="E8172" s="16">
        <f>IFERROR(__xludf.DUMMYFUNCTION("""COMPUTED_VALUE"""),68.0)</f>
        <v>68</v>
      </c>
      <c r="F8172" s="19" t="str">
        <f>IFERROR(__xludf.DUMMYFUNCTION("""COMPUTED_VALUE"""),"BLACK")</f>
        <v>BLACK</v>
      </c>
      <c r="G8172" s="20" t="str">
        <f>IFERROR(__xludf.DUMMYFUNCTION("""COMPUTED_VALUE"""),"Uncle Sams Cider (5/13/2022)")</f>
        <v>Uncle Sams Cider (5/13/2022)</v>
      </c>
      <c r="H8172" s="19"/>
    </row>
    <row r="8173">
      <c r="A8173" s="9"/>
      <c r="B8173" s="15"/>
      <c r="C8173" s="9">
        <f>IFERROR(__xludf.DUMMYFUNCTION("""COMPUTED_VALUE"""),44711.3993294676)</f>
        <v>44711.39933</v>
      </c>
      <c r="D8173" s="15">
        <f>IFERROR(__xludf.DUMMYFUNCTION("""COMPUTED_VALUE"""),1.02)</f>
        <v>1.02</v>
      </c>
      <c r="E8173" s="16">
        <f>IFERROR(__xludf.DUMMYFUNCTION("""COMPUTED_VALUE"""),68.0)</f>
        <v>68</v>
      </c>
      <c r="F8173" s="19" t="str">
        <f>IFERROR(__xludf.DUMMYFUNCTION("""COMPUTED_VALUE"""),"BLACK")</f>
        <v>BLACK</v>
      </c>
      <c r="G8173" s="20" t="str">
        <f>IFERROR(__xludf.DUMMYFUNCTION("""COMPUTED_VALUE"""),"Uncle Sams Cider (5/13/2022)")</f>
        <v>Uncle Sams Cider (5/13/2022)</v>
      </c>
      <c r="H8173" s="19"/>
    </row>
    <row r="8174">
      <c r="A8174" s="9"/>
      <c r="B8174" s="15"/>
      <c r="C8174" s="9">
        <f>IFERROR(__xludf.DUMMYFUNCTION("""COMPUTED_VALUE"""),44711.3889079629)</f>
        <v>44711.38891</v>
      </c>
      <c r="D8174" s="15">
        <f>IFERROR(__xludf.DUMMYFUNCTION("""COMPUTED_VALUE"""),1.02)</f>
        <v>1.02</v>
      </c>
      <c r="E8174" s="16">
        <f>IFERROR(__xludf.DUMMYFUNCTION("""COMPUTED_VALUE"""),68.0)</f>
        <v>68</v>
      </c>
      <c r="F8174" s="19" t="str">
        <f>IFERROR(__xludf.DUMMYFUNCTION("""COMPUTED_VALUE"""),"BLACK")</f>
        <v>BLACK</v>
      </c>
      <c r="G8174" s="20" t="str">
        <f>IFERROR(__xludf.DUMMYFUNCTION("""COMPUTED_VALUE"""),"Uncle Sams Cider (5/13/2022)")</f>
        <v>Uncle Sams Cider (5/13/2022)</v>
      </c>
      <c r="H8174" s="19"/>
    </row>
    <row r="8175">
      <c r="A8175" s="9"/>
      <c r="B8175" s="15"/>
      <c r="C8175" s="9">
        <f>IFERROR(__xludf.DUMMYFUNCTION("""COMPUTED_VALUE"""),44711.3784741898)</f>
        <v>44711.37847</v>
      </c>
      <c r="D8175" s="15">
        <f>IFERROR(__xludf.DUMMYFUNCTION("""COMPUTED_VALUE"""),1.02)</f>
        <v>1.02</v>
      </c>
      <c r="E8175" s="16">
        <f>IFERROR(__xludf.DUMMYFUNCTION("""COMPUTED_VALUE"""),68.0)</f>
        <v>68</v>
      </c>
      <c r="F8175" s="19" t="str">
        <f>IFERROR(__xludf.DUMMYFUNCTION("""COMPUTED_VALUE"""),"BLACK")</f>
        <v>BLACK</v>
      </c>
      <c r="G8175" s="20" t="str">
        <f>IFERROR(__xludf.DUMMYFUNCTION("""COMPUTED_VALUE"""),"Uncle Sams Cider (5/13/2022)")</f>
        <v>Uncle Sams Cider (5/13/2022)</v>
      </c>
      <c r="H8175" s="19"/>
    </row>
    <row r="8176">
      <c r="A8176" s="9"/>
      <c r="B8176" s="15"/>
      <c r="C8176" s="9">
        <f>IFERROR(__xludf.DUMMYFUNCTION("""COMPUTED_VALUE"""),44711.3680512731)</f>
        <v>44711.36805</v>
      </c>
      <c r="D8176" s="15">
        <f>IFERROR(__xludf.DUMMYFUNCTION("""COMPUTED_VALUE"""),1.02)</f>
        <v>1.02</v>
      </c>
      <c r="E8176" s="16">
        <f>IFERROR(__xludf.DUMMYFUNCTION("""COMPUTED_VALUE"""),68.0)</f>
        <v>68</v>
      </c>
      <c r="F8176" s="19" t="str">
        <f>IFERROR(__xludf.DUMMYFUNCTION("""COMPUTED_VALUE"""),"BLACK")</f>
        <v>BLACK</v>
      </c>
      <c r="G8176" s="20" t="str">
        <f>IFERROR(__xludf.DUMMYFUNCTION("""COMPUTED_VALUE"""),"Uncle Sams Cider (5/13/2022)")</f>
        <v>Uncle Sams Cider (5/13/2022)</v>
      </c>
      <c r="H8176" s="19"/>
    </row>
    <row r="8177">
      <c r="A8177" s="9"/>
      <c r="B8177" s="15"/>
      <c r="C8177" s="9">
        <f>IFERROR(__xludf.DUMMYFUNCTION("""COMPUTED_VALUE"""),44711.3576314583)</f>
        <v>44711.35763</v>
      </c>
      <c r="D8177" s="15">
        <f>IFERROR(__xludf.DUMMYFUNCTION("""COMPUTED_VALUE"""),1.02)</f>
        <v>1.02</v>
      </c>
      <c r="E8177" s="16">
        <f>IFERROR(__xludf.DUMMYFUNCTION("""COMPUTED_VALUE"""),68.0)</f>
        <v>68</v>
      </c>
      <c r="F8177" s="19" t="str">
        <f>IFERROR(__xludf.DUMMYFUNCTION("""COMPUTED_VALUE"""),"BLACK")</f>
        <v>BLACK</v>
      </c>
      <c r="G8177" s="20" t="str">
        <f>IFERROR(__xludf.DUMMYFUNCTION("""COMPUTED_VALUE"""),"Uncle Sams Cider (5/13/2022)")</f>
        <v>Uncle Sams Cider (5/13/2022)</v>
      </c>
      <c r="H8177" s="19"/>
    </row>
    <row r="8178">
      <c r="A8178" s="9"/>
      <c r="B8178" s="15"/>
      <c r="C8178" s="9">
        <f>IFERROR(__xludf.DUMMYFUNCTION("""COMPUTED_VALUE"""),44711.3471979861)</f>
        <v>44711.3472</v>
      </c>
      <c r="D8178" s="15">
        <f>IFERROR(__xludf.DUMMYFUNCTION("""COMPUTED_VALUE"""),1.021)</f>
        <v>1.021</v>
      </c>
      <c r="E8178" s="16">
        <f>IFERROR(__xludf.DUMMYFUNCTION("""COMPUTED_VALUE"""),68.0)</f>
        <v>68</v>
      </c>
      <c r="F8178" s="19" t="str">
        <f>IFERROR(__xludf.DUMMYFUNCTION("""COMPUTED_VALUE"""),"BLACK")</f>
        <v>BLACK</v>
      </c>
      <c r="G8178" s="20" t="str">
        <f>IFERROR(__xludf.DUMMYFUNCTION("""COMPUTED_VALUE"""),"Uncle Sams Cider (5/13/2022)")</f>
        <v>Uncle Sams Cider (5/13/2022)</v>
      </c>
      <c r="H8178" s="19"/>
    </row>
    <row r="8179">
      <c r="A8179" s="9"/>
      <c r="B8179" s="15"/>
      <c r="C8179" s="9">
        <f>IFERROR(__xludf.DUMMYFUNCTION("""COMPUTED_VALUE"""),44711.336776574)</f>
        <v>44711.33678</v>
      </c>
      <c r="D8179" s="15">
        <f>IFERROR(__xludf.DUMMYFUNCTION("""COMPUTED_VALUE"""),1.021)</f>
        <v>1.021</v>
      </c>
      <c r="E8179" s="16">
        <f>IFERROR(__xludf.DUMMYFUNCTION("""COMPUTED_VALUE"""),68.0)</f>
        <v>68</v>
      </c>
      <c r="F8179" s="19" t="str">
        <f>IFERROR(__xludf.DUMMYFUNCTION("""COMPUTED_VALUE"""),"BLACK")</f>
        <v>BLACK</v>
      </c>
      <c r="G8179" s="20" t="str">
        <f>IFERROR(__xludf.DUMMYFUNCTION("""COMPUTED_VALUE"""),"Uncle Sams Cider (5/13/2022)")</f>
        <v>Uncle Sams Cider (5/13/2022)</v>
      </c>
      <c r="H8179" s="19"/>
    </row>
    <row r="8180">
      <c r="A8180" s="9"/>
      <c r="B8180" s="15"/>
      <c r="C8180" s="9">
        <f>IFERROR(__xludf.DUMMYFUNCTION("""COMPUTED_VALUE"""),44711.3263547685)</f>
        <v>44711.32635</v>
      </c>
      <c r="D8180" s="15">
        <f>IFERROR(__xludf.DUMMYFUNCTION("""COMPUTED_VALUE"""),1.02)</f>
        <v>1.02</v>
      </c>
      <c r="E8180" s="16">
        <f>IFERROR(__xludf.DUMMYFUNCTION("""COMPUTED_VALUE"""),68.0)</f>
        <v>68</v>
      </c>
      <c r="F8180" s="19" t="str">
        <f>IFERROR(__xludf.DUMMYFUNCTION("""COMPUTED_VALUE"""),"BLACK")</f>
        <v>BLACK</v>
      </c>
      <c r="G8180" s="20" t="str">
        <f>IFERROR(__xludf.DUMMYFUNCTION("""COMPUTED_VALUE"""),"Uncle Sams Cider (5/13/2022)")</f>
        <v>Uncle Sams Cider (5/13/2022)</v>
      </c>
      <c r="H8180" s="19"/>
    </row>
    <row r="8181">
      <c r="A8181" s="9"/>
      <c r="B8181" s="15"/>
      <c r="C8181" s="9">
        <f>IFERROR(__xludf.DUMMYFUNCTION("""COMPUTED_VALUE"""),44711.3159327546)</f>
        <v>44711.31593</v>
      </c>
      <c r="D8181" s="15">
        <f>IFERROR(__xludf.DUMMYFUNCTION("""COMPUTED_VALUE"""),1.021)</f>
        <v>1.021</v>
      </c>
      <c r="E8181" s="16">
        <f>IFERROR(__xludf.DUMMYFUNCTION("""COMPUTED_VALUE"""),68.0)</f>
        <v>68</v>
      </c>
      <c r="F8181" s="19" t="str">
        <f>IFERROR(__xludf.DUMMYFUNCTION("""COMPUTED_VALUE"""),"BLACK")</f>
        <v>BLACK</v>
      </c>
      <c r="G8181" s="20" t="str">
        <f>IFERROR(__xludf.DUMMYFUNCTION("""COMPUTED_VALUE"""),"Uncle Sams Cider (5/13/2022)")</f>
        <v>Uncle Sams Cider (5/13/2022)</v>
      </c>
      <c r="H8181" s="19"/>
    </row>
    <row r="8182">
      <c r="A8182" s="9"/>
      <c r="B8182" s="15"/>
      <c r="C8182" s="9">
        <f>IFERROR(__xludf.DUMMYFUNCTION("""COMPUTED_VALUE"""),44711.3055125115)</f>
        <v>44711.30551</v>
      </c>
      <c r="D8182" s="15">
        <f>IFERROR(__xludf.DUMMYFUNCTION("""COMPUTED_VALUE"""),1.021)</f>
        <v>1.021</v>
      </c>
      <c r="E8182" s="16">
        <f>IFERROR(__xludf.DUMMYFUNCTION("""COMPUTED_VALUE"""),68.0)</f>
        <v>68</v>
      </c>
      <c r="F8182" s="19" t="str">
        <f>IFERROR(__xludf.DUMMYFUNCTION("""COMPUTED_VALUE"""),"BLACK")</f>
        <v>BLACK</v>
      </c>
      <c r="G8182" s="20" t="str">
        <f>IFERROR(__xludf.DUMMYFUNCTION("""COMPUTED_VALUE"""),"Uncle Sams Cider (5/13/2022)")</f>
        <v>Uncle Sams Cider (5/13/2022)</v>
      </c>
      <c r="H8182" s="19"/>
    </row>
    <row r="8183">
      <c r="A8183" s="9"/>
      <c r="B8183" s="15"/>
      <c r="C8183" s="9">
        <f>IFERROR(__xludf.DUMMYFUNCTION("""COMPUTED_VALUE"""),44711.2950925347)</f>
        <v>44711.29509</v>
      </c>
      <c r="D8183" s="15">
        <f>IFERROR(__xludf.DUMMYFUNCTION("""COMPUTED_VALUE"""),1.021)</f>
        <v>1.021</v>
      </c>
      <c r="E8183" s="16">
        <f>IFERROR(__xludf.DUMMYFUNCTION("""COMPUTED_VALUE"""),68.0)</f>
        <v>68</v>
      </c>
      <c r="F8183" s="19" t="str">
        <f>IFERROR(__xludf.DUMMYFUNCTION("""COMPUTED_VALUE"""),"BLACK")</f>
        <v>BLACK</v>
      </c>
      <c r="G8183" s="20" t="str">
        <f>IFERROR(__xludf.DUMMYFUNCTION("""COMPUTED_VALUE"""),"Uncle Sams Cider (5/13/2022)")</f>
        <v>Uncle Sams Cider (5/13/2022)</v>
      </c>
      <c r="H8183" s="19"/>
    </row>
    <row r="8184">
      <c r="A8184" s="9"/>
      <c r="B8184" s="15"/>
      <c r="C8184" s="9">
        <f>IFERROR(__xludf.DUMMYFUNCTION("""COMPUTED_VALUE"""),44711.2846704629)</f>
        <v>44711.28467</v>
      </c>
      <c r="D8184" s="15">
        <f>IFERROR(__xludf.DUMMYFUNCTION("""COMPUTED_VALUE"""),1.021)</f>
        <v>1.021</v>
      </c>
      <c r="E8184" s="16">
        <f>IFERROR(__xludf.DUMMYFUNCTION("""COMPUTED_VALUE"""),68.0)</f>
        <v>68</v>
      </c>
      <c r="F8184" s="19" t="str">
        <f>IFERROR(__xludf.DUMMYFUNCTION("""COMPUTED_VALUE"""),"BLACK")</f>
        <v>BLACK</v>
      </c>
      <c r="G8184" s="20" t="str">
        <f>IFERROR(__xludf.DUMMYFUNCTION("""COMPUTED_VALUE"""),"Uncle Sams Cider (5/13/2022)")</f>
        <v>Uncle Sams Cider (5/13/2022)</v>
      </c>
      <c r="H8184" s="19"/>
    </row>
    <row r="8185">
      <c r="A8185" s="9"/>
      <c r="B8185" s="15"/>
      <c r="C8185" s="9">
        <f>IFERROR(__xludf.DUMMYFUNCTION("""COMPUTED_VALUE"""),44711.2742376851)</f>
        <v>44711.27424</v>
      </c>
      <c r="D8185" s="15">
        <f>IFERROR(__xludf.DUMMYFUNCTION("""COMPUTED_VALUE"""),1.021)</f>
        <v>1.021</v>
      </c>
      <c r="E8185" s="16">
        <f>IFERROR(__xludf.DUMMYFUNCTION("""COMPUTED_VALUE"""),68.0)</f>
        <v>68</v>
      </c>
      <c r="F8185" s="19" t="str">
        <f>IFERROR(__xludf.DUMMYFUNCTION("""COMPUTED_VALUE"""),"BLACK")</f>
        <v>BLACK</v>
      </c>
      <c r="G8185" s="20" t="str">
        <f>IFERROR(__xludf.DUMMYFUNCTION("""COMPUTED_VALUE"""),"Uncle Sams Cider (5/13/2022)")</f>
        <v>Uncle Sams Cider (5/13/2022)</v>
      </c>
      <c r="H8185" s="19"/>
    </row>
    <row r="8186">
      <c r="A8186" s="9"/>
      <c r="B8186" s="15"/>
      <c r="C8186" s="9">
        <f>IFERROR(__xludf.DUMMYFUNCTION("""COMPUTED_VALUE"""),44711.2638159259)</f>
        <v>44711.26382</v>
      </c>
      <c r="D8186" s="15">
        <f>IFERROR(__xludf.DUMMYFUNCTION("""COMPUTED_VALUE"""),1.021)</f>
        <v>1.021</v>
      </c>
      <c r="E8186" s="16">
        <f>IFERROR(__xludf.DUMMYFUNCTION("""COMPUTED_VALUE"""),68.0)</f>
        <v>68</v>
      </c>
      <c r="F8186" s="19" t="str">
        <f>IFERROR(__xludf.DUMMYFUNCTION("""COMPUTED_VALUE"""),"BLACK")</f>
        <v>BLACK</v>
      </c>
      <c r="G8186" s="20" t="str">
        <f>IFERROR(__xludf.DUMMYFUNCTION("""COMPUTED_VALUE"""),"Uncle Sams Cider (5/13/2022)")</f>
        <v>Uncle Sams Cider (5/13/2022)</v>
      </c>
      <c r="H8186" s="19"/>
    </row>
    <row r="8187">
      <c r="A8187" s="9"/>
      <c r="B8187" s="15"/>
      <c r="C8187" s="9">
        <f>IFERROR(__xludf.DUMMYFUNCTION("""COMPUTED_VALUE"""),44711.2533963773)</f>
        <v>44711.2534</v>
      </c>
      <c r="D8187" s="15">
        <f>IFERROR(__xludf.DUMMYFUNCTION("""COMPUTED_VALUE"""),1.021)</f>
        <v>1.021</v>
      </c>
      <c r="E8187" s="16">
        <f>IFERROR(__xludf.DUMMYFUNCTION("""COMPUTED_VALUE"""),68.0)</f>
        <v>68</v>
      </c>
      <c r="F8187" s="19" t="str">
        <f>IFERROR(__xludf.DUMMYFUNCTION("""COMPUTED_VALUE"""),"BLACK")</f>
        <v>BLACK</v>
      </c>
      <c r="G8187" s="20" t="str">
        <f>IFERROR(__xludf.DUMMYFUNCTION("""COMPUTED_VALUE"""),"Uncle Sams Cider (5/13/2022)")</f>
        <v>Uncle Sams Cider (5/13/2022)</v>
      </c>
      <c r="H8187" s="19"/>
    </row>
    <row r="8188">
      <c r="A8188" s="9"/>
      <c r="B8188" s="15"/>
      <c r="C8188" s="9">
        <f>IFERROR(__xludf.DUMMYFUNCTION("""COMPUTED_VALUE"""),44711.2429734143)</f>
        <v>44711.24297</v>
      </c>
      <c r="D8188" s="15">
        <f>IFERROR(__xludf.DUMMYFUNCTION("""COMPUTED_VALUE"""),1.021)</f>
        <v>1.021</v>
      </c>
      <c r="E8188" s="16">
        <f>IFERROR(__xludf.DUMMYFUNCTION("""COMPUTED_VALUE"""),68.0)</f>
        <v>68</v>
      </c>
      <c r="F8188" s="19" t="str">
        <f>IFERROR(__xludf.DUMMYFUNCTION("""COMPUTED_VALUE"""),"BLACK")</f>
        <v>BLACK</v>
      </c>
      <c r="G8188" s="20" t="str">
        <f>IFERROR(__xludf.DUMMYFUNCTION("""COMPUTED_VALUE"""),"Uncle Sams Cider (5/13/2022)")</f>
        <v>Uncle Sams Cider (5/13/2022)</v>
      </c>
      <c r="H8188" s="19"/>
    </row>
    <row r="8189">
      <c r="A8189" s="9"/>
      <c r="B8189" s="15"/>
      <c r="C8189" s="9">
        <f>IFERROR(__xludf.DUMMYFUNCTION("""COMPUTED_VALUE"""),44711.2325546759)</f>
        <v>44711.23255</v>
      </c>
      <c r="D8189" s="15">
        <f>IFERROR(__xludf.DUMMYFUNCTION("""COMPUTED_VALUE"""),1.021)</f>
        <v>1.021</v>
      </c>
      <c r="E8189" s="16">
        <f>IFERROR(__xludf.DUMMYFUNCTION("""COMPUTED_VALUE"""),68.0)</f>
        <v>68</v>
      </c>
      <c r="F8189" s="19" t="str">
        <f>IFERROR(__xludf.DUMMYFUNCTION("""COMPUTED_VALUE"""),"BLACK")</f>
        <v>BLACK</v>
      </c>
      <c r="G8189" s="20" t="str">
        <f>IFERROR(__xludf.DUMMYFUNCTION("""COMPUTED_VALUE"""),"Uncle Sams Cider (5/13/2022)")</f>
        <v>Uncle Sams Cider (5/13/2022)</v>
      </c>
      <c r="H8189" s="19"/>
    </row>
    <row r="8190">
      <c r="A8190" s="9"/>
      <c r="B8190" s="15"/>
      <c r="C8190" s="9">
        <f>IFERROR(__xludf.DUMMYFUNCTION("""COMPUTED_VALUE"""),44711.2221329282)</f>
        <v>44711.22213</v>
      </c>
      <c r="D8190" s="15">
        <f>IFERROR(__xludf.DUMMYFUNCTION("""COMPUTED_VALUE"""),1.021)</f>
        <v>1.021</v>
      </c>
      <c r="E8190" s="16">
        <f>IFERROR(__xludf.DUMMYFUNCTION("""COMPUTED_VALUE"""),68.0)</f>
        <v>68</v>
      </c>
      <c r="F8190" s="19" t="str">
        <f>IFERROR(__xludf.DUMMYFUNCTION("""COMPUTED_VALUE"""),"BLACK")</f>
        <v>BLACK</v>
      </c>
      <c r="G8190" s="20" t="str">
        <f>IFERROR(__xludf.DUMMYFUNCTION("""COMPUTED_VALUE"""),"Uncle Sams Cider (5/13/2022)")</f>
        <v>Uncle Sams Cider (5/13/2022)</v>
      </c>
      <c r="H8190" s="19"/>
    </row>
    <row r="8191">
      <c r="A8191" s="9"/>
      <c r="B8191" s="15"/>
      <c r="C8191" s="9">
        <f>IFERROR(__xludf.DUMMYFUNCTION("""COMPUTED_VALUE"""),44711.2117111805)</f>
        <v>44711.21171</v>
      </c>
      <c r="D8191" s="15">
        <f>IFERROR(__xludf.DUMMYFUNCTION("""COMPUTED_VALUE"""),1.021)</f>
        <v>1.021</v>
      </c>
      <c r="E8191" s="16">
        <f>IFERROR(__xludf.DUMMYFUNCTION("""COMPUTED_VALUE"""),68.0)</f>
        <v>68</v>
      </c>
      <c r="F8191" s="19" t="str">
        <f>IFERROR(__xludf.DUMMYFUNCTION("""COMPUTED_VALUE"""),"BLACK")</f>
        <v>BLACK</v>
      </c>
      <c r="G8191" s="20" t="str">
        <f>IFERROR(__xludf.DUMMYFUNCTION("""COMPUTED_VALUE"""),"Uncle Sams Cider (5/13/2022)")</f>
        <v>Uncle Sams Cider (5/13/2022)</v>
      </c>
      <c r="H8191" s="19"/>
    </row>
    <row r="8192">
      <c r="A8192" s="9"/>
      <c r="B8192" s="15"/>
      <c r="C8192" s="9">
        <f>IFERROR(__xludf.DUMMYFUNCTION("""COMPUTED_VALUE"""),44711.2012901851)</f>
        <v>44711.20129</v>
      </c>
      <c r="D8192" s="15">
        <f>IFERROR(__xludf.DUMMYFUNCTION("""COMPUTED_VALUE"""),1.021)</f>
        <v>1.021</v>
      </c>
      <c r="E8192" s="16">
        <f>IFERROR(__xludf.DUMMYFUNCTION("""COMPUTED_VALUE"""),68.0)</f>
        <v>68</v>
      </c>
      <c r="F8192" s="19" t="str">
        <f>IFERROR(__xludf.DUMMYFUNCTION("""COMPUTED_VALUE"""),"BLACK")</f>
        <v>BLACK</v>
      </c>
      <c r="G8192" s="20" t="str">
        <f>IFERROR(__xludf.DUMMYFUNCTION("""COMPUTED_VALUE"""),"Uncle Sams Cider (5/13/2022)")</f>
        <v>Uncle Sams Cider (5/13/2022)</v>
      </c>
      <c r="H8192" s="19"/>
    </row>
    <row r="8193">
      <c r="A8193" s="9"/>
      <c r="B8193" s="15"/>
      <c r="C8193" s="9">
        <f>IFERROR(__xludf.DUMMYFUNCTION("""COMPUTED_VALUE"""),44711.1908687268)</f>
        <v>44711.19087</v>
      </c>
      <c r="D8193" s="15">
        <f>IFERROR(__xludf.DUMMYFUNCTION("""COMPUTED_VALUE"""),1.021)</f>
        <v>1.021</v>
      </c>
      <c r="E8193" s="16">
        <f>IFERROR(__xludf.DUMMYFUNCTION("""COMPUTED_VALUE"""),68.0)</f>
        <v>68</v>
      </c>
      <c r="F8193" s="19" t="str">
        <f>IFERROR(__xludf.DUMMYFUNCTION("""COMPUTED_VALUE"""),"BLACK")</f>
        <v>BLACK</v>
      </c>
      <c r="G8193" s="20" t="str">
        <f>IFERROR(__xludf.DUMMYFUNCTION("""COMPUTED_VALUE"""),"Uncle Sams Cider (5/13/2022)")</f>
        <v>Uncle Sams Cider (5/13/2022)</v>
      </c>
      <c r="H8193" s="19"/>
    </row>
    <row r="8194">
      <c r="A8194" s="9"/>
      <c r="B8194" s="15"/>
      <c r="C8194" s="9">
        <f>IFERROR(__xludf.DUMMYFUNCTION("""COMPUTED_VALUE"""),44711.1804476388)</f>
        <v>44711.18045</v>
      </c>
      <c r="D8194" s="15">
        <f>IFERROR(__xludf.DUMMYFUNCTION("""COMPUTED_VALUE"""),1.021)</f>
        <v>1.021</v>
      </c>
      <c r="E8194" s="16">
        <f>IFERROR(__xludf.DUMMYFUNCTION("""COMPUTED_VALUE"""),68.0)</f>
        <v>68</v>
      </c>
      <c r="F8194" s="19" t="str">
        <f>IFERROR(__xludf.DUMMYFUNCTION("""COMPUTED_VALUE"""),"BLACK")</f>
        <v>BLACK</v>
      </c>
      <c r="G8194" s="20" t="str">
        <f>IFERROR(__xludf.DUMMYFUNCTION("""COMPUTED_VALUE"""),"Uncle Sams Cider (5/13/2022)")</f>
        <v>Uncle Sams Cider (5/13/2022)</v>
      </c>
      <c r="H8194" s="19"/>
    </row>
    <row r="8195">
      <c r="A8195" s="9"/>
      <c r="B8195" s="15"/>
      <c r="C8195" s="9">
        <f>IFERROR(__xludf.DUMMYFUNCTION("""COMPUTED_VALUE"""),44711.1700262847)</f>
        <v>44711.17003</v>
      </c>
      <c r="D8195" s="15">
        <f>IFERROR(__xludf.DUMMYFUNCTION("""COMPUTED_VALUE"""),1.021)</f>
        <v>1.021</v>
      </c>
      <c r="E8195" s="16">
        <f>IFERROR(__xludf.DUMMYFUNCTION("""COMPUTED_VALUE"""),68.0)</f>
        <v>68</v>
      </c>
      <c r="F8195" s="19" t="str">
        <f>IFERROR(__xludf.DUMMYFUNCTION("""COMPUTED_VALUE"""),"BLACK")</f>
        <v>BLACK</v>
      </c>
      <c r="G8195" s="20" t="str">
        <f>IFERROR(__xludf.DUMMYFUNCTION("""COMPUTED_VALUE"""),"Uncle Sams Cider (5/13/2022)")</f>
        <v>Uncle Sams Cider (5/13/2022)</v>
      </c>
      <c r="H8195" s="19"/>
    </row>
    <row r="8196">
      <c r="A8196" s="9"/>
      <c r="B8196" s="15"/>
      <c r="C8196" s="9">
        <f>IFERROR(__xludf.DUMMYFUNCTION("""COMPUTED_VALUE"""),44711.1595953819)</f>
        <v>44711.1596</v>
      </c>
      <c r="D8196" s="15">
        <f>IFERROR(__xludf.DUMMYFUNCTION("""COMPUTED_VALUE"""),1.021)</f>
        <v>1.021</v>
      </c>
      <c r="E8196" s="16">
        <f>IFERROR(__xludf.DUMMYFUNCTION("""COMPUTED_VALUE"""),68.0)</f>
        <v>68</v>
      </c>
      <c r="F8196" s="19" t="str">
        <f>IFERROR(__xludf.DUMMYFUNCTION("""COMPUTED_VALUE"""),"BLACK")</f>
        <v>BLACK</v>
      </c>
      <c r="G8196" s="20" t="str">
        <f>IFERROR(__xludf.DUMMYFUNCTION("""COMPUTED_VALUE"""),"Uncle Sams Cider (5/13/2022)")</f>
        <v>Uncle Sams Cider (5/13/2022)</v>
      </c>
      <c r="H8196" s="19"/>
    </row>
    <row r="8197">
      <c r="A8197" s="9"/>
      <c r="B8197" s="15"/>
      <c r="C8197" s="9">
        <f>IFERROR(__xludf.DUMMYFUNCTION("""COMPUTED_VALUE"""),44711.1491729513)</f>
        <v>44711.14917</v>
      </c>
      <c r="D8197" s="15">
        <f>IFERROR(__xludf.DUMMYFUNCTION("""COMPUTED_VALUE"""),1.021)</f>
        <v>1.021</v>
      </c>
      <c r="E8197" s="16">
        <f>IFERROR(__xludf.DUMMYFUNCTION("""COMPUTED_VALUE"""),68.0)</f>
        <v>68</v>
      </c>
      <c r="F8197" s="19" t="str">
        <f>IFERROR(__xludf.DUMMYFUNCTION("""COMPUTED_VALUE"""),"BLACK")</f>
        <v>BLACK</v>
      </c>
      <c r="G8197" s="20" t="str">
        <f>IFERROR(__xludf.DUMMYFUNCTION("""COMPUTED_VALUE"""),"Uncle Sams Cider (5/13/2022)")</f>
        <v>Uncle Sams Cider (5/13/2022)</v>
      </c>
      <c r="H8197" s="19"/>
    </row>
    <row r="8198">
      <c r="A8198" s="9"/>
      <c r="B8198" s="15"/>
      <c r="C8198" s="9">
        <f>IFERROR(__xludf.DUMMYFUNCTION("""COMPUTED_VALUE"""),44711.1387522338)</f>
        <v>44711.13875</v>
      </c>
      <c r="D8198" s="15">
        <f>IFERROR(__xludf.DUMMYFUNCTION("""COMPUTED_VALUE"""),1.021)</f>
        <v>1.021</v>
      </c>
      <c r="E8198" s="16">
        <f>IFERROR(__xludf.DUMMYFUNCTION("""COMPUTED_VALUE"""),67.0)</f>
        <v>67</v>
      </c>
      <c r="F8198" s="19" t="str">
        <f>IFERROR(__xludf.DUMMYFUNCTION("""COMPUTED_VALUE"""),"BLACK")</f>
        <v>BLACK</v>
      </c>
      <c r="G8198" s="20" t="str">
        <f>IFERROR(__xludf.DUMMYFUNCTION("""COMPUTED_VALUE"""),"Uncle Sams Cider (5/13/2022)")</f>
        <v>Uncle Sams Cider (5/13/2022)</v>
      </c>
      <c r="H8198" s="19"/>
    </row>
    <row r="8199">
      <c r="A8199" s="9"/>
      <c r="B8199" s="15"/>
      <c r="C8199" s="9">
        <f>IFERROR(__xludf.DUMMYFUNCTION("""COMPUTED_VALUE"""),44711.1283318634)</f>
        <v>44711.12833</v>
      </c>
      <c r="D8199" s="15">
        <f>IFERROR(__xludf.DUMMYFUNCTION("""COMPUTED_VALUE"""),1.021)</f>
        <v>1.021</v>
      </c>
      <c r="E8199" s="16">
        <f>IFERROR(__xludf.DUMMYFUNCTION("""COMPUTED_VALUE"""),68.0)</f>
        <v>68</v>
      </c>
      <c r="F8199" s="19" t="str">
        <f>IFERROR(__xludf.DUMMYFUNCTION("""COMPUTED_VALUE"""),"BLACK")</f>
        <v>BLACK</v>
      </c>
      <c r="G8199" s="20" t="str">
        <f>IFERROR(__xludf.DUMMYFUNCTION("""COMPUTED_VALUE"""),"Uncle Sams Cider (5/13/2022)")</f>
        <v>Uncle Sams Cider (5/13/2022)</v>
      </c>
      <c r="H8199" s="19"/>
    </row>
    <row r="8200">
      <c r="A8200" s="9"/>
      <c r="B8200" s="15"/>
      <c r="C8200" s="9">
        <f>IFERROR(__xludf.DUMMYFUNCTION("""COMPUTED_VALUE"""),44711.1179079282)</f>
        <v>44711.11791</v>
      </c>
      <c r="D8200" s="15">
        <f>IFERROR(__xludf.DUMMYFUNCTION("""COMPUTED_VALUE"""),1.021)</f>
        <v>1.021</v>
      </c>
      <c r="E8200" s="16">
        <f>IFERROR(__xludf.DUMMYFUNCTION("""COMPUTED_VALUE"""),67.0)</f>
        <v>67</v>
      </c>
      <c r="F8200" s="19" t="str">
        <f>IFERROR(__xludf.DUMMYFUNCTION("""COMPUTED_VALUE"""),"BLACK")</f>
        <v>BLACK</v>
      </c>
      <c r="G8200" s="20" t="str">
        <f>IFERROR(__xludf.DUMMYFUNCTION("""COMPUTED_VALUE"""),"Uncle Sams Cider (5/13/2022)")</f>
        <v>Uncle Sams Cider (5/13/2022)</v>
      </c>
      <c r="H8200" s="19"/>
    </row>
    <row r="8201">
      <c r="A8201" s="9"/>
      <c r="B8201" s="15"/>
      <c r="C8201" s="9">
        <f>IFERROR(__xludf.DUMMYFUNCTION("""COMPUTED_VALUE"""),44711.1074862037)</f>
        <v>44711.10749</v>
      </c>
      <c r="D8201" s="15">
        <f>IFERROR(__xludf.DUMMYFUNCTION("""COMPUTED_VALUE"""),1.021)</f>
        <v>1.021</v>
      </c>
      <c r="E8201" s="16">
        <f>IFERROR(__xludf.DUMMYFUNCTION("""COMPUTED_VALUE"""),68.0)</f>
        <v>68</v>
      </c>
      <c r="F8201" s="19" t="str">
        <f>IFERROR(__xludf.DUMMYFUNCTION("""COMPUTED_VALUE"""),"BLACK")</f>
        <v>BLACK</v>
      </c>
      <c r="G8201" s="20" t="str">
        <f>IFERROR(__xludf.DUMMYFUNCTION("""COMPUTED_VALUE"""),"Uncle Sams Cider (5/13/2022)")</f>
        <v>Uncle Sams Cider (5/13/2022)</v>
      </c>
      <c r="H8201" s="19"/>
    </row>
    <row r="8202">
      <c r="A8202" s="9"/>
      <c r="B8202" s="15"/>
      <c r="C8202" s="9">
        <f>IFERROR(__xludf.DUMMYFUNCTION("""COMPUTED_VALUE"""),44711.0970656481)</f>
        <v>44711.09707</v>
      </c>
      <c r="D8202" s="15">
        <f>IFERROR(__xludf.DUMMYFUNCTION("""COMPUTED_VALUE"""),1.021)</f>
        <v>1.021</v>
      </c>
      <c r="E8202" s="16">
        <f>IFERROR(__xludf.DUMMYFUNCTION("""COMPUTED_VALUE"""),68.0)</f>
        <v>68</v>
      </c>
      <c r="F8202" s="19" t="str">
        <f>IFERROR(__xludf.DUMMYFUNCTION("""COMPUTED_VALUE"""),"BLACK")</f>
        <v>BLACK</v>
      </c>
      <c r="G8202" s="20" t="str">
        <f>IFERROR(__xludf.DUMMYFUNCTION("""COMPUTED_VALUE"""),"Uncle Sams Cider (5/13/2022)")</f>
        <v>Uncle Sams Cider (5/13/2022)</v>
      </c>
      <c r="H8202" s="19"/>
    </row>
    <row r="8203">
      <c r="A8203" s="9"/>
      <c r="B8203" s="15"/>
      <c r="C8203" s="9">
        <f>IFERROR(__xludf.DUMMYFUNCTION("""COMPUTED_VALUE"""),44711.0866441319)</f>
        <v>44711.08664</v>
      </c>
      <c r="D8203" s="15">
        <f>IFERROR(__xludf.DUMMYFUNCTION("""COMPUTED_VALUE"""),1.021)</f>
        <v>1.021</v>
      </c>
      <c r="E8203" s="16">
        <f>IFERROR(__xludf.DUMMYFUNCTION("""COMPUTED_VALUE"""),67.0)</f>
        <v>67</v>
      </c>
      <c r="F8203" s="19" t="str">
        <f>IFERROR(__xludf.DUMMYFUNCTION("""COMPUTED_VALUE"""),"BLACK")</f>
        <v>BLACK</v>
      </c>
      <c r="G8203" s="20" t="str">
        <f>IFERROR(__xludf.DUMMYFUNCTION("""COMPUTED_VALUE"""),"Uncle Sams Cider (5/13/2022)")</f>
        <v>Uncle Sams Cider (5/13/2022)</v>
      </c>
      <c r="H8203" s="19"/>
    </row>
    <row r="8204">
      <c r="A8204" s="9"/>
      <c r="B8204" s="15"/>
      <c r="C8204" s="9">
        <f>IFERROR(__xludf.DUMMYFUNCTION("""COMPUTED_VALUE"""),44711.0761980787)</f>
        <v>44711.0762</v>
      </c>
      <c r="D8204" s="15">
        <f>IFERROR(__xludf.DUMMYFUNCTION("""COMPUTED_VALUE"""),1.021)</f>
        <v>1.021</v>
      </c>
      <c r="E8204" s="16">
        <f>IFERROR(__xludf.DUMMYFUNCTION("""COMPUTED_VALUE"""),67.0)</f>
        <v>67</v>
      </c>
      <c r="F8204" s="19" t="str">
        <f>IFERROR(__xludf.DUMMYFUNCTION("""COMPUTED_VALUE"""),"BLACK")</f>
        <v>BLACK</v>
      </c>
      <c r="G8204" s="20" t="str">
        <f>IFERROR(__xludf.DUMMYFUNCTION("""COMPUTED_VALUE"""),"Uncle Sams Cider (5/13/2022)")</f>
        <v>Uncle Sams Cider (5/13/2022)</v>
      </c>
      <c r="H8204" s="19"/>
    </row>
    <row r="8205">
      <c r="A8205" s="9"/>
      <c r="B8205" s="15"/>
      <c r="C8205" s="9">
        <f>IFERROR(__xludf.DUMMYFUNCTION("""COMPUTED_VALUE"""),44711.0657786342)</f>
        <v>44711.06578</v>
      </c>
      <c r="D8205" s="15">
        <f>IFERROR(__xludf.DUMMYFUNCTION("""COMPUTED_VALUE"""),1.021)</f>
        <v>1.021</v>
      </c>
      <c r="E8205" s="16">
        <f>IFERROR(__xludf.DUMMYFUNCTION("""COMPUTED_VALUE"""),67.0)</f>
        <v>67</v>
      </c>
      <c r="F8205" s="19" t="str">
        <f>IFERROR(__xludf.DUMMYFUNCTION("""COMPUTED_VALUE"""),"BLACK")</f>
        <v>BLACK</v>
      </c>
      <c r="G8205" s="20" t="str">
        <f>IFERROR(__xludf.DUMMYFUNCTION("""COMPUTED_VALUE"""),"Uncle Sams Cider (5/13/2022)")</f>
        <v>Uncle Sams Cider (5/13/2022)</v>
      </c>
      <c r="H8205" s="19"/>
    </row>
    <row r="8206">
      <c r="A8206" s="9"/>
      <c r="B8206" s="15"/>
      <c r="C8206" s="9">
        <f>IFERROR(__xludf.DUMMYFUNCTION("""COMPUTED_VALUE"""),44711.055345405)</f>
        <v>44711.05535</v>
      </c>
      <c r="D8206" s="15">
        <f>IFERROR(__xludf.DUMMYFUNCTION("""COMPUTED_VALUE"""),1.021)</f>
        <v>1.021</v>
      </c>
      <c r="E8206" s="16">
        <f>IFERROR(__xludf.DUMMYFUNCTION("""COMPUTED_VALUE"""),67.0)</f>
        <v>67</v>
      </c>
      <c r="F8206" s="19" t="str">
        <f>IFERROR(__xludf.DUMMYFUNCTION("""COMPUTED_VALUE"""),"BLACK")</f>
        <v>BLACK</v>
      </c>
      <c r="G8206" s="20" t="str">
        <f>IFERROR(__xludf.DUMMYFUNCTION("""COMPUTED_VALUE"""),"Uncle Sams Cider (5/13/2022)")</f>
        <v>Uncle Sams Cider (5/13/2022)</v>
      </c>
      <c r="H8206" s="19"/>
    </row>
    <row r="8207">
      <c r="A8207" s="9"/>
      <c r="B8207" s="15"/>
      <c r="C8207" s="9">
        <f>IFERROR(__xludf.DUMMYFUNCTION("""COMPUTED_VALUE"""),44711.0449254976)</f>
        <v>44711.04493</v>
      </c>
      <c r="D8207" s="15">
        <f>IFERROR(__xludf.DUMMYFUNCTION("""COMPUTED_VALUE"""),1.021)</f>
        <v>1.021</v>
      </c>
      <c r="E8207" s="16">
        <f>IFERROR(__xludf.DUMMYFUNCTION("""COMPUTED_VALUE"""),67.0)</f>
        <v>67</v>
      </c>
      <c r="F8207" s="19" t="str">
        <f>IFERROR(__xludf.DUMMYFUNCTION("""COMPUTED_VALUE"""),"BLACK")</f>
        <v>BLACK</v>
      </c>
      <c r="G8207" s="20" t="str">
        <f>IFERROR(__xludf.DUMMYFUNCTION("""COMPUTED_VALUE"""),"Uncle Sams Cider (5/13/2022)")</f>
        <v>Uncle Sams Cider (5/13/2022)</v>
      </c>
      <c r="H8207" s="19"/>
    </row>
    <row r="8208">
      <c r="A8208" s="9"/>
      <c r="B8208" s="15"/>
      <c r="C8208" s="9">
        <f>IFERROR(__xludf.DUMMYFUNCTION("""COMPUTED_VALUE"""),44711.0345043981)</f>
        <v>44711.0345</v>
      </c>
      <c r="D8208" s="15">
        <f>IFERROR(__xludf.DUMMYFUNCTION("""COMPUTED_VALUE"""),1.021)</f>
        <v>1.021</v>
      </c>
      <c r="E8208" s="16">
        <f>IFERROR(__xludf.DUMMYFUNCTION("""COMPUTED_VALUE"""),67.0)</f>
        <v>67</v>
      </c>
      <c r="F8208" s="19" t="str">
        <f>IFERROR(__xludf.DUMMYFUNCTION("""COMPUTED_VALUE"""),"BLACK")</f>
        <v>BLACK</v>
      </c>
      <c r="G8208" s="20" t="str">
        <f>IFERROR(__xludf.DUMMYFUNCTION("""COMPUTED_VALUE"""),"Uncle Sams Cider (5/13/2022)")</f>
        <v>Uncle Sams Cider (5/13/2022)</v>
      </c>
      <c r="H8208" s="19"/>
    </row>
    <row r="8209">
      <c r="A8209" s="9"/>
      <c r="B8209" s="15"/>
      <c r="C8209" s="9">
        <f>IFERROR(__xludf.DUMMYFUNCTION("""COMPUTED_VALUE"""),44711.0240488888)</f>
        <v>44711.02405</v>
      </c>
      <c r="D8209" s="15">
        <f>IFERROR(__xludf.DUMMYFUNCTION("""COMPUTED_VALUE"""),1.021)</f>
        <v>1.021</v>
      </c>
      <c r="E8209" s="16">
        <f>IFERROR(__xludf.DUMMYFUNCTION("""COMPUTED_VALUE"""),67.0)</f>
        <v>67</v>
      </c>
      <c r="F8209" s="19" t="str">
        <f>IFERROR(__xludf.DUMMYFUNCTION("""COMPUTED_VALUE"""),"BLACK")</f>
        <v>BLACK</v>
      </c>
      <c r="G8209" s="20" t="str">
        <f>IFERROR(__xludf.DUMMYFUNCTION("""COMPUTED_VALUE"""),"Uncle Sams Cider (5/13/2022)")</f>
        <v>Uncle Sams Cider (5/13/2022)</v>
      </c>
      <c r="H8209" s="19"/>
    </row>
    <row r="8210">
      <c r="A8210" s="9"/>
      <c r="B8210" s="15"/>
      <c r="C8210" s="9">
        <f>IFERROR(__xludf.DUMMYFUNCTION("""COMPUTED_VALUE"""),44711.0136263657)</f>
        <v>44711.01363</v>
      </c>
      <c r="D8210" s="15">
        <f>IFERROR(__xludf.DUMMYFUNCTION("""COMPUTED_VALUE"""),1.021)</f>
        <v>1.021</v>
      </c>
      <c r="E8210" s="16">
        <f>IFERROR(__xludf.DUMMYFUNCTION("""COMPUTED_VALUE"""),67.0)</f>
        <v>67</v>
      </c>
      <c r="F8210" s="19" t="str">
        <f>IFERROR(__xludf.DUMMYFUNCTION("""COMPUTED_VALUE"""),"BLACK")</f>
        <v>BLACK</v>
      </c>
      <c r="G8210" s="20" t="str">
        <f>IFERROR(__xludf.DUMMYFUNCTION("""COMPUTED_VALUE"""),"Uncle Sams Cider (5/13/2022)")</f>
        <v>Uncle Sams Cider (5/13/2022)</v>
      </c>
      <c r="H8210" s="19"/>
    </row>
    <row r="8211">
      <c r="A8211" s="9"/>
      <c r="B8211" s="15"/>
      <c r="C8211" s="9">
        <f>IFERROR(__xludf.DUMMYFUNCTION("""COMPUTED_VALUE"""),44711.0031498148)</f>
        <v>44711.00315</v>
      </c>
      <c r="D8211" s="15">
        <f>IFERROR(__xludf.DUMMYFUNCTION("""COMPUTED_VALUE"""),1.021)</f>
        <v>1.021</v>
      </c>
      <c r="E8211" s="16">
        <f>IFERROR(__xludf.DUMMYFUNCTION("""COMPUTED_VALUE"""),67.0)</f>
        <v>67</v>
      </c>
      <c r="F8211" s="19" t="str">
        <f>IFERROR(__xludf.DUMMYFUNCTION("""COMPUTED_VALUE"""),"BLACK")</f>
        <v>BLACK</v>
      </c>
      <c r="G8211" s="20" t="str">
        <f>IFERROR(__xludf.DUMMYFUNCTION("""COMPUTED_VALUE"""),"Uncle Sams Cider (5/13/2022)")</f>
        <v>Uncle Sams Cider (5/13/2022)</v>
      </c>
      <c r="H8211" s="19"/>
    </row>
    <row r="8212">
      <c r="A8212" s="9"/>
      <c r="B8212" s="15"/>
      <c r="C8212" s="9">
        <f>IFERROR(__xludf.DUMMYFUNCTION("""COMPUTED_VALUE"""),44710.9927290509)</f>
        <v>44710.99273</v>
      </c>
      <c r="D8212" s="15">
        <f>IFERROR(__xludf.DUMMYFUNCTION("""COMPUTED_VALUE"""),1.021)</f>
        <v>1.021</v>
      </c>
      <c r="E8212" s="16">
        <f>IFERROR(__xludf.DUMMYFUNCTION("""COMPUTED_VALUE"""),67.0)</f>
        <v>67</v>
      </c>
      <c r="F8212" s="19" t="str">
        <f>IFERROR(__xludf.DUMMYFUNCTION("""COMPUTED_VALUE"""),"BLACK")</f>
        <v>BLACK</v>
      </c>
      <c r="G8212" s="20" t="str">
        <f>IFERROR(__xludf.DUMMYFUNCTION("""COMPUTED_VALUE"""),"Uncle Sams Cider (5/13/2022)")</f>
        <v>Uncle Sams Cider (5/13/2022)</v>
      </c>
      <c r="H8212" s="19"/>
    </row>
    <row r="8213">
      <c r="A8213" s="9"/>
      <c r="B8213" s="15"/>
      <c r="C8213" s="9">
        <f>IFERROR(__xludf.DUMMYFUNCTION("""COMPUTED_VALUE"""),44710.9822851388)</f>
        <v>44710.98229</v>
      </c>
      <c r="D8213" s="15">
        <f>IFERROR(__xludf.DUMMYFUNCTION("""COMPUTED_VALUE"""),1.021)</f>
        <v>1.021</v>
      </c>
      <c r="E8213" s="16">
        <f>IFERROR(__xludf.DUMMYFUNCTION("""COMPUTED_VALUE"""),67.0)</f>
        <v>67</v>
      </c>
      <c r="F8213" s="19" t="str">
        <f>IFERROR(__xludf.DUMMYFUNCTION("""COMPUTED_VALUE"""),"BLACK")</f>
        <v>BLACK</v>
      </c>
      <c r="G8213" s="20" t="str">
        <f>IFERROR(__xludf.DUMMYFUNCTION("""COMPUTED_VALUE"""),"Uncle Sams Cider (5/13/2022)")</f>
        <v>Uncle Sams Cider (5/13/2022)</v>
      </c>
      <c r="H8213" s="19"/>
    </row>
    <row r="8214">
      <c r="A8214" s="9"/>
      <c r="B8214" s="15"/>
      <c r="C8214" s="9">
        <f>IFERROR(__xludf.DUMMYFUNCTION("""COMPUTED_VALUE"""),44710.9718647916)</f>
        <v>44710.97186</v>
      </c>
      <c r="D8214" s="15">
        <f>IFERROR(__xludf.DUMMYFUNCTION("""COMPUTED_VALUE"""),1.021)</f>
        <v>1.021</v>
      </c>
      <c r="E8214" s="16">
        <f>IFERROR(__xludf.DUMMYFUNCTION("""COMPUTED_VALUE"""),67.0)</f>
        <v>67</v>
      </c>
      <c r="F8214" s="19" t="str">
        <f>IFERROR(__xludf.DUMMYFUNCTION("""COMPUTED_VALUE"""),"BLACK")</f>
        <v>BLACK</v>
      </c>
      <c r="G8214" s="20" t="str">
        <f>IFERROR(__xludf.DUMMYFUNCTION("""COMPUTED_VALUE"""),"Uncle Sams Cider (5/13/2022)")</f>
        <v>Uncle Sams Cider (5/13/2022)</v>
      </c>
      <c r="H8214" s="19"/>
    </row>
    <row r="8215">
      <c r="A8215" s="9"/>
      <c r="B8215" s="15"/>
      <c r="C8215" s="9">
        <f>IFERROR(__xludf.DUMMYFUNCTION("""COMPUTED_VALUE"""),44710.9614320833)</f>
        <v>44710.96143</v>
      </c>
      <c r="D8215" s="15">
        <f>IFERROR(__xludf.DUMMYFUNCTION("""COMPUTED_VALUE"""),1.021)</f>
        <v>1.021</v>
      </c>
      <c r="E8215" s="16">
        <f>IFERROR(__xludf.DUMMYFUNCTION("""COMPUTED_VALUE"""),67.0)</f>
        <v>67</v>
      </c>
      <c r="F8215" s="19" t="str">
        <f>IFERROR(__xludf.DUMMYFUNCTION("""COMPUTED_VALUE"""),"BLACK")</f>
        <v>BLACK</v>
      </c>
      <c r="G8215" s="20" t="str">
        <f>IFERROR(__xludf.DUMMYFUNCTION("""COMPUTED_VALUE"""),"Uncle Sams Cider (5/13/2022)")</f>
        <v>Uncle Sams Cider (5/13/2022)</v>
      </c>
      <c r="H8215" s="19"/>
    </row>
    <row r="8216">
      <c r="A8216" s="9"/>
      <c r="B8216" s="15"/>
      <c r="C8216" s="9">
        <f>IFERROR(__xludf.DUMMYFUNCTION("""COMPUTED_VALUE"""),44710.9509666203)</f>
        <v>44710.95097</v>
      </c>
      <c r="D8216" s="15">
        <f>IFERROR(__xludf.DUMMYFUNCTION("""COMPUTED_VALUE"""),1.021)</f>
        <v>1.021</v>
      </c>
      <c r="E8216" s="16">
        <f>IFERROR(__xludf.DUMMYFUNCTION("""COMPUTED_VALUE"""),67.0)</f>
        <v>67</v>
      </c>
      <c r="F8216" s="19" t="str">
        <f>IFERROR(__xludf.DUMMYFUNCTION("""COMPUTED_VALUE"""),"BLACK")</f>
        <v>BLACK</v>
      </c>
      <c r="G8216" s="20" t="str">
        <f>IFERROR(__xludf.DUMMYFUNCTION("""COMPUTED_VALUE"""),"Uncle Sams Cider (5/13/2022)")</f>
        <v>Uncle Sams Cider (5/13/2022)</v>
      </c>
      <c r="H8216" s="19"/>
    </row>
    <row r="8217">
      <c r="A8217" s="9"/>
      <c r="B8217" s="15"/>
      <c r="C8217" s="9">
        <f>IFERROR(__xludf.DUMMYFUNCTION("""COMPUTED_VALUE"""),44710.9405343055)</f>
        <v>44710.94053</v>
      </c>
      <c r="D8217" s="15">
        <f>IFERROR(__xludf.DUMMYFUNCTION("""COMPUTED_VALUE"""),1.021)</f>
        <v>1.021</v>
      </c>
      <c r="E8217" s="16">
        <f>IFERROR(__xludf.DUMMYFUNCTION("""COMPUTED_VALUE"""),67.0)</f>
        <v>67</v>
      </c>
      <c r="F8217" s="19" t="str">
        <f>IFERROR(__xludf.DUMMYFUNCTION("""COMPUTED_VALUE"""),"BLACK")</f>
        <v>BLACK</v>
      </c>
      <c r="G8217" s="20" t="str">
        <f>IFERROR(__xludf.DUMMYFUNCTION("""COMPUTED_VALUE"""),"Uncle Sams Cider (5/13/2022)")</f>
        <v>Uncle Sams Cider (5/13/2022)</v>
      </c>
      <c r="H8217" s="19"/>
    </row>
    <row r="8218">
      <c r="A8218" s="9"/>
      <c r="B8218" s="15"/>
      <c r="C8218" s="9">
        <f>IFERROR(__xludf.DUMMYFUNCTION("""COMPUTED_VALUE"""),44710.9300889467)</f>
        <v>44710.93009</v>
      </c>
      <c r="D8218" s="15">
        <f>IFERROR(__xludf.DUMMYFUNCTION("""COMPUTED_VALUE"""),1.021)</f>
        <v>1.021</v>
      </c>
      <c r="E8218" s="16">
        <f>IFERROR(__xludf.DUMMYFUNCTION("""COMPUTED_VALUE"""),67.0)</f>
        <v>67</v>
      </c>
      <c r="F8218" s="19" t="str">
        <f>IFERROR(__xludf.DUMMYFUNCTION("""COMPUTED_VALUE"""),"BLACK")</f>
        <v>BLACK</v>
      </c>
      <c r="G8218" s="20" t="str">
        <f>IFERROR(__xludf.DUMMYFUNCTION("""COMPUTED_VALUE"""),"Uncle Sams Cider (5/13/2022)")</f>
        <v>Uncle Sams Cider (5/13/2022)</v>
      </c>
      <c r="H8218" s="19"/>
    </row>
    <row r="8219">
      <c r="A8219" s="9"/>
      <c r="B8219" s="15"/>
      <c r="C8219" s="9">
        <f>IFERROR(__xludf.DUMMYFUNCTION("""COMPUTED_VALUE"""),44710.9196668055)</f>
        <v>44710.91967</v>
      </c>
      <c r="D8219" s="15">
        <f>IFERROR(__xludf.DUMMYFUNCTION("""COMPUTED_VALUE"""),1.021)</f>
        <v>1.021</v>
      </c>
      <c r="E8219" s="16">
        <f>IFERROR(__xludf.DUMMYFUNCTION("""COMPUTED_VALUE"""),67.0)</f>
        <v>67</v>
      </c>
      <c r="F8219" s="19" t="str">
        <f>IFERROR(__xludf.DUMMYFUNCTION("""COMPUTED_VALUE"""),"BLACK")</f>
        <v>BLACK</v>
      </c>
      <c r="G8219" s="20" t="str">
        <f>IFERROR(__xludf.DUMMYFUNCTION("""COMPUTED_VALUE"""),"Uncle Sams Cider (5/13/2022)")</f>
        <v>Uncle Sams Cider (5/13/2022)</v>
      </c>
      <c r="H8219" s="19"/>
    </row>
    <row r="8220">
      <c r="A8220" s="9"/>
      <c r="B8220" s="15"/>
      <c r="C8220" s="9">
        <f>IFERROR(__xludf.DUMMYFUNCTION("""COMPUTED_VALUE"""),44710.9092447106)</f>
        <v>44710.90924</v>
      </c>
      <c r="D8220" s="15">
        <f>IFERROR(__xludf.DUMMYFUNCTION("""COMPUTED_VALUE"""),1.021)</f>
        <v>1.021</v>
      </c>
      <c r="E8220" s="16">
        <f>IFERROR(__xludf.DUMMYFUNCTION("""COMPUTED_VALUE"""),67.0)</f>
        <v>67</v>
      </c>
      <c r="F8220" s="19" t="str">
        <f>IFERROR(__xludf.DUMMYFUNCTION("""COMPUTED_VALUE"""),"BLACK")</f>
        <v>BLACK</v>
      </c>
      <c r="G8220" s="20" t="str">
        <f>IFERROR(__xludf.DUMMYFUNCTION("""COMPUTED_VALUE"""),"Uncle Sams Cider (5/13/2022)")</f>
        <v>Uncle Sams Cider (5/13/2022)</v>
      </c>
      <c r="H8220" s="19"/>
    </row>
    <row r="8221">
      <c r="A8221" s="9"/>
      <c r="B8221" s="15"/>
      <c r="C8221" s="9">
        <f>IFERROR(__xludf.DUMMYFUNCTION("""COMPUTED_VALUE"""),44710.8988251273)</f>
        <v>44710.89883</v>
      </c>
      <c r="D8221" s="15">
        <f>IFERROR(__xludf.DUMMYFUNCTION("""COMPUTED_VALUE"""),1.021)</f>
        <v>1.021</v>
      </c>
      <c r="E8221" s="16">
        <f>IFERROR(__xludf.DUMMYFUNCTION("""COMPUTED_VALUE"""),67.0)</f>
        <v>67</v>
      </c>
      <c r="F8221" s="19" t="str">
        <f>IFERROR(__xludf.DUMMYFUNCTION("""COMPUTED_VALUE"""),"BLACK")</f>
        <v>BLACK</v>
      </c>
      <c r="G8221" s="20" t="str">
        <f>IFERROR(__xludf.DUMMYFUNCTION("""COMPUTED_VALUE"""),"Uncle Sams Cider (5/13/2022)")</f>
        <v>Uncle Sams Cider (5/13/2022)</v>
      </c>
      <c r="H8221" s="19"/>
    </row>
    <row r="8222">
      <c r="A8222" s="9"/>
      <c r="B8222" s="15"/>
      <c r="C8222" s="9">
        <f>IFERROR(__xludf.DUMMYFUNCTION("""COMPUTED_VALUE"""),44710.8883923726)</f>
        <v>44710.88839</v>
      </c>
      <c r="D8222" s="15">
        <f>IFERROR(__xludf.DUMMYFUNCTION("""COMPUTED_VALUE"""),1.021)</f>
        <v>1.021</v>
      </c>
      <c r="E8222" s="16">
        <f>IFERROR(__xludf.DUMMYFUNCTION("""COMPUTED_VALUE"""),67.0)</f>
        <v>67</v>
      </c>
      <c r="F8222" s="19" t="str">
        <f>IFERROR(__xludf.DUMMYFUNCTION("""COMPUTED_VALUE"""),"BLACK")</f>
        <v>BLACK</v>
      </c>
      <c r="G8222" s="20" t="str">
        <f>IFERROR(__xludf.DUMMYFUNCTION("""COMPUTED_VALUE"""),"Uncle Sams Cider (5/13/2022)")</f>
        <v>Uncle Sams Cider (5/13/2022)</v>
      </c>
      <c r="H8222" s="19"/>
    </row>
    <row r="8223">
      <c r="A8223" s="9"/>
      <c r="B8223" s="15"/>
      <c r="C8223" s="9">
        <f>IFERROR(__xludf.DUMMYFUNCTION("""COMPUTED_VALUE"""),44710.8779699768)</f>
        <v>44710.87797</v>
      </c>
      <c r="D8223" s="15">
        <f>IFERROR(__xludf.DUMMYFUNCTION("""COMPUTED_VALUE"""),1.021)</f>
        <v>1.021</v>
      </c>
      <c r="E8223" s="16">
        <f>IFERROR(__xludf.DUMMYFUNCTION("""COMPUTED_VALUE"""),67.0)</f>
        <v>67</v>
      </c>
      <c r="F8223" s="19" t="str">
        <f>IFERROR(__xludf.DUMMYFUNCTION("""COMPUTED_VALUE"""),"BLACK")</f>
        <v>BLACK</v>
      </c>
      <c r="G8223" s="20" t="str">
        <f>IFERROR(__xludf.DUMMYFUNCTION("""COMPUTED_VALUE"""),"Uncle Sams Cider (5/13/2022)")</f>
        <v>Uncle Sams Cider (5/13/2022)</v>
      </c>
      <c r="H8223" s="19"/>
    </row>
    <row r="8224">
      <c r="A8224" s="9"/>
      <c r="B8224" s="15"/>
      <c r="C8224" s="9">
        <f>IFERROR(__xludf.DUMMYFUNCTION("""COMPUTED_VALUE"""),44710.8675485648)</f>
        <v>44710.86755</v>
      </c>
      <c r="D8224" s="15">
        <f>IFERROR(__xludf.DUMMYFUNCTION("""COMPUTED_VALUE"""),1.021)</f>
        <v>1.021</v>
      </c>
      <c r="E8224" s="16">
        <f>IFERROR(__xludf.DUMMYFUNCTION("""COMPUTED_VALUE"""),67.0)</f>
        <v>67</v>
      </c>
      <c r="F8224" s="19" t="str">
        <f>IFERROR(__xludf.DUMMYFUNCTION("""COMPUTED_VALUE"""),"BLACK")</f>
        <v>BLACK</v>
      </c>
      <c r="G8224" s="20" t="str">
        <f>IFERROR(__xludf.DUMMYFUNCTION("""COMPUTED_VALUE"""),"Uncle Sams Cider (5/13/2022)")</f>
        <v>Uncle Sams Cider (5/13/2022)</v>
      </c>
      <c r="H8224" s="19"/>
    </row>
    <row r="8225">
      <c r="A8225" s="9"/>
      <c r="B8225" s="15"/>
      <c r="C8225" s="9">
        <f>IFERROR(__xludf.DUMMYFUNCTION("""COMPUTED_VALUE"""),44710.8571285995)</f>
        <v>44710.85713</v>
      </c>
      <c r="D8225" s="15">
        <f>IFERROR(__xludf.DUMMYFUNCTION("""COMPUTED_VALUE"""),1.022)</f>
        <v>1.022</v>
      </c>
      <c r="E8225" s="16">
        <f>IFERROR(__xludf.DUMMYFUNCTION("""COMPUTED_VALUE"""),67.0)</f>
        <v>67</v>
      </c>
      <c r="F8225" s="19" t="str">
        <f>IFERROR(__xludf.DUMMYFUNCTION("""COMPUTED_VALUE"""),"BLACK")</f>
        <v>BLACK</v>
      </c>
      <c r="G8225" s="20" t="str">
        <f>IFERROR(__xludf.DUMMYFUNCTION("""COMPUTED_VALUE"""),"Uncle Sams Cider (5/13/2022)")</f>
        <v>Uncle Sams Cider (5/13/2022)</v>
      </c>
      <c r="H8225" s="19"/>
    </row>
    <row r="8226">
      <c r="A8226" s="9"/>
      <c r="B8226" s="15"/>
      <c r="C8226" s="9">
        <f>IFERROR(__xludf.DUMMYFUNCTION("""COMPUTED_VALUE"""),44710.8466949884)</f>
        <v>44710.84669</v>
      </c>
      <c r="D8226" s="15">
        <f>IFERROR(__xludf.DUMMYFUNCTION("""COMPUTED_VALUE"""),1.022)</f>
        <v>1.022</v>
      </c>
      <c r="E8226" s="16">
        <f>IFERROR(__xludf.DUMMYFUNCTION("""COMPUTED_VALUE"""),67.0)</f>
        <v>67</v>
      </c>
      <c r="F8226" s="19" t="str">
        <f>IFERROR(__xludf.DUMMYFUNCTION("""COMPUTED_VALUE"""),"BLACK")</f>
        <v>BLACK</v>
      </c>
      <c r="G8226" s="20" t="str">
        <f>IFERROR(__xludf.DUMMYFUNCTION("""COMPUTED_VALUE"""),"Uncle Sams Cider (5/13/2022)")</f>
        <v>Uncle Sams Cider (5/13/2022)</v>
      </c>
      <c r="H8226" s="19"/>
    </row>
    <row r="8227">
      <c r="A8227" s="9"/>
      <c r="B8227" s="15"/>
      <c r="C8227" s="9">
        <f>IFERROR(__xludf.DUMMYFUNCTION("""COMPUTED_VALUE"""),44710.8362393402)</f>
        <v>44710.83624</v>
      </c>
      <c r="D8227" s="15">
        <f>IFERROR(__xludf.DUMMYFUNCTION("""COMPUTED_VALUE"""),1.021)</f>
        <v>1.021</v>
      </c>
      <c r="E8227" s="16">
        <f>IFERROR(__xludf.DUMMYFUNCTION("""COMPUTED_VALUE"""),67.0)</f>
        <v>67</v>
      </c>
      <c r="F8227" s="19" t="str">
        <f>IFERROR(__xludf.DUMMYFUNCTION("""COMPUTED_VALUE"""),"BLACK")</f>
        <v>BLACK</v>
      </c>
      <c r="G8227" s="20" t="str">
        <f>IFERROR(__xludf.DUMMYFUNCTION("""COMPUTED_VALUE"""),"Uncle Sams Cider (5/13/2022)")</f>
        <v>Uncle Sams Cider (5/13/2022)</v>
      </c>
      <c r="H8227" s="19"/>
    </row>
    <row r="8228">
      <c r="A8228" s="9"/>
      <c r="B8228" s="15"/>
      <c r="C8228" s="9">
        <f>IFERROR(__xludf.DUMMYFUNCTION("""COMPUTED_VALUE"""),44710.8258202199)</f>
        <v>44710.82582</v>
      </c>
      <c r="D8228" s="15">
        <f>IFERROR(__xludf.DUMMYFUNCTION("""COMPUTED_VALUE"""),1.022)</f>
        <v>1.022</v>
      </c>
      <c r="E8228" s="16">
        <f>IFERROR(__xludf.DUMMYFUNCTION("""COMPUTED_VALUE"""),67.0)</f>
        <v>67</v>
      </c>
      <c r="F8228" s="19" t="str">
        <f>IFERROR(__xludf.DUMMYFUNCTION("""COMPUTED_VALUE"""),"BLACK")</f>
        <v>BLACK</v>
      </c>
      <c r="G8228" s="20" t="str">
        <f>IFERROR(__xludf.DUMMYFUNCTION("""COMPUTED_VALUE"""),"Uncle Sams Cider (5/13/2022)")</f>
        <v>Uncle Sams Cider (5/13/2022)</v>
      </c>
      <c r="H8228" s="19"/>
    </row>
    <row r="8229">
      <c r="A8229" s="9"/>
      <c r="B8229" s="15"/>
      <c r="C8229" s="9">
        <f>IFERROR(__xludf.DUMMYFUNCTION("""COMPUTED_VALUE"""),44710.8153980324)</f>
        <v>44710.8154</v>
      </c>
      <c r="D8229" s="15">
        <f>IFERROR(__xludf.DUMMYFUNCTION("""COMPUTED_VALUE"""),1.022)</f>
        <v>1.022</v>
      </c>
      <c r="E8229" s="16">
        <f>IFERROR(__xludf.DUMMYFUNCTION("""COMPUTED_VALUE"""),67.0)</f>
        <v>67</v>
      </c>
      <c r="F8229" s="19" t="str">
        <f>IFERROR(__xludf.DUMMYFUNCTION("""COMPUTED_VALUE"""),"BLACK")</f>
        <v>BLACK</v>
      </c>
      <c r="G8229" s="20" t="str">
        <f>IFERROR(__xludf.DUMMYFUNCTION("""COMPUTED_VALUE"""),"Uncle Sams Cider (5/13/2022)")</f>
        <v>Uncle Sams Cider (5/13/2022)</v>
      </c>
      <c r="H8229" s="19"/>
    </row>
    <row r="8230">
      <c r="A8230" s="9"/>
      <c r="B8230" s="15"/>
      <c r="C8230" s="9">
        <f>IFERROR(__xludf.DUMMYFUNCTION("""COMPUTED_VALUE"""),44710.804975243)</f>
        <v>44710.80498</v>
      </c>
      <c r="D8230" s="15">
        <f>IFERROR(__xludf.DUMMYFUNCTION("""COMPUTED_VALUE"""),1.021)</f>
        <v>1.021</v>
      </c>
      <c r="E8230" s="16">
        <f>IFERROR(__xludf.DUMMYFUNCTION("""COMPUTED_VALUE"""),67.0)</f>
        <v>67</v>
      </c>
      <c r="F8230" s="19" t="str">
        <f>IFERROR(__xludf.DUMMYFUNCTION("""COMPUTED_VALUE"""),"BLACK")</f>
        <v>BLACK</v>
      </c>
      <c r="G8230" s="20" t="str">
        <f>IFERROR(__xludf.DUMMYFUNCTION("""COMPUTED_VALUE"""),"Uncle Sams Cider (5/13/2022)")</f>
        <v>Uncle Sams Cider (5/13/2022)</v>
      </c>
      <c r="H8230" s="19"/>
    </row>
    <row r="8231">
      <c r="A8231" s="9"/>
      <c r="B8231" s="15"/>
      <c r="C8231" s="9">
        <f>IFERROR(__xludf.DUMMYFUNCTION("""COMPUTED_VALUE"""),44710.7945520139)</f>
        <v>44710.79455</v>
      </c>
      <c r="D8231" s="15">
        <f>IFERROR(__xludf.DUMMYFUNCTION("""COMPUTED_VALUE"""),1.021)</f>
        <v>1.021</v>
      </c>
      <c r="E8231" s="16">
        <f>IFERROR(__xludf.DUMMYFUNCTION("""COMPUTED_VALUE"""),67.0)</f>
        <v>67</v>
      </c>
      <c r="F8231" s="19" t="str">
        <f>IFERROR(__xludf.DUMMYFUNCTION("""COMPUTED_VALUE"""),"BLACK")</f>
        <v>BLACK</v>
      </c>
      <c r="G8231" s="20" t="str">
        <f>IFERROR(__xludf.DUMMYFUNCTION("""COMPUTED_VALUE"""),"Uncle Sams Cider (5/13/2022)")</f>
        <v>Uncle Sams Cider (5/13/2022)</v>
      </c>
      <c r="H8231" s="19"/>
    </row>
    <row r="8232">
      <c r="A8232" s="9"/>
      <c r="B8232" s="15"/>
      <c r="C8232" s="9">
        <f>IFERROR(__xludf.DUMMYFUNCTION("""COMPUTED_VALUE"""),44710.7841301851)</f>
        <v>44710.78413</v>
      </c>
      <c r="D8232" s="15">
        <f>IFERROR(__xludf.DUMMYFUNCTION("""COMPUTED_VALUE"""),1.022)</f>
        <v>1.022</v>
      </c>
      <c r="E8232" s="16">
        <f>IFERROR(__xludf.DUMMYFUNCTION("""COMPUTED_VALUE"""),67.0)</f>
        <v>67</v>
      </c>
      <c r="F8232" s="19" t="str">
        <f>IFERROR(__xludf.DUMMYFUNCTION("""COMPUTED_VALUE"""),"BLACK")</f>
        <v>BLACK</v>
      </c>
      <c r="G8232" s="20" t="str">
        <f>IFERROR(__xludf.DUMMYFUNCTION("""COMPUTED_VALUE"""),"Uncle Sams Cider (5/13/2022)")</f>
        <v>Uncle Sams Cider (5/13/2022)</v>
      </c>
      <c r="H8232" s="19"/>
    </row>
    <row r="8233">
      <c r="A8233" s="9"/>
      <c r="B8233" s="15"/>
      <c r="C8233" s="9">
        <f>IFERROR(__xludf.DUMMYFUNCTION("""COMPUTED_VALUE"""),44710.7737103588)</f>
        <v>44710.77371</v>
      </c>
      <c r="D8233" s="15">
        <f>IFERROR(__xludf.DUMMYFUNCTION("""COMPUTED_VALUE"""),1.022)</f>
        <v>1.022</v>
      </c>
      <c r="E8233" s="16">
        <f>IFERROR(__xludf.DUMMYFUNCTION("""COMPUTED_VALUE"""),67.0)</f>
        <v>67</v>
      </c>
      <c r="F8233" s="19" t="str">
        <f>IFERROR(__xludf.DUMMYFUNCTION("""COMPUTED_VALUE"""),"BLACK")</f>
        <v>BLACK</v>
      </c>
      <c r="G8233" s="20" t="str">
        <f>IFERROR(__xludf.DUMMYFUNCTION("""COMPUTED_VALUE"""),"Uncle Sams Cider (5/13/2022)")</f>
        <v>Uncle Sams Cider (5/13/2022)</v>
      </c>
      <c r="H8233" s="19"/>
    </row>
    <row r="8234">
      <c r="A8234" s="9"/>
      <c r="B8234" s="15"/>
      <c r="C8234" s="9">
        <f>IFERROR(__xludf.DUMMYFUNCTION("""COMPUTED_VALUE"""),44710.7632898032)</f>
        <v>44710.76329</v>
      </c>
      <c r="D8234" s="15">
        <f>IFERROR(__xludf.DUMMYFUNCTION("""COMPUTED_VALUE"""),1.022)</f>
        <v>1.022</v>
      </c>
      <c r="E8234" s="16">
        <f>IFERROR(__xludf.DUMMYFUNCTION("""COMPUTED_VALUE"""),67.0)</f>
        <v>67</v>
      </c>
      <c r="F8234" s="19" t="str">
        <f>IFERROR(__xludf.DUMMYFUNCTION("""COMPUTED_VALUE"""),"BLACK")</f>
        <v>BLACK</v>
      </c>
      <c r="G8234" s="20" t="str">
        <f>IFERROR(__xludf.DUMMYFUNCTION("""COMPUTED_VALUE"""),"Uncle Sams Cider (5/13/2022)")</f>
        <v>Uncle Sams Cider (5/13/2022)</v>
      </c>
      <c r="H8234" s="19"/>
    </row>
    <row r="8235">
      <c r="A8235" s="9"/>
      <c r="B8235" s="15"/>
      <c r="C8235" s="9">
        <f>IFERROR(__xludf.DUMMYFUNCTION("""COMPUTED_VALUE"""),44710.7528701157)</f>
        <v>44710.75287</v>
      </c>
      <c r="D8235" s="15">
        <f>IFERROR(__xludf.DUMMYFUNCTION("""COMPUTED_VALUE"""),1.022)</f>
        <v>1.022</v>
      </c>
      <c r="E8235" s="16">
        <f>IFERROR(__xludf.DUMMYFUNCTION("""COMPUTED_VALUE"""),67.0)</f>
        <v>67</v>
      </c>
      <c r="F8235" s="19" t="str">
        <f>IFERROR(__xludf.DUMMYFUNCTION("""COMPUTED_VALUE"""),"BLACK")</f>
        <v>BLACK</v>
      </c>
      <c r="G8235" s="20" t="str">
        <f>IFERROR(__xludf.DUMMYFUNCTION("""COMPUTED_VALUE"""),"Uncle Sams Cider (5/13/2022)")</f>
        <v>Uncle Sams Cider (5/13/2022)</v>
      </c>
      <c r="H8235" s="19"/>
    </row>
    <row r="8236">
      <c r="A8236" s="9"/>
      <c r="B8236" s="15"/>
      <c r="C8236" s="9">
        <f>IFERROR(__xludf.DUMMYFUNCTION("""COMPUTED_VALUE"""),44710.7424115162)</f>
        <v>44710.74241</v>
      </c>
      <c r="D8236" s="15">
        <f>IFERROR(__xludf.DUMMYFUNCTION("""COMPUTED_VALUE"""),1.022)</f>
        <v>1.022</v>
      </c>
      <c r="E8236" s="16">
        <f>IFERROR(__xludf.DUMMYFUNCTION("""COMPUTED_VALUE"""),67.0)</f>
        <v>67</v>
      </c>
      <c r="F8236" s="19" t="str">
        <f>IFERROR(__xludf.DUMMYFUNCTION("""COMPUTED_VALUE"""),"BLACK")</f>
        <v>BLACK</v>
      </c>
      <c r="G8236" s="20" t="str">
        <f>IFERROR(__xludf.DUMMYFUNCTION("""COMPUTED_VALUE"""),"Uncle Sams Cider (5/13/2022)")</f>
        <v>Uncle Sams Cider (5/13/2022)</v>
      </c>
      <c r="H8236" s="19"/>
    </row>
    <row r="8237">
      <c r="A8237" s="9"/>
      <c r="B8237" s="15"/>
      <c r="C8237" s="9">
        <f>IFERROR(__xludf.DUMMYFUNCTION("""COMPUTED_VALUE"""),44710.7319895138)</f>
        <v>44710.73199</v>
      </c>
      <c r="D8237" s="15">
        <f>IFERROR(__xludf.DUMMYFUNCTION("""COMPUTED_VALUE"""),1.022)</f>
        <v>1.022</v>
      </c>
      <c r="E8237" s="16">
        <f>IFERROR(__xludf.DUMMYFUNCTION("""COMPUTED_VALUE"""),67.0)</f>
        <v>67</v>
      </c>
      <c r="F8237" s="19" t="str">
        <f>IFERROR(__xludf.DUMMYFUNCTION("""COMPUTED_VALUE"""),"BLACK")</f>
        <v>BLACK</v>
      </c>
      <c r="G8237" s="20" t="str">
        <f>IFERROR(__xludf.DUMMYFUNCTION("""COMPUTED_VALUE"""),"Uncle Sams Cider (5/13/2022)")</f>
        <v>Uncle Sams Cider (5/13/2022)</v>
      </c>
      <c r="H8237" s="19"/>
    </row>
    <row r="8238">
      <c r="A8238" s="9"/>
      <c r="B8238" s="15"/>
      <c r="C8238" s="9">
        <f>IFERROR(__xludf.DUMMYFUNCTION("""COMPUTED_VALUE"""),44710.7215665046)</f>
        <v>44710.72157</v>
      </c>
      <c r="D8238" s="15">
        <f>IFERROR(__xludf.DUMMYFUNCTION("""COMPUTED_VALUE"""),1.022)</f>
        <v>1.022</v>
      </c>
      <c r="E8238" s="16">
        <f>IFERROR(__xludf.DUMMYFUNCTION("""COMPUTED_VALUE"""),67.0)</f>
        <v>67</v>
      </c>
      <c r="F8238" s="19" t="str">
        <f>IFERROR(__xludf.DUMMYFUNCTION("""COMPUTED_VALUE"""),"BLACK")</f>
        <v>BLACK</v>
      </c>
      <c r="G8238" s="20" t="str">
        <f>IFERROR(__xludf.DUMMYFUNCTION("""COMPUTED_VALUE"""),"Uncle Sams Cider (5/13/2022)")</f>
        <v>Uncle Sams Cider (5/13/2022)</v>
      </c>
      <c r="H8238" s="19"/>
    </row>
    <row r="8239">
      <c r="A8239" s="9"/>
      <c r="B8239" s="15"/>
      <c r="C8239" s="9">
        <f>IFERROR(__xludf.DUMMYFUNCTION("""COMPUTED_VALUE"""),44710.7111453125)</f>
        <v>44710.71115</v>
      </c>
      <c r="D8239" s="15">
        <f>IFERROR(__xludf.DUMMYFUNCTION("""COMPUTED_VALUE"""),1.022)</f>
        <v>1.022</v>
      </c>
      <c r="E8239" s="16">
        <f>IFERROR(__xludf.DUMMYFUNCTION("""COMPUTED_VALUE"""),67.0)</f>
        <v>67</v>
      </c>
      <c r="F8239" s="19" t="str">
        <f>IFERROR(__xludf.DUMMYFUNCTION("""COMPUTED_VALUE"""),"BLACK")</f>
        <v>BLACK</v>
      </c>
      <c r="G8239" s="20" t="str">
        <f>IFERROR(__xludf.DUMMYFUNCTION("""COMPUTED_VALUE"""),"Uncle Sams Cider (5/13/2022)")</f>
        <v>Uncle Sams Cider (5/13/2022)</v>
      </c>
      <c r="H8239" s="19"/>
    </row>
    <row r="8240">
      <c r="A8240" s="9"/>
      <c r="B8240" s="15"/>
      <c r="C8240" s="9">
        <f>IFERROR(__xludf.DUMMYFUNCTION("""COMPUTED_VALUE"""),44710.7006657754)</f>
        <v>44710.70067</v>
      </c>
      <c r="D8240" s="15">
        <f>IFERROR(__xludf.DUMMYFUNCTION("""COMPUTED_VALUE"""),1.022)</f>
        <v>1.022</v>
      </c>
      <c r="E8240" s="16">
        <f>IFERROR(__xludf.DUMMYFUNCTION("""COMPUTED_VALUE"""),67.0)</f>
        <v>67</v>
      </c>
      <c r="F8240" s="19" t="str">
        <f>IFERROR(__xludf.DUMMYFUNCTION("""COMPUTED_VALUE"""),"BLACK")</f>
        <v>BLACK</v>
      </c>
      <c r="G8240" s="20" t="str">
        <f>IFERROR(__xludf.DUMMYFUNCTION("""COMPUTED_VALUE"""),"Uncle Sams Cider (5/13/2022)")</f>
        <v>Uncle Sams Cider (5/13/2022)</v>
      </c>
      <c r="H8240" s="19"/>
    </row>
    <row r="8241">
      <c r="A8241" s="9"/>
      <c r="B8241" s="15"/>
      <c r="C8241" s="9">
        <f>IFERROR(__xludf.DUMMYFUNCTION("""COMPUTED_VALUE"""),44710.6902317592)</f>
        <v>44710.69023</v>
      </c>
      <c r="D8241" s="15">
        <f>IFERROR(__xludf.DUMMYFUNCTION("""COMPUTED_VALUE"""),1.022)</f>
        <v>1.022</v>
      </c>
      <c r="E8241" s="16">
        <f>IFERROR(__xludf.DUMMYFUNCTION("""COMPUTED_VALUE"""),67.0)</f>
        <v>67</v>
      </c>
      <c r="F8241" s="19" t="str">
        <f>IFERROR(__xludf.DUMMYFUNCTION("""COMPUTED_VALUE"""),"BLACK")</f>
        <v>BLACK</v>
      </c>
      <c r="G8241" s="20" t="str">
        <f>IFERROR(__xludf.DUMMYFUNCTION("""COMPUTED_VALUE"""),"Uncle Sams Cider (5/13/2022)")</f>
        <v>Uncle Sams Cider (5/13/2022)</v>
      </c>
      <c r="H8241" s="19"/>
    </row>
    <row r="8242">
      <c r="A8242" s="9"/>
      <c r="B8242" s="15"/>
      <c r="C8242" s="9">
        <f>IFERROR(__xludf.DUMMYFUNCTION("""COMPUTED_VALUE"""),44710.6798104398)</f>
        <v>44710.67981</v>
      </c>
      <c r="D8242" s="15">
        <f>IFERROR(__xludf.DUMMYFUNCTION("""COMPUTED_VALUE"""),1.022)</f>
        <v>1.022</v>
      </c>
      <c r="E8242" s="16">
        <f>IFERROR(__xludf.DUMMYFUNCTION("""COMPUTED_VALUE"""),67.0)</f>
        <v>67</v>
      </c>
      <c r="F8242" s="19" t="str">
        <f>IFERROR(__xludf.DUMMYFUNCTION("""COMPUTED_VALUE"""),"BLACK")</f>
        <v>BLACK</v>
      </c>
      <c r="G8242" s="20" t="str">
        <f>IFERROR(__xludf.DUMMYFUNCTION("""COMPUTED_VALUE"""),"Uncle Sams Cider (5/13/2022)")</f>
        <v>Uncle Sams Cider (5/13/2022)</v>
      </c>
      <c r="H8242" s="19"/>
    </row>
    <row r="8243">
      <c r="A8243" s="9"/>
      <c r="B8243" s="15"/>
      <c r="C8243" s="9">
        <f>IFERROR(__xludf.DUMMYFUNCTION("""COMPUTED_VALUE"""),44710.6693923263)</f>
        <v>44710.66939</v>
      </c>
      <c r="D8243" s="15">
        <f>IFERROR(__xludf.DUMMYFUNCTION("""COMPUTED_VALUE"""),1.022)</f>
        <v>1.022</v>
      </c>
      <c r="E8243" s="16">
        <f>IFERROR(__xludf.DUMMYFUNCTION("""COMPUTED_VALUE"""),67.0)</f>
        <v>67</v>
      </c>
      <c r="F8243" s="19" t="str">
        <f>IFERROR(__xludf.DUMMYFUNCTION("""COMPUTED_VALUE"""),"BLACK")</f>
        <v>BLACK</v>
      </c>
      <c r="G8243" s="20" t="str">
        <f>IFERROR(__xludf.DUMMYFUNCTION("""COMPUTED_VALUE"""),"Uncle Sams Cider (5/13/2022)")</f>
        <v>Uncle Sams Cider (5/13/2022)</v>
      </c>
      <c r="H8243" s="19"/>
    </row>
    <row r="8244">
      <c r="A8244" s="9"/>
      <c r="B8244" s="15"/>
      <c r="C8244" s="9">
        <f>IFERROR(__xludf.DUMMYFUNCTION("""COMPUTED_VALUE"""),44710.6589734606)</f>
        <v>44710.65897</v>
      </c>
      <c r="D8244" s="15">
        <f>IFERROR(__xludf.DUMMYFUNCTION("""COMPUTED_VALUE"""),1.022)</f>
        <v>1.022</v>
      </c>
      <c r="E8244" s="16">
        <f>IFERROR(__xludf.DUMMYFUNCTION("""COMPUTED_VALUE"""),67.0)</f>
        <v>67</v>
      </c>
      <c r="F8244" s="19" t="str">
        <f>IFERROR(__xludf.DUMMYFUNCTION("""COMPUTED_VALUE"""),"BLACK")</f>
        <v>BLACK</v>
      </c>
      <c r="G8244" s="20" t="str">
        <f>IFERROR(__xludf.DUMMYFUNCTION("""COMPUTED_VALUE"""),"Uncle Sams Cider (5/13/2022)")</f>
        <v>Uncle Sams Cider (5/13/2022)</v>
      </c>
      <c r="H8244" s="19"/>
    </row>
    <row r="8245">
      <c r="A8245" s="9"/>
      <c r="B8245" s="15"/>
      <c r="C8245" s="9">
        <f>IFERROR(__xludf.DUMMYFUNCTION("""COMPUTED_VALUE"""),44710.6485530208)</f>
        <v>44710.64855</v>
      </c>
      <c r="D8245" s="15">
        <f>IFERROR(__xludf.DUMMYFUNCTION("""COMPUTED_VALUE"""),1.022)</f>
        <v>1.022</v>
      </c>
      <c r="E8245" s="16">
        <f>IFERROR(__xludf.DUMMYFUNCTION("""COMPUTED_VALUE"""),67.0)</f>
        <v>67</v>
      </c>
      <c r="F8245" s="19" t="str">
        <f>IFERROR(__xludf.DUMMYFUNCTION("""COMPUTED_VALUE"""),"BLACK")</f>
        <v>BLACK</v>
      </c>
      <c r="G8245" s="20" t="str">
        <f>IFERROR(__xludf.DUMMYFUNCTION("""COMPUTED_VALUE"""),"Uncle Sams Cider (5/13/2022)")</f>
        <v>Uncle Sams Cider (5/13/2022)</v>
      </c>
      <c r="H8245" s="19"/>
    </row>
    <row r="8246">
      <c r="A8246" s="9"/>
      <c r="B8246" s="15"/>
      <c r="C8246" s="9">
        <f>IFERROR(__xludf.DUMMYFUNCTION("""COMPUTED_VALUE"""),44710.6381207986)</f>
        <v>44710.63812</v>
      </c>
      <c r="D8246" s="15">
        <f>IFERROR(__xludf.DUMMYFUNCTION("""COMPUTED_VALUE"""),1.022)</f>
        <v>1.022</v>
      </c>
      <c r="E8246" s="16">
        <f>IFERROR(__xludf.DUMMYFUNCTION("""COMPUTED_VALUE"""),67.0)</f>
        <v>67</v>
      </c>
      <c r="F8246" s="19" t="str">
        <f>IFERROR(__xludf.DUMMYFUNCTION("""COMPUTED_VALUE"""),"BLACK")</f>
        <v>BLACK</v>
      </c>
      <c r="G8246" s="20" t="str">
        <f>IFERROR(__xludf.DUMMYFUNCTION("""COMPUTED_VALUE"""),"Uncle Sams Cider (5/13/2022)")</f>
        <v>Uncle Sams Cider (5/13/2022)</v>
      </c>
      <c r="H8246" s="19"/>
    </row>
    <row r="8247">
      <c r="A8247" s="9"/>
      <c r="B8247" s="15"/>
      <c r="C8247" s="9">
        <f>IFERROR(__xludf.DUMMYFUNCTION("""COMPUTED_VALUE"""),44710.6276995486)</f>
        <v>44710.6277</v>
      </c>
      <c r="D8247" s="15">
        <f>IFERROR(__xludf.DUMMYFUNCTION("""COMPUTED_VALUE"""),1.022)</f>
        <v>1.022</v>
      </c>
      <c r="E8247" s="16">
        <f>IFERROR(__xludf.DUMMYFUNCTION("""COMPUTED_VALUE"""),67.0)</f>
        <v>67</v>
      </c>
      <c r="F8247" s="19" t="str">
        <f>IFERROR(__xludf.DUMMYFUNCTION("""COMPUTED_VALUE"""),"BLACK")</f>
        <v>BLACK</v>
      </c>
      <c r="G8247" s="20" t="str">
        <f>IFERROR(__xludf.DUMMYFUNCTION("""COMPUTED_VALUE"""),"Uncle Sams Cider (5/13/2022)")</f>
        <v>Uncle Sams Cider (5/13/2022)</v>
      </c>
      <c r="H8247" s="19"/>
    </row>
    <row r="8248">
      <c r="A8248" s="9"/>
      <c r="B8248" s="15"/>
      <c r="C8248" s="9">
        <f>IFERROR(__xludf.DUMMYFUNCTION("""COMPUTED_VALUE"""),44710.617276956)</f>
        <v>44710.61728</v>
      </c>
      <c r="D8248" s="15">
        <f>IFERROR(__xludf.DUMMYFUNCTION("""COMPUTED_VALUE"""),1.022)</f>
        <v>1.022</v>
      </c>
      <c r="E8248" s="16">
        <f>IFERROR(__xludf.DUMMYFUNCTION("""COMPUTED_VALUE"""),67.0)</f>
        <v>67</v>
      </c>
      <c r="F8248" s="19" t="str">
        <f>IFERROR(__xludf.DUMMYFUNCTION("""COMPUTED_VALUE"""),"BLACK")</f>
        <v>BLACK</v>
      </c>
      <c r="G8248" s="20" t="str">
        <f>IFERROR(__xludf.DUMMYFUNCTION("""COMPUTED_VALUE"""),"Uncle Sams Cider (5/13/2022)")</f>
        <v>Uncle Sams Cider (5/13/2022)</v>
      </c>
      <c r="H8248" s="19"/>
    </row>
    <row r="8249">
      <c r="A8249" s="9"/>
      <c r="B8249" s="15"/>
      <c r="C8249" s="9">
        <f>IFERROR(__xludf.DUMMYFUNCTION("""COMPUTED_VALUE"""),44710.6068332986)</f>
        <v>44710.60683</v>
      </c>
      <c r="D8249" s="15">
        <f>IFERROR(__xludf.DUMMYFUNCTION("""COMPUTED_VALUE"""),1.022)</f>
        <v>1.022</v>
      </c>
      <c r="E8249" s="16">
        <f>IFERROR(__xludf.DUMMYFUNCTION("""COMPUTED_VALUE"""),67.0)</f>
        <v>67</v>
      </c>
      <c r="F8249" s="19" t="str">
        <f>IFERROR(__xludf.DUMMYFUNCTION("""COMPUTED_VALUE"""),"BLACK")</f>
        <v>BLACK</v>
      </c>
      <c r="G8249" s="20" t="str">
        <f>IFERROR(__xludf.DUMMYFUNCTION("""COMPUTED_VALUE"""),"Uncle Sams Cider (5/13/2022)")</f>
        <v>Uncle Sams Cider (5/13/2022)</v>
      </c>
      <c r="H8249" s="19"/>
    </row>
    <row r="8250">
      <c r="A8250" s="9"/>
      <c r="B8250" s="15"/>
      <c r="C8250" s="9">
        <f>IFERROR(__xludf.DUMMYFUNCTION("""COMPUTED_VALUE"""),44710.5964111458)</f>
        <v>44710.59641</v>
      </c>
      <c r="D8250" s="15">
        <f>IFERROR(__xludf.DUMMYFUNCTION("""COMPUTED_VALUE"""),1.022)</f>
        <v>1.022</v>
      </c>
      <c r="E8250" s="16">
        <f>IFERROR(__xludf.DUMMYFUNCTION("""COMPUTED_VALUE"""),67.0)</f>
        <v>67</v>
      </c>
      <c r="F8250" s="19" t="str">
        <f>IFERROR(__xludf.DUMMYFUNCTION("""COMPUTED_VALUE"""),"BLACK")</f>
        <v>BLACK</v>
      </c>
      <c r="G8250" s="20" t="str">
        <f>IFERROR(__xludf.DUMMYFUNCTION("""COMPUTED_VALUE"""),"Uncle Sams Cider (5/13/2022)")</f>
        <v>Uncle Sams Cider (5/13/2022)</v>
      </c>
      <c r="H8250" s="19"/>
    </row>
    <row r="8251">
      <c r="A8251" s="9"/>
      <c r="B8251" s="15"/>
      <c r="C8251" s="9">
        <f>IFERROR(__xludf.DUMMYFUNCTION("""COMPUTED_VALUE"""),44710.5859902777)</f>
        <v>44710.58599</v>
      </c>
      <c r="D8251" s="15">
        <f>IFERROR(__xludf.DUMMYFUNCTION("""COMPUTED_VALUE"""),1.022)</f>
        <v>1.022</v>
      </c>
      <c r="E8251" s="16">
        <f>IFERROR(__xludf.DUMMYFUNCTION("""COMPUTED_VALUE"""),67.0)</f>
        <v>67</v>
      </c>
      <c r="F8251" s="19" t="str">
        <f>IFERROR(__xludf.DUMMYFUNCTION("""COMPUTED_VALUE"""),"BLACK")</f>
        <v>BLACK</v>
      </c>
      <c r="G8251" s="20" t="str">
        <f>IFERROR(__xludf.DUMMYFUNCTION("""COMPUTED_VALUE"""),"Uncle Sams Cider (5/13/2022)")</f>
        <v>Uncle Sams Cider (5/13/2022)</v>
      </c>
      <c r="H8251" s="19"/>
    </row>
    <row r="8252">
      <c r="A8252" s="9"/>
      <c r="B8252" s="15"/>
      <c r="C8252" s="9">
        <f>IFERROR(__xludf.DUMMYFUNCTION("""COMPUTED_VALUE"""),44710.5755576273)</f>
        <v>44710.57556</v>
      </c>
      <c r="D8252" s="15">
        <f>IFERROR(__xludf.DUMMYFUNCTION("""COMPUTED_VALUE"""),1.022)</f>
        <v>1.022</v>
      </c>
      <c r="E8252" s="16">
        <f>IFERROR(__xludf.DUMMYFUNCTION("""COMPUTED_VALUE"""),67.0)</f>
        <v>67</v>
      </c>
      <c r="F8252" s="19" t="str">
        <f>IFERROR(__xludf.DUMMYFUNCTION("""COMPUTED_VALUE"""),"BLACK")</f>
        <v>BLACK</v>
      </c>
      <c r="G8252" s="20" t="str">
        <f>IFERROR(__xludf.DUMMYFUNCTION("""COMPUTED_VALUE"""),"Uncle Sams Cider (5/13/2022)")</f>
        <v>Uncle Sams Cider (5/13/2022)</v>
      </c>
      <c r="H8252" s="19"/>
    </row>
    <row r="8253">
      <c r="A8253" s="9"/>
      <c r="B8253" s="15"/>
      <c r="C8253" s="9">
        <f>IFERROR(__xludf.DUMMYFUNCTION("""COMPUTED_VALUE"""),44710.5651361689)</f>
        <v>44710.56514</v>
      </c>
      <c r="D8253" s="15">
        <f>IFERROR(__xludf.DUMMYFUNCTION("""COMPUTED_VALUE"""),1.022)</f>
        <v>1.022</v>
      </c>
      <c r="E8253" s="16">
        <f>IFERROR(__xludf.DUMMYFUNCTION("""COMPUTED_VALUE"""),67.0)</f>
        <v>67</v>
      </c>
      <c r="F8253" s="19" t="str">
        <f>IFERROR(__xludf.DUMMYFUNCTION("""COMPUTED_VALUE"""),"BLACK")</f>
        <v>BLACK</v>
      </c>
      <c r="G8253" s="20" t="str">
        <f>IFERROR(__xludf.DUMMYFUNCTION("""COMPUTED_VALUE"""),"Uncle Sams Cider (5/13/2022)")</f>
        <v>Uncle Sams Cider (5/13/2022)</v>
      </c>
      <c r="H8253" s="19"/>
    </row>
    <row r="8254">
      <c r="A8254" s="9"/>
      <c r="B8254" s="15"/>
      <c r="C8254" s="9">
        <f>IFERROR(__xludf.DUMMYFUNCTION("""COMPUTED_VALUE"""),44710.5547163194)</f>
        <v>44710.55472</v>
      </c>
      <c r="D8254" s="15">
        <f>IFERROR(__xludf.DUMMYFUNCTION("""COMPUTED_VALUE"""),1.022)</f>
        <v>1.022</v>
      </c>
      <c r="E8254" s="16">
        <f>IFERROR(__xludf.DUMMYFUNCTION("""COMPUTED_VALUE"""),67.0)</f>
        <v>67</v>
      </c>
      <c r="F8254" s="19" t="str">
        <f>IFERROR(__xludf.DUMMYFUNCTION("""COMPUTED_VALUE"""),"BLACK")</f>
        <v>BLACK</v>
      </c>
      <c r="G8254" s="20" t="str">
        <f>IFERROR(__xludf.DUMMYFUNCTION("""COMPUTED_VALUE"""),"Uncle Sams Cider (5/13/2022)")</f>
        <v>Uncle Sams Cider (5/13/2022)</v>
      </c>
      <c r="H8254" s="19"/>
    </row>
    <row r="8255">
      <c r="A8255" s="9"/>
      <c r="B8255" s="15"/>
      <c r="C8255" s="9">
        <f>IFERROR(__xludf.DUMMYFUNCTION("""COMPUTED_VALUE"""),44710.5442944444)</f>
        <v>44710.54429</v>
      </c>
      <c r="D8255" s="15">
        <f>IFERROR(__xludf.DUMMYFUNCTION("""COMPUTED_VALUE"""),1.022)</f>
        <v>1.022</v>
      </c>
      <c r="E8255" s="16">
        <f>IFERROR(__xludf.DUMMYFUNCTION("""COMPUTED_VALUE"""),67.0)</f>
        <v>67</v>
      </c>
      <c r="F8255" s="19" t="str">
        <f>IFERROR(__xludf.DUMMYFUNCTION("""COMPUTED_VALUE"""),"BLACK")</f>
        <v>BLACK</v>
      </c>
      <c r="G8255" s="20" t="str">
        <f>IFERROR(__xludf.DUMMYFUNCTION("""COMPUTED_VALUE"""),"Uncle Sams Cider (5/13/2022)")</f>
        <v>Uncle Sams Cider (5/13/2022)</v>
      </c>
      <c r="H8255" s="19"/>
    </row>
    <row r="8256">
      <c r="A8256" s="9"/>
      <c r="B8256" s="15"/>
      <c r="C8256" s="9">
        <f>IFERROR(__xludf.DUMMYFUNCTION("""COMPUTED_VALUE"""),44710.5338496064)</f>
        <v>44710.53385</v>
      </c>
      <c r="D8256" s="15">
        <f>IFERROR(__xludf.DUMMYFUNCTION("""COMPUTED_VALUE"""),1.022)</f>
        <v>1.022</v>
      </c>
      <c r="E8256" s="16">
        <f>IFERROR(__xludf.DUMMYFUNCTION("""COMPUTED_VALUE"""),67.0)</f>
        <v>67</v>
      </c>
      <c r="F8256" s="19" t="str">
        <f>IFERROR(__xludf.DUMMYFUNCTION("""COMPUTED_VALUE"""),"BLACK")</f>
        <v>BLACK</v>
      </c>
      <c r="G8256" s="20" t="str">
        <f>IFERROR(__xludf.DUMMYFUNCTION("""COMPUTED_VALUE"""),"Uncle Sams Cider (5/13/2022)")</f>
        <v>Uncle Sams Cider (5/13/2022)</v>
      </c>
      <c r="H8256" s="19"/>
    </row>
    <row r="8257">
      <c r="A8257" s="9"/>
      <c r="B8257" s="15"/>
      <c r="C8257" s="9">
        <f>IFERROR(__xludf.DUMMYFUNCTION("""COMPUTED_VALUE"""),44710.5234280787)</f>
        <v>44710.52343</v>
      </c>
      <c r="D8257" s="15">
        <f>IFERROR(__xludf.DUMMYFUNCTION("""COMPUTED_VALUE"""),1.022)</f>
        <v>1.022</v>
      </c>
      <c r="E8257" s="16">
        <f>IFERROR(__xludf.DUMMYFUNCTION("""COMPUTED_VALUE"""),67.0)</f>
        <v>67</v>
      </c>
      <c r="F8257" s="19" t="str">
        <f>IFERROR(__xludf.DUMMYFUNCTION("""COMPUTED_VALUE"""),"BLACK")</f>
        <v>BLACK</v>
      </c>
      <c r="G8257" s="20" t="str">
        <f>IFERROR(__xludf.DUMMYFUNCTION("""COMPUTED_VALUE"""),"Uncle Sams Cider (5/13/2022)")</f>
        <v>Uncle Sams Cider (5/13/2022)</v>
      </c>
      <c r="H8257" s="19"/>
    </row>
    <row r="8258">
      <c r="A8258" s="9"/>
      <c r="B8258" s="15"/>
      <c r="C8258" s="9">
        <f>IFERROR(__xludf.DUMMYFUNCTION("""COMPUTED_VALUE"""),44710.5130068634)</f>
        <v>44710.51301</v>
      </c>
      <c r="D8258" s="15">
        <f>IFERROR(__xludf.DUMMYFUNCTION("""COMPUTED_VALUE"""),1.022)</f>
        <v>1.022</v>
      </c>
      <c r="E8258" s="16">
        <f>IFERROR(__xludf.DUMMYFUNCTION("""COMPUTED_VALUE"""),67.0)</f>
        <v>67</v>
      </c>
      <c r="F8258" s="19" t="str">
        <f>IFERROR(__xludf.DUMMYFUNCTION("""COMPUTED_VALUE"""),"BLACK")</f>
        <v>BLACK</v>
      </c>
      <c r="G8258" s="20" t="str">
        <f>IFERROR(__xludf.DUMMYFUNCTION("""COMPUTED_VALUE"""),"Uncle Sams Cider (5/13/2022)")</f>
        <v>Uncle Sams Cider (5/13/2022)</v>
      </c>
      <c r="H8258" s="19"/>
    </row>
    <row r="8259">
      <c r="A8259" s="9"/>
      <c r="B8259" s="15"/>
      <c r="C8259" s="9">
        <f>IFERROR(__xludf.DUMMYFUNCTION("""COMPUTED_VALUE"""),44710.5025851388)</f>
        <v>44710.50259</v>
      </c>
      <c r="D8259" s="15">
        <f>IFERROR(__xludf.DUMMYFUNCTION("""COMPUTED_VALUE"""),1.022)</f>
        <v>1.022</v>
      </c>
      <c r="E8259" s="16">
        <f>IFERROR(__xludf.DUMMYFUNCTION("""COMPUTED_VALUE"""),67.0)</f>
        <v>67</v>
      </c>
      <c r="F8259" s="19" t="str">
        <f>IFERROR(__xludf.DUMMYFUNCTION("""COMPUTED_VALUE"""),"BLACK")</f>
        <v>BLACK</v>
      </c>
      <c r="G8259" s="20" t="str">
        <f>IFERROR(__xludf.DUMMYFUNCTION("""COMPUTED_VALUE"""),"Uncle Sams Cider (5/13/2022)")</f>
        <v>Uncle Sams Cider (5/13/2022)</v>
      </c>
      <c r="H8259" s="19"/>
    </row>
    <row r="8260">
      <c r="A8260" s="9"/>
      <c r="B8260" s="15"/>
      <c r="C8260" s="9">
        <f>IFERROR(__xludf.DUMMYFUNCTION("""COMPUTED_VALUE"""),44710.4921295833)</f>
        <v>44710.49213</v>
      </c>
      <c r="D8260" s="15">
        <f>IFERROR(__xludf.DUMMYFUNCTION("""COMPUTED_VALUE"""),1.022)</f>
        <v>1.022</v>
      </c>
      <c r="E8260" s="16">
        <f>IFERROR(__xludf.DUMMYFUNCTION("""COMPUTED_VALUE"""),67.0)</f>
        <v>67</v>
      </c>
      <c r="F8260" s="19" t="str">
        <f>IFERROR(__xludf.DUMMYFUNCTION("""COMPUTED_VALUE"""),"BLACK")</f>
        <v>BLACK</v>
      </c>
      <c r="G8260" s="20" t="str">
        <f>IFERROR(__xludf.DUMMYFUNCTION("""COMPUTED_VALUE"""),"Uncle Sams Cider (5/13/2022)")</f>
        <v>Uncle Sams Cider (5/13/2022)</v>
      </c>
      <c r="H8260" s="19"/>
    </row>
    <row r="8261">
      <c r="A8261" s="9"/>
      <c r="B8261" s="15"/>
      <c r="C8261" s="9">
        <f>IFERROR(__xludf.DUMMYFUNCTION("""COMPUTED_VALUE"""),44710.4817072106)</f>
        <v>44710.48171</v>
      </c>
      <c r="D8261" s="15">
        <f>IFERROR(__xludf.DUMMYFUNCTION("""COMPUTED_VALUE"""),1.022)</f>
        <v>1.022</v>
      </c>
      <c r="E8261" s="16">
        <f>IFERROR(__xludf.DUMMYFUNCTION("""COMPUTED_VALUE"""),67.0)</f>
        <v>67</v>
      </c>
      <c r="F8261" s="19" t="str">
        <f>IFERROR(__xludf.DUMMYFUNCTION("""COMPUTED_VALUE"""),"BLACK")</f>
        <v>BLACK</v>
      </c>
      <c r="G8261" s="20" t="str">
        <f>IFERROR(__xludf.DUMMYFUNCTION("""COMPUTED_VALUE"""),"Uncle Sams Cider (5/13/2022)")</f>
        <v>Uncle Sams Cider (5/13/2022)</v>
      </c>
      <c r="H8261" s="19"/>
    </row>
    <row r="8262">
      <c r="A8262" s="9"/>
      <c r="B8262" s="15"/>
      <c r="C8262" s="9">
        <f>IFERROR(__xludf.DUMMYFUNCTION("""COMPUTED_VALUE"""),44710.4712626388)</f>
        <v>44710.47126</v>
      </c>
      <c r="D8262" s="15">
        <f>IFERROR(__xludf.DUMMYFUNCTION("""COMPUTED_VALUE"""),1.022)</f>
        <v>1.022</v>
      </c>
      <c r="E8262" s="16">
        <f>IFERROR(__xludf.DUMMYFUNCTION("""COMPUTED_VALUE"""),66.0)</f>
        <v>66</v>
      </c>
      <c r="F8262" s="19" t="str">
        <f>IFERROR(__xludf.DUMMYFUNCTION("""COMPUTED_VALUE"""),"BLACK")</f>
        <v>BLACK</v>
      </c>
      <c r="G8262" s="20" t="str">
        <f>IFERROR(__xludf.DUMMYFUNCTION("""COMPUTED_VALUE"""),"Uncle Sams Cider (5/13/2022)")</f>
        <v>Uncle Sams Cider (5/13/2022)</v>
      </c>
      <c r="H8262" s="19"/>
    </row>
    <row r="8263">
      <c r="A8263" s="9"/>
      <c r="B8263" s="15"/>
      <c r="C8263" s="9">
        <f>IFERROR(__xludf.DUMMYFUNCTION("""COMPUTED_VALUE"""),44710.4608411111)</f>
        <v>44710.46084</v>
      </c>
      <c r="D8263" s="15">
        <f>IFERROR(__xludf.DUMMYFUNCTION("""COMPUTED_VALUE"""),1.022)</f>
        <v>1.022</v>
      </c>
      <c r="E8263" s="16">
        <f>IFERROR(__xludf.DUMMYFUNCTION("""COMPUTED_VALUE"""),67.0)</f>
        <v>67</v>
      </c>
      <c r="F8263" s="19" t="str">
        <f>IFERROR(__xludf.DUMMYFUNCTION("""COMPUTED_VALUE"""),"BLACK")</f>
        <v>BLACK</v>
      </c>
      <c r="G8263" s="20" t="str">
        <f>IFERROR(__xludf.DUMMYFUNCTION("""COMPUTED_VALUE"""),"Uncle Sams Cider (5/13/2022)")</f>
        <v>Uncle Sams Cider (5/13/2022)</v>
      </c>
      <c r="H8263" s="19"/>
    </row>
    <row r="8264">
      <c r="A8264" s="9"/>
      <c r="B8264" s="15"/>
      <c r="C8264" s="9">
        <f>IFERROR(__xludf.DUMMYFUNCTION("""COMPUTED_VALUE"""),44710.4504091666)</f>
        <v>44710.45041</v>
      </c>
      <c r="D8264" s="15">
        <f>IFERROR(__xludf.DUMMYFUNCTION("""COMPUTED_VALUE"""),1.022)</f>
        <v>1.022</v>
      </c>
      <c r="E8264" s="16">
        <f>IFERROR(__xludf.DUMMYFUNCTION("""COMPUTED_VALUE"""),67.0)</f>
        <v>67</v>
      </c>
      <c r="F8264" s="19" t="str">
        <f>IFERROR(__xludf.DUMMYFUNCTION("""COMPUTED_VALUE"""),"BLACK")</f>
        <v>BLACK</v>
      </c>
      <c r="G8264" s="20" t="str">
        <f>IFERROR(__xludf.DUMMYFUNCTION("""COMPUTED_VALUE"""),"Uncle Sams Cider (5/13/2022)")</f>
        <v>Uncle Sams Cider (5/13/2022)</v>
      </c>
      <c r="H8264" s="19"/>
    </row>
    <row r="8265">
      <c r="A8265" s="9"/>
      <c r="B8265" s="15"/>
      <c r="C8265" s="9">
        <f>IFERROR(__xludf.DUMMYFUNCTION("""COMPUTED_VALUE"""),44710.4399885532)</f>
        <v>44710.43999</v>
      </c>
      <c r="D8265" s="15">
        <f>IFERROR(__xludf.DUMMYFUNCTION("""COMPUTED_VALUE"""),1.022)</f>
        <v>1.022</v>
      </c>
      <c r="E8265" s="16">
        <f>IFERROR(__xludf.DUMMYFUNCTION("""COMPUTED_VALUE"""),67.0)</f>
        <v>67</v>
      </c>
      <c r="F8265" s="19" t="str">
        <f>IFERROR(__xludf.DUMMYFUNCTION("""COMPUTED_VALUE"""),"BLACK")</f>
        <v>BLACK</v>
      </c>
      <c r="G8265" s="20" t="str">
        <f>IFERROR(__xludf.DUMMYFUNCTION("""COMPUTED_VALUE"""),"Uncle Sams Cider (5/13/2022)")</f>
        <v>Uncle Sams Cider (5/13/2022)</v>
      </c>
      <c r="H8265" s="19"/>
    </row>
    <row r="8266">
      <c r="A8266" s="9"/>
      <c r="B8266" s="15"/>
      <c r="C8266" s="9">
        <f>IFERROR(__xludf.DUMMYFUNCTION("""COMPUTED_VALUE"""),44710.4295654282)</f>
        <v>44710.42957</v>
      </c>
      <c r="D8266" s="15">
        <f>IFERROR(__xludf.DUMMYFUNCTION("""COMPUTED_VALUE"""),1.022)</f>
        <v>1.022</v>
      </c>
      <c r="E8266" s="16">
        <f>IFERROR(__xludf.DUMMYFUNCTION("""COMPUTED_VALUE"""),66.0)</f>
        <v>66</v>
      </c>
      <c r="F8266" s="19" t="str">
        <f>IFERROR(__xludf.DUMMYFUNCTION("""COMPUTED_VALUE"""),"BLACK")</f>
        <v>BLACK</v>
      </c>
      <c r="G8266" s="20" t="str">
        <f>IFERROR(__xludf.DUMMYFUNCTION("""COMPUTED_VALUE"""),"Uncle Sams Cider (5/13/2022)")</f>
        <v>Uncle Sams Cider (5/13/2022)</v>
      </c>
      <c r="H8266" s="19"/>
    </row>
    <row r="8267">
      <c r="A8267" s="9"/>
      <c r="B8267" s="15"/>
      <c r="C8267" s="9">
        <f>IFERROR(__xludf.DUMMYFUNCTION("""COMPUTED_VALUE"""),44710.4191433564)</f>
        <v>44710.41914</v>
      </c>
      <c r="D8267" s="15">
        <f>IFERROR(__xludf.DUMMYFUNCTION("""COMPUTED_VALUE"""),1.022)</f>
        <v>1.022</v>
      </c>
      <c r="E8267" s="16">
        <f>IFERROR(__xludf.DUMMYFUNCTION("""COMPUTED_VALUE"""),66.0)</f>
        <v>66</v>
      </c>
      <c r="F8267" s="19" t="str">
        <f>IFERROR(__xludf.DUMMYFUNCTION("""COMPUTED_VALUE"""),"BLACK")</f>
        <v>BLACK</v>
      </c>
      <c r="G8267" s="20" t="str">
        <f>IFERROR(__xludf.DUMMYFUNCTION("""COMPUTED_VALUE"""),"Uncle Sams Cider (5/13/2022)")</f>
        <v>Uncle Sams Cider (5/13/2022)</v>
      </c>
      <c r="H8267" s="19"/>
    </row>
    <row r="8268">
      <c r="A8268" s="9"/>
      <c r="B8268" s="15"/>
      <c r="C8268" s="9">
        <f>IFERROR(__xludf.DUMMYFUNCTION("""COMPUTED_VALUE"""),44710.4087109375)</f>
        <v>44710.40871</v>
      </c>
      <c r="D8268" s="15">
        <f>IFERROR(__xludf.DUMMYFUNCTION("""COMPUTED_VALUE"""),1.022)</f>
        <v>1.022</v>
      </c>
      <c r="E8268" s="16">
        <f>IFERROR(__xludf.DUMMYFUNCTION("""COMPUTED_VALUE"""),66.0)</f>
        <v>66</v>
      </c>
      <c r="F8268" s="19" t="str">
        <f>IFERROR(__xludf.DUMMYFUNCTION("""COMPUTED_VALUE"""),"BLACK")</f>
        <v>BLACK</v>
      </c>
      <c r="G8268" s="20" t="str">
        <f>IFERROR(__xludf.DUMMYFUNCTION("""COMPUTED_VALUE"""),"Uncle Sams Cider (5/13/2022)")</f>
        <v>Uncle Sams Cider (5/13/2022)</v>
      </c>
      <c r="H8268" s="19"/>
    </row>
    <row r="8269">
      <c r="A8269" s="9"/>
      <c r="B8269" s="15"/>
      <c r="C8269" s="9">
        <f>IFERROR(__xludf.DUMMYFUNCTION("""COMPUTED_VALUE"""),44710.3982423842)</f>
        <v>44710.39824</v>
      </c>
      <c r="D8269" s="15">
        <f>IFERROR(__xludf.DUMMYFUNCTION("""COMPUTED_VALUE"""),1.023)</f>
        <v>1.023</v>
      </c>
      <c r="E8269" s="16">
        <f>IFERROR(__xludf.DUMMYFUNCTION("""COMPUTED_VALUE"""),66.0)</f>
        <v>66</v>
      </c>
      <c r="F8269" s="19" t="str">
        <f>IFERROR(__xludf.DUMMYFUNCTION("""COMPUTED_VALUE"""),"BLACK")</f>
        <v>BLACK</v>
      </c>
      <c r="G8269" s="20" t="str">
        <f>IFERROR(__xludf.DUMMYFUNCTION("""COMPUTED_VALUE"""),"Uncle Sams Cider (5/13/2022)")</f>
        <v>Uncle Sams Cider (5/13/2022)</v>
      </c>
      <c r="H8269" s="19"/>
    </row>
    <row r="8270">
      <c r="A8270" s="9"/>
      <c r="B8270" s="15"/>
      <c r="C8270" s="9">
        <f>IFERROR(__xludf.DUMMYFUNCTION("""COMPUTED_VALUE"""),44710.3878199421)</f>
        <v>44710.38782</v>
      </c>
      <c r="D8270" s="15">
        <f>IFERROR(__xludf.DUMMYFUNCTION("""COMPUTED_VALUE"""),1.023)</f>
        <v>1.023</v>
      </c>
      <c r="E8270" s="16">
        <f>IFERROR(__xludf.DUMMYFUNCTION("""COMPUTED_VALUE"""),66.0)</f>
        <v>66</v>
      </c>
      <c r="F8270" s="19" t="str">
        <f>IFERROR(__xludf.DUMMYFUNCTION("""COMPUTED_VALUE"""),"BLACK")</f>
        <v>BLACK</v>
      </c>
      <c r="G8270" s="20" t="str">
        <f>IFERROR(__xludf.DUMMYFUNCTION("""COMPUTED_VALUE"""),"Uncle Sams Cider (5/13/2022)")</f>
        <v>Uncle Sams Cider (5/13/2022)</v>
      </c>
      <c r="H8270" s="19"/>
    </row>
    <row r="8271">
      <c r="A8271" s="9"/>
      <c r="B8271" s="15"/>
      <c r="C8271" s="9">
        <f>IFERROR(__xludf.DUMMYFUNCTION("""COMPUTED_VALUE"""),44710.3773645486)</f>
        <v>44710.37736</v>
      </c>
      <c r="D8271" s="15">
        <f>IFERROR(__xludf.DUMMYFUNCTION("""COMPUTED_VALUE"""),1.023)</f>
        <v>1.023</v>
      </c>
      <c r="E8271" s="16">
        <f>IFERROR(__xludf.DUMMYFUNCTION("""COMPUTED_VALUE"""),66.0)</f>
        <v>66</v>
      </c>
      <c r="F8271" s="19" t="str">
        <f>IFERROR(__xludf.DUMMYFUNCTION("""COMPUTED_VALUE"""),"BLACK")</f>
        <v>BLACK</v>
      </c>
      <c r="G8271" s="20" t="str">
        <f>IFERROR(__xludf.DUMMYFUNCTION("""COMPUTED_VALUE"""),"Uncle Sams Cider (5/13/2022)")</f>
        <v>Uncle Sams Cider (5/13/2022)</v>
      </c>
      <c r="H8271" s="19"/>
    </row>
    <row r="8272">
      <c r="A8272" s="9"/>
      <c r="B8272" s="15"/>
      <c r="C8272" s="9">
        <f>IFERROR(__xludf.DUMMYFUNCTION("""COMPUTED_VALUE"""),44710.3669320601)</f>
        <v>44710.36693</v>
      </c>
      <c r="D8272" s="15">
        <f>IFERROR(__xludf.DUMMYFUNCTION("""COMPUTED_VALUE"""),1.022)</f>
        <v>1.022</v>
      </c>
      <c r="E8272" s="16">
        <f>IFERROR(__xludf.DUMMYFUNCTION("""COMPUTED_VALUE"""),66.0)</f>
        <v>66</v>
      </c>
      <c r="F8272" s="19" t="str">
        <f>IFERROR(__xludf.DUMMYFUNCTION("""COMPUTED_VALUE"""),"BLACK")</f>
        <v>BLACK</v>
      </c>
      <c r="G8272" s="20" t="str">
        <f>IFERROR(__xludf.DUMMYFUNCTION("""COMPUTED_VALUE"""),"Uncle Sams Cider (5/13/2022)")</f>
        <v>Uncle Sams Cider (5/13/2022)</v>
      </c>
      <c r="H8272" s="19"/>
    </row>
    <row r="8273">
      <c r="A8273" s="9"/>
      <c r="B8273" s="15"/>
      <c r="C8273" s="9">
        <f>IFERROR(__xludf.DUMMYFUNCTION("""COMPUTED_VALUE"""),44710.3564885763)</f>
        <v>44710.35649</v>
      </c>
      <c r="D8273" s="15">
        <f>IFERROR(__xludf.DUMMYFUNCTION("""COMPUTED_VALUE"""),1.023)</f>
        <v>1.023</v>
      </c>
      <c r="E8273" s="16">
        <f>IFERROR(__xludf.DUMMYFUNCTION("""COMPUTED_VALUE"""),66.0)</f>
        <v>66</v>
      </c>
      <c r="F8273" s="19" t="str">
        <f>IFERROR(__xludf.DUMMYFUNCTION("""COMPUTED_VALUE"""),"BLACK")</f>
        <v>BLACK</v>
      </c>
      <c r="G8273" s="20" t="str">
        <f>IFERROR(__xludf.DUMMYFUNCTION("""COMPUTED_VALUE"""),"Uncle Sams Cider (5/13/2022)")</f>
        <v>Uncle Sams Cider (5/13/2022)</v>
      </c>
      <c r="H8273" s="19"/>
    </row>
    <row r="8274">
      <c r="A8274" s="9"/>
      <c r="B8274" s="15"/>
      <c r="C8274" s="9">
        <f>IFERROR(__xludf.DUMMYFUNCTION("""COMPUTED_VALUE"""),44710.3460658333)</f>
        <v>44710.34607</v>
      </c>
      <c r="D8274" s="15">
        <f>IFERROR(__xludf.DUMMYFUNCTION("""COMPUTED_VALUE"""),1.022)</f>
        <v>1.022</v>
      </c>
      <c r="E8274" s="16">
        <f>IFERROR(__xludf.DUMMYFUNCTION("""COMPUTED_VALUE"""),66.0)</f>
        <v>66</v>
      </c>
      <c r="F8274" s="19" t="str">
        <f>IFERROR(__xludf.DUMMYFUNCTION("""COMPUTED_VALUE"""),"BLACK")</f>
        <v>BLACK</v>
      </c>
      <c r="G8274" s="20" t="str">
        <f>IFERROR(__xludf.DUMMYFUNCTION("""COMPUTED_VALUE"""),"Uncle Sams Cider (5/13/2022)")</f>
        <v>Uncle Sams Cider (5/13/2022)</v>
      </c>
      <c r="H8274" s="19"/>
    </row>
    <row r="8275">
      <c r="A8275" s="9"/>
      <c r="B8275" s="15"/>
      <c r="C8275" s="9">
        <f>IFERROR(__xludf.DUMMYFUNCTION("""COMPUTED_VALUE"""),44710.3356450694)</f>
        <v>44710.33565</v>
      </c>
      <c r="D8275" s="15">
        <f>IFERROR(__xludf.DUMMYFUNCTION("""COMPUTED_VALUE"""),1.022)</f>
        <v>1.022</v>
      </c>
      <c r="E8275" s="16">
        <f>IFERROR(__xludf.DUMMYFUNCTION("""COMPUTED_VALUE"""),66.0)</f>
        <v>66</v>
      </c>
      <c r="F8275" s="19" t="str">
        <f>IFERROR(__xludf.DUMMYFUNCTION("""COMPUTED_VALUE"""),"BLACK")</f>
        <v>BLACK</v>
      </c>
      <c r="G8275" s="20" t="str">
        <f>IFERROR(__xludf.DUMMYFUNCTION("""COMPUTED_VALUE"""),"Uncle Sams Cider (5/13/2022)")</f>
        <v>Uncle Sams Cider (5/13/2022)</v>
      </c>
      <c r="H8275" s="19"/>
    </row>
    <row r="8276">
      <c r="A8276" s="9"/>
      <c r="B8276" s="15"/>
      <c r="C8276" s="9">
        <f>IFERROR(__xludf.DUMMYFUNCTION("""COMPUTED_VALUE"""),44710.3252237037)</f>
        <v>44710.32522</v>
      </c>
      <c r="D8276" s="15">
        <f>IFERROR(__xludf.DUMMYFUNCTION("""COMPUTED_VALUE"""),1.023)</f>
        <v>1.023</v>
      </c>
      <c r="E8276" s="16">
        <f>IFERROR(__xludf.DUMMYFUNCTION("""COMPUTED_VALUE"""),66.0)</f>
        <v>66</v>
      </c>
      <c r="F8276" s="19" t="str">
        <f>IFERROR(__xludf.DUMMYFUNCTION("""COMPUTED_VALUE"""),"BLACK")</f>
        <v>BLACK</v>
      </c>
      <c r="G8276" s="20" t="str">
        <f>IFERROR(__xludf.DUMMYFUNCTION("""COMPUTED_VALUE"""),"Uncle Sams Cider (5/13/2022)")</f>
        <v>Uncle Sams Cider (5/13/2022)</v>
      </c>
      <c r="H8276" s="19"/>
    </row>
    <row r="8277">
      <c r="A8277" s="9"/>
      <c r="B8277" s="15"/>
      <c r="C8277" s="9">
        <f>IFERROR(__xludf.DUMMYFUNCTION("""COMPUTED_VALUE"""),44710.3147904629)</f>
        <v>44710.31479</v>
      </c>
      <c r="D8277" s="15">
        <f>IFERROR(__xludf.DUMMYFUNCTION("""COMPUTED_VALUE"""),1.023)</f>
        <v>1.023</v>
      </c>
      <c r="E8277" s="16">
        <f>IFERROR(__xludf.DUMMYFUNCTION("""COMPUTED_VALUE"""),66.0)</f>
        <v>66</v>
      </c>
      <c r="F8277" s="19" t="str">
        <f>IFERROR(__xludf.DUMMYFUNCTION("""COMPUTED_VALUE"""),"BLACK")</f>
        <v>BLACK</v>
      </c>
      <c r="G8277" s="20" t="str">
        <f>IFERROR(__xludf.DUMMYFUNCTION("""COMPUTED_VALUE"""),"Uncle Sams Cider (5/13/2022)")</f>
        <v>Uncle Sams Cider (5/13/2022)</v>
      </c>
      <c r="H8277" s="19"/>
    </row>
    <row r="8278">
      <c r="A8278" s="9"/>
      <c r="B8278" s="15"/>
      <c r="C8278" s="9">
        <f>IFERROR(__xludf.DUMMYFUNCTION("""COMPUTED_VALUE"""),44710.3043576273)</f>
        <v>44710.30436</v>
      </c>
      <c r="D8278" s="15">
        <f>IFERROR(__xludf.DUMMYFUNCTION("""COMPUTED_VALUE"""),1.023)</f>
        <v>1.023</v>
      </c>
      <c r="E8278" s="16">
        <f>IFERROR(__xludf.DUMMYFUNCTION("""COMPUTED_VALUE"""),66.0)</f>
        <v>66</v>
      </c>
      <c r="F8278" s="19" t="str">
        <f>IFERROR(__xludf.DUMMYFUNCTION("""COMPUTED_VALUE"""),"BLACK")</f>
        <v>BLACK</v>
      </c>
      <c r="G8278" s="20" t="str">
        <f>IFERROR(__xludf.DUMMYFUNCTION("""COMPUTED_VALUE"""),"Uncle Sams Cider (5/13/2022)")</f>
        <v>Uncle Sams Cider (5/13/2022)</v>
      </c>
      <c r="H8278" s="19"/>
    </row>
    <row r="8279">
      <c r="A8279" s="9"/>
      <c r="B8279" s="15"/>
      <c r="C8279" s="9">
        <f>IFERROR(__xludf.DUMMYFUNCTION("""COMPUTED_VALUE"""),44710.2939121759)</f>
        <v>44710.29391</v>
      </c>
      <c r="D8279" s="15">
        <f>IFERROR(__xludf.DUMMYFUNCTION("""COMPUTED_VALUE"""),1.023)</f>
        <v>1.023</v>
      </c>
      <c r="E8279" s="16">
        <f>IFERROR(__xludf.DUMMYFUNCTION("""COMPUTED_VALUE"""),66.0)</f>
        <v>66</v>
      </c>
      <c r="F8279" s="19" t="str">
        <f>IFERROR(__xludf.DUMMYFUNCTION("""COMPUTED_VALUE"""),"BLACK")</f>
        <v>BLACK</v>
      </c>
      <c r="G8279" s="20" t="str">
        <f>IFERROR(__xludf.DUMMYFUNCTION("""COMPUTED_VALUE"""),"Uncle Sams Cider (5/13/2022)")</f>
        <v>Uncle Sams Cider (5/13/2022)</v>
      </c>
      <c r="H8279" s="19"/>
    </row>
    <row r="8280">
      <c r="A8280" s="9"/>
      <c r="B8280" s="15"/>
      <c r="C8280" s="9">
        <f>IFERROR(__xludf.DUMMYFUNCTION("""COMPUTED_VALUE"""),44710.2834670486)</f>
        <v>44710.28347</v>
      </c>
      <c r="D8280" s="15">
        <f>IFERROR(__xludf.DUMMYFUNCTION("""COMPUTED_VALUE"""),1.023)</f>
        <v>1.023</v>
      </c>
      <c r="E8280" s="16">
        <f>IFERROR(__xludf.DUMMYFUNCTION("""COMPUTED_VALUE"""),66.0)</f>
        <v>66</v>
      </c>
      <c r="F8280" s="19" t="str">
        <f>IFERROR(__xludf.DUMMYFUNCTION("""COMPUTED_VALUE"""),"BLACK")</f>
        <v>BLACK</v>
      </c>
      <c r="G8280" s="20" t="str">
        <f>IFERROR(__xludf.DUMMYFUNCTION("""COMPUTED_VALUE"""),"Uncle Sams Cider (5/13/2022)")</f>
        <v>Uncle Sams Cider (5/13/2022)</v>
      </c>
      <c r="H8280" s="19"/>
    </row>
    <row r="8281">
      <c r="A8281" s="9"/>
      <c r="B8281" s="15"/>
      <c r="C8281" s="9">
        <f>IFERROR(__xludf.DUMMYFUNCTION("""COMPUTED_VALUE"""),44710.2730333564)</f>
        <v>44710.27303</v>
      </c>
      <c r="D8281" s="15">
        <f>IFERROR(__xludf.DUMMYFUNCTION("""COMPUTED_VALUE"""),1.023)</f>
        <v>1.023</v>
      </c>
      <c r="E8281" s="16">
        <f>IFERROR(__xludf.DUMMYFUNCTION("""COMPUTED_VALUE"""),66.0)</f>
        <v>66</v>
      </c>
      <c r="F8281" s="19" t="str">
        <f>IFERROR(__xludf.DUMMYFUNCTION("""COMPUTED_VALUE"""),"BLACK")</f>
        <v>BLACK</v>
      </c>
      <c r="G8281" s="20" t="str">
        <f>IFERROR(__xludf.DUMMYFUNCTION("""COMPUTED_VALUE"""),"Uncle Sams Cider (5/13/2022)")</f>
        <v>Uncle Sams Cider (5/13/2022)</v>
      </c>
      <c r="H8281" s="19"/>
    </row>
    <row r="8282">
      <c r="A8282" s="9"/>
      <c r="B8282" s="15"/>
      <c r="C8282" s="9">
        <f>IFERROR(__xludf.DUMMYFUNCTION("""COMPUTED_VALUE"""),44710.2626114467)</f>
        <v>44710.26261</v>
      </c>
      <c r="D8282" s="15">
        <f>IFERROR(__xludf.DUMMYFUNCTION("""COMPUTED_VALUE"""),1.023)</f>
        <v>1.023</v>
      </c>
      <c r="E8282" s="16">
        <f>IFERROR(__xludf.DUMMYFUNCTION("""COMPUTED_VALUE"""),66.0)</f>
        <v>66</v>
      </c>
      <c r="F8282" s="19" t="str">
        <f>IFERROR(__xludf.DUMMYFUNCTION("""COMPUTED_VALUE"""),"BLACK")</f>
        <v>BLACK</v>
      </c>
      <c r="G8282" s="20" t="str">
        <f>IFERROR(__xludf.DUMMYFUNCTION("""COMPUTED_VALUE"""),"Uncle Sams Cider (5/13/2022)")</f>
        <v>Uncle Sams Cider (5/13/2022)</v>
      </c>
      <c r="H8282" s="19"/>
    </row>
    <row r="8283">
      <c r="A8283" s="9"/>
      <c r="B8283" s="15"/>
      <c r="C8283" s="9">
        <f>IFERROR(__xludf.DUMMYFUNCTION("""COMPUTED_VALUE"""),44710.2521909027)</f>
        <v>44710.25219</v>
      </c>
      <c r="D8283" s="15">
        <f>IFERROR(__xludf.DUMMYFUNCTION("""COMPUTED_VALUE"""),1.022)</f>
        <v>1.022</v>
      </c>
      <c r="E8283" s="16">
        <f>IFERROR(__xludf.DUMMYFUNCTION("""COMPUTED_VALUE"""),66.0)</f>
        <v>66</v>
      </c>
      <c r="F8283" s="19" t="str">
        <f>IFERROR(__xludf.DUMMYFUNCTION("""COMPUTED_VALUE"""),"BLACK")</f>
        <v>BLACK</v>
      </c>
      <c r="G8283" s="20" t="str">
        <f>IFERROR(__xludf.DUMMYFUNCTION("""COMPUTED_VALUE"""),"Uncle Sams Cider (5/13/2022)")</f>
        <v>Uncle Sams Cider (5/13/2022)</v>
      </c>
      <c r="H8283" s="19"/>
    </row>
    <row r="8284">
      <c r="A8284" s="9"/>
      <c r="B8284" s="15"/>
      <c r="C8284" s="9">
        <f>IFERROR(__xludf.DUMMYFUNCTION("""COMPUTED_VALUE"""),44710.2417701388)</f>
        <v>44710.24177</v>
      </c>
      <c r="D8284" s="15">
        <f>IFERROR(__xludf.DUMMYFUNCTION("""COMPUTED_VALUE"""),1.023)</f>
        <v>1.023</v>
      </c>
      <c r="E8284" s="16">
        <f>IFERROR(__xludf.DUMMYFUNCTION("""COMPUTED_VALUE"""),66.0)</f>
        <v>66</v>
      </c>
      <c r="F8284" s="19" t="str">
        <f>IFERROR(__xludf.DUMMYFUNCTION("""COMPUTED_VALUE"""),"BLACK")</f>
        <v>BLACK</v>
      </c>
      <c r="G8284" s="20" t="str">
        <f>IFERROR(__xludf.DUMMYFUNCTION("""COMPUTED_VALUE"""),"Uncle Sams Cider (5/13/2022)")</f>
        <v>Uncle Sams Cider (5/13/2022)</v>
      </c>
      <c r="H8284" s="19"/>
    </row>
    <row r="8285">
      <c r="A8285" s="9"/>
      <c r="B8285" s="15"/>
      <c r="C8285" s="9">
        <f>IFERROR(__xludf.DUMMYFUNCTION("""COMPUTED_VALUE"""),44710.231335162)</f>
        <v>44710.23134</v>
      </c>
      <c r="D8285" s="15">
        <f>IFERROR(__xludf.DUMMYFUNCTION("""COMPUTED_VALUE"""),1.023)</f>
        <v>1.023</v>
      </c>
      <c r="E8285" s="16">
        <f>IFERROR(__xludf.DUMMYFUNCTION("""COMPUTED_VALUE"""),66.0)</f>
        <v>66</v>
      </c>
      <c r="F8285" s="19" t="str">
        <f>IFERROR(__xludf.DUMMYFUNCTION("""COMPUTED_VALUE"""),"BLACK")</f>
        <v>BLACK</v>
      </c>
      <c r="G8285" s="20" t="str">
        <f>IFERROR(__xludf.DUMMYFUNCTION("""COMPUTED_VALUE"""),"Uncle Sams Cider (5/13/2022)")</f>
        <v>Uncle Sams Cider (5/13/2022)</v>
      </c>
      <c r="H8285" s="19"/>
    </row>
    <row r="8286">
      <c r="A8286" s="9"/>
      <c r="B8286" s="15"/>
      <c r="C8286" s="9">
        <f>IFERROR(__xludf.DUMMYFUNCTION("""COMPUTED_VALUE"""),44710.2209146064)</f>
        <v>44710.22091</v>
      </c>
      <c r="D8286" s="15">
        <f>IFERROR(__xludf.DUMMYFUNCTION("""COMPUTED_VALUE"""),1.023)</f>
        <v>1.023</v>
      </c>
      <c r="E8286" s="16">
        <f>IFERROR(__xludf.DUMMYFUNCTION("""COMPUTED_VALUE"""),66.0)</f>
        <v>66</v>
      </c>
      <c r="F8286" s="19" t="str">
        <f>IFERROR(__xludf.DUMMYFUNCTION("""COMPUTED_VALUE"""),"BLACK")</f>
        <v>BLACK</v>
      </c>
      <c r="G8286" s="20" t="str">
        <f>IFERROR(__xludf.DUMMYFUNCTION("""COMPUTED_VALUE"""),"Uncle Sams Cider (5/13/2022)")</f>
        <v>Uncle Sams Cider (5/13/2022)</v>
      </c>
      <c r="H8286" s="19"/>
    </row>
    <row r="8287">
      <c r="A8287" s="9"/>
      <c r="B8287" s="15"/>
      <c r="C8287" s="9">
        <f>IFERROR(__xludf.DUMMYFUNCTION("""COMPUTED_VALUE"""),44710.2104934953)</f>
        <v>44710.21049</v>
      </c>
      <c r="D8287" s="15">
        <f>IFERROR(__xludf.DUMMYFUNCTION("""COMPUTED_VALUE"""),1.023)</f>
        <v>1.023</v>
      </c>
      <c r="E8287" s="16">
        <f>IFERROR(__xludf.DUMMYFUNCTION("""COMPUTED_VALUE"""),66.0)</f>
        <v>66</v>
      </c>
      <c r="F8287" s="19" t="str">
        <f>IFERROR(__xludf.DUMMYFUNCTION("""COMPUTED_VALUE"""),"BLACK")</f>
        <v>BLACK</v>
      </c>
      <c r="G8287" s="20" t="str">
        <f>IFERROR(__xludf.DUMMYFUNCTION("""COMPUTED_VALUE"""),"Uncle Sams Cider (5/13/2022)")</f>
        <v>Uncle Sams Cider (5/13/2022)</v>
      </c>
      <c r="H8287" s="19"/>
    </row>
    <row r="8288">
      <c r="A8288" s="9"/>
      <c r="B8288" s="15"/>
      <c r="C8288" s="9">
        <f>IFERROR(__xludf.DUMMYFUNCTION("""COMPUTED_VALUE"""),44710.2000730324)</f>
        <v>44710.20007</v>
      </c>
      <c r="D8288" s="15">
        <f>IFERROR(__xludf.DUMMYFUNCTION("""COMPUTED_VALUE"""),1.023)</f>
        <v>1.023</v>
      </c>
      <c r="E8288" s="16">
        <f>IFERROR(__xludf.DUMMYFUNCTION("""COMPUTED_VALUE"""),66.0)</f>
        <v>66</v>
      </c>
      <c r="F8288" s="19" t="str">
        <f>IFERROR(__xludf.DUMMYFUNCTION("""COMPUTED_VALUE"""),"BLACK")</f>
        <v>BLACK</v>
      </c>
      <c r="G8288" s="20" t="str">
        <f>IFERROR(__xludf.DUMMYFUNCTION("""COMPUTED_VALUE"""),"Uncle Sams Cider (5/13/2022)")</f>
        <v>Uncle Sams Cider (5/13/2022)</v>
      </c>
      <c r="H8288" s="19"/>
    </row>
    <row r="8289">
      <c r="A8289" s="9"/>
      <c r="B8289" s="15"/>
      <c r="C8289" s="9">
        <f>IFERROR(__xludf.DUMMYFUNCTION("""COMPUTED_VALUE"""),44710.1896389467)</f>
        <v>44710.18964</v>
      </c>
      <c r="D8289" s="15">
        <f>IFERROR(__xludf.DUMMYFUNCTION("""COMPUTED_VALUE"""),1.023)</f>
        <v>1.023</v>
      </c>
      <c r="E8289" s="16">
        <f>IFERROR(__xludf.DUMMYFUNCTION("""COMPUTED_VALUE"""),66.0)</f>
        <v>66</v>
      </c>
      <c r="F8289" s="19" t="str">
        <f>IFERROR(__xludf.DUMMYFUNCTION("""COMPUTED_VALUE"""),"BLACK")</f>
        <v>BLACK</v>
      </c>
      <c r="G8289" s="20" t="str">
        <f>IFERROR(__xludf.DUMMYFUNCTION("""COMPUTED_VALUE"""),"Uncle Sams Cider (5/13/2022)")</f>
        <v>Uncle Sams Cider (5/13/2022)</v>
      </c>
      <c r="H8289" s="19"/>
    </row>
    <row r="8290">
      <c r="A8290" s="9"/>
      <c r="B8290" s="15"/>
      <c r="C8290" s="9">
        <f>IFERROR(__xludf.DUMMYFUNCTION("""COMPUTED_VALUE"""),44710.1791954629)</f>
        <v>44710.1792</v>
      </c>
      <c r="D8290" s="15">
        <f>IFERROR(__xludf.DUMMYFUNCTION("""COMPUTED_VALUE"""),1.023)</f>
        <v>1.023</v>
      </c>
      <c r="E8290" s="16">
        <f>IFERROR(__xludf.DUMMYFUNCTION("""COMPUTED_VALUE"""),66.0)</f>
        <v>66</v>
      </c>
      <c r="F8290" s="19" t="str">
        <f>IFERROR(__xludf.DUMMYFUNCTION("""COMPUTED_VALUE"""),"BLACK")</f>
        <v>BLACK</v>
      </c>
      <c r="G8290" s="20" t="str">
        <f>IFERROR(__xludf.DUMMYFUNCTION("""COMPUTED_VALUE"""),"Uncle Sams Cider (5/13/2022)")</f>
        <v>Uncle Sams Cider (5/13/2022)</v>
      </c>
      <c r="H8290" s="19"/>
    </row>
    <row r="8291">
      <c r="A8291" s="9"/>
      <c r="B8291" s="15"/>
      <c r="C8291" s="9">
        <f>IFERROR(__xludf.DUMMYFUNCTION("""COMPUTED_VALUE"""),44710.1687640277)</f>
        <v>44710.16876</v>
      </c>
      <c r="D8291" s="15">
        <f>IFERROR(__xludf.DUMMYFUNCTION("""COMPUTED_VALUE"""),1.023)</f>
        <v>1.023</v>
      </c>
      <c r="E8291" s="16">
        <f>IFERROR(__xludf.DUMMYFUNCTION("""COMPUTED_VALUE"""),66.0)</f>
        <v>66</v>
      </c>
      <c r="F8291" s="19" t="str">
        <f>IFERROR(__xludf.DUMMYFUNCTION("""COMPUTED_VALUE"""),"BLACK")</f>
        <v>BLACK</v>
      </c>
      <c r="G8291" s="20" t="str">
        <f>IFERROR(__xludf.DUMMYFUNCTION("""COMPUTED_VALUE"""),"Uncle Sams Cider (5/13/2022)")</f>
        <v>Uncle Sams Cider (5/13/2022)</v>
      </c>
      <c r="H8291" s="19"/>
    </row>
    <row r="8292">
      <c r="A8292" s="9"/>
      <c r="B8292" s="15"/>
      <c r="C8292" s="9">
        <f>IFERROR(__xludf.DUMMYFUNCTION("""COMPUTED_VALUE"""),44710.1583410879)</f>
        <v>44710.15834</v>
      </c>
      <c r="D8292" s="15">
        <f>IFERROR(__xludf.DUMMYFUNCTION("""COMPUTED_VALUE"""),1.023)</f>
        <v>1.023</v>
      </c>
      <c r="E8292" s="16">
        <f>IFERROR(__xludf.DUMMYFUNCTION("""COMPUTED_VALUE"""),66.0)</f>
        <v>66</v>
      </c>
      <c r="F8292" s="19" t="str">
        <f>IFERROR(__xludf.DUMMYFUNCTION("""COMPUTED_VALUE"""),"BLACK")</f>
        <v>BLACK</v>
      </c>
      <c r="G8292" s="20" t="str">
        <f>IFERROR(__xludf.DUMMYFUNCTION("""COMPUTED_VALUE"""),"Uncle Sams Cider (5/13/2022)")</f>
        <v>Uncle Sams Cider (5/13/2022)</v>
      </c>
      <c r="H8292" s="19"/>
    </row>
    <row r="8293">
      <c r="A8293" s="9"/>
      <c r="B8293" s="15"/>
      <c r="C8293" s="9">
        <f>IFERROR(__xludf.DUMMYFUNCTION("""COMPUTED_VALUE"""),44710.1479197222)</f>
        <v>44710.14792</v>
      </c>
      <c r="D8293" s="15">
        <f>IFERROR(__xludf.DUMMYFUNCTION("""COMPUTED_VALUE"""),1.023)</f>
        <v>1.023</v>
      </c>
      <c r="E8293" s="16">
        <f>IFERROR(__xludf.DUMMYFUNCTION("""COMPUTED_VALUE"""),66.0)</f>
        <v>66</v>
      </c>
      <c r="F8293" s="19" t="str">
        <f>IFERROR(__xludf.DUMMYFUNCTION("""COMPUTED_VALUE"""),"BLACK")</f>
        <v>BLACK</v>
      </c>
      <c r="G8293" s="20" t="str">
        <f>IFERROR(__xludf.DUMMYFUNCTION("""COMPUTED_VALUE"""),"Uncle Sams Cider (5/13/2022)")</f>
        <v>Uncle Sams Cider (5/13/2022)</v>
      </c>
      <c r="H8293" s="19"/>
    </row>
    <row r="8294">
      <c r="A8294" s="9"/>
      <c r="B8294" s="15"/>
      <c r="C8294" s="9">
        <f>IFERROR(__xludf.DUMMYFUNCTION("""COMPUTED_VALUE"""),44710.1374774074)</f>
        <v>44710.13748</v>
      </c>
      <c r="D8294" s="15">
        <f>IFERROR(__xludf.DUMMYFUNCTION("""COMPUTED_VALUE"""),1.023)</f>
        <v>1.023</v>
      </c>
      <c r="E8294" s="16">
        <f>IFERROR(__xludf.DUMMYFUNCTION("""COMPUTED_VALUE"""),66.0)</f>
        <v>66</v>
      </c>
      <c r="F8294" s="19" t="str">
        <f>IFERROR(__xludf.DUMMYFUNCTION("""COMPUTED_VALUE"""),"BLACK")</f>
        <v>BLACK</v>
      </c>
      <c r="G8294" s="20" t="str">
        <f>IFERROR(__xludf.DUMMYFUNCTION("""COMPUTED_VALUE"""),"Uncle Sams Cider (5/13/2022)")</f>
        <v>Uncle Sams Cider (5/13/2022)</v>
      </c>
      <c r="H8294" s="19"/>
    </row>
    <row r="8295">
      <c r="A8295" s="9"/>
      <c r="B8295" s="15"/>
      <c r="C8295" s="9">
        <f>IFERROR(__xludf.DUMMYFUNCTION("""COMPUTED_VALUE"""),44710.1270439467)</f>
        <v>44710.12704</v>
      </c>
      <c r="D8295" s="15">
        <f>IFERROR(__xludf.DUMMYFUNCTION("""COMPUTED_VALUE"""),1.023)</f>
        <v>1.023</v>
      </c>
      <c r="E8295" s="16">
        <f>IFERROR(__xludf.DUMMYFUNCTION("""COMPUTED_VALUE"""),66.0)</f>
        <v>66</v>
      </c>
      <c r="F8295" s="19" t="str">
        <f>IFERROR(__xludf.DUMMYFUNCTION("""COMPUTED_VALUE"""),"BLACK")</f>
        <v>BLACK</v>
      </c>
      <c r="G8295" s="20" t="str">
        <f>IFERROR(__xludf.DUMMYFUNCTION("""COMPUTED_VALUE"""),"Uncle Sams Cider (5/13/2022)")</f>
        <v>Uncle Sams Cider (5/13/2022)</v>
      </c>
      <c r="H8295" s="19"/>
    </row>
    <row r="8296">
      <c r="A8296" s="9"/>
      <c r="B8296" s="15"/>
      <c r="C8296" s="9">
        <f>IFERROR(__xludf.DUMMYFUNCTION("""COMPUTED_VALUE"""),44710.1166241435)</f>
        <v>44710.11662</v>
      </c>
      <c r="D8296" s="15">
        <f>IFERROR(__xludf.DUMMYFUNCTION("""COMPUTED_VALUE"""),1.023)</f>
        <v>1.023</v>
      </c>
      <c r="E8296" s="16">
        <f>IFERROR(__xludf.DUMMYFUNCTION("""COMPUTED_VALUE"""),66.0)</f>
        <v>66</v>
      </c>
      <c r="F8296" s="19" t="str">
        <f>IFERROR(__xludf.DUMMYFUNCTION("""COMPUTED_VALUE"""),"BLACK")</f>
        <v>BLACK</v>
      </c>
      <c r="G8296" s="20" t="str">
        <f>IFERROR(__xludf.DUMMYFUNCTION("""COMPUTED_VALUE"""),"Uncle Sams Cider (5/13/2022)")</f>
        <v>Uncle Sams Cider (5/13/2022)</v>
      </c>
      <c r="H8296" s="19"/>
    </row>
    <row r="8297">
      <c r="A8297" s="9"/>
      <c r="B8297" s="15"/>
      <c r="C8297" s="9">
        <f>IFERROR(__xludf.DUMMYFUNCTION("""COMPUTED_VALUE"""),44710.1061229629)</f>
        <v>44710.10612</v>
      </c>
      <c r="D8297" s="15">
        <f>IFERROR(__xludf.DUMMYFUNCTION("""COMPUTED_VALUE"""),1.023)</f>
        <v>1.023</v>
      </c>
      <c r="E8297" s="16">
        <f>IFERROR(__xludf.DUMMYFUNCTION("""COMPUTED_VALUE"""),66.0)</f>
        <v>66</v>
      </c>
      <c r="F8297" s="19" t="str">
        <f>IFERROR(__xludf.DUMMYFUNCTION("""COMPUTED_VALUE"""),"BLACK")</f>
        <v>BLACK</v>
      </c>
      <c r="G8297" s="20" t="str">
        <f>IFERROR(__xludf.DUMMYFUNCTION("""COMPUTED_VALUE"""),"Uncle Sams Cider (5/13/2022)")</f>
        <v>Uncle Sams Cider (5/13/2022)</v>
      </c>
      <c r="H8297" s="19"/>
    </row>
    <row r="8298">
      <c r="A8298" s="9"/>
      <c r="B8298" s="15"/>
      <c r="C8298" s="9">
        <f>IFERROR(__xludf.DUMMYFUNCTION("""COMPUTED_VALUE"""),44710.0957008564)</f>
        <v>44710.0957</v>
      </c>
      <c r="D8298" s="15">
        <f>IFERROR(__xludf.DUMMYFUNCTION("""COMPUTED_VALUE"""),1.023)</f>
        <v>1.023</v>
      </c>
      <c r="E8298" s="16">
        <f>IFERROR(__xludf.DUMMYFUNCTION("""COMPUTED_VALUE"""),66.0)</f>
        <v>66</v>
      </c>
      <c r="F8298" s="19" t="str">
        <f>IFERROR(__xludf.DUMMYFUNCTION("""COMPUTED_VALUE"""),"BLACK")</f>
        <v>BLACK</v>
      </c>
      <c r="G8298" s="20" t="str">
        <f>IFERROR(__xludf.DUMMYFUNCTION("""COMPUTED_VALUE"""),"Uncle Sams Cider (5/13/2022)")</f>
        <v>Uncle Sams Cider (5/13/2022)</v>
      </c>
      <c r="H8298" s="19"/>
    </row>
    <row r="8299">
      <c r="A8299" s="9"/>
      <c r="B8299" s="15"/>
      <c r="C8299" s="9">
        <f>IFERROR(__xludf.DUMMYFUNCTION("""COMPUTED_VALUE"""),44710.0852798032)</f>
        <v>44710.08528</v>
      </c>
      <c r="D8299" s="15">
        <f>IFERROR(__xludf.DUMMYFUNCTION("""COMPUTED_VALUE"""),1.023)</f>
        <v>1.023</v>
      </c>
      <c r="E8299" s="16">
        <f>IFERROR(__xludf.DUMMYFUNCTION("""COMPUTED_VALUE"""),66.0)</f>
        <v>66</v>
      </c>
      <c r="F8299" s="19" t="str">
        <f>IFERROR(__xludf.DUMMYFUNCTION("""COMPUTED_VALUE"""),"BLACK")</f>
        <v>BLACK</v>
      </c>
      <c r="G8299" s="20" t="str">
        <f>IFERROR(__xludf.DUMMYFUNCTION("""COMPUTED_VALUE"""),"Uncle Sams Cider (5/13/2022)")</f>
        <v>Uncle Sams Cider (5/13/2022)</v>
      </c>
      <c r="H8299" s="19"/>
    </row>
    <row r="8300">
      <c r="A8300" s="9"/>
      <c r="B8300" s="15"/>
      <c r="C8300" s="9">
        <f>IFERROR(__xludf.DUMMYFUNCTION("""COMPUTED_VALUE"""),44710.0748474884)</f>
        <v>44710.07485</v>
      </c>
      <c r="D8300" s="15">
        <f>IFERROR(__xludf.DUMMYFUNCTION("""COMPUTED_VALUE"""),1.023)</f>
        <v>1.023</v>
      </c>
      <c r="E8300" s="16">
        <f>IFERROR(__xludf.DUMMYFUNCTION("""COMPUTED_VALUE"""),66.0)</f>
        <v>66</v>
      </c>
      <c r="F8300" s="19" t="str">
        <f>IFERROR(__xludf.DUMMYFUNCTION("""COMPUTED_VALUE"""),"BLACK")</f>
        <v>BLACK</v>
      </c>
      <c r="G8300" s="20" t="str">
        <f>IFERROR(__xludf.DUMMYFUNCTION("""COMPUTED_VALUE"""),"Uncle Sams Cider (5/13/2022)")</f>
        <v>Uncle Sams Cider (5/13/2022)</v>
      </c>
      <c r="H8300" s="19"/>
    </row>
    <row r="8301">
      <c r="A8301" s="9"/>
      <c r="B8301" s="15"/>
      <c r="C8301" s="9">
        <f>IFERROR(__xludf.DUMMYFUNCTION("""COMPUTED_VALUE"""),44710.0644256713)</f>
        <v>44710.06443</v>
      </c>
      <c r="D8301" s="15">
        <f>IFERROR(__xludf.DUMMYFUNCTION("""COMPUTED_VALUE"""),1.023)</f>
        <v>1.023</v>
      </c>
      <c r="E8301" s="16">
        <f>IFERROR(__xludf.DUMMYFUNCTION("""COMPUTED_VALUE"""),66.0)</f>
        <v>66</v>
      </c>
      <c r="F8301" s="19" t="str">
        <f>IFERROR(__xludf.DUMMYFUNCTION("""COMPUTED_VALUE"""),"BLACK")</f>
        <v>BLACK</v>
      </c>
      <c r="G8301" s="20" t="str">
        <f>IFERROR(__xludf.DUMMYFUNCTION("""COMPUTED_VALUE"""),"Uncle Sams Cider (5/13/2022)")</f>
        <v>Uncle Sams Cider (5/13/2022)</v>
      </c>
      <c r="H8301" s="19"/>
    </row>
    <row r="8302">
      <c r="A8302" s="9"/>
      <c r="B8302" s="15"/>
      <c r="C8302" s="9">
        <f>IFERROR(__xludf.DUMMYFUNCTION("""COMPUTED_VALUE"""),44710.0539935763)</f>
        <v>44710.05399</v>
      </c>
      <c r="D8302" s="15">
        <f>IFERROR(__xludf.DUMMYFUNCTION("""COMPUTED_VALUE"""),1.023)</f>
        <v>1.023</v>
      </c>
      <c r="E8302" s="16">
        <f>IFERROR(__xludf.DUMMYFUNCTION("""COMPUTED_VALUE"""),66.0)</f>
        <v>66</v>
      </c>
      <c r="F8302" s="19" t="str">
        <f>IFERROR(__xludf.DUMMYFUNCTION("""COMPUTED_VALUE"""),"BLACK")</f>
        <v>BLACK</v>
      </c>
      <c r="G8302" s="20" t="str">
        <f>IFERROR(__xludf.DUMMYFUNCTION("""COMPUTED_VALUE"""),"Uncle Sams Cider (5/13/2022)")</f>
        <v>Uncle Sams Cider (5/13/2022)</v>
      </c>
      <c r="H8302" s="19"/>
    </row>
    <row r="8303">
      <c r="A8303" s="9"/>
      <c r="B8303" s="15"/>
      <c r="C8303" s="9">
        <f>IFERROR(__xludf.DUMMYFUNCTION("""COMPUTED_VALUE"""),44710.0435722916)</f>
        <v>44710.04357</v>
      </c>
      <c r="D8303" s="15">
        <f>IFERROR(__xludf.DUMMYFUNCTION("""COMPUTED_VALUE"""),1.023)</f>
        <v>1.023</v>
      </c>
      <c r="E8303" s="16">
        <f>IFERROR(__xludf.DUMMYFUNCTION("""COMPUTED_VALUE"""),66.0)</f>
        <v>66</v>
      </c>
      <c r="F8303" s="19" t="str">
        <f>IFERROR(__xludf.DUMMYFUNCTION("""COMPUTED_VALUE"""),"BLACK")</f>
        <v>BLACK</v>
      </c>
      <c r="G8303" s="20" t="str">
        <f>IFERROR(__xludf.DUMMYFUNCTION("""COMPUTED_VALUE"""),"Uncle Sams Cider (5/13/2022)")</f>
        <v>Uncle Sams Cider (5/13/2022)</v>
      </c>
      <c r="H8303" s="19"/>
    </row>
    <row r="8304">
      <c r="A8304" s="9"/>
      <c r="B8304" s="15"/>
      <c r="C8304" s="9">
        <f>IFERROR(__xludf.DUMMYFUNCTION("""COMPUTED_VALUE"""),44710.0331382754)</f>
        <v>44710.03314</v>
      </c>
      <c r="D8304" s="15">
        <f>IFERROR(__xludf.DUMMYFUNCTION("""COMPUTED_VALUE"""),1.023)</f>
        <v>1.023</v>
      </c>
      <c r="E8304" s="16">
        <f>IFERROR(__xludf.DUMMYFUNCTION("""COMPUTED_VALUE"""),66.0)</f>
        <v>66</v>
      </c>
      <c r="F8304" s="19" t="str">
        <f>IFERROR(__xludf.DUMMYFUNCTION("""COMPUTED_VALUE"""),"BLACK")</f>
        <v>BLACK</v>
      </c>
      <c r="G8304" s="20" t="str">
        <f>IFERROR(__xludf.DUMMYFUNCTION("""COMPUTED_VALUE"""),"Uncle Sams Cider (5/13/2022)")</f>
        <v>Uncle Sams Cider (5/13/2022)</v>
      </c>
      <c r="H8304" s="19"/>
    </row>
    <row r="8305">
      <c r="A8305" s="9"/>
      <c r="B8305" s="15"/>
      <c r="C8305" s="9">
        <f>IFERROR(__xludf.DUMMYFUNCTION("""COMPUTED_VALUE"""),44710.0227053935)</f>
        <v>44710.02271</v>
      </c>
      <c r="D8305" s="15">
        <f>IFERROR(__xludf.DUMMYFUNCTION("""COMPUTED_VALUE"""),1.023)</f>
        <v>1.023</v>
      </c>
      <c r="E8305" s="16">
        <f>IFERROR(__xludf.DUMMYFUNCTION("""COMPUTED_VALUE"""),66.0)</f>
        <v>66</v>
      </c>
      <c r="F8305" s="19" t="str">
        <f>IFERROR(__xludf.DUMMYFUNCTION("""COMPUTED_VALUE"""),"BLACK")</f>
        <v>BLACK</v>
      </c>
      <c r="G8305" s="20" t="str">
        <f>IFERROR(__xludf.DUMMYFUNCTION("""COMPUTED_VALUE"""),"Uncle Sams Cider (5/13/2022)")</f>
        <v>Uncle Sams Cider (5/13/2022)</v>
      </c>
      <c r="H8305" s="19"/>
    </row>
    <row r="8306">
      <c r="A8306" s="9"/>
      <c r="B8306" s="15"/>
      <c r="C8306" s="9">
        <f>IFERROR(__xludf.DUMMYFUNCTION("""COMPUTED_VALUE"""),44710.0122811689)</f>
        <v>44710.01228</v>
      </c>
      <c r="D8306" s="15">
        <f>IFERROR(__xludf.DUMMYFUNCTION("""COMPUTED_VALUE"""),1.023)</f>
        <v>1.023</v>
      </c>
      <c r="E8306" s="16">
        <f>IFERROR(__xludf.DUMMYFUNCTION("""COMPUTED_VALUE"""),66.0)</f>
        <v>66</v>
      </c>
      <c r="F8306" s="19" t="str">
        <f>IFERROR(__xludf.DUMMYFUNCTION("""COMPUTED_VALUE"""),"BLACK")</f>
        <v>BLACK</v>
      </c>
      <c r="G8306" s="20" t="str">
        <f>IFERROR(__xludf.DUMMYFUNCTION("""COMPUTED_VALUE"""),"Uncle Sams Cider (5/13/2022)")</f>
        <v>Uncle Sams Cider (5/13/2022)</v>
      </c>
      <c r="H8306" s="19"/>
    </row>
    <row r="8307">
      <c r="A8307" s="9"/>
      <c r="B8307" s="15"/>
      <c r="C8307" s="9">
        <f>IFERROR(__xludf.DUMMYFUNCTION("""COMPUTED_VALUE"""),44710.0018601851)</f>
        <v>44710.00186</v>
      </c>
      <c r="D8307" s="15">
        <f>IFERROR(__xludf.DUMMYFUNCTION("""COMPUTED_VALUE"""),1.024)</f>
        <v>1.024</v>
      </c>
      <c r="E8307" s="16">
        <f>IFERROR(__xludf.DUMMYFUNCTION("""COMPUTED_VALUE"""),66.0)</f>
        <v>66</v>
      </c>
      <c r="F8307" s="19" t="str">
        <f>IFERROR(__xludf.DUMMYFUNCTION("""COMPUTED_VALUE"""),"BLACK")</f>
        <v>BLACK</v>
      </c>
      <c r="G8307" s="20" t="str">
        <f>IFERROR(__xludf.DUMMYFUNCTION("""COMPUTED_VALUE"""),"Uncle Sams Cider (5/13/2022)")</f>
        <v>Uncle Sams Cider (5/13/2022)</v>
      </c>
      <c r="H8307" s="19"/>
    </row>
    <row r="8308">
      <c r="A8308" s="9"/>
      <c r="B8308" s="15"/>
      <c r="C8308" s="9">
        <f>IFERROR(__xludf.DUMMYFUNCTION("""COMPUTED_VALUE"""),44709.99143853)</f>
        <v>44709.99144</v>
      </c>
      <c r="D8308" s="15">
        <f>IFERROR(__xludf.DUMMYFUNCTION("""COMPUTED_VALUE"""),1.023)</f>
        <v>1.023</v>
      </c>
      <c r="E8308" s="16">
        <f>IFERROR(__xludf.DUMMYFUNCTION("""COMPUTED_VALUE"""),66.0)</f>
        <v>66</v>
      </c>
      <c r="F8308" s="19" t="str">
        <f>IFERROR(__xludf.DUMMYFUNCTION("""COMPUTED_VALUE"""),"BLACK")</f>
        <v>BLACK</v>
      </c>
      <c r="G8308" s="20" t="str">
        <f>IFERROR(__xludf.DUMMYFUNCTION("""COMPUTED_VALUE"""),"Uncle Sams Cider (5/13/2022)")</f>
        <v>Uncle Sams Cider (5/13/2022)</v>
      </c>
      <c r="H8308" s="19"/>
    </row>
    <row r="8309">
      <c r="A8309" s="9"/>
      <c r="B8309" s="15"/>
      <c r="C8309" s="9">
        <f>IFERROR(__xludf.DUMMYFUNCTION("""COMPUTED_VALUE"""),44709.9810186226)</f>
        <v>44709.98102</v>
      </c>
      <c r="D8309" s="15">
        <f>IFERROR(__xludf.DUMMYFUNCTION("""COMPUTED_VALUE"""),1.024)</f>
        <v>1.024</v>
      </c>
      <c r="E8309" s="16">
        <f>IFERROR(__xludf.DUMMYFUNCTION("""COMPUTED_VALUE"""),66.0)</f>
        <v>66</v>
      </c>
      <c r="F8309" s="19" t="str">
        <f>IFERROR(__xludf.DUMMYFUNCTION("""COMPUTED_VALUE"""),"BLACK")</f>
        <v>BLACK</v>
      </c>
      <c r="G8309" s="20" t="str">
        <f>IFERROR(__xludf.DUMMYFUNCTION("""COMPUTED_VALUE"""),"Uncle Sams Cider (5/13/2022)")</f>
        <v>Uncle Sams Cider (5/13/2022)</v>
      </c>
      <c r="H8309" s="19"/>
    </row>
    <row r="8310">
      <c r="A8310" s="9"/>
      <c r="B8310" s="15"/>
      <c r="C8310" s="9">
        <f>IFERROR(__xludf.DUMMYFUNCTION("""COMPUTED_VALUE"""),44709.9705864004)</f>
        <v>44709.97059</v>
      </c>
      <c r="D8310" s="15">
        <f>IFERROR(__xludf.DUMMYFUNCTION("""COMPUTED_VALUE"""),1.023)</f>
        <v>1.023</v>
      </c>
      <c r="E8310" s="16">
        <f>IFERROR(__xludf.DUMMYFUNCTION("""COMPUTED_VALUE"""),66.0)</f>
        <v>66</v>
      </c>
      <c r="F8310" s="19" t="str">
        <f>IFERROR(__xludf.DUMMYFUNCTION("""COMPUTED_VALUE"""),"BLACK")</f>
        <v>BLACK</v>
      </c>
      <c r="G8310" s="20" t="str">
        <f>IFERROR(__xludf.DUMMYFUNCTION("""COMPUTED_VALUE"""),"Uncle Sams Cider (5/13/2022)")</f>
        <v>Uncle Sams Cider (5/13/2022)</v>
      </c>
      <c r="H8310" s="19"/>
    </row>
    <row r="8311">
      <c r="A8311" s="9"/>
      <c r="B8311" s="15"/>
      <c r="C8311" s="9">
        <f>IFERROR(__xludf.DUMMYFUNCTION("""COMPUTED_VALUE"""),44709.9601547106)</f>
        <v>44709.96015</v>
      </c>
      <c r="D8311" s="15">
        <f>IFERROR(__xludf.DUMMYFUNCTION("""COMPUTED_VALUE"""),1.023)</f>
        <v>1.023</v>
      </c>
      <c r="E8311" s="16">
        <f>IFERROR(__xludf.DUMMYFUNCTION("""COMPUTED_VALUE"""),66.0)</f>
        <v>66</v>
      </c>
      <c r="F8311" s="19" t="str">
        <f>IFERROR(__xludf.DUMMYFUNCTION("""COMPUTED_VALUE"""),"BLACK")</f>
        <v>BLACK</v>
      </c>
      <c r="G8311" s="20" t="str">
        <f>IFERROR(__xludf.DUMMYFUNCTION("""COMPUTED_VALUE"""),"Uncle Sams Cider (5/13/2022)")</f>
        <v>Uncle Sams Cider (5/13/2022)</v>
      </c>
      <c r="H8311" s="19"/>
    </row>
    <row r="8312">
      <c r="A8312" s="9"/>
      <c r="B8312" s="15"/>
      <c r="C8312" s="9">
        <f>IFERROR(__xludf.DUMMYFUNCTION("""COMPUTED_VALUE"""),44709.9497332291)</f>
        <v>44709.94973</v>
      </c>
      <c r="D8312" s="15">
        <f>IFERROR(__xludf.DUMMYFUNCTION("""COMPUTED_VALUE"""),1.024)</f>
        <v>1.024</v>
      </c>
      <c r="E8312" s="16">
        <f>IFERROR(__xludf.DUMMYFUNCTION("""COMPUTED_VALUE"""),66.0)</f>
        <v>66</v>
      </c>
      <c r="F8312" s="19" t="str">
        <f>IFERROR(__xludf.DUMMYFUNCTION("""COMPUTED_VALUE"""),"BLACK")</f>
        <v>BLACK</v>
      </c>
      <c r="G8312" s="20" t="str">
        <f>IFERROR(__xludf.DUMMYFUNCTION("""COMPUTED_VALUE"""),"Uncle Sams Cider (5/13/2022)")</f>
        <v>Uncle Sams Cider (5/13/2022)</v>
      </c>
      <c r="H8312" s="19"/>
    </row>
    <row r="8313">
      <c r="A8313" s="9"/>
      <c r="B8313" s="15"/>
      <c r="C8313" s="9">
        <f>IFERROR(__xludf.DUMMYFUNCTION("""COMPUTED_VALUE"""),44709.9392993402)</f>
        <v>44709.9393</v>
      </c>
      <c r="D8313" s="15">
        <f>IFERROR(__xludf.DUMMYFUNCTION("""COMPUTED_VALUE"""),1.024)</f>
        <v>1.024</v>
      </c>
      <c r="E8313" s="16">
        <f>IFERROR(__xludf.DUMMYFUNCTION("""COMPUTED_VALUE"""),66.0)</f>
        <v>66</v>
      </c>
      <c r="F8313" s="19" t="str">
        <f>IFERROR(__xludf.DUMMYFUNCTION("""COMPUTED_VALUE"""),"BLACK")</f>
        <v>BLACK</v>
      </c>
      <c r="G8313" s="20" t="str">
        <f>IFERROR(__xludf.DUMMYFUNCTION("""COMPUTED_VALUE"""),"Uncle Sams Cider (5/13/2022)")</f>
        <v>Uncle Sams Cider (5/13/2022)</v>
      </c>
      <c r="H8313" s="19"/>
    </row>
    <row r="8314">
      <c r="A8314" s="9"/>
      <c r="B8314" s="15"/>
      <c r="C8314" s="9">
        <f>IFERROR(__xludf.DUMMYFUNCTION("""COMPUTED_VALUE"""),44709.9288774189)</f>
        <v>44709.92888</v>
      </c>
      <c r="D8314" s="15">
        <f>IFERROR(__xludf.DUMMYFUNCTION("""COMPUTED_VALUE"""),1.023)</f>
        <v>1.023</v>
      </c>
      <c r="E8314" s="16">
        <f>IFERROR(__xludf.DUMMYFUNCTION("""COMPUTED_VALUE"""),66.0)</f>
        <v>66</v>
      </c>
      <c r="F8314" s="19" t="str">
        <f>IFERROR(__xludf.DUMMYFUNCTION("""COMPUTED_VALUE"""),"BLACK")</f>
        <v>BLACK</v>
      </c>
      <c r="G8314" s="20" t="str">
        <f>IFERROR(__xludf.DUMMYFUNCTION("""COMPUTED_VALUE"""),"Uncle Sams Cider (5/13/2022)")</f>
        <v>Uncle Sams Cider (5/13/2022)</v>
      </c>
      <c r="H8314" s="19"/>
    </row>
    <row r="8315">
      <c r="A8315" s="9"/>
      <c r="B8315" s="15"/>
      <c r="C8315" s="9">
        <f>IFERROR(__xludf.DUMMYFUNCTION("""COMPUTED_VALUE"""),44709.9184553935)</f>
        <v>44709.91846</v>
      </c>
      <c r="D8315" s="15">
        <f>IFERROR(__xludf.DUMMYFUNCTION("""COMPUTED_VALUE"""),1.024)</f>
        <v>1.024</v>
      </c>
      <c r="E8315" s="16">
        <f>IFERROR(__xludf.DUMMYFUNCTION("""COMPUTED_VALUE"""),66.0)</f>
        <v>66</v>
      </c>
      <c r="F8315" s="19" t="str">
        <f>IFERROR(__xludf.DUMMYFUNCTION("""COMPUTED_VALUE"""),"BLACK")</f>
        <v>BLACK</v>
      </c>
      <c r="G8315" s="20" t="str">
        <f>IFERROR(__xludf.DUMMYFUNCTION("""COMPUTED_VALUE"""),"Uncle Sams Cider (5/13/2022)")</f>
        <v>Uncle Sams Cider (5/13/2022)</v>
      </c>
      <c r="H8315" s="19"/>
    </row>
    <row r="8316">
      <c r="A8316" s="9"/>
      <c r="B8316" s="15"/>
      <c r="C8316" s="9">
        <f>IFERROR(__xludf.DUMMYFUNCTION("""COMPUTED_VALUE"""),44709.9080343055)</f>
        <v>44709.90803</v>
      </c>
      <c r="D8316" s="15">
        <f>IFERROR(__xludf.DUMMYFUNCTION("""COMPUTED_VALUE"""),1.024)</f>
        <v>1.024</v>
      </c>
      <c r="E8316" s="16">
        <f>IFERROR(__xludf.DUMMYFUNCTION("""COMPUTED_VALUE"""),66.0)</f>
        <v>66</v>
      </c>
      <c r="F8316" s="19" t="str">
        <f>IFERROR(__xludf.DUMMYFUNCTION("""COMPUTED_VALUE"""),"BLACK")</f>
        <v>BLACK</v>
      </c>
      <c r="G8316" s="20" t="str">
        <f>IFERROR(__xludf.DUMMYFUNCTION("""COMPUTED_VALUE"""),"Uncle Sams Cider (5/13/2022)")</f>
        <v>Uncle Sams Cider (5/13/2022)</v>
      </c>
      <c r="H8316" s="19"/>
    </row>
    <row r="8317">
      <c r="A8317" s="9"/>
      <c r="B8317" s="15"/>
      <c r="C8317" s="9">
        <f>IFERROR(__xludf.DUMMYFUNCTION("""COMPUTED_VALUE"""),44709.8976006828)</f>
        <v>44709.8976</v>
      </c>
      <c r="D8317" s="15">
        <f>IFERROR(__xludf.DUMMYFUNCTION("""COMPUTED_VALUE"""),1.024)</f>
        <v>1.024</v>
      </c>
      <c r="E8317" s="16">
        <f>IFERROR(__xludf.DUMMYFUNCTION("""COMPUTED_VALUE"""),66.0)</f>
        <v>66</v>
      </c>
      <c r="F8317" s="19" t="str">
        <f>IFERROR(__xludf.DUMMYFUNCTION("""COMPUTED_VALUE"""),"BLACK")</f>
        <v>BLACK</v>
      </c>
      <c r="G8317" s="20" t="str">
        <f>IFERROR(__xludf.DUMMYFUNCTION("""COMPUTED_VALUE"""),"Uncle Sams Cider (5/13/2022)")</f>
        <v>Uncle Sams Cider (5/13/2022)</v>
      </c>
      <c r="H8317" s="19"/>
    </row>
    <row r="8318">
      <c r="A8318" s="9"/>
      <c r="B8318" s="15"/>
      <c r="C8318" s="9">
        <f>IFERROR(__xludf.DUMMYFUNCTION("""COMPUTED_VALUE"""),44709.8871681365)</f>
        <v>44709.88717</v>
      </c>
      <c r="D8318" s="15">
        <f>IFERROR(__xludf.DUMMYFUNCTION("""COMPUTED_VALUE"""),1.024)</f>
        <v>1.024</v>
      </c>
      <c r="E8318" s="16">
        <f>IFERROR(__xludf.DUMMYFUNCTION("""COMPUTED_VALUE"""),66.0)</f>
        <v>66</v>
      </c>
      <c r="F8318" s="19" t="str">
        <f>IFERROR(__xludf.DUMMYFUNCTION("""COMPUTED_VALUE"""),"BLACK")</f>
        <v>BLACK</v>
      </c>
      <c r="G8318" s="20" t="str">
        <f>IFERROR(__xludf.DUMMYFUNCTION("""COMPUTED_VALUE"""),"Uncle Sams Cider (5/13/2022)")</f>
        <v>Uncle Sams Cider (5/13/2022)</v>
      </c>
      <c r="H8318" s="19"/>
    </row>
    <row r="8319">
      <c r="A8319" s="9"/>
      <c r="B8319" s="15"/>
      <c r="C8319" s="9">
        <f>IFERROR(__xludf.DUMMYFUNCTION("""COMPUTED_VALUE"""),44709.8767239236)</f>
        <v>44709.87672</v>
      </c>
      <c r="D8319" s="15">
        <f>IFERROR(__xludf.DUMMYFUNCTION("""COMPUTED_VALUE"""),1.024)</f>
        <v>1.024</v>
      </c>
      <c r="E8319" s="16">
        <f>IFERROR(__xludf.DUMMYFUNCTION("""COMPUTED_VALUE"""),66.0)</f>
        <v>66</v>
      </c>
      <c r="F8319" s="19" t="str">
        <f>IFERROR(__xludf.DUMMYFUNCTION("""COMPUTED_VALUE"""),"BLACK")</f>
        <v>BLACK</v>
      </c>
      <c r="G8319" s="20" t="str">
        <f>IFERROR(__xludf.DUMMYFUNCTION("""COMPUTED_VALUE"""),"Uncle Sams Cider (5/13/2022)")</f>
        <v>Uncle Sams Cider (5/13/2022)</v>
      </c>
      <c r="H8319" s="19"/>
    </row>
    <row r="8320">
      <c r="A8320" s="9"/>
      <c r="B8320" s="15"/>
      <c r="C8320" s="9">
        <f>IFERROR(__xludf.DUMMYFUNCTION("""COMPUTED_VALUE"""),44709.8662789351)</f>
        <v>44709.86628</v>
      </c>
      <c r="D8320" s="15">
        <f>IFERROR(__xludf.DUMMYFUNCTION("""COMPUTED_VALUE"""),1.024)</f>
        <v>1.024</v>
      </c>
      <c r="E8320" s="16">
        <f>IFERROR(__xludf.DUMMYFUNCTION("""COMPUTED_VALUE"""),66.0)</f>
        <v>66</v>
      </c>
      <c r="F8320" s="19" t="str">
        <f>IFERROR(__xludf.DUMMYFUNCTION("""COMPUTED_VALUE"""),"BLACK")</f>
        <v>BLACK</v>
      </c>
      <c r="G8320" s="20" t="str">
        <f>IFERROR(__xludf.DUMMYFUNCTION("""COMPUTED_VALUE"""),"Uncle Sams Cider (5/13/2022)")</f>
        <v>Uncle Sams Cider (5/13/2022)</v>
      </c>
      <c r="H8320" s="19"/>
    </row>
    <row r="8321">
      <c r="A8321" s="9"/>
      <c r="B8321" s="15"/>
      <c r="C8321" s="9">
        <f>IFERROR(__xludf.DUMMYFUNCTION("""COMPUTED_VALUE"""),44709.855822199)</f>
        <v>44709.85582</v>
      </c>
      <c r="D8321" s="15">
        <f>IFERROR(__xludf.DUMMYFUNCTION("""COMPUTED_VALUE"""),1.024)</f>
        <v>1.024</v>
      </c>
      <c r="E8321" s="16">
        <f>IFERROR(__xludf.DUMMYFUNCTION("""COMPUTED_VALUE"""),66.0)</f>
        <v>66</v>
      </c>
      <c r="F8321" s="19" t="str">
        <f>IFERROR(__xludf.DUMMYFUNCTION("""COMPUTED_VALUE"""),"BLACK")</f>
        <v>BLACK</v>
      </c>
      <c r="G8321" s="20" t="str">
        <f>IFERROR(__xludf.DUMMYFUNCTION("""COMPUTED_VALUE"""),"Uncle Sams Cider (5/13/2022)")</f>
        <v>Uncle Sams Cider (5/13/2022)</v>
      </c>
      <c r="H8321" s="19"/>
    </row>
    <row r="8322">
      <c r="A8322" s="9"/>
      <c r="B8322" s="15"/>
      <c r="C8322" s="9">
        <f>IFERROR(__xludf.DUMMYFUNCTION("""COMPUTED_VALUE"""),44709.8454001504)</f>
        <v>44709.8454</v>
      </c>
      <c r="D8322" s="15">
        <f>IFERROR(__xludf.DUMMYFUNCTION("""COMPUTED_VALUE"""),1.024)</f>
        <v>1.024</v>
      </c>
      <c r="E8322" s="16">
        <f>IFERROR(__xludf.DUMMYFUNCTION("""COMPUTED_VALUE"""),66.0)</f>
        <v>66</v>
      </c>
      <c r="F8322" s="19" t="str">
        <f>IFERROR(__xludf.DUMMYFUNCTION("""COMPUTED_VALUE"""),"BLACK")</f>
        <v>BLACK</v>
      </c>
      <c r="G8322" s="20" t="str">
        <f>IFERROR(__xludf.DUMMYFUNCTION("""COMPUTED_VALUE"""),"Uncle Sams Cider (5/13/2022)")</f>
        <v>Uncle Sams Cider (5/13/2022)</v>
      </c>
      <c r="H8322" s="19"/>
    </row>
    <row r="8323">
      <c r="A8323" s="9"/>
      <c r="B8323" s="15"/>
      <c r="C8323" s="9">
        <f>IFERROR(__xludf.DUMMYFUNCTION("""COMPUTED_VALUE"""),44709.8349774305)</f>
        <v>44709.83498</v>
      </c>
      <c r="D8323" s="15">
        <f>IFERROR(__xludf.DUMMYFUNCTION("""COMPUTED_VALUE"""),1.024)</f>
        <v>1.024</v>
      </c>
      <c r="E8323" s="16">
        <f>IFERROR(__xludf.DUMMYFUNCTION("""COMPUTED_VALUE"""),65.0)</f>
        <v>65</v>
      </c>
      <c r="F8323" s="19" t="str">
        <f>IFERROR(__xludf.DUMMYFUNCTION("""COMPUTED_VALUE"""),"BLACK")</f>
        <v>BLACK</v>
      </c>
      <c r="G8323" s="20" t="str">
        <f>IFERROR(__xludf.DUMMYFUNCTION("""COMPUTED_VALUE"""),"Uncle Sams Cider (5/13/2022)")</f>
        <v>Uncle Sams Cider (5/13/2022)</v>
      </c>
      <c r="H8323" s="19"/>
    </row>
    <row r="8324">
      <c r="A8324" s="9"/>
      <c r="B8324" s="15"/>
      <c r="C8324" s="9">
        <f>IFERROR(__xludf.DUMMYFUNCTION("""COMPUTED_VALUE"""),44709.824555787)</f>
        <v>44709.82456</v>
      </c>
      <c r="D8324" s="15">
        <f>IFERROR(__xludf.DUMMYFUNCTION("""COMPUTED_VALUE"""),1.024)</f>
        <v>1.024</v>
      </c>
      <c r="E8324" s="16">
        <f>IFERROR(__xludf.DUMMYFUNCTION("""COMPUTED_VALUE"""),65.0)</f>
        <v>65</v>
      </c>
      <c r="F8324" s="19" t="str">
        <f>IFERROR(__xludf.DUMMYFUNCTION("""COMPUTED_VALUE"""),"BLACK")</f>
        <v>BLACK</v>
      </c>
      <c r="G8324" s="20" t="str">
        <f>IFERROR(__xludf.DUMMYFUNCTION("""COMPUTED_VALUE"""),"Uncle Sams Cider (5/13/2022)")</f>
        <v>Uncle Sams Cider (5/13/2022)</v>
      </c>
      <c r="H8324" s="19"/>
    </row>
    <row r="8325">
      <c r="A8325" s="9"/>
      <c r="B8325" s="15"/>
      <c r="C8325" s="9">
        <f>IFERROR(__xludf.DUMMYFUNCTION("""COMPUTED_VALUE"""),44709.8141333912)</f>
        <v>44709.81413</v>
      </c>
      <c r="D8325" s="15">
        <f>IFERROR(__xludf.DUMMYFUNCTION("""COMPUTED_VALUE"""),1.024)</f>
        <v>1.024</v>
      </c>
      <c r="E8325" s="16">
        <f>IFERROR(__xludf.DUMMYFUNCTION("""COMPUTED_VALUE"""),65.0)</f>
        <v>65</v>
      </c>
      <c r="F8325" s="19" t="str">
        <f>IFERROR(__xludf.DUMMYFUNCTION("""COMPUTED_VALUE"""),"BLACK")</f>
        <v>BLACK</v>
      </c>
      <c r="G8325" s="20" t="str">
        <f>IFERROR(__xludf.DUMMYFUNCTION("""COMPUTED_VALUE"""),"Uncle Sams Cider (5/13/2022)")</f>
        <v>Uncle Sams Cider (5/13/2022)</v>
      </c>
      <c r="H8325" s="19"/>
    </row>
    <row r="8326">
      <c r="A8326" s="9"/>
      <c r="B8326" s="15"/>
      <c r="C8326" s="9">
        <f>IFERROR(__xludf.DUMMYFUNCTION("""COMPUTED_VALUE"""),44709.803698368)</f>
        <v>44709.8037</v>
      </c>
      <c r="D8326" s="15">
        <f>IFERROR(__xludf.DUMMYFUNCTION("""COMPUTED_VALUE"""),1.024)</f>
        <v>1.024</v>
      </c>
      <c r="E8326" s="16">
        <f>IFERROR(__xludf.DUMMYFUNCTION("""COMPUTED_VALUE"""),65.0)</f>
        <v>65</v>
      </c>
      <c r="F8326" s="19" t="str">
        <f>IFERROR(__xludf.DUMMYFUNCTION("""COMPUTED_VALUE"""),"BLACK")</f>
        <v>BLACK</v>
      </c>
      <c r="G8326" s="20" t="str">
        <f>IFERROR(__xludf.DUMMYFUNCTION("""COMPUTED_VALUE"""),"Uncle Sams Cider (5/13/2022)")</f>
        <v>Uncle Sams Cider (5/13/2022)</v>
      </c>
      <c r="H8326" s="19"/>
    </row>
    <row r="8327">
      <c r="A8327" s="9"/>
      <c r="B8327" s="15"/>
      <c r="C8327" s="9">
        <f>IFERROR(__xludf.DUMMYFUNCTION("""COMPUTED_VALUE"""),44709.7932780439)</f>
        <v>44709.79328</v>
      </c>
      <c r="D8327" s="15">
        <f>IFERROR(__xludf.DUMMYFUNCTION("""COMPUTED_VALUE"""),1.024)</f>
        <v>1.024</v>
      </c>
      <c r="E8327" s="16">
        <f>IFERROR(__xludf.DUMMYFUNCTION("""COMPUTED_VALUE"""),65.0)</f>
        <v>65</v>
      </c>
      <c r="F8327" s="19" t="str">
        <f>IFERROR(__xludf.DUMMYFUNCTION("""COMPUTED_VALUE"""),"BLACK")</f>
        <v>BLACK</v>
      </c>
      <c r="G8327" s="20" t="str">
        <f>IFERROR(__xludf.DUMMYFUNCTION("""COMPUTED_VALUE"""),"Uncle Sams Cider (5/13/2022)")</f>
        <v>Uncle Sams Cider (5/13/2022)</v>
      </c>
      <c r="H8327" s="19"/>
    </row>
    <row r="8328">
      <c r="A8328" s="9"/>
      <c r="B8328" s="15"/>
      <c r="C8328" s="9">
        <f>IFERROR(__xludf.DUMMYFUNCTION("""COMPUTED_VALUE"""),44709.7828220254)</f>
        <v>44709.78282</v>
      </c>
      <c r="D8328" s="15">
        <f>IFERROR(__xludf.DUMMYFUNCTION("""COMPUTED_VALUE"""),1.024)</f>
        <v>1.024</v>
      </c>
      <c r="E8328" s="16">
        <f>IFERROR(__xludf.DUMMYFUNCTION("""COMPUTED_VALUE"""),65.0)</f>
        <v>65</v>
      </c>
      <c r="F8328" s="19" t="str">
        <f>IFERROR(__xludf.DUMMYFUNCTION("""COMPUTED_VALUE"""),"BLACK")</f>
        <v>BLACK</v>
      </c>
      <c r="G8328" s="20" t="str">
        <f>IFERROR(__xludf.DUMMYFUNCTION("""COMPUTED_VALUE"""),"Uncle Sams Cider (5/13/2022)")</f>
        <v>Uncle Sams Cider (5/13/2022)</v>
      </c>
      <c r="H8328" s="19"/>
    </row>
    <row r="8329">
      <c r="A8329" s="9"/>
      <c r="B8329" s="15"/>
      <c r="C8329" s="9">
        <f>IFERROR(__xludf.DUMMYFUNCTION("""COMPUTED_VALUE"""),44709.7724004513)</f>
        <v>44709.7724</v>
      </c>
      <c r="D8329" s="15">
        <f>IFERROR(__xludf.DUMMYFUNCTION("""COMPUTED_VALUE"""),1.024)</f>
        <v>1.024</v>
      </c>
      <c r="E8329" s="16">
        <f>IFERROR(__xludf.DUMMYFUNCTION("""COMPUTED_VALUE"""),65.0)</f>
        <v>65</v>
      </c>
      <c r="F8329" s="19" t="str">
        <f>IFERROR(__xludf.DUMMYFUNCTION("""COMPUTED_VALUE"""),"BLACK")</f>
        <v>BLACK</v>
      </c>
      <c r="G8329" s="20" t="str">
        <f>IFERROR(__xludf.DUMMYFUNCTION("""COMPUTED_VALUE"""),"Uncle Sams Cider (5/13/2022)")</f>
        <v>Uncle Sams Cider (5/13/2022)</v>
      </c>
      <c r="H8329" s="19"/>
    </row>
    <row r="8330">
      <c r="A8330" s="9"/>
      <c r="B8330" s="15"/>
      <c r="C8330" s="9">
        <f>IFERROR(__xludf.DUMMYFUNCTION("""COMPUTED_VALUE"""),44709.7619556481)</f>
        <v>44709.76196</v>
      </c>
      <c r="D8330" s="15">
        <f>IFERROR(__xludf.DUMMYFUNCTION("""COMPUTED_VALUE"""),1.024)</f>
        <v>1.024</v>
      </c>
      <c r="E8330" s="16">
        <f>IFERROR(__xludf.DUMMYFUNCTION("""COMPUTED_VALUE"""),65.0)</f>
        <v>65</v>
      </c>
      <c r="F8330" s="19" t="str">
        <f>IFERROR(__xludf.DUMMYFUNCTION("""COMPUTED_VALUE"""),"BLACK")</f>
        <v>BLACK</v>
      </c>
      <c r="G8330" s="20" t="str">
        <f>IFERROR(__xludf.DUMMYFUNCTION("""COMPUTED_VALUE"""),"Uncle Sams Cider (5/13/2022)")</f>
        <v>Uncle Sams Cider (5/13/2022)</v>
      </c>
      <c r="H8330" s="19"/>
    </row>
    <row r="8331">
      <c r="A8331" s="9"/>
      <c r="B8331" s="15"/>
      <c r="C8331" s="9">
        <f>IFERROR(__xludf.DUMMYFUNCTION("""COMPUTED_VALUE"""),44709.7515234606)</f>
        <v>44709.75152</v>
      </c>
      <c r="D8331" s="15">
        <f>IFERROR(__xludf.DUMMYFUNCTION("""COMPUTED_VALUE"""),1.024)</f>
        <v>1.024</v>
      </c>
      <c r="E8331" s="16">
        <f>IFERROR(__xludf.DUMMYFUNCTION("""COMPUTED_VALUE"""),65.0)</f>
        <v>65</v>
      </c>
      <c r="F8331" s="19" t="str">
        <f>IFERROR(__xludf.DUMMYFUNCTION("""COMPUTED_VALUE"""),"BLACK")</f>
        <v>BLACK</v>
      </c>
      <c r="G8331" s="20" t="str">
        <f>IFERROR(__xludf.DUMMYFUNCTION("""COMPUTED_VALUE"""),"Uncle Sams Cider (5/13/2022)")</f>
        <v>Uncle Sams Cider (5/13/2022)</v>
      </c>
      <c r="H8331" s="19"/>
    </row>
    <row r="8332">
      <c r="A8332" s="9"/>
      <c r="B8332" s="15"/>
      <c r="C8332" s="9">
        <f>IFERROR(__xludf.DUMMYFUNCTION("""COMPUTED_VALUE"""),44709.7411017476)</f>
        <v>44709.7411</v>
      </c>
      <c r="D8332" s="15">
        <f>IFERROR(__xludf.DUMMYFUNCTION("""COMPUTED_VALUE"""),1.024)</f>
        <v>1.024</v>
      </c>
      <c r="E8332" s="16">
        <f>IFERROR(__xludf.DUMMYFUNCTION("""COMPUTED_VALUE"""),65.0)</f>
        <v>65</v>
      </c>
      <c r="F8332" s="19" t="str">
        <f>IFERROR(__xludf.DUMMYFUNCTION("""COMPUTED_VALUE"""),"BLACK")</f>
        <v>BLACK</v>
      </c>
      <c r="G8332" s="20" t="str">
        <f>IFERROR(__xludf.DUMMYFUNCTION("""COMPUTED_VALUE"""),"Uncle Sams Cider (5/13/2022)")</f>
        <v>Uncle Sams Cider (5/13/2022)</v>
      </c>
      <c r="H8332" s="19"/>
    </row>
    <row r="8333">
      <c r="A8333" s="9"/>
      <c r="B8333" s="15"/>
      <c r="C8333" s="9">
        <f>IFERROR(__xludf.DUMMYFUNCTION("""COMPUTED_VALUE"""),44709.7306793287)</f>
        <v>44709.73068</v>
      </c>
      <c r="D8333" s="15">
        <f>IFERROR(__xludf.DUMMYFUNCTION("""COMPUTED_VALUE"""),1.024)</f>
        <v>1.024</v>
      </c>
      <c r="E8333" s="16">
        <f>IFERROR(__xludf.DUMMYFUNCTION("""COMPUTED_VALUE"""),65.0)</f>
        <v>65</v>
      </c>
      <c r="F8333" s="19" t="str">
        <f>IFERROR(__xludf.DUMMYFUNCTION("""COMPUTED_VALUE"""),"BLACK")</f>
        <v>BLACK</v>
      </c>
      <c r="G8333" s="20" t="str">
        <f>IFERROR(__xludf.DUMMYFUNCTION("""COMPUTED_VALUE"""),"Uncle Sams Cider (5/13/2022)")</f>
        <v>Uncle Sams Cider (5/13/2022)</v>
      </c>
      <c r="H8333" s="19"/>
    </row>
    <row r="8334">
      <c r="A8334" s="9"/>
      <c r="B8334" s="15"/>
      <c r="C8334" s="9">
        <f>IFERROR(__xludf.DUMMYFUNCTION("""COMPUTED_VALUE"""),44709.7202575347)</f>
        <v>44709.72026</v>
      </c>
      <c r="D8334" s="15">
        <f>IFERROR(__xludf.DUMMYFUNCTION("""COMPUTED_VALUE"""),1.024)</f>
        <v>1.024</v>
      </c>
      <c r="E8334" s="16">
        <f>IFERROR(__xludf.DUMMYFUNCTION("""COMPUTED_VALUE"""),65.0)</f>
        <v>65</v>
      </c>
      <c r="F8334" s="19" t="str">
        <f>IFERROR(__xludf.DUMMYFUNCTION("""COMPUTED_VALUE"""),"BLACK")</f>
        <v>BLACK</v>
      </c>
      <c r="G8334" s="20" t="str">
        <f>IFERROR(__xludf.DUMMYFUNCTION("""COMPUTED_VALUE"""),"Uncle Sams Cider (5/13/2022)")</f>
        <v>Uncle Sams Cider (5/13/2022)</v>
      </c>
      <c r="H8334" s="19"/>
    </row>
    <row r="8335">
      <c r="A8335" s="9"/>
      <c r="B8335" s="15"/>
      <c r="C8335" s="9">
        <f>IFERROR(__xludf.DUMMYFUNCTION("""COMPUTED_VALUE"""),44709.7098239583)</f>
        <v>44709.70982</v>
      </c>
      <c r="D8335" s="15">
        <f>IFERROR(__xludf.DUMMYFUNCTION("""COMPUTED_VALUE"""),1.024)</f>
        <v>1.024</v>
      </c>
      <c r="E8335" s="16">
        <f>IFERROR(__xludf.DUMMYFUNCTION("""COMPUTED_VALUE"""),65.0)</f>
        <v>65</v>
      </c>
      <c r="F8335" s="19" t="str">
        <f>IFERROR(__xludf.DUMMYFUNCTION("""COMPUTED_VALUE"""),"BLACK")</f>
        <v>BLACK</v>
      </c>
      <c r="G8335" s="20" t="str">
        <f>IFERROR(__xludf.DUMMYFUNCTION("""COMPUTED_VALUE"""),"Uncle Sams Cider (5/13/2022)")</f>
        <v>Uncle Sams Cider (5/13/2022)</v>
      </c>
      <c r="H8335" s="19"/>
    </row>
    <row r="8336">
      <c r="A8336" s="9"/>
      <c r="B8336" s="15"/>
      <c r="C8336" s="9">
        <f>IFERROR(__xludf.DUMMYFUNCTION("""COMPUTED_VALUE"""),44709.6994033101)</f>
        <v>44709.6994</v>
      </c>
      <c r="D8336" s="15">
        <f>IFERROR(__xludf.DUMMYFUNCTION("""COMPUTED_VALUE"""),1.024)</f>
        <v>1.024</v>
      </c>
      <c r="E8336" s="16">
        <f>IFERROR(__xludf.DUMMYFUNCTION("""COMPUTED_VALUE"""),66.0)</f>
        <v>66</v>
      </c>
      <c r="F8336" s="19" t="str">
        <f>IFERROR(__xludf.DUMMYFUNCTION("""COMPUTED_VALUE"""),"BLACK")</f>
        <v>BLACK</v>
      </c>
      <c r="G8336" s="20" t="str">
        <f>IFERROR(__xludf.DUMMYFUNCTION("""COMPUTED_VALUE"""),"Uncle Sams Cider (5/13/2022)")</f>
        <v>Uncle Sams Cider (5/13/2022)</v>
      </c>
      <c r="H8336" s="19"/>
    </row>
    <row r="8337">
      <c r="A8337" s="9"/>
      <c r="B8337" s="15"/>
      <c r="C8337" s="9">
        <f>IFERROR(__xludf.DUMMYFUNCTION("""COMPUTED_VALUE"""),44709.688981655)</f>
        <v>44709.68898</v>
      </c>
      <c r="D8337" s="15">
        <f>IFERROR(__xludf.DUMMYFUNCTION("""COMPUTED_VALUE"""),1.024)</f>
        <v>1.024</v>
      </c>
      <c r="E8337" s="16">
        <f>IFERROR(__xludf.DUMMYFUNCTION("""COMPUTED_VALUE"""),66.0)</f>
        <v>66</v>
      </c>
      <c r="F8337" s="19" t="str">
        <f>IFERROR(__xludf.DUMMYFUNCTION("""COMPUTED_VALUE"""),"BLACK")</f>
        <v>BLACK</v>
      </c>
      <c r="G8337" s="20" t="str">
        <f>IFERROR(__xludf.DUMMYFUNCTION("""COMPUTED_VALUE"""),"Uncle Sams Cider (5/13/2022)")</f>
        <v>Uncle Sams Cider (5/13/2022)</v>
      </c>
      <c r="H8337" s="19"/>
    </row>
    <row r="8338">
      <c r="A8338" s="9"/>
      <c r="B8338" s="15"/>
      <c r="C8338" s="9">
        <f>IFERROR(__xludf.DUMMYFUNCTION("""COMPUTED_VALUE"""),44709.678550868)</f>
        <v>44709.67855</v>
      </c>
      <c r="D8338" s="15">
        <f>IFERROR(__xludf.DUMMYFUNCTION("""COMPUTED_VALUE"""),1.024)</f>
        <v>1.024</v>
      </c>
      <c r="E8338" s="16">
        <f>IFERROR(__xludf.DUMMYFUNCTION("""COMPUTED_VALUE"""),66.0)</f>
        <v>66</v>
      </c>
      <c r="F8338" s="19" t="str">
        <f>IFERROR(__xludf.DUMMYFUNCTION("""COMPUTED_VALUE"""),"BLACK")</f>
        <v>BLACK</v>
      </c>
      <c r="G8338" s="20" t="str">
        <f>IFERROR(__xludf.DUMMYFUNCTION("""COMPUTED_VALUE"""),"Uncle Sams Cider (5/13/2022)")</f>
        <v>Uncle Sams Cider (5/13/2022)</v>
      </c>
      <c r="H8338" s="19"/>
    </row>
    <row r="8339">
      <c r="A8339" s="9"/>
      <c r="B8339" s="15"/>
      <c r="C8339" s="9">
        <f>IFERROR(__xludf.DUMMYFUNCTION("""COMPUTED_VALUE"""),44709.6681289583)</f>
        <v>44709.66813</v>
      </c>
      <c r="D8339" s="15">
        <f>IFERROR(__xludf.DUMMYFUNCTION("""COMPUTED_VALUE"""),1.024)</f>
        <v>1.024</v>
      </c>
      <c r="E8339" s="16">
        <f>IFERROR(__xludf.DUMMYFUNCTION("""COMPUTED_VALUE"""),66.0)</f>
        <v>66</v>
      </c>
      <c r="F8339" s="19" t="str">
        <f>IFERROR(__xludf.DUMMYFUNCTION("""COMPUTED_VALUE"""),"BLACK")</f>
        <v>BLACK</v>
      </c>
      <c r="G8339" s="20" t="str">
        <f>IFERROR(__xludf.DUMMYFUNCTION("""COMPUTED_VALUE"""),"Uncle Sams Cider (5/13/2022)")</f>
        <v>Uncle Sams Cider (5/13/2022)</v>
      </c>
      <c r="H8339" s="19"/>
    </row>
    <row r="8340">
      <c r="A8340" s="9"/>
      <c r="B8340" s="15"/>
      <c r="C8340" s="9">
        <f>IFERROR(__xludf.DUMMYFUNCTION("""COMPUTED_VALUE"""),44709.6577083217)</f>
        <v>44709.65771</v>
      </c>
      <c r="D8340" s="15">
        <f>IFERROR(__xludf.DUMMYFUNCTION("""COMPUTED_VALUE"""),1.024)</f>
        <v>1.024</v>
      </c>
      <c r="E8340" s="16">
        <f>IFERROR(__xludf.DUMMYFUNCTION("""COMPUTED_VALUE"""),66.0)</f>
        <v>66</v>
      </c>
      <c r="F8340" s="19" t="str">
        <f>IFERROR(__xludf.DUMMYFUNCTION("""COMPUTED_VALUE"""),"BLACK")</f>
        <v>BLACK</v>
      </c>
      <c r="G8340" s="20" t="str">
        <f>IFERROR(__xludf.DUMMYFUNCTION("""COMPUTED_VALUE"""),"Uncle Sams Cider (5/13/2022)")</f>
        <v>Uncle Sams Cider (5/13/2022)</v>
      </c>
      <c r="H8340" s="19"/>
    </row>
    <row r="8341">
      <c r="A8341" s="9"/>
      <c r="B8341" s="15"/>
      <c r="C8341" s="9">
        <f>IFERROR(__xludf.DUMMYFUNCTION("""COMPUTED_VALUE"""),44709.6472772222)</f>
        <v>44709.64728</v>
      </c>
      <c r="D8341" s="15">
        <f>IFERROR(__xludf.DUMMYFUNCTION("""COMPUTED_VALUE"""),1.024)</f>
        <v>1.024</v>
      </c>
      <c r="E8341" s="16">
        <f>IFERROR(__xludf.DUMMYFUNCTION("""COMPUTED_VALUE"""),66.0)</f>
        <v>66</v>
      </c>
      <c r="F8341" s="19" t="str">
        <f>IFERROR(__xludf.DUMMYFUNCTION("""COMPUTED_VALUE"""),"BLACK")</f>
        <v>BLACK</v>
      </c>
      <c r="G8341" s="20" t="str">
        <f>IFERROR(__xludf.DUMMYFUNCTION("""COMPUTED_VALUE"""),"Uncle Sams Cider (5/13/2022)")</f>
        <v>Uncle Sams Cider (5/13/2022)</v>
      </c>
      <c r="H8341" s="19"/>
    </row>
    <row r="8342">
      <c r="A8342" s="9"/>
      <c r="B8342" s="15"/>
      <c r="C8342" s="9">
        <f>IFERROR(__xludf.DUMMYFUNCTION("""COMPUTED_VALUE"""),44709.6368452546)</f>
        <v>44709.63685</v>
      </c>
      <c r="D8342" s="15">
        <f>IFERROR(__xludf.DUMMYFUNCTION("""COMPUTED_VALUE"""),1.024)</f>
        <v>1.024</v>
      </c>
      <c r="E8342" s="16">
        <f>IFERROR(__xludf.DUMMYFUNCTION("""COMPUTED_VALUE"""),66.0)</f>
        <v>66</v>
      </c>
      <c r="F8342" s="19" t="str">
        <f>IFERROR(__xludf.DUMMYFUNCTION("""COMPUTED_VALUE"""),"BLACK")</f>
        <v>BLACK</v>
      </c>
      <c r="G8342" s="20" t="str">
        <f>IFERROR(__xludf.DUMMYFUNCTION("""COMPUTED_VALUE"""),"Uncle Sams Cider (5/13/2022)")</f>
        <v>Uncle Sams Cider (5/13/2022)</v>
      </c>
      <c r="H8342" s="19"/>
    </row>
    <row r="8343">
      <c r="A8343" s="9"/>
      <c r="B8343" s="15"/>
      <c r="C8343" s="9">
        <f>IFERROR(__xludf.DUMMYFUNCTION("""COMPUTED_VALUE"""),44709.626413993)</f>
        <v>44709.62641</v>
      </c>
      <c r="D8343" s="15">
        <f>IFERROR(__xludf.DUMMYFUNCTION("""COMPUTED_VALUE"""),1.024)</f>
        <v>1.024</v>
      </c>
      <c r="E8343" s="16">
        <f>IFERROR(__xludf.DUMMYFUNCTION("""COMPUTED_VALUE"""),66.0)</f>
        <v>66</v>
      </c>
      <c r="F8343" s="19" t="str">
        <f>IFERROR(__xludf.DUMMYFUNCTION("""COMPUTED_VALUE"""),"BLACK")</f>
        <v>BLACK</v>
      </c>
      <c r="G8343" s="20" t="str">
        <f>IFERROR(__xludf.DUMMYFUNCTION("""COMPUTED_VALUE"""),"Uncle Sams Cider (5/13/2022)")</f>
        <v>Uncle Sams Cider (5/13/2022)</v>
      </c>
      <c r="H8343" s="19"/>
    </row>
    <row r="8344">
      <c r="A8344" s="9"/>
      <c r="B8344" s="15"/>
      <c r="C8344" s="9">
        <f>IFERROR(__xludf.DUMMYFUNCTION("""COMPUTED_VALUE"""),44709.6159936921)</f>
        <v>44709.61599</v>
      </c>
      <c r="D8344" s="15">
        <f>IFERROR(__xludf.DUMMYFUNCTION("""COMPUTED_VALUE"""),1.024)</f>
        <v>1.024</v>
      </c>
      <c r="E8344" s="16">
        <f>IFERROR(__xludf.DUMMYFUNCTION("""COMPUTED_VALUE"""),66.0)</f>
        <v>66</v>
      </c>
      <c r="F8344" s="19" t="str">
        <f>IFERROR(__xludf.DUMMYFUNCTION("""COMPUTED_VALUE"""),"BLACK")</f>
        <v>BLACK</v>
      </c>
      <c r="G8344" s="20" t="str">
        <f>IFERROR(__xludf.DUMMYFUNCTION("""COMPUTED_VALUE"""),"Uncle Sams Cider (5/13/2022)")</f>
        <v>Uncle Sams Cider (5/13/2022)</v>
      </c>
      <c r="H8344" s="19"/>
    </row>
    <row r="8345">
      <c r="A8345" s="9"/>
      <c r="B8345" s="15"/>
      <c r="C8345" s="9">
        <f>IFERROR(__xludf.DUMMYFUNCTION("""COMPUTED_VALUE"""),44709.6055729745)</f>
        <v>44709.60557</v>
      </c>
      <c r="D8345" s="15">
        <f>IFERROR(__xludf.DUMMYFUNCTION("""COMPUTED_VALUE"""),1.024)</f>
        <v>1.024</v>
      </c>
      <c r="E8345" s="16">
        <f>IFERROR(__xludf.DUMMYFUNCTION("""COMPUTED_VALUE"""),66.0)</f>
        <v>66</v>
      </c>
      <c r="F8345" s="19" t="str">
        <f>IFERROR(__xludf.DUMMYFUNCTION("""COMPUTED_VALUE"""),"BLACK")</f>
        <v>BLACK</v>
      </c>
      <c r="G8345" s="20" t="str">
        <f>IFERROR(__xludf.DUMMYFUNCTION("""COMPUTED_VALUE"""),"Uncle Sams Cider (5/13/2022)")</f>
        <v>Uncle Sams Cider (5/13/2022)</v>
      </c>
      <c r="H8345" s="19"/>
    </row>
    <row r="8346">
      <c r="A8346" s="9"/>
      <c r="B8346" s="15"/>
      <c r="C8346" s="9">
        <f>IFERROR(__xludf.DUMMYFUNCTION("""COMPUTED_VALUE"""),44709.5951504051)</f>
        <v>44709.59515</v>
      </c>
      <c r="D8346" s="15">
        <f>IFERROR(__xludf.DUMMYFUNCTION("""COMPUTED_VALUE"""),1.024)</f>
        <v>1.024</v>
      </c>
      <c r="E8346" s="16">
        <f>IFERROR(__xludf.DUMMYFUNCTION("""COMPUTED_VALUE"""),67.0)</f>
        <v>67</v>
      </c>
      <c r="F8346" s="19" t="str">
        <f>IFERROR(__xludf.DUMMYFUNCTION("""COMPUTED_VALUE"""),"BLACK")</f>
        <v>BLACK</v>
      </c>
      <c r="G8346" s="20" t="str">
        <f>IFERROR(__xludf.DUMMYFUNCTION("""COMPUTED_VALUE"""),"Uncle Sams Cider (5/13/2022)")</f>
        <v>Uncle Sams Cider (5/13/2022)</v>
      </c>
      <c r="H8346" s="19"/>
    </row>
    <row r="8347">
      <c r="A8347" s="9"/>
      <c r="B8347" s="15"/>
      <c r="C8347" s="9">
        <f>IFERROR(__xludf.DUMMYFUNCTION("""COMPUTED_VALUE"""),44709.5847290046)</f>
        <v>44709.58473</v>
      </c>
      <c r="D8347" s="15">
        <f>IFERROR(__xludf.DUMMYFUNCTION("""COMPUTED_VALUE"""),1.024)</f>
        <v>1.024</v>
      </c>
      <c r="E8347" s="16">
        <f>IFERROR(__xludf.DUMMYFUNCTION("""COMPUTED_VALUE"""),67.0)</f>
        <v>67</v>
      </c>
      <c r="F8347" s="19" t="str">
        <f>IFERROR(__xludf.DUMMYFUNCTION("""COMPUTED_VALUE"""),"BLACK")</f>
        <v>BLACK</v>
      </c>
      <c r="G8347" s="20" t="str">
        <f>IFERROR(__xludf.DUMMYFUNCTION("""COMPUTED_VALUE"""),"Uncle Sams Cider (5/13/2022)")</f>
        <v>Uncle Sams Cider (5/13/2022)</v>
      </c>
      <c r="H8347" s="19"/>
    </row>
    <row r="8348">
      <c r="A8348" s="9"/>
      <c r="B8348" s="15"/>
      <c r="C8348" s="9">
        <f>IFERROR(__xludf.DUMMYFUNCTION("""COMPUTED_VALUE"""),44709.5743085648)</f>
        <v>44709.57431</v>
      </c>
      <c r="D8348" s="15">
        <f>IFERROR(__xludf.DUMMYFUNCTION("""COMPUTED_VALUE"""),1.024)</f>
        <v>1.024</v>
      </c>
      <c r="E8348" s="16">
        <f>IFERROR(__xludf.DUMMYFUNCTION("""COMPUTED_VALUE"""),68.0)</f>
        <v>68</v>
      </c>
      <c r="F8348" s="19" t="str">
        <f>IFERROR(__xludf.DUMMYFUNCTION("""COMPUTED_VALUE"""),"BLACK")</f>
        <v>BLACK</v>
      </c>
      <c r="G8348" s="20" t="str">
        <f>IFERROR(__xludf.DUMMYFUNCTION("""COMPUTED_VALUE"""),"Uncle Sams Cider (5/13/2022)")</f>
        <v>Uncle Sams Cider (5/13/2022)</v>
      </c>
      <c r="H8348" s="19"/>
    </row>
    <row r="8349">
      <c r="A8349" s="9"/>
      <c r="B8349" s="15"/>
      <c r="C8349" s="9">
        <f>IFERROR(__xludf.DUMMYFUNCTION("""COMPUTED_VALUE"""),44709.5638885532)</f>
        <v>44709.56389</v>
      </c>
      <c r="D8349" s="15">
        <f>IFERROR(__xludf.DUMMYFUNCTION("""COMPUTED_VALUE"""),1.024)</f>
        <v>1.024</v>
      </c>
      <c r="E8349" s="16">
        <f>IFERROR(__xludf.DUMMYFUNCTION("""COMPUTED_VALUE"""),69.0)</f>
        <v>69</v>
      </c>
      <c r="F8349" s="19" t="str">
        <f>IFERROR(__xludf.DUMMYFUNCTION("""COMPUTED_VALUE"""),"BLACK")</f>
        <v>BLACK</v>
      </c>
      <c r="G8349" s="20" t="str">
        <f>IFERROR(__xludf.DUMMYFUNCTION("""COMPUTED_VALUE"""),"Uncle Sams Cider (5/13/2022)")</f>
        <v>Uncle Sams Cider (5/13/2022)</v>
      </c>
      <c r="H8349" s="19"/>
    </row>
    <row r="8350">
      <c r="A8350" s="9"/>
      <c r="B8350" s="15"/>
      <c r="C8350" s="9">
        <f>IFERROR(__xludf.DUMMYFUNCTION("""COMPUTED_VALUE"""),44709.5534686226)</f>
        <v>44709.55347</v>
      </c>
      <c r="D8350" s="15">
        <f>IFERROR(__xludf.DUMMYFUNCTION("""COMPUTED_VALUE"""),1.024)</f>
        <v>1.024</v>
      </c>
      <c r="E8350" s="16">
        <f>IFERROR(__xludf.DUMMYFUNCTION("""COMPUTED_VALUE"""),70.0)</f>
        <v>70</v>
      </c>
      <c r="F8350" s="19" t="str">
        <f>IFERROR(__xludf.DUMMYFUNCTION("""COMPUTED_VALUE"""),"BLACK")</f>
        <v>BLACK</v>
      </c>
      <c r="G8350" s="20" t="str">
        <f>IFERROR(__xludf.DUMMYFUNCTION("""COMPUTED_VALUE"""),"Uncle Sams Cider (5/13/2022)")</f>
        <v>Uncle Sams Cider (5/13/2022)</v>
      </c>
      <c r="H8350" s="19"/>
    </row>
    <row r="8351">
      <c r="A8351" s="9"/>
      <c r="B8351" s="15"/>
      <c r="C8351" s="9">
        <f>IFERROR(__xludf.DUMMYFUNCTION("""COMPUTED_VALUE"""),44709.5430457986)</f>
        <v>44709.54305</v>
      </c>
      <c r="D8351" s="15">
        <f>IFERROR(__xludf.DUMMYFUNCTION("""COMPUTED_VALUE"""),1.024)</f>
        <v>1.024</v>
      </c>
      <c r="E8351" s="16">
        <f>IFERROR(__xludf.DUMMYFUNCTION("""COMPUTED_VALUE"""),70.0)</f>
        <v>70</v>
      </c>
      <c r="F8351" s="19" t="str">
        <f>IFERROR(__xludf.DUMMYFUNCTION("""COMPUTED_VALUE"""),"BLACK")</f>
        <v>BLACK</v>
      </c>
      <c r="G8351" s="20" t="str">
        <f>IFERROR(__xludf.DUMMYFUNCTION("""COMPUTED_VALUE"""),"Uncle Sams Cider (5/13/2022)")</f>
        <v>Uncle Sams Cider (5/13/2022)</v>
      </c>
      <c r="H8351" s="19"/>
    </row>
    <row r="8352">
      <c r="A8352" s="9"/>
      <c r="B8352" s="15"/>
      <c r="C8352" s="9">
        <f>IFERROR(__xludf.DUMMYFUNCTION("""COMPUTED_VALUE"""),44709.5326247222)</f>
        <v>44709.53262</v>
      </c>
      <c r="D8352" s="15">
        <f>IFERROR(__xludf.DUMMYFUNCTION("""COMPUTED_VALUE"""),1.024)</f>
        <v>1.024</v>
      </c>
      <c r="E8352" s="16">
        <f>IFERROR(__xludf.DUMMYFUNCTION("""COMPUTED_VALUE"""),70.0)</f>
        <v>70</v>
      </c>
      <c r="F8352" s="19" t="str">
        <f>IFERROR(__xludf.DUMMYFUNCTION("""COMPUTED_VALUE"""),"BLACK")</f>
        <v>BLACK</v>
      </c>
      <c r="G8352" s="20" t="str">
        <f>IFERROR(__xludf.DUMMYFUNCTION("""COMPUTED_VALUE"""),"Uncle Sams Cider (5/13/2022)")</f>
        <v>Uncle Sams Cider (5/13/2022)</v>
      </c>
      <c r="H8352" s="19"/>
    </row>
    <row r="8353">
      <c r="A8353" s="9"/>
      <c r="B8353" s="15"/>
      <c r="C8353" s="9">
        <f>IFERROR(__xludf.DUMMYFUNCTION("""COMPUTED_VALUE"""),44709.5222055787)</f>
        <v>44709.52221</v>
      </c>
      <c r="D8353" s="15">
        <f>IFERROR(__xludf.DUMMYFUNCTION("""COMPUTED_VALUE"""),1.024)</f>
        <v>1.024</v>
      </c>
      <c r="E8353" s="16">
        <f>IFERROR(__xludf.DUMMYFUNCTION("""COMPUTED_VALUE"""),70.0)</f>
        <v>70</v>
      </c>
      <c r="F8353" s="19" t="str">
        <f>IFERROR(__xludf.DUMMYFUNCTION("""COMPUTED_VALUE"""),"BLACK")</f>
        <v>BLACK</v>
      </c>
      <c r="G8353" s="20" t="str">
        <f>IFERROR(__xludf.DUMMYFUNCTION("""COMPUTED_VALUE"""),"Uncle Sams Cider (5/13/2022)")</f>
        <v>Uncle Sams Cider (5/13/2022)</v>
      </c>
      <c r="H8353" s="19"/>
    </row>
    <row r="8354">
      <c r="A8354" s="9"/>
      <c r="B8354" s="15"/>
      <c r="C8354" s="9">
        <f>IFERROR(__xludf.DUMMYFUNCTION("""COMPUTED_VALUE"""),44709.5117834722)</f>
        <v>44709.51178</v>
      </c>
      <c r="D8354" s="15">
        <f>IFERROR(__xludf.DUMMYFUNCTION("""COMPUTED_VALUE"""),1.024)</f>
        <v>1.024</v>
      </c>
      <c r="E8354" s="16">
        <f>IFERROR(__xludf.DUMMYFUNCTION("""COMPUTED_VALUE"""),70.0)</f>
        <v>70</v>
      </c>
      <c r="F8354" s="19" t="str">
        <f>IFERROR(__xludf.DUMMYFUNCTION("""COMPUTED_VALUE"""),"BLACK")</f>
        <v>BLACK</v>
      </c>
      <c r="G8354" s="20" t="str">
        <f>IFERROR(__xludf.DUMMYFUNCTION("""COMPUTED_VALUE"""),"Uncle Sams Cider (5/13/2022)")</f>
        <v>Uncle Sams Cider (5/13/2022)</v>
      </c>
      <c r="H8354" s="19"/>
    </row>
    <row r="8355">
      <c r="A8355" s="9"/>
      <c r="B8355" s="15"/>
      <c r="C8355" s="9">
        <f>IFERROR(__xludf.DUMMYFUNCTION("""COMPUTED_VALUE"""),44709.5013512037)</f>
        <v>44709.50135</v>
      </c>
      <c r="D8355" s="15">
        <f>IFERROR(__xludf.DUMMYFUNCTION("""COMPUTED_VALUE"""),1.024)</f>
        <v>1.024</v>
      </c>
      <c r="E8355" s="16">
        <f>IFERROR(__xludf.DUMMYFUNCTION("""COMPUTED_VALUE"""),70.0)</f>
        <v>70</v>
      </c>
      <c r="F8355" s="19" t="str">
        <f>IFERROR(__xludf.DUMMYFUNCTION("""COMPUTED_VALUE"""),"BLACK")</f>
        <v>BLACK</v>
      </c>
      <c r="G8355" s="20" t="str">
        <f>IFERROR(__xludf.DUMMYFUNCTION("""COMPUTED_VALUE"""),"Uncle Sams Cider (5/13/2022)")</f>
        <v>Uncle Sams Cider (5/13/2022)</v>
      </c>
      <c r="H8355" s="19"/>
    </row>
    <row r="8356">
      <c r="A8356" s="9"/>
      <c r="B8356" s="15"/>
      <c r="C8356" s="9">
        <f>IFERROR(__xludf.DUMMYFUNCTION("""COMPUTED_VALUE"""),44709.4909302083)</f>
        <v>44709.49093</v>
      </c>
      <c r="D8356" s="15">
        <f>IFERROR(__xludf.DUMMYFUNCTION("""COMPUTED_VALUE"""),1.024)</f>
        <v>1.024</v>
      </c>
      <c r="E8356" s="16">
        <f>IFERROR(__xludf.DUMMYFUNCTION("""COMPUTED_VALUE"""),70.0)</f>
        <v>70</v>
      </c>
      <c r="F8356" s="19" t="str">
        <f>IFERROR(__xludf.DUMMYFUNCTION("""COMPUTED_VALUE"""),"BLACK")</f>
        <v>BLACK</v>
      </c>
      <c r="G8356" s="20" t="str">
        <f>IFERROR(__xludf.DUMMYFUNCTION("""COMPUTED_VALUE"""),"Uncle Sams Cider (5/13/2022)")</f>
        <v>Uncle Sams Cider (5/13/2022)</v>
      </c>
      <c r="H8356" s="19"/>
    </row>
    <row r="8357">
      <c r="A8357" s="9"/>
      <c r="B8357" s="15"/>
      <c r="C8357" s="9">
        <f>IFERROR(__xludf.DUMMYFUNCTION("""COMPUTED_VALUE"""),44709.4805083796)</f>
        <v>44709.48051</v>
      </c>
      <c r="D8357" s="15">
        <f>IFERROR(__xludf.DUMMYFUNCTION("""COMPUTED_VALUE"""),1.024)</f>
        <v>1.024</v>
      </c>
      <c r="E8357" s="16">
        <f>IFERROR(__xludf.DUMMYFUNCTION("""COMPUTED_VALUE"""),70.0)</f>
        <v>70</v>
      </c>
      <c r="F8357" s="19" t="str">
        <f>IFERROR(__xludf.DUMMYFUNCTION("""COMPUTED_VALUE"""),"BLACK")</f>
        <v>BLACK</v>
      </c>
      <c r="G8357" s="20" t="str">
        <f>IFERROR(__xludf.DUMMYFUNCTION("""COMPUTED_VALUE"""),"Uncle Sams Cider (5/13/2022)")</f>
        <v>Uncle Sams Cider (5/13/2022)</v>
      </c>
      <c r="H8357" s="19"/>
    </row>
    <row r="8358">
      <c r="A8358" s="9"/>
      <c r="B8358" s="15"/>
      <c r="C8358" s="9">
        <f>IFERROR(__xludf.DUMMYFUNCTION("""COMPUTED_VALUE"""),44709.4700874884)</f>
        <v>44709.47009</v>
      </c>
      <c r="D8358" s="15">
        <f>IFERROR(__xludf.DUMMYFUNCTION("""COMPUTED_VALUE"""),1.024)</f>
        <v>1.024</v>
      </c>
      <c r="E8358" s="16">
        <f>IFERROR(__xludf.DUMMYFUNCTION("""COMPUTED_VALUE"""),70.0)</f>
        <v>70</v>
      </c>
      <c r="F8358" s="19" t="str">
        <f>IFERROR(__xludf.DUMMYFUNCTION("""COMPUTED_VALUE"""),"BLACK")</f>
        <v>BLACK</v>
      </c>
      <c r="G8358" s="20" t="str">
        <f>IFERROR(__xludf.DUMMYFUNCTION("""COMPUTED_VALUE"""),"Uncle Sams Cider (5/13/2022)")</f>
        <v>Uncle Sams Cider (5/13/2022)</v>
      </c>
      <c r="H8358" s="19"/>
    </row>
    <row r="8359">
      <c r="A8359" s="9"/>
      <c r="B8359" s="15"/>
      <c r="C8359" s="9">
        <f>IFERROR(__xludf.DUMMYFUNCTION("""COMPUTED_VALUE"""),44709.4596548379)</f>
        <v>44709.45965</v>
      </c>
      <c r="D8359" s="15">
        <f>IFERROR(__xludf.DUMMYFUNCTION("""COMPUTED_VALUE"""),1.024)</f>
        <v>1.024</v>
      </c>
      <c r="E8359" s="16">
        <f>IFERROR(__xludf.DUMMYFUNCTION("""COMPUTED_VALUE"""),70.0)</f>
        <v>70</v>
      </c>
      <c r="F8359" s="19" t="str">
        <f>IFERROR(__xludf.DUMMYFUNCTION("""COMPUTED_VALUE"""),"BLACK")</f>
        <v>BLACK</v>
      </c>
      <c r="G8359" s="20" t="str">
        <f>IFERROR(__xludf.DUMMYFUNCTION("""COMPUTED_VALUE"""),"Uncle Sams Cider (5/13/2022)")</f>
        <v>Uncle Sams Cider (5/13/2022)</v>
      </c>
      <c r="H8359" s="19"/>
    </row>
    <row r="8360">
      <c r="A8360" s="9"/>
      <c r="B8360" s="15"/>
      <c r="C8360" s="9">
        <f>IFERROR(__xludf.DUMMYFUNCTION("""COMPUTED_VALUE"""),44709.4492344907)</f>
        <v>44709.44923</v>
      </c>
      <c r="D8360" s="15">
        <f>IFERROR(__xludf.DUMMYFUNCTION("""COMPUTED_VALUE"""),1.024)</f>
        <v>1.024</v>
      </c>
      <c r="E8360" s="16">
        <f>IFERROR(__xludf.DUMMYFUNCTION("""COMPUTED_VALUE"""),69.0)</f>
        <v>69</v>
      </c>
      <c r="F8360" s="19" t="str">
        <f>IFERROR(__xludf.DUMMYFUNCTION("""COMPUTED_VALUE"""),"BLACK")</f>
        <v>BLACK</v>
      </c>
      <c r="G8360" s="20" t="str">
        <f>IFERROR(__xludf.DUMMYFUNCTION("""COMPUTED_VALUE"""),"Uncle Sams Cider (5/13/2022)")</f>
        <v>Uncle Sams Cider (5/13/2022)</v>
      </c>
      <c r="H8360" s="19"/>
    </row>
    <row r="8361">
      <c r="A8361" s="9"/>
      <c r="B8361" s="15"/>
      <c r="C8361" s="9">
        <f>IFERROR(__xludf.DUMMYFUNCTION("""COMPUTED_VALUE"""),44709.4388029166)</f>
        <v>44709.4388</v>
      </c>
      <c r="D8361" s="15">
        <f>IFERROR(__xludf.DUMMYFUNCTION("""COMPUTED_VALUE"""),1.024)</f>
        <v>1.024</v>
      </c>
      <c r="E8361" s="16">
        <f>IFERROR(__xludf.DUMMYFUNCTION("""COMPUTED_VALUE"""),70.0)</f>
        <v>70</v>
      </c>
      <c r="F8361" s="19" t="str">
        <f>IFERROR(__xludf.DUMMYFUNCTION("""COMPUTED_VALUE"""),"BLACK")</f>
        <v>BLACK</v>
      </c>
      <c r="G8361" s="20" t="str">
        <f>IFERROR(__xludf.DUMMYFUNCTION("""COMPUTED_VALUE"""),"Uncle Sams Cider (5/13/2022)")</f>
        <v>Uncle Sams Cider (5/13/2022)</v>
      </c>
      <c r="H8361" s="19"/>
    </row>
    <row r="8362">
      <c r="A8362" s="9"/>
      <c r="B8362" s="15"/>
      <c r="C8362" s="9">
        <f>IFERROR(__xludf.DUMMYFUNCTION("""COMPUTED_VALUE"""),44709.4283815277)</f>
        <v>44709.42838</v>
      </c>
      <c r="D8362" s="15">
        <f>IFERROR(__xludf.DUMMYFUNCTION("""COMPUTED_VALUE"""),1.025)</f>
        <v>1.025</v>
      </c>
      <c r="E8362" s="16">
        <f>IFERROR(__xludf.DUMMYFUNCTION("""COMPUTED_VALUE"""),70.0)</f>
        <v>70</v>
      </c>
      <c r="F8362" s="19" t="str">
        <f>IFERROR(__xludf.DUMMYFUNCTION("""COMPUTED_VALUE"""),"BLACK")</f>
        <v>BLACK</v>
      </c>
      <c r="G8362" s="20" t="str">
        <f>IFERROR(__xludf.DUMMYFUNCTION("""COMPUTED_VALUE"""),"Uncle Sams Cider (5/13/2022)")</f>
        <v>Uncle Sams Cider (5/13/2022)</v>
      </c>
      <c r="H8362" s="19"/>
    </row>
    <row r="8363">
      <c r="A8363" s="9"/>
      <c r="B8363" s="15"/>
      <c r="C8363" s="9">
        <f>IFERROR(__xludf.DUMMYFUNCTION("""COMPUTED_VALUE"""),44709.4179498958)</f>
        <v>44709.41795</v>
      </c>
      <c r="D8363" s="15">
        <f>IFERROR(__xludf.DUMMYFUNCTION("""COMPUTED_VALUE"""),1.024)</f>
        <v>1.024</v>
      </c>
      <c r="E8363" s="16">
        <f>IFERROR(__xludf.DUMMYFUNCTION("""COMPUTED_VALUE"""),70.0)</f>
        <v>70</v>
      </c>
      <c r="F8363" s="19" t="str">
        <f>IFERROR(__xludf.DUMMYFUNCTION("""COMPUTED_VALUE"""),"BLACK")</f>
        <v>BLACK</v>
      </c>
      <c r="G8363" s="20" t="str">
        <f>IFERROR(__xludf.DUMMYFUNCTION("""COMPUTED_VALUE"""),"Uncle Sams Cider (5/13/2022)")</f>
        <v>Uncle Sams Cider (5/13/2022)</v>
      </c>
      <c r="H8363" s="19"/>
    </row>
    <row r="8364">
      <c r="A8364" s="9"/>
      <c r="B8364" s="15"/>
      <c r="C8364" s="9">
        <f>IFERROR(__xludf.DUMMYFUNCTION("""COMPUTED_VALUE"""),44709.4075174768)</f>
        <v>44709.40752</v>
      </c>
      <c r="D8364" s="15">
        <f>IFERROR(__xludf.DUMMYFUNCTION("""COMPUTED_VALUE"""),1.024)</f>
        <v>1.024</v>
      </c>
      <c r="E8364" s="16">
        <f>IFERROR(__xludf.DUMMYFUNCTION("""COMPUTED_VALUE"""),70.0)</f>
        <v>70</v>
      </c>
      <c r="F8364" s="19" t="str">
        <f>IFERROR(__xludf.DUMMYFUNCTION("""COMPUTED_VALUE"""),"BLACK")</f>
        <v>BLACK</v>
      </c>
      <c r="G8364" s="20" t="str">
        <f>IFERROR(__xludf.DUMMYFUNCTION("""COMPUTED_VALUE"""),"Uncle Sams Cider (5/13/2022)")</f>
        <v>Uncle Sams Cider (5/13/2022)</v>
      </c>
      <c r="H8364" s="19"/>
    </row>
    <row r="8365">
      <c r="A8365" s="9"/>
      <c r="B8365" s="15"/>
      <c r="C8365" s="9">
        <f>IFERROR(__xludf.DUMMYFUNCTION("""COMPUTED_VALUE"""),44709.3970954745)</f>
        <v>44709.3971</v>
      </c>
      <c r="D8365" s="15">
        <f>IFERROR(__xludf.DUMMYFUNCTION("""COMPUTED_VALUE"""),1.024)</f>
        <v>1.024</v>
      </c>
      <c r="E8365" s="16">
        <f>IFERROR(__xludf.DUMMYFUNCTION("""COMPUTED_VALUE"""),70.0)</f>
        <v>70</v>
      </c>
      <c r="F8365" s="19" t="str">
        <f>IFERROR(__xludf.DUMMYFUNCTION("""COMPUTED_VALUE"""),"BLACK")</f>
        <v>BLACK</v>
      </c>
      <c r="G8365" s="20" t="str">
        <f>IFERROR(__xludf.DUMMYFUNCTION("""COMPUTED_VALUE"""),"Uncle Sams Cider (5/13/2022)")</f>
        <v>Uncle Sams Cider (5/13/2022)</v>
      </c>
      <c r="H8365" s="19"/>
    </row>
    <row r="8366">
      <c r="A8366" s="9"/>
      <c r="B8366" s="15"/>
      <c r="C8366" s="9">
        <f>IFERROR(__xludf.DUMMYFUNCTION("""COMPUTED_VALUE"""),44709.3866741203)</f>
        <v>44709.38667</v>
      </c>
      <c r="D8366" s="15">
        <f>IFERROR(__xludf.DUMMYFUNCTION("""COMPUTED_VALUE"""),1.025)</f>
        <v>1.025</v>
      </c>
      <c r="E8366" s="16">
        <f>IFERROR(__xludf.DUMMYFUNCTION("""COMPUTED_VALUE"""),70.0)</f>
        <v>70</v>
      </c>
      <c r="F8366" s="19" t="str">
        <f>IFERROR(__xludf.DUMMYFUNCTION("""COMPUTED_VALUE"""),"BLACK")</f>
        <v>BLACK</v>
      </c>
      <c r="G8366" s="20" t="str">
        <f>IFERROR(__xludf.DUMMYFUNCTION("""COMPUTED_VALUE"""),"Uncle Sams Cider (5/13/2022)")</f>
        <v>Uncle Sams Cider (5/13/2022)</v>
      </c>
      <c r="H8366" s="19"/>
    </row>
    <row r="8367">
      <c r="A8367" s="9"/>
      <c r="B8367" s="15"/>
      <c r="C8367" s="9">
        <f>IFERROR(__xludf.DUMMYFUNCTION("""COMPUTED_VALUE"""),44709.3762535995)</f>
        <v>44709.37625</v>
      </c>
      <c r="D8367" s="15">
        <f>IFERROR(__xludf.DUMMYFUNCTION("""COMPUTED_VALUE"""),1.025)</f>
        <v>1.025</v>
      </c>
      <c r="E8367" s="16">
        <f>IFERROR(__xludf.DUMMYFUNCTION("""COMPUTED_VALUE"""),70.0)</f>
        <v>70</v>
      </c>
      <c r="F8367" s="19" t="str">
        <f>IFERROR(__xludf.DUMMYFUNCTION("""COMPUTED_VALUE"""),"BLACK")</f>
        <v>BLACK</v>
      </c>
      <c r="G8367" s="20" t="str">
        <f>IFERROR(__xludf.DUMMYFUNCTION("""COMPUTED_VALUE"""),"Uncle Sams Cider (5/13/2022)")</f>
        <v>Uncle Sams Cider (5/13/2022)</v>
      </c>
      <c r="H8367" s="19"/>
    </row>
    <row r="8368">
      <c r="A8368" s="9"/>
      <c r="B8368" s="15"/>
      <c r="C8368" s="9">
        <f>IFERROR(__xludf.DUMMYFUNCTION("""COMPUTED_VALUE"""),44709.3658335648)</f>
        <v>44709.36583</v>
      </c>
      <c r="D8368" s="15">
        <f>IFERROR(__xludf.DUMMYFUNCTION("""COMPUTED_VALUE"""),1.025)</f>
        <v>1.025</v>
      </c>
      <c r="E8368" s="16">
        <f>IFERROR(__xludf.DUMMYFUNCTION("""COMPUTED_VALUE"""),70.0)</f>
        <v>70</v>
      </c>
      <c r="F8368" s="19" t="str">
        <f>IFERROR(__xludf.DUMMYFUNCTION("""COMPUTED_VALUE"""),"BLACK")</f>
        <v>BLACK</v>
      </c>
      <c r="G8368" s="20" t="str">
        <f>IFERROR(__xludf.DUMMYFUNCTION("""COMPUTED_VALUE"""),"Uncle Sams Cider (5/13/2022)")</f>
        <v>Uncle Sams Cider (5/13/2022)</v>
      </c>
      <c r="H8368" s="19"/>
    </row>
    <row r="8369">
      <c r="A8369" s="9"/>
      <c r="B8369" s="15"/>
      <c r="C8369" s="9">
        <f>IFERROR(__xludf.DUMMYFUNCTION("""COMPUTED_VALUE"""),44709.3553903356)</f>
        <v>44709.35539</v>
      </c>
      <c r="D8369" s="15">
        <f>IFERROR(__xludf.DUMMYFUNCTION("""COMPUTED_VALUE"""),1.025)</f>
        <v>1.025</v>
      </c>
      <c r="E8369" s="16">
        <f>IFERROR(__xludf.DUMMYFUNCTION("""COMPUTED_VALUE"""),69.0)</f>
        <v>69</v>
      </c>
      <c r="F8369" s="19" t="str">
        <f>IFERROR(__xludf.DUMMYFUNCTION("""COMPUTED_VALUE"""),"BLACK")</f>
        <v>BLACK</v>
      </c>
      <c r="G8369" s="20" t="str">
        <f>IFERROR(__xludf.DUMMYFUNCTION("""COMPUTED_VALUE"""),"Uncle Sams Cider (5/13/2022)")</f>
        <v>Uncle Sams Cider (5/13/2022)</v>
      </c>
      <c r="H8369" s="19"/>
    </row>
    <row r="8370">
      <c r="A8370" s="9"/>
      <c r="B8370" s="15"/>
      <c r="C8370" s="9">
        <f>IFERROR(__xludf.DUMMYFUNCTION("""COMPUTED_VALUE"""),44709.3449696412)</f>
        <v>44709.34497</v>
      </c>
      <c r="D8370" s="15">
        <f>IFERROR(__xludf.DUMMYFUNCTION("""COMPUTED_VALUE"""),1.025)</f>
        <v>1.025</v>
      </c>
      <c r="E8370" s="16">
        <f>IFERROR(__xludf.DUMMYFUNCTION("""COMPUTED_VALUE"""),70.0)</f>
        <v>70</v>
      </c>
      <c r="F8370" s="19" t="str">
        <f>IFERROR(__xludf.DUMMYFUNCTION("""COMPUTED_VALUE"""),"BLACK")</f>
        <v>BLACK</v>
      </c>
      <c r="G8370" s="20" t="str">
        <f>IFERROR(__xludf.DUMMYFUNCTION("""COMPUTED_VALUE"""),"Uncle Sams Cider (5/13/2022)")</f>
        <v>Uncle Sams Cider (5/13/2022)</v>
      </c>
      <c r="H8370" s="19"/>
    </row>
    <row r="8371">
      <c r="A8371" s="9"/>
      <c r="B8371" s="15"/>
      <c r="C8371" s="9">
        <f>IFERROR(__xludf.DUMMYFUNCTION("""COMPUTED_VALUE"""),44709.3345487268)</f>
        <v>44709.33455</v>
      </c>
      <c r="D8371" s="15">
        <f>IFERROR(__xludf.DUMMYFUNCTION("""COMPUTED_VALUE"""),1.025)</f>
        <v>1.025</v>
      </c>
      <c r="E8371" s="16">
        <f>IFERROR(__xludf.DUMMYFUNCTION("""COMPUTED_VALUE"""),69.0)</f>
        <v>69</v>
      </c>
      <c r="F8371" s="19" t="str">
        <f>IFERROR(__xludf.DUMMYFUNCTION("""COMPUTED_VALUE"""),"BLACK")</f>
        <v>BLACK</v>
      </c>
      <c r="G8371" s="20" t="str">
        <f>IFERROR(__xludf.DUMMYFUNCTION("""COMPUTED_VALUE"""),"Uncle Sams Cider (5/13/2022)")</f>
        <v>Uncle Sams Cider (5/13/2022)</v>
      </c>
      <c r="H8371" s="19"/>
    </row>
    <row r="8372">
      <c r="A8372" s="9"/>
      <c r="B8372" s="15"/>
      <c r="C8372" s="9">
        <f>IFERROR(__xludf.DUMMYFUNCTION("""COMPUTED_VALUE"""),44709.3241267708)</f>
        <v>44709.32413</v>
      </c>
      <c r="D8372" s="15">
        <f>IFERROR(__xludf.DUMMYFUNCTION("""COMPUTED_VALUE"""),1.025)</f>
        <v>1.025</v>
      </c>
      <c r="E8372" s="16">
        <f>IFERROR(__xludf.DUMMYFUNCTION("""COMPUTED_VALUE"""),70.0)</f>
        <v>70</v>
      </c>
      <c r="F8372" s="19" t="str">
        <f>IFERROR(__xludf.DUMMYFUNCTION("""COMPUTED_VALUE"""),"BLACK")</f>
        <v>BLACK</v>
      </c>
      <c r="G8372" s="20" t="str">
        <f>IFERROR(__xludf.DUMMYFUNCTION("""COMPUTED_VALUE"""),"Uncle Sams Cider (5/13/2022)")</f>
        <v>Uncle Sams Cider (5/13/2022)</v>
      </c>
      <c r="H8372" s="19"/>
    </row>
    <row r="8373">
      <c r="A8373" s="9"/>
      <c r="B8373" s="15"/>
      <c r="C8373" s="9">
        <f>IFERROR(__xludf.DUMMYFUNCTION("""COMPUTED_VALUE"""),44709.3136928125)</f>
        <v>44709.31369</v>
      </c>
      <c r="D8373" s="15">
        <f>IFERROR(__xludf.DUMMYFUNCTION("""COMPUTED_VALUE"""),1.025)</f>
        <v>1.025</v>
      </c>
      <c r="E8373" s="16">
        <f>IFERROR(__xludf.DUMMYFUNCTION("""COMPUTED_VALUE"""),69.0)</f>
        <v>69</v>
      </c>
      <c r="F8373" s="19" t="str">
        <f>IFERROR(__xludf.DUMMYFUNCTION("""COMPUTED_VALUE"""),"BLACK")</f>
        <v>BLACK</v>
      </c>
      <c r="G8373" s="20" t="str">
        <f>IFERROR(__xludf.DUMMYFUNCTION("""COMPUTED_VALUE"""),"Uncle Sams Cider (5/13/2022)")</f>
        <v>Uncle Sams Cider (5/13/2022)</v>
      </c>
      <c r="H8373" s="19"/>
    </row>
    <row r="8374">
      <c r="A8374" s="9"/>
      <c r="B8374" s="15"/>
      <c r="C8374" s="9">
        <f>IFERROR(__xludf.DUMMYFUNCTION("""COMPUTED_VALUE"""),44709.3032600115)</f>
        <v>44709.30326</v>
      </c>
      <c r="D8374" s="15">
        <f>IFERROR(__xludf.DUMMYFUNCTION("""COMPUTED_VALUE"""),1.025)</f>
        <v>1.025</v>
      </c>
      <c r="E8374" s="16">
        <f>IFERROR(__xludf.DUMMYFUNCTION("""COMPUTED_VALUE"""),69.0)</f>
        <v>69</v>
      </c>
      <c r="F8374" s="19" t="str">
        <f>IFERROR(__xludf.DUMMYFUNCTION("""COMPUTED_VALUE"""),"BLACK")</f>
        <v>BLACK</v>
      </c>
      <c r="G8374" s="20" t="str">
        <f>IFERROR(__xludf.DUMMYFUNCTION("""COMPUTED_VALUE"""),"Uncle Sams Cider (5/13/2022)")</f>
        <v>Uncle Sams Cider (5/13/2022)</v>
      </c>
      <c r="H8374" s="19"/>
    </row>
    <row r="8375">
      <c r="A8375" s="9"/>
      <c r="B8375" s="15"/>
      <c r="C8375" s="9">
        <f>IFERROR(__xludf.DUMMYFUNCTION("""COMPUTED_VALUE"""),44709.2928267939)</f>
        <v>44709.29283</v>
      </c>
      <c r="D8375" s="15">
        <f>IFERROR(__xludf.DUMMYFUNCTION("""COMPUTED_VALUE"""),1.025)</f>
        <v>1.025</v>
      </c>
      <c r="E8375" s="16">
        <f>IFERROR(__xludf.DUMMYFUNCTION("""COMPUTED_VALUE"""),69.0)</f>
        <v>69</v>
      </c>
      <c r="F8375" s="19" t="str">
        <f>IFERROR(__xludf.DUMMYFUNCTION("""COMPUTED_VALUE"""),"BLACK")</f>
        <v>BLACK</v>
      </c>
      <c r="G8375" s="20" t="str">
        <f>IFERROR(__xludf.DUMMYFUNCTION("""COMPUTED_VALUE"""),"Uncle Sams Cider (5/13/2022)")</f>
        <v>Uncle Sams Cider (5/13/2022)</v>
      </c>
      <c r="H8375" s="19"/>
    </row>
    <row r="8376">
      <c r="A8376" s="9"/>
      <c r="B8376" s="15"/>
      <c r="C8376" s="9">
        <f>IFERROR(__xludf.DUMMYFUNCTION("""COMPUTED_VALUE"""),44709.2824061226)</f>
        <v>44709.28241</v>
      </c>
      <c r="D8376" s="15">
        <f>IFERROR(__xludf.DUMMYFUNCTION("""COMPUTED_VALUE"""),1.025)</f>
        <v>1.025</v>
      </c>
      <c r="E8376" s="16">
        <f>IFERROR(__xludf.DUMMYFUNCTION("""COMPUTED_VALUE"""),69.0)</f>
        <v>69</v>
      </c>
      <c r="F8376" s="19" t="str">
        <f>IFERROR(__xludf.DUMMYFUNCTION("""COMPUTED_VALUE"""),"BLACK")</f>
        <v>BLACK</v>
      </c>
      <c r="G8376" s="20" t="str">
        <f>IFERROR(__xludf.DUMMYFUNCTION("""COMPUTED_VALUE"""),"Uncle Sams Cider (5/13/2022)")</f>
        <v>Uncle Sams Cider (5/13/2022)</v>
      </c>
      <c r="H8376" s="19"/>
    </row>
    <row r="8377">
      <c r="A8377" s="9"/>
      <c r="B8377" s="15"/>
      <c r="C8377" s="9">
        <f>IFERROR(__xludf.DUMMYFUNCTION("""COMPUTED_VALUE"""),44709.2719733217)</f>
        <v>44709.27197</v>
      </c>
      <c r="D8377" s="15">
        <f>IFERROR(__xludf.DUMMYFUNCTION("""COMPUTED_VALUE"""),1.025)</f>
        <v>1.025</v>
      </c>
      <c r="E8377" s="16">
        <f>IFERROR(__xludf.DUMMYFUNCTION("""COMPUTED_VALUE"""),69.0)</f>
        <v>69</v>
      </c>
      <c r="F8377" s="19" t="str">
        <f>IFERROR(__xludf.DUMMYFUNCTION("""COMPUTED_VALUE"""),"BLACK")</f>
        <v>BLACK</v>
      </c>
      <c r="G8377" s="20" t="str">
        <f>IFERROR(__xludf.DUMMYFUNCTION("""COMPUTED_VALUE"""),"Uncle Sams Cider (5/13/2022)")</f>
        <v>Uncle Sams Cider (5/13/2022)</v>
      </c>
      <c r="H8377" s="19"/>
    </row>
    <row r="8378">
      <c r="A8378" s="9"/>
      <c r="B8378" s="15"/>
      <c r="C8378" s="9">
        <f>IFERROR(__xludf.DUMMYFUNCTION("""COMPUTED_VALUE"""),44709.26155)</f>
        <v>44709.26155</v>
      </c>
      <c r="D8378" s="15">
        <f>IFERROR(__xludf.DUMMYFUNCTION("""COMPUTED_VALUE"""),1.025)</f>
        <v>1.025</v>
      </c>
      <c r="E8378" s="16">
        <f>IFERROR(__xludf.DUMMYFUNCTION("""COMPUTED_VALUE"""),69.0)</f>
        <v>69</v>
      </c>
      <c r="F8378" s="19" t="str">
        <f>IFERROR(__xludf.DUMMYFUNCTION("""COMPUTED_VALUE"""),"BLACK")</f>
        <v>BLACK</v>
      </c>
      <c r="G8378" s="20" t="str">
        <f>IFERROR(__xludf.DUMMYFUNCTION("""COMPUTED_VALUE"""),"Uncle Sams Cider (5/13/2022)")</f>
        <v>Uncle Sams Cider (5/13/2022)</v>
      </c>
      <c r="H8378" s="19"/>
    </row>
    <row r="8379">
      <c r="A8379" s="9"/>
      <c r="B8379" s="15"/>
      <c r="C8379" s="9">
        <f>IFERROR(__xludf.DUMMYFUNCTION("""COMPUTED_VALUE"""),44709.251116574)</f>
        <v>44709.25112</v>
      </c>
      <c r="D8379" s="15">
        <f>IFERROR(__xludf.DUMMYFUNCTION("""COMPUTED_VALUE"""),1.025)</f>
        <v>1.025</v>
      </c>
      <c r="E8379" s="16">
        <f>IFERROR(__xludf.DUMMYFUNCTION("""COMPUTED_VALUE"""),69.0)</f>
        <v>69</v>
      </c>
      <c r="F8379" s="19" t="str">
        <f>IFERROR(__xludf.DUMMYFUNCTION("""COMPUTED_VALUE"""),"BLACK")</f>
        <v>BLACK</v>
      </c>
      <c r="G8379" s="20" t="str">
        <f>IFERROR(__xludf.DUMMYFUNCTION("""COMPUTED_VALUE"""),"Uncle Sams Cider (5/13/2022)")</f>
        <v>Uncle Sams Cider (5/13/2022)</v>
      </c>
      <c r="H8379" s="19"/>
    </row>
    <row r="8380">
      <c r="A8380" s="9"/>
      <c r="B8380" s="15"/>
      <c r="C8380" s="9">
        <f>IFERROR(__xludf.DUMMYFUNCTION("""COMPUTED_VALUE"""),44709.2406949305)</f>
        <v>44709.24069</v>
      </c>
      <c r="D8380" s="15">
        <f>IFERROR(__xludf.DUMMYFUNCTION("""COMPUTED_VALUE"""),1.025)</f>
        <v>1.025</v>
      </c>
      <c r="E8380" s="16">
        <f>IFERROR(__xludf.DUMMYFUNCTION("""COMPUTED_VALUE"""),69.0)</f>
        <v>69</v>
      </c>
      <c r="F8380" s="19" t="str">
        <f>IFERROR(__xludf.DUMMYFUNCTION("""COMPUTED_VALUE"""),"BLACK")</f>
        <v>BLACK</v>
      </c>
      <c r="G8380" s="20" t="str">
        <f>IFERROR(__xludf.DUMMYFUNCTION("""COMPUTED_VALUE"""),"Uncle Sams Cider (5/13/2022)")</f>
        <v>Uncle Sams Cider (5/13/2022)</v>
      </c>
      <c r="H8380" s="19"/>
    </row>
    <row r="8381">
      <c r="A8381" s="9"/>
      <c r="B8381" s="15"/>
      <c r="C8381" s="9">
        <f>IFERROR(__xludf.DUMMYFUNCTION("""COMPUTED_VALUE"""),44709.2302744444)</f>
        <v>44709.23027</v>
      </c>
      <c r="D8381" s="15">
        <f>IFERROR(__xludf.DUMMYFUNCTION("""COMPUTED_VALUE"""),1.025)</f>
        <v>1.025</v>
      </c>
      <c r="E8381" s="16">
        <f>IFERROR(__xludf.DUMMYFUNCTION("""COMPUTED_VALUE"""),69.0)</f>
        <v>69</v>
      </c>
      <c r="F8381" s="19" t="str">
        <f>IFERROR(__xludf.DUMMYFUNCTION("""COMPUTED_VALUE"""),"BLACK")</f>
        <v>BLACK</v>
      </c>
      <c r="G8381" s="20" t="str">
        <f>IFERROR(__xludf.DUMMYFUNCTION("""COMPUTED_VALUE"""),"Uncle Sams Cider (5/13/2022)")</f>
        <v>Uncle Sams Cider (5/13/2022)</v>
      </c>
      <c r="H8381" s="19"/>
    </row>
    <row r="8382">
      <c r="A8382" s="9"/>
      <c r="B8382" s="15"/>
      <c r="C8382" s="9">
        <f>IFERROR(__xludf.DUMMYFUNCTION("""COMPUTED_VALUE"""),44709.2198539004)</f>
        <v>44709.21985</v>
      </c>
      <c r="D8382" s="15">
        <f>IFERROR(__xludf.DUMMYFUNCTION("""COMPUTED_VALUE"""),1.025)</f>
        <v>1.025</v>
      </c>
      <c r="E8382" s="16">
        <f>IFERROR(__xludf.DUMMYFUNCTION("""COMPUTED_VALUE"""),69.0)</f>
        <v>69</v>
      </c>
      <c r="F8382" s="19" t="str">
        <f>IFERROR(__xludf.DUMMYFUNCTION("""COMPUTED_VALUE"""),"BLACK")</f>
        <v>BLACK</v>
      </c>
      <c r="G8382" s="20" t="str">
        <f>IFERROR(__xludf.DUMMYFUNCTION("""COMPUTED_VALUE"""),"Uncle Sams Cider (5/13/2022)")</f>
        <v>Uncle Sams Cider (5/13/2022)</v>
      </c>
      <c r="H8382" s="19"/>
    </row>
    <row r="8383">
      <c r="A8383" s="9"/>
      <c r="B8383" s="15"/>
      <c r="C8383" s="9">
        <f>IFERROR(__xludf.DUMMYFUNCTION("""COMPUTED_VALUE"""),44709.20943228)</f>
        <v>44709.20943</v>
      </c>
      <c r="D8383" s="15">
        <f>IFERROR(__xludf.DUMMYFUNCTION("""COMPUTED_VALUE"""),1.025)</f>
        <v>1.025</v>
      </c>
      <c r="E8383" s="16">
        <f>IFERROR(__xludf.DUMMYFUNCTION("""COMPUTED_VALUE"""),69.0)</f>
        <v>69</v>
      </c>
      <c r="F8383" s="19" t="str">
        <f>IFERROR(__xludf.DUMMYFUNCTION("""COMPUTED_VALUE"""),"BLACK")</f>
        <v>BLACK</v>
      </c>
      <c r="G8383" s="20" t="str">
        <f>IFERROR(__xludf.DUMMYFUNCTION("""COMPUTED_VALUE"""),"Uncle Sams Cider (5/13/2022)")</f>
        <v>Uncle Sams Cider (5/13/2022)</v>
      </c>
      <c r="H8383" s="19"/>
    </row>
    <row r="8384">
      <c r="A8384" s="9"/>
      <c r="B8384" s="15"/>
      <c r="C8384" s="9">
        <f>IFERROR(__xludf.DUMMYFUNCTION("""COMPUTED_VALUE"""),44709.1990119907)</f>
        <v>44709.19901</v>
      </c>
      <c r="D8384" s="15">
        <f>IFERROR(__xludf.DUMMYFUNCTION("""COMPUTED_VALUE"""),1.025)</f>
        <v>1.025</v>
      </c>
      <c r="E8384" s="16">
        <f>IFERROR(__xludf.DUMMYFUNCTION("""COMPUTED_VALUE"""),69.0)</f>
        <v>69</v>
      </c>
      <c r="F8384" s="19" t="str">
        <f>IFERROR(__xludf.DUMMYFUNCTION("""COMPUTED_VALUE"""),"BLACK")</f>
        <v>BLACK</v>
      </c>
      <c r="G8384" s="20" t="str">
        <f>IFERROR(__xludf.DUMMYFUNCTION("""COMPUTED_VALUE"""),"Uncle Sams Cider (5/13/2022)")</f>
        <v>Uncle Sams Cider (5/13/2022)</v>
      </c>
      <c r="H8384" s="19"/>
    </row>
    <row r="8385">
      <c r="A8385" s="9"/>
      <c r="B8385" s="15"/>
      <c r="C8385" s="9">
        <f>IFERROR(__xludf.DUMMYFUNCTION("""COMPUTED_VALUE"""),44709.1885889583)</f>
        <v>44709.18859</v>
      </c>
      <c r="D8385" s="15">
        <f>IFERROR(__xludf.DUMMYFUNCTION("""COMPUTED_VALUE"""),1.025)</f>
        <v>1.025</v>
      </c>
      <c r="E8385" s="16">
        <f>IFERROR(__xludf.DUMMYFUNCTION("""COMPUTED_VALUE"""),69.0)</f>
        <v>69</v>
      </c>
      <c r="F8385" s="19" t="str">
        <f>IFERROR(__xludf.DUMMYFUNCTION("""COMPUTED_VALUE"""),"BLACK")</f>
        <v>BLACK</v>
      </c>
      <c r="G8385" s="20" t="str">
        <f>IFERROR(__xludf.DUMMYFUNCTION("""COMPUTED_VALUE"""),"Uncle Sams Cider (5/13/2022)")</f>
        <v>Uncle Sams Cider (5/13/2022)</v>
      </c>
      <c r="H8385" s="19"/>
    </row>
    <row r="8386">
      <c r="A8386" s="9"/>
      <c r="B8386" s="15"/>
      <c r="C8386" s="9">
        <f>IFERROR(__xludf.DUMMYFUNCTION("""COMPUTED_VALUE"""),44709.178166956)</f>
        <v>44709.17817</v>
      </c>
      <c r="D8386" s="15">
        <f>IFERROR(__xludf.DUMMYFUNCTION("""COMPUTED_VALUE"""),1.025)</f>
        <v>1.025</v>
      </c>
      <c r="E8386" s="16">
        <f>IFERROR(__xludf.DUMMYFUNCTION("""COMPUTED_VALUE"""),69.0)</f>
        <v>69</v>
      </c>
      <c r="F8386" s="19" t="str">
        <f>IFERROR(__xludf.DUMMYFUNCTION("""COMPUTED_VALUE"""),"BLACK")</f>
        <v>BLACK</v>
      </c>
      <c r="G8386" s="20" t="str">
        <f>IFERROR(__xludf.DUMMYFUNCTION("""COMPUTED_VALUE"""),"Uncle Sams Cider (5/13/2022)")</f>
        <v>Uncle Sams Cider (5/13/2022)</v>
      </c>
      <c r="H8386" s="19"/>
    </row>
    <row r="8387">
      <c r="A8387" s="9"/>
      <c r="B8387" s="15"/>
      <c r="C8387" s="9">
        <f>IFERROR(__xludf.DUMMYFUNCTION("""COMPUTED_VALUE"""),44709.1677453703)</f>
        <v>44709.16775</v>
      </c>
      <c r="D8387" s="15">
        <f>IFERROR(__xludf.DUMMYFUNCTION("""COMPUTED_VALUE"""),1.025)</f>
        <v>1.025</v>
      </c>
      <c r="E8387" s="16">
        <f>IFERROR(__xludf.DUMMYFUNCTION("""COMPUTED_VALUE"""),69.0)</f>
        <v>69</v>
      </c>
      <c r="F8387" s="19" t="str">
        <f>IFERROR(__xludf.DUMMYFUNCTION("""COMPUTED_VALUE"""),"BLACK")</f>
        <v>BLACK</v>
      </c>
      <c r="G8387" s="20" t="str">
        <f>IFERROR(__xludf.DUMMYFUNCTION("""COMPUTED_VALUE"""),"Uncle Sams Cider (5/13/2022)")</f>
        <v>Uncle Sams Cider (5/13/2022)</v>
      </c>
      <c r="H8387" s="19"/>
    </row>
    <row r="8388">
      <c r="A8388" s="9"/>
      <c r="B8388" s="15"/>
      <c r="C8388" s="9">
        <f>IFERROR(__xludf.DUMMYFUNCTION("""COMPUTED_VALUE"""),44709.1573229398)</f>
        <v>44709.15732</v>
      </c>
      <c r="D8388" s="15">
        <f>IFERROR(__xludf.DUMMYFUNCTION("""COMPUTED_VALUE"""),1.025)</f>
        <v>1.025</v>
      </c>
      <c r="E8388" s="16">
        <f>IFERROR(__xludf.DUMMYFUNCTION("""COMPUTED_VALUE"""),69.0)</f>
        <v>69</v>
      </c>
      <c r="F8388" s="19" t="str">
        <f>IFERROR(__xludf.DUMMYFUNCTION("""COMPUTED_VALUE"""),"BLACK")</f>
        <v>BLACK</v>
      </c>
      <c r="G8388" s="20" t="str">
        <f>IFERROR(__xludf.DUMMYFUNCTION("""COMPUTED_VALUE"""),"Uncle Sams Cider (5/13/2022)")</f>
        <v>Uncle Sams Cider (5/13/2022)</v>
      </c>
      <c r="H8388" s="19"/>
    </row>
    <row r="8389">
      <c r="A8389" s="9"/>
      <c r="B8389" s="15"/>
      <c r="C8389" s="9">
        <f>IFERROR(__xludf.DUMMYFUNCTION("""COMPUTED_VALUE"""),44709.1469029282)</f>
        <v>44709.1469</v>
      </c>
      <c r="D8389" s="15">
        <f>IFERROR(__xludf.DUMMYFUNCTION("""COMPUTED_VALUE"""),1.025)</f>
        <v>1.025</v>
      </c>
      <c r="E8389" s="16">
        <f>IFERROR(__xludf.DUMMYFUNCTION("""COMPUTED_VALUE"""),69.0)</f>
        <v>69</v>
      </c>
      <c r="F8389" s="19" t="str">
        <f>IFERROR(__xludf.DUMMYFUNCTION("""COMPUTED_VALUE"""),"BLACK")</f>
        <v>BLACK</v>
      </c>
      <c r="G8389" s="20" t="str">
        <f>IFERROR(__xludf.DUMMYFUNCTION("""COMPUTED_VALUE"""),"Uncle Sams Cider (5/13/2022)")</f>
        <v>Uncle Sams Cider (5/13/2022)</v>
      </c>
      <c r="H8389" s="19"/>
    </row>
    <row r="8390">
      <c r="A8390" s="9"/>
      <c r="B8390" s="15"/>
      <c r="C8390" s="9">
        <f>IFERROR(__xludf.DUMMYFUNCTION("""COMPUTED_VALUE"""),44709.136484074)</f>
        <v>44709.13648</v>
      </c>
      <c r="D8390" s="15">
        <f>IFERROR(__xludf.DUMMYFUNCTION("""COMPUTED_VALUE"""),1.025)</f>
        <v>1.025</v>
      </c>
      <c r="E8390" s="16">
        <f>IFERROR(__xludf.DUMMYFUNCTION("""COMPUTED_VALUE"""),69.0)</f>
        <v>69</v>
      </c>
      <c r="F8390" s="19" t="str">
        <f>IFERROR(__xludf.DUMMYFUNCTION("""COMPUTED_VALUE"""),"BLACK")</f>
        <v>BLACK</v>
      </c>
      <c r="G8390" s="20" t="str">
        <f>IFERROR(__xludf.DUMMYFUNCTION("""COMPUTED_VALUE"""),"Uncle Sams Cider (5/13/2022)")</f>
        <v>Uncle Sams Cider (5/13/2022)</v>
      </c>
      <c r="H8390" s="19"/>
    </row>
    <row r="8391">
      <c r="A8391" s="9"/>
      <c r="B8391" s="15"/>
      <c r="C8391" s="9">
        <f>IFERROR(__xludf.DUMMYFUNCTION("""COMPUTED_VALUE"""),44709.1260635648)</f>
        <v>44709.12606</v>
      </c>
      <c r="D8391" s="15">
        <f>IFERROR(__xludf.DUMMYFUNCTION("""COMPUTED_VALUE"""),1.025)</f>
        <v>1.025</v>
      </c>
      <c r="E8391" s="16">
        <f>IFERROR(__xludf.DUMMYFUNCTION("""COMPUTED_VALUE"""),69.0)</f>
        <v>69</v>
      </c>
      <c r="F8391" s="19" t="str">
        <f>IFERROR(__xludf.DUMMYFUNCTION("""COMPUTED_VALUE"""),"BLACK")</f>
        <v>BLACK</v>
      </c>
      <c r="G8391" s="20" t="str">
        <f>IFERROR(__xludf.DUMMYFUNCTION("""COMPUTED_VALUE"""),"Uncle Sams Cider (5/13/2022)")</f>
        <v>Uncle Sams Cider (5/13/2022)</v>
      </c>
      <c r="H8391" s="19"/>
    </row>
    <row r="8392">
      <c r="A8392" s="9"/>
      <c r="B8392" s="15"/>
      <c r="C8392" s="9">
        <f>IFERROR(__xludf.DUMMYFUNCTION("""COMPUTED_VALUE"""),44709.1156429976)</f>
        <v>44709.11564</v>
      </c>
      <c r="D8392" s="15">
        <f>IFERROR(__xludf.DUMMYFUNCTION("""COMPUTED_VALUE"""),1.025)</f>
        <v>1.025</v>
      </c>
      <c r="E8392" s="16">
        <f>IFERROR(__xludf.DUMMYFUNCTION("""COMPUTED_VALUE"""),69.0)</f>
        <v>69</v>
      </c>
      <c r="F8392" s="19" t="str">
        <f>IFERROR(__xludf.DUMMYFUNCTION("""COMPUTED_VALUE"""),"BLACK")</f>
        <v>BLACK</v>
      </c>
      <c r="G8392" s="20" t="str">
        <f>IFERROR(__xludf.DUMMYFUNCTION("""COMPUTED_VALUE"""),"Uncle Sams Cider (5/13/2022)")</f>
        <v>Uncle Sams Cider (5/13/2022)</v>
      </c>
      <c r="H8392" s="19"/>
    </row>
    <row r="8393">
      <c r="A8393" s="9"/>
      <c r="B8393" s="15"/>
      <c r="C8393" s="9">
        <f>IFERROR(__xludf.DUMMYFUNCTION("""COMPUTED_VALUE"""),44709.1052209143)</f>
        <v>44709.10522</v>
      </c>
      <c r="D8393" s="15">
        <f>IFERROR(__xludf.DUMMYFUNCTION("""COMPUTED_VALUE"""),1.025)</f>
        <v>1.025</v>
      </c>
      <c r="E8393" s="16">
        <f>IFERROR(__xludf.DUMMYFUNCTION("""COMPUTED_VALUE"""),69.0)</f>
        <v>69</v>
      </c>
      <c r="F8393" s="19" t="str">
        <f>IFERROR(__xludf.DUMMYFUNCTION("""COMPUTED_VALUE"""),"BLACK")</f>
        <v>BLACK</v>
      </c>
      <c r="G8393" s="20" t="str">
        <f>IFERROR(__xludf.DUMMYFUNCTION("""COMPUTED_VALUE"""),"Uncle Sams Cider (5/13/2022)")</f>
        <v>Uncle Sams Cider (5/13/2022)</v>
      </c>
      <c r="H8393" s="19"/>
    </row>
    <row r="8394">
      <c r="A8394" s="9"/>
      <c r="B8394" s="15"/>
      <c r="C8394" s="9">
        <f>IFERROR(__xludf.DUMMYFUNCTION("""COMPUTED_VALUE"""),44709.0948005787)</f>
        <v>44709.0948</v>
      </c>
      <c r="D8394" s="15">
        <f>IFERROR(__xludf.DUMMYFUNCTION("""COMPUTED_VALUE"""),1.025)</f>
        <v>1.025</v>
      </c>
      <c r="E8394" s="16">
        <f>IFERROR(__xludf.DUMMYFUNCTION("""COMPUTED_VALUE"""),69.0)</f>
        <v>69</v>
      </c>
      <c r="F8394" s="19" t="str">
        <f>IFERROR(__xludf.DUMMYFUNCTION("""COMPUTED_VALUE"""),"BLACK")</f>
        <v>BLACK</v>
      </c>
      <c r="G8394" s="20" t="str">
        <f>IFERROR(__xludf.DUMMYFUNCTION("""COMPUTED_VALUE"""),"Uncle Sams Cider (5/13/2022)")</f>
        <v>Uncle Sams Cider (5/13/2022)</v>
      </c>
      <c r="H8394" s="19"/>
    </row>
    <row r="8395">
      <c r="A8395" s="9"/>
      <c r="B8395" s="15"/>
      <c r="C8395" s="9">
        <f>IFERROR(__xludf.DUMMYFUNCTION("""COMPUTED_VALUE"""),44709.0843794791)</f>
        <v>44709.08438</v>
      </c>
      <c r="D8395" s="15">
        <f>IFERROR(__xludf.DUMMYFUNCTION("""COMPUTED_VALUE"""),1.025)</f>
        <v>1.025</v>
      </c>
      <c r="E8395" s="16">
        <f>IFERROR(__xludf.DUMMYFUNCTION("""COMPUTED_VALUE"""),69.0)</f>
        <v>69</v>
      </c>
      <c r="F8395" s="19" t="str">
        <f>IFERROR(__xludf.DUMMYFUNCTION("""COMPUTED_VALUE"""),"BLACK")</f>
        <v>BLACK</v>
      </c>
      <c r="G8395" s="20" t="str">
        <f>IFERROR(__xludf.DUMMYFUNCTION("""COMPUTED_VALUE"""),"Uncle Sams Cider (5/13/2022)")</f>
        <v>Uncle Sams Cider (5/13/2022)</v>
      </c>
      <c r="H8395" s="19"/>
    </row>
    <row r="8396">
      <c r="A8396" s="9"/>
      <c r="B8396" s="15"/>
      <c r="C8396" s="9">
        <f>IFERROR(__xludf.DUMMYFUNCTION("""COMPUTED_VALUE"""),44709.0739608333)</f>
        <v>44709.07396</v>
      </c>
      <c r="D8396" s="15">
        <f>IFERROR(__xludf.DUMMYFUNCTION("""COMPUTED_VALUE"""),1.026)</f>
        <v>1.026</v>
      </c>
      <c r="E8396" s="16">
        <f>IFERROR(__xludf.DUMMYFUNCTION("""COMPUTED_VALUE"""),69.0)</f>
        <v>69</v>
      </c>
      <c r="F8396" s="19" t="str">
        <f>IFERROR(__xludf.DUMMYFUNCTION("""COMPUTED_VALUE"""),"BLACK")</f>
        <v>BLACK</v>
      </c>
      <c r="G8396" s="20" t="str">
        <f>IFERROR(__xludf.DUMMYFUNCTION("""COMPUTED_VALUE"""),"Uncle Sams Cider (5/13/2022)")</f>
        <v>Uncle Sams Cider (5/13/2022)</v>
      </c>
      <c r="H8396" s="19"/>
    </row>
    <row r="8397">
      <c r="A8397" s="9"/>
      <c r="B8397" s="15"/>
      <c r="C8397" s="9">
        <f>IFERROR(__xludf.DUMMYFUNCTION("""COMPUTED_VALUE"""),44709.0635283564)</f>
        <v>44709.06353</v>
      </c>
      <c r="D8397" s="15">
        <f>IFERROR(__xludf.DUMMYFUNCTION("""COMPUTED_VALUE"""),1.025)</f>
        <v>1.025</v>
      </c>
      <c r="E8397" s="16">
        <f>IFERROR(__xludf.DUMMYFUNCTION("""COMPUTED_VALUE"""),69.0)</f>
        <v>69</v>
      </c>
      <c r="F8397" s="19" t="str">
        <f>IFERROR(__xludf.DUMMYFUNCTION("""COMPUTED_VALUE"""),"BLACK")</f>
        <v>BLACK</v>
      </c>
      <c r="G8397" s="20" t="str">
        <f>IFERROR(__xludf.DUMMYFUNCTION("""COMPUTED_VALUE"""),"Uncle Sams Cider (5/13/2022)")</f>
        <v>Uncle Sams Cider (5/13/2022)</v>
      </c>
      <c r="H8397" s="19"/>
    </row>
    <row r="8398">
      <c r="A8398" s="9"/>
      <c r="B8398" s="15"/>
      <c r="C8398" s="9">
        <f>IFERROR(__xludf.DUMMYFUNCTION("""COMPUTED_VALUE"""),44709.0531087731)</f>
        <v>44709.05311</v>
      </c>
      <c r="D8398" s="15">
        <f>IFERROR(__xludf.DUMMYFUNCTION("""COMPUTED_VALUE"""),1.025)</f>
        <v>1.025</v>
      </c>
      <c r="E8398" s="16">
        <f>IFERROR(__xludf.DUMMYFUNCTION("""COMPUTED_VALUE"""),69.0)</f>
        <v>69</v>
      </c>
      <c r="F8398" s="19" t="str">
        <f>IFERROR(__xludf.DUMMYFUNCTION("""COMPUTED_VALUE"""),"BLACK")</f>
        <v>BLACK</v>
      </c>
      <c r="G8398" s="20" t="str">
        <f>IFERROR(__xludf.DUMMYFUNCTION("""COMPUTED_VALUE"""),"Uncle Sams Cider (5/13/2022)")</f>
        <v>Uncle Sams Cider (5/13/2022)</v>
      </c>
      <c r="H8398" s="19"/>
    </row>
    <row r="8399">
      <c r="A8399" s="9"/>
      <c r="B8399" s="15"/>
      <c r="C8399" s="9">
        <f>IFERROR(__xludf.DUMMYFUNCTION("""COMPUTED_VALUE"""),44709.0426876851)</f>
        <v>44709.04269</v>
      </c>
      <c r="D8399" s="15">
        <f>IFERROR(__xludf.DUMMYFUNCTION("""COMPUTED_VALUE"""),1.025)</f>
        <v>1.025</v>
      </c>
      <c r="E8399" s="16">
        <f>IFERROR(__xludf.DUMMYFUNCTION("""COMPUTED_VALUE"""),69.0)</f>
        <v>69</v>
      </c>
      <c r="F8399" s="19" t="str">
        <f>IFERROR(__xludf.DUMMYFUNCTION("""COMPUTED_VALUE"""),"BLACK")</f>
        <v>BLACK</v>
      </c>
      <c r="G8399" s="20" t="str">
        <f>IFERROR(__xludf.DUMMYFUNCTION("""COMPUTED_VALUE"""),"Uncle Sams Cider (5/13/2022)")</f>
        <v>Uncle Sams Cider (5/13/2022)</v>
      </c>
      <c r="H8399" s="19"/>
    </row>
    <row r="8400">
      <c r="A8400" s="9"/>
      <c r="B8400" s="15"/>
      <c r="C8400" s="9">
        <f>IFERROR(__xludf.DUMMYFUNCTION("""COMPUTED_VALUE"""),44709.0322549652)</f>
        <v>44709.03225</v>
      </c>
      <c r="D8400" s="15">
        <f>IFERROR(__xludf.DUMMYFUNCTION("""COMPUTED_VALUE"""),1.026)</f>
        <v>1.026</v>
      </c>
      <c r="E8400" s="16">
        <f>IFERROR(__xludf.DUMMYFUNCTION("""COMPUTED_VALUE"""),69.0)</f>
        <v>69</v>
      </c>
      <c r="F8400" s="19" t="str">
        <f>IFERROR(__xludf.DUMMYFUNCTION("""COMPUTED_VALUE"""),"BLACK")</f>
        <v>BLACK</v>
      </c>
      <c r="G8400" s="20" t="str">
        <f>IFERROR(__xludf.DUMMYFUNCTION("""COMPUTED_VALUE"""),"Uncle Sams Cider (5/13/2022)")</f>
        <v>Uncle Sams Cider (5/13/2022)</v>
      </c>
      <c r="H8400" s="19"/>
    </row>
    <row r="8401">
      <c r="A8401" s="9"/>
      <c r="B8401" s="15"/>
      <c r="C8401" s="9">
        <f>IFERROR(__xludf.DUMMYFUNCTION("""COMPUTED_VALUE"""),44709.0218319097)</f>
        <v>44709.02183</v>
      </c>
      <c r="D8401" s="15">
        <f>IFERROR(__xludf.DUMMYFUNCTION("""COMPUTED_VALUE"""),1.025)</f>
        <v>1.025</v>
      </c>
      <c r="E8401" s="16">
        <f>IFERROR(__xludf.DUMMYFUNCTION("""COMPUTED_VALUE"""),69.0)</f>
        <v>69</v>
      </c>
      <c r="F8401" s="19" t="str">
        <f>IFERROR(__xludf.DUMMYFUNCTION("""COMPUTED_VALUE"""),"BLACK")</f>
        <v>BLACK</v>
      </c>
      <c r="G8401" s="20" t="str">
        <f>IFERROR(__xludf.DUMMYFUNCTION("""COMPUTED_VALUE"""),"Uncle Sams Cider (5/13/2022)")</f>
        <v>Uncle Sams Cider (5/13/2022)</v>
      </c>
      <c r="H8401" s="19"/>
    </row>
    <row r="8402">
      <c r="A8402" s="9"/>
      <c r="B8402" s="15"/>
      <c r="C8402" s="9">
        <f>IFERROR(__xludf.DUMMYFUNCTION("""COMPUTED_VALUE"""),44709.0113890162)</f>
        <v>44709.01139</v>
      </c>
      <c r="D8402" s="15">
        <f>IFERROR(__xludf.DUMMYFUNCTION("""COMPUTED_VALUE"""),1.026)</f>
        <v>1.026</v>
      </c>
      <c r="E8402" s="16">
        <f>IFERROR(__xludf.DUMMYFUNCTION("""COMPUTED_VALUE"""),69.0)</f>
        <v>69</v>
      </c>
      <c r="F8402" s="19" t="str">
        <f>IFERROR(__xludf.DUMMYFUNCTION("""COMPUTED_VALUE"""),"BLACK")</f>
        <v>BLACK</v>
      </c>
      <c r="G8402" s="20" t="str">
        <f>IFERROR(__xludf.DUMMYFUNCTION("""COMPUTED_VALUE"""),"Uncle Sams Cider (5/13/2022)")</f>
        <v>Uncle Sams Cider (5/13/2022)</v>
      </c>
      <c r="H8402" s="19"/>
    </row>
    <row r="8403">
      <c r="A8403" s="9"/>
      <c r="B8403" s="15"/>
      <c r="C8403" s="9">
        <f>IFERROR(__xludf.DUMMYFUNCTION("""COMPUTED_VALUE"""),44709.0009689814)</f>
        <v>44709.00097</v>
      </c>
      <c r="D8403" s="15">
        <f>IFERROR(__xludf.DUMMYFUNCTION("""COMPUTED_VALUE"""),1.026)</f>
        <v>1.026</v>
      </c>
      <c r="E8403" s="16">
        <f>IFERROR(__xludf.DUMMYFUNCTION("""COMPUTED_VALUE"""),69.0)</f>
        <v>69</v>
      </c>
      <c r="F8403" s="19" t="str">
        <f>IFERROR(__xludf.DUMMYFUNCTION("""COMPUTED_VALUE"""),"BLACK")</f>
        <v>BLACK</v>
      </c>
      <c r="G8403" s="20" t="str">
        <f>IFERROR(__xludf.DUMMYFUNCTION("""COMPUTED_VALUE"""),"Uncle Sams Cider (5/13/2022)")</f>
        <v>Uncle Sams Cider (5/13/2022)</v>
      </c>
      <c r="H8403" s="19"/>
    </row>
    <row r="8404">
      <c r="A8404" s="9"/>
      <c r="B8404" s="15"/>
      <c r="C8404" s="9">
        <f>IFERROR(__xludf.DUMMYFUNCTION("""COMPUTED_VALUE"""),44708.9905367708)</f>
        <v>44708.99054</v>
      </c>
      <c r="D8404" s="15">
        <f>IFERROR(__xludf.DUMMYFUNCTION("""COMPUTED_VALUE"""),1.026)</f>
        <v>1.026</v>
      </c>
      <c r="E8404" s="16">
        <f>IFERROR(__xludf.DUMMYFUNCTION("""COMPUTED_VALUE"""),69.0)</f>
        <v>69</v>
      </c>
      <c r="F8404" s="19" t="str">
        <f>IFERROR(__xludf.DUMMYFUNCTION("""COMPUTED_VALUE"""),"BLACK")</f>
        <v>BLACK</v>
      </c>
      <c r="G8404" s="20" t="str">
        <f>IFERROR(__xludf.DUMMYFUNCTION("""COMPUTED_VALUE"""),"Uncle Sams Cider (5/13/2022)")</f>
        <v>Uncle Sams Cider (5/13/2022)</v>
      </c>
      <c r="H8404" s="19"/>
    </row>
    <row r="8405">
      <c r="A8405" s="9"/>
      <c r="B8405" s="15"/>
      <c r="C8405" s="9">
        <f>IFERROR(__xludf.DUMMYFUNCTION("""COMPUTED_VALUE"""),44708.9801023611)</f>
        <v>44708.9801</v>
      </c>
      <c r="D8405" s="15">
        <f>IFERROR(__xludf.DUMMYFUNCTION("""COMPUTED_VALUE"""),1.026)</f>
        <v>1.026</v>
      </c>
      <c r="E8405" s="16">
        <f>IFERROR(__xludf.DUMMYFUNCTION("""COMPUTED_VALUE"""),69.0)</f>
        <v>69</v>
      </c>
      <c r="F8405" s="19" t="str">
        <f>IFERROR(__xludf.DUMMYFUNCTION("""COMPUTED_VALUE"""),"BLACK")</f>
        <v>BLACK</v>
      </c>
      <c r="G8405" s="20" t="str">
        <f>IFERROR(__xludf.DUMMYFUNCTION("""COMPUTED_VALUE"""),"Uncle Sams Cider (5/13/2022)")</f>
        <v>Uncle Sams Cider (5/13/2022)</v>
      </c>
      <c r="H8405" s="19"/>
    </row>
    <row r="8406">
      <c r="A8406" s="9"/>
      <c r="B8406" s="15"/>
      <c r="C8406" s="9">
        <f>IFERROR(__xludf.DUMMYFUNCTION("""COMPUTED_VALUE"""),44708.969644699)</f>
        <v>44708.96964</v>
      </c>
      <c r="D8406" s="15">
        <f>IFERROR(__xludf.DUMMYFUNCTION("""COMPUTED_VALUE"""),1.026)</f>
        <v>1.026</v>
      </c>
      <c r="E8406" s="16">
        <f>IFERROR(__xludf.DUMMYFUNCTION("""COMPUTED_VALUE"""),69.0)</f>
        <v>69</v>
      </c>
      <c r="F8406" s="19" t="str">
        <f>IFERROR(__xludf.DUMMYFUNCTION("""COMPUTED_VALUE"""),"BLACK")</f>
        <v>BLACK</v>
      </c>
      <c r="G8406" s="20" t="str">
        <f>IFERROR(__xludf.DUMMYFUNCTION("""COMPUTED_VALUE"""),"Uncle Sams Cider (5/13/2022)")</f>
        <v>Uncle Sams Cider (5/13/2022)</v>
      </c>
      <c r="H8406" s="19"/>
    </row>
    <row r="8407">
      <c r="A8407" s="9"/>
      <c r="B8407" s="15"/>
      <c r="C8407" s="9">
        <f>IFERROR(__xludf.DUMMYFUNCTION("""COMPUTED_VALUE"""),44708.9592238194)</f>
        <v>44708.95922</v>
      </c>
      <c r="D8407" s="15">
        <f>IFERROR(__xludf.DUMMYFUNCTION("""COMPUTED_VALUE"""),1.026)</f>
        <v>1.026</v>
      </c>
      <c r="E8407" s="16">
        <f>IFERROR(__xludf.DUMMYFUNCTION("""COMPUTED_VALUE"""),69.0)</f>
        <v>69</v>
      </c>
      <c r="F8407" s="19" t="str">
        <f>IFERROR(__xludf.DUMMYFUNCTION("""COMPUTED_VALUE"""),"BLACK")</f>
        <v>BLACK</v>
      </c>
      <c r="G8407" s="20" t="str">
        <f>IFERROR(__xludf.DUMMYFUNCTION("""COMPUTED_VALUE"""),"Uncle Sams Cider (5/13/2022)")</f>
        <v>Uncle Sams Cider (5/13/2022)</v>
      </c>
      <c r="H8407" s="19"/>
    </row>
    <row r="8408">
      <c r="A8408" s="9"/>
      <c r="B8408" s="15"/>
      <c r="C8408" s="9">
        <f>IFERROR(__xludf.DUMMYFUNCTION("""COMPUTED_VALUE"""),44708.948804155)</f>
        <v>44708.9488</v>
      </c>
      <c r="D8408" s="15">
        <f>IFERROR(__xludf.DUMMYFUNCTION("""COMPUTED_VALUE"""),1.026)</f>
        <v>1.026</v>
      </c>
      <c r="E8408" s="16">
        <f>IFERROR(__xludf.DUMMYFUNCTION("""COMPUTED_VALUE"""),69.0)</f>
        <v>69</v>
      </c>
      <c r="F8408" s="19" t="str">
        <f>IFERROR(__xludf.DUMMYFUNCTION("""COMPUTED_VALUE"""),"BLACK")</f>
        <v>BLACK</v>
      </c>
      <c r="G8408" s="20" t="str">
        <f>IFERROR(__xludf.DUMMYFUNCTION("""COMPUTED_VALUE"""),"Uncle Sams Cider (5/13/2022)")</f>
        <v>Uncle Sams Cider (5/13/2022)</v>
      </c>
      <c r="H8408" s="19"/>
    </row>
    <row r="8409">
      <c r="A8409" s="9"/>
      <c r="B8409" s="15"/>
      <c r="C8409" s="9">
        <f>IFERROR(__xludf.DUMMYFUNCTION("""COMPUTED_VALUE"""),44708.9383827314)</f>
        <v>44708.93838</v>
      </c>
      <c r="D8409" s="15">
        <f>IFERROR(__xludf.DUMMYFUNCTION("""COMPUTED_VALUE"""),1.026)</f>
        <v>1.026</v>
      </c>
      <c r="E8409" s="16">
        <f>IFERROR(__xludf.DUMMYFUNCTION("""COMPUTED_VALUE"""),69.0)</f>
        <v>69</v>
      </c>
      <c r="F8409" s="19" t="str">
        <f>IFERROR(__xludf.DUMMYFUNCTION("""COMPUTED_VALUE"""),"BLACK")</f>
        <v>BLACK</v>
      </c>
      <c r="G8409" s="20" t="str">
        <f>IFERROR(__xludf.DUMMYFUNCTION("""COMPUTED_VALUE"""),"Uncle Sams Cider (5/13/2022)")</f>
        <v>Uncle Sams Cider (5/13/2022)</v>
      </c>
      <c r="H8409" s="19"/>
    </row>
    <row r="8410">
      <c r="A8410" s="9"/>
      <c r="B8410" s="15"/>
      <c r="C8410" s="9">
        <f>IFERROR(__xludf.DUMMYFUNCTION("""COMPUTED_VALUE"""),44708.927960405)</f>
        <v>44708.92796</v>
      </c>
      <c r="D8410" s="15">
        <f>IFERROR(__xludf.DUMMYFUNCTION("""COMPUTED_VALUE"""),1.026)</f>
        <v>1.026</v>
      </c>
      <c r="E8410" s="16">
        <f>IFERROR(__xludf.DUMMYFUNCTION("""COMPUTED_VALUE"""),69.0)</f>
        <v>69</v>
      </c>
      <c r="F8410" s="19" t="str">
        <f>IFERROR(__xludf.DUMMYFUNCTION("""COMPUTED_VALUE"""),"BLACK")</f>
        <v>BLACK</v>
      </c>
      <c r="G8410" s="20" t="str">
        <f>IFERROR(__xludf.DUMMYFUNCTION("""COMPUTED_VALUE"""),"Uncle Sams Cider (5/13/2022)")</f>
        <v>Uncle Sams Cider (5/13/2022)</v>
      </c>
      <c r="H8410" s="19"/>
    </row>
    <row r="8411">
      <c r="A8411" s="9"/>
      <c r="B8411" s="15"/>
      <c r="C8411" s="9">
        <f>IFERROR(__xludf.DUMMYFUNCTION("""COMPUTED_VALUE"""),44708.91751625)</f>
        <v>44708.91752</v>
      </c>
      <c r="D8411" s="15">
        <f>IFERROR(__xludf.DUMMYFUNCTION("""COMPUTED_VALUE"""),1.026)</f>
        <v>1.026</v>
      </c>
      <c r="E8411" s="16">
        <f>IFERROR(__xludf.DUMMYFUNCTION("""COMPUTED_VALUE"""),69.0)</f>
        <v>69</v>
      </c>
      <c r="F8411" s="19" t="str">
        <f>IFERROR(__xludf.DUMMYFUNCTION("""COMPUTED_VALUE"""),"BLACK")</f>
        <v>BLACK</v>
      </c>
      <c r="G8411" s="20" t="str">
        <f>IFERROR(__xludf.DUMMYFUNCTION("""COMPUTED_VALUE"""),"Uncle Sams Cider (5/13/2022)")</f>
        <v>Uncle Sams Cider (5/13/2022)</v>
      </c>
      <c r="H8411" s="19"/>
    </row>
    <row r="8412">
      <c r="A8412" s="9"/>
      <c r="B8412" s="15"/>
      <c r="C8412" s="9">
        <f>IFERROR(__xludf.DUMMYFUNCTION("""COMPUTED_VALUE"""),44708.9070956828)</f>
        <v>44708.9071</v>
      </c>
      <c r="D8412" s="15">
        <f>IFERROR(__xludf.DUMMYFUNCTION("""COMPUTED_VALUE"""),1.026)</f>
        <v>1.026</v>
      </c>
      <c r="E8412" s="16">
        <f>IFERROR(__xludf.DUMMYFUNCTION("""COMPUTED_VALUE"""),69.0)</f>
        <v>69</v>
      </c>
      <c r="F8412" s="19" t="str">
        <f>IFERROR(__xludf.DUMMYFUNCTION("""COMPUTED_VALUE"""),"BLACK")</f>
        <v>BLACK</v>
      </c>
      <c r="G8412" s="20" t="str">
        <f>IFERROR(__xludf.DUMMYFUNCTION("""COMPUTED_VALUE"""),"Uncle Sams Cider (5/13/2022)")</f>
        <v>Uncle Sams Cider (5/13/2022)</v>
      </c>
      <c r="H8412" s="19"/>
    </row>
    <row r="8413">
      <c r="A8413" s="9"/>
      <c r="B8413" s="15"/>
      <c r="C8413" s="9">
        <f>IFERROR(__xludf.DUMMYFUNCTION("""COMPUTED_VALUE"""),44708.8966747916)</f>
        <v>44708.89667</v>
      </c>
      <c r="D8413" s="15">
        <f>IFERROR(__xludf.DUMMYFUNCTION("""COMPUTED_VALUE"""),1.026)</f>
        <v>1.026</v>
      </c>
      <c r="E8413" s="16">
        <f>IFERROR(__xludf.DUMMYFUNCTION("""COMPUTED_VALUE"""),69.0)</f>
        <v>69</v>
      </c>
      <c r="F8413" s="19" t="str">
        <f>IFERROR(__xludf.DUMMYFUNCTION("""COMPUTED_VALUE"""),"BLACK")</f>
        <v>BLACK</v>
      </c>
      <c r="G8413" s="20" t="str">
        <f>IFERROR(__xludf.DUMMYFUNCTION("""COMPUTED_VALUE"""),"Uncle Sams Cider (5/13/2022)")</f>
        <v>Uncle Sams Cider (5/13/2022)</v>
      </c>
      <c r="H8413" s="19"/>
    </row>
    <row r="8414">
      <c r="A8414" s="9"/>
      <c r="B8414" s="15"/>
      <c r="C8414" s="9">
        <f>IFERROR(__xludf.DUMMYFUNCTION("""COMPUTED_VALUE"""),44708.886255324)</f>
        <v>44708.88626</v>
      </c>
      <c r="D8414" s="15">
        <f>IFERROR(__xludf.DUMMYFUNCTION("""COMPUTED_VALUE"""),1.026)</f>
        <v>1.026</v>
      </c>
      <c r="E8414" s="16">
        <f>IFERROR(__xludf.DUMMYFUNCTION("""COMPUTED_VALUE"""),69.0)</f>
        <v>69</v>
      </c>
      <c r="F8414" s="19" t="str">
        <f>IFERROR(__xludf.DUMMYFUNCTION("""COMPUTED_VALUE"""),"BLACK")</f>
        <v>BLACK</v>
      </c>
      <c r="G8414" s="20" t="str">
        <f>IFERROR(__xludf.DUMMYFUNCTION("""COMPUTED_VALUE"""),"Uncle Sams Cider (5/13/2022)")</f>
        <v>Uncle Sams Cider (5/13/2022)</v>
      </c>
      <c r="H8414" s="19"/>
    </row>
    <row r="8415">
      <c r="A8415" s="9"/>
      <c r="B8415" s="15"/>
      <c r="C8415" s="9">
        <f>IFERROR(__xludf.DUMMYFUNCTION("""COMPUTED_VALUE"""),44708.8758346643)</f>
        <v>44708.87583</v>
      </c>
      <c r="D8415" s="15">
        <f>IFERROR(__xludf.DUMMYFUNCTION("""COMPUTED_VALUE"""),1.026)</f>
        <v>1.026</v>
      </c>
      <c r="E8415" s="16">
        <f>IFERROR(__xludf.DUMMYFUNCTION("""COMPUTED_VALUE"""),69.0)</f>
        <v>69</v>
      </c>
      <c r="F8415" s="19" t="str">
        <f>IFERROR(__xludf.DUMMYFUNCTION("""COMPUTED_VALUE"""),"BLACK")</f>
        <v>BLACK</v>
      </c>
      <c r="G8415" s="20" t="str">
        <f>IFERROR(__xludf.DUMMYFUNCTION("""COMPUTED_VALUE"""),"Uncle Sams Cider (5/13/2022)")</f>
        <v>Uncle Sams Cider (5/13/2022)</v>
      </c>
      <c r="H8415" s="19"/>
    </row>
    <row r="8416">
      <c r="A8416" s="9"/>
      <c r="B8416" s="15"/>
      <c r="C8416" s="9">
        <f>IFERROR(__xludf.DUMMYFUNCTION("""COMPUTED_VALUE"""),44708.8654137268)</f>
        <v>44708.86541</v>
      </c>
      <c r="D8416" s="15">
        <f>IFERROR(__xludf.DUMMYFUNCTION("""COMPUTED_VALUE"""),1.026)</f>
        <v>1.026</v>
      </c>
      <c r="E8416" s="16">
        <f>IFERROR(__xludf.DUMMYFUNCTION("""COMPUTED_VALUE"""),69.0)</f>
        <v>69</v>
      </c>
      <c r="F8416" s="19" t="str">
        <f>IFERROR(__xludf.DUMMYFUNCTION("""COMPUTED_VALUE"""),"BLACK")</f>
        <v>BLACK</v>
      </c>
      <c r="G8416" s="20" t="str">
        <f>IFERROR(__xludf.DUMMYFUNCTION("""COMPUTED_VALUE"""),"Uncle Sams Cider (5/13/2022)")</f>
        <v>Uncle Sams Cider (5/13/2022)</v>
      </c>
      <c r="H8416" s="19"/>
    </row>
    <row r="8417">
      <c r="A8417" s="9"/>
      <c r="B8417" s="15"/>
      <c r="C8417" s="9">
        <f>IFERROR(__xludf.DUMMYFUNCTION("""COMPUTED_VALUE"""),44708.8549910069)</f>
        <v>44708.85499</v>
      </c>
      <c r="D8417" s="15">
        <f>IFERROR(__xludf.DUMMYFUNCTION("""COMPUTED_VALUE"""),1.026)</f>
        <v>1.026</v>
      </c>
      <c r="E8417" s="16">
        <f>IFERROR(__xludf.DUMMYFUNCTION("""COMPUTED_VALUE"""),69.0)</f>
        <v>69</v>
      </c>
      <c r="F8417" s="19" t="str">
        <f>IFERROR(__xludf.DUMMYFUNCTION("""COMPUTED_VALUE"""),"BLACK")</f>
        <v>BLACK</v>
      </c>
      <c r="G8417" s="20" t="str">
        <f>IFERROR(__xludf.DUMMYFUNCTION("""COMPUTED_VALUE"""),"Uncle Sams Cider (5/13/2022)")</f>
        <v>Uncle Sams Cider (5/13/2022)</v>
      </c>
      <c r="H8417" s="19"/>
    </row>
    <row r="8418">
      <c r="A8418" s="9"/>
      <c r="B8418" s="15"/>
      <c r="C8418" s="9">
        <f>IFERROR(__xludf.DUMMYFUNCTION("""COMPUTED_VALUE"""),44708.8445693981)</f>
        <v>44708.84457</v>
      </c>
      <c r="D8418" s="15">
        <f>IFERROR(__xludf.DUMMYFUNCTION("""COMPUTED_VALUE"""),1.026)</f>
        <v>1.026</v>
      </c>
      <c r="E8418" s="16">
        <f>IFERROR(__xludf.DUMMYFUNCTION("""COMPUTED_VALUE"""),69.0)</f>
        <v>69</v>
      </c>
      <c r="F8418" s="19" t="str">
        <f>IFERROR(__xludf.DUMMYFUNCTION("""COMPUTED_VALUE"""),"BLACK")</f>
        <v>BLACK</v>
      </c>
      <c r="G8418" s="20" t="str">
        <f>IFERROR(__xludf.DUMMYFUNCTION("""COMPUTED_VALUE"""),"Uncle Sams Cider (5/13/2022)")</f>
        <v>Uncle Sams Cider (5/13/2022)</v>
      </c>
      <c r="H8418" s="19"/>
    </row>
    <row r="8419">
      <c r="A8419" s="9"/>
      <c r="B8419" s="15"/>
      <c r="C8419" s="9">
        <f>IFERROR(__xludf.DUMMYFUNCTION("""COMPUTED_VALUE"""),44708.8341259953)</f>
        <v>44708.83413</v>
      </c>
      <c r="D8419" s="15">
        <f>IFERROR(__xludf.DUMMYFUNCTION("""COMPUTED_VALUE"""),1.026)</f>
        <v>1.026</v>
      </c>
      <c r="E8419" s="16">
        <f>IFERROR(__xludf.DUMMYFUNCTION("""COMPUTED_VALUE"""),69.0)</f>
        <v>69</v>
      </c>
      <c r="F8419" s="19" t="str">
        <f>IFERROR(__xludf.DUMMYFUNCTION("""COMPUTED_VALUE"""),"BLACK")</f>
        <v>BLACK</v>
      </c>
      <c r="G8419" s="20" t="str">
        <f>IFERROR(__xludf.DUMMYFUNCTION("""COMPUTED_VALUE"""),"Uncle Sams Cider (5/13/2022)")</f>
        <v>Uncle Sams Cider (5/13/2022)</v>
      </c>
      <c r="H8419" s="19"/>
    </row>
    <row r="8420">
      <c r="A8420" s="9"/>
      <c r="B8420" s="15"/>
      <c r="C8420" s="9">
        <f>IFERROR(__xludf.DUMMYFUNCTION("""COMPUTED_VALUE"""),44708.8236924537)</f>
        <v>44708.82369</v>
      </c>
      <c r="D8420" s="15">
        <f>IFERROR(__xludf.DUMMYFUNCTION("""COMPUTED_VALUE"""),1.026)</f>
        <v>1.026</v>
      </c>
      <c r="E8420" s="16">
        <f>IFERROR(__xludf.DUMMYFUNCTION("""COMPUTED_VALUE"""),69.0)</f>
        <v>69</v>
      </c>
      <c r="F8420" s="19" t="str">
        <f>IFERROR(__xludf.DUMMYFUNCTION("""COMPUTED_VALUE"""),"BLACK")</f>
        <v>BLACK</v>
      </c>
      <c r="G8420" s="20" t="str">
        <f>IFERROR(__xludf.DUMMYFUNCTION("""COMPUTED_VALUE"""),"Uncle Sams Cider (5/13/2022)")</f>
        <v>Uncle Sams Cider (5/13/2022)</v>
      </c>
      <c r="H8420" s="19"/>
    </row>
    <row r="8421">
      <c r="A8421" s="9"/>
      <c r="B8421" s="15"/>
      <c r="C8421" s="9">
        <f>IFERROR(__xludf.DUMMYFUNCTION("""COMPUTED_VALUE"""),44708.8132711342)</f>
        <v>44708.81327</v>
      </c>
      <c r="D8421" s="15">
        <f>IFERROR(__xludf.DUMMYFUNCTION("""COMPUTED_VALUE"""),1.026)</f>
        <v>1.026</v>
      </c>
      <c r="E8421" s="16">
        <f>IFERROR(__xludf.DUMMYFUNCTION("""COMPUTED_VALUE"""),69.0)</f>
        <v>69</v>
      </c>
      <c r="F8421" s="19" t="str">
        <f>IFERROR(__xludf.DUMMYFUNCTION("""COMPUTED_VALUE"""),"BLACK")</f>
        <v>BLACK</v>
      </c>
      <c r="G8421" s="20" t="str">
        <f>IFERROR(__xludf.DUMMYFUNCTION("""COMPUTED_VALUE"""),"Uncle Sams Cider (5/13/2022)")</f>
        <v>Uncle Sams Cider (5/13/2022)</v>
      </c>
      <c r="H8421" s="19"/>
    </row>
    <row r="8422">
      <c r="A8422" s="9"/>
      <c r="B8422" s="15"/>
      <c r="C8422" s="9">
        <f>IFERROR(__xludf.DUMMYFUNCTION("""COMPUTED_VALUE"""),44708.8028498726)</f>
        <v>44708.80285</v>
      </c>
      <c r="D8422" s="15">
        <f>IFERROR(__xludf.DUMMYFUNCTION("""COMPUTED_VALUE"""),1.026)</f>
        <v>1.026</v>
      </c>
      <c r="E8422" s="16">
        <f>IFERROR(__xludf.DUMMYFUNCTION("""COMPUTED_VALUE"""),69.0)</f>
        <v>69</v>
      </c>
      <c r="F8422" s="19" t="str">
        <f>IFERROR(__xludf.DUMMYFUNCTION("""COMPUTED_VALUE"""),"BLACK")</f>
        <v>BLACK</v>
      </c>
      <c r="G8422" s="20" t="str">
        <f>IFERROR(__xludf.DUMMYFUNCTION("""COMPUTED_VALUE"""),"Uncle Sams Cider (5/13/2022)")</f>
        <v>Uncle Sams Cider (5/13/2022)</v>
      </c>
      <c r="H8422" s="19"/>
    </row>
    <row r="8423">
      <c r="A8423" s="9"/>
      <c r="B8423" s="15"/>
      <c r="C8423" s="9">
        <f>IFERROR(__xludf.DUMMYFUNCTION("""COMPUTED_VALUE"""),44708.7924284027)</f>
        <v>44708.79243</v>
      </c>
      <c r="D8423" s="15">
        <f>IFERROR(__xludf.DUMMYFUNCTION("""COMPUTED_VALUE"""),1.026)</f>
        <v>1.026</v>
      </c>
      <c r="E8423" s="16">
        <f>IFERROR(__xludf.DUMMYFUNCTION("""COMPUTED_VALUE"""),69.0)</f>
        <v>69</v>
      </c>
      <c r="F8423" s="19" t="str">
        <f>IFERROR(__xludf.DUMMYFUNCTION("""COMPUTED_VALUE"""),"BLACK")</f>
        <v>BLACK</v>
      </c>
      <c r="G8423" s="20" t="str">
        <f>IFERROR(__xludf.DUMMYFUNCTION("""COMPUTED_VALUE"""),"Uncle Sams Cider (5/13/2022)")</f>
        <v>Uncle Sams Cider (5/13/2022)</v>
      </c>
      <c r="H8423" s="19"/>
    </row>
    <row r="8424">
      <c r="A8424" s="9"/>
      <c r="B8424" s="15"/>
      <c r="C8424" s="9">
        <f>IFERROR(__xludf.DUMMYFUNCTION("""COMPUTED_VALUE"""),44708.7820087384)</f>
        <v>44708.78201</v>
      </c>
      <c r="D8424" s="15">
        <f>IFERROR(__xludf.DUMMYFUNCTION("""COMPUTED_VALUE"""),1.026)</f>
        <v>1.026</v>
      </c>
      <c r="E8424" s="16">
        <f>IFERROR(__xludf.DUMMYFUNCTION("""COMPUTED_VALUE"""),69.0)</f>
        <v>69</v>
      </c>
      <c r="F8424" s="19" t="str">
        <f>IFERROR(__xludf.DUMMYFUNCTION("""COMPUTED_VALUE"""),"BLACK")</f>
        <v>BLACK</v>
      </c>
      <c r="G8424" s="20" t="str">
        <f>IFERROR(__xludf.DUMMYFUNCTION("""COMPUTED_VALUE"""),"Uncle Sams Cider (5/13/2022)")</f>
        <v>Uncle Sams Cider (5/13/2022)</v>
      </c>
      <c r="H8424" s="19"/>
    </row>
    <row r="8425">
      <c r="A8425" s="9"/>
      <c r="B8425" s="15"/>
      <c r="C8425" s="9">
        <f>IFERROR(__xludf.DUMMYFUNCTION("""COMPUTED_VALUE"""),44708.7715876967)</f>
        <v>44708.77159</v>
      </c>
      <c r="D8425" s="15">
        <f>IFERROR(__xludf.DUMMYFUNCTION("""COMPUTED_VALUE"""),1.026)</f>
        <v>1.026</v>
      </c>
      <c r="E8425" s="16">
        <f>IFERROR(__xludf.DUMMYFUNCTION("""COMPUTED_VALUE"""),69.0)</f>
        <v>69</v>
      </c>
      <c r="F8425" s="19" t="str">
        <f>IFERROR(__xludf.DUMMYFUNCTION("""COMPUTED_VALUE"""),"BLACK")</f>
        <v>BLACK</v>
      </c>
      <c r="G8425" s="20" t="str">
        <f>IFERROR(__xludf.DUMMYFUNCTION("""COMPUTED_VALUE"""),"Uncle Sams Cider (5/13/2022)")</f>
        <v>Uncle Sams Cider (5/13/2022)</v>
      </c>
      <c r="H8425" s="19"/>
    </row>
    <row r="8426">
      <c r="A8426" s="9"/>
      <c r="B8426" s="15"/>
      <c r="C8426" s="9">
        <f>IFERROR(__xludf.DUMMYFUNCTION("""COMPUTED_VALUE"""),44708.7611191666)</f>
        <v>44708.76112</v>
      </c>
      <c r="D8426" s="15">
        <f>IFERROR(__xludf.DUMMYFUNCTION("""COMPUTED_VALUE"""),1.026)</f>
        <v>1.026</v>
      </c>
      <c r="E8426" s="16">
        <f>IFERROR(__xludf.DUMMYFUNCTION("""COMPUTED_VALUE"""),69.0)</f>
        <v>69</v>
      </c>
      <c r="F8426" s="19" t="str">
        <f>IFERROR(__xludf.DUMMYFUNCTION("""COMPUTED_VALUE"""),"BLACK")</f>
        <v>BLACK</v>
      </c>
      <c r="G8426" s="20" t="str">
        <f>IFERROR(__xludf.DUMMYFUNCTION("""COMPUTED_VALUE"""),"Uncle Sams Cider (5/13/2022)")</f>
        <v>Uncle Sams Cider (5/13/2022)</v>
      </c>
      <c r="H8426" s="19"/>
    </row>
    <row r="8427">
      <c r="A8427" s="9"/>
      <c r="B8427" s="15"/>
      <c r="C8427" s="9">
        <f>IFERROR(__xludf.DUMMYFUNCTION("""COMPUTED_VALUE"""),44708.7506981944)</f>
        <v>44708.7507</v>
      </c>
      <c r="D8427" s="15">
        <f>IFERROR(__xludf.DUMMYFUNCTION("""COMPUTED_VALUE"""),1.026)</f>
        <v>1.026</v>
      </c>
      <c r="E8427" s="16">
        <f>IFERROR(__xludf.DUMMYFUNCTION("""COMPUTED_VALUE"""),69.0)</f>
        <v>69</v>
      </c>
      <c r="F8427" s="19" t="str">
        <f>IFERROR(__xludf.DUMMYFUNCTION("""COMPUTED_VALUE"""),"BLACK")</f>
        <v>BLACK</v>
      </c>
      <c r="G8427" s="20" t="str">
        <f>IFERROR(__xludf.DUMMYFUNCTION("""COMPUTED_VALUE"""),"Uncle Sams Cider (5/13/2022)")</f>
        <v>Uncle Sams Cider (5/13/2022)</v>
      </c>
      <c r="H8427" s="19"/>
    </row>
    <row r="8428">
      <c r="A8428" s="9"/>
      <c r="B8428" s="15"/>
      <c r="C8428" s="9">
        <f>IFERROR(__xludf.DUMMYFUNCTION("""COMPUTED_VALUE"""),44708.7402649189)</f>
        <v>44708.74026</v>
      </c>
      <c r="D8428" s="15">
        <f>IFERROR(__xludf.DUMMYFUNCTION("""COMPUTED_VALUE"""),1.026)</f>
        <v>1.026</v>
      </c>
      <c r="E8428" s="16">
        <f>IFERROR(__xludf.DUMMYFUNCTION("""COMPUTED_VALUE"""),69.0)</f>
        <v>69</v>
      </c>
      <c r="F8428" s="19" t="str">
        <f>IFERROR(__xludf.DUMMYFUNCTION("""COMPUTED_VALUE"""),"BLACK")</f>
        <v>BLACK</v>
      </c>
      <c r="G8428" s="20" t="str">
        <f>IFERROR(__xludf.DUMMYFUNCTION("""COMPUTED_VALUE"""),"Uncle Sams Cider (5/13/2022)")</f>
        <v>Uncle Sams Cider (5/13/2022)</v>
      </c>
      <c r="H8428" s="19"/>
    </row>
    <row r="8429">
      <c r="A8429" s="9"/>
      <c r="B8429" s="15"/>
      <c r="C8429" s="9">
        <f>IFERROR(__xludf.DUMMYFUNCTION("""COMPUTED_VALUE"""),44708.7298346643)</f>
        <v>44708.72983</v>
      </c>
      <c r="D8429" s="15">
        <f>IFERROR(__xludf.DUMMYFUNCTION("""COMPUTED_VALUE"""),1.026)</f>
        <v>1.026</v>
      </c>
      <c r="E8429" s="16">
        <f>IFERROR(__xludf.DUMMYFUNCTION("""COMPUTED_VALUE"""),69.0)</f>
        <v>69</v>
      </c>
      <c r="F8429" s="19" t="str">
        <f>IFERROR(__xludf.DUMMYFUNCTION("""COMPUTED_VALUE"""),"BLACK")</f>
        <v>BLACK</v>
      </c>
      <c r="G8429" s="20" t="str">
        <f>IFERROR(__xludf.DUMMYFUNCTION("""COMPUTED_VALUE"""),"Uncle Sams Cider (5/13/2022)")</f>
        <v>Uncle Sams Cider (5/13/2022)</v>
      </c>
      <c r="H8429" s="19"/>
    </row>
    <row r="8430">
      <c r="A8430" s="9"/>
      <c r="B8430" s="15"/>
      <c r="C8430" s="9">
        <f>IFERROR(__xludf.DUMMYFUNCTION("""COMPUTED_VALUE"""),44708.7194137963)</f>
        <v>44708.71941</v>
      </c>
      <c r="D8430" s="15">
        <f>IFERROR(__xludf.DUMMYFUNCTION("""COMPUTED_VALUE"""),1.026)</f>
        <v>1.026</v>
      </c>
      <c r="E8430" s="16">
        <f>IFERROR(__xludf.DUMMYFUNCTION("""COMPUTED_VALUE"""),69.0)</f>
        <v>69</v>
      </c>
      <c r="F8430" s="19" t="str">
        <f>IFERROR(__xludf.DUMMYFUNCTION("""COMPUTED_VALUE"""),"BLACK")</f>
        <v>BLACK</v>
      </c>
      <c r="G8430" s="20" t="str">
        <f>IFERROR(__xludf.DUMMYFUNCTION("""COMPUTED_VALUE"""),"Uncle Sams Cider (5/13/2022)")</f>
        <v>Uncle Sams Cider (5/13/2022)</v>
      </c>
      <c r="H8430" s="19"/>
    </row>
    <row r="8431">
      <c r="A8431" s="9"/>
      <c r="B8431" s="15"/>
      <c r="C8431" s="9">
        <f>IFERROR(__xludf.DUMMYFUNCTION("""COMPUTED_VALUE"""),44708.7089805208)</f>
        <v>44708.70898</v>
      </c>
      <c r="D8431" s="15">
        <f>IFERROR(__xludf.DUMMYFUNCTION("""COMPUTED_VALUE"""),1.026)</f>
        <v>1.026</v>
      </c>
      <c r="E8431" s="16">
        <f>IFERROR(__xludf.DUMMYFUNCTION("""COMPUTED_VALUE"""),69.0)</f>
        <v>69</v>
      </c>
      <c r="F8431" s="19" t="str">
        <f>IFERROR(__xludf.DUMMYFUNCTION("""COMPUTED_VALUE"""),"BLACK")</f>
        <v>BLACK</v>
      </c>
      <c r="G8431" s="20" t="str">
        <f>IFERROR(__xludf.DUMMYFUNCTION("""COMPUTED_VALUE"""),"Uncle Sams Cider (5/13/2022)")</f>
        <v>Uncle Sams Cider (5/13/2022)</v>
      </c>
      <c r="H8431" s="19"/>
    </row>
    <row r="8432">
      <c r="A8432" s="9"/>
      <c r="B8432" s="15"/>
      <c r="C8432" s="9">
        <f>IFERROR(__xludf.DUMMYFUNCTION("""COMPUTED_VALUE"""),44708.6985465393)</f>
        <v>44708.69855</v>
      </c>
      <c r="D8432" s="15">
        <f>IFERROR(__xludf.DUMMYFUNCTION("""COMPUTED_VALUE"""),1.026)</f>
        <v>1.026</v>
      </c>
      <c r="E8432" s="16">
        <f>IFERROR(__xludf.DUMMYFUNCTION("""COMPUTED_VALUE"""),69.0)</f>
        <v>69</v>
      </c>
      <c r="F8432" s="19" t="str">
        <f>IFERROR(__xludf.DUMMYFUNCTION("""COMPUTED_VALUE"""),"BLACK")</f>
        <v>BLACK</v>
      </c>
      <c r="G8432" s="20" t="str">
        <f>IFERROR(__xludf.DUMMYFUNCTION("""COMPUTED_VALUE"""),"Uncle Sams Cider (5/13/2022)")</f>
        <v>Uncle Sams Cider (5/13/2022)</v>
      </c>
      <c r="H8432" s="19"/>
    </row>
    <row r="8433">
      <c r="A8433" s="9"/>
      <c r="B8433" s="15"/>
      <c r="C8433" s="9">
        <f>IFERROR(__xludf.DUMMYFUNCTION("""COMPUTED_VALUE"""),44708.6881139004)</f>
        <v>44708.68811</v>
      </c>
      <c r="D8433" s="15">
        <f>IFERROR(__xludf.DUMMYFUNCTION("""COMPUTED_VALUE"""),1.026)</f>
        <v>1.026</v>
      </c>
      <c r="E8433" s="16">
        <f>IFERROR(__xludf.DUMMYFUNCTION("""COMPUTED_VALUE"""),69.0)</f>
        <v>69</v>
      </c>
      <c r="F8433" s="19" t="str">
        <f>IFERROR(__xludf.DUMMYFUNCTION("""COMPUTED_VALUE"""),"BLACK")</f>
        <v>BLACK</v>
      </c>
      <c r="G8433" s="20" t="str">
        <f>IFERROR(__xludf.DUMMYFUNCTION("""COMPUTED_VALUE"""),"Uncle Sams Cider (5/13/2022)")</f>
        <v>Uncle Sams Cider (5/13/2022)</v>
      </c>
      <c r="H8433" s="19"/>
    </row>
    <row r="8434">
      <c r="A8434" s="9"/>
      <c r="B8434" s="15"/>
      <c r="C8434" s="9">
        <f>IFERROR(__xludf.DUMMYFUNCTION("""COMPUTED_VALUE"""),44708.6776946875)</f>
        <v>44708.67769</v>
      </c>
      <c r="D8434" s="15">
        <f>IFERROR(__xludf.DUMMYFUNCTION("""COMPUTED_VALUE"""),1.026)</f>
        <v>1.026</v>
      </c>
      <c r="E8434" s="16">
        <f>IFERROR(__xludf.DUMMYFUNCTION("""COMPUTED_VALUE"""),69.0)</f>
        <v>69</v>
      </c>
      <c r="F8434" s="19" t="str">
        <f>IFERROR(__xludf.DUMMYFUNCTION("""COMPUTED_VALUE"""),"BLACK")</f>
        <v>BLACK</v>
      </c>
      <c r="G8434" s="20" t="str">
        <f>IFERROR(__xludf.DUMMYFUNCTION("""COMPUTED_VALUE"""),"Uncle Sams Cider (5/13/2022)")</f>
        <v>Uncle Sams Cider (5/13/2022)</v>
      </c>
      <c r="H8434" s="19"/>
    </row>
    <row r="8435">
      <c r="A8435" s="9"/>
      <c r="B8435" s="15"/>
      <c r="C8435" s="9">
        <f>IFERROR(__xludf.DUMMYFUNCTION("""COMPUTED_VALUE"""),44708.6672725115)</f>
        <v>44708.66727</v>
      </c>
      <c r="D8435" s="15">
        <f>IFERROR(__xludf.DUMMYFUNCTION("""COMPUTED_VALUE"""),1.026)</f>
        <v>1.026</v>
      </c>
      <c r="E8435" s="16">
        <f>IFERROR(__xludf.DUMMYFUNCTION("""COMPUTED_VALUE"""),69.0)</f>
        <v>69</v>
      </c>
      <c r="F8435" s="19" t="str">
        <f>IFERROR(__xludf.DUMMYFUNCTION("""COMPUTED_VALUE"""),"BLACK")</f>
        <v>BLACK</v>
      </c>
      <c r="G8435" s="20" t="str">
        <f>IFERROR(__xludf.DUMMYFUNCTION("""COMPUTED_VALUE"""),"Uncle Sams Cider (5/13/2022)")</f>
        <v>Uncle Sams Cider (5/13/2022)</v>
      </c>
      <c r="H8435" s="19"/>
    </row>
    <row r="8436">
      <c r="A8436" s="9"/>
      <c r="B8436" s="15"/>
      <c r="C8436" s="9">
        <f>IFERROR(__xludf.DUMMYFUNCTION("""COMPUTED_VALUE"""),44708.6568500926)</f>
        <v>44708.65685</v>
      </c>
      <c r="D8436" s="15">
        <f>IFERROR(__xludf.DUMMYFUNCTION("""COMPUTED_VALUE"""),1.026)</f>
        <v>1.026</v>
      </c>
      <c r="E8436" s="16">
        <f>IFERROR(__xludf.DUMMYFUNCTION("""COMPUTED_VALUE"""),69.0)</f>
        <v>69</v>
      </c>
      <c r="F8436" s="19" t="str">
        <f>IFERROR(__xludf.DUMMYFUNCTION("""COMPUTED_VALUE"""),"BLACK")</f>
        <v>BLACK</v>
      </c>
      <c r="G8436" s="20" t="str">
        <f>IFERROR(__xludf.DUMMYFUNCTION("""COMPUTED_VALUE"""),"Uncle Sams Cider (5/13/2022)")</f>
        <v>Uncle Sams Cider (5/13/2022)</v>
      </c>
      <c r="H8436" s="19"/>
    </row>
    <row r="8437">
      <c r="A8437" s="9"/>
      <c r="B8437" s="15"/>
      <c r="C8437" s="9">
        <f>IFERROR(__xludf.DUMMYFUNCTION("""COMPUTED_VALUE"""),44708.6464043287)</f>
        <v>44708.6464</v>
      </c>
      <c r="D8437" s="15">
        <f>IFERROR(__xludf.DUMMYFUNCTION("""COMPUTED_VALUE"""),1.026)</f>
        <v>1.026</v>
      </c>
      <c r="E8437" s="16">
        <f>IFERROR(__xludf.DUMMYFUNCTION("""COMPUTED_VALUE"""),69.0)</f>
        <v>69</v>
      </c>
      <c r="F8437" s="19" t="str">
        <f>IFERROR(__xludf.DUMMYFUNCTION("""COMPUTED_VALUE"""),"BLACK")</f>
        <v>BLACK</v>
      </c>
      <c r="G8437" s="20" t="str">
        <f>IFERROR(__xludf.DUMMYFUNCTION("""COMPUTED_VALUE"""),"Uncle Sams Cider (5/13/2022)")</f>
        <v>Uncle Sams Cider (5/13/2022)</v>
      </c>
      <c r="H8437" s="19"/>
    </row>
    <row r="8438">
      <c r="A8438" s="9"/>
      <c r="B8438" s="15"/>
      <c r="C8438" s="9">
        <f>IFERROR(__xludf.DUMMYFUNCTION("""COMPUTED_VALUE"""),44708.635984699)</f>
        <v>44708.63598</v>
      </c>
      <c r="D8438" s="15">
        <f>IFERROR(__xludf.DUMMYFUNCTION("""COMPUTED_VALUE"""),1.026)</f>
        <v>1.026</v>
      </c>
      <c r="E8438" s="16">
        <f>IFERROR(__xludf.DUMMYFUNCTION("""COMPUTED_VALUE"""),69.0)</f>
        <v>69</v>
      </c>
      <c r="F8438" s="19" t="str">
        <f>IFERROR(__xludf.DUMMYFUNCTION("""COMPUTED_VALUE"""),"BLACK")</f>
        <v>BLACK</v>
      </c>
      <c r="G8438" s="20" t="str">
        <f>IFERROR(__xludf.DUMMYFUNCTION("""COMPUTED_VALUE"""),"Uncle Sams Cider (5/13/2022)")</f>
        <v>Uncle Sams Cider (5/13/2022)</v>
      </c>
      <c r="H8438" s="19"/>
    </row>
    <row r="8439">
      <c r="A8439" s="9"/>
      <c r="B8439" s="15"/>
      <c r="C8439" s="9">
        <f>IFERROR(__xludf.DUMMYFUNCTION("""COMPUTED_VALUE"""),44708.625564155)</f>
        <v>44708.62556</v>
      </c>
      <c r="D8439" s="15">
        <f>IFERROR(__xludf.DUMMYFUNCTION("""COMPUTED_VALUE"""),1.026)</f>
        <v>1.026</v>
      </c>
      <c r="E8439" s="16">
        <f>IFERROR(__xludf.DUMMYFUNCTION("""COMPUTED_VALUE"""),69.0)</f>
        <v>69</v>
      </c>
      <c r="F8439" s="19" t="str">
        <f>IFERROR(__xludf.DUMMYFUNCTION("""COMPUTED_VALUE"""),"BLACK")</f>
        <v>BLACK</v>
      </c>
      <c r="G8439" s="20" t="str">
        <f>IFERROR(__xludf.DUMMYFUNCTION("""COMPUTED_VALUE"""),"Uncle Sams Cider (5/13/2022)")</f>
        <v>Uncle Sams Cider (5/13/2022)</v>
      </c>
      <c r="H8439" s="19"/>
    </row>
    <row r="8440">
      <c r="A8440" s="9"/>
      <c r="B8440" s="15"/>
      <c r="C8440" s="9">
        <f>IFERROR(__xludf.DUMMYFUNCTION("""COMPUTED_VALUE"""),44708.6151427546)</f>
        <v>44708.61514</v>
      </c>
      <c r="D8440" s="15">
        <f>IFERROR(__xludf.DUMMYFUNCTION("""COMPUTED_VALUE"""),1.027)</f>
        <v>1.027</v>
      </c>
      <c r="E8440" s="16">
        <f>IFERROR(__xludf.DUMMYFUNCTION("""COMPUTED_VALUE"""),69.0)</f>
        <v>69</v>
      </c>
      <c r="F8440" s="19" t="str">
        <f>IFERROR(__xludf.DUMMYFUNCTION("""COMPUTED_VALUE"""),"BLACK")</f>
        <v>BLACK</v>
      </c>
      <c r="G8440" s="20" t="str">
        <f>IFERROR(__xludf.DUMMYFUNCTION("""COMPUTED_VALUE"""),"Uncle Sams Cider (5/13/2022)")</f>
        <v>Uncle Sams Cider (5/13/2022)</v>
      </c>
      <c r="H8440" s="19"/>
    </row>
    <row r="8441">
      <c r="A8441" s="9"/>
      <c r="B8441" s="15"/>
      <c r="C8441" s="9">
        <f>IFERROR(__xludf.DUMMYFUNCTION("""COMPUTED_VALUE"""),44708.6047216898)</f>
        <v>44708.60472</v>
      </c>
      <c r="D8441" s="15">
        <f>IFERROR(__xludf.DUMMYFUNCTION("""COMPUTED_VALUE"""),1.027)</f>
        <v>1.027</v>
      </c>
      <c r="E8441" s="16">
        <f>IFERROR(__xludf.DUMMYFUNCTION("""COMPUTED_VALUE"""),69.0)</f>
        <v>69</v>
      </c>
      <c r="F8441" s="19" t="str">
        <f>IFERROR(__xludf.DUMMYFUNCTION("""COMPUTED_VALUE"""),"BLACK")</f>
        <v>BLACK</v>
      </c>
      <c r="G8441" s="20" t="str">
        <f>IFERROR(__xludf.DUMMYFUNCTION("""COMPUTED_VALUE"""),"Uncle Sams Cider (5/13/2022)")</f>
        <v>Uncle Sams Cider (5/13/2022)</v>
      </c>
      <c r="H8441" s="19"/>
    </row>
    <row r="8442">
      <c r="A8442" s="9"/>
      <c r="B8442" s="15"/>
      <c r="C8442" s="9">
        <f>IFERROR(__xludf.DUMMYFUNCTION("""COMPUTED_VALUE"""),44708.5942990162)</f>
        <v>44708.5943</v>
      </c>
      <c r="D8442" s="15">
        <f>IFERROR(__xludf.DUMMYFUNCTION("""COMPUTED_VALUE"""),1.027)</f>
        <v>1.027</v>
      </c>
      <c r="E8442" s="16">
        <f>IFERROR(__xludf.DUMMYFUNCTION("""COMPUTED_VALUE"""),69.0)</f>
        <v>69</v>
      </c>
      <c r="F8442" s="19" t="str">
        <f>IFERROR(__xludf.DUMMYFUNCTION("""COMPUTED_VALUE"""),"BLACK")</f>
        <v>BLACK</v>
      </c>
      <c r="G8442" s="20" t="str">
        <f>IFERROR(__xludf.DUMMYFUNCTION("""COMPUTED_VALUE"""),"Uncle Sams Cider (5/13/2022)")</f>
        <v>Uncle Sams Cider (5/13/2022)</v>
      </c>
      <c r="H8442" s="19"/>
    </row>
    <row r="8443">
      <c r="A8443" s="9"/>
      <c r="B8443" s="15"/>
      <c r="C8443" s="9">
        <f>IFERROR(__xludf.DUMMYFUNCTION("""COMPUTED_VALUE"""),44708.5838675694)</f>
        <v>44708.58387</v>
      </c>
      <c r="D8443" s="15">
        <f>IFERROR(__xludf.DUMMYFUNCTION("""COMPUTED_VALUE"""),1.027)</f>
        <v>1.027</v>
      </c>
      <c r="E8443" s="16">
        <f>IFERROR(__xludf.DUMMYFUNCTION("""COMPUTED_VALUE"""),69.0)</f>
        <v>69</v>
      </c>
      <c r="F8443" s="19" t="str">
        <f>IFERROR(__xludf.DUMMYFUNCTION("""COMPUTED_VALUE"""),"BLACK")</f>
        <v>BLACK</v>
      </c>
      <c r="G8443" s="20" t="str">
        <f>IFERROR(__xludf.DUMMYFUNCTION("""COMPUTED_VALUE"""),"Uncle Sams Cider (5/13/2022)")</f>
        <v>Uncle Sams Cider (5/13/2022)</v>
      </c>
      <c r="H8443" s="19"/>
    </row>
    <row r="8444">
      <c r="A8444" s="9"/>
      <c r="B8444" s="15"/>
      <c r="C8444" s="9">
        <f>IFERROR(__xludf.DUMMYFUNCTION("""COMPUTED_VALUE"""),44708.5734360532)</f>
        <v>44708.57344</v>
      </c>
      <c r="D8444" s="15">
        <f>IFERROR(__xludf.DUMMYFUNCTION("""COMPUTED_VALUE"""),1.027)</f>
        <v>1.027</v>
      </c>
      <c r="E8444" s="16">
        <f>IFERROR(__xludf.DUMMYFUNCTION("""COMPUTED_VALUE"""),69.0)</f>
        <v>69</v>
      </c>
      <c r="F8444" s="19" t="str">
        <f>IFERROR(__xludf.DUMMYFUNCTION("""COMPUTED_VALUE"""),"BLACK")</f>
        <v>BLACK</v>
      </c>
      <c r="G8444" s="20" t="str">
        <f>IFERROR(__xludf.DUMMYFUNCTION("""COMPUTED_VALUE"""),"Uncle Sams Cider (5/13/2022)")</f>
        <v>Uncle Sams Cider (5/13/2022)</v>
      </c>
      <c r="H8444" s="19"/>
    </row>
    <row r="8445">
      <c r="A8445" s="9"/>
      <c r="B8445" s="15"/>
      <c r="C8445" s="9">
        <f>IFERROR(__xludf.DUMMYFUNCTION("""COMPUTED_VALUE"""),44708.5629930324)</f>
        <v>44708.56299</v>
      </c>
      <c r="D8445" s="15">
        <f>IFERROR(__xludf.DUMMYFUNCTION("""COMPUTED_VALUE"""),1.027)</f>
        <v>1.027</v>
      </c>
      <c r="E8445" s="16">
        <f>IFERROR(__xludf.DUMMYFUNCTION("""COMPUTED_VALUE"""),69.0)</f>
        <v>69</v>
      </c>
      <c r="F8445" s="19" t="str">
        <f>IFERROR(__xludf.DUMMYFUNCTION("""COMPUTED_VALUE"""),"BLACK")</f>
        <v>BLACK</v>
      </c>
      <c r="G8445" s="20" t="str">
        <f>IFERROR(__xludf.DUMMYFUNCTION("""COMPUTED_VALUE"""),"Uncle Sams Cider (5/13/2022)")</f>
        <v>Uncle Sams Cider (5/13/2022)</v>
      </c>
      <c r="H8445" s="19"/>
    </row>
    <row r="8446">
      <c r="A8446" s="9"/>
      <c r="B8446" s="15"/>
      <c r="C8446" s="9">
        <f>IFERROR(__xludf.DUMMYFUNCTION("""COMPUTED_VALUE"""),44708.5525601388)</f>
        <v>44708.55256</v>
      </c>
      <c r="D8446" s="15">
        <f>IFERROR(__xludf.DUMMYFUNCTION("""COMPUTED_VALUE"""),1.027)</f>
        <v>1.027</v>
      </c>
      <c r="E8446" s="16">
        <f>IFERROR(__xludf.DUMMYFUNCTION("""COMPUTED_VALUE"""),69.0)</f>
        <v>69</v>
      </c>
      <c r="F8446" s="19" t="str">
        <f>IFERROR(__xludf.DUMMYFUNCTION("""COMPUTED_VALUE"""),"BLACK")</f>
        <v>BLACK</v>
      </c>
      <c r="G8446" s="20" t="str">
        <f>IFERROR(__xludf.DUMMYFUNCTION("""COMPUTED_VALUE"""),"Uncle Sams Cider (5/13/2022)")</f>
        <v>Uncle Sams Cider (5/13/2022)</v>
      </c>
      <c r="H8446" s="19"/>
    </row>
    <row r="8447">
      <c r="A8447" s="9"/>
      <c r="B8447" s="15"/>
      <c r="C8447" s="9">
        <f>IFERROR(__xludf.DUMMYFUNCTION("""COMPUTED_VALUE"""),44708.5421404282)</f>
        <v>44708.54214</v>
      </c>
      <c r="D8447" s="15">
        <f>IFERROR(__xludf.DUMMYFUNCTION("""COMPUTED_VALUE"""),1.027)</f>
        <v>1.027</v>
      </c>
      <c r="E8447" s="16">
        <f>IFERROR(__xludf.DUMMYFUNCTION("""COMPUTED_VALUE"""),69.0)</f>
        <v>69</v>
      </c>
      <c r="F8447" s="19" t="str">
        <f>IFERROR(__xludf.DUMMYFUNCTION("""COMPUTED_VALUE"""),"BLACK")</f>
        <v>BLACK</v>
      </c>
      <c r="G8447" s="20" t="str">
        <f>IFERROR(__xludf.DUMMYFUNCTION("""COMPUTED_VALUE"""),"Uncle Sams Cider (5/13/2022)")</f>
        <v>Uncle Sams Cider (5/13/2022)</v>
      </c>
      <c r="H8447" s="19"/>
    </row>
    <row r="8448">
      <c r="A8448" s="9"/>
      <c r="B8448" s="15"/>
      <c r="C8448" s="9">
        <f>IFERROR(__xludf.DUMMYFUNCTION("""COMPUTED_VALUE"""),44708.5317186458)</f>
        <v>44708.53172</v>
      </c>
      <c r="D8448" s="15">
        <f>IFERROR(__xludf.DUMMYFUNCTION("""COMPUTED_VALUE"""),1.027)</f>
        <v>1.027</v>
      </c>
      <c r="E8448" s="16">
        <f>IFERROR(__xludf.DUMMYFUNCTION("""COMPUTED_VALUE"""),69.0)</f>
        <v>69</v>
      </c>
      <c r="F8448" s="19" t="str">
        <f>IFERROR(__xludf.DUMMYFUNCTION("""COMPUTED_VALUE"""),"BLACK")</f>
        <v>BLACK</v>
      </c>
      <c r="G8448" s="20" t="str">
        <f>IFERROR(__xludf.DUMMYFUNCTION("""COMPUTED_VALUE"""),"Uncle Sams Cider (5/13/2022)")</f>
        <v>Uncle Sams Cider (5/13/2022)</v>
      </c>
      <c r="H8448" s="19"/>
    </row>
    <row r="8449">
      <c r="A8449" s="9"/>
      <c r="B8449" s="15"/>
      <c r="C8449" s="9">
        <f>IFERROR(__xludf.DUMMYFUNCTION("""COMPUTED_VALUE"""),44708.5212710069)</f>
        <v>44708.52127</v>
      </c>
      <c r="D8449" s="15">
        <f>IFERROR(__xludf.DUMMYFUNCTION("""COMPUTED_VALUE"""),1.027)</f>
        <v>1.027</v>
      </c>
      <c r="E8449" s="16">
        <f>IFERROR(__xludf.DUMMYFUNCTION("""COMPUTED_VALUE"""),69.0)</f>
        <v>69</v>
      </c>
      <c r="F8449" s="19" t="str">
        <f>IFERROR(__xludf.DUMMYFUNCTION("""COMPUTED_VALUE"""),"BLACK")</f>
        <v>BLACK</v>
      </c>
      <c r="G8449" s="20" t="str">
        <f>IFERROR(__xludf.DUMMYFUNCTION("""COMPUTED_VALUE"""),"Uncle Sams Cider (5/13/2022)")</f>
        <v>Uncle Sams Cider (5/13/2022)</v>
      </c>
      <c r="H8449" s="19"/>
    </row>
    <row r="8450">
      <c r="A8450" s="9"/>
      <c r="B8450" s="15"/>
      <c r="C8450" s="9">
        <f>IFERROR(__xludf.DUMMYFUNCTION("""COMPUTED_VALUE"""),44708.5108507407)</f>
        <v>44708.51085</v>
      </c>
      <c r="D8450" s="15">
        <f>IFERROR(__xludf.DUMMYFUNCTION("""COMPUTED_VALUE"""),1.027)</f>
        <v>1.027</v>
      </c>
      <c r="E8450" s="16">
        <f>IFERROR(__xludf.DUMMYFUNCTION("""COMPUTED_VALUE"""),69.0)</f>
        <v>69</v>
      </c>
      <c r="F8450" s="19" t="str">
        <f>IFERROR(__xludf.DUMMYFUNCTION("""COMPUTED_VALUE"""),"BLACK")</f>
        <v>BLACK</v>
      </c>
      <c r="G8450" s="20" t="str">
        <f>IFERROR(__xludf.DUMMYFUNCTION("""COMPUTED_VALUE"""),"Uncle Sams Cider (5/13/2022)")</f>
        <v>Uncle Sams Cider (5/13/2022)</v>
      </c>
      <c r="H8450" s="19"/>
    </row>
    <row r="8451">
      <c r="A8451" s="9"/>
      <c r="B8451" s="15"/>
      <c r="C8451" s="9">
        <f>IFERROR(__xludf.DUMMYFUNCTION("""COMPUTED_VALUE"""),44708.5004293518)</f>
        <v>44708.50043</v>
      </c>
      <c r="D8451" s="15">
        <f>IFERROR(__xludf.DUMMYFUNCTION("""COMPUTED_VALUE"""),1.027)</f>
        <v>1.027</v>
      </c>
      <c r="E8451" s="16">
        <f>IFERROR(__xludf.DUMMYFUNCTION("""COMPUTED_VALUE"""),69.0)</f>
        <v>69</v>
      </c>
      <c r="F8451" s="19" t="str">
        <f>IFERROR(__xludf.DUMMYFUNCTION("""COMPUTED_VALUE"""),"BLACK")</f>
        <v>BLACK</v>
      </c>
      <c r="G8451" s="20" t="str">
        <f>IFERROR(__xludf.DUMMYFUNCTION("""COMPUTED_VALUE"""),"Uncle Sams Cider (5/13/2022)")</f>
        <v>Uncle Sams Cider (5/13/2022)</v>
      </c>
      <c r="H8451" s="19"/>
    </row>
    <row r="8452">
      <c r="A8452" s="9"/>
      <c r="B8452" s="15"/>
      <c r="C8452" s="9">
        <f>IFERROR(__xludf.DUMMYFUNCTION("""COMPUTED_VALUE"""),44708.4900081018)</f>
        <v>44708.49001</v>
      </c>
      <c r="D8452" s="15">
        <f>IFERROR(__xludf.DUMMYFUNCTION("""COMPUTED_VALUE"""),1.027)</f>
        <v>1.027</v>
      </c>
      <c r="E8452" s="16">
        <f>IFERROR(__xludf.DUMMYFUNCTION("""COMPUTED_VALUE"""),69.0)</f>
        <v>69</v>
      </c>
      <c r="F8452" s="19" t="str">
        <f>IFERROR(__xludf.DUMMYFUNCTION("""COMPUTED_VALUE"""),"BLACK")</f>
        <v>BLACK</v>
      </c>
      <c r="G8452" s="20" t="str">
        <f>IFERROR(__xludf.DUMMYFUNCTION("""COMPUTED_VALUE"""),"Uncle Sams Cider (5/13/2022)")</f>
        <v>Uncle Sams Cider (5/13/2022)</v>
      </c>
      <c r="H8452" s="19"/>
    </row>
    <row r="8453">
      <c r="A8453" s="9"/>
      <c r="B8453" s="15"/>
      <c r="C8453" s="9">
        <f>IFERROR(__xludf.DUMMYFUNCTION("""COMPUTED_VALUE"""),44708.4795765277)</f>
        <v>44708.47958</v>
      </c>
      <c r="D8453" s="15">
        <f>IFERROR(__xludf.DUMMYFUNCTION("""COMPUTED_VALUE"""),1.027)</f>
        <v>1.027</v>
      </c>
      <c r="E8453" s="16">
        <f>IFERROR(__xludf.DUMMYFUNCTION("""COMPUTED_VALUE"""),69.0)</f>
        <v>69</v>
      </c>
      <c r="F8453" s="19" t="str">
        <f>IFERROR(__xludf.DUMMYFUNCTION("""COMPUTED_VALUE"""),"BLACK")</f>
        <v>BLACK</v>
      </c>
      <c r="G8453" s="20" t="str">
        <f>IFERROR(__xludf.DUMMYFUNCTION("""COMPUTED_VALUE"""),"Uncle Sams Cider (5/13/2022)")</f>
        <v>Uncle Sams Cider (5/13/2022)</v>
      </c>
      <c r="H8453" s="19"/>
    </row>
    <row r="8454">
      <c r="A8454" s="9"/>
      <c r="B8454" s="15"/>
      <c r="C8454" s="9">
        <f>IFERROR(__xludf.DUMMYFUNCTION("""COMPUTED_VALUE"""),44708.4691547569)</f>
        <v>44708.46915</v>
      </c>
      <c r="D8454" s="15">
        <f>IFERROR(__xludf.DUMMYFUNCTION("""COMPUTED_VALUE"""),1.027)</f>
        <v>1.027</v>
      </c>
      <c r="E8454" s="16">
        <f>IFERROR(__xludf.DUMMYFUNCTION("""COMPUTED_VALUE"""),69.0)</f>
        <v>69</v>
      </c>
      <c r="F8454" s="19" t="str">
        <f>IFERROR(__xludf.DUMMYFUNCTION("""COMPUTED_VALUE"""),"BLACK")</f>
        <v>BLACK</v>
      </c>
      <c r="G8454" s="20" t="str">
        <f>IFERROR(__xludf.DUMMYFUNCTION("""COMPUTED_VALUE"""),"Uncle Sams Cider (5/13/2022)")</f>
        <v>Uncle Sams Cider (5/13/2022)</v>
      </c>
      <c r="H8454" s="19"/>
    </row>
    <row r="8455">
      <c r="A8455" s="9"/>
      <c r="B8455" s="15"/>
      <c r="C8455" s="9">
        <f>IFERROR(__xludf.DUMMYFUNCTION("""COMPUTED_VALUE"""),44708.4587343865)</f>
        <v>44708.45873</v>
      </c>
      <c r="D8455" s="15">
        <f>IFERROR(__xludf.DUMMYFUNCTION("""COMPUTED_VALUE"""),1.027)</f>
        <v>1.027</v>
      </c>
      <c r="E8455" s="16">
        <f>IFERROR(__xludf.DUMMYFUNCTION("""COMPUTED_VALUE"""),69.0)</f>
        <v>69</v>
      </c>
      <c r="F8455" s="19" t="str">
        <f>IFERROR(__xludf.DUMMYFUNCTION("""COMPUTED_VALUE"""),"BLACK")</f>
        <v>BLACK</v>
      </c>
      <c r="G8455" s="20" t="str">
        <f>IFERROR(__xludf.DUMMYFUNCTION("""COMPUTED_VALUE"""),"Uncle Sams Cider (5/13/2022)")</f>
        <v>Uncle Sams Cider (5/13/2022)</v>
      </c>
      <c r="H8455" s="19"/>
    </row>
    <row r="8456">
      <c r="A8456" s="9"/>
      <c r="B8456" s="15"/>
      <c r="C8456" s="9">
        <f>IFERROR(__xludf.DUMMYFUNCTION("""COMPUTED_VALUE"""),44708.448312662)</f>
        <v>44708.44831</v>
      </c>
      <c r="D8456" s="15">
        <f>IFERROR(__xludf.DUMMYFUNCTION("""COMPUTED_VALUE"""),1.027)</f>
        <v>1.027</v>
      </c>
      <c r="E8456" s="16">
        <f>IFERROR(__xludf.DUMMYFUNCTION("""COMPUTED_VALUE"""),69.0)</f>
        <v>69</v>
      </c>
      <c r="F8456" s="19" t="str">
        <f>IFERROR(__xludf.DUMMYFUNCTION("""COMPUTED_VALUE"""),"BLACK")</f>
        <v>BLACK</v>
      </c>
      <c r="G8456" s="20" t="str">
        <f>IFERROR(__xludf.DUMMYFUNCTION("""COMPUTED_VALUE"""),"Uncle Sams Cider (5/13/2022)")</f>
        <v>Uncle Sams Cider (5/13/2022)</v>
      </c>
      <c r="H8456" s="19"/>
    </row>
    <row r="8457">
      <c r="A8457" s="9"/>
      <c r="B8457" s="15"/>
      <c r="C8457" s="9">
        <f>IFERROR(__xludf.DUMMYFUNCTION("""COMPUTED_VALUE"""),44708.4378929398)</f>
        <v>44708.43789</v>
      </c>
      <c r="D8457" s="15">
        <f>IFERROR(__xludf.DUMMYFUNCTION("""COMPUTED_VALUE"""),1.027)</f>
        <v>1.027</v>
      </c>
      <c r="E8457" s="16">
        <f>IFERROR(__xludf.DUMMYFUNCTION("""COMPUTED_VALUE"""),69.0)</f>
        <v>69</v>
      </c>
      <c r="F8457" s="19" t="str">
        <f>IFERROR(__xludf.DUMMYFUNCTION("""COMPUTED_VALUE"""),"BLACK")</f>
        <v>BLACK</v>
      </c>
      <c r="G8457" s="20" t="str">
        <f>IFERROR(__xludf.DUMMYFUNCTION("""COMPUTED_VALUE"""),"Uncle Sams Cider (5/13/2022)")</f>
        <v>Uncle Sams Cider (5/13/2022)</v>
      </c>
      <c r="H8457" s="19"/>
    </row>
    <row r="8458">
      <c r="A8458" s="9"/>
      <c r="B8458" s="15"/>
      <c r="C8458" s="9">
        <f>IFERROR(__xludf.DUMMYFUNCTION("""COMPUTED_VALUE"""),44708.4274711921)</f>
        <v>44708.42747</v>
      </c>
      <c r="D8458" s="15">
        <f>IFERROR(__xludf.DUMMYFUNCTION("""COMPUTED_VALUE"""),1.027)</f>
        <v>1.027</v>
      </c>
      <c r="E8458" s="16">
        <f>IFERROR(__xludf.DUMMYFUNCTION("""COMPUTED_VALUE"""),69.0)</f>
        <v>69</v>
      </c>
      <c r="F8458" s="19" t="str">
        <f>IFERROR(__xludf.DUMMYFUNCTION("""COMPUTED_VALUE"""),"BLACK")</f>
        <v>BLACK</v>
      </c>
      <c r="G8458" s="20" t="str">
        <f>IFERROR(__xludf.DUMMYFUNCTION("""COMPUTED_VALUE"""),"Uncle Sams Cider (5/13/2022)")</f>
        <v>Uncle Sams Cider (5/13/2022)</v>
      </c>
      <c r="H8458" s="19"/>
    </row>
    <row r="8459">
      <c r="A8459" s="9"/>
      <c r="B8459" s="15"/>
      <c r="C8459" s="9">
        <f>IFERROR(__xludf.DUMMYFUNCTION("""COMPUTED_VALUE"""),44708.4170501388)</f>
        <v>44708.41705</v>
      </c>
      <c r="D8459" s="15">
        <f>IFERROR(__xludf.DUMMYFUNCTION("""COMPUTED_VALUE"""),1.027)</f>
        <v>1.027</v>
      </c>
      <c r="E8459" s="16">
        <f>IFERROR(__xludf.DUMMYFUNCTION("""COMPUTED_VALUE"""),69.0)</f>
        <v>69</v>
      </c>
      <c r="F8459" s="19" t="str">
        <f>IFERROR(__xludf.DUMMYFUNCTION("""COMPUTED_VALUE"""),"BLACK")</f>
        <v>BLACK</v>
      </c>
      <c r="G8459" s="20" t="str">
        <f>IFERROR(__xludf.DUMMYFUNCTION("""COMPUTED_VALUE"""),"Uncle Sams Cider (5/13/2022)")</f>
        <v>Uncle Sams Cider (5/13/2022)</v>
      </c>
      <c r="H8459" s="19"/>
    </row>
    <row r="8460">
      <c r="A8460" s="9"/>
      <c r="B8460" s="15"/>
      <c r="C8460" s="9">
        <f>IFERROR(__xludf.DUMMYFUNCTION("""COMPUTED_VALUE"""),44708.4066306944)</f>
        <v>44708.40663</v>
      </c>
      <c r="D8460" s="15">
        <f>IFERROR(__xludf.DUMMYFUNCTION("""COMPUTED_VALUE"""),1.027)</f>
        <v>1.027</v>
      </c>
      <c r="E8460" s="16">
        <f>IFERROR(__xludf.DUMMYFUNCTION("""COMPUTED_VALUE"""),69.0)</f>
        <v>69</v>
      </c>
      <c r="F8460" s="19" t="str">
        <f>IFERROR(__xludf.DUMMYFUNCTION("""COMPUTED_VALUE"""),"BLACK")</f>
        <v>BLACK</v>
      </c>
      <c r="G8460" s="20" t="str">
        <f>IFERROR(__xludf.DUMMYFUNCTION("""COMPUTED_VALUE"""),"Uncle Sams Cider (5/13/2022)")</f>
        <v>Uncle Sams Cider (5/13/2022)</v>
      </c>
      <c r="H8460" s="19"/>
    </row>
    <row r="8461">
      <c r="A8461" s="9"/>
      <c r="B8461" s="15"/>
      <c r="C8461" s="9">
        <f>IFERROR(__xludf.DUMMYFUNCTION("""COMPUTED_VALUE"""),44708.3962097338)</f>
        <v>44708.39621</v>
      </c>
      <c r="D8461" s="15">
        <f>IFERROR(__xludf.DUMMYFUNCTION("""COMPUTED_VALUE"""),1.027)</f>
        <v>1.027</v>
      </c>
      <c r="E8461" s="16">
        <f>IFERROR(__xludf.DUMMYFUNCTION("""COMPUTED_VALUE"""),69.0)</f>
        <v>69</v>
      </c>
      <c r="F8461" s="19" t="str">
        <f>IFERROR(__xludf.DUMMYFUNCTION("""COMPUTED_VALUE"""),"BLACK")</f>
        <v>BLACK</v>
      </c>
      <c r="G8461" s="20" t="str">
        <f>IFERROR(__xludf.DUMMYFUNCTION("""COMPUTED_VALUE"""),"Uncle Sams Cider (5/13/2022)")</f>
        <v>Uncle Sams Cider (5/13/2022)</v>
      </c>
      <c r="H8461" s="19"/>
    </row>
    <row r="8462">
      <c r="A8462" s="9"/>
      <c r="B8462" s="15"/>
      <c r="C8462" s="9">
        <f>IFERROR(__xludf.DUMMYFUNCTION("""COMPUTED_VALUE"""),44708.3857889351)</f>
        <v>44708.38579</v>
      </c>
      <c r="D8462" s="15">
        <f>IFERROR(__xludf.DUMMYFUNCTION("""COMPUTED_VALUE"""),1.027)</f>
        <v>1.027</v>
      </c>
      <c r="E8462" s="16">
        <f>IFERROR(__xludf.DUMMYFUNCTION("""COMPUTED_VALUE"""),69.0)</f>
        <v>69</v>
      </c>
      <c r="F8462" s="19" t="str">
        <f>IFERROR(__xludf.DUMMYFUNCTION("""COMPUTED_VALUE"""),"BLACK")</f>
        <v>BLACK</v>
      </c>
      <c r="G8462" s="20" t="str">
        <f>IFERROR(__xludf.DUMMYFUNCTION("""COMPUTED_VALUE"""),"Uncle Sams Cider (5/13/2022)")</f>
        <v>Uncle Sams Cider (5/13/2022)</v>
      </c>
      <c r="H8462" s="19"/>
    </row>
    <row r="8463">
      <c r="A8463" s="9"/>
      <c r="B8463" s="15"/>
      <c r="C8463" s="9">
        <f>IFERROR(__xludf.DUMMYFUNCTION("""COMPUTED_VALUE"""),44708.3753687037)</f>
        <v>44708.37537</v>
      </c>
      <c r="D8463" s="15">
        <f>IFERROR(__xludf.DUMMYFUNCTION("""COMPUTED_VALUE"""),1.027)</f>
        <v>1.027</v>
      </c>
      <c r="E8463" s="16">
        <f>IFERROR(__xludf.DUMMYFUNCTION("""COMPUTED_VALUE"""),69.0)</f>
        <v>69</v>
      </c>
      <c r="F8463" s="19" t="str">
        <f>IFERROR(__xludf.DUMMYFUNCTION("""COMPUTED_VALUE"""),"BLACK")</f>
        <v>BLACK</v>
      </c>
      <c r="G8463" s="20" t="str">
        <f>IFERROR(__xludf.DUMMYFUNCTION("""COMPUTED_VALUE"""),"Uncle Sams Cider (5/13/2022)")</f>
        <v>Uncle Sams Cider (5/13/2022)</v>
      </c>
      <c r="H8463" s="19"/>
    </row>
    <row r="8464">
      <c r="A8464" s="9"/>
      <c r="B8464" s="15"/>
      <c r="C8464" s="9">
        <f>IFERROR(__xludf.DUMMYFUNCTION("""COMPUTED_VALUE"""),44708.3649462615)</f>
        <v>44708.36495</v>
      </c>
      <c r="D8464" s="15">
        <f>IFERROR(__xludf.DUMMYFUNCTION("""COMPUTED_VALUE"""),1.027)</f>
        <v>1.027</v>
      </c>
      <c r="E8464" s="16">
        <f>IFERROR(__xludf.DUMMYFUNCTION("""COMPUTED_VALUE"""),69.0)</f>
        <v>69</v>
      </c>
      <c r="F8464" s="19" t="str">
        <f>IFERROR(__xludf.DUMMYFUNCTION("""COMPUTED_VALUE"""),"BLACK")</f>
        <v>BLACK</v>
      </c>
      <c r="G8464" s="20" t="str">
        <f>IFERROR(__xludf.DUMMYFUNCTION("""COMPUTED_VALUE"""),"Uncle Sams Cider (5/13/2022)")</f>
        <v>Uncle Sams Cider (5/13/2022)</v>
      </c>
      <c r="H8464" s="19"/>
    </row>
    <row r="8465">
      <c r="A8465" s="9"/>
      <c r="B8465" s="15"/>
      <c r="C8465" s="9">
        <f>IFERROR(__xludf.DUMMYFUNCTION("""COMPUTED_VALUE"""),44708.3545044097)</f>
        <v>44708.3545</v>
      </c>
      <c r="D8465" s="15">
        <f>IFERROR(__xludf.DUMMYFUNCTION("""COMPUTED_VALUE"""),1.027)</f>
        <v>1.027</v>
      </c>
      <c r="E8465" s="16">
        <f>IFERROR(__xludf.DUMMYFUNCTION("""COMPUTED_VALUE"""),69.0)</f>
        <v>69</v>
      </c>
      <c r="F8465" s="19" t="str">
        <f>IFERROR(__xludf.DUMMYFUNCTION("""COMPUTED_VALUE"""),"BLACK")</f>
        <v>BLACK</v>
      </c>
      <c r="G8465" s="20" t="str">
        <f>IFERROR(__xludf.DUMMYFUNCTION("""COMPUTED_VALUE"""),"Uncle Sams Cider (5/13/2022)")</f>
        <v>Uncle Sams Cider (5/13/2022)</v>
      </c>
      <c r="H8465" s="19"/>
    </row>
    <row r="8466">
      <c r="A8466" s="9"/>
      <c r="B8466" s="15"/>
      <c r="C8466" s="9">
        <f>IFERROR(__xludf.DUMMYFUNCTION("""COMPUTED_VALUE"""),44708.3440720486)</f>
        <v>44708.34407</v>
      </c>
      <c r="D8466" s="15">
        <f>IFERROR(__xludf.DUMMYFUNCTION("""COMPUTED_VALUE"""),1.027)</f>
        <v>1.027</v>
      </c>
      <c r="E8466" s="16">
        <f>IFERROR(__xludf.DUMMYFUNCTION("""COMPUTED_VALUE"""),69.0)</f>
        <v>69</v>
      </c>
      <c r="F8466" s="19" t="str">
        <f>IFERROR(__xludf.DUMMYFUNCTION("""COMPUTED_VALUE"""),"BLACK")</f>
        <v>BLACK</v>
      </c>
      <c r="G8466" s="20" t="str">
        <f>IFERROR(__xludf.DUMMYFUNCTION("""COMPUTED_VALUE"""),"Uncle Sams Cider (5/13/2022)")</f>
        <v>Uncle Sams Cider (5/13/2022)</v>
      </c>
      <c r="H8466" s="19"/>
    </row>
    <row r="8467">
      <c r="A8467" s="9"/>
      <c r="B8467" s="15"/>
      <c r="C8467" s="9">
        <f>IFERROR(__xludf.DUMMYFUNCTION("""COMPUTED_VALUE"""),44708.3336521643)</f>
        <v>44708.33365</v>
      </c>
      <c r="D8467" s="15">
        <f>IFERROR(__xludf.DUMMYFUNCTION("""COMPUTED_VALUE"""),1.027)</f>
        <v>1.027</v>
      </c>
      <c r="E8467" s="16">
        <f>IFERROR(__xludf.DUMMYFUNCTION("""COMPUTED_VALUE"""),69.0)</f>
        <v>69</v>
      </c>
      <c r="F8467" s="19" t="str">
        <f>IFERROR(__xludf.DUMMYFUNCTION("""COMPUTED_VALUE"""),"BLACK")</f>
        <v>BLACK</v>
      </c>
      <c r="G8467" s="20" t="str">
        <f>IFERROR(__xludf.DUMMYFUNCTION("""COMPUTED_VALUE"""),"Uncle Sams Cider (5/13/2022)")</f>
        <v>Uncle Sams Cider (5/13/2022)</v>
      </c>
      <c r="H8467" s="19"/>
    </row>
    <row r="8468">
      <c r="A8468" s="9"/>
      <c r="B8468" s="15"/>
      <c r="C8468" s="9">
        <f>IFERROR(__xludf.DUMMYFUNCTION("""COMPUTED_VALUE"""),44708.3232311111)</f>
        <v>44708.32323</v>
      </c>
      <c r="D8468" s="15">
        <f>IFERROR(__xludf.DUMMYFUNCTION("""COMPUTED_VALUE"""),1.027)</f>
        <v>1.027</v>
      </c>
      <c r="E8468" s="16">
        <f>IFERROR(__xludf.DUMMYFUNCTION("""COMPUTED_VALUE"""),69.0)</f>
        <v>69</v>
      </c>
      <c r="F8468" s="19" t="str">
        <f>IFERROR(__xludf.DUMMYFUNCTION("""COMPUTED_VALUE"""),"BLACK")</f>
        <v>BLACK</v>
      </c>
      <c r="G8468" s="20" t="str">
        <f>IFERROR(__xludf.DUMMYFUNCTION("""COMPUTED_VALUE"""),"Uncle Sams Cider (5/13/2022)")</f>
        <v>Uncle Sams Cider (5/13/2022)</v>
      </c>
      <c r="H8468" s="19"/>
    </row>
    <row r="8469">
      <c r="A8469" s="9"/>
      <c r="B8469" s="15"/>
      <c r="C8469" s="9">
        <f>IFERROR(__xludf.DUMMYFUNCTION("""COMPUTED_VALUE"""),44708.3128106828)</f>
        <v>44708.31281</v>
      </c>
      <c r="D8469" s="15">
        <f>IFERROR(__xludf.DUMMYFUNCTION("""COMPUTED_VALUE"""),1.027)</f>
        <v>1.027</v>
      </c>
      <c r="E8469" s="16">
        <f>IFERROR(__xludf.DUMMYFUNCTION("""COMPUTED_VALUE"""),69.0)</f>
        <v>69</v>
      </c>
      <c r="F8469" s="19" t="str">
        <f>IFERROR(__xludf.DUMMYFUNCTION("""COMPUTED_VALUE"""),"BLACK")</f>
        <v>BLACK</v>
      </c>
      <c r="G8469" s="20" t="str">
        <f>IFERROR(__xludf.DUMMYFUNCTION("""COMPUTED_VALUE"""),"Uncle Sams Cider (5/13/2022)")</f>
        <v>Uncle Sams Cider (5/13/2022)</v>
      </c>
      <c r="H8469" s="19"/>
    </row>
    <row r="8470">
      <c r="A8470" s="9"/>
      <c r="B8470" s="15"/>
      <c r="C8470" s="9">
        <f>IFERROR(__xludf.DUMMYFUNCTION("""COMPUTED_VALUE"""),44708.3023902546)</f>
        <v>44708.30239</v>
      </c>
      <c r="D8470" s="15">
        <f>IFERROR(__xludf.DUMMYFUNCTION("""COMPUTED_VALUE"""),1.027)</f>
        <v>1.027</v>
      </c>
      <c r="E8470" s="16">
        <f>IFERROR(__xludf.DUMMYFUNCTION("""COMPUTED_VALUE"""),69.0)</f>
        <v>69</v>
      </c>
      <c r="F8470" s="19" t="str">
        <f>IFERROR(__xludf.DUMMYFUNCTION("""COMPUTED_VALUE"""),"BLACK")</f>
        <v>BLACK</v>
      </c>
      <c r="G8470" s="20" t="str">
        <f>IFERROR(__xludf.DUMMYFUNCTION("""COMPUTED_VALUE"""),"Uncle Sams Cider (5/13/2022)")</f>
        <v>Uncle Sams Cider (5/13/2022)</v>
      </c>
      <c r="H8470" s="19"/>
    </row>
    <row r="8471">
      <c r="A8471" s="9"/>
      <c r="B8471" s="15"/>
      <c r="C8471" s="9">
        <f>IFERROR(__xludf.DUMMYFUNCTION("""COMPUTED_VALUE"""),44708.2919694213)</f>
        <v>44708.29197</v>
      </c>
      <c r="D8471" s="15">
        <f>IFERROR(__xludf.DUMMYFUNCTION("""COMPUTED_VALUE"""),1.027)</f>
        <v>1.027</v>
      </c>
      <c r="E8471" s="16">
        <f>IFERROR(__xludf.DUMMYFUNCTION("""COMPUTED_VALUE"""),69.0)</f>
        <v>69</v>
      </c>
      <c r="F8471" s="19" t="str">
        <f>IFERROR(__xludf.DUMMYFUNCTION("""COMPUTED_VALUE"""),"BLACK")</f>
        <v>BLACK</v>
      </c>
      <c r="G8471" s="20" t="str">
        <f>IFERROR(__xludf.DUMMYFUNCTION("""COMPUTED_VALUE"""),"Uncle Sams Cider (5/13/2022)")</f>
        <v>Uncle Sams Cider (5/13/2022)</v>
      </c>
      <c r="H8471" s="19"/>
    </row>
    <row r="8472">
      <c r="A8472" s="9"/>
      <c r="B8472" s="15"/>
      <c r="C8472" s="9">
        <f>IFERROR(__xludf.DUMMYFUNCTION("""COMPUTED_VALUE"""),44708.281549456)</f>
        <v>44708.28155</v>
      </c>
      <c r="D8472" s="15">
        <f>IFERROR(__xludf.DUMMYFUNCTION("""COMPUTED_VALUE"""),1.028)</f>
        <v>1.028</v>
      </c>
      <c r="E8472" s="16">
        <f>IFERROR(__xludf.DUMMYFUNCTION("""COMPUTED_VALUE"""),69.0)</f>
        <v>69</v>
      </c>
      <c r="F8472" s="19" t="str">
        <f>IFERROR(__xludf.DUMMYFUNCTION("""COMPUTED_VALUE"""),"BLACK")</f>
        <v>BLACK</v>
      </c>
      <c r="G8472" s="20" t="str">
        <f>IFERROR(__xludf.DUMMYFUNCTION("""COMPUTED_VALUE"""),"Uncle Sams Cider (5/13/2022)")</f>
        <v>Uncle Sams Cider (5/13/2022)</v>
      </c>
      <c r="H8472" s="19"/>
    </row>
    <row r="8473">
      <c r="A8473" s="9"/>
      <c r="B8473" s="15"/>
      <c r="C8473" s="9">
        <f>IFERROR(__xludf.DUMMYFUNCTION("""COMPUTED_VALUE"""),44708.2711293287)</f>
        <v>44708.27113</v>
      </c>
      <c r="D8473" s="15">
        <f>IFERROR(__xludf.DUMMYFUNCTION("""COMPUTED_VALUE"""),1.028)</f>
        <v>1.028</v>
      </c>
      <c r="E8473" s="16">
        <f>IFERROR(__xludf.DUMMYFUNCTION("""COMPUTED_VALUE"""),69.0)</f>
        <v>69</v>
      </c>
      <c r="F8473" s="19" t="str">
        <f>IFERROR(__xludf.DUMMYFUNCTION("""COMPUTED_VALUE"""),"BLACK")</f>
        <v>BLACK</v>
      </c>
      <c r="G8473" s="20" t="str">
        <f>IFERROR(__xludf.DUMMYFUNCTION("""COMPUTED_VALUE"""),"Uncle Sams Cider (5/13/2022)")</f>
        <v>Uncle Sams Cider (5/13/2022)</v>
      </c>
      <c r="H8473" s="19"/>
    </row>
    <row r="8474">
      <c r="A8474" s="9"/>
      <c r="B8474" s="15"/>
      <c r="C8474" s="9">
        <f>IFERROR(__xludf.DUMMYFUNCTION("""COMPUTED_VALUE"""),44708.2607091319)</f>
        <v>44708.26071</v>
      </c>
      <c r="D8474" s="15">
        <f>IFERROR(__xludf.DUMMYFUNCTION("""COMPUTED_VALUE"""),1.028)</f>
        <v>1.028</v>
      </c>
      <c r="E8474" s="16">
        <f>IFERROR(__xludf.DUMMYFUNCTION("""COMPUTED_VALUE"""),69.0)</f>
        <v>69</v>
      </c>
      <c r="F8474" s="19" t="str">
        <f>IFERROR(__xludf.DUMMYFUNCTION("""COMPUTED_VALUE"""),"BLACK")</f>
        <v>BLACK</v>
      </c>
      <c r="G8474" s="20" t="str">
        <f>IFERROR(__xludf.DUMMYFUNCTION("""COMPUTED_VALUE"""),"Uncle Sams Cider (5/13/2022)")</f>
        <v>Uncle Sams Cider (5/13/2022)</v>
      </c>
      <c r="H8474" s="19"/>
    </row>
    <row r="8475">
      <c r="A8475" s="9"/>
      <c r="B8475" s="15"/>
      <c r="C8475" s="9">
        <f>IFERROR(__xludf.DUMMYFUNCTION("""COMPUTED_VALUE"""),44708.2502892361)</f>
        <v>44708.25029</v>
      </c>
      <c r="D8475" s="15">
        <f>IFERROR(__xludf.DUMMYFUNCTION("""COMPUTED_VALUE"""),1.028)</f>
        <v>1.028</v>
      </c>
      <c r="E8475" s="16">
        <f>IFERROR(__xludf.DUMMYFUNCTION("""COMPUTED_VALUE"""),69.0)</f>
        <v>69</v>
      </c>
      <c r="F8475" s="19" t="str">
        <f>IFERROR(__xludf.DUMMYFUNCTION("""COMPUTED_VALUE"""),"BLACK")</f>
        <v>BLACK</v>
      </c>
      <c r="G8475" s="20" t="str">
        <f>IFERROR(__xludf.DUMMYFUNCTION("""COMPUTED_VALUE"""),"Uncle Sams Cider (5/13/2022)")</f>
        <v>Uncle Sams Cider (5/13/2022)</v>
      </c>
      <c r="H8475" s="19"/>
    </row>
    <row r="8476">
      <c r="A8476" s="9"/>
      <c r="B8476" s="15"/>
      <c r="C8476" s="9">
        <f>IFERROR(__xludf.DUMMYFUNCTION("""COMPUTED_VALUE"""),44708.2398680671)</f>
        <v>44708.23987</v>
      </c>
      <c r="D8476" s="15">
        <f>IFERROR(__xludf.DUMMYFUNCTION("""COMPUTED_VALUE"""),1.028)</f>
        <v>1.028</v>
      </c>
      <c r="E8476" s="16">
        <f>IFERROR(__xludf.DUMMYFUNCTION("""COMPUTED_VALUE"""),69.0)</f>
        <v>69</v>
      </c>
      <c r="F8476" s="19" t="str">
        <f>IFERROR(__xludf.DUMMYFUNCTION("""COMPUTED_VALUE"""),"BLACK")</f>
        <v>BLACK</v>
      </c>
      <c r="G8476" s="20" t="str">
        <f>IFERROR(__xludf.DUMMYFUNCTION("""COMPUTED_VALUE"""),"Uncle Sams Cider (5/13/2022)")</f>
        <v>Uncle Sams Cider (5/13/2022)</v>
      </c>
      <c r="H8476" s="19"/>
    </row>
    <row r="8477">
      <c r="A8477" s="9"/>
      <c r="B8477" s="15"/>
      <c r="C8477" s="9">
        <f>IFERROR(__xludf.DUMMYFUNCTION("""COMPUTED_VALUE"""),44708.2294355324)</f>
        <v>44708.22944</v>
      </c>
      <c r="D8477" s="15">
        <f>IFERROR(__xludf.DUMMYFUNCTION("""COMPUTED_VALUE"""),1.028)</f>
        <v>1.028</v>
      </c>
      <c r="E8477" s="16">
        <f>IFERROR(__xludf.DUMMYFUNCTION("""COMPUTED_VALUE"""),69.0)</f>
        <v>69</v>
      </c>
      <c r="F8477" s="19" t="str">
        <f>IFERROR(__xludf.DUMMYFUNCTION("""COMPUTED_VALUE"""),"BLACK")</f>
        <v>BLACK</v>
      </c>
      <c r="G8477" s="20" t="str">
        <f>IFERROR(__xludf.DUMMYFUNCTION("""COMPUTED_VALUE"""),"Uncle Sams Cider (5/13/2022)")</f>
        <v>Uncle Sams Cider (5/13/2022)</v>
      </c>
      <c r="H8477" s="19"/>
    </row>
    <row r="8478">
      <c r="A8478" s="9"/>
      <c r="B8478" s="15"/>
      <c r="C8478" s="9">
        <f>IFERROR(__xludf.DUMMYFUNCTION("""COMPUTED_VALUE"""),44708.2190146064)</f>
        <v>44708.21901</v>
      </c>
      <c r="D8478" s="15">
        <f>IFERROR(__xludf.DUMMYFUNCTION("""COMPUTED_VALUE"""),1.028)</f>
        <v>1.028</v>
      </c>
      <c r="E8478" s="16">
        <f>IFERROR(__xludf.DUMMYFUNCTION("""COMPUTED_VALUE"""),69.0)</f>
        <v>69</v>
      </c>
      <c r="F8478" s="19" t="str">
        <f>IFERROR(__xludf.DUMMYFUNCTION("""COMPUTED_VALUE"""),"BLACK")</f>
        <v>BLACK</v>
      </c>
      <c r="G8478" s="20" t="str">
        <f>IFERROR(__xludf.DUMMYFUNCTION("""COMPUTED_VALUE"""),"Uncle Sams Cider (5/13/2022)")</f>
        <v>Uncle Sams Cider (5/13/2022)</v>
      </c>
      <c r="H8478" s="19"/>
    </row>
    <row r="8479">
      <c r="A8479" s="9"/>
      <c r="B8479" s="15"/>
      <c r="C8479" s="9">
        <f>IFERROR(__xludf.DUMMYFUNCTION("""COMPUTED_VALUE"""),44708.2085948958)</f>
        <v>44708.20859</v>
      </c>
      <c r="D8479" s="15">
        <f>IFERROR(__xludf.DUMMYFUNCTION("""COMPUTED_VALUE"""),1.028)</f>
        <v>1.028</v>
      </c>
      <c r="E8479" s="16">
        <f>IFERROR(__xludf.DUMMYFUNCTION("""COMPUTED_VALUE"""),69.0)</f>
        <v>69</v>
      </c>
      <c r="F8479" s="19" t="str">
        <f>IFERROR(__xludf.DUMMYFUNCTION("""COMPUTED_VALUE"""),"BLACK")</f>
        <v>BLACK</v>
      </c>
      <c r="G8479" s="20" t="str">
        <f>IFERROR(__xludf.DUMMYFUNCTION("""COMPUTED_VALUE"""),"Uncle Sams Cider (5/13/2022)")</f>
        <v>Uncle Sams Cider (5/13/2022)</v>
      </c>
      <c r="H8479" s="19"/>
    </row>
    <row r="8480">
      <c r="A8480" s="9"/>
      <c r="B8480" s="15"/>
      <c r="C8480" s="9">
        <f>IFERROR(__xludf.DUMMYFUNCTION("""COMPUTED_VALUE"""),44708.198172824)</f>
        <v>44708.19817</v>
      </c>
      <c r="D8480" s="15">
        <f>IFERROR(__xludf.DUMMYFUNCTION("""COMPUTED_VALUE"""),1.028)</f>
        <v>1.028</v>
      </c>
      <c r="E8480" s="16">
        <f>IFERROR(__xludf.DUMMYFUNCTION("""COMPUTED_VALUE"""),69.0)</f>
        <v>69</v>
      </c>
      <c r="F8480" s="19" t="str">
        <f>IFERROR(__xludf.DUMMYFUNCTION("""COMPUTED_VALUE"""),"BLACK")</f>
        <v>BLACK</v>
      </c>
      <c r="G8480" s="20" t="str">
        <f>IFERROR(__xludf.DUMMYFUNCTION("""COMPUTED_VALUE"""),"Uncle Sams Cider (5/13/2022)")</f>
        <v>Uncle Sams Cider (5/13/2022)</v>
      </c>
      <c r="H8480" s="19"/>
    </row>
    <row r="8481">
      <c r="A8481" s="9"/>
      <c r="B8481" s="15"/>
      <c r="C8481" s="9">
        <f>IFERROR(__xludf.DUMMYFUNCTION("""COMPUTED_VALUE"""),44708.1877381597)</f>
        <v>44708.18774</v>
      </c>
      <c r="D8481" s="15">
        <f>IFERROR(__xludf.DUMMYFUNCTION("""COMPUTED_VALUE"""),1.028)</f>
        <v>1.028</v>
      </c>
      <c r="E8481" s="16">
        <f>IFERROR(__xludf.DUMMYFUNCTION("""COMPUTED_VALUE"""),69.0)</f>
        <v>69</v>
      </c>
      <c r="F8481" s="19" t="str">
        <f>IFERROR(__xludf.DUMMYFUNCTION("""COMPUTED_VALUE"""),"BLACK")</f>
        <v>BLACK</v>
      </c>
      <c r="G8481" s="20" t="str">
        <f>IFERROR(__xludf.DUMMYFUNCTION("""COMPUTED_VALUE"""),"Uncle Sams Cider (5/13/2022)")</f>
        <v>Uncle Sams Cider (5/13/2022)</v>
      </c>
      <c r="H8481" s="19"/>
    </row>
    <row r="8482">
      <c r="A8482" s="9"/>
      <c r="B8482" s="15"/>
      <c r="C8482" s="9">
        <f>IFERROR(__xludf.DUMMYFUNCTION("""COMPUTED_VALUE"""),44708.1773170949)</f>
        <v>44708.17732</v>
      </c>
      <c r="D8482" s="15">
        <f>IFERROR(__xludf.DUMMYFUNCTION("""COMPUTED_VALUE"""),1.028)</f>
        <v>1.028</v>
      </c>
      <c r="E8482" s="16">
        <f>IFERROR(__xludf.DUMMYFUNCTION("""COMPUTED_VALUE"""),69.0)</f>
        <v>69</v>
      </c>
      <c r="F8482" s="19" t="str">
        <f>IFERROR(__xludf.DUMMYFUNCTION("""COMPUTED_VALUE"""),"BLACK")</f>
        <v>BLACK</v>
      </c>
      <c r="G8482" s="20" t="str">
        <f>IFERROR(__xludf.DUMMYFUNCTION("""COMPUTED_VALUE"""),"Uncle Sams Cider (5/13/2022)")</f>
        <v>Uncle Sams Cider (5/13/2022)</v>
      </c>
      <c r="H8482" s="19"/>
    </row>
    <row r="8483">
      <c r="A8483" s="9"/>
      <c r="B8483" s="15"/>
      <c r="C8483" s="9">
        <f>IFERROR(__xludf.DUMMYFUNCTION("""COMPUTED_VALUE"""),44708.1668966782)</f>
        <v>44708.1669</v>
      </c>
      <c r="D8483" s="15">
        <f>IFERROR(__xludf.DUMMYFUNCTION("""COMPUTED_VALUE"""),1.028)</f>
        <v>1.028</v>
      </c>
      <c r="E8483" s="16">
        <f>IFERROR(__xludf.DUMMYFUNCTION("""COMPUTED_VALUE"""),69.0)</f>
        <v>69</v>
      </c>
      <c r="F8483" s="19" t="str">
        <f>IFERROR(__xludf.DUMMYFUNCTION("""COMPUTED_VALUE"""),"BLACK")</f>
        <v>BLACK</v>
      </c>
      <c r="G8483" s="20" t="str">
        <f>IFERROR(__xludf.DUMMYFUNCTION("""COMPUTED_VALUE"""),"Uncle Sams Cider (5/13/2022)")</f>
        <v>Uncle Sams Cider (5/13/2022)</v>
      </c>
      <c r="H8483" s="19"/>
    </row>
    <row r="8484">
      <c r="A8484" s="9"/>
      <c r="B8484" s="15"/>
      <c r="C8484" s="9">
        <f>IFERROR(__xludf.DUMMYFUNCTION("""COMPUTED_VALUE"""),44708.1564630439)</f>
        <v>44708.15646</v>
      </c>
      <c r="D8484" s="15">
        <f>IFERROR(__xludf.DUMMYFUNCTION("""COMPUTED_VALUE"""),1.028)</f>
        <v>1.028</v>
      </c>
      <c r="E8484" s="16">
        <f>IFERROR(__xludf.DUMMYFUNCTION("""COMPUTED_VALUE"""),69.0)</f>
        <v>69</v>
      </c>
      <c r="F8484" s="19" t="str">
        <f>IFERROR(__xludf.DUMMYFUNCTION("""COMPUTED_VALUE"""),"BLACK")</f>
        <v>BLACK</v>
      </c>
      <c r="G8484" s="20" t="str">
        <f>IFERROR(__xludf.DUMMYFUNCTION("""COMPUTED_VALUE"""),"Uncle Sams Cider (5/13/2022)")</f>
        <v>Uncle Sams Cider (5/13/2022)</v>
      </c>
      <c r="H8484" s="19"/>
    </row>
    <row r="8485">
      <c r="A8485" s="9"/>
      <c r="B8485" s="15"/>
      <c r="C8485" s="9">
        <f>IFERROR(__xludf.DUMMYFUNCTION("""COMPUTED_VALUE"""),44708.1460173379)</f>
        <v>44708.14602</v>
      </c>
      <c r="D8485" s="15">
        <f>IFERROR(__xludf.DUMMYFUNCTION("""COMPUTED_VALUE"""),1.028)</f>
        <v>1.028</v>
      </c>
      <c r="E8485" s="16">
        <f>IFERROR(__xludf.DUMMYFUNCTION("""COMPUTED_VALUE"""),69.0)</f>
        <v>69</v>
      </c>
      <c r="F8485" s="19" t="str">
        <f>IFERROR(__xludf.DUMMYFUNCTION("""COMPUTED_VALUE"""),"BLACK")</f>
        <v>BLACK</v>
      </c>
      <c r="G8485" s="20" t="str">
        <f>IFERROR(__xludf.DUMMYFUNCTION("""COMPUTED_VALUE"""),"Uncle Sams Cider (5/13/2022)")</f>
        <v>Uncle Sams Cider (5/13/2022)</v>
      </c>
      <c r="H8485" s="19"/>
    </row>
    <row r="8486">
      <c r="A8486" s="9"/>
      <c r="B8486" s="15"/>
      <c r="C8486" s="9">
        <f>IFERROR(__xludf.DUMMYFUNCTION("""COMPUTED_VALUE"""),44708.1355970717)</f>
        <v>44708.1356</v>
      </c>
      <c r="D8486" s="15">
        <f>IFERROR(__xludf.DUMMYFUNCTION("""COMPUTED_VALUE"""),1.028)</f>
        <v>1.028</v>
      </c>
      <c r="E8486" s="16">
        <f>IFERROR(__xludf.DUMMYFUNCTION("""COMPUTED_VALUE"""),69.0)</f>
        <v>69</v>
      </c>
      <c r="F8486" s="19" t="str">
        <f>IFERROR(__xludf.DUMMYFUNCTION("""COMPUTED_VALUE"""),"BLACK")</f>
        <v>BLACK</v>
      </c>
      <c r="G8486" s="20" t="str">
        <f>IFERROR(__xludf.DUMMYFUNCTION("""COMPUTED_VALUE"""),"Uncle Sams Cider (5/13/2022)")</f>
        <v>Uncle Sams Cider (5/13/2022)</v>
      </c>
      <c r="H8486" s="19"/>
    </row>
    <row r="8487">
      <c r="A8487" s="9"/>
      <c r="B8487" s="15"/>
      <c r="C8487" s="9">
        <f>IFERROR(__xludf.DUMMYFUNCTION("""COMPUTED_VALUE"""),44708.1251781713)</f>
        <v>44708.12518</v>
      </c>
      <c r="D8487" s="15">
        <f>IFERROR(__xludf.DUMMYFUNCTION("""COMPUTED_VALUE"""),1.028)</f>
        <v>1.028</v>
      </c>
      <c r="E8487" s="16">
        <f>IFERROR(__xludf.DUMMYFUNCTION("""COMPUTED_VALUE"""),69.0)</f>
        <v>69</v>
      </c>
      <c r="F8487" s="19" t="str">
        <f>IFERROR(__xludf.DUMMYFUNCTION("""COMPUTED_VALUE"""),"BLACK")</f>
        <v>BLACK</v>
      </c>
      <c r="G8487" s="20" t="str">
        <f>IFERROR(__xludf.DUMMYFUNCTION("""COMPUTED_VALUE"""),"Uncle Sams Cider (5/13/2022)")</f>
        <v>Uncle Sams Cider (5/13/2022)</v>
      </c>
      <c r="H8487" s="19"/>
    </row>
    <row r="8488">
      <c r="A8488" s="9"/>
      <c r="B8488" s="15"/>
      <c r="C8488" s="9">
        <f>IFERROR(__xludf.DUMMYFUNCTION("""COMPUTED_VALUE"""),44708.1147573958)</f>
        <v>44708.11476</v>
      </c>
      <c r="D8488" s="15">
        <f>IFERROR(__xludf.DUMMYFUNCTION("""COMPUTED_VALUE"""),1.028)</f>
        <v>1.028</v>
      </c>
      <c r="E8488" s="16">
        <f>IFERROR(__xludf.DUMMYFUNCTION("""COMPUTED_VALUE"""),69.0)</f>
        <v>69</v>
      </c>
      <c r="F8488" s="19" t="str">
        <f>IFERROR(__xludf.DUMMYFUNCTION("""COMPUTED_VALUE"""),"BLACK")</f>
        <v>BLACK</v>
      </c>
      <c r="G8488" s="20" t="str">
        <f>IFERROR(__xludf.DUMMYFUNCTION("""COMPUTED_VALUE"""),"Uncle Sams Cider (5/13/2022)")</f>
        <v>Uncle Sams Cider (5/13/2022)</v>
      </c>
      <c r="H8488" s="19"/>
    </row>
    <row r="8489">
      <c r="A8489" s="9"/>
      <c r="B8489" s="15"/>
      <c r="C8489" s="9">
        <f>IFERROR(__xludf.DUMMYFUNCTION("""COMPUTED_VALUE"""),44708.1043367361)</f>
        <v>44708.10434</v>
      </c>
      <c r="D8489" s="15">
        <f>IFERROR(__xludf.DUMMYFUNCTION("""COMPUTED_VALUE"""),1.028)</f>
        <v>1.028</v>
      </c>
      <c r="E8489" s="16">
        <f>IFERROR(__xludf.DUMMYFUNCTION("""COMPUTED_VALUE"""),69.0)</f>
        <v>69</v>
      </c>
      <c r="F8489" s="19" t="str">
        <f>IFERROR(__xludf.DUMMYFUNCTION("""COMPUTED_VALUE"""),"BLACK")</f>
        <v>BLACK</v>
      </c>
      <c r="G8489" s="20" t="str">
        <f>IFERROR(__xludf.DUMMYFUNCTION("""COMPUTED_VALUE"""),"Uncle Sams Cider (5/13/2022)")</f>
        <v>Uncle Sams Cider (5/13/2022)</v>
      </c>
      <c r="H8489" s="19"/>
    </row>
    <row r="8490">
      <c r="A8490" s="9"/>
      <c r="B8490" s="15"/>
      <c r="C8490" s="9">
        <f>IFERROR(__xludf.DUMMYFUNCTION("""COMPUTED_VALUE"""),44708.0939169444)</f>
        <v>44708.09392</v>
      </c>
      <c r="D8490" s="15">
        <f>IFERROR(__xludf.DUMMYFUNCTION("""COMPUTED_VALUE"""),1.028)</f>
        <v>1.028</v>
      </c>
      <c r="E8490" s="16">
        <f>IFERROR(__xludf.DUMMYFUNCTION("""COMPUTED_VALUE"""),69.0)</f>
        <v>69</v>
      </c>
      <c r="F8490" s="19" t="str">
        <f>IFERROR(__xludf.DUMMYFUNCTION("""COMPUTED_VALUE"""),"BLACK")</f>
        <v>BLACK</v>
      </c>
      <c r="G8490" s="20" t="str">
        <f>IFERROR(__xludf.DUMMYFUNCTION("""COMPUTED_VALUE"""),"Uncle Sams Cider (5/13/2022)")</f>
        <v>Uncle Sams Cider (5/13/2022)</v>
      </c>
      <c r="H8490" s="19"/>
    </row>
    <row r="8491">
      <c r="A8491" s="9"/>
      <c r="B8491" s="15"/>
      <c r="C8491" s="9">
        <f>IFERROR(__xludf.DUMMYFUNCTION("""COMPUTED_VALUE"""),44708.0834949189)</f>
        <v>44708.08349</v>
      </c>
      <c r="D8491" s="15">
        <f>IFERROR(__xludf.DUMMYFUNCTION("""COMPUTED_VALUE"""),1.028)</f>
        <v>1.028</v>
      </c>
      <c r="E8491" s="16">
        <f>IFERROR(__xludf.DUMMYFUNCTION("""COMPUTED_VALUE"""),69.0)</f>
        <v>69</v>
      </c>
      <c r="F8491" s="19" t="str">
        <f>IFERROR(__xludf.DUMMYFUNCTION("""COMPUTED_VALUE"""),"BLACK")</f>
        <v>BLACK</v>
      </c>
      <c r="G8491" s="20" t="str">
        <f>IFERROR(__xludf.DUMMYFUNCTION("""COMPUTED_VALUE"""),"Uncle Sams Cider (5/13/2022)")</f>
        <v>Uncle Sams Cider (5/13/2022)</v>
      </c>
      <c r="H8491" s="19"/>
    </row>
    <row r="8492">
      <c r="A8492" s="9"/>
      <c r="B8492" s="15"/>
      <c r="C8492" s="9">
        <f>IFERROR(__xludf.DUMMYFUNCTION("""COMPUTED_VALUE"""),44708.0730632175)</f>
        <v>44708.07306</v>
      </c>
      <c r="D8492" s="15">
        <f>IFERROR(__xludf.DUMMYFUNCTION("""COMPUTED_VALUE"""),1.028)</f>
        <v>1.028</v>
      </c>
      <c r="E8492" s="16">
        <f>IFERROR(__xludf.DUMMYFUNCTION("""COMPUTED_VALUE"""),69.0)</f>
        <v>69</v>
      </c>
      <c r="F8492" s="19" t="str">
        <f>IFERROR(__xludf.DUMMYFUNCTION("""COMPUTED_VALUE"""),"BLACK")</f>
        <v>BLACK</v>
      </c>
      <c r="G8492" s="20" t="str">
        <f>IFERROR(__xludf.DUMMYFUNCTION("""COMPUTED_VALUE"""),"Uncle Sams Cider (5/13/2022)")</f>
        <v>Uncle Sams Cider (5/13/2022)</v>
      </c>
      <c r="H8492" s="19"/>
    </row>
    <row r="8493">
      <c r="A8493" s="9"/>
      <c r="B8493" s="15"/>
      <c r="C8493" s="9">
        <f>IFERROR(__xludf.DUMMYFUNCTION("""COMPUTED_VALUE"""),44708.06264125)</f>
        <v>44708.06264</v>
      </c>
      <c r="D8493" s="15">
        <f>IFERROR(__xludf.DUMMYFUNCTION("""COMPUTED_VALUE"""),1.028)</f>
        <v>1.028</v>
      </c>
      <c r="E8493" s="16">
        <f>IFERROR(__xludf.DUMMYFUNCTION("""COMPUTED_VALUE"""),69.0)</f>
        <v>69</v>
      </c>
      <c r="F8493" s="19" t="str">
        <f>IFERROR(__xludf.DUMMYFUNCTION("""COMPUTED_VALUE"""),"BLACK")</f>
        <v>BLACK</v>
      </c>
      <c r="G8493" s="20" t="str">
        <f>IFERROR(__xludf.DUMMYFUNCTION("""COMPUTED_VALUE"""),"Uncle Sams Cider (5/13/2022)")</f>
        <v>Uncle Sams Cider (5/13/2022)</v>
      </c>
      <c r="H8493" s="19"/>
    </row>
    <row r="8494">
      <c r="A8494" s="9"/>
      <c r="B8494" s="15"/>
      <c r="C8494" s="9">
        <f>IFERROR(__xludf.DUMMYFUNCTION("""COMPUTED_VALUE"""),44708.0522087384)</f>
        <v>44708.05221</v>
      </c>
      <c r="D8494" s="15">
        <f>IFERROR(__xludf.DUMMYFUNCTION("""COMPUTED_VALUE"""),1.028)</f>
        <v>1.028</v>
      </c>
      <c r="E8494" s="16">
        <f>IFERROR(__xludf.DUMMYFUNCTION("""COMPUTED_VALUE"""),69.0)</f>
        <v>69</v>
      </c>
      <c r="F8494" s="19" t="str">
        <f>IFERROR(__xludf.DUMMYFUNCTION("""COMPUTED_VALUE"""),"BLACK")</f>
        <v>BLACK</v>
      </c>
      <c r="G8494" s="20" t="str">
        <f>IFERROR(__xludf.DUMMYFUNCTION("""COMPUTED_VALUE"""),"Uncle Sams Cider (5/13/2022)")</f>
        <v>Uncle Sams Cider (5/13/2022)</v>
      </c>
      <c r="H8494" s="19"/>
    </row>
    <row r="8495">
      <c r="A8495" s="9"/>
      <c r="B8495" s="15"/>
      <c r="C8495" s="9">
        <f>IFERROR(__xludf.DUMMYFUNCTION("""COMPUTED_VALUE"""),44708.0417513426)</f>
        <v>44708.04175</v>
      </c>
      <c r="D8495" s="15">
        <f>IFERROR(__xludf.DUMMYFUNCTION("""COMPUTED_VALUE"""),1.028)</f>
        <v>1.028</v>
      </c>
      <c r="E8495" s="16">
        <f>IFERROR(__xludf.DUMMYFUNCTION("""COMPUTED_VALUE"""),69.0)</f>
        <v>69</v>
      </c>
      <c r="F8495" s="19" t="str">
        <f>IFERROR(__xludf.DUMMYFUNCTION("""COMPUTED_VALUE"""),"BLACK")</f>
        <v>BLACK</v>
      </c>
      <c r="G8495" s="20" t="str">
        <f>IFERROR(__xludf.DUMMYFUNCTION("""COMPUTED_VALUE"""),"Uncle Sams Cider (5/13/2022)")</f>
        <v>Uncle Sams Cider (5/13/2022)</v>
      </c>
      <c r="H8495" s="19"/>
    </row>
    <row r="8496">
      <c r="A8496" s="9"/>
      <c r="B8496" s="15"/>
      <c r="C8496" s="9">
        <f>IFERROR(__xludf.DUMMYFUNCTION("""COMPUTED_VALUE"""),44708.0313294791)</f>
        <v>44708.03133</v>
      </c>
      <c r="D8496" s="15">
        <f>IFERROR(__xludf.DUMMYFUNCTION("""COMPUTED_VALUE"""),1.028)</f>
        <v>1.028</v>
      </c>
      <c r="E8496" s="16">
        <f>IFERROR(__xludf.DUMMYFUNCTION("""COMPUTED_VALUE"""),69.0)</f>
        <v>69</v>
      </c>
      <c r="F8496" s="19" t="str">
        <f>IFERROR(__xludf.DUMMYFUNCTION("""COMPUTED_VALUE"""),"BLACK")</f>
        <v>BLACK</v>
      </c>
      <c r="G8496" s="20" t="str">
        <f>IFERROR(__xludf.DUMMYFUNCTION("""COMPUTED_VALUE"""),"Uncle Sams Cider (5/13/2022)")</f>
        <v>Uncle Sams Cider (5/13/2022)</v>
      </c>
      <c r="H8496" s="19"/>
    </row>
    <row r="8497">
      <c r="A8497" s="9"/>
      <c r="B8497" s="15"/>
      <c r="C8497" s="9">
        <f>IFERROR(__xludf.DUMMYFUNCTION("""COMPUTED_VALUE"""),44708.0209085532)</f>
        <v>44708.02091</v>
      </c>
      <c r="D8497" s="15">
        <f>IFERROR(__xludf.DUMMYFUNCTION("""COMPUTED_VALUE"""),1.028)</f>
        <v>1.028</v>
      </c>
      <c r="E8497" s="16">
        <f>IFERROR(__xludf.DUMMYFUNCTION("""COMPUTED_VALUE"""),69.0)</f>
        <v>69</v>
      </c>
      <c r="F8497" s="19" t="str">
        <f>IFERROR(__xludf.DUMMYFUNCTION("""COMPUTED_VALUE"""),"BLACK")</f>
        <v>BLACK</v>
      </c>
      <c r="G8497" s="20" t="str">
        <f>IFERROR(__xludf.DUMMYFUNCTION("""COMPUTED_VALUE"""),"Uncle Sams Cider (5/13/2022)")</f>
        <v>Uncle Sams Cider (5/13/2022)</v>
      </c>
      <c r="H8497" s="19"/>
    </row>
    <row r="8498">
      <c r="A8498" s="9"/>
      <c r="B8498" s="15"/>
      <c r="C8498" s="9">
        <f>IFERROR(__xludf.DUMMYFUNCTION("""COMPUTED_VALUE"""),44708.0104529513)</f>
        <v>44708.01045</v>
      </c>
      <c r="D8498" s="15">
        <f>IFERROR(__xludf.DUMMYFUNCTION("""COMPUTED_VALUE"""),1.028)</f>
        <v>1.028</v>
      </c>
      <c r="E8498" s="16">
        <f>IFERROR(__xludf.DUMMYFUNCTION("""COMPUTED_VALUE"""),69.0)</f>
        <v>69</v>
      </c>
      <c r="F8498" s="19" t="str">
        <f>IFERROR(__xludf.DUMMYFUNCTION("""COMPUTED_VALUE"""),"BLACK")</f>
        <v>BLACK</v>
      </c>
      <c r="G8498" s="20" t="str">
        <f>IFERROR(__xludf.DUMMYFUNCTION("""COMPUTED_VALUE"""),"Uncle Sams Cider (5/13/2022)")</f>
        <v>Uncle Sams Cider (5/13/2022)</v>
      </c>
      <c r="H8498" s="19"/>
    </row>
    <row r="8499">
      <c r="A8499" s="9"/>
      <c r="B8499" s="15"/>
      <c r="C8499" s="9">
        <f>IFERROR(__xludf.DUMMYFUNCTION("""COMPUTED_VALUE"""),44708.0000318287)</f>
        <v>44708.00003</v>
      </c>
      <c r="D8499" s="15">
        <f>IFERROR(__xludf.DUMMYFUNCTION("""COMPUTED_VALUE"""),1.028)</f>
        <v>1.028</v>
      </c>
      <c r="E8499" s="16">
        <f>IFERROR(__xludf.DUMMYFUNCTION("""COMPUTED_VALUE"""),69.0)</f>
        <v>69</v>
      </c>
      <c r="F8499" s="19" t="str">
        <f>IFERROR(__xludf.DUMMYFUNCTION("""COMPUTED_VALUE"""),"BLACK")</f>
        <v>BLACK</v>
      </c>
      <c r="G8499" s="20" t="str">
        <f>IFERROR(__xludf.DUMMYFUNCTION("""COMPUTED_VALUE"""),"Uncle Sams Cider (5/13/2022)")</f>
        <v>Uncle Sams Cider (5/13/2022)</v>
      </c>
      <c r="H8499" s="19"/>
    </row>
    <row r="8500">
      <c r="A8500" s="9"/>
      <c r="B8500" s="15"/>
      <c r="C8500" s="9">
        <f>IFERROR(__xludf.DUMMYFUNCTION("""COMPUTED_VALUE"""),44707.9896087615)</f>
        <v>44707.98961</v>
      </c>
      <c r="D8500" s="15">
        <f>IFERROR(__xludf.DUMMYFUNCTION("""COMPUTED_VALUE"""),1.028)</f>
        <v>1.028</v>
      </c>
      <c r="E8500" s="16">
        <f>IFERROR(__xludf.DUMMYFUNCTION("""COMPUTED_VALUE"""),69.0)</f>
        <v>69</v>
      </c>
      <c r="F8500" s="19" t="str">
        <f>IFERROR(__xludf.DUMMYFUNCTION("""COMPUTED_VALUE"""),"BLACK")</f>
        <v>BLACK</v>
      </c>
      <c r="G8500" s="20" t="str">
        <f>IFERROR(__xludf.DUMMYFUNCTION("""COMPUTED_VALUE"""),"Uncle Sams Cider (5/13/2022)")</f>
        <v>Uncle Sams Cider (5/13/2022)</v>
      </c>
      <c r="H8500" s="19"/>
    </row>
    <row r="8501">
      <c r="A8501" s="9"/>
      <c r="B8501" s="15"/>
      <c r="C8501" s="9">
        <f>IFERROR(__xludf.DUMMYFUNCTION("""COMPUTED_VALUE"""),44707.979188125)</f>
        <v>44707.97919</v>
      </c>
      <c r="D8501" s="15">
        <f>IFERROR(__xludf.DUMMYFUNCTION("""COMPUTED_VALUE"""),1.028)</f>
        <v>1.028</v>
      </c>
      <c r="E8501" s="16">
        <f>IFERROR(__xludf.DUMMYFUNCTION("""COMPUTED_VALUE"""),69.0)</f>
        <v>69</v>
      </c>
      <c r="F8501" s="19" t="str">
        <f>IFERROR(__xludf.DUMMYFUNCTION("""COMPUTED_VALUE"""),"BLACK")</f>
        <v>BLACK</v>
      </c>
      <c r="G8501" s="20" t="str">
        <f>IFERROR(__xludf.DUMMYFUNCTION("""COMPUTED_VALUE"""),"Uncle Sams Cider (5/13/2022)")</f>
        <v>Uncle Sams Cider (5/13/2022)</v>
      </c>
      <c r="H8501" s="19"/>
    </row>
    <row r="8502">
      <c r="A8502" s="9"/>
      <c r="B8502" s="15"/>
      <c r="C8502" s="9">
        <f>IFERROR(__xludf.DUMMYFUNCTION("""COMPUTED_VALUE"""),44707.9687677199)</f>
        <v>44707.96877</v>
      </c>
      <c r="D8502" s="15">
        <f>IFERROR(__xludf.DUMMYFUNCTION("""COMPUTED_VALUE"""),1.028)</f>
        <v>1.028</v>
      </c>
      <c r="E8502" s="16">
        <f>IFERROR(__xludf.DUMMYFUNCTION("""COMPUTED_VALUE"""),69.0)</f>
        <v>69</v>
      </c>
      <c r="F8502" s="19" t="str">
        <f>IFERROR(__xludf.DUMMYFUNCTION("""COMPUTED_VALUE"""),"BLACK")</f>
        <v>BLACK</v>
      </c>
      <c r="G8502" s="20" t="str">
        <f>IFERROR(__xludf.DUMMYFUNCTION("""COMPUTED_VALUE"""),"Uncle Sams Cider (5/13/2022)")</f>
        <v>Uncle Sams Cider (5/13/2022)</v>
      </c>
      <c r="H8502" s="19"/>
    </row>
    <row r="8503">
      <c r="A8503" s="9"/>
      <c r="B8503" s="15"/>
      <c r="C8503" s="9">
        <f>IFERROR(__xludf.DUMMYFUNCTION("""COMPUTED_VALUE"""),44707.9583480787)</f>
        <v>44707.95835</v>
      </c>
      <c r="D8503" s="15">
        <f>IFERROR(__xludf.DUMMYFUNCTION("""COMPUTED_VALUE"""),1.028)</f>
        <v>1.028</v>
      </c>
      <c r="E8503" s="16">
        <f>IFERROR(__xludf.DUMMYFUNCTION("""COMPUTED_VALUE"""),69.0)</f>
        <v>69</v>
      </c>
      <c r="F8503" s="19" t="str">
        <f>IFERROR(__xludf.DUMMYFUNCTION("""COMPUTED_VALUE"""),"BLACK")</f>
        <v>BLACK</v>
      </c>
      <c r="G8503" s="20" t="str">
        <f>IFERROR(__xludf.DUMMYFUNCTION("""COMPUTED_VALUE"""),"Uncle Sams Cider (5/13/2022)")</f>
        <v>Uncle Sams Cider (5/13/2022)</v>
      </c>
      <c r="H8503" s="19"/>
    </row>
    <row r="8504">
      <c r="A8504" s="9"/>
      <c r="B8504" s="15"/>
      <c r="C8504" s="9">
        <f>IFERROR(__xludf.DUMMYFUNCTION("""COMPUTED_VALUE"""),44707.9479255555)</f>
        <v>44707.94793</v>
      </c>
      <c r="D8504" s="15">
        <f>IFERROR(__xludf.DUMMYFUNCTION("""COMPUTED_VALUE"""),1.028)</f>
        <v>1.028</v>
      </c>
      <c r="E8504" s="16">
        <f>IFERROR(__xludf.DUMMYFUNCTION("""COMPUTED_VALUE"""),69.0)</f>
        <v>69</v>
      </c>
      <c r="F8504" s="19" t="str">
        <f>IFERROR(__xludf.DUMMYFUNCTION("""COMPUTED_VALUE"""),"BLACK")</f>
        <v>BLACK</v>
      </c>
      <c r="G8504" s="20" t="str">
        <f>IFERROR(__xludf.DUMMYFUNCTION("""COMPUTED_VALUE"""),"Uncle Sams Cider (5/13/2022)")</f>
        <v>Uncle Sams Cider (5/13/2022)</v>
      </c>
      <c r="H8504" s="19"/>
    </row>
    <row r="8505">
      <c r="A8505" s="9"/>
      <c r="B8505" s="15"/>
      <c r="C8505" s="9">
        <f>IFERROR(__xludf.DUMMYFUNCTION("""COMPUTED_VALUE"""),44707.9375029398)</f>
        <v>44707.9375</v>
      </c>
      <c r="D8505" s="15">
        <f>IFERROR(__xludf.DUMMYFUNCTION("""COMPUTED_VALUE"""),1.028)</f>
        <v>1.028</v>
      </c>
      <c r="E8505" s="16">
        <f>IFERROR(__xludf.DUMMYFUNCTION("""COMPUTED_VALUE"""),69.0)</f>
        <v>69</v>
      </c>
      <c r="F8505" s="19" t="str">
        <f>IFERROR(__xludf.DUMMYFUNCTION("""COMPUTED_VALUE"""),"BLACK")</f>
        <v>BLACK</v>
      </c>
      <c r="G8505" s="20" t="str">
        <f>IFERROR(__xludf.DUMMYFUNCTION("""COMPUTED_VALUE"""),"Uncle Sams Cider (5/13/2022)")</f>
        <v>Uncle Sams Cider (5/13/2022)</v>
      </c>
      <c r="H8505" s="19"/>
    </row>
    <row r="8506">
      <c r="A8506" s="9"/>
      <c r="B8506" s="15"/>
      <c r="C8506" s="9">
        <f>IFERROR(__xludf.DUMMYFUNCTION("""COMPUTED_VALUE"""),44707.9270801967)</f>
        <v>44707.92708</v>
      </c>
      <c r="D8506" s="15">
        <f>IFERROR(__xludf.DUMMYFUNCTION("""COMPUTED_VALUE"""),1.028)</f>
        <v>1.028</v>
      </c>
      <c r="E8506" s="16">
        <f>IFERROR(__xludf.DUMMYFUNCTION("""COMPUTED_VALUE"""),68.0)</f>
        <v>68</v>
      </c>
      <c r="F8506" s="19" t="str">
        <f>IFERROR(__xludf.DUMMYFUNCTION("""COMPUTED_VALUE"""),"BLACK")</f>
        <v>BLACK</v>
      </c>
      <c r="G8506" s="20" t="str">
        <f>IFERROR(__xludf.DUMMYFUNCTION("""COMPUTED_VALUE"""),"Uncle Sams Cider (5/13/2022)")</f>
        <v>Uncle Sams Cider (5/13/2022)</v>
      </c>
      <c r="H8506" s="19"/>
    </row>
    <row r="8507">
      <c r="A8507" s="9"/>
      <c r="B8507" s="15"/>
      <c r="C8507" s="9">
        <f>IFERROR(__xludf.DUMMYFUNCTION("""COMPUTED_VALUE"""),44707.9166594676)</f>
        <v>44707.91666</v>
      </c>
      <c r="D8507" s="15">
        <f>IFERROR(__xludf.DUMMYFUNCTION("""COMPUTED_VALUE"""),1.028)</f>
        <v>1.028</v>
      </c>
      <c r="E8507" s="16">
        <f>IFERROR(__xludf.DUMMYFUNCTION("""COMPUTED_VALUE"""),69.0)</f>
        <v>69</v>
      </c>
      <c r="F8507" s="19" t="str">
        <f>IFERROR(__xludf.DUMMYFUNCTION("""COMPUTED_VALUE"""),"BLACK")</f>
        <v>BLACK</v>
      </c>
      <c r="G8507" s="20" t="str">
        <f>IFERROR(__xludf.DUMMYFUNCTION("""COMPUTED_VALUE"""),"Uncle Sams Cider (5/13/2022)")</f>
        <v>Uncle Sams Cider (5/13/2022)</v>
      </c>
      <c r="H8507" s="19"/>
    </row>
    <row r="8508">
      <c r="A8508" s="9"/>
      <c r="B8508" s="15"/>
      <c r="C8508" s="9">
        <f>IFERROR(__xludf.DUMMYFUNCTION("""COMPUTED_VALUE"""),44707.9062394791)</f>
        <v>44707.90624</v>
      </c>
      <c r="D8508" s="15">
        <f>IFERROR(__xludf.DUMMYFUNCTION("""COMPUTED_VALUE"""),1.028)</f>
        <v>1.028</v>
      </c>
      <c r="E8508" s="16">
        <f>IFERROR(__xludf.DUMMYFUNCTION("""COMPUTED_VALUE"""),69.0)</f>
        <v>69</v>
      </c>
      <c r="F8508" s="19" t="str">
        <f>IFERROR(__xludf.DUMMYFUNCTION("""COMPUTED_VALUE"""),"BLACK")</f>
        <v>BLACK</v>
      </c>
      <c r="G8508" s="20" t="str">
        <f>IFERROR(__xludf.DUMMYFUNCTION("""COMPUTED_VALUE"""),"Uncle Sams Cider (5/13/2022)")</f>
        <v>Uncle Sams Cider (5/13/2022)</v>
      </c>
      <c r="H8508" s="19"/>
    </row>
    <row r="8509">
      <c r="A8509" s="9"/>
      <c r="B8509" s="15"/>
      <c r="C8509" s="9">
        <f>IFERROR(__xludf.DUMMYFUNCTION("""COMPUTED_VALUE"""),44707.8958060069)</f>
        <v>44707.89581</v>
      </c>
      <c r="D8509" s="15">
        <f>IFERROR(__xludf.DUMMYFUNCTION("""COMPUTED_VALUE"""),1.028)</f>
        <v>1.028</v>
      </c>
      <c r="E8509" s="16">
        <f>IFERROR(__xludf.DUMMYFUNCTION("""COMPUTED_VALUE"""),68.0)</f>
        <v>68</v>
      </c>
      <c r="F8509" s="19" t="str">
        <f>IFERROR(__xludf.DUMMYFUNCTION("""COMPUTED_VALUE"""),"BLACK")</f>
        <v>BLACK</v>
      </c>
      <c r="G8509" s="20" t="str">
        <f>IFERROR(__xludf.DUMMYFUNCTION("""COMPUTED_VALUE"""),"Uncle Sams Cider (5/13/2022)")</f>
        <v>Uncle Sams Cider (5/13/2022)</v>
      </c>
      <c r="H8509" s="19"/>
    </row>
    <row r="8510">
      <c r="A8510" s="9"/>
      <c r="B8510" s="15"/>
      <c r="C8510" s="9">
        <f>IFERROR(__xludf.DUMMYFUNCTION("""COMPUTED_VALUE"""),44707.8853739467)</f>
        <v>44707.88537</v>
      </c>
      <c r="D8510" s="15">
        <f>IFERROR(__xludf.DUMMYFUNCTION("""COMPUTED_VALUE"""),1.029)</f>
        <v>1.029</v>
      </c>
      <c r="E8510" s="16">
        <f>IFERROR(__xludf.DUMMYFUNCTION("""COMPUTED_VALUE"""),69.0)</f>
        <v>69</v>
      </c>
      <c r="F8510" s="19" t="str">
        <f>IFERROR(__xludf.DUMMYFUNCTION("""COMPUTED_VALUE"""),"BLACK")</f>
        <v>BLACK</v>
      </c>
      <c r="G8510" s="20" t="str">
        <f>IFERROR(__xludf.DUMMYFUNCTION("""COMPUTED_VALUE"""),"Uncle Sams Cider (5/13/2022)")</f>
        <v>Uncle Sams Cider (5/13/2022)</v>
      </c>
      <c r="H8510" s="19"/>
    </row>
    <row r="8511">
      <c r="A8511" s="9"/>
      <c r="B8511" s="15"/>
      <c r="C8511" s="9">
        <f>IFERROR(__xludf.DUMMYFUNCTION("""COMPUTED_VALUE"""),44707.8749529629)</f>
        <v>44707.87495</v>
      </c>
      <c r="D8511" s="15">
        <f>IFERROR(__xludf.DUMMYFUNCTION("""COMPUTED_VALUE"""),1.029)</f>
        <v>1.029</v>
      </c>
      <c r="E8511" s="16">
        <f>IFERROR(__xludf.DUMMYFUNCTION("""COMPUTED_VALUE"""),69.0)</f>
        <v>69</v>
      </c>
      <c r="F8511" s="19" t="str">
        <f>IFERROR(__xludf.DUMMYFUNCTION("""COMPUTED_VALUE"""),"BLACK")</f>
        <v>BLACK</v>
      </c>
      <c r="G8511" s="20" t="str">
        <f>IFERROR(__xludf.DUMMYFUNCTION("""COMPUTED_VALUE"""),"Uncle Sams Cider (5/13/2022)")</f>
        <v>Uncle Sams Cider (5/13/2022)</v>
      </c>
      <c r="H8511" s="19"/>
    </row>
    <row r="8512">
      <c r="A8512" s="9"/>
      <c r="B8512" s="15"/>
      <c r="C8512" s="9">
        <f>IFERROR(__xludf.DUMMYFUNCTION("""COMPUTED_VALUE"""),44707.8645324189)</f>
        <v>44707.86453</v>
      </c>
      <c r="D8512" s="15">
        <f>IFERROR(__xludf.DUMMYFUNCTION("""COMPUTED_VALUE"""),1.029)</f>
        <v>1.029</v>
      </c>
      <c r="E8512" s="16">
        <f>IFERROR(__xludf.DUMMYFUNCTION("""COMPUTED_VALUE"""),68.0)</f>
        <v>68</v>
      </c>
      <c r="F8512" s="19" t="str">
        <f>IFERROR(__xludf.DUMMYFUNCTION("""COMPUTED_VALUE"""),"BLACK")</f>
        <v>BLACK</v>
      </c>
      <c r="G8512" s="20" t="str">
        <f>IFERROR(__xludf.DUMMYFUNCTION("""COMPUTED_VALUE"""),"Uncle Sams Cider (5/13/2022)")</f>
        <v>Uncle Sams Cider (5/13/2022)</v>
      </c>
      <c r="H8512" s="19"/>
    </row>
    <row r="8513">
      <c r="A8513" s="9"/>
      <c r="B8513" s="15"/>
      <c r="C8513" s="9">
        <f>IFERROR(__xludf.DUMMYFUNCTION("""COMPUTED_VALUE"""),44707.8541120601)</f>
        <v>44707.85411</v>
      </c>
      <c r="D8513" s="15">
        <f>IFERROR(__xludf.DUMMYFUNCTION("""COMPUTED_VALUE"""),1.029)</f>
        <v>1.029</v>
      </c>
      <c r="E8513" s="16">
        <f>IFERROR(__xludf.DUMMYFUNCTION("""COMPUTED_VALUE"""),68.0)</f>
        <v>68</v>
      </c>
      <c r="F8513" s="19" t="str">
        <f>IFERROR(__xludf.DUMMYFUNCTION("""COMPUTED_VALUE"""),"BLACK")</f>
        <v>BLACK</v>
      </c>
      <c r="G8513" s="20" t="str">
        <f>IFERROR(__xludf.DUMMYFUNCTION("""COMPUTED_VALUE"""),"Uncle Sams Cider (5/13/2022)")</f>
        <v>Uncle Sams Cider (5/13/2022)</v>
      </c>
      <c r="H8513" s="19"/>
    </row>
    <row r="8514">
      <c r="A8514" s="9"/>
      <c r="B8514" s="15"/>
      <c r="C8514" s="9">
        <f>IFERROR(__xludf.DUMMYFUNCTION("""COMPUTED_VALUE"""),44707.8436894097)</f>
        <v>44707.84369</v>
      </c>
      <c r="D8514" s="15">
        <f>IFERROR(__xludf.DUMMYFUNCTION("""COMPUTED_VALUE"""),1.029)</f>
        <v>1.029</v>
      </c>
      <c r="E8514" s="16">
        <f>IFERROR(__xludf.DUMMYFUNCTION("""COMPUTED_VALUE"""),68.0)</f>
        <v>68</v>
      </c>
      <c r="F8514" s="19" t="str">
        <f>IFERROR(__xludf.DUMMYFUNCTION("""COMPUTED_VALUE"""),"BLACK")</f>
        <v>BLACK</v>
      </c>
      <c r="G8514" s="20" t="str">
        <f>IFERROR(__xludf.DUMMYFUNCTION("""COMPUTED_VALUE"""),"Uncle Sams Cider (5/13/2022)")</f>
        <v>Uncle Sams Cider (5/13/2022)</v>
      </c>
      <c r="H8514" s="19"/>
    </row>
    <row r="8515">
      <c r="A8515" s="9"/>
      <c r="B8515" s="15"/>
      <c r="C8515" s="9">
        <f>IFERROR(__xludf.DUMMYFUNCTION("""COMPUTED_VALUE"""),44707.8332691666)</f>
        <v>44707.83327</v>
      </c>
      <c r="D8515" s="15">
        <f>IFERROR(__xludf.DUMMYFUNCTION("""COMPUTED_VALUE"""),1.029)</f>
        <v>1.029</v>
      </c>
      <c r="E8515" s="16">
        <f>IFERROR(__xludf.DUMMYFUNCTION("""COMPUTED_VALUE"""),68.0)</f>
        <v>68</v>
      </c>
      <c r="F8515" s="19" t="str">
        <f>IFERROR(__xludf.DUMMYFUNCTION("""COMPUTED_VALUE"""),"BLACK")</f>
        <v>BLACK</v>
      </c>
      <c r="G8515" s="20" t="str">
        <f>IFERROR(__xludf.DUMMYFUNCTION("""COMPUTED_VALUE"""),"Uncle Sams Cider (5/13/2022)")</f>
        <v>Uncle Sams Cider (5/13/2022)</v>
      </c>
      <c r="H8515" s="19"/>
    </row>
    <row r="8516">
      <c r="A8516" s="9"/>
      <c r="B8516" s="15"/>
      <c r="C8516" s="9">
        <f>IFERROR(__xludf.DUMMYFUNCTION("""COMPUTED_VALUE"""),44707.8228478588)</f>
        <v>44707.82285</v>
      </c>
      <c r="D8516" s="15">
        <f>IFERROR(__xludf.DUMMYFUNCTION("""COMPUTED_VALUE"""),1.029)</f>
        <v>1.029</v>
      </c>
      <c r="E8516" s="16">
        <f>IFERROR(__xludf.DUMMYFUNCTION("""COMPUTED_VALUE"""),68.0)</f>
        <v>68</v>
      </c>
      <c r="F8516" s="19" t="str">
        <f>IFERROR(__xludf.DUMMYFUNCTION("""COMPUTED_VALUE"""),"BLACK")</f>
        <v>BLACK</v>
      </c>
      <c r="G8516" s="20" t="str">
        <f>IFERROR(__xludf.DUMMYFUNCTION("""COMPUTED_VALUE"""),"Uncle Sams Cider (5/13/2022)")</f>
        <v>Uncle Sams Cider (5/13/2022)</v>
      </c>
      <c r="H8516" s="19"/>
    </row>
    <row r="8517">
      <c r="A8517" s="9"/>
      <c r="B8517" s="15"/>
      <c r="C8517" s="9">
        <f>IFERROR(__xludf.DUMMYFUNCTION("""COMPUTED_VALUE"""),44707.8124259953)</f>
        <v>44707.81243</v>
      </c>
      <c r="D8517" s="15">
        <f>IFERROR(__xludf.DUMMYFUNCTION("""COMPUTED_VALUE"""),1.029)</f>
        <v>1.029</v>
      </c>
      <c r="E8517" s="16">
        <f>IFERROR(__xludf.DUMMYFUNCTION("""COMPUTED_VALUE"""),68.0)</f>
        <v>68</v>
      </c>
      <c r="F8517" s="19" t="str">
        <f>IFERROR(__xludf.DUMMYFUNCTION("""COMPUTED_VALUE"""),"BLACK")</f>
        <v>BLACK</v>
      </c>
      <c r="G8517" s="20" t="str">
        <f>IFERROR(__xludf.DUMMYFUNCTION("""COMPUTED_VALUE"""),"Uncle Sams Cider (5/13/2022)")</f>
        <v>Uncle Sams Cider (5/13/2022)</v>
      </c>
      <c r="H8517" s="19"/>
    </row>
    <row r="8518">
      <c r="A8518" s="9"/>
      <c r="B8518" s="15"/>
      <c r="C8518" s="9">
        <f>IFERROR(__xludf.DUMMYFUNCTION("""COMPUTED_VALUE"""),44707.8019924305)</f>
        <v>44707.80199</v>
      </c>
      <c r="D8518" s="15">
        <f>IFERROR(__xludf.DUMMYFUNCTION("""COMPUTED_VALUE"""),1.029)</f>
        <v>1.029</v>
      </c>
      <c r="E8518" s="16">
        <f>IFERROR(__xludf.DUMMYFUNCTION("""COMPUTED_VALUE"""),68.0)</f>
        <v>68</v>
      </c>
      <c r="F8518" s="19" t="str">
        <f>IFERROR(__xludf.DUMMYFUNCTION("""COMPUTED_VALUE"""),"BLACK")</f>
        <v>BLACK</v>
      </c>
      <c r="G8518" s="20" t="str">
        <f>IFERROR(__xludf.DUMMYFUNCTION("""COMPUTED_VALUE"""),"Uncle Sams Cider (5/13/2022)")</f>
        <v>Uncle Sams Cider (5/13/2022)</v>
      </c>
      <c r="H8518" s="19"/>
    </row>
    <row r="8519">
      <c r="A8519" s="9"/>
      <c r="B8519" s="15"/>
      <c r="C8519" s="9">
        <f>IFERROR(__xludf.DUMMYFUNCTION("""COMPUTED_VALUE"""),44707.7915724305)</f>
        <v>44707.79157</v>
      </c>
      <c r="D8519" s="15">
        <f>IFERROR(__xludf.DUMMYFUNCTION("""COMPUTED_VALUE"""),1.029)</f>
        <v>1.029</v>
      </c>
      <c r="E8519" s="16">
        <f>IFERROR(__xludf.DUMMYFUNCTION("""COMPUTED_VALUE"""),68.0)</f>
        <v>68</v>
      </c>
      <c r="F8519" s="19" t="str">
        <f>IFERROR(__xludf.DUMMYFUNCTION("""COMPUTED_VALUE"""),"BLACK")</f>
        <v>BLACK</v>
      </c>
      <c r="G8519" s="20" t="str">
        <f>IFERROR(__xludf.DUMMYFUNCTION("""COMPUTED_VALUE"""),"Uncle Sams Cider (5/13/2022)")</f>
        <v>Uncle Sams Cider (5/13/2022)</v>
      </c>
      <c r="H8519" s="19"/>
    </row>
    <row r="8520">
      <c r="A8520" s="9"/>
      <c r="B8520" s="15"/>
      <c r="C8520" s="9">
        <f>IFERROR(__xludf.DUMMYFUNCTION("""COMPUTED_VALUE"""),44707.7811403356)</f>
        <v>44707.78114</v>
      </c>
      <c r="D8520" s="15">
        <f>IFERROR(__xludf.DUMMYFUNCTION("""COMPUTED_VALUE"""),1.029)</f>
        <v>1.029</v>
      </c>
      <c r="E8520" s="16">
        <f>IFERROR(__xludf.DUMMYFUNCTION("""COMPUTED_VALUE"""),68.0)</f>
        <v>68</v>
      </c>
      <c r="F8520" s="19" t="str">
        <f>IFERROR(__xludf.DUMMYFUNCTION("""COMPUTED_VALUE"""),"BLACK")</f>
        <v>BLACK</v>
      </c>
      <c r="G8520" s="20" t="str">
        <f>IFERROR(__xludf.DUMMYFUNCTION("""COMPUTED_VALUE"""),"Uncle Sams Cider (5/13/2022)")</f>
        <v>Uncle Sams Cider (5/13/2022)</v>
      </c>
      <c r="H8520" s="19"/>
    </row>
    <row r="8521">
      <c r="A8521" s="9"/>
      <c r="B8521" s="15"/>
      <c r="C8521" s="9">
        <f>IFERROR(__xludf.DUMMYFUNCTION("""COMPUTED_VALUE"""),44707.7707199537)</f>
        <v>44707.77072</v>
      </c>
      <c r="D8521" s="15">
        <f>IFERROR(__xludf.DUMMYFUNCTION("""COMPUTED_VALUE"""),1.029)</f>
        <v>1.029</v>
      </c>
      <c r="E8521" s="16">
        <f>IFERROR(__xludf.DUMMYFUNCTION("""COMPUTED_VALUE"""),68.0)</f>
        <v>68</v>
      </c>
      <c r="F8521" s="19" t="str">
        <f>IFERROR(__xludf.DUMMYFUNCTION("""COMPUTED_VALUE"""),"BLACK")</f>
        <v>BLACK</v>
      </c>
      <c r="G8521" s="20" t="str">
        <f>IFERROR(__xludf.DUMMYFUNCTION("""COMPUTED_VALUE"""),"Uncle Sams Cider (5/13/2022)")</f>
        <v>Uncle Sams Cider (5/13/2022)</v>
      </c>
      <c r="H8521" s="19"/>
    </row>
    <row r="8522">
      <c r="A8522" s="9"/>
      <c r="B8522" s="15"/>
      <c r="C8522" s="9">
        <f>IFERROR(__xludf.DUMMYFUNCTION("""COMPUTED_VALUE"""),44707.7602866782)</f>
        <v>44707.76029</v>
      </c>
      <c r="D8522" s="15">
        <f>IFERROR(__xludf.DUMMYFUNCTION("""COMPUTED_VALUE"""),1.029)</f>
        <v>1.029</v>
      </c>
      <c r="E8522" s="16">
        <f>IFERROR(__xludf.DUMMYFUNCTION("""COMPUTED_VALUE"""),68.0)</f>
        <v>68</v>
      </c>
      <c r="F8522" s="19" t="str">
        <f>IFERROR(__xludf.DUMMYFUNCTION("""COMPUTED_VALUE"""),"BLACK")</f>
        <v>BLACK</v>
      </c>
      <c r="G8522" s="20" t="str">
        <f>IFERROR(__xludf.DUMMYFUNCTION("""COMPUTED_VALUE"""),"Uncle Sams Cider (5/13/2022)")</f>
        <v>Uncle Sams Cider (5/13/2022)</v>
      </c>
      <c r="H8522" s="19"/>
    </row>
    <row r="8523">
      <c r="A8523" s="9"/>
      <c r="B8523" s="15"/>
      <c r="C8523" s="9">
        <f>IFERROR(__xludf.DUMMYFUNCTION("""COMPUTED_VALUE"""),44707.7498427199)</f>
        <v>44707.74984</v>
      </c>
      <c r="D8523" s="15">
        <f>IFERROR(__xludf.DUMMYFUNCTION("""COMPUTED_VALUE"""),1.029)</f>
        <v>1.029</v>
      </c>
      <c r="E8523" s="16">
        <f>IFERROR(__xludf.DUMMYFUNCTION("""COMPUTED_VALUE"""),68.0)</f>
        <v>68</v>
      </c>
      <c r="F8523" s="19" t="str">
        <f>IFERROR(__xludf.DUMMYFUNCTION("""COMPUTED_VALUE"""),"BLACK")</f>
        <v>BLACK</v>
      </c>
      <c r="G8523" s="20" t="str">
        <f>IFERROR(__xludf.DUMMYFUNCTION("""COMPUTED_VALUE"""),"Uncle Sams Cider (5/13/2022)")</f>
        <v>Uncle Sams Cider (5/13/2022)</v>
      </c>
      <c r="H8523" s="19"/>
    </row>
    <row r="8524">
      <c r="A8524" s="9"/>
      <c r="B8524" s="15"/>
      <c r="C8524" s="9">
        <f>IFERROR(__xludf.DUMMYFUNCTION("""COMPUTED_VALUE"""),44707.7394223495)</f>
        <v>44707.73942</v>
      </c>
      <c r="D8524" s="15">
        <f>IFERROR(__xludf.DUMMYFUNCTION("""COMPUTED_VALUE"""),1.029)</f>
        <v>1.029</v>
      </c>
      <c r="E8524" s="16">
        <f>IFERROR(__xludf.DUMMYFUNCTION("""COMPUTED_VALUE"""),68.0)</f>
        <v>68</v>
      </c>
      <c r="F8524" s="19" t="str">
        <f>IFERROR(__xludf.DUMMYFUNCTION("""COMPUTED_VALUE"""),"BLACK")</f>
        <v>BLACK</v>
      </c>
      <c r="G8524" s="20" t="str">
        <f>IFERROR(__xludf.DUMMYFUNCTION("""COMPUTED_VALUE"""),"Uncle Sams Cider (5/13/2022)")</f>
        <v>Uncle Sams Cider (5/13/2022)</v>
      </c>
      <c r="H8524" s="19"/>
    </row>
    <row r="8525">
      <c r="A8525" s="9"/>
      <c r="B8525" s="15"/>
      <c r="C8525" s="9">
        <f>IFERROR(__xludf.DUMMYFUNCTION("""COMPUTED_VALUE"""),44707.7290003935)</f>
        <v>44707.729</v>
      </c>
      <c r="D8525" s="15">
        <f>IFERROR(__xludf.DUMMYFUNCTION("""COMPUTED_VALUE"""),1.029)</f>
        <v>1.029</v>
      </c>
      <c r="E8525" s="16">
        <f>IFERROR(__xludf.DUMMYFUNCTION("""COMPUTED_VALUE"""),68.0)</f>
        <v>68</v>
      </c>
      <c r="F8525" s="19" t="str">
        <f>IFERROR(__xludf.DUMMYFUNCTION("""COMPUTED_VALUE"""),"BLACK")</f>
        <v>BLACK</v>
      </c>
      <c r="G8525" s="20" t="str">
        <f>IFERROR(__xludf.DUMMYFUNCTION("""COMPUTED_VALUE"""),"Uncle Sams Cider (5/13/2022)")</f>
        <v>Uncle Sams Cider (5/13/2022)</v>
      </c>
      <c r="H8525" s="19"/>
    </row>
    <row r="8526">
      <c r="A8526" s="9"/>
      <c r="B8526" s="15"/>
      <c r="C8526" s="9">
        <f>IFERROR(__xludf.DUMMYFUNCTION("""COMPUTED_VALUE"""),44707.7185784027)</f>
        <v>44707.71858</v>
      </c>
      <c r="D8526" s="15">
        <f>IFERROR(__xludf.DUMMYFUNCTION("""COMPUTED_VALUE"""),1.029)</f>
        <v>1.029</v>
      </c>
      <c r="E8526" s="16">
        <f>IFERROR(__xludf.DUMMYFUNCTION("""COMPUTED_VALUE"""),68.0)</f>
        <v>68</v>
      </c>
      <c r="F8526" s="19" t="str">
        <f>IFERROR(__xludf.DUMMYFUNCTION("""COMPUTED_VALUE"""),"BLACK")</f>
        <v>BLACK</v>
      </c>
      <c r="G8526" s="20" t="str">
        <f>IFERROR(__xludf.DUMMYFUNCTION("""COMPUTED_VALUE"""),"Uncle Sams Cider (5/13/2022)")</f>
        <v>Uncle Sams Cider (5/13/2022)</v>
      </c>
      <c r="H8526" s="19"/>
    </row>
    <row r="8527">
      <c r="A8527" s="9"/>
      <c r="B8527" s="15"/>
      <c r="C8527" s="9">
        <f>IFERROR(__xludf.DUMMYFUNCTION("""COMPUTED_VALUE"""),44707.7081565046)</f>
        <v>44707.70816</v>
      </c>
      <c r="D8527" s="15">
        <f>IFERROR(__xludf.DUMMYFUNCTION("""COMPUTED_VALUE"""),1.029)</f>
        <v>1.029</v>
      </c>
      <c r="E8527" s="16">
        <f>IFERROR(__xludf.DUMMYFUNCTION("""COMPUTED_VALUE"""),68.0)</f>
        <v>68</v>
      </c>
      <c r="F8527" s="19" t="str">
        <f>IFERROR(__xludf.DUMMYFUNCTION("""COMPUTED_VALUE"""),"BLACK")</f>
        <v>BLACK</v>
      </c>
      <c r="G8527" s="20" t="str">
        <f>IFERROR(__xludf.DUMMYFUNCTION("""COMPUTED_VALUE"""),"Uncle Sams Cider (5/13/2022)")</f>
        <v>Uncle Sams Cider (5/13/2022)</v>
      </c>
      <c r="H8527" s="19"/>
    </row>
    <row r="8528">
      <c r="A8528" s="9"/>
      <c r="B8528" s="15"/>
      <c r="C8528" s="9">
        <f>IFERROR(__xludf.DUMMYFUNCTION("""COMPUTED_VALUE"""),44707.6977358101)</f>
        <v>44707.69774</v>
      </c>
      <c r="D8528" s="15">
        <f>IFERROR(__xludf.DUMMYFUNCTION("""COMPUTED_VALUE"""),1.029)</f>
        <v>1.029</v>
      </c>
      <c r="E8528" s="16">
        <f>IFERROR(__xludf.DUMMYFUNCTION("""COMPUTED_VALUE"""),68.0)</f>
        <v>68</v>
      </c>
      <c r="F8528" s="19" t="str">
        <f>IFERROR(__xludf.DUMMYFUNCTION("""COMPUTED_VALUE"""),"BLACK")</f>
        <v>BLACK</v>
      </c>
      <c r="G8528" s="20" t="str">
        <f>IFERROR(__xludf.DUMMYFUNCTION("""COMPUTED_VALUE"""),"Uncle Sams Cider (5/13/2022)")</f>
        <v>Uncle Sams Cider (5/13/2022)</v>
      </c>
      <c r="H8528" s="19"/>
    </row>
    <row r="8529">
      <c r="A8529" s="9"/>
      <c r="B8529" s="15"/>
      <c r="C8529" s="9">
        <f>IFERROR(__xludf.DUMMYFUNCTION("""COMPUTED_VALUE"""),44707.6873028587)</f>
        <v>44707.6873</v>
      </c>
      <c r="D8529" s="15">
        <f>IFERROR(__xludf.DUMMYFUNCTION("""COMPUTED_VALUE"""),1.029)</f>
        <v>1.029</v>
      </c>
      <c r="E8529" s="16">
        <f>IFERROR(__xludf.DUMMYFUNCTION("""COMPUTED_VALUE"""),68.0)</f>
        <v>68</v>
      </c>
      <c r="F8529" s="19" t="str">
        <f>IFERROR(__xludf.DUMMYFUNCTION("""COMPUTED_VALUE"""),"BLACK")</f>
        <v>BLACK</v>
      </c>
      <c r="G8529" s="20" t="str">
        <f>IFERROR(__xludf.DUMMYFUNCTION("""COMPUTED_VALUE"""),"Uncle Sams Cider (5/13/2022)")</f>
        <v>Uncle Sams Cider (5/13/2022)</v>
      </c>
      <c r="H8529" s="19"/>
    </row>
    <row r="8530">
      <c r="A8530" s="9"/>
      <c r="B8530" s="15"/>
      <c r="C8530" s="9">
        <f>IFERROR(__xludf.DUMMYFUNCTION("""COMPUTED_VALUE"""),44707.6768822569)</f>
        <v>44707.67688</v>
      </c>
      <c r="D8530" s="15">
        <f>IFERROR(__xludf.DUMMYFUNCTION("""COMPUTED_VALUE"""),1.029)</f>
        <v>1.029</v>
      </c>
      <c r="E8530" s="16">
        <f>IFERROR(__xludf.DUMMYFUNCTION("""COMPUTED_VALUE"""),68.0)</f>
        <v>68</v>
      </c>
      <c r="F8530" s="19" t="str">
        <f>IFERROR(__xludf.DUMMYFUNCTION("""COMPUTED_VALUE"""),"BLACK")</f>
        <v>BLACK</v>
      </c>
      <c r="G8530" s="20" t="str">
        <f>IFERROR(__xludf.DUMMYFUNCTION("""COMPUTED_VALUE"""),"Uncle Sams Cider (5/13/2022)")</f>
        <v>Uncle Sams Cider (5/13/2022)</v>
      </c>
      <c r="H8530" s="19"/>
    </row>
    <row r="8531">
      <c r="A8531" s="9"/>
      <c r="B8531" s="15"/>
      <c r="C8531" s="9">
        <f>IFERROR(__xludf.DUMMYFUNCTION("""COMPUTED_VALUE"""),44707.6664586805)</f>
        <v>44707.66646</v>
      </c>
      <c r="D8531" s="15">
        <f>IFERROR(__xludf.DUMMYFUNCTION("""COMPUTED_VALUE"""),1.029)</f>
        <v>1.029</v>
      </c>
      <c r="E8531" s="16">
        <f>IFERROR(__xludf.DUMMYFUNCTION("""COMPUTED_VALUE"""),68.0)</f>
        <v>68</v>
      </c>
      <c r="F8531" s="19" t="str">
        <f>IFERROR(__xludf.DUMMYFUNCTION("""COMPUTED_VALUE"""),"BLACK")</f>
        <v>BLACK</v>
      </c>
      <c r="G8531" s="20" t="str">
        <f>IFERROR(__xludf.DUMMYFUNCTION("""COMPUTED_VALUE"""),"Uncle Sams Cider (5/13/2022)")</f>
        <v>Uncle Sams Cider (5/13/2022)</v>
      </c>
      <c r="H8531" s="19"/>
    </row>
    <row r="8532">
      <c r="A8532" s="9"/>
      <c r="B8532" s="15"/>
      <c r="C8532" s="9">
        <f>IFERROR(__xludf.DUMMYFUNCTION("""COMPUTED_VALUE"""),44707.656038125)</f>
        <v>44707.65604</v>
      </c>
      <c r="D8532" s="15">
        <f>IFERROR(__xludf.DUMMYFUNCTION("""COMPUTED_VALUE"""),1.029)</f>
        <v>1.029</v>
      </c>
      <c r="E8532" s="16">
        <f>IFERROR(__xludf.DUMMYFUNCTION("""COMPUTED_VALUE"""),68.0)</f>
        <v>68</v>
      </c>
      <c r="F8532" s="19" t="str">
        <f>IFERROR(__xludf.DUMMYFUNCTION("""COMPUTED_VALUE"""),"BLACK")</f>
        <v>BLACK</v>
      </c>
      <c r="G8532" s="20" t="str">
        <f>IFERROR(__xludf.DUMMYFUNCTION("""COMPUTED_VALUE"""),"Uncle Sams Cider (5/13/2022)")</f>
        <v>Uncle Sams Cider (5/13/2022)</v>
      </c>
      <c r="H8532" s="19"/>
    </row>
    <row r="8533">
      <c r="A8533" s="9"/>
      <c r="B8533" s="15"/>
      <c r="C8533" s="9">
        <f>IFERROR(__xludf.DUMMYFUNCTION("""COMPUTED_VALUE"""),44707.6456152083)</f>
        <v>44707.64562</v>
      </c>
      <c r="D8533" s="15">
        <f>IFERROR(__xludf.DUMMYFUNCTION("""COMPUTED_VALUE"""),1.029)</f>
        <v>1.029</v>
      </c>
      <c r="E8533" s="16">
        <f>IFERROR(__xludf.DUMMYFUNCTION("""COMPUTED_VALUE"""),68.0)</f>
        <v>68</v>
      </c>
      <c r="F8533" s="19" t="str">
        <f>IFERROR(__xludf.DUMMYFUNCTION("""COMPUTED_VALUE"""),"BLACK")</f>
        <v>BLACK</v>
      </c>
      <c r="G8533" s="20" t="str">
        <f>IFERROR(__xludf.DUMMYFUNCTION("""COMPUTED_VALUE"""),"Uncle Sams Cider (5/13/2022)")</f>
        <v>Uncle Sams Cider (5/13/2022)</v>
      </c>
      <c r="H8533" s="19"/>
    </row>
    <row r="8534">
      <c r="A8534" s="9"/>
      <c r="B8534" s="15"/>
      <c r="C8534" s="9">
        <f>IFERROR(__xludf.DUMMYFUNCTION("""COMPUTED_VALUE"""),44707.6351934953)</f>
        <v>44707.63519</v>
      </c>
      <c r="D8534" s="15">
        <f>IFERROR(__xludf.DUMMYFUNCTION("""COMPUTED_VALUE"""),1.029)</f>
        <v>1.029</v>
      </c>
      <c r="E8534" s="16">
        <f>IFERROR(__xludf.DUMMYFUNCTION("""COMPUTED_VALUE"""),68.0)</f>
        <v>68</v>
      </c>
      <c r="F8534" s="19" t="str">
        <f>IFERROR(__xludf.DUMMYFUNCTION("""COMPUTED_VALUE"""),"BLACK")</f>
        <v>BLACK</v>
      </c>
      <c r="G8534" s="20" t="str">
        <f>IFERROR(__xludf.DUMMYFUNCTION("""COMPUTED_VALUE"""),"Uncle Sams Cider (5/13/2022)")</f>
        <v>Uncle Sams Cider (5/13/2022)</v>
      </c>
      <c r="H8534" s="19"/>
    </row>
    <row r="8535">
      <c r="A8535" s="9"/>
      <c r="B8535" s="15"/>
      <c r="C8535" s="9">
        <f>IFERROR(__xludf.DUMMYFUNCTION("""COMPUTED_VALUE"""),44707.6247724189)</f>
        <v>44707.62477</v>
      </c>
      <c r="D8535" s="15">
        <f>IFERROR(__xludf.DUMMYFUNCTION("""COMPUTED_VALUE"""),1.029)</f>
        <v>1.029</v>
      </c>
      <c r="E8535" s="16">
        <f>IFERROR(__xludf.DUMMYFUNCTION("""COMPUTED_VALUE"""),68.0)</f>
        <v>68</v>
      </c>
      <c r="F8535" s="19" t="str">
        <f>IFERROR(__xludf.DUMMYFUNCTION("""COMPUTED_VALUE"""),"BLACK")</f>
        <v>BLACK</v>
      </c>
      <c r="G8535" s="20" t="str">
        <f>IFERROR(__xludf.DUMMYFUNCTION("""COMPUTED_VALUE"""),"Uncle Sams Cider (5/13/2022)")</f>
        <v>Uncle Sams Cider (5/13/2022)</v>
      </c>
      <c r="H8535" s="19"/>
    </row>
    <row r="8536">
      <c r="A8536" s="9"/>
      <c r="B8536" s="15"/>
      <c r="C8536" s="9">
        <f>IFERROR(__xludf.DUMMYFUNCTION("""COMPUTED_VALUE"""),44707.6143518171)</f>
        <v>44707.61435</v>
      </c>
      <c r="D8536" s="15">
        <f>IFERROR(__xludf.DUMMYFUNCTION("""COMPUTED_VALUE"""),1.029)</f>
        <v>1.029</v>
      </c>
      <c r="E8536" s="16">
        <f>IFERROR(__xludf.DUMMYFUNCTION("""COMPUTED_VALUE"""),68.0)</f>
        <v>68</v>
      </c>
      <c r="F8536" s="19" t="str">
        <f>IFERROR(__xludf.DUMMYFUNCTION("""COMPUTED_VALUE"""),"BLACK")</f>
        <v>BLACK</v>
      </c>
      <c r="G8536" s="20" t="str">
        <f>IFERROR(__xludf.DUMMYFUNCTION("""COMPUTED_VALUE"""),"Uncle Sams Cider (5/13/2022)")</f>
        <v>Uncle Sams Cider (5/13/2022)</v>
      </c>
      <c r="H8536" s="19"/>
    </row>
    <row r="8537">
      <c r="A8537" s="9"/>
      <c r="B8537" s="15"/>
      <c r="C8537" s="9">
        <f>IFERROR(__xludf.DUMMYFUNCTION("""COMPUTED_VALUE"""),44707.6039310416)</f>
        <v>44707.60393</v>
      </c>
      <c r="D8537" s="15">
        <f>IFERROR(__xludf.DUMMYFUNCTION("""COMPUTED_VALUE"""),1.03)</f>
        <v>1.03</v>
      </c>
      <c r="E8537" s="16">
        <f>IFERROR(__xludf.DUMMYFUNCTION("""COMPUTED_VALUE"""),68.0)</f>
        <v>68</v>
      </c>
      <c r="F8537" s="19" t="str">
        <f>IFERROR(__xludf.DUMMYFUNCTION("""COMPUTED_VALUE"""),"BLACK")</f>
        <v>BLACK</v>
      </c>
      <c r="G8537" s="20" t="str">
        <f>IFERROR(__xludf.DUMMYFUNCTION("""COMPUTED_VALUE"""),"Uncle Sams Cider (5/13/2022)")</f>
        <v>Uncle Sams Cider (5/13/2022)</v>
      </c>
      <c r="H8537" s="19"/>
    </row>
    <row r="8538">
      <c r="A8538" s="9"/>
      <c r="B8538" s="15"/>
      <c r="C8538" s="9">
        <f>IFERROR(__xludf.DUMMYFUNCTION("""COMPUTED_VALUE"""),44707.5935108449)</f>
        <v>44707.59351</v>
      </c>
      <c r="D8538" s="15">
        <f>IFERROR(__xludf.DUMMYFUNCTION("""COMPUTED_VALUE"""),1.029)</f>
        <v>1.029</v>
      </c>
      <c r="E8538" s="16">
        <f>IFERROR(__xludf.DUMMYFUNCTION("""COMPUTED_VALUE"""),68.0)</f>
        <v>68</v>
      </c>
      <c r="F8538" s="19" t="str">
        <f>IFERROR(__xludf.DUMMYFUNCTION("""COMPUTED_VALUE"""),"BLACK")</f>
        <v>BLACK</v>
      </c>
      <c r="G8538" s="20" t="str">
        <f>IFERROR(__xludf.DUMMYFUNCTION("""COMPUTED_VALUE"""),"Uncle Sams Cider (5/13/2022)")</f>
        <v>Uncle Sams Cider (5/13/2022)</v>
      </c>
      <c r="H8538" s="19"/>
    </row>
    <row r="8539">
      <c r="A8539" s="9"/>
      <c r="B8539" s="15"/>
      <c r="C8539" s="9">
        <f>IFERROR(__xludf.DUMMYFUNCTION("""COMPUTED_VALUE"""),44707.583078831)</f>
        <v>44707.58308</v>
      </c>
      <c r="D8539" s="15">
        <f>IFERROR(__xludf.DUMMYFUNCTION("""COMPUTED_VALUE"""),1.03)</f>
        <v>1.03</v>
      </c>
      <c r="E8539" s="16">
        <f>IFERROR(__xludf.DUMMYFUNCTION("""COMPUTED_VALUE"""),68.0)</f>
        <v>68</v>
      </c>
      <c r="F8539" s="19" t="str">
        <f>IFERROR(__xludf.DUMMYFUNCTION("""COMPUTED_VALUE"""),"BLACK")</f>
        <v>BLACK</v>
      </c>
      <c r="G8539" s="20" t="str">
        <f>IFERROR(__xludf.DUMMYFUNCTION("""COMPUTED_VALUE"""),"Uncle Sams Cider (5/13/2022)")</f>
        <v>Uncle Sams Cider (5/13/2022)</v>
      </c>
      <c r="H8539" s="19"/>
    </row>
    <row r="8540">
      <c r="A8540" s="9"/>
      <c r="B8540" s="15"/>
      <c r="C8540" s="9">
        <f>IFERROR(__xludf.DUMMYFUNCTION("""COMPUTED_VALUE"""),44707.5726585763)</f>
        <v>44707.57266</v>
      </c>
      <c r="D8540" s="15">
        <f>IFERROR(__xludf.DUMMYFUNCTION("""COMPUTED_VALUE"""),1.029)</f>
        <v>1.029</v>
      </c>
      <c r="E8540" s="16">
        <f>IFERROR(__xludf.DUMMYFUNCTION("""COMPUTED_VALUE"""),68.0)</f>
        <v>68</v>
      </c>
      <c r="F8540" s="19" t="str">
        <f>IFERROR(__xludf.DUMMYFUNCTION("""COMPUTED_VALUE"""),"BLACK")</f>
        <v>BLACK</v>
      </c>
      <c r="G8540" s="20" t="str">
        <f>IFERROR(__xludf.DUMMYFUNCTION("""COMPUTED_VALUE"""),"Uncle Sams Cider (5/13/2022)")</f>
        <v>Uncle Sams Cider (5/13/2022)</v>
      </c>
      <c r="H8540" s="19"/>
    </row>
    <row r="8541">
      <c r="A8541" s="9"/>
      <c r="B8541" s="15"/>
      <c r="C8541" s="9">
        <f>IFERROR(__xludf.DUMMYFUNCTION("""COMPUTED_VALUE"""),44707.5622375231)</f>
        <v>44707.56224</v>
      </c>
      <c r="D8541" s="15">
        <f>IFERROR(__xludf.DUMMYFUNCTION("""COMPUTED_VALUE"""),1.03)</f>
        <v>1.03</v>
      </c>
      <c r="E8541" s="16">
        <f>IFERROR(__xludf.DUMMYFUNCTION("""COMPUTED_VALUE"""),68.0)</f>
        <v>68</v>
      </c>
      <c r="F8541" s="19" t="str">
        <f>IFERROR(__xludf.DUMMYFUNCTION("""COMPUTED_VALUE"""),"BLACK")</f>
        <v>BLACK</v>
      </c>
      <c r="G8541" s="20" t="str">
        <f>IFERROR(__xludf.DUMMYFUNCTION("""COMPUTED_VALUE"""),"Uncle Sams Cider (5/13/2022)")</f>
        <v>Uncle Sams Cider (5/13/2022)</v>
      </c>
      <c r="H8541" s="19"/>
    </row>
    <row r="8542">
      <c r="A8542" s="9"/>
      <c r="B8542" s="15"/>
      <c r="C8542" s="9">
        <f>IFERROR(__xludf.DUMMYFUNCTION("""COMPUTED_VALUE"""),44707.5518152199)</f>
        <v>44707.55182</v>
      </c>
      <c r="D8542" s="15">
        <f>IFERROR(__xludf.DUMMYFUNCTION("""COMPUTED_VALUE"""),1.03)</f>
        <v>1.03</v>
      </c>
      <c r="E8542" s="16">
        <f>IFERROR(__xludf.DUMMYFUNCTION("""COMPUTED_VALUE"""),68.0)</f>
        <v>68</v>
      </c>
      <c r="F8542" s="19" t="str">
        <f>IFERROR(__xludf.DUMMYFUNCTION("""COMPUTED_VALUE"""),"BLACK")</f>
        <v>BLACK</v>
      </c>
      <c r="G8542" s="20" t="str">
        <f>IFERROR(__xludf.DUMMYFUNCTION("""COMPUTED_VALUE"""),"Uncle Sams Cider (5/13/2022)")</f>
        <v>Uncle Sams Cider (5/13/2022)</v>
      </c>
      <c r="H8542" s="19"/>
    </row>
    <row r="8543">
      <c r="A8543" s="9"/>
      <c r="B8543" s="15"/>
      <c r="C8543" s="9">
        <f>IFERROR(__xludf.DUMMYFUNCTION("""COMPUTED_VALUE"""),44707.5413823032)</f>
        <v>44707.54138</v>
      </c>
      <c r="D8543" s="15">
        <f>IFERROR(__xludf.DUMMYFUNCTION("""COMPUTED_VALUE"""),1.03)</f>
        <v>1.03</v>
      </c>
      <c r="E8543" s="16">
        <f>IFERROR(__xludf.DUMMYFUNCTION("""COMPUTED_VALUE"""),68.0)</f>
        <v>68</v>
      </c>
      <c r="F8543" s="19" t="str">
        <f>IFERROR(__xludf.DUMMYFUNCTION("""COMPUTED_VALUE"""),"BLACK")</f>
        <v>BLACK</v>
      </c>
      <c r="G8543" s="20" t="str">
        <f>IFERROR(__xludf.DUMMYFUNCTION("""COMPUTED_VALUE"""),"Uncle Sams Cider (5/13/2022)")</f>
        <v>Uncle Sams Cider (5/13/2022)</v>
      </c>
      <c r="H8543" s="19"/>
    </row>
    <row r="8544">
      <c r="A8544" s="9"/>
      <c r="B8544" s="15"/>
      <c r="C8544" s="9">
        <f>IFERROR(__xludf.DUMMYFUNCTION("""COMPUTED_VALUE"""),44707.5309610648)</f>
        <v>44707.53096</v>
      </c>
      <c r="D8544" s="15">
        <f>IFERROR(__xludf.DUMMYFUNCTION("""COMPUTED_VALUE"""),1.03)</f>
        <v>1.03</v>
      </c>
      <c r="E8544" s="16">
        <f>IFERROR(__xludf.DUMMYFUNCTION("""COMPUTED_VALUE"""),68.0)</f>
        <v>68</v>
      </c>
      <c r="F8544" s="19" t="str">
        <f>IFERROR(__xludf.DUMMYFUNCTION("""COMPUTED_VALUE"""),"BLACK")</f>
        <v>BLACK</v>
      </c>
      <c r="G8544" s="20" t="str">
        <f>IFERROR(__xludf.DUMMYFUNCTION("""COMPUTED_VALUE"""),"Uncle Sams Cider (5/13/2022)")</f>
        <v>Uncle Sams Cider (5/13/2022)</v>
      </c>
      <c r="H8544" s="19"/>
    </row>
    <row r="8545">
      <c r="A8545" s="9"/>
      <c r="B8545" s="15"/>
      <c r="C8545" s="9">
        <f>IFERROR(__xludf.DUMMYFUNCTION("""COMPUTED_VALUE"""),44707.5205426504)</f>
        <v>44707.52054</v>
      </c>
      <c r="D8545" s="15">
        <f>IFERROR(__xludf.DUMMYFUNCTION("""COMPUTED_VALUE"""),1.03)</f>
        <v>1.03</v>
      </c>
      <c r="E8545" s="16">
        <f>IFERROR(__xludf.DUMMYFUNCTION("""COMPUTED_VALUE"""),68.0)</f>
        <v>68</v>
      </c>
      <c r="F8545" s="19" t="str">
        <f>IFERROR(__xludf.DUMMYFUNCTION("""COMPUTED_VALUE"""),"BLACK")</f>
        <v>BLACK</v>
      </c>
      <c r="G8545" s="20" t="str">
        <f>IFERROR(__xludf.DUMMYFUNCTION("""COMPUTED_VALUE"""),"Uncle Sams Cider (5/13/2022)")</f>
        <v>Uncle Sams Cider (5/13/2022)</v>
      </c>
      <c r="H8545" s="19"/>
    </row>
    <row r="8546">
      <c r="A8546" s="9"/>
      <c r="B8546" s="15"/>
      <c r="C8546" s="9">
        <f>IFERROR(__xludf.DUMMYFUNCTION("""COMPUTED_VALUE"""),44707.5101231134)</f>
        <v>44707.51012</v>
      </c>
      <c r="D8546" s="15">
        <f>IFERROR(__xludf.DUMMYFUNCTION("""COMPUTED_VALUE"""),1.03)</f>
        <v>1.03</v>
      </c>
      <c r="E8546" s="16">
        <f>IFERROR(__xludf.DUMMYFUNCTION("""COMPUTED_VALUE"""),68.0)</f>
        <v>68</v>
      </c>
      <c r="F8546" s="19" t="str">
        <f>IFERROR(__xludf.DUMMYFUNCTION("""COMPUTED_VALUE"""),"BLACK")</f>
        <v>BLACK</v>
      </c>
      <c r="G8546" s="20" t="str">
        <f>IFERROR(__xludf.DUMMYFUNCTION("""COMPUTED_VALUE"""),"Uncle Sams Cider (5/13/2022)")</f>
        <v>Uncle Sams Cider (5/13/2022)</v>
      </c>
      <c r="H8546" s="19"/>
    </row>
    <row r="8547">
      <c r="A8547" s="9"/>
      <c r="B8547" s="15"/>
      <c r="C8547" s="9">
        <f>IFERROR(__xludf.DUMMYFUNCTION("""COMPUTED_VALUE"""),44707.4997029861)</f>
        <v>44707.4997</v>
      </c>
      <c r="D8547" s="15">
        <f>IFERROR(__xludf.DUMMYFUNCTION("""COMPUTED_VALUE"""),1.03)</f>
        <v>1.03</v>
      </c>
      <c r="E8547" s="16">
        <f>IFERROR(__xludf.DUMMYFUNCTION("""COMPUTED_VALUE"""),68.0)</f>
        <v>68</v>
      </c>
      <c r="F8547" s="19" t="str">
        <f>IFERROR(__xludf.DUMMYFUNCTION("""COMPUTED_VALUE"""),"BLACK")</f>
        <v>BLACK</v>
      </c>
      <c r="G8547" s="20" t="str">
        <f>IFERROR(__xludf.DUMMYFUNCTION("""COMPUTED_VALUE"""),"Uncle Sams Cider (5/13/2022)")</f>
        <v>Uncle Sams Cider (5/13/2022)</v>
      </c>
      <c r="H8547" s="19"/>
    </row>
    <row r="8548">
      <c r="A8548" s="9"/>
      <c r="B8548" s="15"/>
      <c r="C8548" s="9">
        <f>IFERROR(__xludf.DUMMYFUNCTION("""COMPUTED_VALUE"""),44707.4892811342)</f>
        <v>44707.48928</v>
      </c>
      <c r="D8548" s="15">
        <f>IFERROR(__xludf.DUMMYFUNCTION("""COMPUTED_VALUE"""),1.03)</f>
        <v>1.03</v>
      </c>
      <c r="E8548" s="16">
        <f>IFERROR(__xludf.DUMMYFUNCTION("""COMPUTED_VALUE"""),68.0)</f>
        <v>68</v>
      </c>
      <c r="F8548" s="19" t="str">
        <f>IFERROR(__xludf.DUMMYFUNCTION("""COMPUTED_VALUE"""),"BLACK")</f>
        <v>BLACK</v>
      </c>
      <c r="G8548" s="20" t="str">
        <f>IFERROR(__xludf.DUMMYFUNCTION("""COMPUTED_VALUE"""),"Uncle Sams Cider (5/13/2022)")</f>
        <v>Uncle Sams Cider (5/13/2022)</v>
      </c>
      <c r="H8548" s="19"/>
    </row>
    <row r="8549">
      <c r="A8549" s="9"/>
      <c r="B8549" s="15"/>
      <c r="C8549" s="9">
        <f>IFERROR(__xludf.DUMMYFUNCTION("""COMPUTED_VALUE"""),44707.4788590625)</f>
        <v>44707.47886</v>
      </c>
      <c r="D8549" s="15">
        <f>IFERROR(__xludf.DUMMYFUNCTION("""COMPUTED_VALUE"""),1.03)</f>
        <v>1.03</v>
      </c>
      <c r="E8549" s="16">
        <f>IFERROR(__xludf.DUMMYFUNCTION("""COMPUTED_VALUE"""),68.0)</f>
        <v>68</v>
      </c>
      <c r="F8549" s="19" t="str">
        <f>IFERROR(__xludf.DUMMYFUNCTION("""COMPUTED_VALUE"""),"BLACK")</f>
        <v>BLACK</v>
      </c>
      <c r="G8549" s="20" t="str">
        <f>IFERROR(__xludf.DUMMYFUNCTION("""COMPUTED_VALUE"""),"Uncle Sams Cider (5/13/2022)")</f>
        <v>Uncle Sams Cider (5/13/2022)</v>
      </c>
      <c r="H8549" s="19"/>
    </row>
    <row r="8550">
      <c r="A8550" s="9"/>
      <c r="B8550" s="15"/>
      <c r="C8550" s="9">
        <f>IFERROR(__xludf.DUMMYFUNCTION("""COMPUTED_VALUE"""),44707.4684142939)</f>
        <v>44707.46841</v>
      </c>
      <c r="D8550" s="15">
        <f>IFERROR(__xludf.DUMMYFUNCTION("""COMPUTED_VALUE"""),1.03)</f>
        <v>1.03</v>
      </c>
      <c r="E8550" s="16">
        <f>IFERROR(__xludf.DUMMYFUNCTION("""COMPUTED_VALUE"""),68.0)</f>
        <v>68</v>
      </c>
      <c r="F8550" s="19" t="str">
        <f>IFERROR(__xludf.DUMMYFUNCTION("""COMPUTED_VALUE"""),"BLACK")</f>
        <v>BLACK</v>
      </c>
      <c r="G8550" s="20" t="str">
        <f>IFERROR(__xludf.DUMMYFUNCTION("""COMPUTED_VALUE"""),"Uncle Sams Cider (5/13/2022)")</f>
        <v>Uncle Sams Cider (5/13/2022)</v>
      </c>
      <c r="H8550" s="19"/>
    </row>
    <row r="8551">
      <c r="A8551" s="9"/>
      <c r="B8551" s="15"/>
      <c r="C8551" s="9">
        <f>IFERROR(__xludf.DUMMYFUNCTION("""COMPUTED_VALUE"""),44707.457993287)</f>
        <v>44707.45799</v>
      </c>
      <c r="D8551" s="15">
        <f>IFERROR(__xludf.DUMMYFUNCTION("""COMPUTED_VALUE"""),1.03)</f>
        <v>1.03</v>
      </c>
      <c r="E8551" s="16">
        <f>IFERROR(__xludf.DUMMYFUNCTION("""COMPUTED_VALUE"""),68.0)</f>
        <v>68</v>
      </c>
      <c r="F8551" s="19" t="str">
        <f>IFERROR(__xludf.DUMMYFUNCTION("""COMPUTED_VALUE"""),"BLACK")</f>
        <v>BLACK</v>
      </c>
      <c r="G8551" s="20" t="str">
        <f>IFERROR(__xludf.DUMMYFUNCTION("""COMPUTED_VALUE"""),"Uncle Sams Cider (5/13/2022)")</f>
        <v>Uncle Sams Cider (5/13/2022)</v>
      </c>
      <c r="H8551" s="19"/>
    </row>
    <row r="8552">
      <c r="A8552" s="9"/>
      <c r="B8552" s="15"/>
      <c r="C8552" s="9">
        <f>IFERROR(__xludf.DUMMYFUNCTION("""COMPUTED_VALUE"""),44707.4475707754)</f>
        <v>44707.44757</v>
      </c>
      <c r="D8552" s="15">
        <f>IFERROR(__xludf.DUMMYFUNCTION("""COMPUTED_VALUE"""),1.03)</f>
        <v>1.03</v>
      </c>
      <c r="E8552" s="16">
        <f>IFERROR(__xludf.DUMMYFUNCTION("""COMPUTED_VALUE"""),68.0)</f>
        <v>68</v>
      </c>
      <c r="F8552" s="19" t="str">
        <f>IFERROR(__xludf.DUMMYFUNCTION("""COMPUTED_VALUE"""),"BLACK")</f>
        <v>BLACK</v>
      </c>
      <c r="G8552" s="20" t="str">
        <f>IFERROR(__xludf.DUMMYFUNCTION("""COMPUTED_VALUE"""),"Uncle Sams Cider (5/13/2022)")</f>
        <v>Uncle Sams Cider (5/13/2022)</v>
      </c>
      <c r="H8552" s="19"/>
    </row>
    <row r="8553">
      <c r="A8553" s="9"/>
      <c r="B8553" s="15"/>
      <c r="C8553" s="9">
        <f>IFERROR(__xludf.DUMMYFUNCTION("""COMPUTED_VALUE"""),44707.4371489814)</f>
        <v>44707.43715</v>
      </c>
      <c r="D8553" s="15">
        <f>IFERROR(__xludf.DUMMYFUNCTION("""COMPUTED_VALUE"""),1.03)</f>
        <v>1.03</v>
      </c>
      <c r="E8553" s="16">
        <f>IFERROR(__xludf.DUMMYFUNCTION("""COMPUTED_VALUE"""),68.0)</f>
        <v>68</v>
      </c>
      <c r="F8553" s="19" t="str">
        <f>IFERROR(__xludf.DUMMYFUNCTION("""COMPUTED_VALUE"""),"BLACK")</f>
        <v>BLACK</v>
      </c>
      <c r="G8553" s="20" t="str">
        <f>IFERROR(__xludf.DUMMYFUNCTION("""COMPUTED_VALUE"""),"Uncle Sams Cider (5/13/2022)")</f>
        <v>Uncle Sams Cider (5/13/2022)</v>
      </c>
      <c r="H8553" s="19"/>
    </row>
    <row r="8554">
      <c r="A8554" s="9"/>
      <c r="B8554" s="15"/>
      <c r="C8554" s="9">
        <f>IFERROR(__xludf.DUMMYFUNCTION("""COMPUTED_VALUE"""),44707.4267283101)</f>
        <v>44707.42673</v>
      </c>
      <c r="D8554" s="15">
        <f>IFERROR(__xludf.DUMMYFUNCTION("""COMPUTED_VALUE"""),1.03)</f>
        <v>1.03</v>
      </c>
      <c r="E8554" s="16">
        <f>IFERROR(__xludf.DUMMYFUNCTION("""COMPUTED_VALUE"""),68.0)</f>
        <v>68</v>
      </c>
      <c r="F8554" s="19" t="str">
        <f>IFERROR(__xludf.DUMMYFUNCTION("""COMPUTED_VALUE"""),"BLACK")</f>
        <v>BLACK</v>
      </c>
      <c r="G8554" s="20" t="str">
        <f>IFERROR(__xludf.DUMMYFUNCTION("""COMPUTED_VALUE"""),"Uncle Sams Cider (5/13/2022)")</f>
        <v>Uncle Sams Cider (5/13/2022)</v>
      </c>
      <c r="H8554" s="19"/>
    </row>
    <row r="8555">
      <c r="A8555" s="9"/>
      <c r="B8555" s="15"/>
      <c r="C8555" s="9">
        <f>IFERROR(__xludf.DUMMYFUNCTION("""COMPUTED_VALUE"""),44707.4163077314)</f>
        <v>44707.41631</v>
      </c>
      <c r="D8555" s="15">
        <f>IFERROR(__xludf.DUMMYFUNCTION("""COMPUTED_VALUE"""),1.03)</f>
        <v>1.03</v>
      </c>
      <c r="E8555" s="16">
        <f>IFERROR(__xludf.DUMMYFUNCTION("""COMPUTED_VALUE"""),68.0)</f>
        <v>68</v>
      </c>
      <c r="F8555" s="19" t="str">
        <f>IFERROR(__xludf.DUMMYFUNCTION("""COMPUTED_VALUE"""),"BLACK")</f>
        <v>BLACK</v>
      </c>
      <c r="G8555" s="20" t="str">
        <f>IFERROR(__xludf.DUMMYFUNCTION("""COMPUTED_VALUE"""),"Uncle Sams Cider (5/13/2022)")</f>
        <v>Uncle Sams Cider (5/13/2022)</v>
      </c>
      <c r="H8555" s="19"/>
    </row>
    <row r="8556">
      <c r="A8556" s="9"/>
      <c r="B8556" s="15"/>
      <c r="C8556" s="9">
        <f>IFERROR(__xludf.DUMMYFUNCTION("""COMPUTED_VALUE"""),44707.405874699)</f>
        <v>44707.40587</v>
      </c>
      <c r="D8556" s="15">
        <f>IFERROR(__xludf.DUMMYFUNCTION("""COMPUTED_VALUE"""),1.03)</f>
        <v>1.03</v>
      </c>
      <c r="E8556" s="16">
        <f>IFERROR(__xludf.DUMMYFUNCTION("""COMPUTED_VALUE"""),68.0)</f>
        <v>68</v>
      </c>
      <c r="F8556" s="19" t="str">
        <f>IFERROR(__xludf.DUMMYFUNCTION("""COMPUTED_VALUE"""),"BLACK")</f>
        <v>BLACK</v>
      </c>
      <c r="G8556" s="20" t="str">
        <f>IFERROR(__xludf.DUMMYFUNCTION("""COMPUTED_VALUE"""),"Uncle Sams Cider (5/13/2022)")</f>
        <v>Uncle Sams Cider (5/13/2022)</v>
      </c>
      <c r="H8556" s="19"/>
    </row>
    <row r="8557">
      <c r="A8557" s="9"/>
      <c r="B8557" s="15"/>
      <c r="C8557" s="9">
        <f>IFERROR(__xludf.DUMMYFUNCTION("""COMPUTED_VALUE"""),44707.3954537731)</f>
        <v>44707.39545</v>
      </c>
      <c r="D8557" s="15">
        <f>IFERROR(__xludf.DUMMYFUNCTION("""COMPUTED_VALUE"""),1.03)</f>
        <v>1.03</v>
      </c>
      <c r="E8557" s="16">
        <f>IFERROR(__xludf.DUMMYFUNCTION("""COMPUTED_VALUE"""),68.0)</f>
        <v>68</v>
      </c>
      <c r="F8557" s="19" t="str">
        <f>IFERROR(__xludf.DUMMYFUNCTION("""COMPUTED_VALUE"""),"BLACK")</f>
        <v>BLACK</v>
      </c>
      <c r="G8557" s="20" t="str">
        <f>IFERROR(__xludf.DUMMYFUNCTION("""COMPUTED_VALUE"""),"Uncle Sams Cider (5/13/2022)")</f>
        <v>Uncle Sams Cider (5/13/2022)</v>
      </c>
      <c r="H8557" s="19"/>
    </row>
    <row r="8558">
      <c r="A8558" s="9"/>
      <c r="B8558" s="15"/>
      <c r="C8558" s="9">
        <f>IFERROR(__xludf.DUMMYFUNCTION("""COMPUTED_VALUE"""),44707.3850213773)</f>
        <v>44707.38502</v>
      </c>
      <c r="D8558" s="15">
        <f>IFERROR(__xludf.DUMMYFUNCTION("""COMPUTED_VALUE"""),1.03)</f>
        <v>1.03</v>
      </c>
      <c r="E8558" s="16">
        <f>IFERROR(__xludf.DUMMYFUNCTION("""COMPUTED_VALUE"""),68.0)</f>
        <v>68</v>
      </c>
      <c r="F8558" s="19" t="str">
        <f>IFERROR(__xludf.DUMMYFUNCTION("""COMPUTED_VALUE"""),"BLACK")</f>
        <v>BLACK</v>
      </c>
      <c r="G8558" s="20" t="str">
        <f>IFERROR(__xludf.DUMMYFUNCTION("""COMPUTED_VALUE"""),"Uncle Sams Cider (5/13/2022)")</f>
        <v>Uncle Sams Cider (5/13/2022)</v>
      </c>
      <c r="H8558" s="19"/>
    </row>
    <row r="8559">
      <c r="A8559" s="9"/>
      <c r="B8559" s="15"/>
      <c r="C8559" s="9">
        <f>IFERROR(__xludf.DUMMYFUNCTION("""COMPUTED_VALUE"""),44707.3745778009)</f>
        <v>44707.37458</v>
      </c>
      <c r="D8559" s="15">
        <f>IFERROR(__xludf.DUMMYFUNCTION("""COMPUTED_VALUE"""),1.03)</f>
        <v>1.03</v>
      </c>
      <c r="E8559" s="16">
        <f>IFERROR(__xludf.DUMMYFUNCTION("""COMPUTED_VALUE"""),68.0)</f>
        <v>68</v>
      </c>
      <c r="F8559" s="19" t="str">
        <f>IFERROR(__xludf.DUMMYFUNCTION("""COMPUTED_VALUE"""),"BLACK")</f>
        <v>BLACK</v>
      </c>
      <c r="G8559" s="20" t="str">
        <f>IFERROR(__xludf.DUMMYFUNCTION("""COMPUTED_VALUE"""),"Uncle Sams Cider (5/13/2022)")</f>
        <v>Uncle Sams Cider (5/13/2022)</v>
      </c>
      <c r="H8559" s="19"/>
    </row>
    <row r="8560">
      <c r="A8560" s="9"/>
      <c r="B8560" s="15"/>
      <c r="C8560" s="9">
        <f>IFERROR(__xludf.DUMMYFUNCTION("""COMPUTED_VALUE"""),44707.3641574305)</f>
        <v>44707.36416</v>
      </c>
      <c r="D8560" s="15">
        <f>IFERROR(__xludf.DUMMYFUNCTION("""COMPUTED_VALUE"""),1.03)</f>
        <v>1.03</v>
      </c>
      <c r="E8560" s="16">
        <f>IFERROR(__xludf.DUMMYFUNCTION("""COMPUTED_VALUE"""),68.0)</f>
        <v>68</v>
      </c>
      <c r="F8560" s="19" t="str">
        <f>IFERROR(__xludf.DUMMYFUNCTION("""COMPUTED_VALUE"""),"BLACK")</f>
        <v>BLACK</v>
      </c>
      <c r="G8560" s="20" t="str">
        <f>IFERROR(__xludf.DUMMYFUNCTION("""COMPUTED_VALUE"""),"Uncle Sams Cider (5/13/2022)")</f>
        <v>Uncle Sams Cider (5/13/2022)</v>
      </c>
      <c r="H8560" s="19"/>
    </row>
    <row r="8561">
      <c r="A8561" s="9"/>
      <c r="B8561" s="15"/>
      <c r="C8561" s="9">
        <f>IFERROR(__xludf.DUMMYFUNCTION("""COMPUTED_VALUE"""),44707.3537361805)</f>
        <v>44707.35374</v>
      </c>
      <c r="D8561" s="15">
        <f>IFERROR(__xludf.DUMMYFUNCTION("""COMPUTED_VALUE"""),1.03)</f>
        <v>1.03</v>
      </c>
      <c r="E8561" s="16">
        <f>IFERROR(__xludf.DUMMYFUNCTION("""COMPUTED_VALUE"""),68.0)</f>
        <v>68</v>
      </c>
      <c r="F8561" s="19" t="str">
        <f>IFERROR(__xludf.DUMMYFUNCTION("""COMPUTED_VALUE"""),"BLACK")</f>
        <v>BLACK</v>
      </c>
      <c r="G8561" s="20" t="str">
        <f>IFERROR(__xludf.DUMMYFUNCTION("""COMPUTED_VALUE"""),"Uncle Sams Cider (5/13/2022)")</f>
        <v>Uncle Sams Cider (5/13/2022)</v>
      </c>
      <c r="H8561" s="19"/>
    </row>
    <row r="8562">
      <c r="A8562" s="9"/>
      <c r="B8562" s="15"/>
      <c r="C8562" s="9">
        <f>IFERROR(__xludf.DUMMYFUNCTION("""COMPUTED_VALUE"""),44707.343304699)</f>
        <v>44707.3433</v>
      </c>
      <c r="D8562" s="15">
        <f>IFERROR(__xludf.DUMMYFUNCTION("""COMPUTED_VALUE"""),1.03)</f>
        <v>1.03</v>
      </c>
      <c r="E8562" s="16">
        <f>IFERROR(__xludf.DUMMYFUNCTION("""COMPUTED_VALUE"""),68.0)</f>
        <v>68</v>
      </c>
      <c r="F8562" s="19" t="str">
        <f>IFERROR(__xludf.DUMMYFUNCTION("""COMPUTED_VALUE"""),"BLACK")</f>
        <v>BLACK</v>
      </c>
      <c r="G8562" s="20" t="str">
        <f>IFERROR(__xludf.DUMMYFUNCTION("""COMPUTED_VALUE"""),"Uncle Sams Cider (5/13/2022)")</f>
        <v>Uncle Sams Cider (5/13/2022)</v>
      </c>
      <c r="H8562" s="19"/>
    </row>
    <row r="8563">
      <c r="A8563" s="9"/>
      <c r="B8563" s="15"/>
      <c r="C8563" s="9">
        <f>IFERROR(__xludf.DUMMYFUNCTION("""COMPUTED_VALUE"""),44707.3328833101)</f>
        <v>44707.33288</v>
      </c>
      <c r="D8563" s="15">
        <f>IFERROR(__xludf.DUMMYFUNCTION("""COMPUTED_VALUE"""),1.03)</f>
        <v>1.03</v>
      </c>
      <c r="E8563" s="16">
        <f>IFERROR(__xludf.DUMMYFUNCTION("""COMPUTED_VALUE"""),68.0)</f>
        <v>68</v>
      </c>
      <c r="F8563" s="19" t="str">
        <f>IFERROR(__xludf.DUMMYFUNCTION("""COMPUTED_VALUE"""),"BLACK")</f>
        <v>BLACK</v>
      </c>
      <c r="G8563" s="20" t="str">
        <f>IFERROR(__xludf.DUMMYFUNCTION("""COMPUTED_VALUE"""),"Uncle Sams Cider (5/13/2022)")</f>
        <v>Uncle Sams Cider (5/13/2022)</v>
      </c>
      <c r="H8563" s="19"/>
    </row>
    <row r="8564">
      <c r="A8564" s="9"/>
      <c r="B8564" s="15"/>
      <c r="C8564" s="9">
        <f>IFERROR(__xludf.DUMMYFUNCTION("""COMPUTED_VALUE"""),44707.3224628472)</f>
        <v>44707.32246</v>
      </c>
      <c r="D8564" s="15">
        <f>IFERROR(__xludf.DUMMYFUNCTION("""COMPUTED_VALUE"""),1.03)</f>
        <v>1.03</v>
      </c>
      <c r="E8564" s="16">
        <f>IFERROR(__xludf.DUMMYFUNCTION("""COMPUTED_VALUE"""),68.0)</f>
        <v>68</v>
      </c>
      <c r="F8564" s="19" t="str">
        <f>IFERROR(__xludf.DUMMYFUNCTION("""COMPUTED_VALUE"""),"BLACK")</f>
        <v>BLACK</v>
      </c>
      <c r="G8564" s="20" t="str">
        <f>IFERROR(__xludf.DUMMYFUNCTION("""COMPUTED_VALUE"""),"Uncle Sams Cider (5/13/2022)")</f>
        <v>Uncle Sams Cider (5/13/2022)</v>
      </c>
      <c r="H8564" s="19"/>
    </row>
    <row r="8565">
      <c r="A8565" s="9"/>
      <c r="B8565" s="15"/>
      <c r="C8565" s="9">
        <f>IFERROR(__xludf.DUMMYFUNCTION("""COMPUTED_VALUE"""),44707.312029618)</f>
        <v>44707.31203</v>
      </c>
      <c r="D8565" s="15">
        <f>IFERROR(__xludf.DUMMYFUNCTION("""COMPUTED_VALUE"""),1.03)</f>
        <v>1.03</v>
      </c>
      <c r="E8565" s="16">
        <f>IFERROR(__xludf.DUMMYFUNCTION("""COMPUTED_VALUE"""),68.0)</f>
        <v>68</v>
      </c>
      <c r="F8565" s="19" t="str">
        <f>IFERROR(__xludf.DUMMYFUNCTION("""COMPUTED_VALUE"""),"BLACK")</f>
        <v>BLACK</v>
      </c>
      <c r="G8565" s="20" t="str">
        <f>IFERROR(__xludf.DUMMYFUNCTION("""COMPUTED_VALUE"""),"Uncle Sams Cider (5/13/2022)")</f>
        <v>Uncle Sams Cider (5/13/2022)</v>
      </c>
      <c r="H8565" s="19"/>
    </row>
    <row r="8566">
      <c r="A8566" s="9"/>
      <c r="B8566" s="15"/>
      <c r="C8566" s="9">
        <f>IFERROR(__xludf.DUMMYFUNCTION("""COMPUTED_VALUE"""),44707.301597037)</f>
        <v>44707.3016</v>
      </c>
      <c r="D8566" s="15">
        <f>IFERROR(__xludf.DUMMYFUNCTION("""COMPUTED_VALUE"""),1.03)</f>
        <v>1.03</v>
      </c>
      <c r="E8566" s="16">
        <f>IFERROR(__xludf.DUMMYFUNCTION("""COMPUTED_VALUE"""),68.0)</f>
        <v>68</v>
      </c>
      <c r="F8566" s="19" t="str">
        <f>IFERROR(__xludf.DUMMYFUNCTION("""COMPUTED_VALUE"""),"BLACK")</f>
        <v>BLACK</v>
      </c>
      <c r="G8566" s="20" t="str">
        <f>IFERROR(__xludf.DUMMYFUNCTION("""COMPUTED_VALUE"""),"Uncle Sams Cider (5/13/2022)")</f>
        <v>Uncle Sams Cider (5/13/2022)</v>
      </c>
      <c r="H8566" s="19"/>
    </row>
    <row r="8567">
      <c r="A8567" s="9"/>
      <c r="B8567" s="15"/>
      <c r="C8567" s="9">
        <f>IFERROR(__xludf.DUMMYFUNCTION("""COMPUTED_VALUE"""),44707.2911748726)</f>
        <v>44707.29117</v>
      </c>
      <c r="D8567" s="15">
        <f>IFERROR(__xludf.DUMMYFUNCTION("""COMPUTED_VALUE"""),1.031)</f>
        <v>1.031</v>
      </c>
      <c r="E8567" s="16">
        <f>IFERROR(__xludf.DUMMYFUNCTION("""COMPUTED_VALUE"""),68.0)</f>
        <v>68</v>
      </c>
      <c r="F8567" s="19" t="str">
        <f>IFERROR(__xludf.DUMMYFUNCTION("""COMPUTED_VALUE"""),"BLACK")</f>
        <v>BLACK</v>
      </c>
      <c r="G8567" s="20" t="str">
        <f>IFERROR(__xludf.DUMMYFUNCTION("""COMPUTED_VALUE"""),"Uncle Sams Cider (5/13/2022)")</f>
        <v>Uncle Sams Cider (5/13/2022)</v>
      </c>
      <c r="H8567" s="19"/>
    </row>
    <row r="8568">
      <c r="A8568" s="9"/>
      <c r="B8568" s="15"/>
      <c r="C8568" s="9">
        <f>IFERROR(__xludf.DUMMYFUNCTION("""COMPUTED_VALUE"""),44707.2807426041)</f>
        <v>44707.28074</v>
      </c>
      <c r="D8568" s="15">
        <f>IFERROR(__xludf.DUMMYFUNCTION("""COMPUTED_VALUE"""),1.03)</f>
        <v>1.03</v>
      </c>
      <c r="E8568" s="16">
        <f>IFERROR(__xludf.DUMMYFUNCTION("""COMPUTED_VALUE"""),68.0)</f>
        <v>68</v>
      </c>
      <c r="F8568" s="19" t="str">
        <f>IFERROR(__xludf.DUMMYFUNCTION("""COMPUTED_VALUE"""),"BLACK")</f>
        <v>BLACK</v>
      </c>
      <c r="G8568" s="20" t="str">
        <f>IFERROR(__xludf.DUMMYFUNCTION("""COMPUTED_VALUE"""),"Uncle Sams Cider (5/13/2022)")</f>
        <v>Uncle Sams Cider (5/13/2022)</v>
      </c>
      <c r="H8568" s="19"/>
    </row>
    <row r="8569">
      <c r="A8569" s="9"/>
      <c r="B8569" s="15"/>
      <c r="C8569" s="9">
        <f>IFERROR(__xludf.DUMMYFUNCTION("""COMPUTED_VALUE"""),44707.2703105208)</f>
        <v>44707.27031</v>
      </c>
      <c r="D8569" s="15">
        <f>IFERROR(__xludf.DUMMYFUNCTION("""COMPUTED_VALUE"""),1.03)</f>
        <v>1.03</v>
      </c>
      <c r="E8569" s="16">
        <f>IFERROR(__xludf.DUMMYFUNCTION("""COMPUTED_VALUE"""),68.0)</f>
        <v>68</v>
      </c>
      <c r="F8569" s="19" t="str">
        <f>IFERROR(__xludf.DUMMYFUNCTION("""COMPUTED_VALUE"""),"BLACK")</f>
        <v>BLACK</v>
      </c>
      <c r="G8569" s="20" t="str">
        <f>IFERROR(__xludf.DUMMYFUNCTION("""COMPUTED_VALUE"""),"Uncle Sams Cider (5/13/2022)")</f>
        <v>Uncle Sams Cider (5/13/2022)</v>
      </c>
      <c r="H8569" s="19"/>
    </row>
    <row r="8570">
      <c r="A8570" s="9"/>
      <c r="B8570" s="15"/>
      <c r="C8570" s="9">
        <f>IFERROR(__xludf.DUMMYFUNCTION("""COMPUTED_VALUE"""),44707.2598885069)</f>
        <v>44707.25989</v>
      </c>
      <c r="D8570" s="15">
        <f>IFERROR(__xludf.DUMMYFUNCTION("""COMPUTED_VALUE"""),1.03)</f>
        <v>1.03</v>
      </c>
      <c r="E8570" s="16">
        <f>IFERROR(__xludf.DUMMYFUNCTION("""COMPUTED_VALUE"""),68.0)</f>
        <v>68</v>
      </c>
      <c r="F8570" s="19" t="str">
        <f>IFERROR(__xludf.DUMMYFUNCTION("""COMPUTED_VALUE"""),"BLACK")</f>
        <v>BLACK</v>
      </c>
      <c r="G8570" s="20" t="str">
        <f>IFERROR(__xludf.DUMMYFUNCTION("""COMPUTED_VALUE"""),"Uncle Sams Cider (5/13/2022)")</f>
        <v>Uncle Sams Cider (5/13/2022)</v>
      </c>
      <c r="H8570" s="19"/>
    </row>
    <row r="8571">
      <c r="A8571" s="9"/>
      <c r="B8571" s="15"/>
      <c r="C8571" s="9">
        <f>IFERROR(__xludf.DUMMYFUNCTION("""COMPUTED_VALUE"""),44707.249454375)</f>
        <v>44707.24945</v>
      </c>
      <c r="D8571" s="15">
        <f>IFERROR(__xludf.DUMMYFUNCTION("""COMPUTED_VALUE"""),1.031)</f>
        <v>1.031</v>
      </c>
      <c r="E8571" s="16">
        <f>IFERROR(__xludf.DUMMYFUNCTION("""COMPUTED_VALUE"""),68.0)</f>
        <v>68</v>
      </c>
      <c r="F8571" s="19" t="str">
        <f>IFERROR(__xludf.DUMMYFUNCTION("""COMPUTED_VALUE"""),"BLACK")</f>
        <v>BLACK</v>
      </c>
      <c r="G8571" s="20" t="str">
        <f>IFERROR(__xludf.DUMMYFUNCTION("""COMPUTED_VALUE"""),"Uncle Sams Cider (5/13/2022)")</f>
        <v>Uncle Sams Cider (5/13/2022)</v>
      </c>
      <c r="H8571" s="19"/>
    </row>
    <row r="8572">
      <c r="A8572" s="9"/>
      <c r="B8572" s="15"/>
      <c r="C8572" s="9">
        <f>IFERROR(__xludf.DUMMYFUNCTION("""COMPUTED_VALUE"""),44707.2390223726)</f>
        <v>44707.23902</v>
      </c>
      <c r="D8572" s="15">
        <f>IFERROR(__xludf.DUMMYFUNCTION("""COMPUTED_VALUE"""),1.031)</f>
        <v>1.031</v>
      </c>
      <c r="E8572" s="16">
        <f>IFERROR(__xludf.DUMMYFUNCTION("""COMPUTED_VALUE"""),68.0)</f>
        <v>68</v>
      </c>
      <c r="F8572" s="19" t="str">
        <f>IFERROR(__xludf.DUMMYFUNCTION("""COMPUTED_VALUE"""),"BLACK")</f>
        <v>BLACK</v>
      </c>
      <c r="G8572" s="20" t="str">
        <f>IFERROR(__xludf.DUMMYFUNCTION("""COMPUTED_VALUE"""),"Uncle Sams Cider (5/13/2022)")</f>
        <v>Uncle Sams Cider (5/13/2022)</v>
      </c>
      <c r="H8572" s="19"/>
    </row>
    <row r="8573">
      <c r="A8573" s="9"/>
      <c r="B8573" s="15"/>
      <c r="C8573" s="9">
        <f>IFERROR(__xludf.DUMMYFUNCTION("""COMPUTED_VALUE"""),44707.2285916666)</f>
        <v>44707.22859</v>
      </c>
      <c r="D8573" s="15">
        <f>IFERROR(__xludf.DUMMYFUNCTION("""COMPUTED_VALUE"""),1.031)</f>
        <v>1.031</v>
      </c>
      <c r="E8573" s="16">
        <f>IFERROR(__xludf.DUMMYFUNCTION("""COMPUTED_VALUE"""),68.0)</f>
        <v>68</v>
      </c>
      <c r="F8573" s="19" t="str">
        <f>IFERROR(__xludf.DUMMYFUNCTION("""COMPUTED_VALUE"""),"BLACK")</f>
        <v>BLACK</v>
      </c>
      <c r="G8573" s="20" t="str">
        <f>IFERROR(__xludf.DUMMYFUNCTION("""COMPUTED_VALUE"""),"Uncle Sams Cider (5/13/2022)")</f>
        <v>Uncle Sams Cider (5/13/2022)</v>
      </c>
      <c r="H8573" s="19"/>
    </row>
    <row r="8574">
      <c r="A8574" s="9"/>
      <c r="B8574" s="15"/>
      <c r="C8574" s="9">
        <f>IFERROR(__xludf.DUMMYFUNCTION("""COMPUTED_VALUE"""),44707.2181707407)</f>
        <v>44707.21817</v>
      </c>
      <c r="D8574" s="15">
        <f>IFERROR(__xludf.DUMMYFUNCTION("""COMPUTED_VALUE"""),1.031)</f>
        <v>1.031</v>
      </c>
      <c r="E8574" s="16">
        <f>IFERROR(__xludf.DUMMYFUNCTION("""COMPUTED_VALUE"""),68.0)</f>
        <v>68</v>
      </c>
      <c r="F8574" s="19" t="str">
        <f>IFERROR(__xludf.DUMMYFUNCTION("""COMPUTED_VALUE"""),"BLACK")</f>
        <v>BLACK</v>
      </c>
      <c r="G8574" s="20" t="str">
        <f>IFERROR(__xludf.DUMMYFUNCTION("""COMPUTED_VALUE"""),"Uncle Sams Cider (5/13/2022)")</f>
        <v>Uncle Sams Cider (5/13/2022)</v>
      </c>
      <c r="H8574" s="19"/>
    </row>
    <row r="8575">
      <c r="A8575" s="9"/>
      <c r="B8575" s="15"/>
      <c r="C8575" s="9">
        <f>IFERROR(__xludf.DUMMYFUNCTION("""COMPUTED_VALUE"""),44707.2077492361)</f>
        <v>44707.20775</v>
      </c>
      <c r="D8575" s="15">
        <f>IFERROR(__xludf.DUMMYFUNCTION("""COMPUTED_VALUE"""),1.031)</f>
        <v>1.031</v>
      </c>
      <c r="E8575" s="16">
        <f>IFERROR(__xludf.DUMMYFUNCTION("""COMPUTED_VALUE"""),68.0)</f>
        <v>68</v>
      </c>
      <c r="F8575" s="19" t="str">
        <f>IFERROR(__xludf.DUMMYFUNCTION("""COMPUTED_VALUE"""),"BLACK")</f>
        <v>BLACK</v>
      </c>
      <c r="G8575" s="20" t="str">
        <f>IFERROR(__xludf.DUMMYFUNCTION("""COMPUTED_VALUE"""),"Uncle Sams Cider (5/13/2022)")</f>
        <v>Uncle Sams Cider (5/13/2022)</v>
      </c>
      <c r="H8575" s="19"/>
    </row>
    <row r="8576">
      <c r="A8576" s="9"/>
      <c r="B8576" s="15"/>
      <c r="C8576" s="9">
        <f>IFERROR(__xludf.DUMMYFUNCTION("""COMPUTED_VALUE"""),44707.1973267245)</f>
        <v>44707.19733</v>
      </c>
      <c r="D8576" s="15">
        <f>IFERROR(__xludf.DUMMYFUNCTION("""COMPUTED_VALUE"""),1.031)</f>
        <v>1.031</v>
      </c>
      <c r="E8576" s="16">
        <f>IFERROR(__xludf.DUMMYFUNCTION("""COMPUTED_VALUE"""),68.0)</f>
        <v>68</v>
      </c>
      <c r="F8576" s="19" t="str">
        <f>IFERROR(__xludf.DUMMYFUNCTION("""COMPUTED_VALUE"""),"BLACK")</f>
        <v>BLACK</v>
      </c>
      <c r="G8576" s="20" t="str">
        <f>IFERROR(__xludf.DUMMYFUNCTION("""COMPUTED_VALUE"""),"Uncle Sams Cider (5/13/2022)")</f>
        <v>Uncle Sams Cider (5/13/2022)</v>
      </c>
      <c r="H8576" s="19"/>
    </row>
    <row r="8577">
      <c r="A8577" s="9"/>
      <c r="B8577" s="15"/>
      <c r="C8577" s="9">
        <f>IFERROR(__xludf.DUMMYFUNCTION("""COMPUTED_VALUE"""),44707.1869050347)</f>
        <v>44707.18691</v>
      </c>
      <c r="D8577" s="15">
        <f>IFERROR(__xludf.DUMMYFUNCTION("""COMPUTED_VALUE"""),1.031)</f>
        <v>1.031</v>
      </c>
      <c r="E8577" s="16">
        <f>IFERROR(__xludf.DUMMYFUNCTION("""COMPUTED_VALUE"""),68.0)</f>
        <v>68</v>
      </c>
      <c r="F8577" s="19" t="str">
        <f>IFERROR(__xludf.DUMMYFUNCTION("""COMPUTED_VALUE"""),"BLACK")</f>
        <v>BLACK</v>
      </c>
      <c r="G8577" s="20" t="str">
        <f>IFERROR(__xludf.DUMMYFUNCTION("""COMPUTED_VALUE"""),"Uncle Sams Cider (5/13/2022)")</f>
        <v>Uncle Sams Cider (5/13/2022)</v>
      </c>
      <c r="H8577" s="19"/>
    </row>
    <row r="8578">
      <c r="A8578" s="9"/>
      <c r="B8578" s="15"/>
      <c r="C8578" s="9">
        <f>IFERROR(__xludf.DUMMYFUNCTION("""COMPUTED_VALUE"""),44707.1764848148)</f>
        <v>44707.17648</v>
      </c>
      <c r="D8578" s="15">
        <f>IFERROR(__xludf.DUMMYFUNCTION("""COMPUTED_VALUE"""),1.031)</f>
        <v>1.031</v>
      </c>
      <c r="E8578" s="16">
        <f>IFERROR(__xludf.DUMMYFUNCTION("""COMPUTED_VALUE"""),68.0)</f>
        <v>68</v>
      </c>
      <c r="F8578" s="19" t="str">
        <f>IFERROR(__xludf.DUMMYFUNCTION("""COMPUTED_VALUE"""),"BLACK")</f>
        <v>BLACK</v>
      </c>
      <c r="G8578" s="20" t="str">
        <f>IFERROR(__xludf.DUMMYFUNCTION("""COMPUTED_VALUE"""),"Uncle Sams Cider (5/13/2022)")</f>
        <v>Uncle Sams Cider (5/13/2022)</v>
      </c>
      <c r="H8578" s="19"/>
    </row>
    <row r="8579">
      <c r="A8579" s="9"/>
      <c r="B8579" s="15"/>
      <c r="C8579" s="9">
        <f>IFERROR(__xludf.DUMMYFUNCTION("""COMPUTED_VALUE"""),44707.1660618171)</f>
        <v>44707.16606</v>
      </c>
      <c r="D8579" s="15">
        <f>IFERROR(__xludf.DUMMYFUNCTION("""COMPUTED_VALUE"""),1.031)</f>
        <v>1.031</v>
      </c>
      <c r="E8579" s="16">
        <f>IFERROR(__xludf.DUMMYFUNCTION("""COMPUTED_VALUE"""),68.0)</f>
        <v>68</v>
      </c>
      <c r="F8579" s="19" t="str">
        <f>IFERROR(__xludf.DUMMYFUNCTION("""COMPUTED_VALUE"""),"BLACK")</f>
        <v>BLACK</v>
      </c>
      <c r="G8579" s="20" t="str">
        <f>IFERROR(__xludf.DUMMYFUNCTION("""COMPUTED_VALUE"""),"Uncle Sams Cider (5/13/2022)")</f>
        <v>Uncle Sams Cider (5/13/2022)</v>
      </c>
      <c r="H8579" s="19"/>
    </row>
    <row r="8580">
      <c r="A8580" s="9"/>
      <c r="B8580" s="15"/>
      <c r="C8580" s="9">
        <f>IFERROR(__xludf.DUMMYFUNCTION("""COMPUTED_VALUE"""),44707.1556393171)</f>
        <v>44707.15564</v>
      </c>
      <c r="D8580" s="15">
        <f>IFERROR(__xludf.DUMMYFUNCTION("""COMPUTED_VALUE"""),1.031)</f>
        <v>1.031</v>
      </c>
      <c r="E8580" s="16">
        <f>IFERROR(__xludf.DUMMYFUNCTION("""COMPUTED_VALUE"""),68.0)</f>
        <v>68</v>
      </c>
      <c r="F8580" s="19" t="str">
        <f>IFERROR(__xludf.DUMMYFUNCTION("""COMPUTED_VALUE"""),"BLACK")</f>
        <v>BLACK</v>
      </c>
      <c r="G8580" s="20" t="str">
        <f>IFERROR(__xludf.DUMMYFUNCTION("""COMPUTED_VALUE"""),"Uncle Sams Cider (5/13/2022)")</f>
        <v>Uncle Sams Cider (5/13/2022)</v>
      </c>
      <c r="H8580" s="19"/>
    </row>
    <row r="8581">
      <c r="A8581" s="9"/>
      <c r="B8581" s="15"/>
      <c r="C8581" s="9">
        <f>IFERROR(__xludf.DUMMYFUNCTION("""COMPUTED_VALUE"""),44707.1452048148)</f>
        <v>44707.1452</v>
      </c>
      <c r="D8581" s="15">
        <f>IFERROR(__xludf.DUMMYFUNCTION("""COMPUTED_VALUE"""),1.031)</f>
        <v>1.031</v>
      </c>
      <c r="E8581" s="16">
        <f>IFERROR(__xludf.DUMMYFUNCTION("""COMPUTED_VALUE"""),68.0)</f>
        <v>68</v>
      </c>
      <c r="F8581" s="19" t="str">
        <f>IFERROR(__xludf.DUMMYFUNCTION("""COMPUTED_VALUE"""),"BLACK")</f>
        <v>BLACK</v>
      </c>
      <c r="G8581" s="20" t="str">
        <f>IFERROR(__xludf.DUMMYFUNCTION("""COMPUTED_VALUE"""),"Uncle Sams Cider (5/13/2022)")</f>
        <v>Uncle Sams Cider (5/13/2022)</v>
      </c>
      <c r="H8581" s="19"/>
    </row>
    <row r="8582">
      <c r="A8582" s="9"/>
      <c r="B8582" s="15"/>
      <c r="C8582" s="9">
        <f>IFERROR(__xludf.DUMMYFUNCTION("""COMPUTED_VALUE"""),44707.13477125)</f>
        <v>44707.13477</v>
      </c>
      <c r="D8582" s="15">
        <f>IFERROR(__xludf.DUMMYFUNCTION("""COMPUTED_VALUE"""),1.031)</f>
        <v>1.031</v>
      </c>
      <c r="E8582" s="16">
        <f>IFERROR(__xludf.DUMMYFUNCTION("""COMPUTED_VALUE"""),68.0)</f>
        <v>68</v>
      </c>
      <c r="F8582" s="19" t="str">
        <f>IFERROR(__xludf.DUMMYFUNCTION("""COMPUTED_VALUE"""),"BLACK")</f>
        <v>BLACK</v>
      </c>
      <c r="G8582" s="20" t="str">
        <f>IFERROR(__xludf.DUMMYFUNCTION("""COMPUTED_VALUE"""),"Uncle Sams Cider (5/13/2022)")</f>
        <v>Uncle Sams Cider (5/13/2022)</v>
      </c>
      <c r="H8582" s="19"/>
    </row>
    <row r="8583">
      <c r="A8583" s="9"/>
      <c r="B8583" s="15"/>
      <c r="C8583" s="9">
        <f>IFERROR(__xludf.DUMMYFUNCTION("""COMPUTED_VALUE"""),44707.124349456)</f>
        <v>44707.12435</v>
      </c>
      <c r="D8583" s="15">
        <f>IFERROR(__xludf.DUMMYFUNCTION("""COMPUTED_VALUE"""),1.031)</f>
        <v>1.031</v>
      </c>
      <c r="E8583" s="16">
        <f>IFERROR(__xludf.DUMMYFUNCTION("""COMPUTED_VALUE"""),68.0)</f>
        <v>68</v>
      </c>
      <c r="F8583" s="19" t="str">
        <f>IFERROR(__xludf.DUMMYFUNCTION("""COMPUTED_VALUE"""),"BLACK")</f>
        <v>BLACK</v>
      </c>
      <c r="G8583" s="20" t="str">
        <f>IFERROR(__xludf.DUMMYFUNCTION("""COMPUTED_VALUE"""),"Uncle Sams Cider (5/13/2022)")</f>
        <v>Uncle Sams Cider (5/13/2022)</v>
      </c>
      <c r="H8583" s="19"/>
    </row>
    <row r="8584">
      <c r="A8584" s="9"/>
      <c r="B8584" s="15"/>
      <c r="C8584" s="9">
        <f>IFERROR(__xludf.DUMMYFUNCTION("""COMPUTED_VALUE"""),44707.1139290277)</f>
        <v>44707.11393</v>
      </c>
      <c r="D8584" s="15">
        <f>IFERROR(__xludf.DUMMYFUNCTION("""COMPUTED_VALUE"""),1.031)</f>
        <v>1.031</v>
      </c>
      <c r="E8584" s="16">
        <f>IFERROR(__xludf.DUMMYFUNCTION("""COMPUTED_VALUE"""),68.0)</f>
        <v>68</v>
      </c>
      <c r="F8584" s="19" t="str">
        <f>IFERROR(__xludf.DUMMYFUNCTION("""COMPUTED_VALUE"""),"BLACK")</f>
        <v>BLACK</v>
      </c>
      <c r="G8584" s="20" t="str">
        <f>IFERROR(__xludf.DUMMYFUNCTION("""COMPUTED_VALUE"""),"Uncle Sams Cider (5/13/2022)")</f>
        <v>Uncle Sams Cider (5/13/2022)</v>
      </c>
      <c r="H8584" s="19"/>
    </row>
    <row r="8585">
      <c r="A8585" s="9"/>
      <c r="B8585" s="15"/>
      <c r="C8585" s="9">
        <f>IFERROR(__xludf.DUMMYFUNCTION("""COMPUTED_VALUE"""),44707.1035079513)</f>
        <v>44707.10351</v>
      </c>
      <c r="D8585" s="15">
        <f>IFERROR(__xludf.DUMMYFUNCTION("""COMPUTED_VALUE"""),1.031)</f>
        <v>1.031</v>
      </c>
      <c r="E8585" s="16">
        <f>IFERROR(__xludf.DUMMYFUNCTION("""COMPUTED_VALUE"""),68.0)</f>
        <v>68</v>
      </c>
      <c r="F8585" s="19" t="str">
        <f>IFERROR(__xludf.DUMMYFUNCTION("""COMPUTED_VALUE"""),"BLACK")</f>
        <v>BLACK</v>
      </c>
      <c r="G8585" s="20" t="str">
        <f>IFERROR(__xludf.DUMMYFUNCTION("""COMPUTED_VALUE"""),"Uncle Sams Cider (5/13/2022)")</f>
        <v>Uncle Sams Cider (5/13/2022)</v>
      </c>
      <c r="H8585" s="19"/>
    </row>
    <row r="8586">
      <c r="A8586" s="9"/>
      <c r="B8586" s="15"/>
      <c r="C8586" s="9">
        <f>IFERROR(__xludf.DUMMYFUNCTION("""COMPUTED_VALUE"""),44707.0930754745)</f>
        <v>44707.09308</v>
      </c>
      <c r="D8586" s="15">
        <f>IFERROR(__xludf.DUMMYFUNCTION("""COMPUTED_VALUE"""),1.031)</f>
        <v>1.031</v>
      </c>
      <c r="E8586" s="16">
        <f>IFERROR(__xludf.DUMMYFUNCTION("""COMPUTED_VALUE"""),68.0)</f>
        <v>68</v>
      </c>
      <c r="F8586" s="19" t="str">
        <f>IFERROR(__xludf.DUMMYFUNCTION("""COMPUTED_VALUE"""),"BLACK")</f>
        <v>BLACK</v>
      </c>
      <c r="G8586" s="20" t="str">
        <f>IFERROR(__xludf.DUMMYFUNCTION("""COMPUTED_VALUE"""),"Uncle Sams Cider (5/13/2022)")</f>
        <v>Uncle Sams Cider (5/13/2022)</v>
      </c>
      <c r="H8586" s="19"/>
    </row>
    <row r="8587">
      <c r="A8587" s="9"/>
      <c r="B8587" s="15"/>
      <c r="C8587" s="9">
        <f>IFERROR(__xludf.DUMMYFUNCTION("""COMPUTED_VALUE"""),44707.0826427314)</f>
        <v>44707.08264</v>
      </c>
      <c r="D8587" s="15">
        <f>IFERROR(__xludf.DUMMYFUNCTION("""COMPUTED_VALUE"""),1.031)</f>
        <v>1.031</v>
      </c>
      <c r="E8587" s="16">
        <f>IFERROR(__xludf.DUMMYFUNCTION("""COMPUTED_VALUE"""),68.0)</f>
        <v>68</v>
      </c>
      <c r="F8587" s="19" t="str">
        <f>IFERROR(__xludf.DUMMYFUNCTION("""COMPUTED_VALUE"""),"BLACK")</f>
        <v>BLACK</v>
      </c>
      <c r="G8587" s="20" t="str">
        <f>IFERROR(__xludf.DUMMYFUNCTION("""COMPUTED_VALUE"""),"Uncle Sams Cider (5/13/2022)")</f>
        <v>Uncle Sams Cider (5/13/2022)</v>
      </c>
      <c r="H8587" s="19"/>
    </row>
    <row r="8588">
      <c r="A8588" s="9"/>
      <c r="B8588" s="15"/>
      <c r="C8588" s="9">
        <f>IFERROR(__xludf.DUMMYFUNCTION("""COMPUTED_VALUE"""),44707.0722191435)</f>
        <v>44707.07222</v>
      </c>
      <c r="D8588" s="15">
        <f>IFERROR(__xludf.DUMMYFUNCTION("""COMPUTED_VALUE"""),1.031)</f>
        <v>1.031</v>
      </c>
      <c r="E8588" s="16">
        <f>IFERROR(__xludf.DUMMYFUNCTION("""COMPUTED_VALUE"""),68.0)</f>
        <v>68</v>
      </c>
      <c r="F8588" s="19" t="str">
        <f>IFERROR(__xludf.DUMMYFUNCTION("""COMPUTED_VALUE"""),"BLACK")</f>
        <v>BLACK</v>
      </c>
      <c r="G8588" s="20" t="str">
        <f>IFERROR(__xludf.DUMMYFUNCTION("""COMPUTED_VALUE"""),"Uncle Sams Cider (5/13/2022)")</f>
        <v>Uncle Sams Cider (5/13/2022)</v>
      </c>
      <c r="H8588" s="19"/>
    </row>
    <row r="8589">
      <c r="A8589" s="9"/>
      <c r="B8589" s="15"/>
      <c r="C8589" s="9">
        <f>IFERROR(__xludf.DUMMYFUNCTION("""COMPUTED_VALUE"""),44707.061796956)</f>
        <v>44707.0618</v>
      </c>
      <c r="D8589" s="15">
        <f>IFERROR(__xludf.DUMMYFUNCTION("""COMPUTED_VALUE"""),1.031)</f>
        <v>1.031</v>
      </c>
      <c r="E8589" s="16">
        <f>IFERROR(__xludf.DUMMYFUNCTION("""COMPUTED_VALUE"""),68.0)</f>
        <v>68</v>
      </c>
      <c r="F8589" s="19" t="str">
        <f>IFERROR(__xludf.DUMMYFUNCTION("""COMPUTED_VALUE"""),"BLACK")</f>
        <v>BLACK</v>
      </c>
      <c r="G8589" s="20" t="str">
        <f>IFERROR(__xludf.DUMMYFUNCTION("""COMPUTED_VALUE"""),"Uncle Sams Cider (5/13/2022)")</f>
        <v>Uncle Sams Cider (5/13/2022)</v>
      </c>
      <c r="H8589" s="19"/>
    </row>
    <row r="8590">
      <c r="A8590" s="9"/>
      <c r="B8590" s="15"/>
      <c r="C8590" s="9">
        <f>IFERROR(__xludf.DUMMYFUNCTION("""COMPUTED_VALUE"""),44707.0513755902)</f>
        <v>44707.05138</v>
      </c>
      <c r="D8590" s="15">
        <f>IFERROR(__xludf.DUMMYFUNCTION("""COMPUTED_VALUE"""),1.031)</f>
        <v>1.031</v>
      </c>
      <c r="E8590" s="16">
        <f>IFERROR(__xludf.DUMMYFUNCTION("""COMPUTED_VALUE"""),68.0)</f>
        <v>68</v>
      </c>
      <c r="F8590" s="19" t="str">
        <f>IFERROR(__xludf.DUMMYFUNCTION("""COMPUTED_VALUE"""),"BLACK")</f>
        <v>BLACK</v>
      </c>
      <c r="G8590" s="20" t="str">
        <f>IFERROR(__xludf.DUMMYFUNCTION("""COMPUTED_VALUE"""),"Uncle Sams Cider (5/13/2022)")</f>
        <v>Uncle Sams Cider (5/13/2022)</v>
      </c>
      <c r="H8590" s="19"/>
    </row>
    <row r="8591">
      <c r="A8591" s="9"/>
      <c r="B8591" s="15"/>
      <c r="C8591" s="9">
        <f>IFERROR(__xludf.DUMMYFUNCTION("""COMPUTED_VALUE"""),44707.0409534375)</f>
        <v>44707.04095</v>
      </c>
      <c r="D8591" s="15">
        <f>IFERROR(__xludf.DUMMYFUNCTION("""COMPUTED_VALUE"""),1.031)</f>
        <v>1.031</v>
      </c>
      <c r="E8591" s="16">
        <f>IFERROR(__xludf.DUMMYFUNCTION("""COMPUTED_VALUE"""),68.0)</f>
        <v>68</v>
      </c>
      <c r="F8591" s="19" t="str">
        <f>IFERROR(__xludf.DUMMYFUNCTION("""COMPUTED_VALUE"""),"BLACK")</f>
        <v>BLACK</v>
      </c>
      <c r="G8591" s="20" t="str">
        <f>IFERROR(__xludf.DUMMYFUNCTION("""COMPUTED_VALUE"""),"Uncle Sams Cider (5/13/2022)")</f>
        <v>Uncle Sams Cider (5/13/2022)</v>
      </c>
      <c r="H8591" s="19"/>
    </row>
    <row r="8592">
      <c r="A8592" s="9"/>
      <c r="B8592" s="15"/>
      <c r="C8592" s="9">
        <f>IFERROR(__xludf.DUMMYFUNCTION("""COMPUTED_VALUE"""),44707.0305327546)</f>
        <v>44707.03053</v>
      </c>
      <c r="D8592" s="15">
        <f>IFERROR(__xludf.DUMMYFUNCTION("""COMPUTED_VALUE"""),1.031)</f>
        <v>1.031</v>
      </c>
      <c r="E8592" s="16">
        <f>IFERROR(__xludf.DUMMYFUNCTION("""COMPUTED_VALUE"""),68.0)</f>
        <v>68</v>
      </c>
      <c r="F8592" s="19" t="str">
        <f>IFERROR(__xludf.DUMMYFUNCTION("""COMPUTED_VALUE"""),"BLACK")</f>
        <v>BLACK</v>
      </c>
      <c r="G8592" s="20" t="str">
        <f>IFERROR(__xludf.DUMMYFUNCTION("""COMPUTED_VALUE"""),"Uncle Sams Cider (5/13/2022)")</f>
        <v>Uncle Sams Cider (5/13/2022)</v>
      </c>
      <c r="H8592" s="19"/>
    </row>
    <row r="8593">
      <c r="A8593" s="9"/>
      <c r="B8593" s="15"/>
      <c r="C8593" s="9">
        <f>IFERROR(__xludf.DUMMYFUNCTION("""COMPUTED_VALUE"""),44707.0201120254)</f>
        <v>44707.02011</v>
      </c>
      <c r="D8593" s="15">
        <f>IFERROR(__xludf.DUMMYFUNCTION("""COMPUTED_VALUE"""),1.031)</f>
        <v>1.031</v>
      </c>
      <c r="E8593" s="16">
        <f>IFERROR(__xludf.DUMMYFUNCTION("""COMPUTED_VALUE"""),68.0)</f>
        <v>68</v>
      </c>
      <c r="F8593" s="19" t="str">
        <f>IFERROR(__xludf.DUMMYFUNCTION("""COMPUTED_VALUE"""),"BLACK")</f>
        <v>BLACK</v>
      </c>
      <c r="G8593" s="20" t="str">
        <f>IFERROR(__xludf.DUMMYFUNCTION("""COMPUTED_VALUE"""),"Uncle Sams Cider (5/13/2022)")</f>
        <v>Uncle Sams Cider (5/13/2022)</v>
      </c>
      <c r="H8593" s="19"/>
    </row>
    <row r="8594">
      <c r="A8594" s="9"/>
      <c r="B8594" s="15"/>
      <c r="C8594" s="9">
        <f>IFERROR(__xludf.DUMMYFUNCTION("""COMPUTED_VALUE"""),44707.0096918402)</f>
        <v>44707.00969</v>
      </c>
      <c r="D8594" s="15">
        <f>IFERROR(__xludf.DUMMYFUNCTION("""COMPUTED_VALUE"""),1.031)</f>
        <v>1.031</v>
      </c>
      <c r="E8594" s="16">
        <f>IFERROR(__xludf.DUMMYFUNCTION("""COMPUTED_VALUE"""),68.0)</f>
        <v>68</v>
      </c>
      <c r="F8594" s="19" t="str">
        <f>IFERROR(__xludf.DUMMYFUNCTION("""COMPUTED_VALUE"""),"BLACK")</f>
        <v>BLACK</v>
      </c>
      <c r="G8594" s="20" t="str">
        <f>IFERROR(__xludf.DUMMYFUNCTION("""COMPUTED_VALUE"""),"Uncle Sams Cider (5/13/2022)")</f>
        <v>Uncle Sams Cider (5/13/2022)</v>
      </c>
      <c r="H8594" s="19"/>
    </row>
    <row r="8595">
      <c r="A8595" s="9"/>
      <c r="B8595" s="15"/>
      <c r="C8595" s="9">
        <f>IFERROR(__xludf.DUMMYFUNCTION("""COMPUTED_VALUE"""),44706.9992710879)</f>
        <v>44706.99927</v>
      </c>
      <c r="D8595" s="15">
        <f>IFERROR(__xludf.DUMMYFUNCTION("""COMPUTED_VALUE"""),1.031)</f>
        <v>1.031</v>
      </c>
      <c r="E8595" s="16">
        <f>IFERROR(__xludf.DUMMYFUNCTION("""COMPUTED_VALUE"""),68.0)</f>
        <v>68</v>
      </c>
      <c r="F8595" s="19" t="str">
        <f>IFERROR(__xludf.DUMMYFUNCTION("""COMPUTED_VALUE"""),"BLACK")</f>
        <v>BLACK</v>
      </c>
      <c r="G8595" s="20" t="str">
        <f>IFERROR(__xludf.DUMMYFUNCTION("""COMPUTED_VALUE"""),"Uncle Sams Cider (5/13/2022)")</f>
        <v>Uncle Sams Cider (5/13/2022)</v>
      </c>
      <c r="H8595" s="19"/>
    </row>
    <row r="8596">
      <c r="A8596" s="9"/>
      <c r="B8596" s="15"/>
      <c r="C8596" s="9">
        <f>IFERROR(__xludf.DUMMYFUNCTION("""COMPUTED_VALUE"""),44706.9888501388)</f>
        <v>44706.98885</v>
      </c>
      <c r="D8596" s="15">
        <f>IFERROR(__xludf.DUMMYFUNCTION("""COMPUTED_VALUE"""),1.031)</f>
        <v>1.031</v>
      </c>
      <c r="E8596" s="16">
        <f>IFERROR(__xludf.DUMMYFUNCTION("""COMPUTED_VALUE"""),68.0)</f>
        <v>68</v>
      </c>
      <c r="F8596" s="19" t="str">
        <f>IFERROR(__xludf.DUMMYFUNCTION("""COMPUTED_VALUE"""),"BLACK")</f>
        <v>BLACK</v>
      </c>
      <c r="G8596" s="20" t="str">
        <f>IFERROR(__xludf.DUMMYFUNCTION("""COMPUTED_VALUE"""),"Uncle Sams Cider (5/13/2022)")</f>
        <v>Uncle Sams Cider (5/13/2022)</v>
      </c>
      <c r="H8596" s="19"/>
    </row>
    <row r="8597">
      <c r="A8597" s="9"/>
      <c r="B8597" s="15"/>
      <c r="C8597" s="9">
        <f>IFERROR(__xludf.DUMMYFUNCTION("""COMPUTED_VALUE"""),44706.9784306481)</f>
        <v>44706.97843</v>
      </c>
      <c r="D8597" s="15">
        <f>IFERROR(__xludf.DUMMYFUNCTION("""COMPUTED_VALUE"""),1.032)</f>
        <v>1.032</v>
      </c>
      <c r="E8597" s="16">
        <f>IFERROR(__xludf.DUMMYFUNCTION("""COMPUTED_VALUE"""),68.0)</f>
        <v>68</v>
      </c>
      <c r="F8597" s="19" t="str">
        <f>IFERROR(__xludf.DUMMYFUNCTION("""COMPUTED_VALUE"""),"BLACK")</f>
        <v>BLACK</v>
      </c>
      <c r="G8597" s="20" t="str">
        <f>IFERROR(__xludf.DUMMYFUNCTION("""COMPUTED_VALUE"""),"Uncle Sams Cider (5/13/2022)")</f>
        <v>Uncle Sams Cider (5/13/2022)</v>
      </c>
      <c r="H8597" s="19"/>
    </row>
    <row r="8598">
      <c r="A8598" s="9"/>
      <c r="B8598" s="15"/>
      <c r="C8598" s="9">
        <f>IFERROR(__xludf.DUMMYFUNCTION("""COMPUTED_VALUE"""),44706.9680104629)</f>
        <v>44706.96801</v>
      </c>
      <c r="D8598" s="15">
        <f>IFERROR(__xludf.DUMMYFUNCTION("""COMPUTED_VALUE"""),1.031)</f>
        <v>1.031</v>
      </c>
      <c r="E8598" s="16">
        <f>IFERROR(__xludf.DUMMYFUNCTION("""COMPUTED_VALUE"""),68.0)</f>
        <v>68</v>
      </c>
      <c r="F8598" s="19" t="str">
        <f>IFERROR(__xludf.DUMMYFUNCTION("""COMPUTED_VALUE"""),"BLACK")</f>
        <v>BLACK</v>
      </c>
      <c r="G8598" s="20" t="str">
        <f>IFERROR(__xludf.DUMMYFUNCTION("""COMPUTED_VALUE"""),"Uncle Sams Cider (5/13/2022)")</f>
        <v>Uncle Sams Cider (5/13/2022)</v>
      </c>
      <c r="H8598" s="19"/>
    </row>
    <row r="8599">
      <c r="A8599" s="9"/>
      <c r="B8599" s="15"/>
      <c r="C8599" s="9">
        <f>IFERROR(__xludf.DUMMYFUNCTION("""COMPUTED_VALUE"""),44706.957588125)</f>
        <v>44706.95759</v>
      </c>
      <c r="D8599" s="15">
        <f>IFERROR(__xludf.DUMMYFUNCTION("""COMPUTED_VALUE"""),1.031)</f>
        <v>1.031</v>
      </c>
      <c r="E8599" s="16">
        <f>IFERROR(__xludf.DUMMYFUNCTION("""COMPUTED_VALUE"""),67.0)</f>
        <v>67</v>
      </c>
      <c r="F8599" s="19" t="str">
        <f>IFERROR(__xludf.DUMMYFUNCTION("""COMPUTED_VALUE"""),"BLACK")</f>
        <v>BLACK</v>
      </c>
      <c r="G8599" s="20" t="str">
        <f>IFERROR(__xludf.DUMMYFUNCTION("""COMPUTED_VALUE"""),"Uncle Sams Cider (5/13/2022)")</f>
        <v>Uncle Sams Cider (5/13/2022)</v>
      </c>
      <c r="H8599" s="19"/>
    </row>
    <row r="8600">
      <c r="A8600" s="9"/>
      <c r="B8600" s="15"/>
      <c r="C8600" s="9">
        <f>IFERROR(__xludf.DUMMYFUNCTION("""COMPUTED_VALUE"""),44706.9471672106)</f>
        <v>44706.94717</v>
      </c>
      <c r="D8600" s="15">
        <f>IFERROR(__xludf.DUMMYFUNCTION("""COMPUTED_VALUE"""),1.031)</f>
        <v>1.031</v>
      </c>
      <c r="E8600" s="16">
        <f>IFERROR(__xludf.DUMMYFUNCTION("""COMPUTED_VALUE"""),68.0)</f>
        <v>68</v>
      </c>
      <c r="F8600" s="19" t="str">
        <f>IFERROR(__xludf.DUMMYFUNCTION("""COMPUTED_VALUE"""),"BLACK")</f>
        <v>BLACK</v>
      </c>
      <c r="G8600" s="20" t="str">
        <f>IFERROR(__xludf.DUMMYFUNCTION("""COMPUTED_VALUE"""),"Uncle Sams Cider (5/13/2022)")</f>
        <v>Uncle Sams Cider (5/13/2022)</v>
      </c>
      <c r="H8600" s="19"/>
    </row>
    <row r="8601">
      <c r="A8601" s="9"/>
      <c r="B8601" s="15"/>
      <c r="C8601" s="9">
        <f>IFERROR(__xludf.DUMMYFUNCTION("""COMPUTED_VALUE"""),44706.936721875)</f>
        <v>44706.93672</v>
      </c>
      <c r="D8601" s="15">
        <f>IFERROR(__xludf.DUMMYFUNCTION("""COMPUTED_VALUE"""),1.032)</f>
        <v>1.032</v>
      </c>
      <c r="E8601" s="16">
        <f>IFERROR(__xludf.DUMMYFUNCTION("""COMPUTED_VALUE"""),68.0)</f>
        <v>68</v>
      </c>
      <c r="F8601" s="19" t="str">
        <f>IFERROR(__xludf.DUMMYFUNCTION("""COMPUTED_VALUE"""),"BLACK")</f>
        <v>BLACK</v>
      </c>
      <c r="G8601" s="20" t="str">
        <f>IFERROR(__xludf.DUMMYFUNCTION("""COMPUTED_VALUE"""),"Uncle Sams Cider (5/13/2022)")</f>
        <v>Uncle Sams Cider (5/13/2022)</v>
      </c>
      <c r="H8601" s="19"/>
    </row>
    <row r="8602">
      <c r="A8602" s="9"/>
      <c r="B8602" s="15"/>
      <c r="C8602" s="9">
        <f>IFERROR(__xludf.DUMMYFUNCTION("""COMPUTED_VALUE"""),44706.9262853125)</f>
        <v>44706.92629</v>
      </c>
      <c r="D8602" s="15">
        <f>IFERROR(__xludf.DUMMYFUNCTION("""COMPUTED_VALUE"""),1.032)</f>
        <v>1.032</v>
      </c>
      <c r="E8602" s="16">
        <f>IFERROR(__xludf.DUMMYFUNCTION("""COMPUTED_VALUE"""),67.0)</f>
        <v>67</v>
      </c>
      <c r="F8602" s="19" t="str">
        <f>IFERROR(__xludf.DUMMYFUNCTION("""COMPUTED_VALUE"""),"BLACK")</f>
        <v>BLACK</v>
      </c>
      <c r="G8602" s="20" t="str">
        <f>IFERROR(__xludf.DUMMYFUNCTION("""COMPUTED_VALUE"""),"Uncle Sams Cider (5/13/2022)")</f>
        <v>Uncle Sams Cider (5/13/2022)</v>
      </c>
      <c r="H8602" s="19"/>
    </row>
    <row r="8603">
      <c r="A8603" s="9"/>
      <c r="B8603" s="15"/>
      <c r="C8603" s="9">
        <f>IFERROR(__xludf.DUMMYFUNCTION("""COMPUTED_VALUE"""),44706.9158648032)</f>
        <v>44706.91586</v>
      </c>
      <c r="D8603" s="15">
        <f>IFERROR(__xludf.DUMMYFUNCTION("""COMPUTED_VALUE"""),1.032)</f>
        <v>1.032</v>
      </c>
      <c r="E8603" s="16">
        <f>IFERROR(__xludf.DUMMYFUNCTION("""COMPUTED_VALUE"""),67.0)</f>
        <v>67</v>
      </c>
      <c r="F8603" s="19" t="str">
        <f>IFERROR(__xludf.DUMMYFUNCTION("""COMPUTED_VALUE"""),"BLACK")</f>
        <v>BLACK</v>
      </c>
      <c r="G8603" s="20" t="str">
        <f>IFERROR(__xludf.DUMMYFUNCTION("""COMPUTED_VALUE"""),"Uncle Sams Cider (5/13/2022)")</f>
        <v>Uncle Sams Cider (5/13/2022)</v>
      </c>
      <c r="H8603" s="19"/>
    </row>
    <row r="8604">
      <c r="A8604" s="9"/>
      <c r="B8604" s="15"/>
      <c r="C8604" s="9">
        <f>IFERROR(__xludf.DUMMYFUNCTION("""COMPUTED_VALUE"""),44706.9054423495)</f>
        <v>44706.90544</v>
      </c>
      <c r="D8604" s="15">
        <f>IFERROR(__xludf.DUMMYFUNCTION("""COMPUTED_VALUE"""),1.032)</f>
        <v>1.032</v>
      </c>
      <c r="E8604" s="16">
        <f>IFERROR(__xludf.DUMMYFUNCTION("""COMPUTED_VALUE"""),67.0)</f>
        <v>67</v>
      </c>
      <c r="F8604" s="19" t="str">
        <f>IFERROR(__xludf.DUMMYFUNCTION("""COMPUTED_VALUE"""),"BLACK")</f>
        <v>BLACK</v>
      </c>
      <c r="G8604" s="20" t="str">
        <f>IFERROR(__xludf.DUMMYFUNCTION("""COMPUTED_VALUE"""),"Uncle Sams Cider (5/13/2022)")</f>
        <v>Uncle Sams Cider (5/13/2022)</v>
      </c>
      <c r="H8604" s="19"/>
    </row>
    <row r="8605">
      <c r="A8605" s="9"/>
      <c r="B8605" s="15"/>
      <c r="C8605" s="9">
        <f>IFERROR(__xludf.DUMMYFUNCTION("""COMPUTED_VALUE"""),44706.8949960879)</f>
        <v>44706.895</v>
      </c>
      <c r="D8605" s="15">
        <f>IFERROR(__xludf.DUMMYFUNCTION("""COMPUTED_VALUE"""),1.032)</f>
        <v>1.032</v>
      </c>
      <c r="E8605" s="16">
        <f>IFERROR(__xludf.DUMMYFUNCTION("""COMPUTED_VALUE"""),67.0)</f>
        <v>67</v>
      </c>
      <c r="F8605" s="19" t="str">
        <f>IFERROR(__xludf.DUMMYFUNCTION("""COMPUTED_VALUE"""),"BLACK")</f>
        <v>BLACK</v>
      </c>
      <c r="G8605" s="20" t="str">
        <f>IFERROR(__xludf.DUMMYFUNCTION("""COMPUTED_VALUE"""),"Uncle Sams Cider (5/13/2022)")</f>
        <v>Uncle Sams Cider (5/13/2022)</v>
      </c>
      <c r="H8605" s="19"/>
    </row>
    <row r="8606">
      <c r="A8606" s="9"/>
      <c r="B8606" s="15"/>
      <c r="C8606" s="9">
        <f>IFERROR(__xludf.DUMMYFUNCTION("""COMPUTED_VALUE"""),44706.8845626273)</f>
        <v>44706.88456</v>
      </c>
      <c r="D8606" s="15">
        <f>IFERROR(__xludf.DUMMYFUNCTION("""COMPUTED_VALUE"""),1.032)</f>
        <v>1.032</v>
      </c>
      <c r="E8606" s="16">
        <f>IFERROR(__xludf.DUMMYFUNCTION("""COMPUTED_VALUE"""),68.0)</f>
        <v>68</v>
      </c>
      <c r="F8606" s="19" t="str">
        <f>IFERROR(__xludf.DUMMYFUNCTION("""COMPUTED_VALUE"""),"BLACK")</f>
        <v>BLACK</v>
      </c>
      <c r="G8606" s="20" t="str">
        <f>IFERROR(__xludf.DUMMYFUNCTION("""COMPUTED_VALUE"""),"Uncle Sams Cider (5/13/2022)")</f>
        <v>Uncle Sams Cider (5/13/2022)</v>
      </c>
      <c r="H8606" s="19"/>
    </row>
    <row r="8607">
      <c r="A8607" s="9"/>
      <c r="B8607" s="15"/>
      <c r="C8607" s="9">
        <f>IFERROR(__xludf.DUMMYFUNCTION("""COMPUTED_VALUE"""),44706.8741408217)</f>
        <v>44706.87414</v>
      </c>
      <c r="D8607" s="15">
        <f>IFERROR(__xludf.DUMMYFUNCTION("""COMPUTED_VALUE"""),1.032)</f>
        <v>1.032</v>
      </c>
      <c r="E8607" s="16">
        <f>IFERROR(__xludf.DUMMYFUNCTION("""COMPUTED_VALUE"""),67.0)</f>
        <v>67</v>
      </c>
      <c r="F8607" s="19" t="str">
        <f>IFERROR(__xludf.DUMMYFUNCTION("""COMPUTED_VALUE"""),"BLACK")</f>
        <v>BLACK</v>
      </c>
      <c r="G8607" s="20" t="str">
        <f>IFERROR(__xludf.DUMMYFUNCTION("""COMPUTED_VALUE"""),"Uncle Sams Cider (5/13/2022)")</f>
        <v>Uncle Sams Cider (5/13/2022)</v>
      </c>
      <c r="H8607" s="19"/>
    </row>
    <row r="8608">
      <c r="A8608" s="9"/>
      <c r="B8608" s="15"/>
      <c r="C8608" s="9">
        <f>IFERROR(__xludf.DUMMYFUNCTION("""COMPUTED_VALUE"""),44706.8637189351)</f>
        <v>44706.86372</v>
      </c>
      <c r="D8608" s="15">
        <f>IFERROR(__xludf.DUMMYFUNCTION("""COMPUTED_VALUE"""),1.032)</f>
        <v>1.032</v>
      </c>
      <c r="E8608" s="16">
        <f>IFERROR(__xludf.DUMMYFUNCTION("""COMPUTED_VALUE"""),67.0)</f>
        <v>67</v>
      </c>
      <c r="F8608" s="19" t="str">
        <f>IFERROR(__xludf.DUMMYFUNCTION("""COMPUTED_VALUE"""),"BLACK")</f>
        <v>BLACK</v>
      </c>
      <c r="G8608" s="20" t="str">
        <f>IFERROR(__xludf.DUMMYFUNCTION("""COMPUTED_VALUE"""),"Uncle Sams Cider (5/13/2022)")</f>
        <v>Uncle Sams Cider (5/13/2022)</v>
      </c>
      <c r="H8608" s="19"/>
    </row>
    <row r="8609">
      <c r="A8609" s="9"/>
      <c r="B8609" s="15"/>
      <c r="C8609" s="9">
        <f>IFERROR(__xludf.DUMMYFUNCTION("""COMPUTED_VALUE"""),44706.8532972222)</f>
        <v>44706.8533</v>
      </c>
      <c r="D8609" s="15">
        <f>IFERROR(__xludf.DUMMYFUNCTION("""COMPUTED_VALUE"""),1.032)</f>
        <v>1.032</v>
      </c>
      <c r="E8609" s="16">
        <f>IFERROR(__xludf.DUMMYFUNCTION("""COMPUTED_VALUE"""),67.0)</f>
        <v>67</v>
      </c>
      <c r="F8609" s="19" t="str">
        <f>IFERROR(__xludf.DUMMYFUNCTION("""COMPUTED_VALUE"""),"BLACK")</f>
        <v>BLACK</v>
      </c>
      <c r="G8609" s="20" t="str">
        <f>IFERROR(__xludf.DUMMYFUNCTION("""COMPUTED_VALUE"""),"Uncle Sams Cider (5/13/2022)")</f>
        <v>Uncle Sams Cider (5/13/2022)</v>
      </c>
      <c r="H8609" s="19"/>
    </row>
    <row r="8610">
      <c r="A8610" s="9"/>
      <c r="B8610" s="15"/>
      <c r="C8610" s="9">
        <f>IFERROR(__xludf.DUMMYFUNCTION("""COMPUTED_VALUE"""),44706.8428750925)</f>
        <v>44706.84288</v>
      </c>
      <c r="D8610" s="15">
        <f>IFERROR(__xludf.DUMMYFUNCTION("""COMPUTED_VALUE"""),1.032)</f>
        <v>1.032</v>
      </c>
      <c r="E8610" s="16">
        <f>IFERROR(__xludf.DUMMYFUNCTION("""COMPUTED_VALUE"""),67.0)</f>
        <v>67</v>
      </c>
      <c r="F8610" s="19" t="str">
        <f>IFERROR(__xludf.DUMMYFUNCTION("""COMPUTED_VALUE"""),"BLACK")</f>
        <v>BLACK</v>
      </c>
      <c r="G8610" s="20" t="str">
        <f>IFERROR(__xludf.DUMMYFUNCTION("""COMPUTED_VALUE"""),"Uncle Sams Cider (5/13/2022)")</f>
        <v>Uncle Sams Cider (5/13/2022)</v>
      </c>
      <c r="H8610" s="19"/>
    </row>
    <row r="8611">
      <c r="A8611" s="9"/>
      <c r="B8611" s="15"/>
      <c r="C8611" s="9">
        <f>IFERROR(__xludf.DUMMYFUNCTION("""COMPUTED_VALUE"""),44706.8324537152)</f>
        <v>44706.83245</v>
      </c>
      <c r="D8611" s="15">
        <f>IFERROR(__xludf.DUMMYFUNCTION("""COMPUTED_VALUE"""),1.032)</f>
        <v>1.032</v>
      </c>
      <c r="E8611" s="16">
        <f>IFERROR(__xludf.DUMMYFUNCTION("""COMPUTED_VALUE"""),67.0)</f>
        <v>67</v>
      </c>
      <c r="F8611" s="19" t="str">
        <f>IFERROR(__xludf.DUMMYFUNCTION("""COMPUTED_VALUE"""),"BLACK")</f>
        <v>BLACK</v>
      </c>
      <c r="G8611" s="20" t="str">
        <f>IFERROR(__xludf.DUMMYFUNCTION("""COMPUTED_VALUE"""),"Uncle Sams Cider (5/13/2022)")</f>
        <v>Uncle Sams Cider (5/13/2022)</v>
      </c>
      <c r="H8611" s="19"/>
    </row>
    <row r="8612">
      <c r="A8612" s="9"/>
      <c r="B8612" s="15"/>
      <c r="C8612" s="9">
        <f>IFERROR(__xludf.DUMMYFUNCTION("""COMPUTED_VALUE"""),44706.8220226504)</f>
        <v>44706.82202</v>
      </c>
      <c r="D8612" s="15">
        <f>IFERROR(__xludf.DUMMYFUNCTION("""COMPUTED_VALUE"""),1.032)</f>
        <v>1.032</v>
      </c>
      <c r="E8612" s="16">
        <f>IFERROR(__xludf.DUMMYFUNCTION("""COMPUTED_VALUE"""),67.0)</f>
        <v>67</v>
      </c>
      <c r="F8612" s="19" t="str">
        <f>IFERROR(__xludf.DUMMYFUNCTION("""COMPUTED_VALUE"""),"BLACK")</f>
        <v>BLACK</v>
      </c>
      <c r="G8612" s="20" t="str">
        <f>IFERROR(__xludf.DUMMYFUNCTION("""COMPUTED_VALUE"""),"Uncle Sams Cider (5/13/2022)")</f>
        <v>Uncle Sams Cider (5/13/2022)</v>
      </c>
      <c r="H8612" s="19"/>
    </row>
    <row r="8613">
      <c r="A8613" s="9"/>
      <c r="B8613" s="15"/>
      <c r="C8613" s="9">
        <f>IFERROR(__xludf.DUMMYFUNCTION("""COMPUTED_VALUE"""),44706.8115901388)</f>
        <v>44706.81159</v>
      </c>
      <c r="D8613" s="15">
        <f>IFERROR(__xludf.DUMMYFUNCTION("""COMPUTED_VALUE"""),1.032)</f>
        <v>1.032</v>
      </c>
      <c r="E8613" s="16">
        <f>IFERROR(__xludf.DUMMYFUNCTION("""COMPUTED_VALUE"""),67.0)</f>
        <v>67</v>
      </c>
      <c r="F8613" s="19" t="str">
        <f>IFERROR(__xludf.DUMMYFUNCTION("""COMPUTED_VALUE"""),"BLACK")</f>
        <v>BLACK</v>
      </c>
      <c r="G8613" s="20" t="str">
        <f>IFERROR(__xludf.DUMMYFUNCTION("""COMPUTED_VALUE"""),"Uncle Sams Cider (5/13/2022)")</f>
        <v>Uncle Sams Cider (5/13/2022)</v>
      </c>
      <c r="H8613" s="19"/>
    </row>
    <row r="8614">
      <c r="A8614" s="9"/>
      <c r="B8614" s="15"/>
      <c r="C8614" s="9">
        <f>IFERROR(__xludf.DUMMYFUNCTION("""COMPUTED_VALUE"""),44706.8011695254)</f>
        <v>44706.80117</v>
      </c>
      <c r="D8614" s="15">
        <f>IFERROR(__xludf.DUMMYFUNCTION("""COMPUTED_VALUE"""),1.032)</f>
        <v>1.032</v>
      </c>
      <c r="E8614" s="16">
        <f>IFERROR(__xludf.DUMMYFUNCTION("""COMPUTED_VALUE"""),67.0)</f>
        <v>67</v>
      </c>
      <c r="F8614" s="19" t="str">
        <f>IFERROR(__xludf.DUMMYFUNCTION("""COMPUTED_VALUE"""),"BLACK")</f>
        <v>BLACK</v>
      </c>
      <c r="G8614" s="20" t="str">
        <f>IFERROR(__xludf.DUMMYFUNCTION("""COMPUTED_VALUE"""),"Uncle Sams Cider (5/13/2022)")</f>
        <v>Uncle Sams Cider (5/13/2022)</v>
      </c>
      <c r="H8614" s="19"/>
    </row>
    <row r="8615">
      <c r="A8615" s="9"/>
      <c r="B8615" s="15"/>
      <c r="C8615" s="9">
        <f>IFERROR(__xludf.DUMMYFUNCTION("""COMPUTED_VALUE"""),44706.7907465277)</f>
        <v>44706.79075</v>
      </c>
      <c r="D8615" s="15">
        <f>IFERROR(__xludf.DUMMYFUNCTION("""COMPUTED_VALUE"""),1.032)</f>
        <v>1.032</v>
      </c>
      <c r="E8615" s="16">
        <f>IFERROR(__xludf.DUMMYFUNCTION("""COMPUTED_VALUE"""),67.0)</f>
        <v>67</v>
      </c>
      <c r="F8615" s="19" t="str">
        <f>IFERROR(__xludf.DUMMYFUNCTION("""COMPUTED_VALUE"""),"BLACK")</f>
        <v>BLACK</v>
      </c>
      <c r="G8615" s="20" t="str">
        <f>IFERROR(__xludf.DUMMYFUNCTION("""COMPUTED_VALUE"""),"Uncle Sams Cider (5/13/2022)")</f>
        <v>Uncle Sams Cider (5/13/2022)</v>
      </c>
      <c r="H8615" s="19"/>
    </row>
    <row r="8616">
      <c r="A8616" s="9"/>
      <c r="B8616" s="15"/>
      <c r="C8616" s="9">
        <f>IFERROR(__xludf.DUMMYFUNCTION("""COMPUTED_VALUE"""),44706.780326331)</f>
        <v>44706.78033</v>
      </c>
      <c r="D8616" s="15">
        <f>IFERROR(__xludf.DUMMYFUNCTION("""COMPUTED_VALUE"""),1.032)</f>
        <v>1.032</v>
      </c>
      <c r="E8616" s="16">
        <f>IFERROR(__xludf.DUMMYFUNCTION("""COMPUTED_VALUE"""),67.0)</f>
        <v>67</v>
      </c>
      <c r="F8616" s="19" t="str">
        <f>IFERROR(__xludf.DUMMYFUNCTION("""COMPUTED_VALUE"""),"BLACK")</f>
        <v>BLACK</v>
      </c>
      <c r="G8616" s="20" t="str">
        <f>IFERROR(__xludf.DUMMYFUNCTION("""COMPUTED_VALUE"""),"Uncle Sams Cider (5/13/2022)")</f>
        <v>Uncle Sams Cider (5/13/2022)</v>
      </c>
      <c r="H8616" s="19"/>
    </row>
    <row r="8617">
      <c r="A8617" s="9"/>
      <c r="B8617" s="15"/>
      <c r="C8617" s="9">
        <f>IFERROR(__xludf.DUMMYFUNCTION("""COMPUTED_VALUE"""),44706.7699050231)</f>
        <v>44706.76991</v>
      </c>
      <c r="D8617" s="15">
        <f>IFERROR(__xludf.DUMMYFUNCTION("""COMPUTED_VALUE"""),1.032)</f>
        <v>1.032</v>
      </c>
      <c r="E8617" s="16">
        <f>IFERROR(__xludf.DUMMYFUNCTION("""COMPUTED_VALUE"""),67.0)</f>
        <v>67</v>
      </c>
      <c r="F8617" s="19" t="str">
        <f>IFERROR(__xludf.DUMMYFUNCTION("""COMPUTED_VALUE"""),"BLACK")</f>
        <v>BLACK</v>
      </c>
      <c r="G8617" s="20" t="str">
        <f>IFERROR(__xludf.DUMMYFUNCTION("""COMPUTED_VALUE"""),"Uncle Sams Cider (5/13/2022)")</f>
        <v>Uncle Sams Cider (5/13/2022)</v>
      </c>
      <c r="H8617" s="19"/>
    </row>
    <row r="8618">
      <c r="A8618" s="9"/>
      <c r="B8618" s="15"/>
      <c r="C8618" s="9">
        <f>IFERROR(__xludf.DUMMYFUNCTION("""COMPUTED_VALUE"""),44706.7594744791)</f>
        <v>44706.75947</v>
      </c>
      <c r="D8618" s="15">
        <f>IFERROR(__xludf.DUMMYFUNCTION("""COMPUTED_VALUE"""),1.032)</f>
        <v>1.032</v>
      </c>
      <c r="E8618" s="16">
        <f>IFERROR(__xludf.DUMMYFUNCTION("""COMPUTED_VALUE"""),67.0)</f>
        <v>67</v>
      </c>
      <c r="F8618" s="19" t="str">
        <f>IFERROR(__xludf.DUMMYFUNCTION("""COMPUTED_VALUE"""),"BLACK")</f>
        <v>BLACK</v>
      </c>
      <c r="G8618" s="20" t="str">
        <f>IFERROR(__xludf.DUMMYFUNCTION("""COMPUTED_VALUE"""),"Uncle Sams Cider (5/13/2022)")</f>
        <v>Uncle Sams Cider (5/13/2022)</v>
      </c>
      <c r="H8618" s="19"/>
    </row>
    <row r="8619">
      <c r="A8619" s="9"/>
      <c r="B8619" s="15"/>
      <c r="C8619" s="9">
        <f>IFERROR(__xludf.DUMMYFUNCTION("""COMPUTED_VALUE"""),44706.7490525463)</f>
        <v>44706.74905</v>
      </c>
      <c r="D8619" s="15">
        <f>IFERROR(__xludf.DUMMYFUNCTION("""COMPUTED_VALUE"""),1.032)</f>
        <v>1.032</v>
      </c>
      <c r="E8619" s="16">
        <f>IFERROR(__xludf.DUMMYFUNCTION("""COMPUTED_VALUE"""),67.0)</f>
        <v>67</v>
      </c>
      <c r="F8619" s="19" t="str">
        <f>IFERROR(__xludf.DUMMYFUNCTION("""COMPUTED_VALUE"""),"BLACK")</f>
        <v>BLACK</v>
      </c>
      <c r="G8619" s="20" t="str">
        <f>IFERROR(__xludf.DUMMYFUNCTION("""COMPUTED_VALUE"""),"Uncle Sams Cider (5/13/2022)")</f>
        <v>Uncle Sams Cider (5/13/2022)</v>
      </c>
      <c r="H8619" s="19"/>
    </row>
    <row r="8620">
      <c r="A8620" s="9"/>
      <c r="B8620" s="15"/>
      <c r="C8620" s="9">
        <f>IFERROR(__xludf.DUMMYFUNCTION("""COMPUTED_VALUE"""),44706.7386316782)</f>
        <v>44706.73863</v>
      </c>
      <c r="D8620" s="15">
        <f>IFERROR(__xludf.DUMMYFUNCTION("""COMPUTED_VALUE"""),1.032)</f>
        <v>1.032</v>
      </c>
      <c r="E8620" s="16">
        <f>IFERROR(__xludf.DUMMYFUNCTION("""COMPUTED_VALUE"""),67.0)</f>
        <v>67</v>
      </c>
      <c r="F8620" s="19" t="str">
        <f>IFERROR(__xludf.DUMMYFUNCTION("""COMPUTED_VALUE"""),"BLACK")</f>
        <v>BLACK</v>
      </c>
      <c r="G8620" s="20" t="str">
        <f>IFERROR(__xludf.DUMMYFUNCTION("""COMPUTED_VALUE"""),"Uncle Sams Cider (5/13/2022)")</f>
        <v>Uncle Sams Cider (5/13/2022)</v>
      </c>
      <c r="H8620" s="19"/>
    </row>
    <row r="8621">
      <c r="A8621" s="9"/>
      <c r="B8621" s="15"/>
      <c r="C8621" s="9">
        <f>IFERROR(__xludf.DUMMYFUNCTION("""COMPUTED_VALUE"""),44706.728198912)</f>
        <v>44706.7282</v>
      </c>
      <c r="D8621" s="15">
        <f>IFERROR(__xludf.DUMMYFUNCTION("""COMPUTED_VALUE"""),1.032)</f>
        <v>1.032</v>
      </c>
      <c r="E8621" s="16">
        <f>IFERROR(__xludf.DUMMYFUNCTION("""COMPUTED_VALUE"""),67.0)</f>
        <v>67</v>
      </c>
      <c r="F8621" s="19" t="str">
        <f>IFERROR(__xludf.DUMMYFUNCTION("""COMPUTED_VALUE"""),"BLACK")</f>
        <v>BLACK</v>
      </c>
      <c r="G8621" s="20" t="str">
        <f>IFERROR(__xludf.DUMMYFUNCTION("""COMPUTED_VALUE"""),"Uncle Sams Cider (5/13/2022)")</f>
        <v>Uncle Sams Cider (5/13/2022)</v>
      </c>
      <c r="H8621" s="19"/>
    </row>
    <row r="8622">
      <c r="A8622" s="9"/>
      <c r="B8622" s="15"/>
      <c r="C8622" s="9">
        <f>IFERROR(__xludf.DUMMYFUNCTION("""COMPUTED_VALUE"""),44706.7177793287)</f>
        <v>44706.71778</v>
      </c>
      <c r="D8622" s="15">
        <f>IFERROR(__xludf.DUMMYFUNCTION("""COMPUTED_VALUE"""),1.032)</f>
        <v>1.032</v>
      </c>
      <c r="E8622" s="16">
        <f>IFERROR(__xludf.DUMMYFUNCTION("""COMPUTED_VALUE"""),67.0)</f>
        <v>67</v>
      </c>
      <c r="F8622" s="19" t="str">
        <f>IFERROR(__xludf.DUMMYFUNCTION("""COMPUTED_VALUE"""),"BLACK")</f>
        <v>BLACK</v>
      </c>
      <c r="G8622" s="20" t="str">
        <f>IFERROR(__xludf.DUMMYFUNCTION("""COMPUTED_VALUE"""),"Uncle Sams Cider (5/13/2022)")</f>
        <v>Uncle Sams Cider (5/13/2022)</v>
      </c>
      <c r="H8622" s="19"/>
    </row>
    <row r="8623">
      <c r="A8623" s="9"/>
      <c r="B8623" s="15"/>
      <c r="C8623" s="9">
        <f>IFERROR(__xludf.DUMMYFUNCTION("""COMPUTED_VALUE"""),44706.7073472338)</f>
        <v>44706.70735</v>
      </c>
      <c r="D8623" s="15">
        <f>IFERROR(__xludf.DUMMYFUNCTION("""COMPUTED_VALUE"""),1.032)</f>
        <v>1.032</v>
      </c>
      <c r="E8623" s="16">
        <f>IFERROR(__xludf.DUMMYFUNCTION("""COMPUTED_VALUE"""),67.0)</f>
        <v>67</v>
      </c>
      <c r="F8623" s="19" t="str">
        <f>IFERROR(__xludf.DUMMYFUNCTION("""COMPUTED_VALUE"""),"BLACK")</f>
        <v>BLACK</v>
      </c>
      <c r="G8623" s="20" t="str">
        <f>IFERROR(__xludf.DUMMYFUNCTION("""COMPUTED_VALUE"""),"Uncle Sams Cider (5/13/2022)")</f>
        <v>Uncle Sams Cider (5/13/2022)</v>
      </c>
      <c r="H8623" s="19"/>
    </row>
    <row r="8624">
      <c r="A8624" s="9"/>
      <c r="B8624" s="15"/>
      <c r="C8624" s="9">
        <f>IFERROR(__xludf.DUMMYFUNCTION("""COMPUTED_VALUE"""),44706.6969012152)</f>
        <v>44706.6969</v>
      </c>
      <c r="D8624" s="15">
        <f>IFERROR(__xludf.DUMMYFUNCTION("""COMPUTED_VALUE"""),1.032)</f>
        <v>1.032</v>
      </c>
      <c r="E8624" s="16">
        <f>IFERROR(__xludf.DUMMYFUNCTION("""COMPUTED_VALUE"""),67.0)</f>
        <v>67</v>
      </c>
      <c r="F8624" s="19" t="str">
        <f>IFERROR(__xludf.DUMMYFUNCTION("""COMPUTED_VALUE"""),"BLACK")</f>
        <v>BLACK</v>
      </c>
      <c r="G8624" s="20" t="str">
        <f>IFERROR(__xludf.DUMMYFUNCTION("""COMPUTED_VALUE"""),"Uncle Sams Cider (5/13/2022)")</f>
        <v>Uncle Sams Cider (5/13/2022)</v>
      </c>
      <c r="H8624" s="19"/>
    </row>
    <row r="8625">
      <c r="A8625" s="9"/>
      <c r="B8625" s="15"/>
      <c r="C8625" s="9">
        <f>IFERROR(__xludf.DUMMYFUNCTION("""COMPUTED_VALUE"""),44706.6864792592)</f>
        <v>44706.68648</v>
      </c>
      <c r="D8625" s="15">
        <f>IFERROR(__xludf.DUMMYFUNCTION("""COMPUTED_VALUE"""),1.032)</f>
        <v>1.032</v>
      </c>
      <c r="E8625" s="16">
        <f>IFERROR(__xludf.DUMMYFUNCTION("""COMPUTED_VALUE"""),67.0)</f>
        <v>67</v>
      </c>
      <c r="F8625" s="19" t="str">
        <f>IFERROR(__xludf.DUMMYFUNCTION("""COMPUTED_VALUE"""),"BLACK")</f>
        <v>BLACK</v>
      </c>
      <c r="G8625" s="20" t="str">
        <f>IFERROR(__xludf.DUMMYFUNCTION("""COMPUTED_VALUE"""),"Uncle Sams Cider (5/13/2022)")</f>
        <v>Uncle Sams Cider (5/13/2022)</v>
      </c>
      <c r="H8625" s="19"/>
    </row>
    <row r="8626">
      <c r="A8626" s="9"/>
      <c r="B8626" s="15"/>
      <c r="C8626" s="9">
        <f>IFERROR(__xludf.DUMMYFUNCTION("""COMPUTED_VALUE"""),44706.6760584143)</f>
        <v>44706.67606</v>
      </c>
      <c r="D8626" s="15">
        <f>IFERROR(__xludf.DUMMYFUNCTION("""COMPUTED_VALUE"""),1.032)</f>
        <v>1.032</v>
      </c>
      <c r="E8626" s="16">
        <f>IFERROR(__xludf.DUMMYFUNCTION("""COMPUTED_VALUE"""),67.0)</f>
        <v>67</v>
      </c>
      <c r="F8626" s="19" t="str">
        <f>IFERROR(__xludf.DUMMYFUNCTION("""COMPUTED_VALUE"""),"BLACK")</f>
        <v>BLACK</v>
      </c>
      <c r="G8626" s="20" t="str">
        <f>IFERROR(__xludf.DUMMYFUNCTION("""COMPUTED_VALUE"""),"Uncle Sams Cider (5/13/2022)")</f>
        <v>Uncle Sams Cider (5/13/2022)</v>
      </c>
      <c r="H8626" s="19"/>
    </row>
    <row r="8627">
      <c r="A8627" s="9"/>
      <c r="B8627" s="15"/>
      <c r="C8627" s="9">
        <f>IFERROR(__xludf.DUMMYFUNCTION("""COMPUTED_VALUE"""),44706.6656382754)</f>
        <v>44706.66564</v>
      </c>
      <c r="D8627" s="15">
        <f>IFERROR(__xludf.DUMMYFUNCTION("""COMPUTED_VALUE"""),1.032)</f>
        <v>1.032</v>
      </c>
      <c r="E8627" s="16">
        <f>IFERROR(__xludf.DUMMYFUNCTION("""COMPUTED_VALUE"""),67.0)</f>
        <v>67</v>
      </c>
      <c r="F8627" s="19" t="str">
        <f>IFERROR(__xludf.DUMMYFUNCTION("""COMPUTED_VALUE"""),"BLACK")</f>
        <v>BLACK</v>
      </c>
      <c r="G8627" s="20" t="str">
        <f>IFERROR(__xludf.DUMMYFUNCTION("""COMPUTED_VALUE"""),"Uncle Sams Cider (5/13/2022)")</f>
        <v>Uncle Sams Cider (5/13/2022)</v>
      </c>
      <c r="H8627" s="19"/>
    </row>
    <row r="8628">
      <c r="A8628" s="9"/>
      <c r="B8628" s="15"/>
      <c r="C8628" s="9">
        <f>IFERROR(__xludf.DUMMYFUNCTION("""COMPUTED_VALUE"""),44706.6552177314)</f>
        <v>44706.65522</v>
      </c>
      <c r="D8628" s="15">
        <f>IFERROR(__xludf.DUMMYFUNCTION("""COMPUTED_VALUE"""),1.032)</f>
        <v>1.032</v>
      </c>
      <c r="E8628" s="16">
        <f>IFERROR(__xludf.DUMMYFUNCTION("""COMPUTED_VALUE"""),67.0)</f>
        <v>67</v>
      </c>
      <c r="F8628" s="19" t="str">
        <f>IFERROR(__xludf.DUMMYFUNCTION("""COMPUTED_VALUE"""),"BLACK")</f>
        <v>BLACK</v>
      </c>
      <c r="G8628" s="20" t="str">
        <f>IFERROR(__xludf.DUMMYFUNCTION("""COMPUTED_VALUE"""),"Uncle Sams Cider (5/13/2022)")</f>
        <v>Uncle Sams Cider (5/13/2022)</v>
      </c>
      <c r="H8628" s="19"/>
    </row>
    <row r="8629">
      <c r="A8629" s="9"/>
      <c r="B8629" s="15"/>
      <c r="C8629" s="9">
        <f>IFERROR(__xludf.DUMMYFUNCTION("""COMPUTED_VALUE"""),44706.6447958333)</f>
        <v>44706.6448</v>
      </c>
      <c r="D8629" s="15">
        <f>IFERROR(__xludf.DUMMYFUNCTION("""COMPUTED_VALUE"""),1.032)</f>
        <v>1.032</v>
      </c>
      <c r="E8629" s="16">
        <f>IFERROR(__xludf.DUMMYFUNCTION("""COMPUTED_VALUE"""),67.0)</f>
        <v>67</v>
      </c>
      <c r="F8629" s="19" t="str">
        <f>IFERROR(__xludf.DUMMYFUNCTION("""COMPUTED_VALUE"""),"BLACK")</f>
        <v>BLACK</v>
      </c>
      <c r="G8629" s="20" t="str">
        <f>IFERROR(__xludf.DUMMYFUNCTION("""COMPUTED_VALUE"""),"Uncle Sams Cider (5/13/2022)")</f>
        <v>Uncle Sams Cider (5/13/2022)</v>
      </c>
      <c r="H8629" s="19"/>
    </row>
    <row r="8630">
      <c r="A8630" s="9"/>
      <c r="B8630" s="15"/>
      <c r="C8630" s="9">
        <f>IFERROR(__xludf.DUMMYFUNCTION("""COMPUTED_VALUE"""),44706.6343746875)</f>
        <v>44706.63437</v>
      </c>
      <c r="D8630" s="15">
        <f>IFERROR(__xludf.DUMMYFUNCTION("""COMPUTED_VALUE"""),1.033)</f>
        <v>1.033</v>
      </c>
      <c r="E8630" s="16">
        <f>IFERROR(__xludf.DUMMYFUNCTION("""COMPUTED_VALUE"""),67.0)</f>
        <v>67</v>
      </c>
      <c r="F8630" s="19" t="str">
        <f>IFERROR(__xludf.DUMMYFUNCTION("""COMPUTED_VALUE"""),"BLACK")</f>
        <v>BLACK</v>
      </c>
      <c r="G8630" s="20" t="str">
        <f>IFERROR(__xludf.DUMMYFUNCTION("""COMPUTED_VALUE"""),"Uncle Sams Cider (5/13/2022)")</f>
        <v>Uncle Sams Cider (5/13/2022)</v>
      </c>
      <c r="H8630" s="19"/>
    </row>
    <row r="8631">
      <c r="A8631" s="9"/>
      <c r="B8631" s="15"/>
      <c r="C8631" s="9">
        <f>IFERROR(__xludf.DUMMYFUNCTION("""COMPUTED_VALUE"""),44706.623953993)</f>
        <v>44706.62395</v>
      </c>
      <c r="D8631" s="15">
        <f>IFERROR(__xludf.DUMMYFUNCTION("""COMPUTED_VALUE"""),1.033)</f>
        <v>1.033</v>
      </c>
      <c r="E8631" s="16">
        <f>IFERROR(__xludf.DUMMYFUNCTION("""COMPUTED_VALUE"""),67.0)</f>
        <v>67</v>
      </c>
      <c r="F8631" s="19" t="str">
        <f>IFERROR(__xludf.DUMMYFUNCTION("""COMPUTED_VALUE"""),"BLACK")</f>
        <v>BLACK</v>
      </c>
      <c r="G8631" s="20" t="str">
        <f>IFERROR(__xludf.DUMMYFUNCTION("""COMPUTED_VALUE"""),"Uncle Sams Cider (5/13/2022)")</f>
        <v>Uncle Sams Cider (5/13/2022)</v>
      </c>
      <c r="H8631" s="19"/>
    </row>
    <row r="8632">
      <c r="A8632" s="9"/>
      <c r="B8632" s="15"/>
      <c r="C8632" s="9">
        <f>IFERROR(__xludf.DUMMYFUNCTION("""COMPUTED_VALUE"""),44706.6135324421)</f>
        <v>44706.61353</v>
      </c>
      <c r="D8632" s="15">
        <f>IFERROR(__xludf.DUMMYFUNCTION("""COMPUTED_VALUE"""),1.033)</f>
        <v>1.033</v>
      </c>
      <c r="E8632" s="16">
        <f>IFERROR(__xludf.DUMMYFUNCTION("""COMPUTED_VALUE"""),67.0)</f>
        <v>67</v>
      </c>
      <c r="F8632" s="19" t="str">
        <f>IFERROR(__xludf.DUMMYFUNCTION("""COMPUTED_VALUE"""),"BLACK")</f>
        <v>BLACK</v>
      </c>
      <c r="G8632" s="20" t="str">
        <f>IFERROR(__xludf.DUMMYFUNCTION("""COMPUTED_VALUE"""),"Uncle Sams Cider (5/13/2022)")</f>
        <v>Uncle Sams Cider (5/13/2022)</v>
      </c>
      <c r="H8632" s="19"/>
    </row>
    <row r="8633">
      <c r="A8633" s="9"/>
      <c r="B8633" s="15"/>
      <c r="C8633" s="9">
        <f>IFERROR(__xludf.DUMMYFUNCTION("""COMPUTED_VALUE"""),44706.6030895138)</f>
        <v>44706.60309</v>
      </c>
      <c r="D8633" s="15">
        <f>IFERROR(__xludf.DUMMYFUNCTION("""COMPUTED_VALUE"""),1.033)</f>
        <v>1.033</v>
      </c>
      <c r="E8633" s="16">
        <f>IFERROR(__xludf.DUMMYFUNCTION("""COMPUTED_VALUE"""),67.0)</f>
        <v>67</v>
      </c>
      <c r="F8633" s="19" t="str">
        <f>IFERROR(__xludf.DUMMYFUNCTION("""COMPUTED_VALUE"""),"BLACK")</f>
        <v>BLACK</v>
      </c>
      <c r="G8633" s="20" t="str">
        <f>IFERROR(__xludf.DUMMYFUNCTION("""COMPUTED_VALUE"""),"Uncle Sams Cider (5/13/2022)")</f>
        <v>Uncle Sams Cider (5/13/2022)</v>
      </c>
      <c r="H8633" s="19"/>
    </row>
    <row r="8634">
      <c r="A8634" s="9"/>
      <c r="B8634" s="15"/>
      <c r="C8634" s="9">
        <f>IFERROR(__xludf.DUMMYFUNCTION("""COMPUTED_VALUE"""),44706.5926700347)</f>
        <v>44706.59267</v>
      </c>
      <c r="D8634" s="15">
        <f>IFERROR(__xludf.DUMMYFUNCTION("""COMPUTED_VALUE"""),1.033)</f>
        <v>1.033</v>
      </c>
      <c r="E8634" s="16">
        <f>IFERROR(__xludf.DUMMYFUNCTION("""COMPUTED_VALUE"""),67.0)</f>
        <v>67</v>
      </c>
      <c r="F8634" s="19" t="str">
        <f>IFERROR(__xludf.DUMMYFUNCTION("""COMPUTED_VALUE"""),"BLACK")</f>
        <v>BLACK</v>
      </c>
      <c r="G8634" s="20" t="str">
        <f>IFERROR(__xludf.DUMMYFUNCTION("""COMPUTED_VALUE"""),"Uncle Sams Cider (5/13/2022)")</f>
        <v>Uncle Sams Cider (5/13/2022)</v>
      </c>
      <c r="H8634" s="19"/>
    </row>
    <row r="8635">
      <c r="A8635" s="9"/>
      <c r="B8635" s="15"/>
      <c r="C8635" s="9">
        <f>IFERROR(__xludf.DUMMYFUNCTION("""COMPUTED_VALUE"""),44706.5822492476)</f>
        <v>44706.58225</v>
      </c>
      <c r="D8635" s="15">
        <f>IFERROR(__xludf.DUMMYFUNCTION("""COMPUTED_VALUE"""),1.033)</f>
        <v>1.033</v>
      </c>
      <c r="E8635" s="16">
        <f>IFERROR(__xludf.DUMMYFUNCTION("""COMPUTED_VALUE"""),67.0)</f>
        <v>67</v>
      </c>
      <c r="F8635" s="19" t="str">
        <f>IFERROR(__xludf.DUMMYFUNCTION("""COMPUTED_VALUE"""),"BLACK")</f>
        <v>BLACK</v>
      </c>
      <c r="G8635" s="20" t="str">
        <f>IFERROR(__xludf.DUMMYFUNCTION("""COMPUTED_VALUE"""),"Uncle Sams Cider (5/13/2022)")</f>
        <v>Uncle Sams Cider (5/13/2022)</v>
      </c>
      <c r="H8635" s="19"/>
    </row>
    <row r="8636">
      <c r="A8636" s="9"/>
      <c r="B8636" s="15"/>
      <c r="C8636" s="9">
        <f>IFERROR(__xludf.DUMMYFUNCTION("""COMPUTED_VALUE"""),44706.5718280555)</f>
        <v>44706.57183</v>
      </c>
      <c r="D8636" s="15">
        <f>IFERROR(__xludf.DUMMYFUNCTION("""COMPUTED_VALUE"""),1.033)</f>
        <v>1.033</v>
      </c>
      <c r="E8636" s="16">
        <f>IFERROR(__xludf.DUMMYFUNCTION("""COMPUTED_VALUE"""),67.0)</f>
        <v>67</v>
      </c>
      <c r="F8636" s="19" t="str">
        <f>IFERROR(__xludf.DUMMYFUNCTION("""COMPUTED_VALUE"""),"BLACK")</f>
        <v>BLACK</v>
      </c>
      <c r="G8636" s="20" t="str">
        <f>IFERROR(__xludf.DUMMYFUNCTION("""COMPUTED_VALUE"""),"Uncle Sams Cider (5/13/2022)")</f>
        <v>Uncle Sams Cider (5/13/2022)</v>
      </c>
      <c r="H8636" s="19"/>
    </row>
    <row r="8637">
      <c r="A8637" s="9"/>
      <c r="B8637" s="15"/>
      <c r="C8637" s="9">
        <f>IFERROR(__xludf.DUMMYFUNCTION("""COMPUTED_VALUE"""),44706.5614076388)</f>
        <v>44706.56141</v>
      </c>
      <c r="D8637" s="15">
        <f>IFERROR(__xludf.DUMMYFUNCTION("""COMPUTED_VALUE"""),1.033)</f>
        <v>1.033</v>
      </c>
      <c r="E8637" s="16">
        <f>IFERROR(__xludf.DUMMYFUNCTION("""COMPUTED_VALUE"""),67.0)</f>
        <v>67</v>
      </c>
      <c r="F8637" s="19" t="str">
        <f>IFERROR(__xludf.DUMMYFUNCTION("""COMPUTED_VALUE"""),"BLACK")</f>
        <v>BLACK</v>
      </c>
      <c r="G8637" s="20" t="str">
        <f>IFERROR(__xludf.DUMMYFUNCTION("""COMPUTED_VALUE"""),"Uncle Sams Cider (5/13/2022)")</f>
        <v>Uncle Sams Cider (5/13/2022)</v>
      </c>
      <c r="H8637" s="19"/>
    </row>
    <row r="8638">
      <c r="A8638" s="9"/>
      <c r="B8638" s="15"/>
      <c r="C8638" s="9">
        <f>IFERROR(__xludf.DUMMYFUNCTION("""COMPUTED_VALUE"""),44706.5509886342)</f>
        <v>44706.55099</v>
      </c>
      <c r="D8638" s="15">
        <f>IFERROR(__xludf.DUMMYFUNCTION("""COMPUTED_VALUE"""),1.033)</f>
        <v>1.033</v>
      </c>
      <c r="E8638" s="16">
        <f>IFERROR(__xludf.DUMMYFUNCTION("""COMPUTED_VALUE"""),67.0)</f>
        <v>67</v>
      </c>
      <c r="F8638" s="19" t="str">
        <f>IFERROR(__xludf.DUMMYFUNCTION("""COMPUTED_VALUE"""),"BLACK")</f>
        <v>BLACK</v>
      </c>
      <c r="G8638" s="20" t="str">
        <f>IFERROR(__xludf.DUMMYFUNCTION("""COMPUTED_VALUE"""),"Uncle Sams Cider (5/13/2022)")</f>
        <v>Uncle Sams Cider (5/13/2022)</v>
      </c>
      <c r="H8638" s="19"/>
    </row>
    <row r="8639">
      <c r="A8639" s="9"/>
      <c r="B8639" s="15"/>
      <c r="C8639" s="9">
        <f>IFERROR(__xludf.DUMMYFUNCTION("""COMPUTED_VALUE"""),44706.540567199)</f>
        <v>44706.54057</v>
      </c>
      <c r="D8639" s="15">
        <f>IFERROR(__xludf.DUMMYFUNCTION("""COMPUTED_VALUE"""),1.033)</f>
        <v>1.033</v>
      </c>
      <c r="E8639" s="16">
        <f>IFERROR(__xludf.DUMMYFUNCTION("""COMPUTED_VALUE"""),67.0)</f>
        <v>67</v>
      </c>
      <c r="F8639" s="19" t="str">
        <f>IFERROR(__xludf.DUMMYFUNCTION("""COMPUTED_VALUE"""),"BLACK")</f>
        <v>BLACK</v>
      </c>
      <c r="G8639" s="20" t="str">
        <f>IFERROR(__xludf.DUMMYFUNCTION("""COMPUTED_VALUE"""),"Uncle Sams Cider (5/13/2022)")</f>
        <v>Uncle Sams Cider (5/13/2022)</v>
      </c>
      <c r="H8639" s="19"/>
    </row>
    <row r="8640">
      <c r="A8640" s="9"/>
      <c r="B8640" s="15"/>
      <c r="C8640" s="9">
        <f>IFERROR(__xludf.DUMMYFUNCTION("""COMPUTED_VALUE"""),44706.5301336111)</f>
        <v>44706.53013</v>
      </c>
      <c r="D8640" s="15">
        <f>IFERROR(__xludf.DUMMYFUNCTION("""COMPUTED_VALUE"""),1.033)</f>
        <v>1.033</v>
      </c>
      <c r="E8640" s="16">
        <f>IFERROR(__xludf.DUMMYFUNCTION("""COMPUTED_VALUE"""),67.0)</f>
        <v>67</v>
      </c>
      <c r="F8640" s="19" t="str">
        <f>IFERROR(__xludf.DUMMYFUNCTION("""COMPUTED_VALUE"""),"BLACK")</f>
        <v>BLACK</v>
      </c>
      <c r="G8640" s="20" t="str">
        <f>IFERROR(__xludf.DUMMYFUNCTION("""COMPUTED_VALUE"""),"Uncle Sams Cider (5/13/2022)")</f>
        <v>Uncle Sams Cider (5/13/2022)</v>
      </c>
      <c r="H8640" s="19"/>
    </row>
    <row r="8641">
      <c r="A8641" s="9"/>
      <c r="B8641" s="15"/>
      <c r="C8641" s="9">
        <f>IFERROR(__xludf.DUMMYFUNCTION("""COMPUTED_VALUE"""),44706.5197118402)</f>
        <v>44706.51971</v>
      </c>
      <c r="D8641" s="15">
        <f>IFERROR(__xludf.DUMMYFUNCTION("""COMPUTED_VALUE"""),1.033)</f>
        <v>1.033</v>
      </c>
      <c r="E8641" s="16">
        <f>IFERROR(__xludf.DUMMYFUNCTION("""COMPUTED_VALUE"""),67.0)</f>
        <v>67</v>
      </c>
      <c r="F8641" s="19" t="str">
        <f>IFERROR(__xludf.DUMMYFUNCTION("""COMPUTED_VALUE"""),"BLACK")</f>
        <v>BLACK</v>
      </c>
      <c r="G8641" s="20" t="str">
        <f>IFERROR(__xludf.DUMMYFUNCTION("""COMPUTED_VALUE"""),"Uncle Sams Cider (5/13/2022)")</f>
        <v>Uncle Sams Cider (5/13/2022)</v>
      </c>
      <c r="H8641" s="19"/>
    </row>
    <row r="8642">
      <c r="A8642" s="9"/>
      <c r="B8642" s="15"/>
      <c r="C8642" s="9">
        <f>IFERROR(__xludf.DUMMYFUNCTION("""COMPUTED_VALUE"""),44706.5092907175)</f>
        <v>44706.50929</v>
      </c>
      <c r="D8642" s="15">
        <f>IFERROR(__xludf.DUMMYFUNCTION("""COMPUTED_VALUE"""),1.033)</f>
        <v>1.033</v>
      </c>
      <c r="E8642" s="16">
        <f>IFERROR(__xludf.DUMMYFUNCTION("""COMPUTED_VALUE"""),67.0)</f>
        <v>67</v>
      </c>
      <c r="F8642" s="19" t="str">
        <f>IFERROR(__xludf.DUMMYFUNCTION("""COMPUTED_VALUE"""),"BLACK")</f>
        <v>BLACK</v>
      </c>
      <c r="G8642" s="20" t="str">
        <f>IFERROR(__xludf.DUMMYFUNCTION("""COMPUTED_VALUE"""),"Uncle Sams Cider (5/13/2022)")</f>
        <v>Uncle Sams Cider (5/13/2022)</v>
      </c>
      <c r="H8642" s="19"/>
    </row>
    <row r="8643">
      <c r="A8643" s="9"/>
      <c r="B8643" s="15"/>
      <c r="C8643" s="9">
        <f>IFERROR(__xludf.DUMMYFUNCTION("""COMPUTED_VALUE"""),44706.4988711342)</f>
        <v>44706.49887</v>
      </c>
      <c r="D8643" s="15">
        <f>IFERROR(__xludf.DUMMYFUNCTION("""COMPUTED_VALUE"""),1.033)</f>
        <v>1.033</v>
      </c>
      <c r="E8643" s="16">
        <f>IFERROR(__xludf.DUMMYFUNCTION("""COMPUTED_VALUE"""),67.0)</f>
        <v>67</v>
      </c>
      <c r="F8643" s="19" t="str">
        <f>IFERROR(__xludf.DUMMYFUNCTION("""COMPUTED_VALUE"""),"BLACK")</f>
        <v>BLACK</v>
      </c>
      <c r="G8643" s="20" t="str">
        <f>IFERROR(__xludf.DUMMYFUNCTION("""COMPUTED_VALUE"""),"Uncle Sams Cider (5/13/2022)")</f>
        <v>Uncle Sams Cider (5/13/2022)</v>
      </c>
      <c r="H8643" s="19"/>
    </row>
    <row r="8644">
      <c r="A8644" s="9"/>
      <c r="B8644" s="15"/>
      <c r="C8644" s="9">
        <f>IFERROR(__xludf.DUMMYFUNCTION("""COMPUTED_VALUE"""),44706.488450949)</f>
        <v>44706.48845</v>
      </c>
      <c r="D8644" s="15">
        <f>IFERROR(__xludf.DUMMYFUNCTION("""COMPUTED_VALUE"""),1.033)</f>
        <v>1.033</v>
      </c>
      <c r="E8644" s="16">
        <f>IFERROR(__xludf.DUMMYFUNCTION("""COMPUTED_VALUE"""),67.0)</f>
        <v>67</v>
      </c>
      <c r="F8644" s="19" t="str">
        <f>IFERROR(__xludf.DUMMYFUNCTION("""COMPUTED_VALUE"""),"BLACK")</f>
        <v>BLACK</v>
      </c>
      <c r="G8644" s="20" t="str">
        <f>IFERROR(__xludf.DUMMYFUNCTION("""COMPUTED_VALUE"""),"Uncle Sams Cider (5/13/2022)")</f>
        <v>Uncle Sams Cider (5/13/2022)</v>
      </c>
      <c r="H8644" s="19"/>
    </row>
    <row r="8645">
      <c r="A8645" s="9"/>
      <c r="B8645" s="15"/>
      <c r="C8645" s="9">
        <f>IFERROR(__xludf.DUMMYFUNCTION("""COMPUTED_VALUE"""),44706.4780295601)</f>
        <v>44706.47803</v>
      </c>
      <c r="D8645" s="15">
        <f>IFERROR(__xludf.DUMMYFUNCTION("""COMPUTED_VALUE"""),1.033)</f>
        <v>1.033</v>
      </c>
      <c r="E8645" s="16">
        <f>IFERROR(__xludf.DUMMYFUNCTION("""COMPUTED_VALUE"""),67.0)</f>
        <v>67</v>
      </c>
      <c r="F8645" s="19" t="str">
        <f>IFERROR(__xludf.DUMMYFUNCTION("""COMPUTED_VALUE"""),"BLACK")</f>
        <v>BLACK</v>
      </c>
      <c r="G8645" s="20" t="str">
        <f>IFERROR(__xludf.DUMMYFUNCTION("""COMPUTED_VALUE"""),"Uncle Sams Cider (5/13/2022)")</f>
        <v>Uncle Sams Cider (5/13/2022)</v>
      </c>
      <c r="H8645" s="19"/>
    </row>
    <row r="8646">
      <c r="A8646" s="9"/>
      <c r="B8646" s="15"/>
      <c r="C8646" s="9">
        <f>IFERROR(__xludf.DUMMYFUNCTION("""COMPUTED_VALUE"""),44706.4675966898)</f>
        <v>44706.4676</v>
      </c>
      <c r="D8646" s="15">
        <f>IFERROR(__xludf.DUMMYFUNCTION("""COMPUTED_VALUE"""),1.033)</f>
        <v>1.033</v>
      </c>
      <c r="E8646" s="16">
        <f>IFERROR(__xludf.DUMMYFUNCTION("""COMPUTED_VALUE"""),67.0)</f>
        <v>67</v>
      </c>
      <c r="F8646" s="19" t="str">
        <f>IFERROR(__xludf.DUMMYFUNCTION("""COMPUTED_VALUE"""),"BLACK")</f>
        <v>BLACK</v>
      </c>
      <c r="G8646" s="20" t="str">
        <f>IFERROR(__xludf.DUMMYFUNCTION("""COMPUTED_VALUE"""),"Uncle Sams Cider (5/13/2022)")</f>
        <v>Uncle Sams Cider (5/13/2022)</v>
      </c>
      <c r="H8646" s="19"/>
    </row>
    <row r="8647">
      <c r="A8647" s="9"/>
      <c r="B8647" s="15"/>
      <c r="C8647" s="9">
        <f>IFERROR(__xludf.DUMMYFUNCTION("""COMPUTED_VALUE"""),44706.4571746875)</f>
        <v>44706.45717</v>
      </c>
      <c r="D8647" s="15">
        <f>IFERROR(__xludf.DUMMYFUNCTION("""COMPUTED_VALUE"""),1.033)</f>
        <v>1.033</v>
      </c>
      <c r="E8647" s="16">
        <f>IFERROR(__xludf.DUMMYFUNCTION("""COMPUTED_VALUE"""),67.0)</f>
        <v>67</v>
      </c>
      <c r="F8647" s="19" t="str">
        <f>IFERROR(__xludf.DUMMYFUNCTION("""COMPUTED_VALUE"""),"BLACK")</f>
        <v>BLACK</v>
      </c>
      <c r="G8647" s="20" t="str">
        <f>IFERROR(__xludf.DUMMYFUNCTION("""COMPUTED_VALUE"""),"Uncle Sams Cider (5/13/2022)")</f>
        <v>Uncle Sams Cider (5/13/2022)</v>
      </c>
      <c r="H8647" s="19"/>
    </row>
    <row r="8648">
      <c r="A8648" s="9"/>
      <c r="B8648" s="15"/>
      <c r="C8648" s="9">
        <f>IFERROR(__xludf.DUMMYFUNCTION("""COMPUTED_VALUE"""),44706.446753206)</f>
        <v>44706.44675</v>
      </c>
      <c r="D8648" s="15">
        <f>IFERROR(__xludf.DUMMYFUNCTION("""COMPUTED_VALUE"""),1.033)</f>
        <v>1.033</v>
      </c>
      <c r="E8648" s="16">
        <f>IFERROR(__xludf.DUMMYFUNCTION("""COMPUTED_VALUE"""),67.0)</f>
        <v>67</v>
      </c>
      <c r="F8648" s="19" t="str">
        <f>IFERROR(__xludf.DUMMYFUNCTION("""COMPUTED_VALUE"""),"BLACK")</f>
        <v>BLACK</v>
      </c>
      <c r="G8648" s="20" t="str">
        <f>IFERROR(__xludf.DUMMYFUNCTION("""COMPUTED_VALUE"""),"Uncle Sams Cider (5/13/2022)")</f>
        <v>Uncle Sams Cider (5/13/2022)</v>
      </c>
      <c r="H8648" s="19"/>
    </row>
    <row r="8649">
      <c r="A8649" s="9"/>
      <c r="B8649" s="15"/>
      <c r="C8649" s="9">
        <f>IFERROR(__xludf.DUMMYFUNCTION("""COMPUTED_VALUE"""),44706.436320162)</f>
        <v>44706.43632</v>
      </c>
      <c r="D8649" s="15">
        <f>IFERROR(__xludf.DUMMYFUNCTION("""COMPUTED_VALUE"""),1.033)</f>
        <v>1.033</v>
      </c>
      <c r="E8649" s="16">
        <f>IFERROR(__xludf.DUMMYFUNCTION("""COMPUTED_VALUE"""),67.0)</f>
        <v>67</v>
      </c>
      <c r="F8649" s="19" t="str">
        <f>IFERROR(__xludf.DUMMYFUNCTION("""COMPUTED_VALUE"""),"BLACK")</f>
        <v>BLACK</v>
      </c>
      <c r="G8649" s="20" t="str">
        <f>IFERROR(__xludf.DUMMYFUNCTION("""COMPUTED_VALUE"""),"Uncle Sams Cider (5/13/2022)")</f>
        <v>Uncle Sams Cider (5/13/2022)</v>
      </c>
      <c r="H8649" s="19"/>
    </row>
    <row r="8650">
      <c r="A8650" s="9"/>
      <c r="B8650" s="15"/>
      <c r="C8650" s="9">
        <f>IFERROR(__xludf.DUMMYFUNCTION("""COMPUTED_VALUE"""),44706.4258893634)</f>
        <v>44706.42589</v>
      </c>
      <c r="D8650" s="15">
        <f>IFERROR(__xludf.DUMMYFUNCTION("""COMPUTED_VALUE"""),1.033)</f>
        <v>1.033</v>
      </c>
      <c r="E8650" s="16">
        <f>IFERROR(__xludf.DUMMYFUNCTION("""COMPUTED_VALUE"""),67.0)</f>
        <v>67</v>
      </c>
      <c r="F8650" s="19" t="str">
        <f>IFERROR(__xludf.DUMMYFUNCTION("""COMPUTED_VALUE"""),"BLACK")</f>
        <v>BLACK</v>
      </c>
      <c r="G8650" s="20" t="str">
        <f>IFERROR(__xludf.DUMMYFUNCTION("""COMPUTED_VALUE"""),"Uncle Sams Cider (5/13/2022)")</f>
        <v>Uncle Sams Cider (5/13/2022)</v>
      </c>
      <c r="H8650" s="19"/>
    </row>
    <row r="8651">
      <c r="A8651" s="9"/>
      <c r="B8651" s="15"/>
      <c r="C8651" s="9">
        <f>IFERROR(__xludf.DUMMYFUNCTION("""COMPUTED_VALUE"""),44706.4154684143)</f>
        <v>44706.41547</v>
      </c>
      <c r="D8651" s="15">
        <f>IFERROR(__xludf.DUMMYFUNCTION("""COMPUTED_VALUE"""),1.033)</f>
        <v>1.033</v>
      </c>
      <c r="E8651" s="16">
        <f>IFERROR(__xludf.DUMMYFUNCTION("""COMPUTED_VALUE"""),67.0)</f>
        <v>67</v>
      </c>
      <c r="F8651" s="19" t="str">
        <f>IFERROR(__xludf.DUMMYFUNCTION("""COMPUTED_VALUE"""),"BLACK")</f>
        <v>BLACK</v>
      </c>
      <c r="G8651" s="20" t="str">
        <f>IFERROR(__xludf.DUMMYFUNCTION("""COMPUTED_VALUE"""),"Uncle Sams Cider (5/13/2022)")</f>
        <v>Uncle Sams Cider (5/13/2022)</v>
      </c>
      <c r="H8651" s="19"/>
    </row>
    <row r="8652">
      <c r="A8652" s="9"/>
      <c r="B8652" s="15"/>
      <c r="C8652" s="9">
        <f>IFERROR(__xludf.DUMMYFUNCTION("""COMPUTED_VALUE"""),44706.4050466898)</f>
        <v>44706.40505</v>
      </c>
      <c r="D8652" s="15">
        <f>IFERROR(__xludf.DUMMYFUNCTION("""COMPUTED_VALUE"""),1.034)</f>
        <v>1.034</v>
      </c>
      <c r="E8652" s="16">
        <f>IFERROR(__xludf.DUMMYFUNCTION("""COMPUTED_VALUE"""),67.0)</f>
        <v>67</v>
      </c>
      <c r="F8652" s="19" t="str">
        <f>IFERROR(__xludf.DUMMYFUNCTION("""COMPUTED_VALUE"""),"BLACK")</f>
        <v>BLACK</v>
      </c>
      <c r="G8652" s="20" t="str">
        <f>IFERROR(__xludf.DUMMYFUNCTION("""COMPUTED_VALUE"""),"Uncle Sams Cider (5/13/2022)")</f>
        <v>Uncle Sams Cider (5/13/2022)</v>
      </c>
      <c r="H8652" s="19"/>
    </row>
    <row r="8653">
      <c r="A8653" s="9"/>
      <c r="B8653" s="15"/>
      <c r="C8653" s="9">
        <f>IFERROR(__xludf.DUMMYFUNCTION("""COMPUTED_VALUE"""),44706.3946241782)</f>
        <v>44706.39462</v>
      </c>
      <c r="D8653" s="15">
        <f>IFERROR(__xludf.DUMMYFUNCTION("""COMPUTED_VALUE"""),1.033)</f>
        <v>1.033</v>
      </c>
      <c r="E8653" s="16">
        <f>IFERROR(__xludf.DUMMYFUNCTION("""COMPUTED_VALUE"""),67.0)</f>
        <v>67</v>
      </c>
      <c r="F8653" s="19" t="str">
        <f>IFERROR(__xludf.DUMMYFUNCTION("""COMPUTED_VALUE"""),"BLACK")</f>
        <v>BLACK</v>
      </c>
      <c r="G8653" s="20" t="str">
        <f>IFERROR(__xludf.DUMMYFUNCTION("""COMPUTED_VALUE"""),"Uncle Sams Cider (5/13/2022)")</f>
        <v>Uncle Sams Cider (5/13/2022)</v>
      </c>
      <c r="H8653" s="19"/>
    </row>
    <row r="8654">
      <c r="A8654" s="9"/>
      <c r="B8654" s="15"/>
      <c r="C8654" s="9">
        <f>IFERROR(__xludf.DUMMYFUNCTION("""COMPUTED_VALUE"""),44706.3842040277)</f>
        <v>44706.3842</v>
      </c>
      <c r="D8654" s="15">
        <f>IFERROR(__xludf.DUMMYFUNCTION("""COMPUTED_VALUE"""),1.034)</f>
        <v>1.034</v>
      </c>
      <c r="E8654" s="16">
        <f>IFERROR(__xludf.DUMMYFUNCTION("""COMPUTED_VALUE"""),67.0)</f>
        <v>67</v>
      </c>
      <c r="F8654" s="19" t="str">
        <f>IFERROR(__xludf.DUMMYFUNCTION("""COMPUTED_VALUE"""),"BLACK")</f>
        <v>BLACK</v>
      </c>
      <c r="G8654" s="20" t="str">
        <f>IFERROR(__xludf.DUMMYFUNCTION("""COMPUTED_VALUE"""),"Uncle Sams Cider (5/13/2022)")</f>
        <v>Uncle Sams Cider (5/13/2022)</v>
      </c>
      <c r="H8654" s="19"/>
    </row>
    <row r="8655">
      <c r="A8655" s="9"/>
      <c r="B8655" s="15"/>
      <c r="C8655" s="9">
        <f>IFERROR(__xludf.DUMMYFUNCTION("""COMPUTED_VALUE"""),44706.3737707291)</f>
        <v>44706.37377</v>
      </c>
      <c r="D8655" s="15">
        <f>IFERROR(__xludf.DUMMYFUNCTION("""COMPUTED_VALUE"""),1.034)</f>
        <v>1.034</v>
      </c>
      <c r="E8655" s="16">
        <f>IFERROR(__xludf.DUMMYFUNCTION("""COMPUTED_VALUE"""),67.0)</f>
        <v>67</v>
      </c>
      <c r="F8655" s="19" t="str">
        <f>IFERROR(__xludf.DUMMYFUNCTION("""COMPUTED_VALUE"""),"BLACK")</f>
        <v>BLACK</v>
      </c>
      <c r="G8655" s="20" t="str">
        <f>IFERROR(__xludf.DUMMYFUNCTION("""COMPUTED_VALUE"""),"Uncle Sams Cider (5/13/2022)")</f>
        <v>Uncle Sams Cider (5/13/2022)</v>
      </c>
      <c r="H8655" s="19"/>
    </row>
    <row r="8656">
      <c r="A8656" s="9"/>
      <c r="B8656" s="15"/>
      <c r="C8656" s="9">
        <f>IFERROR(__xludf.DUMMYFUNCTION("""COMPUTED_VALUE"""),44706.3633499884)</f>
        <v>44706.36335</v>
      </c>
      <c r="D8656" s="15">
        <f>IFERROR(__xludf.DUMMYFUNCTION("""COMPUTED_VALUE"""),1.034)</f>
        <v>1.034</v>
      </c>
      <c r="E8656" s="16">
        <f>IFERROR(__xludf.DUMMYFUNCTION("""COMPUTED_VALUE"""),67.0)</f>
        <v>67</v>
      </c>
      <c r="F8656" s="19" t="str">
        <f>IFERROR(__xludf.DUMMYFUNCTION("""COMPUTED_VALUE"""),"BLACK")</f>
        <v>BLACK</v>
      </c>
      <c r="G8656" s="20" t="str">
        <f>IFERROR(__xludf.DUMMYFUNCTION("""COMPUTED_VALUE"""),"Uncle Sams Cider (5/13/2022)")</f>
        <v>Uncle Sams Cider (5/13/2022)</v>
      </c>
      <c r="H8656" s="19"/>
    </row>
    <row r="8657">
      <c r="A8657" s="9"/>
      <c r="B8657" s="15"/>
      <c r="C8657" s="9">
        <f>IFERROR(__xludf.DUMMYFUNCTION("""COMPUTED_VALUE"""),44706.3529275463)</f>
        <v>44706.35293</v>
      </c>
      <c r="D8657" s="15">
        <f>IFERROR(__xludf.DUMMYFUNCTION("""COMPUTED_VALUE"""),1.034)</f>
        <v>1.034</v>
      </c>
      <c r="E8657" s="16">
        <f>IFERROR(__xludf.DUMMYFUNCTION("""COMPUTED_VALUE"""),67.0)</f>
        <v>67</v>
      </c>
      <c r="F8657" s="19" t="str">
        <f>IFERROR(__xludf.DUMMYFUNCTION("""COMPUTED_VALUE"""),"BLACK")</f>
        <v>BLACK</v>
      </c>
      <c r="G8657" s="20" t="str">
        <f>IFERROR(__xludf.DUMMYFUNCTION("""COMPUTED_VALUE"""),"Uncle Sams Cider (5/13/2022)")</f>
        <v>Uncle Sams Cider (5/13/2022)</v>
      </c>
      <c r="H8657" s="19"/>
    </row>
    <row r="8658">
      <c r="A8658" s="9"/>
      <c r="B8658" s="15"/>
      <c r="C8658" s="9">
        <f>IFERROR(__xludf.DUMMYFUNCTION("""COMPUTED_VALUE"""),44706.3425050347)</f>
        <v>44706.34251</v>
      </c>
      <c r="D8658" s="15">
        <f>IFERROR(__xludf.DUMMYFUNCTION("""COMPUTED_VALUE"""),1.034)</f>
        <v>1.034</v>
      </c>
      <c r="E8658" s="16">
        <f>IFERROR(__xludf.DUMMYFUNCTION("""COMPUTED_VALUE"""),67.0)</f>
        <v>67</v>
      </c>
      <c r="F8658" s="19" t="str">
        <f>IFERROR(__xludf.DUMMYFUNCTION("""COMPUTED_VALUE"""),"BLACK")</f>
        <v>BLACK</v>
      </c>
      <c r="G8658" s="20" t="str">
        <f>IFERROR(__xludf.DUMMYFUNCTION("""COMPUTED_VALUE"""),"Uncle Sams Cider (5/13/2022)")</f>
        <v>Uncle Sams Cider (5/13/2022)</v>
      </c>
      <c r="H8658" s="19"/>
    </row>
    <row r="8659">
      <c r="A8659" s="9"/>
      <c r="B8659" s="15"/>
      <c r="C8659" s="9">
        <f>IFERROR(__xludf.DUMMYFUNCTION("""COMPUTED_VALUE"""),44706.3320847222)</f>
        <v>44706.33208</v>
      </c>
      <c r="D8659" s="15">
        <f>IFERROR(__xludf.DUMMYFUNCTION("""COMPUTED_VALUE"""),1.034)</f>
        <v>1.034</v>
      </c>
      <c r="E8659" s="16">
        <f>IFERROR(__xludf.DUMMYFUNCTION("""COMPUTED_VALUE"""),67.0)</f>
        <v>67</v>
      </c>
      <c r="F8659" s="19" t="str">
        <f>IFERROR(__xludf.DUMMYFUNCTION("""COMPUTED_VALUE"""),"BLACK")</f>
        <v>BLACK</v>
      </c>
      <c r="G8659" s="20" t="str">
        <f>IFERROR(__xludf.DUMMYFUNCTION("""COMPUTED_VALUE"""),"Uncle Sams Cider (5/13/2022)")</f>
        <v>Uncle Sams Cider (5/13/2022)</v>
      </c>
      <c r="H8659" s="19"/>
    </row>
    <row r="8660">
      <c r="A8660" s="9"/>
      <c r="B8660" s="15"/>
      <c r="C8660" s="9">
        <f>IFERROR(__xludf.DUMMYFUNCTION("""COMPUTED_VALUE"""),44706.3216631481)</f>
        <v>44706.32166</v>
      </c>
      <c r="D8660" s="15">
        <f>IFERROR(__xludf.DUMMYFUNCTION("""COMPUTED_VALUE"""),1.034)</f>
        <v>1.034</v>
      </c>
      <c r="E8660" s="16">
        <f>IFERROR(__xludf.DUMMYFUNCTION("""COMPUTED_VALUE"""),67.0)</f>
        <v>67</v>
      </c>
      <c r="F8660" s="19" t="str">
        <f>IFERROR(__xludf.DUMMYFUNCTION("""COMPUTED_VALUE"""),"BLACK")</f>
        <v>BLACK</v>
      </c>
      <c r="G8660" s="20" t="str">
        <f>IFERROR(__xludf.DUMMYFUNCTION("""COMPUTED_VALUE"""),"Uncle Sams Cider (5/13/2022)")</f>
        <v>Uncle Sams Cider (5/13/2022)</v>
      </c>
      <c r="H8660" s="19"/>
    </row>
    <row r="8661">
      <c r="A8661" s="9"/>
      <c r="B8661" s="15"/>
      <c r="C8661" s="9">
        <f>IFERROR(__xludf.DUMMYFUNCTION("""COMPUTED_VALUE"""),44706.3111940046)</f>
        <v>44706.31119</v>
      </c>
      <c r="D8661" s="15">
        <f>IFERROR(__xludf.DUMMYFUNCTION("""COMPUTED_VALUE"""),1.034)</f>
        <v>1.034</v>
      </c>
      <c r="E8661" s="16">
        <f>IFERROR(__xludf.DUMMYFUNCTION("""COMPUTED_VALUE"""),67.0)</f>
        <v>67</v>
      </c>
      <c r="F8661" s="19" t="str">
        <f>IFERROR(__xludf.DUMMYFUNCTION("""COMPUTED_VALUE"""),"BLACK")</f>
        <v>BLACK</v>
      </c>
      <c r="G8661" s="20" t="str">
        <f>IFERROR(__xludf.DUMMYFUNCTION("""COMPUTED_VALUE"""),"Uncle Sams Cider (5/13/2022)")</f>
        <v>Uncle Sams Cider (5/13/2022)</v>
      </c>
      <c r="H8661" s="19"/>
    </row>
    <row r="8662">
      <c r="A8662" s="9"/>
      <c r="B8662" s="15"/>
      <c r="C8662" s="9">
        <f>IFERROR(__xludf.DUMMYFUNCTION("""COMPUTED_VALUE"""),44706.3007729861)</f>
        <v>44706.30077</v>
      </c>
      <c r="D8662" s="15">
        <f>IFERROR(__xludf.DUMMYFUNCTION("""COMPUTED_VALUE"""),1.034)</f>
        <v>1.034</v>
      </c>
      <c r="E8662" s="16">
        <f>IFERROR(__xludf.DUMMYFUNCTION("""COMPUTED_VALUE"""),67.0)</f>
        <v>67</v>
      </c>
      <c r="F8662" s="19" t="str">
        <f>IFERROR(__xludf.DUMMYFUNCTION("""COMPUTED_VALUE"""),"BLACK")</f>
        <v>BLACK</v>
      </c>
      <c r="G8662" s="20" t="str">
        <f>IFERROR(__xludf.DUMMYFUNCTION("""COMPUTED_VALUE"""),"Uncle Sams Cider (5/13/2022)")</f>
        <v>Uncle Sams Cider (5/13/2022)</v>
      </c>
      <c r="H8662" s="19"/>
    </row>
    <row r="8663">
      <c r="A8663" s="9"/>
      <c r="B8663" s="15"/>
      <c r="C8663" s="9">
        <f>IFERROR(__xludf.DUMMYFUNCTION("""COMPUTED_VALUE"""),44706.2903520254)</f>
        <v>44706.29035</v>
      </c>
      <c r="D8663" s="15">
        <f>IFERROR(__xludf.DUMMYFUNCTION("""COMPUTED_VALUE"""),1.034)</f>
        <v>1.034</v>
      </c>
      <c r="E8663" s="16">
        <f>IFERROR(__xludf.DUMMYFUNCTION("""COMPUTED_VALUE"""),67.0)</f>
        <v>67</v>
      </c>
      <c r="F8663" s="19" t="str">
        <f>IFERROR(__xludf.DUMMYFUNCTION("""COMPUTED_VALUE"""),"BLACK")</f>
        <v>BLACK</v>
      </c>
      <c r="G8663" s="20" t="str">
        <f>IFERROR(__xludf.DUMMYFUNCTION("""COMPUTED_VALUE"""),"Uncle Sams Cider (5/13/2022)")</f>
        <v>Uncle Sams Cider (5/13/2022)</v>
      </c>
      <c r="H8663" s="19"/>
    </row>
    <row r="8664">
      <c r="A8664" s="9"/>
      <c r="B8664" s="15"/>
      <c r="C8664" s="9">
        <f>IFERROR(__xludf.DUMMYFUNCTION("""COMPUTED_VALUE"""),44706.2799333449)</f>
        <v>44706.27993</v>
      </c>
      <c r="D8664" s="15">
        <f>IFERROR(__xludf.DUMMYFUNCTION("""COMPUTED_VALUE"""),1.034)</f>
        <v>1.034</v>
      </c>
      <c r="E8664" s="16">
        <f>IFERROR(__xludf.DUMMYFUNCTION("""COMPUTED_VALUE"""),66.0)</f>
        <v>66</v>
      </c>
      <c r="F8664" s="19" t="str">
        <f>IFERROR(__xludf.DUMMYFUNCTION("""COMPUTED_VALUE"""),"BLACK")</f>
        <v>BLACK</v>
      </c>
      <c r="G8664" s="20" t="str">
        <f>IFERROR(__xludf.DUMMYFUNCTION("""COMPUTED_VALUE"""),"Uncle Sams Cider (5/13/2022)")</f>
        <v>Uncle Sams Cider (5/13/2022)</v>
      </c>
      <c r="H8664" s="19"/>
    </row>
    <row r="8665">
      <c r="A8665" s="9"/>
      <c r="B8665" s="15"/>
      <c r="C8665" s="9">
        <f>IFERROR(__xludf.DUMMYFUNCTION("""COMPUTED_VALUE"""),44706.2695125694)</f>
        <v>44706.26951</v>
      </c>
      <c r="D8665" s="15">
        <f>IFERROR(__xludf.DUMMYFUNCTION("""COMPUTED_VALUE"""),1.034)</f>
        <v>1.034</v>
      </c>
      <c r="E8665" s="16">
        <f>IFERROR(__xludf.DUMMYFUNCTION("""COMPUTED_VALUE"""),67.0)</f>
        <v>67</v>
      </c>
      <c r="F8665" s="19" t="str">
        <f>IFERROR(__xludf.DUMMYFUNCTION("""COMPUTED_VALUE"""),"BLACK")</f>
        <v>BLACK</v>
      </c>
      <c r="G8665" s="20" t="str">
        <f>IFERROR(__xludf.DUMMYFUNCTION("""COMPUTED_VALUE"""),"Uncle Sams Cider (5/13/2022)")</f>
        <v>Uncle Sams Cider (5/13/2022)</v>
      </c>
      <c r="H8665" s="19"/>
    </row>
    <row r="8666">
      <c r="A8666" s="9"/>
      <c r="B8666" s="15"/>
      <c r="C8666" s="9">
        <f>IFERROR(__xludf.DUMMYFUNCTION("""COMPUTED_VALUE"""),44706.2590926388)</f>
        <v>44706.25909</v>
      </c>
      <c r="D8666" s="15">
        <f>IFERROR(__xludf.DUMMYFUNCTION("""COMPUTED_VALUE"""),1.034)</f>
        <v>1.034</v>
      </c>
      <c r="E8666" s="16">
        <f>IFERROR(__xludf.DUMMYFUNCTION("""COMPUTED_VALUE"""),67.0)</f>
        <v>67</v>
      </c>
      <c r="F8666" s="19" t="str">
        <f>IFERROR(__xludf.DUMMYFUNCTION("""COMPUTED_VALUE"""),"BLACK")</f>
        <v>BLACK</v>
      </c>
      <c r="G8666" s="20" t="str">
        <f>IFERROR(__xludf.DUMMYFUNCTION("""COMPUTED_VALUE"""),"Uncle Sams Cider (5/13/2022)")</f>
        <v>Uncle Sams Cider (5/13/2022)</v>
      </c>
      <c r="H8666" s="19"/>
    </row>
    <row r="8667">
      <c r="A8667" s="9"/>
      <c r="B8667" s="15"/>
      <c r="C8667" s="9">
        <f>IFERROR(__xludf.DUMMYFUNCTION("""COMPUTED_VALUE"""),44706.2486715162)</f>
        <v>44706.24867</v>
      </c>
      <c r="D8667" s="15">
        <f>IFERROR(__xludf.DUMMYFUNCTION("""COMPUTED_VALUE"""),1.034)</f>
        <v>1.034</v>
      </c>
      <c r="E8667" s="16">
        <f>IFERROR(__xludf.DUMMYFUNCTION("""COMPUTED_VALUE"""),67.0)</f>
        <v>67</v>
      </c>
      <c r="F8667" s="19" t="str">
        <f>IFERROR(__xludf.DUMMYFUNCTION("""COMPUTED_VALUE"""),"BLACK")</f>
        <v>BLACK</v>
      </c>
      <c r="G8667" s="20" t="str">
        <f>IFERROR(__xludf.DUMMYFUNCTION("""COMPUTED_VALUE"""),"Uncle Sams Cider (5/13/2022)")</f>
        <v>Uncle Sams Cider (5/13/2022)</v>
      </c>
      <c r="H8667" s="19"/>
    </row>
    <row r="8668">
      <c r="A8668" s="9"/>
      <c r="B8668" s="15"/>
      <c r="C8668" s="9">
        <f>IFERROR(__xludf.DUMMYFUNCTION("""COMPUTED_VALUE"""),44706.238251875)</f>
        <v>44706.23825</v>
      </c>
      <c r="D8668" s="15">
        <f>IFERROR(__xludf.DUMMYFUNCTION("""COMPUTED_VALUE"""),1.034)</f>
        <v>1.034</v>
      </c>
      <c r="E8668" s="16">
        <f>IFERROR(__xludf.DUMMYFUNCTION("""COMPUTED_VALUE"""),66.0)</f>
        <v>66</v>
      </c>
      <c r="F8668" s="19" t="str">
        <f>IFERROR(__xludf.DUMMYFUNCTION("""COMPUTED_VALUE"""),"BLACK")</f>
        <v>BLACK</v>
      </c>
      <c r="G8668" s="20" t="str">
        <f>IFERROR(__xludf.DUMMYFUNCTION("""COMPUTED_VALUE"""),"Uncle Sams Cider (5/13/2022)")</f>
        <v>Uncle Sams Cider (5/13/2022)</v>
      </c>
      <c r="H8668" s="19"/>
    </row>
    <row r="8669">
      <c r="A8669" s="9"/>
      <c r="B8669" s="15"/>
      <c r="C8669" s="9">
        <f>IFERROR(__xludf.DUMMYFUNCTION("""COMPUTED_VALUE"""),44706.2278302199)</f>
        <v>44706.22783</v>
      </c>
      <c r="D8669" s="15">
        <f>IFERROR(__xludf.DUMMYFUNCTION("""COMPUTED_VALUE"""),1.034)</f>
        <v>1.034</v>
      </c>
      <c r="E8669" s="16">
        <f>IFERROR(__xludf.DUMMYFUNCTION("""COMPUTED_VALUE"""),66.0)</f>
        <v>66</v>
      </c>
      <c r="F8669" s="19" t="str">
        <f>IFERROR(__xludf.DUMMYFUNCTION("""COMPUTED_VALUE"""),"BLACK")</f>
        <v>BLACK</v>
      </c>
      <c r="G8669" s="20" t="str">
        <f>IFERROR(__xludf.DUMMYFUNCTION("""COMPUTED_VALUE"""),"Uncle Sams Cider (5/13/2022)")</f>
        <v>Uncle Sams Cider (5/13/2022)</v>
      </c>
      <c r="H8669" s="19"/>
    </row>
    <row r="8670">
      <c r="A8670" s="9"/>
      <c r="B8670" s="15"/>
      <c r="C8670" s="9">
        <f>IFERROR(__xludf.DUMMYFUNCTION("""COMPUTED_VALUE"""),44706.2173735416)</f>
        <v>44706.21737</v>
      </c>
      <c r="D8670" s="15">
        <f>IFERROR(__xludf.DUMMYFUNCTION("""COMPUTED_VALUE"""),1.034)</f>
        <v>1.034</v>
      </c>
      <c r="E8670" s="16">
        <f>IFERROR(__xludf.DUMMYFUNCTION("""COMPUTED_VALUE"""),66.0)</f>
        <v>66</v>
      </c>
      <c r="F8670" s="19" t="str">
        <f>IFERROR(__xludf.DUMMYFUNCTION("""COMPUTED_VALUE"""),"BLACK")</f>
        <v>BLACK</v>
      </c>
      <c r="G8670" s="20" t="str">
        <f>IFERROR(__xludf.DUMMYFUNCTION("""COMPUTED_VALUE"""),"Uncle Sams Cider (5/13/2022)")</f>
        <v>Uncle Sams Cider (5/13/2022)</v>
      </c>
      <c r="H8670" s="19"/>
    </row>
    <row r="8671">
      <c r="A8671" s="9"/>
      <c r="B8671" s="15"/>
      <c r="C8671" s="9">
        <f>IFERROR(__xludf.DUMMYFUNCTION("""COMPUTED_VALUE"""),44706.2069515625)</f>
        <v>44706.20695</v>
      </c>
      <c r="D8671" s="15">
        <f>IFERROR(__xludf.DUMMYFUNCTION("""COMPUTED_VALUE"""),1.034)</f>
        <v>1.034</v>
      </c>
      <c r="E8671" s="16">
        <f>IFERROR(__xludf.DUMMYFUNCTION("""COMPUTED_VALUE"""),66.0)</f>
        <v>66</v>
      </c>
      <c r="F8671" s="19" t="str">
        <f>IFERROR(__xludf.DUMMYFUNCTION("""COMPUTED_VALUE"""),"BLACK")</f>
        <v>BLACK</v>
      </c>
      <c r="G8671" s="20" t="str">
        <f>IFERROR(__xludf.DUMMYFUNCTION("""COMPUTED_VALUE"""),"Uncle Sams Cider (5/13/2022)")</f>
        <v>Uncle Sams Cider (5/13/2022)</v>
      </c>
      <c r="H8671" s="19"/>
    </row>
    <row r="8672">
      <c r="A8672" s="9"/>
      <c r="B8672" s="15"/>
      <c r="C8672" s="9">
        <f>IFERROR(__xludf.DUMMYFUNCTION("""COMPUTED_VALUE"""),44706.196529699)</f>
        <v>44706.19653</v>
      </c>
      <c r="D8672" s="15">
        <f>IFERROR(__xludf.DUMMYFUNCTION("""COMPUTED_VALUE"""),1.034)</f>
        <v>1.034</v>
      </c>
      <c r="E8672" s="16">
        <f>IFERROR(__xludf.DUMMYFUNCTION("""COMPUTED_VALUE"""),66.0)</f>
        <v>66</v>
      </c>
      <c r="F8672" s="19" t="str">
        <f>IFERROR(__xludf.DUMMYFUNCTION("""COMPUTED_VALUE"""),"BLACK")</f>
        <v>BLACK</v>
      </c>
      <c r="G8672" s="20" t="str">
        <f>IFERROR(__xludf.DUMMYFUNCTION("""COMPUTED_VALUE"""),"Uncle Sams Cider (5/13/2022)")</f>
        <v>Uncle Sams Cider (5/13/2022)</v>
      </c>
      <c r="H8672" s="19"/>
    </row>
    <row r="8673">
      <c r="A8673" s="9"/>
      <c r="B8673" s="15"/>
      <c r="C8673" s="9">
        <f>IFERROR(__xludf.DUMMYFUNCTION("""COMPUTED_VALUE"""),44706.1860963078)</f>
        <v>44706.1861</v>
      </c>
      <c r="D8673" s="15">
        <f>IFERROR(__xludf.DUMMYFUNCTION("""COMPUTED_VALUE"""),1.034)</f>
        <v>1.034</v>
      </c>
      <c r="E8673" s="16">
        <f>IFERROR(__xludf.DUMMYFUNCTION("""COMPUTED_VALUE"""),66.0)</f>
        <v>66</v>
      </c>
      <c r="F8673" s="19" t="str">
        <f>IFERROR(__xludf.DUMMYFUNCTION("""COMPUTED_VALUE"""),"BLACK")</f>
        <v>BLACK</v>
      </c>
      <c r="G8673" s="20" t="str">
        <f>IFERROR(__xludf.DUMMYFUNCTION("""COMPUTED_VALUE"""),"Uncle Sams Cider (5/13/2022)")</f>
        <v>Uncle Sams Cider (5/13/2022)</v>
      </c>
      <c r="H8673" s="19"/>
    </row>
    <row r="8674">
      <c r="A8674" s="9"/>
      <c r="B8674" s="15"/>
      <c r="C8674" s="9">
        <f>IFERROR(__xludf.DUMMYFUNCTION("""COMPUTED_VALUE"""),44706.1756752546)</f>
        <v>44706.17568</v>
      </c>
      <c r="D8674" s="15">
        <f>IFERROR(__xludf.DUMMYFUNCTION("""COMPUTED_VALUE"""),1.034)</f>
        <v>1.034</v>
      </c>
      <c r="E8674" s="16">
        <f>IFERROR(__xludf.DUMMYFUNCTION("""COMPUTED_VALUE"""),66.0)</f>
        <v>66</v>
      </c>
      <c r="F8674" s="19" t="str">
        <f>IFERROR(__xludf.DUMMYFUNCTION("""COMPUTED_VALUE"""),"BLACK")</f>
        <v>BLACK</v>
      </c>
      <c r="G8674" s="20" t="str">
        <f>IFERROR(__xludf.DUMMYFUNCTION("""COMPUTED_VALUE"""),"Uncle Sams Cider (5/13/2022)")</f>
        <v>Uncle Sams Cider (5/13/2022)</v>
      </c>
      <c r="H8674" s="19"/>
    </row>
    <row r="8675">
      <c r="A8675" s="9"/>
      <c r="B8675" s="15"/>
      <c r="C8675" s="9">
        <f>IFERROR(__xludf.DUMMYFUNCTION("""COMPUTED_VALUE"""),44706.1652540393)</f>
        <v>44706.16525</v>
      </c>
      <c r="D8675" s="15">
        <f>IFERROR(__xludf.DUMMYFUNCTION("""COMPUTED_VALUE"""),1.034)</f>
        <v>1.034</v>
      </c>
      <c r="E8675" s="16">
        <f>IFERROR(__xludf.DUMMYFUNCTION("""COMPUTED_VALUE"""),66.0)</f>
        <v>66</v>
      </c>
      <c r="F8675" s="19" t="str">
        <f>IFERROR(__xludf.DUMMYFUNCTION("""COMPUTED_VALUE"""),"BLACK")</f>
        <v>BLACK</v>
      </c>
      <c r="G8675" s="20" t="str">
        <f>IFERROR(__xludf.DUMMYFUNCTION("""COMPUTED_VALUE"""),"Uncle Sams Cider (5/13/2022)")</f>
        <v>Uncle Sams Cider (5/13/2022)</v>
      </c>
      <c r="H8675" s="19"/>
    </row>
    <row r="8676">
      <c r="A8676" s="9"/>
      <c r="B8676" s="15"/>
      <c r="C8676" s="9">
        <f>IFERROR(__xludf.DUMMYFUNCTION("""COMPUTED_VALUE"""),44706.1548210069)</f>
        <v>44706.15482</v>
      </c>
      <c r="D8676" s="15">
        <f>IFERROR(__xludf.DUMMYFUNCTION("""COMPUTED_VALUE"""),1.034)</f>
        <v>1.034</v>
      </c>
      <c r="E8676" s="16">
        <f>IFERROR(__xludf.DUMMYFUNCTION("""COMPUTED_VALUE"""),66.0)</f>
        <v>66</v>
      </c>
      <c r="F8676" s="19" t="str">
        <f>IFERROR(__xludf.DUMMYFUNCTION("""COMPUTED_VALUE"""),"BLACK")</f>
        <v>BLACK</v>
      </c>
      <c r="G8676" s="20" t="str">
        <f>IFERROR(__xludf.DUMMYFUNCTION("""COMPUTED_VALUE"""),"Uncle Sams Cider (5/13/2022)")</f>
        <v>Uncle Sams Cider (5/13/2022)</v>
      </c>
      <c r="H8676" s="19"/>
    </row>
    <row r="8677">
      <c r="A8677" s="9"/>
      <c r="B8677" s="15"/>
      <c r="C8677" s="9">
        <f>IFERROR(__xludf.DUMMYFUNCTION("""COMPUTED_VALUE"""),44706.1443998379)</f>
        <v>44706.1444</v>
      </c>
      <c r="D8677" s="15">
        <f>IFERROR(__xludf.DUMMYFUNCTION("""COMPUTED_VALUE"""),1.034)</f>
        <v>1.034</v>
      </c>
      <c r="E8677" s="16">
        <f>IFERROR(__xludf.DUMMYFUNCTION("""COMPUTED_VALUE"""),66.0)</f>
        <v>66</v>
      </c>
      <c r="F8677" s="19" t="str">
        <f>IFERROR(__xludf.DUMMYFUNCTION("""COMPUTED_VALUE"""),"BLACK")</f>
        <v>BLACK</v>
      </c>
      <c r="G8677" s="20" t="str">
        <f>IFERROR(__xludf.DUMMYFUNCTION("""COMPUTED_VALUE"""),"Uncle Sams Cider (5/13/2022)")</f>
        <v>Uncle Sams Cider (5/13/2022)</v>
      </c>
      <c r="H8677" s="19"/>
    </row>
    <row r="8678">
      <c r="A8678" s="9"/>
      <c r="B8678" s="15"/>
      <c r="C8678" s="9">
        <f>IFERROR(__xludf.DUMMYFUNCTION("""COMPUTED_VALUE"""),44706.1339547685)</f>
        <v>44706.13395</v>
      </c>
      <c r="D8678" s="15">
        <f>IFERROR(__xludf.DUMMYFUNCTION("""COMPUTED_VALUE"""),1.034)</f>
        <v>1.034</v>
      </c>
      <c r="E8678" s="16">
        <f>IFERROR(__xludf.DUMMYFUNCTION("""COMPUTED_VALUE"""),66.0)</f>
        <v>66</v>
      </c>
      <c r="F8678" s="19" t="str">
        <f>IFERROR(__xludf.DUMMYFUNCTION("""COMPUTED_VALUE"""),"BLACK")</f>
        <v>BLACK</v>
      </c>
      <c r="G8678" s="20" t="str">
        <f>IFERROR(__xludf.DUMMYFUNCTION("""COMPUTED_VALUE"""),"Uncle Sams Cider (5/13/2022)")</f>
        <v>Uncle Sams Cider (5/13/2022)</v>
      </c>
      <c r="H8678" s="19"/>
    </row>
    <row r="8679">
      <c r="A8679" s="9"/>
      <c r="B8679" s="15"/>
      <c r="C8679" s="9">
        <f>IFERROR(__xludf.DUMMYFUNCTION("""COMPUTED_VALUE"""),44706.1235202546)</f>
        <v>44706.12352</v>
      </c>
      <c r="D8679" s="15">
        <f>IFERROR(__xludf.DUMMYFUNCTION("""COMPUTED_VALUE"""),1.034)</f>
        <v>1.034</v>
      </c>
      <c r="E8679" s="16">
        <f>IFERROR(__xludf.DUMMYFUNCTION("""COMPUTED_VALUE"""),66.0)</f>
        <v>66</v>
      </c>
      <c r="F8679" s="19" t="str">
        <f>IFERROR(__xludf.DUMMYFUNCTION("""COMPUTED_VALUE"""),"BLACK")</f>
        <v>BLACK</v>
      </c>
      <c r="G8679" s="20" t="str">
        <f>IFERROR(__xludf.DUMMYFUNCTION("""COMPUTED_VALUE"""),"Uncle Sams Cider (5/13/2022)")</f>
        <v>Uncle Sams Cider (5/13/2022)</v>
      </c>
      <c r="H8679" s="19"/>
    </row>
    <row r="8680">
      <c r="A8680" s="9"/>
      <c r="B8680" s="15"/>
      <c r="C8680" s="9">
        <f>IFERROR(__xludf.DUMMYFUNCTION("""COMPUTED_VALUE"""),44706.1130995138)</f>
        <v>44706.1131</v>
      </c>
      <c r="D8680" s="15">
        <f>IFERROR(__xludf.DUMMYFUNCTION("""COMPUTED_VALUE"""),1.034)</f>
        <v>1.034</v>
      </c>
      <c r="E8680" s="16">
        <f>IFERROR(__xludf.DUMMYFUNCTION("""COMPUTED_VALUE"""),66.0)</f>
        <v>66</v>
      </c>
      <c r="F8680" s="19" t="str">
        <f>IFERROR(__xludf.DUMMYFUNCTION("""COMPUTED_VALUE"""),"BLACK")</f>
        <v>BLACK</v>
      </c>
      <c r="G8680" s="20" t="str">
        <f>IFERROR(__xludf.DUMMYFUNCTION("""COMPUTED_VALUE"""),"Uncle Sams Cider (5/13/2022)")</f>
        <v>Uncle Sams Cider (5/13/2022)</v>
      </c>
      <c r="H8680" s="19"/>
    </row>
    <row r="8681">
      <c r="A8681" s="9"/>
      <c r="B8681" s="15"/>
      <c r="C8681" s="9">
        <f>IFERROR(__xludf.DUMMYFUNCTION("""COMPUTED_VALUE"""),44706.1026677199)</f>
        <v>44706.10267</v>
      </c>
      <c r="D8681" s="15">
        <f>IFERROR(__xludf.DUMMYFUNCTION("""COMPUTED_VALUE"""),1.035)</f>
        <v>1.035</v>
      </c>
      <c r="E8681" s="16">
        <f>IFERROR(__xludf.DUMMYFUNCTION("""COMPUTED_VALUE"""),66.0)</f>
        <v>66</v>
      </c>
      <c r="F8681" s="19" t="str">
        <f>IFERROR(__xludf.DUMMYFUNCTION("""COMPUTED_VALUE"""),"BLACK")</f>
        <v>BLACK</v>
      </c>
      <c r="G8681" s="20" t="str">
        <f>IFERROR(__xludf.DUMMYFUNCTION("""COMPUTED_VALUE"""),"Uncle Sams Cider (5/13/2022)")</f>
        <v>Uncle Sams Cider (5/13/2022)</v>
      </c>
      <c r="H8681" s="19"/>
    </row>
    <row r="8682">
      <c r="A8682" s="9"/>
      <c r="B8682" s="15"/>
      <c r="C8682" s="9">
        <f>IFERROR(__xludf.DUMMYFUNCTION("""COMPUTED_VALUE"""),44706.09224625)</f>
        <v>44706.09225</v>
      </c>
      <c r="D8682" s="15">
        <f>IFERROR(__xludf.DUMMYFUNCTION("""COMPUTED_VALUE"""),1.035)</f>
        <v>1.035</v>
      </c>
      <c r="E8682" s="16">
        <f>IFERROR(__xludf.DUMMYFUNCTION("""COMPUTED_VALUE"""),66.0)</f>
        <v>66</v>
      </c>
      <c r="F8682" s="19" t="str">
        <f>IFERROR(__xludf.DUMMYFUNCTION("""COMPUTED_VALUE"""),"BLACK")</f>
        <v>BLACK</v>
      </c>
      <c r="G8682" s="20" t="str">
        <f>IFERROR(__xludf.DUMMYFUNCTION("""COMPUTED_VALUE"""),"Uncle Sams Cider (5/13/2022)")</f>
        <v>Uncle Sams Cider (5/13/2022)</v>
      </c>
      <c r="H8682" s="19"/>
    </row>
    <row r="8683">
      <c r="A8683" s="9"/>
      <c r="B8683" s="15"/>
      <c r="C8683" s="9">
        <f>IFERROR(__xludf.DUMMYFUNCTION("""COMPUTED_VALUE"""),44706.0818242476)</f>
        <v>44706.08182</v>
      </c>
      <c r="D8683" s="15">
        <f>IFERROR(__xludf.DUMMYFUNCTION("""COMPUTED_VALUE"""),1.035)</f>
        <v>1.035</v>
      </c>
      <c r="E8683" s="16">
        <f>IFERROR(__xludf.DUMMYFUNCTION("""COMPUTED_VALUE"""),66.0)</f>
        <v>66</v>
      </c>
      <c r="F8683" s="19" t="str">
        <f>IFERROR(__xludf.DUMMYFUNCTION("""COMPUTED_VALUE"""),"BLACK")</f>
        <v>BLACK</v>
      </c>
      <c r="G8683" s="20" t="str">
        <f>IFERROR(__xludf.DUMMYFUNCTION("""COMPUTED_VALUE"""),"Uncle Sams Cider (5/13/2022)")</f>
        <v>Uncle Sams Cider (5/13/2022)</v>
      </c>
      <c r="H8683" s="19"/>
    </row>
    <row r="8684">
      <c r="A8684" s="9"/>
      <c r="B8684" s="15"/>
      <c r="C8684" s="9">
        <f>IFERROR(__xludf.DUMMYFUNCTION("""COMPUTED_VALUE"""),44706.0714030092)</f>
        <v>44706.0714</v>
      </c>
      <c r="D8684" s="15">
        <f>IFERROR(__xludf.DUMMYFUNCTION("""COMPUTED_VALUE"""),1.035)</f>
        <v>1.035</v>
      </c>
      <c r="E8684" s="16">
        <f>IFERROR(__xludf.DUMMYFUNCTION("""COMPUTED_VALUE"""),66.0)</f>
        <v>66</v>
      </c>
      <c r="F8684" s="19" t="str">
        <f>IFERROR(__xludf.DUMMYFUNCTION("""COMPUTED_VALUE"""),"BLACK")</f>
        <v>BLACK</v>
      </c>
      <c r="G8684" s="20" t="str">
        <f>IFERROR(__xludf.DUMMYFUNCTION("""COMPUTED_VALUE"""),"Uncle Sams Cider (5/13/2022)")</f>
        <v>Uncle Sams Cider (5/13/2022)</v>
      </c>
      <c r="H8684" s="19"/>
    </row>
    <row r="8685">
      <c r="A8685" s="9"/>
      <c r="B8685" s="15"/>
      <c r="C8685" s="9">
        <f>IFERROR(__xludf.DUMMYFUNCTION("""COMPUTED_VALUE"""),44706.0609823148)</f>
        <v>44706.06098</v>
      </c>
      <c r="D8685" s="15">
        <f>IFERROR(__xludf.DUMMYFUNCTION("""COMPUTED_VALUE"""),1.035)</f>
        <v>1.035</v>
      </c>
      <c r="E8685" s="16">
        <f>IFERROR(__xludf.DUMMYFUNCTION("""COMPUTED_VALUE"""),66.0)</f>
        <v>66</v>
      </c>
      <c r="F8685" s="19" t="str">
        <f>IFERROR(__xludf.DUMMYFUNCTION("""COMPUTED_VALUE"""),"BLACK")</f>
        <v>BLACK</v>
      </c>
      <c r="G8685" s="20" t="str">
        <f>IFERROR(__xludf.DUMMYFUNCTION("""COMPUTED_VALUE"""),"Uncle Sams Cider (5/13/2022)")</f>
        <v>Uncle Sams Cider (5/13/2022)</v>
      </c>
      <c r="H8685" s="19"/>
    </row>
    <row r="8686">
      <c r="A8686" s="9"/>
      <c r="B8686" s="15"/>
      <c r="C8686" s="9">
        <f>IFERROR(__xludf.DUMMYFUNCTION("""COMPUTED_VALUE"""),44706.0505607175)</f>
        <v>44706.05056</v>
      </c>
      <c r="D8686" s="15">
        <f>IFERROR(__xludf.DUMMYFUNCTION("""COMPUTED_VALUE"""),1.035)</f>
        <v>1.035</v>
      </c>
      <c r="E8686" s="16">
        <f>IFERROR(__xludf.DUMMYFUNCTION("""COMPUTED_VALUE"""),66.0)</f>
        <v>66</v>
      </c>
      <c r="F8686" s="19" t="str">
        <f>IFERROR(__xludf.DUMMYFUNCTION("""COMPUTED_VALUE"""),"BLACK")</f>
        <v>BLACK</v>
      </c>
      <c r="G8686" s="20" t="str">
        <f>IFERROR(__xludf.DUMMYFUNCTION("""COMPUTED_VALUE"""),"Uncle Sams Cider (5/13/2022)")</f>
        <v>Uncle Sams Cider (5/13/2022)</v>
      </c>
      <c r="H8686" s="19"/>
    </row>
    <row r="8687">
      <c r="A8687" s="9"/>
      <c r="B8687" s="15"/>
      <c r="C8687" s="9">
        <f>IFERROR(__xludf.DUMMYFUNCTION("""COMPUTED_VALUE"""),44706.0401402083)</f>
        <v>44706.04014</v>
      </c>
      <c r="D8687" s="15">
        <f>IFERROR(__xludf.DUMMYFUNCTION("""COMPUTED_VALUE"""),1.035)</f>
        <v>1.035</v>
      </c>
      <c r="E8687" s="16">
        <f>IFERROR(__xludf.DUMMYFUNCTION("""COMPUTED_VALUE"""),66.0)</f>
        <v>66</v>
      </c>
      <c r="F8687" s="19" t="str">
        <f>IFERROR(__xludf.DUMMYFUNCTION("""COMPUTED_VALUE"""),"BLACK")</f>
        <v>BLACK</v>
      </c>
      <c r="G8687" s="20" t="str">
        <f>IFERROR(__xludf.DUMMYFUNCTION("""COMPUTED_VALUE"""),"Uncle Sams Cider (5/13/2022)")</f>
        <v>Uncle Sams Cider (5/13/2022)</v>
      </c>
      <c r="H8687" s="19"/>
    </row>
    <row r="8688">
      <c r="A8688" s="9"/>
      <c r="B8688" s="15"/>
      <c r="C8688" s="9">
        <f>IFERROR(__xludf.DUMMYFUNCTION("""COMPUTED_VALUE"""),44706.0297069097)</f>
        <v>44706.02971</v>
      </c>
      <c r="D8688" s="15">
        <f>IFERROR(__xludf.DUMMYFUNCTION("""COMPUTED_VALUE"""),1.035)</f>
        <v>1.035</v>
      </c>
      <c r="E8688" s="16">
        <f>IFERROR(__xludf.DUMMYFUNCTION("""COMPUTED_VALUE"""),66.0)</f>
        <v>66</v>
      </c>
      <c r="F8688" s="19" t="str">
        <f>IFERROR(__xludf.DUMMYFUNCTION("""COMPUTED_VALUE"""),"BLACK")</f>
        <v>BLACK</v>
      </c>
      <c r="G8688" s="20" t="str">
        <f>IFERROR(__xludf.DUMMYFUNCTION("""COMPUTED_VALUE"""),"Uncle Sams Cider (5/13/2022)")</f>
        <v>Uncle Sams Cider (5/13/2022)</v>
      </c>
      <c r="H8688" s="19"/>
    </row>
    <row r="8689">
      <c r="A8689" s="9"/>
      <c r="B8689" s="15"/>
      <c r="C8689" s="9">
        <f>IFERROR(__xludf.DUMMYFUNCTION("""COMPUTED_VALUE"""),44706.0192866551)</f>
        <v>44706.01929</v>
      </c>
      <c r="D8689" s="15">
        <f>IFERROR(__xludf.DUMMYFUNCTION("""COMPUTED_VALUE"""),1.035)</f>
        <v>1.035</v>
      </c>
      <c r="E8689" s="16">
        <f>IFERROR(__xludf.DUMMYFUNCTION("""COMPUTED_VALUE"""),66.0)</f>
        <v>66</v>
      </c>
      <c r="F8689" s="19" t="str">
        <f>IFERROR(__xludf.DUMMYFUNCTION("""COMPUTED_VALUE"""),"BLACK")</f>
        <v>BLACK</v>
      </c>
      <c r="G8689" s="20" t="str">
        <f>IFERROR(__xludf.DUMMYFUNCTION("""COMPUTED_VALUE"""),"Uncle Sams Cider (5/13/2022)")</f>
        <v>Uncle Sams Cider (5/13/2022)</v>
      </c>
      <c r="H8689" s="19"/>
    </row>
    <row r="8690">
      <c r="A8690" s="9"/>
      <c r="B8690" s="15"/>
      <c r="C8690" s="9">
        <f>IFERROR(__xludf.DUMMYFUNCTION("""COMPUTED_VALUE"""),44706.0088642708)</f>
        <v>44706.00886</v>
      </c>
      <c r="D8690" s="15">
        <f>IFERROR(__xludf.DUMMYFUNCTION("""COMPUTED_VALUE"""),1.035)</f>
        <v>1.035</v>
      </c>
      <c r="E8690" s="16">
        <f>IFERROR(__xludf.DUMMYFUNCTION("""COMPUTED_VALUE"""),66.0)</f>
        <v>66</v>
      </c>
      <c r="F8690" s="19" t="str">
        <f>IFERROR(__xludf.DUMMYFUNCTION("""COMPUTED_VALUE"""),"BLACK")</f>
        <v>BLACK</v>
      </c>
      <c r="G8690" s="20" t="str">
        <f>IFERROR(__xludf.DUMMYFUNCTION("""COMPUTED_VALUE"""),"Uncle Sams Cider (5/13/2022)")</f>
        <v>Uncle Sams Cider (5/13/2022)</v>
      </c>
      <c r="H8690" s="19"/>
    </row>
    <row r="8691">
      <c r="A8691" s="9"/>
      <c r="B8691" s="15"/>
      <c r="C8691" s="9">
        <f>IFERROR(__xludf.DUMMYFUNCTION("""COMPUTED_VALUE"""),44705.9984326504)</f>
        <v>44705.99843</v>
      </c>
      <c r="D8691" s="15">
        <f>IFERROR(__xludf.DUMMYFUNCTION("""COMPUTED_VALUE"""),1.035)</f>
        <v>1.035</v>
      </c>
      <c r="E8691" s="16">
        <f>IFERROR(__xludf.DUMMYFUNCTION("""COMPUTED_VALUE"""),66.0)</f>
        <v>66</v>
      </c>
      <c r="F8691" s="19" t="str">
        <f>IFERROR(__xludf.DUMMYFUNCTION("""COMPUTED_VALUE"""),"BLACK")</f>
        <v>BLACK</v>
      </c>
      <c r="G8691" s="20" t="str">
        <f>IFERROR(__xludf.DUMMYFUNCTION("""COMPUTED_VALUE"""),"Uncle Sams Cider (5/13/2022)")</f>
        <v>Uncle Sams Cider (5/13/2022)</v>
      </c>
      <c r="H8691" s="19"/>
    </row>
    <row r="8692">
      <c r="A8692" s="9"/>
      <c r="B8692" s="15"/>
      <c r="C8692" s="9">
        <f>IFERROR(__xludf.DUMMYFUNCTION("""COMPUTED_VALUE"""),44705.9879755902)</f>
        <v>44705.98798</v>
      </c>
      <c r="D8692" s="15">
        <f>IFERROR(__xludf.DUMMYFUNCTION("""COMPUTED_VALUE"""),1.035)</f>
        <v>1.035</v>
      </c>
      <c r="E8692" s="16">
        <f>IFERROR(__xludf.DUMMYFUNCTION("""COMPUTED_VALUE"""),66.0)</f>
        <v>66</v>
      </c>
      <c r="F8692" s="19" t="str">
        <f>IFERROR(__xludf.DUMMYFUNCTION("""COMPUTED_VALUE"""),"BLACK")</f>
        <v>BLACK</v>
      </c>
      <c r="G8692" s="20" t="str">
        <f>IFERROR(__xludf.DUMMYFUNCTION("""COMPUTED_VALUE"""),"Uncle Sams Cider (5/13/2022)")</f>
        <v>Uncle Sams Cider (5/13/2022)</v>
      </c>
      <c r="H8692" s="19"/>
    </row>
    <row r="8693">
      <c r="A8693" s="9"/>
      <c r="B8693" s="15"/>
      <c r="C8693" s="9">
        <f>IFERROR(__xludf.DUMMYFUNCTION("""COMPUTED_VALUE"""),44705.9775324537)</f>
        <v>44705.97753</v>
      </c>
      <c r="D8693" s="15">
        <f>IFERROR(__xludf.DUMMYFUNCTION("""COMPUTED_VALUE"""),1.035)</f>
        <v>1.035</v>
      </c>
      <c r="E8693" s="16">
        <f>IFERROR(__xludf.DUMMYFUNCTION("""COMPUTED_VALUE"""),66.0)</f>
        <v>66</v>
      </c>
      <c r="F8693" s="19" t="str">
        <f>IFERROR(__xludf.DUMMYFUNCTION("""COMPUTED_VALUE"""),"BLACK")</f>
        <v>BLACK</v>
      </c>
      <c r="G8693" s="20" t="str">
        <f>IFERROR(__xludf.DUMMYFUNCTION("""COMPUTED_VALUE"""),"Uncle Sams Cider (5/13/2022)")</f>
        <v>Uncle Sams Cider (5/13/2022)</v>
      </c>
      <c r="H8693" s="19"/>
    </row>
    <row r="8694">
      <c r="A8694" s="9"/>
      <c r="B8694" s="15"/>
      <c r="C8694" s="9">
        <f>IFERROR(__xludf.DUMMYFUNCTION("""COMPUTED_VALUE"""),44705.9671092129)</f>
        <v>44705.96711</v>
      </c>
      <c r="D8694" s="15">
        <f>IFERROR(__xludf.DUMMYFUNCTION("""COMPUTED_VALUE"""),1.035)</f>
        <v>1.035</v>
      </c>
      <c r="E8694" s="16">
        <f>IFERROR(__xludf.DUMMYFUNCTION("""COMPUTED_VALUE"""),66.0)</f>
        <v>66</v>
      </c>
      <c r="F8694" s="19" t="str">
        <f>IFERROR(__xludf.DUMMYFUNCTION("""COMPUTED_VALUE"""),"BLACK")</f>
        <v>BLACK</v>
      </c>
      <c r="G8694" s="20" t="str">
        <f>IFERROR(__xludf.DUMMYFUNCTION("""COMPUTED_VALUE"""),"Uncle Sams Cider (5/13/2022)")</f>
        <v>Uncle Sams Cider (5/13/2022)</v>
      </c>
      <c r="H8694" s="19"/>
    </row>
    <row r="8695">
      <c r="A8695" s="9"/>
      <c r="B8695" s="15"/>
      <c r="C8695" s="9">
        <f>IFERROR(__xludf.DUMMYFUNCTION("""COMPUTED_VALUE"""),44705.9566885532)</f>
        <v>44705.95669</v>
      </c>
      <c r="D8695" s="15">
        <f>IFERROR(__xludf.DUMMYFUNCTION("""COMPUTED_VALUE"""),1.035)</f>
        <v>1.035</v>
      </c>
      <c r="E8695" s="16">
        <f>IFERROR(__xludf.DUMMYFUNCTION("""COMPUTED_VALUE"""),66.0)</f>
        <v>66</v>
      </c>
      <c r="F8695" s="19" t="str">
        <f>IFERROR(__xludf.DUMMYFUNCTION("""COMPUTED_VALUE"""),"BLACK")</f>
        <v>BLACK</v>
      </c>
      <c r="G8695" s="20" t="str">
        <f>IFERROR(__xludf.DUMMYFUNCTION("""COMPUTED_VALUE"""),"Uncle Sams Cider (5/13/2022)")</f>
        <v>Uncle Sams Cider (5/13/2022)</v>
      </c>
      <c r="H8695" s="19"/>
    </row>
    <row r="8696">
      <c r="A8696" s="9"/>
      <c r="B8696" s="15"/>
      <c r="C8696" s="9">
        <f>IFERROR(__xludf.DUMMYFUNCTION("""COMPUTED_VALUE"""),44705.9462675231)</f>
        <v>44705.94627</v>
      </c>
      <c r="D8696" s="15">
        <f>IFERROR(__xludf.DUMMYFUNCTION("""COMPUTED_VALUE"""),1.035)</f>
        <v>1.035</v>
      </c>
      <c r="E8696" s="16">
        <f>IFERROR(__xludf.DUMMYFUNCTION("""COMPUTED_VALUE"""),66.0)</f>
        <v>66</v>
      </c>
      <c r="F8696" s="19" t="str">
        <f>IFERROR(__xludf.DUMMYFUNCTION("""COMPUTED_VALUE"""),"BLACK")</f>
        <v>BLACK</v>
      </c>
      <c r="G8696" s="20" t="str">
        <f>IFERROR(__xludf.DUMMYFUNCTION("""COMPUTED_VALUE"""),"Uncle Sams Cider (5/13/2022)")</f>
        <v>Uncle Sams Cider (5/13/2022)</v>
      </c>
      <c r="H8696" s="19"/>
    </row>
    <row r="8697">
      <c r="A8697" s="9"/>
      <c r="B8697" s="15"/>
      <c r="C8697" s="9">
        <f>IFERROR(__xludf.DUMMYFUNCTION("""COMPUTED_VALUE"""),44705.9358454861)</f>
        <v>44705.93585</v>
      </c>
      <c r="D8697" s="15">
        <f>IFERROR(__xludf.DUMMYFUNCTION("""COMPUTED_VALUE"""),1.035)</f>
        <v>1.035</v>
      </c>
      <c r="E8697" s="16">
        <f>IFERROR(__xludf.DUMMYFUNCTION("""COMPUTED_VALUE"""),66.0)</f>
        <v>66</v>
      </c>
      <c r="F8697" s="19" t="str">
        <f>IFERROR(__xludf.DUMMYFUNCTION("""COMPUTED_VALUE"""),"BLACK")</f>
        <v>BLACK</v>
      </c>
      <c r="G8697" s="20" t="str">
        <f>IFERROR(__xludf.DUMMYFUNCTION("""COMPUTED_VALUE"""),"Uncle Sams Cider (5/13/2022)")</f>
        <v>Uncle Sams Cider (5/13/2022)</v>
      </c>
      <c r="H8697" s="19"/>
    </row>
    <row r="8698">
      <c r="A8698" s="9"/>
      <c r="B8698" s="15"/>
      <c r="C8698" s="9">
        <f>IFERROR(__xludf.DUMMYFUNCTION("""COMPUTED_VALUE"""),44705.9254253356)</f>
        <v>44705.92543</v>
      </c>
      <c r="D8698" s="15">
        <f>IFERROR(__xludf.DUMMYFUNCTION("""COMPUTED_VALUE"""),1.035)</f>
        <v>1.035</v>
      </c>
      <c r="E8698" s="16">
        <f>IFERROR(__xludf.DUMMYFUNCTION("""COMPUTED_VALUE"""),66.0)</f>
        <v>66</v>
      </c>
      <c r="F8698" s="19" t="str">
        <f>IFERROR(__xludf.DUMMYFUNCTION("""COMPUTED_VALUE"""),"BLACK")</f>
        <v>BLACK</v>
      </c>
      <c r="G8698" s="20" t="str">
        <f>IFERROR(__xludf.DUMMYFUNCTION("""COMPUTED_VALUE"""),"Uncle Sams Cider (5/13/2022)")</f>
        <v>Uncle Sams Cider (5/13/2022)</v>
      </c>
      <c r="H8698" s="19"/>
    </row>
    <row r="8699">
      <c r="A8699" s="9"/>
      <c r="B8699" s="15"/>
      <c r="C8699" s="9">
        <f>IFERROR(__xludf.DUMMYFUNCTION("""COMPUTED_VALUE"""),44705.9150072106)</f>
        <v>44705.91501</v>
      </c>
      <c r="D8699" s="15">
        <f>IFERROR(__xludf.DUMMYFUNCTION("""COMPUTED_VALUE"""),1.035)</f>
        <v>1.035</v>
      </c>
      <c r="E8699" s="16">
        <f>IFERROR(__xludf.DUMMYFUNCTION("""COMPUTED_VALUE"""),66.0)</f>
        <v>66</v>
      </c>
      <c r="F8699" s="19" t="str">
        <f>IFERROR(__xludf.DUMMYFUNCTION("""COMPUTED_VALUE"""),"BLACK")</f>
        <v>BLACK</v>
      </c>
      <c r="G8699" s="20" t="str">
        <f>IFERROR(__xludf.DUMMYFUNCTION("""COMPUTED_VALUE"""),"Uncle Sams Cider (5/13/2022)")</f>
        <v>Uncle Sams Cider (5/13/2022)</v>
      </c>
      <c r="H8699" s="19"/>
    </row>
    <row r="8700">
      <c r="A8700" s="9"/>
      <c r="B8700" s="15"/>
      <c r="C8700" s="9">
        <f>IFERROR(__xludf.DUMMYFUNCTION("""COMPUTED_VALUE"""),44705.9045508217)</f>
        <v>44705.90455</v>
      </c>
      <c r="D8700" s="15">
        <f>IFERROR(__xludf.DUMMYFUNCTION("""COMPUTED_VALUE"""),1.035)</f>
        <v>1.035</v>
      </c>
      <c r="E8700" s="16">
        <f>IFERROR(__xludf.DUMMYFUNCTION("""COMPUTED_VALUE"""),66.0)</f>
        <v>66</v>
      </c>
      <c r="F8700" s="19" t="str">
        <f>IFERROR(__xludf.DUMMYFUNCTION("""COMPUTED_VALUE"""),"BLACK")</f>
        <v>BLACK</v>
      </c>
      <c r="G8700" s="20" t="str">
        <f>IFERROR(__xludf.DUMMYFUNCTION("""COMPUTED_VALUE"""),"Uncle Sams Cider (5/13/2022)")</f>
        <v>Uncle Sams Cider (5/13/2022)</v>
      </c>
      <c r="H8700" s="19"/>
    </row>
    <row r="8701">
      <c r="A8701" s="9"/>
      <c r="B8701" s="15"/>
      <c r="C8701" s="9">
        <f>IFERROR(__xludf.DUMMYFUNCTION("""COMPUTED_VALUE"""),44705.8941311342)</f>
        <v>44705.89413</v>
      </c>
      <c r="D8701" s="15">
        <f>IFERROR(__xludf.DUMMYFUNCTION("""COMPUTED_VALUE"""),1.035)</f>
        <v>1.035</v>
      </c>
      <c r="E8701" s="16">
        <f>IFERROR(__xludf.DUMMYFUNCTION("""COMPUTED_VALUE"""),66.0)</f>
        <v>66</v>
      </c>
      <c r="F8701" s="19" t="str">
        <f>IFERROR(__xludf.DUMMYFUNCTION("""COMPUTED_VALUE"""),"BLACK")</f>
        <v>BLACK</v>
      </c>
      <c r="G8701" s="20" t="str">
        <f>IFERROR(__xludf.DUMMYFUNCTION("""COMPUTED_VALUE"""),"Uncle Sams Cider (5/13/2022)")</f>
        <v>Uncle Sams Cider (5/13/2022)</v>
      </c>
      <c r="H8701" s="19"/>
    </row>
    <row r="8702">
      <c r="A8702" s="9"/>
      <c r="B8702" s="15"/>
      <c r="C8702" s="9">
        <f>IFERROR(__xludf.DUMMYFUNCTION("""COMPUTED_VALUE"""),44705.8837102314)</f>
        <v>44705.88371</v>
      </c>
      <c r="D8702" s="15">
        <f>IFERROR(__xludf.DUMMYFUNCTION("""COMPUTED_VALUE"""),1.035)</f>
        <v>1.035</v>
      </c>
      <c r="E8702" s="16">
        <f>IFERROR(__xludf.DUMMYFUNCTION("""COMPUTED_VALUE"""),66.0)</f>
        <v>66</v>
      </c>
      <c r="F8702" s="19" t="str">
        <f>IFERROR(__xludf.DUMMYFUNCTION("""COMPUTED_VALUE"""),"BLACK")</f>
        <v>BLACK</v>
      </c>
      <c r="G8702" s="20" t="str">
        <f>IFERROR(__xludf.DUMMYFUNCTION("""COMPUTED_VALUE"""),"Uncle Sams Cider (5/13/2022)")</f>
        <v>Uncle Sams Cider (5/13/2022)</v>
      </c>
      <c r="H8702" s="19"/>
    </row>
    <row r="8703">
      <c r="A8703" s="9"/>
      <c r="B8703" s="15"/>
      <c r="C8703" s="9">
        <f>IFERROR(__xludf.DUMMYFUNCTION("""COMPUTED_VALUE"""),44705.8732758101)</f>
        <v>44705.87328</v>
      </c>
      <c r="D8703" s="15">
        <f>IFERROR(__xludf.DUMMYFUNCTION("""COMPUTED_VALUE"""),1.035)</f>
        <v>1.035</v>
      </c>
      <c r="E8703" s="16">
        <f>IFERROR(__xludf.DUMMYFUNCTION("""COMPUTED_VALUE"""),66.0)</f>
        <v>66</v>
      </c>
      <c r="F8703" s="19" t="str">
        <f>IFERROR(__xludf.DUMMYFUNCTION("""COMPUTED_VALUE"""),"BLACK")</f>
        <v>BLACK</v>
      </c>
      <c r="G8703" s="20" t="str">
        <f>IFERROR(__xludf.DUMMYFUNCTION("""COMPUTED_VALUE"""),"Uncle Sams Cider (5/13/2022)")</f>
        <v>Uncle Sams Cider (5/13/2022)</v>
      </c>
      <c r="H8703" s="19"/>
    </row>
    <row r="8704">
      <c r="A8704" s="9"/>
      <c r="B8704" s="15"/>
      <c r="C8704" s="9">
        <f>IFERROR(__xludf.DUMMYFUNCTION("""COMPUTED_VALUE"""),44705.8628531828)</f>
        <v>44705.86285</v>
      </c>
      <c r="D8704" s="15">
        <f>IFERROR(__xludf.DUMMYFUNCTION("""COMPUTED_VALUE"""),1.035)</f>
        <v>1.035</v>
      </c>
      <c r="E8704" s="16">
        <f>IFERROR(__xludf.DUMMYFUNCTION("""COMPUTED_VALUE"""),66.0)</f>
        <v>66</v>
      </c>
      <c r="F8704" s="19" t="str">
        <f>IFERROR(__xludf.DUMMYFUNCTION("""COMPUTED_VALUE"""),"BLACK")</f>
        <v>BLACK</v>
      </c>
      <c r="G8704" s="20" t="str">
        <f>IFERROR(__xludf.DUMMYFUNCTION("""COMPUTED_VALUE"""),"Uncle Sams Cider (5/13/2022)")</f>
        <v>Uncle Sams Cider (5/13/2022)</v>
      </c>
      <c r="H8704" s="19"/>
    </row>
    <row r="8705">
      <c r="A8705" s="9"/>
      <c r="B8705" s="15"/>
      <c r="C8705" s="9">
        <f>IFERROR(__xludf.DUMMYFUNCTION("""COMPUTED_VALUE"""),44705.8524317013)</f>
        <v>44705.85243</v>
      </c>
      <c r="D8705" s="15">
        <f>IFERROR(__xludf.DUMMYFUNCTION("""COMPUTED_VALUE"""),1.035)</f>
        <v>1.035</v>
      </c>
      <c r="E8705" s="16">
        <f>IFERROR(__xludf.DUMMYFUNCTION("""COMPUTED_VALUE"""),66.0)</f>
        <v>66</v>
      </c>
      <c r="F8705" s="19" t="str">
        <f>IFERROR(__xludf.DUMMYFUNCTION("""COMPUTED_VALUE"""),"BLACK")</f>
        <v>BLACK</v>
      </c>
      <c r="G8705" s="20" t="str">
        <f>IFERROR(__xludf.DUMMYFUNCTION("""COMPUTED_VALUE"""),"Uncle Sams Cider (5/13/2022)")</f>
        <v>Uncle Sams Cider (5/13/2022)</v>
      </c>
      <c r="H8705" s="19"/>
    </row>
    <row r="8706">
      <c r="A8706" s="9"/>
      <c r="B8706" s="15"/>
      <c r="C8706" s="9">
        <f>IFERROR(__xludf.DUMMYFUNCTION("""COMPUTED_VALUE"""),44705.8420126851)</f>
        <v>44705.84201</v>
      </c>
      <c r="D8706" s="15">
        <f>IFERROR(__xludf.DUMMYFUNCTION("""COMPUTED_VALUE"""),1.035)</f>
        <v>1.035</v>
      </c>
      <c r="E8706" s="16">
        <f>IFERROR(__xludf.DUMMYFUNCTION("""COMPUTED_VALUE"""),66.0)</f>
        <v>66</v>
      </c>
      <c r="F8706" s="19" t="str">
        <f>IFERROR(__xludf.DUMMYFUNCTION("""COMPUTED_VALUE"""),"BLACK")</f>
        <v>BLACK</v>
      </c>
      <c r="G8706" s="20" t="str">
        <f>IFERROR(__xludf.DUMMYFUNCTION("""COMPUTED_VALUE"""),"Uncle Sams Cider (5/13/2022)")</f>
        <v>Uncle Sams Cider (5/13/2022)</v>
      </c>
      <c r="H8706" s="19"/>
    </row>
    <row r="8707">
      <c r="A8707" s="9"/>
      <c r="B8707" s="15"/>
      <c r="C8707" s="9">
        <f>IFERROR(__xludf.DUMMYFUNCTION("""COMPUTED_VALUE"""),44705.8315920601)</f>
        <v>44705.83159</v>
      </c>
      <c r="D8707" s="15">
        <f>IFERROR(__xludf.DUMMYFUNCTION("""COMPUTED_VALUE"""),1.035)</f>
        <v>1.035</v>
      </c>
      <c r="E8707" s="16">
        <f>IFERROR(__xludf.DUMMYFUNCTION("""COMPUTED_VALUE"""),66.0)</f>
        <v>66</v>
      </c>
      <c r="F8707" s="19" t="str">
        <f>IFERROR(__xludf.DUMMYFUNCTION("""COMPUTED_VALUE"""),"BLACK")</f>
        <v>BLACK</v>
      </c>
      <c r="G8707" s="20" t="str">
        <f>IFERROR(__xludf.DUMMYFUNCTION("""COMPUTED_VALUE"""),"Uncle Sams Cider (5/13/2022)")</f>
        <v>Uncle Sams Cider (5/13/2022)</v>
      </c>
      <c r="H8707" s="19"/>
    </row>
    <row r="8708">
      <c r="A8708" s="9"/>
      <c r="B8708" s="15"/>
      <c r="C8708" s="9">
        <f>IFERROR(__xludf.DUMMYFUNCTION("""COMPUTED_VALUE"""),44705.821170081)</f>
        <v>44705.82117</v>
      </c>
      <c r="D8708" s="15">
        <f>IFERROR(__xludf.DUMMYFUNCTION("""COMPUTED_VALUE"""),1.035)</f>
        <v>1.035</v>
      </c>
      <c r="E8708" s="16">
        <f>IFERROR(__xludf.DUMMYFUNCTION("""COMPUTED_VALUE"""),66.0)</f>
        <v>66</v>
      </c>
      <c r="F8708" s="19" t="str">
        <f>IFERROR(__xludf.DUMMYFUNCTION("""COMPUTED_VALUE"""),"BLACK")</f>
        <v>BLACK</v>
      </c>
      <c r="G8708" s="20" t="str">
        <f>IFERROR(__xludf.DUMMYFUNCTION("""COMPUTED_VALUE"""),"Uncle Sams Cider (5/13/2022)")</f>
        <v>Uncle Sams Cider (5/13/2022)</v>
      </c>
      <c r="H8708" s="19"/>
    </row>
    <row r="8709">
      <c r="A8709" s="9"/>
      <c r="B8709" s="15"/>
      <c r="C8709" s="9">
        <f>IFERROR(__xludf.DUMMYFUNCTION("""COMPUTED_VALUE"""),44705.810750081)</f>
        <v>44705.81075</v>
      </c>
      <c r="D8709" s="15">
        <f>IFERROR(__xludf.DUMMYFUNCTION("""COMPUTED_VALUE"""),1.036)</f>
        <v>1.036</v>
      </c>
      <c r="E8709" s="16">
        <f>IFERROR(__xludf.DUMMYFUNCTION("""COMPUTED_VALUE"""),66.0)</f>
        <v>66</v>
      </c>
      <c r="F8709" s="19" t="str">
        <f>IFERROR(__xludf.DUMMYFUNCTION("""COMPUTED_VALUE"""),"BLACK")</f>
        <v>BLACK</v>
      </c>
      <c r="G8709" s="20" t="str">
        <f>IFERROR(__xludf.DUMMYFUNCTION("""COMPUTED_VALUE"""),"Uncle Sams Cider (5/13/2022)")</f>
        <v>Uncle Sams Cider (5/13/2022)</v>
      </c>
      <c r="H8709" s="19"/>
    </row>
    <row r="8710">
      <c r="A8710" s="9"/>
      <c r="B8710" s="15"/>
      <c r="C8710" s="9">
        <f>IFERROR(__xludf.DUMMYFUNCTION("""COMPUTED_VALUE"""),44705.8003307754)</f>
        <v>44705.80033</v>
      </c>
      <c r="D8710" s="15">
        <f>IFERROR(__xludf.DUMMYFUNCTION("""COMPUTED_VALUE"""),1.035)</f>
        <v>1.035</v>
      </c>
      <c r="E8710" s="16">
        <f>IFERROR(__xludf.DUMMYFUNCTION("""COMPUTED_VALUE"""),66.0)</f>
        <v>66</v>
      </c>
      <c r="F8710" s="19" t="str">
        <f>IFERROR(__xludf.DUMMYFUNCTION("""COMPUTED_VALUE"""),"BLACK")</f>
        <v>BLACK</v>
      </c>
      <c r="G8710" s="20" t="str">
        <f>IFERROR(__xludf.DUMMYFUNCTION("""COMPUTED_VALUE"""),"Uncle Sams Cider (5/13/2022)")</f>
        <v>Uncle Sams Cider (5/13/2022)</v>
      </c>
      <c r="H8710" s="19"/>
    </row>
    <row r="8711">
      <c r="A8711" s="9"/>
      <c r="B8711" s="15"/>
      <c r="C8711" s="9">
        <f>IFERROR(__xludf.DUMMYFUNCTION("""COMPUTED_VALUE"""),44705.7899106712)</f>
        <v>44705.78991</v>
      </c>
      <c r="D8711" s="15">
        <f>IFERROR(__xludf.DUMMYFUNCTION("""COMPUTED_VALUE"""),1.036)</f>
        <v>1.036</v>
      </c>
      <c r="E8711" s="16">
        <f>IFERROR(__xludf.DUMMYFUNCTION("""COMPUTED_VALUE"""),66.0)</f>
        <v>66</v>
      </c>
      <c r="F8711" s="19" t="str">
        <f>IFERROR(__xludf.DUMMYFUNCTION("""COMPUTED_VALUE"""),"BLACK")</f>
        <v>BLACK</v>
      </c>
      <c r="G8711" s="20" t="str">
        <f>IFERROR(__xludf.DUMMYFUNCTION("""COMPUTED_VALUE"""),"Uncle Sams Cider (5/13/2022)")</f>
        <v>Uncle Sams Cider (5/13/2022)</v>
      </c>
      <c r="H8711" s="19"/>
    </row>
    <row r="8712">
      <c r="A8712" s="9"/>
      <c r="B8712" s="15"/>
      <c r="C8712" s="9">
        <f>IFERROR(__xludf.DUMMYFUNCTION("""COMPUTED_VALUE"""),44705.7794893981)</f>
        <v>44705.77949</v>
      </c>
      <c r="D8712" s="15">
        <f>IFERROR(__xludf.DUMMYFUNCTION("""COMPUTED_VALUE"""),1.036)</f>
        <v>1.036</v>
      </c>
      <c r="E8712" s="16">
        <f>IFERROR(__xludf.DUMMYFUNCTION("""COMPUTED_VALUE"""),66.0)</f>
        <v>66</v>
      </c>
      <c r="F8712" s="19" t="str">
        <f>IFERROR(__xludf.DUMMYFUNCTION("""COMPUTED_VALUE"""),"BLACK")</f>
        <v>BLACK</v>
      </c>
      <c r="G8712" s="20" t="str">
        <f>IFERROR(__xludf.DUMMYFUNCTION("""COMPUTED_VALUE"""),"Uncle Sams Cider (5/13/2022)")</f>
        <v>Uncle Sams Cider (5/13/2022)</v>
      </c>
      <c r="H8712" s="19"/>
    </row>
    <row r="8713">
      <c r="A8713" s="9"/>
      <c r="B8713" s="15"/>
      <c r="C8713" s="9">
        <f>IFERROR(__xludf.DUMMYFUNCTION("""COMPUTED_VALUE"""),44705.7690689236)</f>
        <v>44705.76907</v>
      </c>
      <c r="D8713" s="15">
        <f>IFERROR(__xludf.DUMMYFUNCTION("""COMPUTED_VALUE"""),1.035)</f>
        <v>1.035</v>
      </c>
      <c r="E8713" s="16">
        <f>IFERROR(__xludf.DUMMYFUNCTION("""COMPUTED_VALUE"""),66.0)</f>
        <v>66</v>
      </c>
      <c r="F8713" s="19" t="str">
        <f>IFERROR(__xludf.DUMMYFUNCTION("""COMPUTED_VALUE"""),"BLACK")</f>
        <v>BLACK</v>
      </c>
      <c r="G8713" s="20" t="str">
        <f>IFERROR(__xludf.DUMMYFUNCTION("""COMPUTED_VALUE"""),"Uncle Sams Cider (5/13/2022)")</f>
        <v>Uncle Sams Cider (5/13/2022)</v>
      </c>
      <c r="H8713" s="19"/>
    </row>
    <row r="8714">
      <c r="A8714" s="9"/>
      <c r="B8714" s="15"/>
      <c r="C8714" s="9">
        <f>IFERROR(__xludf.DUMMYFUNCTION("""COMPUTED_VALUE"""),44705.7586367129)</f>
        <v>44705.75864</v>
      </c>
      <c r="D8714" s="15">
        <f>IFERROR(__xludf.DUMMYFUNCTION("""COMPUTED_VALUE"""),1.036)</f>
        <v>1.036</v>
      </c>
      <c r="E8714" s="16">
        <f>IFERROR(__xludf.DUMMYFUNCTION("""COMPUTED_VALUE"""),66.0)</f>
        <v>66</v>
      </c>
      <c r="F8714" s="19" t="str">
        <f>IFERROR(__xludf.DUMMYFUNCTION("""COMPUTED_VALUE"""),"BLACK")</f>
        <v>BLACK</v>
      </c>
      <c r="G8714" s="20" t="str">
        <f>IFERROR(__xludf.DUMMYFUNCTION("""COMPUTED_VALUE"""),"Uncle Sams Cider (5/13/2022)")</f>
        <v>Uncle Sams Cider (5/13/2022)</v>
      </c>
      <c r="H8714" s="19"/>
    </row>
    <row r="8715">
      <c r="A8715" s="9"/>
      <c r="B8715" s="15"/>
      <c r="C8715" s="9">
        <f>IFERROR(__xludf.DUMMYFUNCTION("""COMPUTED_VALUE"""),44705.7482163078)</f>
        <v>44705.74822</v>
      </c>
      <c r="D8715" s="15">
        <f>IFERROR(__xludf.DUMMYFUNCTION("""COMPUTED_VALUE"""),1.036)</f>
        <v>1.036</v>
      </c>
      <c r="E8715" s="16">
        <f>IFERROR(__xludf.DUMMYFUNCTION("""COMPUTED_VALUE"""),65.0)</f>
        <v>65</v>
      </c>
      <c r="F8715" s="19" t="str">
        <f>IFERROR(__xludf.DUMMYFUNCTION("""COMPUTED_VALUE"""),"BLACK")</f>
        <v>BLACK</v>
      </c>
      <c r="G8715" s="20" t="str">
        <f>IFERROR(__xludf.DUMMYFUNCTION("""COMPUTED_VALUE"""),"Uncle Sams Cider (5/13/2022)")</f>
        <v>Uncle Sams Cider (5/13/2022)</v>
      </c>
      <c r="H8715" s="19"/>
    </row>
    <row r="8716">
      <c r="A8716" s="9"/>
      <c r="B8716" s="15"/>
      <c r="C8716" s="9">
        <f>IFERROR(__xludf.DUMMYFUNCTION("""COMPUTED_VALUE"""),44705.7377951504)</f>
        <v>44705.7378</v>
      </c>
      <c r="D8716" s="15">
        <f>IFERROR(__xludf.DUMMYFUNCTION("""COMPUTED_VALUE"""),1.036)</f>
        <v>1.036</v>
      </c>
      <c r="E8716" s="16">
        <f>IFERROR(__xludf.DUMMYFUNCTION("""COMPUTED_VALUE"""),65.0)</f>
        <v>65</v>
      </c>
      <c r="F8716" s="19" t="str">
        <f>IFERROR(__xludf.DUMMYFUNCTION("""COMPUTED_VALUE"""),"BLACK")</f>
        <v>BLACK</v>
      </c>
      <c r="G8716" s="20" t="str">
        <f>IFERROR(__xludf.DUMMYFUNCTION("""COMPUTED_VALUE"""),"Uncle Sams Cider (5/13/2022)")</f>
        <v>Uncle Sams Cider (5/13/2022)</v>
      </c>
      <c r="H8716" s="19"/>
    </row>
    <row r="8717">
      <c r="A8717" s="9"/>
      <c r="B8717" s="15"/>
      <c r="C8717" s="9">
        <f>IFERROR(__xludf.DUMMYFUNCTION("""COMPUTED_VALUE"""),44705.7273725347)</f>
        <v>44705.72737</v>
      </c>
      <c r="D8717" s="15">
        <f>IFERROR(__xludf.DUMMYFUNCTION("""COMPUTED_VALUE"""),1.036)</f>
        <v>1.036</v>
      </c>
      <c r="E8717" s="16">
        <f>IFERROR(__xludf.DUMMYFUNCTION("""COMPUTED_VALUE"""),65.0)</f>
        <v>65</v>
      </c>
      <c r="F8717" s="19" t="str">
        <f>IFERROR(__xludf.DUMMYFUNCTION("""COMPUTED_VALUE"""),"BLACK")</f>
        <v>BLACK</v>
      </c>
      <c r="G8717" s="20" t="str">
        <f>IFERROR(__xludf.DUMMYFUNCTION("""COMPUTED_VALUE"""),"Uncle Sams Cider (5/13/2022)")</f>
        <v>Uncle Sams Cider (5/13/2022)</v>
      </c>
      <c r="H8717" s="19"/>
    </row>
    <row r="8718">
      <c r="A8718" s="9"/>
      <c r="B8718" s="15"/>
      <c r="C8718" s="9">
        <f>IFERROR(__xludf.DUMMYFUNCTION("""COMPUTED_VALUE"""),44705.7169530902)</f>
        <v>44705.71695</v>
      </c>
      <c r="D8718" s="15">
        <f>IFERROR(__xludf.DUMMYFUNCTION("""COMPUTED_VALUE"""),1.036)</f>
        <v>1.036</v>
      </c>
      <c r="E8718" s="16">
        <f>IFERROR(__xludf.DUMMYFUNCTION("""COMPUTED_VALUE"""),65.0)</f>
        <v>65</v>
      </c>
      <c r="F8718" s="19" t="str">
        <f>IFERROR(__xludf.DUMMYFUNCTION("""COMPUTED_VALUE"""),"BLACK")</f>
        <v>BLACK</v>
      </c>
      <c r="G8718" s="20" t="str">
        <f>IFERROR(__xludf.DUMMYFUNCTION("""COMPUTED_VALUE"""),"Uncle Sams Cider (5/13/2022)")</f>
        <v>Uncle Sams Cider (5/13/2022)</v>
      </c>
      <c r="H8718" s="19"/>
    </row>
    <row r="8719">
      <c r="A8719" s="9"/>
      <c r="B8719" s="15"/>
      <c r="C8719" s="9">
        <f>IFERROR(__xludf.DUMMYFUNCTION("""COMPUTED_VALUE"""),44705.7065203125)</f>
        <v>44705.70652</v>
      </c>
      <c r="D8719" s="15">
        <f>IFERROR(__xludf.DUMMYFUNCTION("""COMPUTED_VALUE"""),1.036)</f>
        <v>1.036</v>
      </c>
      <c r="E8719" s="16">
        <f>IFERROR(__xludf.DUMMYFUNCTION("""COMPUTED_VALUE"""),65.0)</f>
        <v>65</v>
      </c>
      <c r="F8719" s="19" t="str">
        <f>IFERROR(__xludf.DUMMYFUNCTION("""COMPUTED_VALUE"""),"BLACK")</f>
        <v>BLACK</v>
      </c>
      <c r="G8719" s="20" t="str">
        <f>IFERROR(__xludf.DUMMYFUNCTION("""COMPUTED_VALUE"""),"Uncle Sams Cider (5/13/2022)")</f>
        <v>Uncle Sams Cider (5/13/2022)</v>
      </c>
      <c r="H8719" s="19"/>
    </row>
    <row r="8720">
      <c r="A8720" s="9"/>
      <c r="B8720" s="15"/>
      <c r="C8720" s="9">
        <f>IFERROR(__xludf.DUMMYFUNCTION("""COMPUTED_VALUE"""),44705.6960973495)</f>
        <v>44705.6961</v>
      </c>
      <c r="D8720" s="15">
        <f>IFERROR(__xludf.DUMMYFUNCTION("""COMPUTED_VALUE"""),1.036)</f>
        <v>1.036</v>
      </c>
      <c r="E8720" s="16">
        <f>IFERROR(__xludf.DUMMYFUNCTION("""COMPUTED_VALUE"""),66.0)</f>
        <v>66</v>
      </c>
      <c r="F8720" s="19" t="str">
        <f>IFERROR(__xludf.DUMMYFUNCTION("""COMPUTED_VALUE"""),"BLACK")</f>
        <v>BLACK</v>
      </c>
      <c r="G8720" s="20" t="str">
        <f>IFERROR(__xludf.DUMMYFUNCTION("""COMPUTED_VALUE"""),"Uncle Sams Cider (5/13/2022)")</f>
        <v>Uncle Sams Cider (5/13/2022)</v>
      </c>
      <c r="H8720" s="19"/>
    </row>
    <row r="8721">
      <c r="A8721" s="9"/>
      <c r="B8721" s="15"/>
      <c r="C8721" s="9">
        <f>IFERROR(__xludf.DUMMYFUNCTION("""COMPUTED_VALUE"""),44705.6856738773)</f>
        <v>44705.68567</v>
      </c>
      <c r="D8721" s="15">
        <f>IFERROR(__xludf.DUMMYFUNCTION("""COMPUTED_VALUE"""),1.036)</f>
        <v>1.036</v>
      </c>
      <c r="E8721" s="16">
        <f>IFERROR(__xludf.DUMMYFUNCTION("""COMPUTED_VALUE"""),66.0)</f>
        <v>66</v>
      </c>
      <c r="F8721" s="19" t="str">
        <f>IFERROR(__xludf.DUMMYFUNCTION("""COMPUTED_VALUE"""),"BLACK")</f>
        <v>BLACK</v>
      </c>
      <c r="G8721" s="20" t="str">
        <f>IFERROR(__xludf.DUMMYFUNCTION("""COMPUTED_VALUE"""),"Uncle Sams Cider (5/13/2022)")</f>
        <v>Uncle Sams Cider (5/13/2022)</v>
      </c>
      <c r="H8721" s="19"/>
    </row>
    <row r="8722">
      <c r="A8722" s="9"/>
      <c r="B8722" s="15"/>
      <c r="C8722" s="9">
        <f>IFERROR(__xludf.DUMMYFUNCTION("""COMPUTED_VALUE"""),44705.6752555092)</f>
        <v>44705.67526</v>
      </c>
      <c r="D8722" s="15">
        <f>IFERROR(__xludf.DUMMYFUNCTION("""COMPUTED_VALUE"""),1.036)</f>
        <v>1.036</v>
      </c>
      <c r="E8722" s="16">
        <f>IFERROR(__xludf.DUMMYFUNCTION("""COMPUTED_VALUE"""),66.0)</f>
        <v>66</v>
      </c>
      <c r="F8722" s="19" t="str">
        <f>IFERROR(__xludf.DUMMYFUNCTION("""COMPUTED_VALUE"""),"BLACK")</f>
        <v>BLACK</v>
      </c>
      <c r="G8722" s="20" t="str">
        <f>IFERROR(__xludf.DUMMYFUNCTION("""COMPUTED_VALUE"""),"Uncle Sams Cider (5/13/2022)")</f>
        <v>Uncle Sams Cider (5/13/2022)</v>
      </c>
      <c r="H8722" s="19"/>
    </row>
    <row r="8723">
      <c r="A8723" s="9"/>
      <c r="B8723" s="15"/>
      <c r="C8723" s="9">
        <f>IFERROR(__xludf.DUMMYFUNCTION("""COMPUTED_VALUE"""),44705.6648353703)</f>
        <v>44705.66484</v>
      </c>
      <c r="D8723" s="15">
        <f>IFERROR(__xludf.DUMMYFUNCTION("""COMPUTED_VALUE"""),1.036)</f>
        <v>1.036</v>
      </c>
      <c r="E8723" s="16">
        <f>IFERROR(__xludf.DUMMYFUNCTION("""COMPUTED_VALUE"""),66.0)</f>
        <v>66</v>
      </c>
      <c r="F8723" s="19" t="str">
        <f>IFERROR(__xludf.DUMMYFUNCTION("""COMPUTED_VALUE"""),"BLACK")</f>
        <v>BLACK</v>
      </c>
      <c r="G8723" s="20" t="str">
        <f>IFERROR(__xludf.DUMMYFUNCTION("""COMPUTED_VALUE"""),"Uncle Sams Cider (5/13/2022)")</f>
        <v>Uncle Sams Cider (5/13/2022)</v>
      </c>
      <c r="H8723" s="19"/>
    </row>
    <row r="8724">
      <c r="A8724" s="9"/>
      <c r="B8724" s="15"/>
      <c r="C8724" s="9">
        <f>IFERROR(__xludf.DUMMYFUNCTION("""COMPUTED_VALUE"""),44705.6544132986)</f>
        <v>44705.65441</v>
      </c>
      <c r="D8724" s="15">
        <f>IFERROR(__xludf.DUMMYFUNCTION("""COMPUTED_VALUE"""),1.036)</f>
        <v>1.036</v>
      </c>
      <c r="E8724" s="16">
        <f>IFERROR(__xludf.DUMMYFUNCTION("""COMPUTED_VALUE"""),66.0)</f>
        <v>66</v>
      </c>
      <c r="F8724" s="19" t="str">
        <f>IFERROR(__xludf.DUMMYFUNCTION("""COMPUTED_VALUE"""),"BLACK")</f>
        <v>BLACK</v>
      </c>
      <c r="G8724" s="20" t="str">
        <f>IFERROR(__xludf.DUMMYFUNCTION("""COMPUTED_VALUE"""),"Uncle Sams Cider (5/13/2022)")</f>
        <v>Uncle Sams Cider (5/13/2022)</v>
      </c>
      <c r="H8724" s="19"/>
    </row>
    <row r="8725">
      <c r="A8725" s="9"/>
      <c r="B8725" s="15"/>
      <c r="C8725" s="9">
        <f>IFERROR(__xludf.DUMMYFUNCTION("""COMPUTED_VALUE"""),44705.643994074)</f>
        <v>44705.64399</v>
      </c>
      <c r="D8725" s="15">
        <f>IFERROR(__xludf.DUMMYFUNCTION("""COMPUTED_VALUE"""),1.036)</f>
        <v>1.036</v>
      </c>
      <c r="E8725" s="16">
        <f>IFERROR(__xludf.DUMMYFUNCTION("""COMPUTED_VALUE"""),66.0)</f>
        <v>66</v>
      </c>
      <c r="F8725" s="19" t="str">
        <f>IFERROR(__xludf.DUMMYFUNCTION("""COMPUTED_VALUE"""),"BLACK")</f>
        <v>BLACK</v>
      </c>
      <c r="G8725" s="20" t="str">
        <f>IFERROR(__xludf.DUMMYFUNCTION("""COMPUTED_VALUE"""),"Uncle Sams Cider (5/13/2022)")</f>
        <v>Uncle Sams Cider (5/13/2022)</v>
      </c>
      <c r="H8725" s="19"/>
    </row>
    <row r="8726">
      <c r="A8726" s="9"/>
      <c r="B8726" s="15"/>
      <c r="C8726" s="9">
        <f>IFERROR(__xludf.DUMMYFUNCTION("""COMPUTED_VALUE"""),44705.6335729398)</f>
        <v>44705.63357</v>
      </c>
      <c r="D8726" s="15">
        <f>IFERROR(__xludf.DUMMYFUNCTION("""COMPUTED_VALUE"""),1.036)</f>
        <v>1.036</v>
      </c>
      <c r="E8726" s="16">
        <f>IFERROR(__xludf.DUMMYFUNCTION("""COMPUTED_VALUE"""),66.0)</f>
        <v>66</v>
      </c>
      <c r="F8726" s="19" t="str">
        <f>IFERROR(__xludf.DUMMYFUNCTION("""COMPUTED_VALUE"""),"BLACK")</f>
        <v>BLACK</v>
      </c>
      <c r="G8726" s="20" t="str">
        <f>IFERROR(__xludf.DUMMYFUNCTION("""COMPUTED_VALUE"""),"Uncle Sams Cider (5/13/2022)")</f>
        <v>Uncle Sams Cider (5/13/2022)</v>
      </c>
      <c r="H8726" s="19"/>
    </row>
    <row r="8727">
      <c r="A8727" s="9"/>
      <c r="B8727" s="15"/>
      <c r="C8727" s="9">
        <f>IFERROR(__xludf.DUMMYFUNCTION("""COMPUTED_VALUE"""),44705.6231430671)</f>
        <v>44705.62314</v>
      </c>
      <c r="D8727" s="15">
        <f>IFERROR(__xludf.DUMMYFUNCTION("""COMPUTED_VALUE"""),1.036)</f>
        <v>1.036</v>
      </c>
      <c r="E8727" s="16">
        <f>IFERROR(__xludf.DUMMYFUNCTION("""COMPUTED_VALUE"""),66.0)</f>
        <v>66</v>
      </c>
      <c r="F8727" s="19" t="str">
        <f>IFERROR(__xludf.DUMMYFUNCTION("""COMPUTED_VALUE"""),"BLACK")</f>
        <v>BLACK</v>
      </c>
      <c r="G8727" s="20" t="str">
        <f>IFERROR(__xludf.DUMMYFUNCTION("""COMPUTED_VALUE"""),"Uncle Sams Cider (5/13/2022)")</f>
        <v>Uncle Sams Cider (5/13/2022)</v>
      </c>
      <c r="H8727" s="19"/>
    </row>
    <row r="8728">
      <c r="A8728" s="9"/>
      <c r="B8728" s="15"/>
      <c r="C8728" s="9">
        <f>IFERROR(__xludf.DUMMYFUNCTION("""COMPUTED_VALUE"""),44705.6127232291)</f>
        <v>44705.61272</v>
      </c>
      <c r="D8728" s="15">
        <f>IFERROR(__xludf.DUMMYFUNCTION("""COMPUTED_VALUE"""),1.036)</f>
        <v>1.036</v>
      </c>
      <c r="E8728" s="16">
        <f>IFERROR(__xludf.DUMMYFUNCTION("""COMPUTED_VALUE"""),66.0)</f>
        <v>66</v>
      </c>
      <c r="F8728" s="19" t="str">
        <f>IFERROR(__xludf.DUMMYFUNCTION("""COMPUTED_VALUE"""),"BLACK")</f>
        <v>BLACK</v>
      </c>
      <c r="G8728" s="20" t="str">
        <f>IFERROR(__xludf.DUMMYFUNCTION("""COMPUTED_VALUE"""),"Uncle Sams Cider (5/13/2022)")</f>
        <v>Uncle Sams Cider (5/13/2022)</v>
      </c>
      <c r="H8728" s="19"/>
    </row>
    <row r="8729">
      <c r="A8729" s="9"/>
      <c r="B8729" s="15"/>
      <c r="C8729" s="9">
        <f>IFERROR(__xludf.DUMMYFUNCTION("""COMPUTED_VALUE"""),44705.6023031134)</f>
        <v>44705.6023</v>
      </c>
      <c r="D8729" s="15">
        <f>IFERROR(__xludf.DUMMYFUNCTION("""COMPUTED_VALUE"""),1.036)</f>
        <v>1.036</v>
      </c>
      <c r="E8729" s="16">
        <f>IFERROR(__xludf.DUMMYFUNCTION("""COMPUTED_VALUE"""),67.0)</f>
        <v>67</v>
      </c>
      <c r="F8729" s="19" t="str">
        <f>IFERROR(__xludf.DUMMYFUNCTION("""COMPUTED_VALUE"""),"BLACK")</f>
        <v>BLACK</v>
      </c>
      <c r="G8729" s="20" t="str">
        <f>IFERROR(__xludf.DUMMYFUNCTION("""COMPUTED_VALUE"""),"Uncle Sams Cider (5/13/2022)")</f>
        <v>Uncle Sams Cider (5/13/2022)</v>
      </c>
      <c r="H8729" s="19"/>
    </row>
    <row r="8730">
      <c r="A8730" s="9"/>
      <c r="B8730" s="15"/>
      <c r="C8730" s="9">
        <f>IFERROR(__xludf.DUMMYFUNCTION("""COMPUTED_VALUE"""),44705.5918816088)</f>
        <v>44705.59188</v>
      </c>
      <c r="D8730" s="15">
        <f>IFERROR(__xludf.DUMMYFUNCTION("""COMPUTED_VALUE"""),1.036)</f>
        <v>1.036</v>
      </c>
      <c r="E8730" s="16">
        <f>IFERROR(__xludf.DUMMYFUNCTION("""COMPUTED_VALUE"""),67.0)</f>
        <v>67</v>
      </c>
      <c r="F8730" s="19" t="str">
        <f>IFERROR(__xludf.DUMMYFUNCTION("""COMPUTED_VALUE"""),"BLACK")</f>
        <v>BLACK</v>
      </c>
      <c r="G8730" s="20" t="str">
        <f>IFERROR(__xludf.DUMMYFUNCTION("""COMPUTED_VALUE"""),"Uncle Sams Cider (5/13/2022)")</f>
        <v>Uncle Sams Cider (5/13/2022)</v>
      </c>
      <c r="H8730" s="19"/>
    </row>
    <row r="8731">
      <c r="A8731" s="9"/>
      <c r="B8731" s="15"/>
      <c r="C8731" s="9">
        <f>IFERROR(__xludf.DUMMYFUNCTION("""COMPUTED_VALUE"""),44705.5814590046)</f>
        <v>44705.58146</v>
      </c>
      <c r="D8731" s="15">
        <f>IFERROR(__xludf.DUMMYFUNCTION("""COMPUTED_VALUE"""),1.036)</f>
        <v>1.036</v>
      </c>
      <c r="E8731" s="16">
        <f>IFERROR(__xludf.DUMMYFUNCTION("""COMPUTED_VALUE"""),68.0)</f>
        <v>68</v>
      </c>
      <c r="F8731" s="19" t="str">
        <f>IFERROR(__xludf.DUMMYFUNCTION("""COMPUTED_VALUE"""),"BLACK")</f>
        <v>BLACK</v>
      </c>
      <c r="G8731" s="20" t="str">
        <f>IFERROR(__xludf.DUMMYFUNCTION("""COMPUTED_VALUE"""),"Uncle Sams Cider (5/13/2022)")</f>
        <v>Uncle Sams Cider (5/13/2022)</v>
      </c>
      <c r="H8731" s="19"/>
    </row>
    <row r="8732">
      <c r="A8732" s="9"/>
      <c r="B8732" s="15"/>
      <c r="C8732" s="9">
        <f>IFERROR(__xludf.DUMMYFUNCTION("""COMPUTED_VALUE"""),44705.5710386574)</f>
        <v>44705.57104</v>
      </c>
      <c r="D8732" s="15">
        <f>IFERROR(__xludf.DUMMYFUNCTION("""COMPUTED_VALUE"""),1.036)</f>
        <v>1.036</v>
      </c>
      <c r="E8732" s="16">
        <f>IFERROR(__xludf.DUMMYFUNCTION("""COMPUTED_VALUE"""),69.0)</f>
        <v>69</v>
      </c>
      <c r="F8732" s="19" t="str">
        <f>IFERROR(__xludf.DUMMYFUNCTION("""COMPUTED_VALUE"""),"BLACK")</f>
        <v>BLACK</v>
      </c>
      <c r="G8732" s="20" t="str">
        <f>IFERROR(__xludf.DUMMYFUNCTION("""COMPUTED_VALUE"""),"Uncle Sams Cider (5/13/2022)")</f>
        <v>Uncle Sams Cider (5/13/2022)</v>
      </c>
      <c r="H8732" s="19"/>
    </row>
    <row r="8733">
      <c r="A8733" s="9"/>
      <c r="B8733" s="15"/>
      <c r="C8733" s="9">
        <f>IFERROR(__xludf.DUMMYFUNCTION("""COMPUTED_VALUE"""),44705.5606166782)</f>
        <v>44705.56062</v>
      </c>
      <c r="D8733" s="15">
        <f>IFERROR(__xludf.DUMMYFUNCTION("""COMPUTED_VALUE"""),1.036)</f>
        <v>1.036</v>
      </c>
      <c r="E8733" s="16">
        <f>IFERROR(__xludf.DUMMYFUNCTION("""COMPUTED_VALUE"""),70.0)</f>
        <v>70</v>
      </c>
      <c r="F8733" s="19" t="str">
        <f>IFERROR(__xludf.DUMMYFUNCTION("""COMPUTED_VALUE"""),"BLACK")</f>
        <v>BLACK</v>
      </c>
      <c r="G8733" s="20" t="str">
        <f>IFERROR(__xludf.DUMMYFUNCTION("""COMPUTED_VALUE"""),"Uncle Sams Cider (5/13/2022)")</f>
        <v>Uncle Sams Cider (5/13/2022)</v>
      </c>
      <c r="H8733" s="19"/>
    </row>
    <row r="8734">
      <c r="A8734" s="9"/>
      <c r="B8734" s="15"/>
      <c r="C8734" s="9">
        <f>IFERROR(__xludf.DUMMYFUNCTION("""COMPUTED_VALUE"""),44705.5501951273)</f>
        <v>44705.5502</v>
      </c>
      <c r="D8734" s="15">
        <f>IFERROR(__xludf.DUMMYFUNCTION("""COMPUTED_VALUE"""),1.036)</f>
        <v>1.036</v>
      </c>
      <c r="E8734" s="16">
        <f>IFERROR(__xludf.DUMMYFUNCTION("""COMPUTED_VALUE"""),70.0)</f>
        <v>70</v>
      </c>
      <c r="F8734" s="19" t="str">
        <f>IFERROR(__xludf.DUMMYFUNCTION("""COMPUTED_VALUE"""),"BLACK")</f>
        <v>BLACK</v>
      </c>
      <c r="G8734" s="20" t="str">
        <f>IFERROR(__xludf.DUMMYFUNCTION("""COMPUTED_VALUE"""),"Uncle Sams Cider (5/13/2022)")</f>
        <v>Uncle Sams Cider (5/13/2022)</v>
      </c>
      <c r="H8734" s="19"/>
    </row>
    <row r="8735">
      <c r="A8735" s="9"/>
      <c r="B8735" s="15"/>
      <c r="C8735" s="9">
        <f>IFERROR(__xludf.DUMMYFUNCTION("""COMPUTED_VALUE"""),44705.5397741898)</f>
        <v>44705.53977</v>
      </c>
      <c r="D8735" s="15">
        <f>IFERROR(__xludf.DUMMYFUNCTION("""COMPUTED_VALUE"""),1.036)</f>
        <v>1.036</v>
      </c>
      <c r="E8735" s="16">
        <f>IFERROR(__xludf.DUMMYFUNCTION("""COMPUTED_VALUE"""),70.0)</f>
        <v>70</v>
      </c>
      <c r="F8735" s="19" t="str">
        <f>IFERROR(__xludf.DUMMYFUNCTION("""COMPUTED_VALUE"""),"BLACK")</f>
        <v>BLACK</v>
      </c>
      <c r="G8735" s="20" t="str">
        <f>IFERROR(__xludf.DUMMYFUNCTION("""COMPUTED_VALUE"""),"Uncle Sams Cider (5/13/2022)")</f>
        <v>Uncle Sams Cider (5/13/2022)</v>
      </c>
      <c r="H8735" s="19"/>
    </row>
    <row r="8736">
      <c r="A8736" s="9"/>
      <c r="B8736" s="15"/>
      <c r="C8736" s="9">
        <f>IFERROR(__xludf.DUMMYFUNCTION("""COMPUTED_VALUE"""),44705.5293523148)</f>
        <v>44705.52935</v>
      </c>
      <c r="D8736" s="15">
        <f>IFERROR(__xludf.DUMMYFUNCTION("""COMPUTED_VALUE"""),1.036)</f>
        <v>1.036</v>
      </c>
      <c r="E8736" s="16">
        <f>IFERROR(__xludf.DUMMYFUNCTION("""COMPUTED_VALUE"""),70.0)</f>
        <v>70</v>
      </c>
      <c r="F8736" s="19" t="str">
        <f>IFERROR(__xludf.DUMMYFUNCTION("""COMPUTED_VALUE"""),"BLACK")</f>
        <v>BLACK</v>
      </c>
      <c r="G8736" s="20" t="str">
        <f>IFERROR(__xludf.DUMMYFUNCTION("""COMPUTED_VALUE"""),"Uncle Sams Cider (5/13/2022)")</f>
        <v>Uncle Sams Cider (5/13/2022)</v>
      </c>
      <c r="H8736" s="19"/>
    </row>
    <row r="8737">
      <c r="A8737" s="9"/>
      <c r="B8737" s="15"/>
      <c r="C8737" s="9">
        <f>IFERROR(__xludf.DUMMYFUNCTION("""COMPUTED_VALUE"""),44705.5189324652)</f>
        <v>44705.51893</v>
      </c>
      <c r="D8737" s="15">
        <f>IFERROR(__xludf.DUMMYFUNCTION("""COMPUTED_VALUE"""),1.036)</f>
        <v>1.036</v>
      </c>
      <c r="E8737" s="16">
        <f>IFERROR(__xludf.DUMMYFUNCTION("""COMPUTED_VALUE"""),70.0)</f>
        <v>70</v>
      </c>
      <c r="F8737" s="19" t="str">
        <f>IFERROR(__xludf.DUMMYFUNCTION("""COMPUTED_VALUE"""),"BLACK")</f>
        <v>BLACK</v>
      </c>
      <c r="G8737" s="20" t="str">
        <f>IFERROR(__xludf.DUMMYFUNCTION("""COMPUTED_VALUE"""),"Uncle Sams Cider (5/13/2022)")</f>
        <v>Uncle Sams Cider (5/13/2022)</v>
      </c>
      <c r="H8737" s="19"/>
    </row>
    <row r="8738">
      <c r="A8738" s="9"/>
      <c r="B8738" s="15"/>
      <c r="C8738" s="9">
        <f>IFERROR(__xludf.DUMMYFUNCTION("""COMPUTED_VALUE"""),44705.5085024305)</f>
        <v>44705.5085</v>
      </c>
      <c r="D8738" s="15">
        <f>IFERROR(__xludf.DUMMYFUNCTION("""COMPUTED_VALUE"""),1.036)</f>
        <v>1.036</v>
      </c>
      <c r="E8738" s="16">
        <f>IFERROR(__xludf.DUMMYFUNCTION("""COMPUTED_VALUE"""),70.0)</f>
        <v>70</v>
      </c>
      <c r="F8738" s="19" t="str">
        <f>IFERROR(__xludf.DUMMYFUNCTION("""COMPUTED_VALUE"""),"BLACK")</f>
        <v>BLACK</v>
      </c>
      <c r="G8738" s="20" t="str">
        <f>IFERROR(__xludf.DUMMYFUNCTION("""COMPUTED_VALUE"""),"Uncle Sams Cider (5/13/2022)")</f>
        <v>Uncle Sams Cider (5/13/2022)</v>
      </c>
      <c r="H8738" s="19"/>
    </row>
    <row r="8739">
      <c r="A8739" s="9"/>
      <c r="B8739" s="15"/>
      <c r="C8739" s="9">
        <f>IFERROR(__xludf.DUMMYFUNCTION("""COMPUTED_VALUE"""),44705.4980813078)</f>
        <v>44705.49808</v>
      </c>
      <c r="D8739" s="15">
        <f>IFERROR(__xludf.DUMMYFUNCTION("""COMPUTED_VALUE"""),1.036)</f>
        <v>1.036</v>
      </c>
      <c r="E8739" s="16">
        <f>IFERROR(__xludf.DUMMYFUNCTION("""COMPUTED_VALUE"""),70.0)</f>
        <v>70</v>
      </c>
      <c r="F8739" s="19" t="str">
        <f>IFERROR(__xludf.DUMMYFUNCTION("""COMPUTED_VALUE"""),"BLACK")</f>
        <v>BLACK</v>
      </c>
      <c r="G8739" s="20" t="str">
        <f>IFERROR(__xludf.DUMMYFUNCTION("""COMPUTED_VALUE"""),"Uncle Sams Cider (5/13/2022)")</f>
        <v>Uncle Sams Cider (5/13/2022)</v>
      </c>
      <c r="H8739" s="19"/>
    </row>
    <row r="8740">
      <c r="A8740" s="9"/>
      <c r="B8740" s="15"/>
      <c r="C8740" s="9">
        <f>IFERROR(__xludf.DUMMYFUNCTION("""COMPUTED_VALUE"""),44705.4876599537)</f>
        <v>44705.48766</v>
      </c>
      <c r="D8740" s="15">
        <f>IFERROR(__xludf.DUMMYFUNCTION("""COMPUTED_VALUE"""),1.036)</f>
        <v>1.036</v>
      </c>
      <c r="E8740" s="16">
        <f>IFERROR(__xludf.DUMMYFUNCTION("""COMPUTED_VALUE"""),70.0)</f>
        <v>70</v>
      </c>
      <c r="F8740" s="19" t="str">
        <f>IFERROR(__xludf.DUMMYFUNCTION("""COMPUTED_VALUE"""),"BLACK")</f>
        <v>BLACK</v>
      </c>
      <c r="G8740" s="20" t="str">
        <f>IFERROR(__xludf.DUMMYFUNCTION("""COMPUTED_VALUE"""),"Uncle Sams Cider (5/13/2022)")</f>
        <v>Uncle Sams Cider (5/13/2022)</v>
      </c>
      <c r="H8740" s="19"/>
    </row>
    <row r="8741">
      <c r="A8741" s="9"/>
      <c r="B8741" s="15"/>
      <c r="C8741" s="9">
        <f>IFERROR(__xludf.DUMMYFUNCTION("""COMPUTED_VALUE"""),44705.4772395254)</f>
        <v>44705.47724</v>
      </c>
      <c r="D8741" s="15">
        <f>IFERROR(__xludf.DUMMYFUNCTION("""COMPUTED_VALUE"""),1.036)</f>
        <v>1.036</v>
      </c>
      <c r="E8741" s="16">
        <f>IFERROR(__xludf.DUMMYFUNCTION("""COMPUTED_VALUE"""),70.0)</f>
        <v>70</v>
      </c>
      <c r="F8741" s="19" t="str">
        <f>IFERROR(__xludf.DUMMYFUNCTION("""COMPUTED_VALUE"""),"BLACK")</f>
        <v>BLACK</v>
      </c>
      <c r="G8741" s="20" t="str">
        <f>IFERROR(__xludf.DUMMYFUNCTION("""COMPUTED_VALUE"""),"Uncle Sams Cider (5/13/2022)")</f>
        <v>Uncle Sams Cider (5/13/2022)</v>
      </c>
      <c r="H8741" s="19"/>
    </row>
    <row r="8742">
      <c r="A8742" s="9"/>
      <c r="B8742" s="15"/>
      <c r="C8742" s="9">
        <f>IFERROR(__xludf.DUMMYFUNCTION("""COMPUTED_VALUE"""),44705.4667950231)</f>
        <v>44705.4668</v>
      </c>
      <c r="D8742" s="15">
        <f>IFERROR(__xludf.DUMMYFUNCTION("""COMPUTED_VALUE"""),1.037)</f>
        <v>1.037</v>
      </c>
      <c r="E8742" s="16">
        <f>IFERROR(__xludf.DUMMYFUNCTION("""COMPUTED_VALUE"""),70.0)</f>
        <v>70</v>
      </c>
      <c r="F8742" s="19" t="str">
        <f>IFERROR(__xludf.DUMMYFUNCTION("""COMPUTED_VALUE"""),"BLACK")</f>
        <v>BLACK</v>
      </c>
      <c r="G8742" s="20" t="str">
        <f>IFERROR(__xludf.DUMMYFUNCTION("""COMPUTED_VALUE"""),"Uncle Sams Cider (5/13/2022)")</f>
        <v>Uncle Sams Cider (5/13/2022)</v>
      </c>
      <c r="H8742" s="19"/>
    </row>
    <row r="8743">
      <c r="A8743" s="9"/>
      <c r="B8743" s="15"/>
      <c r="C8743" s="9">
        <f>IFERROR(__xludf.DUMMYFUNCTION("""COMPUTED_VALUE"""),44705.456374456)</f>
        <v>44705.45637</v>
      </c>
      <c r="D8743" s="15">
        <f>IFERROR(__xludf.DUMMYFUNCTION("""COMPUTED_VALUE"""),1.036)</f>
        <v>1.036</v>
      </c>
      <c r="E8743" s="16">
        <f>IFERROR(__xludf.DUMMYFUNCTION("""COMPUTED_VALUE"""),70.0)</f>
        <v>70</v>
      </c>
      <c r="F8743" s="19" t="str">
        <f>IFERROR(__xludf.DUMMYFUNCTION("""COMPUTED_VALUE"""),"BLACK")</f>
        <v>BLACK</v>
      </c>
      <c r="G8743" s="20" t="str">
        <f>IFERROR(__xludf.DUMMYFUNCTION("""COMPUTED_VALUE"""),"Uncle Sams Cider (5/13/2022)")</f>
        <v>Uncle Sams Cider (5/13/2022)</v>
      </c>
      <c r="H8743" s="19"/>
    </row>
    <row r="8744">
      <c r="A8744" s="9"/>
      <c r="B8744" s="15"/>
      <c r="C8744" s="9">
        <f>IFERROR(__xludf.DUMMYFUNCTION("""COMPUTED_VALUE"""),44705.4459524305)</f>
        <v>44705.44595</v>
      </c>
      <c r="D8744" s="15">
        <f>IFERROR(__xludf.DUMMYFUNCTION("""COMPUTED_VALUE"""),1.037)</f>
        <v>1.037</v>
      </c>
      <c r="E8744" s="16">
        <f>IFERROR(__xludf.DUMMYFUNCTION("""COMPUTED_VALUE"""),70.0)</f>
        <v>70</v>
      </c>
      <c r="F8744" s="19" t="str">
        <f>IFERROR(__xludf.DUMMYFUNCTION("""COMPUTED_VALUE"""),"BLACK")</f>
        <v>BLACK</v>
      </c>
      <c r="G8744" s="20" t="str">
        <f>IFERROR(__xludf.DUMMYFUNCTION("""COMPUTED_VALUE"""),"Uncle Sams Cider (5/13/2022)")</f>
        <v>Uncle Sams Cider (5/13/2022)</v>
      </c>
      <c r="H8744" s="19"/>
    </row>
    <row r="8745">
      <c r="A8745" s="9"/>
      <c r="B8745" s="15"/>
      <c r="C8745" s="9">
        <f>IFERROR(__xludf.DUMMYFUNCTION("""COMPUTED_VALUE"""),44705.4355311111)</f>
        <v>44705.43553</v>
      </c>
      <c r="D8745" s="15">
        <f>IFERROR(__xludf.DUMMYFUNCTION("""COMPUTED_VALUE"""),1.037)</f>
        <v>1.037</v>
      </c>
      <c r="E8745" s="16">
        <f>IFERROR(__xludf.DUMMYFUNCTION("""COMPUTED_VALUE"""),70.0)</f>
        <v>70</v>
      </c>
      <c r="F8745" s="19" t="str">
        <f>IFERROR(__xludf.DUMMYFUNCTION("""COMPUTED_VALUE"""),"BLACK")</f>
        <v>BLACK</v>
      </c>
      <c r="G8745" s="20" t="str">
        <f>IFERROR(__xludf.DUMMYFUNCTION("""COMPUTED_VALUE"""),"Uncle Sams Cider (5/13/2022)")</f>
        <v>Uncle Sams Cider (5/13/2022)</v>
      </c>
      <c r="H8745" s="19"/>
    </row>
    <row r="8746">
      <c r="A8746" s="9"/>
      <c r="B8746" s="15"/>
      <c r="C8746" s="9">
        <f>IFERROR(__xludf.DUMMYFUNCTION("""COMPUTED_VALUE"""),44705.4251090856)</f>
        <v>44705.42511</v>
      </c>
      <c r="D8746" s="15">
        <f>IFERROR(__xludf.DUMMYFUNCTION("""COMPUTED_VALUE"""),1.037)</f>
        <v>1.037</v>
      </c>
      <c r="E8746" s="16">
        <f>IFERROR(__xludf.DUMMYFUNCTION("""COMPUTED_VALUE"""),70.0)</f>
        <v>70</v>
      </c>
      <c r="F8746" s="19" t="str">
        <f>IFERROR(__xludf.DUMMYFUNCTION("""COMPUTED_VALUE"""),"BLACK")</f>
        <v>BLACK</v>
      </c>
      <c r="G8746" s="20" t="str">
        <f>IFERROR(__xludf.DUMMYFUNCTION("""COMPUTED_VALUE"""),"Uncle Sams Cider (5/13/2022)")</f>
        <v>Uncle Sams Cider (5/13/2022)</v>
      </c>
      <c r="H8746" s="19"/>
    </row>
    <row r="8747">
      <c r="A8747" s="9"/>
      <c r="B8747" s="15"/>
      <c r="C8747" s="9">
        <f>IFERROR(__xludf.DUMMYFUNCTION("""COMPUTED_VALUE"""),44705.4146889467)</f>
        <v>44705.41469</v>
      </c>
      <c r="D8747" s="15">
        <f>IFERROR(__xludf.DUMMYFUNCTION("""COMPUTED_VALUE"""),1.037)</f>
        <v>1.037</v>
      </c>
      <c r="E8747" s="16">
        <f>IFERROR(__xludf.DUMMYFUNCTION("""COMPUTED_VALUE"""),69.0)</f>
        <v>69</v>
      </c>
      <c r="F8747" s="19" t="str">
        <f>IFERROR(__xludf.DUMMYFUNCTION("""COMPUTED_VALUE"""),"BLACK")</f>
        <v>BLACK</v>
      </c>
      <c r="G8747" s="20" t="str">
        <f>IFERROR(__xludf.DUMMYFUNCTION("""COMPUTED_VALUE"""),"Uncle Sams Cider (5/13/2022)")</f>
        <v>Uncle Sams Cider (5/13/2022)</v>
      </c>
      <c r="H8747" s="19"/>
    </row>
    <row r="8748">
      <c r="A8748" s="9"/>
      <c r="B8748" s="15"/>
      <c r="C8748" s="9">
        <f>IFERROR(__xludf.DUMMYFUNCTION("""COMPUTED_VALUE"""),44705.4042660648)</f>
        <v>44705.40427</v>
      </c>
      <c r="D8748" s="15">
        <f>IFERROR(__xludf.DUMMYFUNCTION("""COMPUTED_VALUE"""),1.037)</f>
        <v>1.037</v>
      </c>
      <c r="E8748" s="16">
        <f>IFERROR(__xludf.DUMMYFUNCTION("""COMPUTED_VALUE"""),70.0)</f>
        <v>70</v>
      </c>
      <c r="F8748" s="19" t="str">
        <f>IFERROR(__xludf.DUMMYFUNCTION("""COMPUTED_VALUE"""),"BLACK")</f>
        <v>BLACK</v>
      </c>
      <c r="G8748" s="20" t="str">
        <f>IFERROR(__xludf.DUMMYFUNCTION("""COMPUTED_VALUE"""),"Uncle Sams Cider (5/13/2022)")</f>
        <v>Uncle Sams Cider (5/13/2022)</v>
      </c>
      <c r="H8748" s="19"/>
    </row>
    <row r="8749">
      <c r="A8749" s="9"/>
      <c r="B8749" s="15"/>
      <c r="C8749" s="9">
        <f>IFERROR(__xludf.DUMMYFUNCTION("""COMPUTED_VALUE"""),44705.3938321064)</f>
        <v>44705.39383</v>
      </c>
      <c r="D8749" s="15">
        <f>IFERROR(__xludf.DUMMYFUNCTION("""COMPUTED_VALUE"""),1.037)</f>
        <v>1.037</v>
      </c>
      <c r="E8749" s="16">
        <f>IFERROR(__xludf.DUMMYFUNCTION("""COMPUTED_VALUE"""),70.0)</f>
        <v>70</v>
      </c>
      <c r="F8749" s="19" t="str">
        <f>IFERROR(__xludf.DUMMYFUNCTION("""COMPUTED_VALUE"""),"BLACK")</f>
        <v>BLACK</v>
      </c>
      <c r="G8749" s="20" t="str">
        <f>IFERROR(__xludf.DUMMYFUNCTION("""COMPUTED_VALUE"""),"Uncle Sams Cider (5/13/2022)")</f>
        <v>Uncle Sams Cider (5/13/2022)</v>
      </c>
      <c r="H8749" s="19"/>
    </row>
    <row r="8750">
      <c r="A8750" s="9"/>
      <c r="B8750" s="15"/>
      <c r="C8750" s="9">
        <f>IFERROR(__xludf.DUMMYFUNCTION("""COMPUTED_VALUE"""),44705.383408831)</f>
        <v>44705.38341</v>
      </c>
      <c r="D8750" s="15">
        <f>IFERROR(__xludf.DUMMYFUNCTION("""COMPUTED_VALUE"""),1.037)</f>
        <v>1.037</v>
      </c>
      <c r="E8750" s="16">
        <f>IFERROR(__xludf.DUMMYFUNCTION("""COMPUTED_VALUE"""),69.0)</f>
        <v>69</v>
      </c>
      <c r="F8750" s="19" t="str">
        <f>IFERROR(__xludf.DUMMYFUNCTION("""COMPUTED_VALUE"""),"BLACK")</f>
        <v>BLACK</v>
      </c>
      <c r="G8750" s="20" t="str">
        <f>IFERROR(__xludf.DUMMYFUNCTION("""COMPUTED_VALUE"""),"Uncle Sams Cider (5/13/2022)")</f>
        <v>Uncle Sams Cider (5/13/2022)</v>
      </c>
      <c r="H8750" s="19"/>
    </row>
    <row r="8751">
      <c r="A8751" s="9"/>
      <c r="B8751" s="15"/>
      <c r="C8751" s="9">
        <f>IFERROR(__xludf.DUMMYFUNCTION("""COMPUTED_VALUE"""),44705.3729752546)</f>
        <v>44705.37298</v>
      </c>
      <c r="D8751" s="15">
        <f>IFERROR(__xludf.DUMMYFUNCTION("""COMPUTED_VALUE"""),1.037)</f>
        <v>1.037</v>
      </c>
      <c r="E8751" s="16">
        <f>IFERROR(__xludf.DUMMYFUNCTION("""COMPUTED_VALUE"""),69.0)</f>
        <v>69</v>
      </c>
      <c r="F8751" s="19" t="str">
        <f>IFERROR(__xludf.DUMMYFUNCTION("""COMPUTED_VALUE"""),"BLACK")</f>
        <v>BLACK</v>
      </c>
      <c r="G8751" s="20" t="str">
        <f>IFERROR(__xludf.DUMMYFUNCTION("""COMPUTED_VALUE"""),"Uncle Sams Cider (5/13/2022)")</f>
        <v>Uncle Sams Cider (5/13/2022)</v>
      </c>
      <c r="H8751" s="19"/>
    </row>
    <row r="8752">
      <c r="A8752" s="9"/>
      <c r="B8752" s="15"/>
      <c r="C8752" s="9">
        <f>IFERROR(__xludf.DUMMYFUNCTION("""COMPUTED_VALUE"""),44705.3625547106)</f>
        <v>44705.36255</v>
      </c>
      <c r="D8752" s="15">
        <f>IFERROR(__xludf.DUMMYFUNCTION("""COMPUTED_VALUE"""),1.037)</f>
        <v>1.037</v>
      </c>
      <c r="E8752" s="16">
        <f>IFERROR(__xludf.DUMMYFUNCTION("""COMPUTED_VALUE"""),69.0)</f>
        <v>69</v>
      </c>
      <c r="F8752" s="19" t="str">
        <f>IFERROR(__xludf.DUMMYFUNCTION("""COMPUTED_VALUE"""),"BLACK")</f>
        <v>BLACK</v>
      </c>
      <c r="G8752" s="20" t="str">
        <f>IFERROR(__xludf.DUMMYFUNCTION("""COMPUTED_VALUE"""),"Uncle Sams Cider (5/13/2022)")</f>
        <v>Uncle Sams Cider (5/13/2022)</v>
      </c>
      <c r="H8752" s="19"/>
    </row>
    <row r="8753">
      <c r="A8753" s="9"/>
      <c r="B8753" s="15"/>
      <c r="C8753" s="9">
        <f>IFERROR(__xludf.DUMMYFUNCTION("""COMPUTED_VALUE"""),44705.3521321064)</f>
        <v>44705.35213</v>
      </c>
      <c r="D8753" s="15">
        <f>IFERROR(__xludf.DUMMYFUNCTION("""COMPUTED_VALUE"""),1.037)</f>
        <v>1.037</v>
      </c>
      <c r="E8753" s="16">
        <f>IFERROR(__xludf.DUMMYFUNCTION("""COMPUTED_VALUE"""),69.0)</f>
        <v>69</v>
      </c>
      <c r="F8753" s="19" t="str">
        <f>IFERROR(__xludf.DUMMYFUNCTION("""COMPUTED_VALUE"""),"BLACK")</f>
        <v>BLACK</v>
      </c>
      <c r="G8753" s="20" t="str">
        <f>IFERROR(__xludf.DUMMYFUNCTION("""COMPUTED_VALUE"""),"Uncle Sams Cider (5/13/2022)")</f>
        <v>Uncle Sams Cider (5/13/2022)</v>
      </c>
      <c r="H8753" s="19"/>
    </row>
    <row r="8754">
      <c r="A8754" s="9"/>
      <c r="B8754" s="15"/>
      <c r="C8754" s="9">
        <f>IFERROR(__xludf.DUMMYFUNCTION("""COMPUTED_VALUE"""),44705.3417087268)</f>
        <v>44705.34171</v>
      </c>
      <c r="D8754" s="15">
        <f>IFERROR(__xludf.DUMMYFUNCTION("""COMPUTED_VALUE"""),1.037)</f>
        <v>1.037</v>
      </c>
      <c r="E8754" s="16">
        <f>IFERROR(__xludf.DUMMYFUNCTION("""COMPUTED_VALUE"""),69.0)</f>
        <v>69</v>
      </c>
      <c r="F8754" s="19" t="str">
        <f>IFERROR(__xludf.DUMMYFUNCTION("""COMPUTED_VALUE"""),"BLACK")</f>
        <v>BLACK</v>
      </c>
      <c r="G8754" s="20" t="str">
        <f>IFERROR(__xludf.DUMMYFUNCTION("""COMPUTED_VALUE"""),"Uncle Sams Cider (5/13/2022)")</f>
        <v>Uncle Sams Cider (5/13/2022)</v>
      </c>
      <c r="H8754" s="19"/>
    </row>
    <row r="8755">
      <c r="A8755" s="9"/>
      <c r="B8755" s="15"/>
      <c r="C8755" s="9">
        <f>IFERROR(__xludf.DUMMYFUNCTION("""COMPUTED_VALUE"""),44705.3312878819)</f>
        <v>44705.33129</v>
      </c>
      <c r="D8755" s="15">
        <f>IFERROR(__xludf.DUMMYFUNCTION("""COMPUTED_VALUE"""),1.037)</f>
        <v>1.037</v>
      </c>
      <c r="E8755" s="16">
        <f>IFERROR(__xludf.DUMMYFUNCTION("""COMPUTED_VALUE"""),69.0)</f>
        <v>69</v>
      </c>
      <c r="F8755" s="19" t="str">
        <f>IFERROR(__xludf.DUMMYFUNCTION("""COMPUTED_VALUE"""),"BLACK")</f>
        <v>BLACK</v>
      </c>
      <c r="G8755" s="20" t="str">
        <f>IFERROR(__xludf.DUMMYFUNCTION("""COMPUTED_VALUE"""),"Uncle Sams Cider (5/13/2022)")</f>
        <v>Uncle Sams Cider (5/13/2022)</v>
      </c>
      <c r="H8755" s="19"/>
    </row>
    <row r="8756">
      <c r="A8756" s="9"/>
      <c r="B8756" s="15"/>
      <c r="C8756" s="9">
        <f>IFERROR(__xludf.DUMMYFUNCTION("""COMPUTED_VALUE"""),44705.3208679166)</f>
        <v>44705.32087</v>
      </c>
      <c r="D8756" s="15">
        <f>IFERROR(__xludf.DUMMYFUNCTION("""COMPUTED_VALUE"""),1.037)</f>
        <v>1.037</v>
      </c>
      <c r="E8756" s="16">
        <f>IFERROR(__xludf.DUMMYFUNCTION("""COMPUTED_VALUE"""),69.0)</f>
        <v>69</v>
      </c>
      <c r="F8756" s="19" t="str">
        <f>IFERROR(__xludf.DUMMYFUNCTION("""COMPUTED_VALUE"""),"BLACK")</f>
        <v>BLACK</v>
      </c>
      <c r="G8756" s="20" t="str">
        <f>IFERROR(__xludf.DUMMYFUNCTION("""COMPUTED_VALUE"""),"Uncle Sams Cider (5/13/2022)")</f>
        <v>Uncle Sams Cider (5/13/2022)</v>
      </c>
      <c r="H8756" s="19"/>
    </row>
    <row r="8757">
      <c r="A8757" s="9"/>
      <c r="B8757" s="15"/>
      <c r="C8757" s="9">
        <f>IFERROR(__xludf.DUMMYFUNCTION("""COMPUTED_VALUE"""),44705.3104477314)</f>
        <v>44705.31045</v>
      </c>
      <c r="D8757" s="15">
        <f>IFERROR(__xludf.DUMMYFUNCTION("""COMPUTED_VALUE"""),1.037)</f>
        <v>1.037</v>
      </c>
      <c r="E8757" s="16">
        <f>IFERROR(__xludf.DUMMYFUNCTION("""COMPUTED_VALUE"""),69.0)</f>
        <v>69</v>
      </c>
      <c r="F8757" s="19" t="str">
        <f>IFERROR(__xludf.DUMMYFUNCTION("""COMPUTED_VALUE"""),"BLACK")</f>
        <v>BLACK</v>
      </c>
      <c r="G8757" s="20" t="str">
        <f>IFERROR(__xludf.DUMMYFUNCTION("""COMPUTED_VALUE"""),"Uncle Sams Cider (5/13/2022)")</f>
        <v>Uncle Sams Cider (5/13/2022)</v>
      </c>
      <c r="H8757" s="19"/>
    </row>
    <row r="8758">
      <c r="A8758" s="9"/>
      <c r="B8758" s="15"/>
      <c r="C8758" s="9">
        <f>IFERROR(__xludf.DUMMYFUNCTION("""COMPUTED_VALUE"""),44705.3000260532)</f>
        <v>44705.30003</v>
      </c>
      <c r="D8758" s="15">
        <f>IFERROR(__xludf.DUMMYFUNCTION("""COMPUTED_VALUE"""),1.037)</f>
        <v>1.037</v>
      </c>
      <c r="E8758" s="16">
        <f>IFERROR(__xludf.DUMMYFUNCTION("""COMPUTED_VALUE"""),69.0)</f>
        <v>69</v>
      </c>
      <c r="F8758" s="19" t="str">
        <f>IFERROR(__xludf.DUMMYFUNCTION("""COMPUTED_VALUE"""),"BLACK")</f>
        <v>BLACK</v>
      </c>
      <c r="G8758" s="20" t="str">
        <f>IFERROR(__xludf.DUMMYFUNCTION("""COMPUTED_VALUE"""),"Uncle Sams Cider (5/13/2022)")</f>
        <v>Uncle Sams Cider (5/13/2022)</v>
      </c>
      <c r="H8758" s="19"/>
    </row>
    <row r="8759">
      <c r="A8759" s="9"/>
      <c r="B8759" s="15"/>
      <c r="C8759" s="9">
        <f>IFERROR(__xludf.DUMMYFUNCTION("""COMPUTED_VALUE"""),44705.2896042129)</f>
        <v>44705.2896</v>
      </c>
      <c r="D8759" s="15">
        <f>IFERROR(__xludf.DUMMYFUNCTION("""COMPUTED_VALUE"""),1.037)</f>
        <v>1.037</v>
      </c>
      <c r="E8759" s="16">
        <f>IFERROR(__xludf.DUMMYFUNCTION("""COMPUTED_VALUE"""),69.0)</f>
        <v>69</v>
      </c>
      <c r="F8759" s="19" t="str">
        <f>IFERROR(__xludf.DUMMYFUNCTION("""COMPUTED_VALUE"""),"BLACK")</f>
        <v>BLACK</v>
      </c>
      <c r="G8759" s="20" t="str">
        <f>IFERROR(__xludf.DUMMYFUNCTION("""COMPUTED_VALUE"""),"Uncle Sams Cider (5/13/2022)")</f>
        <v>Uncle Sams Cider (5/13/2022)</v>
      </c>
      <c r="H8759" s="19"/>
    </row>
    <row r="8760">
      <c r="A8760" s="9"/>
      <c r="B8760" s="15"/>
      <c r="C8760" s="9">
        <f>IFERROR(__xludf.DUMMYFUNCTION("""COMPUTED_VALUE"""),44705.2791705902)</f>
        <v>44705.27917</v>
      </c>
      <c r="D8760" s="15">
        <f>IFERROR(__xludf.DUMMYFUNCTION("""COMPUTED_VALUE"""),1.037)</f>
        <v>1.037</v>
      </c>
      <c r="E8760" s="16">
        <f>IFERROR(__xludf.DUMMYFUNCTION("""COMPUTED_VALUE"""),69.0)</f>
        <v>69</v>
      </c>
      <c r="F8760" s="19" t="str">
        <f>IFERROR(__xludf.DUMMYFUNCTION("""COMPUTED_VALUE"""),"BLACK")</f>
        <v>BLACK</v>
      </c>
      <c r="G8760" s="20" t="str">
        <f>IFERROR(__xludf.DUMMYFUNCTION("""COMPUTED_VALUE"""),"Uncle Sams Cider (5/13/2022)")</f>
        <v>Uncle Sams Cider (5/13/2022)</v>
      </c>
      <c r="H8760" s="19"/>
    </row>
    <row r="8761">
      <c r="A8761" s="9"/>
      <c r="B8761" s="15"/>
      <c r="C8761" s="9">
        <f>IFERROR(__xludf.DUMMYFUNCTION("""COMPUTED_VALUE"""),44705.2687486921)</f>
        <v>44705.26875</v>
      </c>
      <c r="D8761" s="15">
        <f>IFERROR(__xludf.DUMMYFUNCTION("""COMPUTED_VALUE"""),1.037)</f>
        <v>1.037</v>
      </c>
      <c r="E8761" s="16">
        <f>IFERROR(__xludf.DUMMYFUNCTION("""COMPUTED_VALUE"""),69.0)</f>
        <v>69</v>
      </c>
      <c r="F8761" s="19" t="str">
        <f>IFERROR(__xludf.DUMMYFUNCTION("""COMPUTED_VALUE"""),"BLACK")</f>
        <v>BLACK</v>
      </c>
      <c r="G8761" s="20" t="str">
        <f>IFERROR(__xludf.DUMMYFUNCTION("""COMPUTED_VALUE"""),"Uncle Sams Cider (5/13/2022)")</f>
        <v>Uncle Sams Cider (5/13/2022)</v>
      </c>
      <c r="H8761" s="19"/>
    </row>
    <row r="8762">
      <c r="A8762" s="9"/>
      <c r="B8762" s="15"/>
      <c r="C8762" s="9">
        <f>IFERROR(__xludf.DUMMYFUNCTION("""COMPUTED_VALUE"""),44705.2583269328)</f>
        <v>44705.25833</v>
      </c>
      <c r="D8762" s="15">
        <f>IFERROR(__xludf.DUMMYFUNCTION("""COMPUTED_VALUE"""),1.037)</f>
        <v>1.037</v>
      </c>
      <c r="E8762" s="16">
        <f>IFERROR(__xludf.DUMMYFUNCTION("""COMPUTED_VALUE"""),69.0)</f>
        <v>69</v>
      </c>
      <c r="F8762" s="19" t="str">
        <f>IFERROR(__xludf.DUMMYFUNCTION("""COMPUTED_VALUE"""),"BLACK")</f>
        <v>BLACK</v>
      </c>
      <c r="G8762" s="20" t="str">
        <f>IFERROR(__xludf.DUMMYFUNCTION("""COMPUTED_VALUE"""),"Uncle Sams Cider (5/13/2022)")</f>
        <v>Uncle Sams Cider (5/13/2022)</v>
      </c>
      <c r="H8762" s="19"/>
    </row>
    <row r="8763">
      <c r="A8763" s="9"/>
      <c r="B8763" s="15"/>
      <c r="C8763" s="9">
        <f>IFERROR(__xludf.DUMMYFUNCTION("""COMPUTED_VALUE"""),44705.2479045023)</f>
        <v>44705.2479</v>
      </c>
      <c r="D8763" s="15">
        <f>IFERROR(__xludf.DUMMYFUNCTION("""COMPUTED_VALUE"""),1.037)</f>
        <v>1.037</v>
      </c>
      <c r="E8763" s="16">
        <f>IFERROR(__xludf.DUMMYFUNCTION("""COMPUTED_VALUE"""),69.0)</f>
        <v>69</v>
      </c>
      <c r="F8763" s="19" t="str">
        <f>IFERROR(__xludf.DUMMYFUNCTION("""COMPUTED_VALUE"""),"BLACK")</f>
        <v>BLACK</v>
      </c>
      <c r="G8763" s="20" t="str">
        <f>IFERROR(__xludf.DUMMYFUNCTION("""COMPUTED_VALUE"""),"Uncle Sams Cider (5/13/2022)")</f>
        <v>Uncle Sams Cider (5/13/2022)</v>
      </c>
      <c r="H8763" s="19"/>
    </row>
    <row r="8764">
      <c r="A8764" s="9"/>
      <c r="B8764" s="15"/>
      <c r="C8764" s="9">
        <f>IFERROR(__xludf.DUMMYFUNCTION("""COMPUTED_VALUE"""),44705.2374711805)</f>
        <v>44705.23747</v>
      </c>
      <c r="D8764" s="15">
        <f>IFERROR(__xludf.DUMMYFUNCTION("""COMPUTED_VALUE"""),1.037)</f>
        <v>1.037</v>
      </c>
      <c r="E8764" s="16">
        <f>IFERROR(__xludf.DUMMYFUNCTION("""COMPUTED_VALUE"""),69.0)</f>
        <v>69</v>
      </c>
      <c r="F8764" s="19" t="str">
        <f>IFERROR(__xludf.DUMMYFUNCTION("""COMPUTED_VALUE"""),"BLACK")</f>
        <v>BLACK</v>
      </c>
      <c r="G8764" s="20" t="str">
        <f>IFERROR(__xludf.DUMMYFUNCTION("""COMPUTED_VALUE"""),"Uncle Sams Cider (5/13/2022)")</f>
        <v>Uncle Sams Cider (5/13/2022)</v>
      </c>
      <c r="H8764" s="19"/>
    </row>
    <row r="8765">
      <c r="A8765" s="9"/>
      <c r="B8765" s="15"/>
      <c r="C8765" s="9">
        <f>IFERROR(__xludf.DUMMYFUNCTION("""COMPUTED_VALUE"""),44705.2270474768)</f>
        <v>44705.22705</v>
      </c>
      <c r="D8765" s="15">
        <f>IFERROR(__xludf.DUMMYFUNCTION("""COMPUTED_VALUE"""),1.037)</f>
        <v>1.037</v>
      </c>
      <c r="E8765" s="16">
        <f>IFERROR(__xludf.DUMMYFUNCTION("""COMPUTED_VALUE"""),69.0)</f>
        <v>69</v>
      </c>
      <c r="F8765" s="19" t="str">
        <f>IFERROR(__xludf.DUMMYFUNCTION("""COMPUTED_VALUE"""),"BLACK")</f>
        <v>BLACK</v>
      </c>
      <c r="G8765" s="20" t="str">
        <f>IFERROR(__xludf.DUMMYFUNCTION("""COMPUTED_VALUE"""),"Uncle Sams Cider (5/13/2022)")</f>
        <v>Uncle Sams Cider (5/13/2022)</v>
      </c>
      <c r="H8765" s="19"/>
    </row>
    <row r="8766">
      <c r="A8766" s="9"/>
      <c r="B8766" s="15"/>
      <c r="C8766" s="9">
        <f>IFERROR(__xludf.DUMMYFUNCTION("""COMPUTED_VALUE"""),44705.2166256018)</f>
        <v>44705.21663</v>
      </c>
      <c r="D8766" s="15">
        <f>IFERROR(__xludf.DUMMYFUNCTION("""COMPUTED_VALUE"""),1.038)</f>
        <v>1.038</v>
      </c>
      <c r="E8766" s="16">
        <f>IFERROR(__xludf.DUMMYFUNCTION("""COMPUTED_VALUE"""),69.0)</f>
        <v>69</v>
      </c>
      <c r="F8766" s="19" t="str">
        <f>IFERROR(__xludf.DUMMYFUNCTION("""COMPUTED_VALUE"""),"BLACK")</f>
        <v>BLACK</v>
      </c>
      <c r="G8766" s="20" t="str">
        <f>IFERROR(__xludf.DUMMYFUNCTION("""COMPUTED_VALUE"""),"Uncle Sams Cider (5/13/2022)")</f>
        <v>Uncle Sams Cider (5/13/2022)</v>
      </c>
      <c r="H8766" s="19"/>
    </row>
    <row r="8767">
      <c r="A8767" s="9"/>
      <c r="B8767" s="15"/>
      <c r="C8767" s="9">
        <f>IFERROR(__xludf.DUMMYFUNCTION("""COMPUTED_VALUE"""),44705.2062041666)</f>
        <v>44705.2062</v>
      </c>
      <c r="D8767" s="15">
        <f>IFERROR(__xludf.DUMMYFUNCTION("""COMPUTED_VALUE"""),1.038)</f>
        <v>1.038</v>
      </c>
      <c r="E8767" s="16">
        <f>IFERROR(__xludf.DUMMYFUNCTION("""COMPUTED_VALUE"""),69.0)</f>
        <v>69</v>
      </c>
      <c r="F8767" s="19" t="str">
        <f>IFERROR(__xludf.DUMMYFUNCTION("""COMPUTED_VALUE"""),"BLACK")</f>
        <v>BLACK</v>
      </c>
      <c r="G8767" s="20" t="str">
        <f>IFERROR(__xludf.DUMMYFUNCTION("""COMPUTED_VALUE"""),"Uncle Sams Cider (5/13/2022)")</f>
        <v>Uncle Sams Cider (5/13/2022)</v>
      </c>
      <c r="H8767" s="19"/>
    </row>
    <row r="8768">
      <c r="A8768" s="9"/>
      <c r="B8768" s="15"/>
      <c r="C8768" s="9">
        <f>IFERROR(__xludf.DUMMYFUNCTION("""COMPUTED_VALUE"""),44705.1957716666)</f>
        <v>44705.19577</v>
      </c>
      <c r="D8768" s="15">
        <f>IFERROR(__xludf.DUMMYFUNCTION("""COMPUTED_VALUE"""),1.037)</f>
        <v>1.037</v>
      </c>
      <c r="E8768" s="16">
        <f>IFERROR(__xludf.DUMMYFUNCTION("""COMPUTED_VALUE"""),69.0)</f>
        <v>69</v>
      </c>
      <c r="F8768" s="19" t="str">
        <f>IFERROR(__xludf.DUMMYFUNCTION("""COMPUTED_VALUE"""),"BLACK")</f>
        <v>BLACK</v>
      </c>
      <c r="G8768" s="20" t="str">
        <f>IFERROR(__xludf.DUMMYFUNCTION("""COMPUTED_VALUE"""),"Uncle Sams Cider (5/13/2022)")</f>
        <v>Uncle Sams Cider (5/13/2022)</v>
      </c>
      <c r="H8768" s="19"/>
    </row>
    <row r="8769">
      <c r="A8769" s="9"/>
      <c r="B8769" s="15"/>
      <c r="C8769" s="9">
        <f>IFERROR(__xludf.DUMMYFUNCTION("""COMPUTED_VALUE"""),44705.1853513541)</f>
        <v>44705.18535</v>
      </c>
      <c r="D8769" s="15">
        <f>IFERROR(__xludf.DUMMYFUNCTION("""COMPUTED_VALUE"""),1.038)</f>
        <v>1.038</v>
      </c>
      <c r="E8769" s="16">
        <f>IFERROR(__xludf.DUMMYFUNCTION("""COMPUTED_VALUE"""),69.0)</f>
        <v>69</v>
      </c>
      <c r="F8769" s="19" t="str">
        <f>IFERROR(__xludf.DUMMYFUNCTION("""COMPUTED_VALUE"""),"BLACK")</f>
        <v>BLACK</v>
      </c>
      <c r="G8769" s="20" t="str">
        <f>IFERROR(__xludf.DUMMYFUNCTION("""COMPUTED_VALUE"""),"Uncle Sams Cider (5/13/2022)")</f>
        <v>Uncle Sams Cider (5/13/2022)</v>
      </c>
      <c r="H8769" s="19"/>
    </row>
    <row r="8770">
      <c r="A8770" s="9"/>
      <c r="B8770" s="15"/>
      <c r="C8770" s="9">
        <f>IFERROR(__xludf.DUMMYFUNCTION("""COMPUTED_VALUE"""),44705.1749178588)</f>
        <v>44705.17492</v>
      </c>
      <c r="D8770" s="15">
        <f>IFERROR(__xludf.DUMMYFUNCTION("""COMPUTED_VALUE"""),1.038)</f>
        <v>1.038</v>
      </c>
      <c r="E8770" s="16">
        <f>IFERROR(__xludf.DUMMYFUNCTION("""COMPUTED_VALUE"""),69.0)</f>
        <v>69</v>
      </c>
      <c r="F8770" s="19" t="str">
        <f>IFERROR(__xludf.DUMMYFUNCTION("""COMPUTED_VALUE"""),"BLACK")</f>
        <v>BLACK</v>
      </c>
      <c r="G8770" s="20" t="str">
        <f>IFERROR(__xludf.DUMMYFUNCTION("""COMPUTED_VALUE"""),"Uncle Sams Cider (5/13/2022)")</f>
        <v>Uncle Sams Cider (5/13/2022)</v>
      </c>
      <c r="H8770" s="19"/>
    </row>
    <row r="8771">
      <c r="A8771" s="9"/>
      <c r="B8771" s="15"/>
      <c r="C8771" s="9">
        <f>IFERROR(__xludf.DUMMYFUNCTION("""COMPUTED_VALUE"""),44705.1644982407)</f>
        <v>44705.1645</v>
      </c>
      <c r="D8771" s="15">
        <f>IFERROR(__xludf.DUMMYFUNCTION("""COMPUTED_VALUE"""),1.038)</f>
        <v>1.038</v>
      </c>
      <c r="E8771" s="16">
        <f>IFERROR(__xludf.DUMMYFUNCTION("""COMPUTED_VALUE"""),69.0)</f>
        <v>69</v>
      </c>
      <c r="F8771" s="19" t="str">
        <f>IFERROR(__xludf.DUMMYFUNCTION("""COMPUTED_VALUE"""),"BLACK")</f>
        <v>BLACK</v>
      </c>
      <c r="G8771" s="20" t="str">
        <f>IFERROR(__xludf.DUMMYFUNCTION("""COMPUTED_VALUE"""),"Uncle Sams Cider (5/13/2022)")</f>
        <v>Uncle Sams Cider (5/13/2022)</v>
      </c>
      <c r="H8771" s="19"/>
    </row>
    <row r="8772">
      <c r="A8772" s="9"/>
      <c r="B8772" s="15"/>
      <c r="C8772" s="9">
        <f>IFERROR(__xludf.DUMMYFUNCTION("""COMPUTED_VALUE"""),44705.1540757754)</f>
        <v>44705.15408</v>
      </c>
      <c r="D8772" s="15">
        <f>IFERROR(__xludf.DUMMYFUNCTION("""COMPUTED_VALUE"""),1.038)</f>
        <v>1.038</v>
      </c>
      <c r="E8772" s="16">
        <f>IFERROR(__xludf.DUMMYFUNCTION("""COMPUTED_VALUE"""),69.0)</f>
        <v>69</v>
      </c>
      <c r="F8772" s="19" t="str">
        <f>IFERROR(__xludf.DUMMYFUNCTION("""COMPUTED_VALUE"""),"BLACK")</f>
        <v>BLACK</v>
      </c>
      <c r="G8772" s="20" t="str">
        <f>IFERROR(__xludf.DUMMYFUNCTION("""COMPUTED_VALUE"""),"Uncle Sams Cider (5/13/2022)")</f>
        <v>Uncle Sams Cider (5/13/2022)</v>
      </c>
      <c r="H8772" s="19"/>
    </row>
    <row r="8773">
      <c r="A8773" s="9"/>
      <c r="B8773" s="15"/>
      <c r="C8773" s="9">
        <f>IFERROR(__xludf.DUMMYFUNCTION("""COMPUTED_VALUE"""),44705.1436295023)</f>
        <v>44705.14363</v>
      </c>
      <c r="D8773" s="15">
        <f>IFERROR(__xludf.DUMMYFUNCTION("""COMPUTED_VALUE"""),1.038)</f>
        <v>1.038</v>
      </c>
      <c r="E8773" s="16">
        <f>IFERROR(__xludf.DUMMYFUNCTION("""COMPUTED_VALUE"""),69.0)</f>
        <v>69</v>
      </c>
      <c r="F8773" s="19" t="str">
        <f>IFERROR(__xludf.DUMMYFUNCTION("""COMPUTED_VALUE"""),"BLACK")</f>
        <v>BLACK</v>
      </c>
      <c r="G8773" s="20" t="str">
        <f>IFERROR(__xludf.DUMMYFUNCTION("""COMPUTED_VALUE"""),"Uncle Sams Cider (5/13/2022)")</f>
        <v>Uncle Sams Cider (5/13/2022)</v>
      </c>
      <c r="H8773" s="19"/>
    </row>
    <row r="8774">
      <c r="A8774" s="9"/>
      <c r="B8774" s="15"/>
      <c r="C8774" s="9">
        <f>IFERROR(__xludf.DUMMYFUNCTION("""COMPUTED_VALUE"""),44705.1331969907)</f>
        <v>44705.1332</v>
      </c>
      <c r="D8774" s="15">
        <f>IFERROR(__xludf.DUMMYFUNCTION("""COMPUTED_VALUE"""),1.038)</f>
        <v>1.038</v>
      </c>
      <c r="E8774" s="16">
        <f>IFERROR(__xludf.DUMMYFUNCTION("""COMPUTED_VALUE"""),69.0)</f>
        <v>69</v>
      </c>
      <c r="F8774" s="19" t="str">
        <f>IFERROR(__xludf.DUMMYFUNCTION("""COMPUTED_VALUE"""),"BLACK")</f>
        <v>BLACK</v>
      </c>
      <c r="G8774" s="20" t="str">
        <f>IFERROR(__xludf.DUMMYFUNCTION("""COMPUTED_VALUE"""),"Uncle Sams Cider (5/13/2022)")</f>
        <v>Uncle Sams Cider (5/13/2022)</v>
      </c>
      <c r="H8774" s="19"/>
    </row>
    <row r="8775">
      <c r="A8775" s="9"/>
      <c r="B8775" s="15"/>
      <c r="C8775" s="9">
        <f>IFERROR(__xludf.DUMMYFUNCTION("""COMPUTED_VALUE"""),44705.1227416319)</f>
        <v>44705.12274</v>
      </c>
      <c r="D8775" s="15">
        <f>IFERROR(__xludf.DUMMYFUNCTION("""COMPUTED_VALUE"""),1.038)</f>
        <v>1.038</v>
      </c>
      <c r="E8775" s="16">
        <f>IFERROR(__xludf.DUMMYFUNCTION("""COMPUTED_VALUE"""),69.0)</f>
        <v>69</v>
      </c>
      <c r="F8775" s="19" t="str">
        <f>IFERROR(__xludf.DUMMYFUNCTION("""COMPUTED_VALUE"""),"BLACK")</f>
        <v>BLACK</v>
      </c>
      <c r="G8775" s="20" t="str">
        <f>IFERROR(__xludf.DUMMYFUNCTION("""COMPUTED_VALUE"""),"Uncle Sams Cider (5/13/2022)")</f>
        <v>Uncle Sams Cider (5/13/2022)</v>
      </c>
      <c r="H8775" s="19"/>
    </row>
    <row r="8776">
      <c r="A8776" s="9"/>
      <c r="B8776" s="15"/>
      <c r="C8776" s="9">
        <f>IFERROR(__xludf.DUMMYFUNCTION("""COMPUTED_VALUE"""),44705.1123087963)</f>
        <v>44705.11231</v>
      </c>
      <c r="D8776" s="15">
        <f>IFERROR(__xludf.DUMMYFUNCTION("""COMPUTED_VALUE"""),1.038)</f>
        <v>1.038</v>
      </c>
      <c r="E8776" s="16">
        <f>IFERROR(__xludf.DUMMYFUNCTION("""COMPUTED_VALUE"""),69.0)</f>
        <v>69</v>
      </c>
      <c r="F8776" s="19" t="str">
        <f>IFERROR(__xludf.DUMMYFUNCTION("""COMPUTED_VALUE"""),"BLACK")</f>
        <v>BLACK</v>
      </c>
      <c r="G8776" s="20" t="str">
        <f>IFERROR(__xludf.DUMMYFUNCTION("""COMPUTED_VALUE"""),"Uncle Sams Cider (5/13/2022)")</f>
        <v>Uncle Sams Cider (5/13/2022)</v>
      </c>
      <c r="H8776" s="19"/>
    </row>
    <row r="8777">
      <c r="A8777" s="9"/>
      <c r="B8777" s="15"/>
      <c r="C8777" s="9">
        <f>IFERROR(__xludf.DUMMYFUNCTION("""COMPUTED_VALUE"""),44705.1018864699)</f>
        <v>44705.10189</v>
      </c>
      <c r="D8777" s="15">
        <f>IFERROR(__xludf.DUMMYFUNCTION("""COMPUTED_VALUE"""),1.038)</f>
        <v>1.038</v>
      </c>
      <c r="E8777" s="16">
        <f>IFERROR(__xludf.DUMMYFUNCTION("""COMPUTED_VALUE"""),69.0)</f>
        <v>69</v>
      </c>
      <c r="F8777" s="19" t="str">
        <f>IFERROR(__xludf.DUMMYFUNCTION("""COMPUTED_VALUE"""),"BLACK")</f>
        <v>BLACK</v>
      </c>
      <c r="G8777" s="20" t="str">
        <f>IFERROR(__xludf.DUMMYFUNCTION("""COMPUTED_VALUE"""),"Uncle Sams Cider (5/13/2022)")</f>
        <v>Uncle Sams Cider (5/13/2022)</v>
      </c>
      <c r="H8777" s="19"/>
    </row>
    <row r="8778">
      <c r="A8778" s="9"/>
      <c r="B8778" s="15"/>
      <c r="C8778" s="9">
        <f>IFERROR(__xludf.DUMMYFUNCTION("""COMPUTED_VALUE"""),44705.0914652893)</f>
        <v>44705.09147</v>
      </c>
      <c r="D8778" s="15">
        <f>IFERROR(__xludf.DUMMYFUNCTION("""COMPUTED_VALUE"""),1.038)</f>
        <v>1.038</v>
      </c>
      <c r="E8778" s="16">
        <f>IFERROR(__xludf.DUMMYFUNCTION("""COMPUTED_VALUE"""),69.0)</f>
        <v>69</v>
      </c>
      <c r="F8778" s="19" t="str">
        <f>IFERROR(__xludf.DUMMYFUNCTION("""COMPUTED_VALUE"""),"BLACK")</f>
        <v>BLACK</v>
      </c>
      <c r="G8778" s="20" t="str">
        <f>IFERROR(__xludf.DUMMYFUNCTION("""COMPUTED_VALUE"""),"Uncle Sams Cider (5/13/2022)")</f>
        <v>Uncle Sams Cider (5/13/2022)</v>
      </c>
      <c r="H8778" s="19"/>
    </row>
    <row r="8779">
      <c r="A8779" s="9"/>
      <c r="B8779" s="15"/>
      <c r="C8779" s="9">
        <f>IFERROR(__xludf.DUMMYFUNCTION("""COMPUTED_VALUE"""),44705.0810430671)</f>
        <v>44705.08104</v>
      </c>
      <c r="D8779" s="15">
        <f>IFERROR(__xludf.DUMMYFUNCTION("""COMPUTED_VALUE"""),1.038)</f>
        <v>1.038</v>
      </c>
      <c r="E8779" s="16">
        <f>IFERROR(__xludf.DUMMYFUNCTION("""COMPUTED_VALUE"""),69.0)</f>
        <v>69</v>
      </c>
      <c r="F8779" s="19" t="str">
        <f>IFERROR(__xludf.DUMMYFUNCTION("""COMPUTED_VALUE"""),"BLACK")</f>
        <v>BLACK</v>
      </c>
      <c r="G8779" s="20" t="str">
        <f>IFERROR(__xludf.DUMMYFUNCTION("""COMPUTED_VALUE"""),"Uncle Sams Cider (5/13/2022)")</f>
        <v>Uncle Sams Cider (5/13/2022)</v>
      </c>
      <c r="H8779" s="19"/>
    </row>
    <row r="8780">
      <c r="A8780" s="9"/>
      <c r="B8780" s="15"/>
      <c r="C8780" s="9">
        <f>IFERROR(__xludf.DUMMYFUNCTION("""COMPUTED_VALUE"""),44705.0706225231)</f>
        <v>44705.07062</v>
      </c>
      <c r="D8780" s="15">
        <f>IFERROR(__xludf.DUMMYFUNCTION("""COMPUTED_VALUE"""),1.038)</f>
        <v>1.038</v>
      </c>
      <c r="E8780" s="16">
        <f>IFERROR(__xludf.DUMMYFUNCTION("""COMPUTED_VALUE"""),69.0)</f>
        <v>69</v>
      </c>
      <c r="F8780" s="19" t="str">
        <f>IFERROR(__xludf.DUMMYFUNCTION("""COMPUTED_VALUE"""),"BLACK")</f>
        <v>BLACK</v>
      </c>
      <c r="G8780" s="20" t="str">
        <f>IFERROR(__xludf.DUMMYFUNCTION("""COMPUTED_VALUE"""),"Uncle Sams Cider (5/13/2022)")</f>
        <v>Uncle Sams Cider (5/13/2022)</v>
      </c>
      <c r="H8780" s="19"/>
    </row>
    <row r="8781">
      <c r="A8781" s="9"/>
      <c r="B8781" s="15"/>
      <c r="C8781" s="9">
        <f>IFERROR(__xludf.DUMMYFUNCTION("""COMPUTED_VALUE"""),44705.0602018287)</f>
        <v>44705.0602</v>
      </c>
      <c r="D8781" s="15">
        <f>IFERROR(__xludf.DUMMYFUNCTION("""COMPUTED_VALUE"""),1.038)</f>
        <v>1.038</v>
      </c>
      <c r="E8781" s="16">
        <f>IFERROR(__xludf.DUMMYFUNCTION("""COMPUTED_VALUE"""),69.0)</f>
        <v>69</v>
      </c>
      <c r="F8781" s="19" t="str">
        <f>IFERROR(__xludf.DUMMYFUNCTION("""COMPUTED_VALUE"""),"BLACK")</f>
        <v>BLACK</v>
      </c>
      <c r="G8781" s="20" t="str">
        <f>IFERROR(__xludf.DUMMYFUNCTION("""COMPUTED_VALUE"""),"Uncle Sams Cider (5/13/2022)")</f>
        <v>Uncle Sams Cider (5/13/2022)</v>
      </c>
      <c r="H8781" s="19"/>
    </row>
    <row r="8782">
      <c r="A8782" s="9"/>
      <c r="B8782" s="15"/>
      <c r="C8782" s="9">
        <f>IFERROR(__xludf.DUMMYFUNCTION("""COMPUTED_VALUE"""),44705.0497807523)</f>
        <v>44705.04978</v>
      </c>
      <c r="D8782" s="15">
        <f>IFERROR(__xludf.DUMMYFUNCTION("""COMPUTED_VALUE"""),1.038)</f>
        <v>1.038</v>
      </c>
      <c r="E8782" s="16">
        <f>IFERROR(__xludf.DUMMYFUNCTION("""COMPUTED_VALUE"""),69.0)</f>
        <v>69</v>
      </c>
      <c r="F8782" s="19" t="str">
        <f>IFERROR(__xludf.DUMMYFUNCTION("""COMPUTED_VALUE"""),"BLACK")</f>
        <v>BLACK</v>
      </c>
      <c r="G8782" s="20" t="str">
        <f>IFERROR(__xludf.DUMMYFUNCTION("""COMPUTED_VALUE"""),"Uncle Sams Cider (5/13/2022)")</f>
        <v>Uncle Sams Cider (5/13/2022)</v>
      </c>
      <c r="H8782" s="19"/>
    </row>
    <row r="8783">
      <c r="A8783" s="9"/>
      <c r="B8783" s="15"/>
      <c r="C8783" s="9">
        <f>IFERROR(__xludf.DUMMYFUNCTION("""COMPUTED_VALUE"""),44705.0393598726)</f>
        <v>44705.03936</v>
      </c>
      <c r="D8783" s="15">
        <f>IFERROR(__xludf.DUMMYFUNCTION("""COMPUTED_VALUE"""),1.038)</f>
        <v>1.038</v>
      </c>
      <c r="E8783" s="16">
        <f>IFERROR(__xludf.DUMMYFUNCTION("""COMPUTED_VALUE"""),69.0)</f>
        <v>69</v>
      </c>
      <c r="F8783" s="19" t="str">
        <f>IFERROR(__xludf.DUMMYFUNCTION("""COMPUTED_VALUE"""),"BLACK")</f>
        <v>BLACK</v>
      </c>
      <c r="G8783" s="20" t="str">
        <f>IFERROR(__xludf.DUMMYFUNCTION("""COMPUTED_VALUE"""),"Uncle Sams Cider (5/13/2022)")</f>
        <v>Uncle Sams Cider (5/13/2022)</v>
      </c>
      <c r="H8783" s="19"/>
    </row>
    <row r="8784">
      <c r="A8784" s="9"/>
      <c r="B8784" s="15"/>
      <c r="C8784" s="9">
        <f>IFERROR(__xludf.DUMMYFUNCTION("""COMPUTED_VALUE"""),44705.028939074)</f>
        <v>44705.02894</v>
      </c>
      <c r="D8784" s="15">
        <f>IFERROR(__xludf.DUMMYFUNCTION("""COMPUTED_VALUE"""),1.038)</f>
        <v>1.038</v>
      </c>
      <c r="E8784" s="16">
        <f>IFERROR(__xludf.DUMMYFUNCTION("""COMPUTED_VALUE"""),69.0)</f>
        <v>69</v>
      </c>
      <c r="F8784" s="19" t="str">
        <f>IFERROR(__xludf.DUMMYFUNCTION("""COMPUTED_VALUE"""),"BLACK")</f>
        <v>BLACK</v>
      </c>
      <c r="G8784" s="20" t="str">
        <f>IFERROR(__xludf.DUMMYFUNCTION("""COMPUTED_VALUE"""),"Uncle Sams Cider (5/13/2022)")</f>
        <v>Uncle Sams Cider (5/13/2022)</v>
      </c>
      <c r="H8784" s="19"/>
    </row>
    <row r="8785">
      <c r="A8785" s="9"/>
      <c r="B8785" s="15"/>
      <c r="C8785" s="9">
        <f>IFERROR(__xludf.DUMMYFUNCTION("""COMPUTED_VALUE"""),44705.0185167708)</f>
        <v>44705.01852</v>
      </c>
      <c r="D8785" s="15">
        <f>IFERROR(__xludf.DUMMYFUNCTION("""COMPUTED_VALUE"""),1.038)</f>
        <v>1.038</v>
      </c>
      <c r="E8785" s="16">
        <f>IFERROR(__xludf.DUMMYFUNCTION("""COMPUTED_VALUE"""),69.0)</f>
        <v>69</v>
      </c>
      <c r="F8785" s="19" t="str">
        <f>IFERROR(__xludf.DUMMYFUNCTION("""COMPUTED_VALUE"""),"BLACK")</f>
        <v>BLACK</v>
      </c>
      <c r="G8785" s="20" t="str">
        <f>IFERROR(__xludf.DUMMYFUNCTION("""COMPUTED_VALUE"""),"Uncle Sams Cider (5/13/2022)")</f>
        <v>Uncle Sams Cider (5/13/2022)</v>
      </c>
      <c r="H8785" s="19"/>
    </row>
    <row r="8786">
      <c r="A8786" s="9"/>
      <c r="B8786" s="15"/>
      <c r="C8786" s="9">
        <f>IFERROR(__xludf.DUMMYFUNCTION("""COMPUTED_VALUE"""),44705.0080937615)</f>
        <v>44705.00809</v>
      </c>
      <c r="D8786" s="15">
        <f>IFERROR(__xludf.DUMMYFUNCTION("""COMPUTED_VALUE"""),1.038)</f>
        <v>1.038</v>
      </c>
      <c r="E8786" s="16">
        <f>IFERROR(__xludf.DUMMYFUNCTION("""COMPUTED_VALUE"""),69.0)</f>
        <v>69</v>
      </c>
      <c r="F8786" s="19" t="str">
        <f>IFERROR(__xludf.DUMMYFUNCTION("""COMPUTED_VALUE"""),"BLACK")</f>
        <v>BLACK</v>
      </c>
      <c r="G8786" s="20" t="str">
        <f>IFERROR(__xludf.DUMMYFUNCTION("""COMPUTED_VALUE"""),"Uncle Sams Cider (5/13/2022)")</f>
        <v>Uncle Sams Cider (5/13/2022)</v>
      </c>
      <c r="H8786" s="19"/>
    </row>
    <row r="8787">
      <c r="A8787" s="9"/>
      <c r="B8787" s="15"/>
      <c r="C8787" s="9">
        <f>IFERROR(__xludf.DUMMYFUNCTION("""COMPUTED_VALUE"""),44704.9976714814)</f>
        <v>44704.99767</v>
      </c>
      <c r="D8787" s="15">
        <f>IFERROR(__xludf.DUMMYFUNCTION("""COMPUTED_VALUE"""),1.038)</f>
        <v>1.038</v>
      </c>
      <c r="E8787" s="16">
        <f>IFERROR(__xludf.DUMMYFUNCTION("""COMPUTED_VALUE"""),69.0)</f>
        <v>69</v>
      </c>
      <c r="F8787" s="19" t="str">
        <f>IFERROR(__xludf.DUMMYFUNCTION("""COMPUTED_VALUE"""),"BLACK")</f>
        <v>BLACK</v>
      </c>
      <c r="G8787" s="20" t="str">
        <f>IFERROR(__xludf.DUMMYFUNCTION("""COMPUTED_VALUE"""),"Uncle Sams Cider (5/13/2022)")</f>
        <v>Uncle Sams Cider (5/13/2022)</v>
      </c>
      <c r="H8787" s="19"/>
    </row>
    <row r="8788">
      <c r="A8788" s="9"/>
      <c r="B8788" s="15"/>
      <c r="C8788" s="9">
        <f>IFERROR(__xludf.DUMMYFUNCTION("""COMPUTED_VALUE"""),44704.9872504976)</f>
        <v>44704.98725</v>
      </c>
      <c r="D8788" s="15">
        <f>IFERROR(__xludf.DUMMYFUNCTION("""COMPUTED_VALUE"""),1.038)</f>
        <v>1.038</v>
      </c>
      <c r="E8788" s="16">
        <f>IFERROR(__xludf.DUMMYFUNCTION("""COMPUTED_VALUE"""),69.0)</f>
        <v>69</v>
      </c>
      <c r="F8788" s="19" t="str">
        <f>IFERROR(__xludf.DUMMYFUNCTION("""COMPUTED_VALUE"""),"BLACK")</f>
        <v>BLACK</v>
      </c>
      <c r="G8788" s="20" t="str">
        <f>IFERROR(__xludf.DUMMYFUNCTION("""COMPUTED_VALUE"""),"Uncle Sams Cider (5/13/2022)")</f>
        <v>Uncle Sams Cider (5/13/2022)</v>
      </c>
      <c r="H8788" s="19"/>
    </row>
    <row r="8789">
      <c r="A8789" s="9"/>
      <c r="B8789" s="15"/>
      <c r="C8789" s="9">
        <f>IFERROR(__xludf.DUMMYFUNCTION("""COMPUTED_VALUE"""),44704.9768290277)</f>
        <v>44704.97683</v>
      </c>
      <c r="D8789" s="15">
        <f>IFERROR(__xludf.DUMMYFUNCTION("""COMPUTED_VALUE"""),1.038)</f>
        <v>1.038</v>
      </c>
      <c r="E8789" s="16">
        <f>IFERROR(__xludf.DUMMYFUNCTION("""COMPUTED_VALUE"""),69.0)</f>
        <v>69</v>
      </c>
      <c r="F8789" s="19" t="str">
        <f>IFERROR(__xludf.DUMMYFUNCTION("""COMPUTED_VALUE"""),"BLACK")</f>
        <v>BLACK</v>
      </c>
      <c r="G8789" s="20" t="str">
        <f>IFERROR(__xludf.DUMMYFUNCTION("""COMPUTED_VALUE"""),"Uncle Sams Cider (5/13/2022)")</f>
        <v>Uncle Sams Cider (5/13/2022)</v>
      </c>
      <c r="H8789" s="19"/>
    </row>
    <row r="8790">
      <c r="A8790" s="9"/>
      <c r="B8790" s="15"/>
      <c r="C8790" s="9">
        <f>IFERROR(__xludf.DUMMYFUNCTION("""COMPUTED_VALUE"""),44704.966396331)</f>
        <v>44704.9664</v>
      </c>
      <c r="D8790" s="15">
        <f>IFERROR(__xludf.DUMMYFUNCTION("""COMPUTED_VALUE"""),1.039)</f>
        <v>1.039</v>
      </c>
      <c r="E8790" s="16">
        <f>IFERROR(__xludf.DUMMYFUNCTION("""COMPUTED_VALUE"""),69.0)</f>
        <v>69</v>
      </c>
      <c r="F8790" s="19" t="str">
        <f>IFERROR(__xludf.DUMMYFUNCTION("""COMPUTED_VALUE"""),"BLACK")</f>
        <v>BLACK</v>
      </c>
      <c r="G8790" s="20" t="str">
        <f>IFERROR(__xludf.DUMMYFUNCTION("""COMPUTED_VALUE"""),"Uncle Sams Cider (5/13/2022)")</f>
        <v>Uncle Sams Cider (5/13/2022)</v>
      </c>
      <c r="H8790" s="19"/>
    </row>
    <row r="8791">
      <c r="A8791" s="9"/>
      <c r="B8791" s="15"/>
      <c r="C8791" s="9">
        <f>IFERROR(__xludf.DUMMYFUNCTION("""COMPUTED_VALUE"""),44704.9559754745)</f>
        <v>44704.95598</v>
      </c>
      <c r="D8791" s="15">
        <f>IFERROR(__xludf.DUMMYFUNCTION("""COMPUTED_VALUE"""),1.039)</f>
        <v>1.039</v>
      </c>
      <c r="E8791" s="16">
        <f>IFERROR(__xludf.DUMMYFUNCTION("""COMPUTED_VALUE"""),69.0)</f>
        <v>69</v>
      </c>
      <c r="F8791" s="19" t="str">
        <f>IFERROR(__xludf.DUMMYFUNCTION("""COMPUTED_VALUE"""),"BLACK")</f>
        <v>BLACK</v>
      </c>
      <c r="G8791" s="20" t="str">
        <f>IFERROR(__xludf.DUMMYFUNCTION("""COMPUTED_VALUE"""),"Uncle Sams Cider (5/13/2022)")</f>
        <v>Uncle Sams Cider (5/13/2022)</v>
      </c>
      <c r="H8791" s="19"/>
    </row>
    <row r="8792">
      <c r="A8792" s="9"/>
      <c r="B8792" s="15"/>
      <c r="C8792" s="9">
        <f>IFERROR(__xludf.DUMMYFUNCTION("""COMPUTED_VALUE"""),44704.9455544213)</f>
        <v>44704.94555</v>
      </c>
      <c r="D8792" s="15">
        <f>IFERROR(__xludf.DUMMYFUNCTION("""COMPUTED_VALUE"""),1.039)</f>
        <v>1.039</v>
      </c>
      <c r="E8792" s="16">
        <f>IFERROR(__xludf.DUMMYFUNCTION("""COMPUTED_VALUE"""),69.0)</f>
        <v>69</v>
      </c>
      <c r="F8792" s="19" t="str">
        <f>IFERROR(__xludf.DUMMYFUNCTION("""COMPUTED_VALUE"""),"BLACK")</f>
        <v>BLACK</v>
      </c>
      <c r="G8792" s="20" t="str">
        <f>IFERROR(__xludf.DUMMYFUNCTION("""COMPUTED_VALUE"""),"Uncle Sams Cider (5/13/2022)")</f>
        <v>Uncle Sams Cider (5/13/2022)</v>
      </c>
      <c r="H8792" s="19"/>
    </row>
    <row r="8793">
      <c r="A8793" s="9"/>
      <c r="B8793" s="15"/>
      <c r="C8793" s="9">
        <f>IFERROR(__xludf.DUMMYFUNCTION("""COMPUTED_VALUE"""),44704.9351210995)</f>
        <v>44704.93512</v>
      </c>
      <c r="D8793" s="15">
        <f>IFERROR(__xludf.DUMMYFUNCTION("""COMPUTED_VALUE"""),1.039)</f>
        <v>1.039</v>
      </c>
      <c r="E8793" s="16">
        <f>IFERROR(__xludf.DUMMYFUNCTION("""COMPUTED_VALUE"""),69.0)</f>
        <v>69</v>
      </c>
      <c r="F8793" s="19" t="str">
        <f>IFERROR(__xludf.DUMMYFUNCTION("""COMPUTED_VALUE"""),"BLACK")</f>
        <v>BLACK</v>
      </c>
      <c r="G8793" s="20" t="str">
        <f>IFERROR(__xludf.DUMMYFUNCTION("""COMPUTED_VALUE"""),"Uncle Sams Cider (5/13/2022)")</f>
        <v>Uncle Sams Cider (5/13/2022)</v>
      </c>
      <c r="H8793" s="19"/>
    </row>
    <row r="8794">
      <c r="A8794" s="9"/>
      <c r="B8794" s="15"/>
      <c r="C8794" s="9">
        <f>IFERROR(__xludf.DUMMYFUNCTION("""COMPUTED_VALUE"""),44704.9246873958)</f>
        <v>44704.92469</v>
      </c>
      <c r="D8794" s="15">
        <f>IFERROR(__xludf.DUMMYFUNCTION("""COMPUTED_VALUE"""),1.039)</f>
        <v>1.039</v>
      </c>
      <c r="E8794" s="16">
        <f>IFERROR(__xludf.DUMMYFUNCTION("""COMPUTED_VALUE"""),69.0)</f>
        <v>69</v>
      </c>
      <c r="F8794" s="19" t="str">
        <f>IFERROR(__xludf.DUMMYFUNCTION("""COMPUTED_VALUE"""),"BLACK")</f>
        <v>BLACK</v>
      </c>
      <c r="G8794" s="20" t="str">
        <f>IFERROR(__xludf.DUMMYFUNCTION("""COMPUTED_VALUE"""),"Uncle Sams Cider (5/13/2022)")</f>
        <v>Uncle Sams Cider (5/13/2022)</v>
      </c>
      <c r="H8794" s="19"/>
    </row>
    <row r="8795">
      <c r="A8795" s="9"/>
      <c r="B8795" s="15"/>
      <c r="C8795" s="9">
        <f>IFERROR(__xludf.DUMMYFUNCTION("""COMPUTED_VALUE"""),44704.914266412)</f>
        <v>44704.91427</v>
      </c>
      <c r="D8795" s="15">
        <f>IFERROR(__xludf.DUMMYFUNCTION("""COMPUTED_VALUE"""),1.039)</f>
        <v>1.039</v>
      </c>
      <c r="E8795" s="16">
        <f>IFERROR(__xludf.DUMMYFUNCTION("""COMPUTED_VALUE"""),69.0)</f>
        <v>69</v>
      </c>
      <c r="F8795" s="19" t="str">
        <f>IFERROR(__xludf.DUMMYFUNCTION("""COMPUTED_VALUE"""),"BLACK")</f>
        <v>BLACK</v>
      </c>
      <c r="G8795" s="20" t="str">
        <f>IFERROR(__xludf.DUMMYFUNCTION("""COMPUTED_VALUE"""),"Uncle Sams Cider (5/13/2022)")</f>
        <v>Uncle Sams Cider (5/13/2022)</v>
      </c>
      <c r="H8795" s="19"/>
    </row>
    <row r="8796">
      <c r="A8796" s="9"/>
      <c r="B8796" s="15"/>
      <c r="C8796" s="9">
        <f>IFERROR(__xludf.DUMMYFUNCTION("""COMPUTED_VALUE"""),44704.9038335416)</f>
        <v>44704.90383</v>
      </c>
      <c r="D8796" s="15">
        <f>IFERROR(__xludf.DUMMYFUNCTION("""COMPUTED_VALUE"""),1.039)</f>
        <v>1.039</v>
      </c>
      <c r="E8796" s="16">
        <f>IFERROR(__xludf.DUMMYFUNCTION("""COMPUTED_VALUE"""),69.0)</f>
        <v>69</v>
      </c>
      <c r="F8796" s="19" t="str">
        <f>IFERROR(__xludf.DUMMYFUNCTION("""COMPUTED_VALUE"""),"BLACK")</f>
        <v>BLACK</v>
      </c>
      <c r="G8796" s="20" t="str">
        <f>IFERROR(__xludf.DUMMYFUNCTION("""COMPUTED_VALUE"""),"Uncle Sams Cider (5/13/2022)")</f>
        <v>Uncle Sams Cider (5/13/2022)</v>
      </c>
      <c r="H8796" s="19"/>
    </row>
    <row r="8797">
      <c r="A8797" s="9"/>
      <c r="B8797" s="15"/>
      <c r="C8797" s="9">
        <f>IFERROR(__xludf.DUMMYFUNCTION("""COMPUTED_VALUE"""),44704.8934123379)</f>
        <v>44704.89341</v>
      </c>
      <c r="D8797" s="15">
        <f>IFERROR(__xludf.DUMMYFUNCTION("""COMPUTED_VALUE"""),1.039)</f>
        <v>1.039</v>
      </c>
      <c r="E8797" s="16">
        <f>IFERROR(__xludf.DUMMYFUNCTION("""COMPUTED_VALUE"""),69.0)</f>
        <v>69</v>
      </c>
      <c r="F8797" s="19" t="str">
        <f>IFERROR(__xludf.DUMMYFUNCTION("""COMPUTED_VALUE"""),"BLACK")</f>
        <v>BLACK</v>
      </c>
      <c r="G8797" s="20" t="str">
        <f>IFERROR(__xludf.DUMMYFUNCTION("""COMPUTED_VALUE"""),"Uncle Sams Cider (5/13/2022)")</f>
        <v>Uncle Sams Cider (5/13/2022)</v>
      </c>
      <c r="H8797" s="19"/>
    </row>
    <row r="8798">
      <c r="A8798" s="9"/>
      <c r="B8798" s="15"/>
      <c r="C8798" s="9">
        <f>IFERROR(__xludf.DUMMYFUNCTION("""COMPUTED_VALUE"""),44704.8829901388)</f>
        <v>44704.88299</v>
      </c>
      <c r="D8798" s="15">
        <f>IFERROR(__xludf.DUMMYFUNCTION("""COMPUTED_VALUE"""),1.039)</f>
        <v>1.039</v>
      </c>
      <c r="E8798" s="16">
        <f>IFERROR(__xludf.DUMMYFUNCTION("""COMPUTED_VALUE"""),69.0)</f>
        <v>69</v>
      </c>
      <c r="F8798" s="19" t="str">
        <f>IFERROR(__xludf.DUMMYFUNCTION("""COMPUTED_VALUE"""),"BLACK")</f>
        <v>BLACK</v>
      </c>
      <c r="G8798" s="20" t="str">
        <f>IFERROR(__xludf.DUMMYFUNCTION("""COMPUTED_VALUE"""),"Uncle Sams Cider (5/13/2022)")</f>
        <v>Uncle Sams Cider (5/13/2022)</v>
      </c>
      <c r="H8798" s="19"/>
    </row>
    <row r="8799">
      <c r="A8799" s="9"/>
      <c r="B8799" s="15"/>
      <c r="C8799" s="9">
        <f>IFERROR(__xludf.DUMMYFUNCTION("""COMPUTED_VALUE"""),44704.8725695023)</f>
        <v>44704.87257</v>
      </c>
      <c r="D8799" s="15">
        <f>IFERROR(__xludf.DUMMYFUNCTION("""COMPUTED_VALUE"""),1.039)</f>
        <v>1.039</v>
      </c>
      <c r="E8799" s="16">
        <f>IFERROR(__xludf.DUMMYFUNCTION("""COMPUTED_VALUE"""),69.0)</f>
        <v>69</v>
      </c>
      <c r="F8799" s="19" t="str">
        <f>IFERROR(__xludf.DUMMYFUNCTION("""COMPUTED_VALUE"""),"BLACK")</f>
        <v>BLACK</v>
      </c>
      <c r="G8799" s="20" t="str">
        <f>IFERROR(__xludf.DUMMYFUNCTION("""COMPUTED_VALUE"""),"Uncle Sams Cider (5/13/2022)")</f>
        <v>Uncle Sams Cider (5/13/2022)</v>
      </c>
      <c r="H8799" s="19"/>
    </row>
    <row r="8800">
      <c r="A8800" s="9"/>
      <c r="B8800" s="15"/>
      <c r="C8800" s="9">
        <f>IFERROR(__xludf.DUMMYFUNCTION("""COMPUTED_VALUE"""),44704.8621473842)</f>
        <v>44704.86215</v>
      </c>
      <c r="D8800" s="15">
        <f>IFERROR(__xludf.DUMMYFUNCTION("""COMPUTED_VALUE"""),1.039)</f>
        <v>1.039</v>
      </c>
      <c r="E8800" s="16">
        <f>IFERROR(__xludf.DUMMYFUNCTION("""COMPUTED_VALUE"""),69.0)</f>
        <v>69</v>
      </c>
      <c r="F8800" s="19" t="str">
        <f>IFERROR(__xludf.DUMMYFUNCTION("""COMPUTED_VALUE"""),"BLACK")</f>
        <v>BLACK</v>
      </c>
      <c r="G8800" s="20" t="str">
        <f>IFERROR(__xludf.DUMMYFUNCTION("""COMPUTED_VALUE"""),"Uncle Sams Cider (5/13/2022)")</f>
        <v>Uncle Sams Cider (5/13/2022)</v>
      </c>
      <c r="H8800" s="19"/>
    </row>
    <row r="8801">
      <c r="A8801" s="9"/>
      <c r="B8801" s="15"/>
      <c r="C8801" s="9">
        <f>IFERROR(__xludf.DUMMYFUNCTION("""COMPUTED_VALUE"""),44704.8517271643)</f>
        <v>44704.85173</v>
      </c>
      <c r="D8801" s="15">
        <f>IFERROR(__xludf.DUMMYFUNCTION("""COMPUTED_VALUE"""),1.039)</f>
        <v>1.039</v>
      </c>
      <c r="E8801" s="16">
        <f>IFERROR(__xludf.DUMMYFUNCTION("""COMPUTED_VALUE"""),69.0)</f>
        <v>69</v>
      </c>
      <c r="F8801" s="19" t="str">
        <f>IFERROR(__xludf.DUMMYFUNCTION("""COMPUTED_VALUE"""),"BLACK")</f>
        <v>BLACK</v>
      </c>
      <c r="G8801" s="20" t="str">
        <f>IFERROR(__xludf.DUMMYFUNCTION("""COMPUTED_VALUE"""),"Uncle Sams Cider (5/13/2022)")</f>
        <v>Uncle Sams Cider (5/13/2022)</v>
      </c>
      <c r="H8801" s="19"/>
    </row>
    <row r="8802">
      <c r="A8802" s="9"/>
      <c r="B8802" s="15"/>
      <c r="C8802" s="9">
        <f>IFERROR(__xludf.DUMMYFUNCTION("""COMPUTED_VALUE"""),44704.8413059259)</f>
        <v>44704.84131</v>
      </c>
      <c r="D8802" s="15">
        <f>IFERROR(__xludf.DUMMYFUNCTION("""COMPUTED_VALUE"""),1.039)</f>
        <v>1.039</v>
      </c>
      <c r="E8802" s="16">
        <f>IFERROR(__xludf.DUMMYFUNCTION("""COMPUTED_VALUE"""),68.0)</f>
        <v>68</v>
      </c>
      <c r="F8802" s="19" t="str">
        <f>IFERROR(__xludf.DUMMYFUNCTION("""COMPUTED_VALUE"""),"BLACK")</f>
        <v>BLACK</v>
      </c>
      <c r="G8802" s="20" t="str">
        <f>IFERROR(__xludf.DUMMYFUNCTION("""COMPUTED_VALUE"""),"Uncle Sams Cider (5/13/2022)")</f>
        <v>Uncle Sams Cider (5/13/2022)</v>
      </c>
      <c r="H8802" s="19"/>
    </row>
    <row r="8803">
      <c r="A8803" s="9"/>
      <c r="B8803" s="15"/>
      <c r="C8803" s="9">
        <f>IFERROR(__xludf.DUMMYFUNCTION("""COMPUTED_VALUE"""),44704.8308849999)</f>
        <v>44704.83088</v>
      </c>
      <c r="D8803" s="15">
        <f>IFERROR(__xludf.DUMMYFUNCTION("""COMPUTED_VALUE"""),1.039)</f>
        <v>1.039</v>
      </c>
      <c r="E8803" s="16">
        <f>IFERROR(__xludf.DUMMYFUNCTION("""COMPUTED_VALUE"""),68.0)</f>
        <v>68</v>
      </c>
      <c r="F8803" s="19" t="str">
        <f>IFERROR(__xludf.DUMMYFUNCTION("""COMPUTED_VALUE"""),"BLACK")</f>
        <v>BLACK</v>
      </c>
      <c r="G8803" s="20" t="str">
        <f>IFERROR(__xludf.DUMMYFUNCTION("""COMPUTED_VALUE"""),"Uncle Sams Cider (5/13/2022)")</f>
        <v>Uncle Sams Cider (5/13/2022)</v>
      </c>
      <c r="H8803" s="19"/>
    </row>
    <row r="8804">
      <c r="A8804" s="9"/>
      <c r="B8804" s="15"/>
      <c r="C8804" s="9">
        <f>IFERROR(__xludf.DUMMYFUNCTION("""COMPUTED_VALUE"""),44704.8204638888)</f>
        <v>44704.82046</v>
      </c>
      <c r="D8804" s="15">
        <f>IFERROR(__xludf.DUMMYFUNCTION("""COMPUTED_VALUE"""),1.039)</f>
        <v>1.039</v>
      </c>
      <c r="E8804" s="16">
        <f>IFERROR(__xludf.DUMMYFUNCTION("""COMPUTED_VALUE"""),69.0)</f>
        <v>69</v>
      </c>
      <c r="F8804" s="19" t="str">
        <f>IFERROR(__xludf.DUMMYFUNCTION("""COMPUTED_VALUE"""),"BLACK")</f>
        <v>BLACK</v>
      </c>
      <c r="G8804" s="20" t="str">
        <f>IFERROR(__xludf.DUMMYFUNCTION("""COMPUTED_VALUE"""),"Uncle Sams Cider (5/13/2022)")</f>
        <v>Uncle Sams Cider (5/13/2022)</v>
      </c>
      <c r="H8804" s="19"/>
    </row>
    <row r="8805">
      <c r="A8805" s="9"/>
      <c r="B8805" s="15"/>
      <c r="C8805" s="9">
        <f>IFERROR(__xludf.DUMMYFUNCTION("""COMPUTED_VALUE"""),44704.8100434722)</f>
        <v>44704.81004</v>
      </c>
      <c r="D8805" s="15">
        <f>IFERROR(__xludf.DUMMYFUNCTION("""COMPUTED_VALUE"""),1.039)</f>
        <v>1.039</v>
      </c>
      <c r="E8805" s="16">
        <f>IFERROR(__xludf.DUMMYFUNCTION("""COMPUTED_VALUE"""),69.0)</f>
        <v>69</v>
      </c>
      <c r="F8805" s="19" t="str">
        <f>IFERROR(__xludf.DUMMYFUNCTION("""COMPUTED_VALUE"""),"BLACK")</f>
        <v>BLACK</v>
      </c>
      <c r="G8805" s="20" t="str">
        <f>IFERROR(__xludf.DUMMYFUNCTION("""COMPUTED_VALUE"""),"Uncle Sams Cider (5/13/2022)")</f>
        <v>Uncle Sams Cider (5/13/2022)</v>
      </c>
      <c r="H8805" s="19"/>
    </row>
    <row r="8806">
      <c r="A8806" s="9"/>
      <c r="B8806" s="15"/>
      <c r="C8806" s="9">
        <f>IFERROR(__xludf.DUMMYFUNCTION("""COMPUTED_VALUE"""),44704.7996228935)</f>
        <v>44704.79962</v>
      </c>
      <c r="D8806" s="15">
        <f>IFERROR(__xludf.DUMMYFUNCTION("""COMPUTED_VALUE"""),1.039)</f>
        <v>1.039</v>
      </c>
      <c r="E8806" s="16">
        <f>IFERROR(__xludf.DUMMYFUNCTION("""COMPUTED_VALUE"""),68.0)</f>
        <v>68</v>
      </c>
      <c r="F8806" s="19" t="str">
        <f>IFERROR(__xludf.DUMMYFUNCTION("""COMPUTED_VALUE"""),"BLACK")</f>
        <v>BLACK</v>
      </c>
      <c r="G8806" s="20" t="str">
        <f>IFERROR(__xludf.DUMMYFUNCTION("""COMPUTED_VALUE"""),"Uncle Sams Cider (5/13/2022)")</f>
        <v>Uncle Sams Cider (5/13/2022)</v>
      </c>
      <c r="H8806" s="19"/>
    </row>
    <row r="8807">
      <c r="A8807" s="9"/>
      <c r="B8807" s="15"/>
      <c r="C8807" s="9">
        <f>IFERROR(__xludf.DUMMYFUNCTION("""COMPUTED_VALUE"""),44704.7892010416)</f>
        <v>44704.7892</v>
      </c>
      <c r="D8807" s="15">
        <f>IFERROR(__xludf.DUMMYFUNCTION("""COMPUTED_VALUE"""),1.039)</f>
        <v>1.039</v>
      </c>
      <c r="E8807" s="16">
        <f>IFERROR(__xludf.DUMMYFUNCTION("""COMPUTED_VALUE"""),68.0)</f>
        <v>68</v>
      </c>
      <c r="F8807" s="19" t="str">
        <f>IFERROR(__xludf.DUMMYFUNCTION("""COMPUTED_VALUE"""),"BLACK")</f>
        <v>BLACK</v>
      </c>
      <c r="G8807" s="20" t="str">
        <f>IFERROR(__xludf.DUMMYFUNCTION("""COMPUTED_VALUE"""),"Uncle Sams Cider (5/13/2022)")</f>
        <v>Uncle Sams Cider (5/13/2022)</v>
      </c>
      <c r="H8807" s="19"/>
    </row>
    <row r="8808">
      <c r="A8808" s="9"/>
      <c r="B8808" s="15"/>
      <c r="C8808" s="9">
        <f>IFERROR(__xludf.DUMMYFUNCTION("""COMPUTED_VALUE"""),44704.7787807291)</f>
        <v>44704.77878</v>
      </c>
      <c r="D8808" s="15">
        <f>IFERROR(__xludf.DUMMYFUNCTION("""COMPUTED_VALUE"""),1.039)</f>
        <v>1.039</v>
      </c>
      <c r="E8808" s="16">
        <f>IFERROR(__xludf.DUMMYFUNCTION("""COMPUTED_VALUE"""),68.0)</f>
        <v>68</v>
      </c>
      <c r="F8808" s="19" t="str">
        <f>IFERROR(__xludf.DUMMYFUNCTION("""COMPUTED_VALUE"""),"BLACK")</f>
        <v>BLACK</v>
      </c>
      <c r="G8808" s="20" t="str">
        <f>IFERROR(__xludf.DUMMYFUNCTION("""COMPUTED_VALUE"""),"Uncle Sams Cider (5/13/2022)")</f>
        <v>Uncle Sams Cider (5/13/2022)</v>
      </c>
      <c r="H8808" s="19"/>
    </row>
    <row r="8809">
      <c r="A8809" s="9"/>
      <c r="B8809" s="15"/>
      <c r="C8809" s="9">
        <f>IFERROR(__xludf.DUMMYFUNCTION("""COMPUTED_VALUE"""),44704.7683366666)</f>
        <v>44704.76834</v>
      </c>
      <c r="D8809" s="15">
        <f>IFERROR(__xludf.DUMMYFUNCTION("""COMPUTED_VALUE"""),1.039)</f>
        <v>1.039</v>
      </c>
      <c r="E8809" s="16">
        <f>IFERROR(__xludf.DUMMYFUNCTION("""COMPUTED_VALUE"""),68.0)</f>
        <v>68</v>
      </c>
      <c r="F8809" s="19" t="str">
        <f>IFERROR(__xludf.DUMMYFUNCTION("""COMPUTED_VALUE"""),"BLACK")</f>
        <v>BLACK</v>
      </c>
      <c r="G8809" s="20" t="str">
        <f>IFERROR(__xludf.DUMMYFUNCTION("""COMPUTED_VALUE"""),"Uncle Sams Cider (5/13/2022)")</f>
        <v>Uncle Sams Cider (5/13/2022)</v>
      </c>
      <c r="H8809" s="19"/>
    </row>
    <row r="8810">
      <c r="A8810" s="9"/>
      <c r="B8810" s="15"/>
      <c r="C8810" s="9">
        <f>IFERROR(__xludf.DUMMYFUNCTION("""COMPUTED_VALUE"""),44704.7579142939)</f>
        <v>44704.75791</v>
      </c>
      <c r="D8810" s="15">
        <f>IFERROR(__xludf.DUMMYFUNCTION("""COMPUTED_VALUE"""),1.039)</f>
        <v>1.039</v>
      </c>
      <c r="E8810" s="16">
        <f>IFERROR(__xludf.DUMMYFUNCTION("""COMPUTED_VALUE"""),68.0)</f>
        <v>68</v>
      </c>
      <c r="F8810" s="19" t="str">
        <f>IFERROR(__xludf.DUMMYFUNCTION("""COMPUTED_VALUE"""),"BLACK")</f>
        <v>BLACK</v>
      </c>
      <c r="G8810" s="20" t="str">
        <f>IFERROR(__xludf.DUMMYFUNCTION("""COMPUTED_VALUE"""),"Uncle Sams Cider (5/13/2022)")</f>
        <v>Uncle Sams Cider (5/13/2022)</v>
      </c>
      <c r="H8810" s="19"/>
    </row>
    <row r="8811">
      <c r="A8811" s="9"/>
      <c r="B8811" s="15"/>
      <c r="C8811" s="9">
        <f>IFERROR(__xludf.DUMMYFUNCTION("""COMPUTED_VALUE"""),44704.747467662)</f>
        <v>44704.74747</v>
      </c>
      <c r="D8811" s="15">
        <f>IFERROR(__xludf.DUMMYFUNCTION("""COMPUTED_VALUE"""),1.039)</f>
        <v>1.039</v>
      </c>
      <c r="E8811" s="16">
        <f>IFERROR(__xludf.DUMMYFUNCTION("""COMPUTED_VALUE"""),68.0)</f>
        <v>68</v>
      </c>
      <c r="F8811" s="19" t="str">
        <f>IFERROR(__xludf.DUMMYFUNCTION("""COMPUTED_VALUE"""),"BLACK")</f>
        <v>BLACK</v>
      </c>
      <c r="G8811" s="20" t="str">
        <f>IFERROR(__xludf.DUMMYFUNCTION("""COMPUTED_VALUE"""),"Uncle Sams Cider (5/13/2022)")</f>
        <v>Uncle Sams Cider (5/13/2022)</v>
      </c>
      <c r="H8811" s="19"/>
    </row>
    <row r="8812">
      <c r="A8812" s="9"/>
      <c r="B8812" s="15"/>
      <c r="C8812" s="9">
        <f>IFERROR(__xludf.DUMMYFUNCTION("""COMPUTED_VALUE"""),44704.7370329861)</f>
        <v>44704.73703</v>
      </c>
      <c r="D8812" s="15">
        <f>IFERROR(__xludf.DUMMYFUNCTION("""COMPUTED_VALUE"""),1.039)</f>
        <v>1.039</v>
      </c>
      <c r="E8812" s="16">
        <f>IFERROR(__xludf.DUMMYFUNCTION("""COMPUTED_VALUE"""),68.0)</f>
        <v>68</v>
      </c>
      <c r="F8812" s="19" t="str">
        <f>IFERROR(__xludf.DUMMYFUNCTION("""COMPUTED_VALUE"""),"BLACK")</f>
        <v>BLACK</v>
      </c>
      <c r="G8812" s="20" t="str">
        <f>IFERROR(__xludf.DUMMYFUNCTION("""COMPUTED_VALUE"""),"Uncle Sams Cider (5/13/2022)")</f>
        <v>Uncle Sams Cider (5/13/2022)</v>
      </c>
      <c r="H8812" s="19"/>
    </row>
    <row r="8813">
      <c r="A8813" s="9"/>
      <c r="B8813" s="15"/>
      <c r="C8813" s="9">
        <f>IFERROR(__xludf.DUMMYFUNCTION("""COMPUTED_VALUE"""),44704.7265986805)</f>
        <v>44704.7266</v>
      </c>
      <c r="D8813" s="15">
        <f>IFERROR(__xludf.DUMMYFUNCTION("""COMPUTED_VALUE"""),1.039)</f>
        <v>1.039</v>
      </c>
      <c r="E8813" s="16">
        <f>IFERROR(__xludf.DUMMYFUNCTION("""COMPUTED_VALUE"""),68.0)</f>
        <v>68</v>
      </c>
      <c r="F8813" s="19" t="str">
        <f>IFERROR(__xludf.DUMMYFUNCTION("""COMPUTED_VALUE"""),"BLACK")</f>
        <v>BLACK</v>
      </c>
      <c r="G8813" s="20" t="str">
        <f>IFERROR(__xludf.DUMMYFUNCTION("""COMPUTED_VALUE"""),"Uncle Sams Cider (5/13/2022)")</f>
        <v>Uncle Sams Cider (5/13/2022)</v>
      </c>
      <c r="H8813" s="19"/>
    </row>
    <row r="8814">
      <c r="A8814" s="9"/>
      <c r="B8814" s="15"/>
      <c r="C8814" s="9">
        <f>IFERROR(__xludf.DUMMYFUNCTION("""COMPUTED_VALUE"""),44704.7161765046)</f>
        <v>44704.71618</v>
      </c>
      <c r="D8814" s="15">
        <f>IFERROR(__xludf.DUMMYFUNCTION("""COMPUTED_VALUE"""),1.039)</f>
        <v>1.039</v>
      </c>
      <c r="E8814" s="16">
        <f>IFERROR(__xludf.DUMMYFUNCTION("""COMPUTED_VALUE"""),68.0)</f>
        <v>68</v>
      </c>
      <c r="F8814" s="19" t="str">
        <f>IFERROR(__xludf.DUMMYFUNCTION("""COMPUTED_VALUE"""),"BLACK")</f>
        <v>BLACK</v>
      </c>
      <c r="G8814" s="20" t="str">
        <f>IFERROR(__xludf.DUMMYFUNCTION("""COMPUTED_VALUE"""),"Uncle Sams Cider (5/13/2022)")</f>
        <v>Uncle Sams Cider (5/13/2022)</v>
      </c>
      <c r="H8814" s="19"/>
    </row>
    <row r="8815">
      <c r="A8815" s="9"/>
      <c r="B8815" s="15"/>
      <c r="C8815" s="9">
        <f>IFERROR(__xludf.DUMMYFUNCTION("""COMPUTED_VALUE"""),44704.705755162)</f>
        <v>44704.70576</v>
      </c>
      <c r="D8815" s="15">
        <f>IFERROR(__xludf.DUMMYFUNCTION("""COMPUTED_VALUE"""),1.039)</f>
        <v>1.039</v>
      </c>
      <c r="E8815" s="16">
        <f>IFERROR(__xludf.DUMMYFUNCTION("""COMPUTED_VALUE"""),68.0)</f>
        <v>68</v>
      </c>
      <c r="F8815" s="19" t="str">
        <f>IFERROR(__xludf.DUMMYFUNCTION("""COMPUTED_VALUE"""),"BLACK")</f>
        <v>BLACK</v>
      </c>
      <c r="G8815" s="20" t="str">
        <f>IFERROR(__xludf.DUMMYFUNCTION("""COMPUTED_VALUE"""),"Uncle Sams Cider (5/13/2022)")</f>
        <v>Uncle Sams Cider (5/13/2022)</v>
      </c>
      <c r="H8815" s="19"/>
    </row>
    <row r="8816">
      <c r="A8816" s="9"/>
      <c r="B8816" s="15"/>
      <c r="C8816" s="9">
        <f>IFERROR(__xludf.DUMMYFUNCTION("""COMPUTED_VALUE"""),44704.6953331597)</f>
        <v>44704.69533</v>
      </c>
      <c r="D8816" s="15">
        <f>IFERROR(__xludf.DUMMYFUNCTION("""COMPUTED_VALUE"""),1.04)</f>
        <v>1.04</v>
      </c>
      <c r="E8816" s="16">
        <f>IFERROR(__xludf.DUMMYFUNCTION("""COMPUTED_VALUE"""),68.0)</f>
        <v>68</v>
      </c>
      <c r="F8816" s="19" t="str">
        <f>IFERROR(__xludf.DUMMYFUNCTION("""COMPUTED_VALUE"""),"BLACK")</f>
        <v>BLACK</v>
      </c>
      <c r="G8816" s="20" t="str">
        <f>IFERROR(__xludf.DUMMYFUNCTION("""COMPUTED_VALUE"""),"Uncle Sams Cider (5/13/2022)")</f>
        <v>Uncle Sams Cider (5/13/2022)</v>
      </c>
      <c r="H8816" s="19"/>
    </row>
    <row r="8817">
      <c r="A8817" s="9"/>
      <c r="B8817" s="15"/>
      <c r="C8817" s="9">
        <f>IFERROR(__xludf.DUMMYFUNCTION("""COMPUTED_VALUE"""),44704.6849126041)</f>
        <v>44704.68491</v>
      </c>
      <c r="D8817" s="15">
        <f>IFERROR(__xludf.DUMMYFUNCTION("""COMPUTED_VALUE"""),1.039)</f>
        <v>1.039</v>
      </c>
      <c r="E8817" s="16">
        <f>IFERROR(__xludf.DUMMYFUNCTION("""COMPUTED_VALUE"""),68.0)</f>
        <v>68</v>
      </c>
      <c r="F8817" s="19" t="str">
        <f>IFERROR(__xludf.DUMMYFUNCTION("""COMPUTED_VALUE"""),"BLACK")</f>
        <v>BLACK</v>
      </c>
      <c r="G8817" s="20" t="str">
        <f>IFERROR(__xludf.DUMMYFUNCTION("""COMPUTED_VALUE"""),"Uncle Sams Cider (5/13/2022)")</f>
        <v>Uncle Sams Cider (5/13/2022)</v>
      </c>
      <c r="H8817" s="19"/>
    </row>
    <row r="8818">
      <c r="A8818" s="9"/>
      <c r="B8818" s="15"/>
      <c r="C8818" s="9">
        <f>IFERROR(__xludf.DUMMYFUNCTION("""COMPUTED_VALUE"""),44704.674493287)</f>
        <v>44704.67449</v>
      </c>
      <c r="D8818" s="15">
        <f>IFERROR(__xludf.DUMMYFUNCTION("""COMPUTED_VALUE"""),1.039)</f>
        <v>1.039</v>
      </c>
      <c r="E8818" s="16">
        <f>IFERROR(__xludf.DUMMYFUNCTION("""COMPUTED_VALUE"""),68.0)</f>
        <v>68</v>
      </c>
      <c r="F8818" s="19" t="str">
        <f>IFERROR(__xludf.DUMMYFUNCTION("""COMPUTED_VALUE"""),"BLACK")</f>
        <v>BLACK</v>
      </c>
      <c r="G8818" s="20" t="str">
        <f>IFERROR(__xludf.DUMMYFUNCTION("""COMPUTED_VALUE"""),"Uncle Sams Cider (5/13/2022)")</f>
        <v>Uncle Sams Cider (5/13/2022)</v>
      </c>
      <c r="H8818" s="19"/>
    </row>
    <row r="8819">
      <c r="A8819" s="9"/>
      <c r="B8819" s="15"/>
      <c r="C8819" s="9">
        <f>IFERROR(__xludf.DUMMYFUNCTION("""COMPUTED_VALUE"""),44704.6640615972)</f>
        <v>44704.66406</v>
      </c>
      <c r="D8819" s="15">
        <f>IFERROR(__xludf.DUMMYFUNCTION("""COMPUTED_VALUE"""),1.039)</f>
        <v>1.039</v>
      </c>
      <c r="E8819" s="16">
        <f>IFERROR(__xludf.DUMMYFUNCTION("""COMPUTED_VALUE"""),68.0)</f>
        <v>68</v>
      </c>
      <c r="F8819" s="19" t="str">
        <f>IFERROR(__xludf.DUMMYFUNCTION("""COMPUTED_VALUE"""),"BLACK")</f>
        <v>BLACK</v>
      </c>
      <c r="G8819" s="20" t="str">
        <f>IFERROR(__xludf.DUMMYFUNCTION("""COMPUTED_VALUE"""),"Uncle Sams Cider (5/13/2022)")</f>
        <v>Uncle Sams Cider (5/13/2022)</v>
      </c>
      <c r="H8819" s="19"/>
    </row>
    <row r="8820">
      <c r="A8820" s="9"/>
      <c r="B8820" s="15"/>
      <c r="C8820" s="9">
        <f>IFERROR(__xludf.DUMMYFUNCTION("""COMPUTED_VALUE"""),44704.6536393634)</f>
        <v>44704.65364</v>
      </c>
      <c r="D8820" s="15">
        <f>IFERROR(__xludf.DUMMYFUNCTION("""COMPUTED_VALUE"""),1.04)</f>
        <v>1.04</v>
      </c>
      <c r="E8820" s="16">
        <f>IFERROR(__xludf.DUMMYFUNCTION("""COMPUTED_VALUE"""),68.0)</f>
        <v>68</v>
      </c>
      <c r="F8820" s="19" t="str">
        <f>IFERROR(__xludf.DUMMYFUNCTION("""COMPUTED_VALUE"""),"BLACK")</f>
        <v>BLACK</v>
      </c>
      <c r="G8820" s="20" t="str">
        <f>IFERROR(__xludf.DUMMYFUNCTION("""COMPUTED_VALUE"""),"Uncle Sams Cider (5/13/2022)")</f>
        <v>Uncle Sams Cider (5/13/2022)</v>
      </c>
      <c r="H8820" s="19"/>
    </row>
    <row r="8821">
      <c r="A8821" s="9"/>
      <c r="B8821" s="15"/>
      <c r="C8821" s="9">
        <f>IFERROR(__xludf.DUMMYFUNCTION("""COMPUTED_VALUE"""),44704.6432063541)</f>
        <v>44704.64321</v>
      </c>
      <c r="D8821" s="15">
        <f>IFERROR(__xludf.DUMMYFUNCTION("""COMPUTED_VALUE"""),1.04)</f>
        <v>1.04</v>
      </c>
      <c r="E8821" s="16">
        <f>IFERROR(__xludf.DUMMYFUNCTION("""COMPUTED_VALUE"""),68.0)</f>
        <v>68</v>
      </c>
      <c r="F8821" s="19" t="str">
        <f>IFERROR(__xludf.DUMMYFUNCTION("""COMPUTED_VALUE"""),"BLACK")</f>
        <v>BLACK</v>
      </c>
      <c r="G8821" s="20" t="str">
        <f>IFERROR(__xludf.DUMMYFUNCTION("""COMPUTED_VALUE"""),"Uncle Sams Cider (5/13/2022)")</f>
        <v>Uncle Sams Cider (5/13/2022)</v>
      </c>
      <c r="H8821" s="19"/>
    </row>
    <row r="8822">
      <c r="A8822" s="9"/>
      <c r="B8822" s="15"/>
      <c r="C8822" s="9">
        <f>IFERROR(__xludf.DUMMYFUNCTION("""COMPUTED_VALUE"""),44704.6223516435)</f>
        <v>44704.62235</v>
      </c>
      <c r="D8822" s="15">
        <f>IFERROR(__xludf.DUMMYFUNCTION("""COMPUTED_VALUE"""),1.04)</f>
        <v>1.04</v>
      </c>
      <c r="E8822" s="16">
        <f>IFERROR(__xludf.DUMMYFUNCTION("""COMPUTED_VALUE"""),68.0)</f>
        <v>68</v>
      </c>
      <c r="F8822" s="19" t="str">
        <f>IFERROR(__xludf.DUMMYFUNCTION("""COMPUTED_VALUE"""),"BLACK")</f>
        <v>BLACK</v>
      </c>
      <c r="G8822" s="20" t="str">
        <f>IFERROR(__xludf.DUMMYFUNCTION("""COMPUTED_VALUE"""),"Uncle Sams Cider (5/13/2022)")</f>
        <v>Uncle Sams Cider (5/13/2022)</v>
      </c>
      <c r="H8822" s="19"/>
    </row>
    <row r="8823">
      <c r="A8823" s="9"/>
      <c r="B8823" s="15"/>
      <c r="C8823" s="9">
        <f>IFERROR(__xludf.DUMMYFUNCTION("""COMPUTED_VALUE"""),44704.6119174421)</f>
        <v>44704.61192</v>
      </c>
      <c r="D8823" s="15">
        <f>IFERROR(__xludf.DUMMYFUNCTION("""COMPUTED_VALUE"""),1.04)</f>
        <v>1.04</v>
      </c>
      <c r="E8823" s="16">
        <f>IFERROR(__xludf.DUMMYFUNCTION("""COMPUTED_VALUE"""),68.0)</f>
        <v>68</v>
      </c>
      <c r="F8823" s="19" t="str">
        <f>IFERROR(__xludf.DUMMYFUNCTION("""COMPUTED_VALUE"""),"BLACK")</f>
        <v>BLACK</v>
      </c>
      <c r="G8823" s="20" t="str">
        <f>IFERROR(__xludf.DUMMYFUNCTION("""COMPUTED_VALUE"""),"Uncle Sams Cider (5/13/2022)")</f>
        <v>Uncle Sams Cider (5/13/2022)</v>
      </c>
      <c r="H8823" s="19"/>
    </row>
    <row r="8824">
      <c r="A8824" s="9"/>
      <c r="B8824" s="15"/>
      <c r="C8824" s="9">
        <f>IFERROR(__xludf.DUMMYFUNCTION("""COMPUTED_VALUE"""),44704.6014853588)</f>
        <v>44704.60149</v>
      </c>
      <c r="D8824" s="15">
        <f>IFERROR(__xludf.DUMMYFUNCTION("""COMPUTED_VALUE"""),1.04)</f>
        <v>1.04</v>
      </c>
      <c r="E8824" s="16">
        <f>IFERROR(__xludf.DUMMYFUNCTION("""COMPUTED_VALUE"""),68.0)</f>
        <v>68</v>
      </c>
      <c r="F8824" s="19" t="str">
        <f>IFERROR(__xludf.DUMMYFUNCTION("""COMPUTED_VALUE"""),"BLACK")</f>
        <v>BLACK</v>
      </c>
      <c r="G8824" s="20" t="str">
        <f>IFERROR(__xludf.DUMMYFUNCTION("""COMPUTED_VALUE"""),"Uncle Sams Cider (5/13/2022)")</f>
        <v>Uncle Sams Cider (5/13/2022)</v>
      </c>
      <c r="H8824" s="19"/>
    </row>
    <row r="8825">
      <c r="A8825" s="9"/>
      <c r="B8825" s="15"/>
      <c r="C8825" s="9">
        <f>IFERROR(__xludf.DUMMYFUNCTION("""COMPUTED_VALUE"""),44704.5910635995)</f>
        <v>44704.59106</v>
      </c>
      <c r="D8825" s="15">
        <f>IFERROR(__xludf.DUMMYFUNCTION("""COMPUTED_VALUE"""),1.04)</f>
        <v>1.04</v>
      </c>
      <c r="E8825" s="16">
        <f>IFERROR(__xludf.DUMMYFUNCTION("""COMPUTED_VALUE"""),68.0)</f>
        <v>68</v>
      </c>
      <c r="F8825" s="19" t="str">
        <f>IFERROR(__xludf.DUMMYFUNCTION("""COMPUTED_VALUE"""),"BLACK")</f>
        <v>BLACK</v>
      </c>
      <c r="G8825" s="20" t="str">
        <f>IFERROR(__xludf.DUMMYFUNCTION("""COMPUTED_VALUE"""),"Uncle Sams Cider (5/13/2022)")</f>
        <v>Uncle Sams Cider (5/13/2022)</v>
      </c>
      <c r="H8825" s="19"/>
    </row>
    <row r="8826">
      <c r="A8826" s="9"/>
      <c r="B8826" s="15"/>
      <c r="C8826" s="9">
        <f>IFERROR(__xludf.DUMMYFUNCTION("""COMPUTED_VALUE"""),44704.5806428125)</f>
        <v>44704.58064</v>
      </c>
      <c r="D8826" s="15">
        <f>IFERROR(__xludf.DUMMYFUNCTION("""COMPUTED_VALUE"""),1.04)</f>
        <v>1.04</v>
      </c>
      <c r="E8826" s="16">
        <f>IFERROR(__xludf.DUMMYFUNCTION("""COMPUTED_VALUE"""),68.0)</f>
        <v>68</v>
      </c>
      <c r="F8826" s="19" t="str">
        <f>IFERROR(__xludf.DUMMYFUNCTION("""COMPUTED_VALUE"""),"BLACK")</f>
        <v>BLACK</v>
      </c>
      <c r="G8826" s="20" t="str">
        <f>IFERROR(__xludf.DUMMYFUNCTION("""COMPUTED_VALUE"""),"Uncle Sams Cider (5/13/2022)")</f>
        <v>Uncle Sams Cider (5/13/2022)</v>
      </c>
      <c r="H8826" s="19"/>
    </row>
    <row r="8827">
      <c r="A8827" s="9"/>
      <c r="B8827" s="15"/>
      <c r="C8827" s="9">
        <f>IFERROR(__xludf.DUMMYFUNCTION("""COMPUTED_VALUE"""),44704.5701979513)</f>
        <v>44704.5702</v>
      </c>
      <c r="D8827" s="15">
        <f>IFERROR(__xludf.DUMMYFUNCTION("""COMPUTED_VALUE"""),1.04)</f>
        <v>1.04</v>
      </c>
      <c r="E8827" s="16">
        <f>IFERROR(__xludf.DUMMYFUNCTION("""COMPUTED_VALUE"""),68.0)</f>
        <v>68</v>
      </c>
      <c r="F8827" s="19" t="str">
        <f>IFERROR(__xludf.DUMMYFUNCTION("""COMPUTED_VALUE"""),"BLACK")</f>
        <v>BLACK</v>
      </c>
      <c r="G8827" s="20" t="str">
        <f>IFERROR(__xludf.DUMMYFUNCTION("""COMPUTED_VALUE"""),"Uncle Sams Cider (5/13/2022)")</f>
        <v>Uncle Sams Cider (5/13/2022)</v>
      </c>
      <c r="H8827" s="19"/>
    </row>
    <row r="8828">
      <c r="A8828" s="9"/>
      <c r="B8828" s="15"/>
      <c r="C8828" s="9">
        <f>IFERROR(__xludf.DUMMYFUNCTION("""COMPUTED_VALUE"""),44704.5597784027)</f>
        <v>44704.55978</v>
      </c>
      <c r="D8828" s="15">
        <f>IFERROR(__xludf.DUMMYFUNCTION("""COMPUTED_VALUE"""),1.04)</f>
        <v>1.04</v>
      </c>
      <c r="E8828" s="16">
        <f>IFERROR(__xludf.DUMMYFUNCTION("""COMPUTED_VALUE"""),68.0)</f>
        <v>68</v>
      </c>
      <c r="F8828" s="19" t="str">
        <f>IFERROR(__xludf.DUMMYFUNCTION("""COMPUTED_VALUE"""),"BLACK")</f>
        <v>BLACK</v>
      </c>
      <c r="G8828" s="20" t="str">
        <f>IFERROR(__xludf.DUMMYFUNCTION("""COMPUTED_VALUE"""),"Uncle Sams Cider (5/13/2022)")</f>
        <v>Uncle Sams Cider (5/13/2022)</v>
      </c>
      <c r="H8828" s="19"/>
    </row>
    <row r="8829">
      <c r="A8829" s="9"/>
      <c r="B8829" s="15"/>
      <c r="C8829" s="9">
        <f>IFERROR(__xludf.DUMMYFUNCTION("""COMPUTED_VALUE"""),44704.5493586805)</f>
        <v>44704.54936</v>
      </c>
      <c r="D8829" s="15">
        <f>IFERROR(__xludf.DUMMYFUNCTION("""COMPUTED_VALUE"""),1.04)</f>
        <v>1.04</v>
      </c>
      <c r="E8829" s="16">
        <f>IFERROR(__xludf.DUMMYFUNCTION("""COMPUTED_VALUE"""),68.0)</f>
        <v>68</v>
      </c>
      <c r="F8829" s="19" t="str">
        <f>IFERROR(__xludf.DUMMYFUNCTION("""COMPUTED_VALUE"""),"BLACK")</f>
        <v>BLACK</v>
      </c>
      <c r="G8829" s="20" t="str">
        <f>IFERROR(__xludf.DUMMYFUNCTION("""COMPUTED_VALUE"""),"Uncle Sams Cider (5/13/2022)")</f>
        <v>Uncle Sams Cider (5/13/2022)</v>
      </c>
      <c r="H8829" s="19"/>
    </row>
    <row r="8830">
      <c r="A8830" s="9"/>
      <c r="B8830" s="15"/>
      <c r="C8830" s="9">
        <f>IFERROR(__xludf.DUMMYFUNCTION("""COMPUTED_VALUE"""),44704.5389377662)</f>
        <v>44704.53894</v>
      </c>
      <c r="D8830" s="15">
        <f>IFERROR(__xludf.DUMMYFUNCTION("""COMPUTED_VALUE"""),1.04)</f>
        <v>1.04</v>
      </c>
      <c r="E8830" s="16">
        <f>IFERROR(__xludf.DUMMYFUNCTION("""COMPUTED_VALUE"""),68.0)</f>
        <v>68</v>
      </c>
      <c r="F8830" s="19" t="str">
        <f>IFERROR(__xludf.DUMMYFUNCTION("""COMPUTED_VALUE"""),"BLACK")</f>
        <v>BLACK</v>
      </c>
      <c r="G8830" s="20" t="str">
        <f>IFERROR(__xludf.DUMMYFUNCTION("""COMPUTED_VALUE"""),"Uncle Sams Cider (5/13/2022)")</f>
        <v>Uncle Sams Cider (5/13/2022)</v>
      </c>
      <c r="H8830" s="19"/>
    </row>
    <row r="8831">
      <c r="A8831" s="9"/>
      <c r="B8831" s="15"/>
      <c r="C8831" s="9">
        <f>IFERROR(__xludf.DUMMYFUNCTION("""COMPUTED_VALUE"""),44704.5285174999)</f>
        <v>44704.52852</v>
      </c>
      <c r="D8831" s="15">
        <f>IFERROR(__xludf.DUMMYFUNCTION("""COMPUTED_VALUE"""),1.04)</f>
        <v>1.04</v>
      </c>
      <c r="E8831" s="16">
        <f>IFERROR(__xludf.DUMMYFUNCTION("""COMPUTED_VALUE"""),68.0)</f>
        <v>68</v>
      </c>
      <c r="F8831" s="19" t="str">
        <f>IFERROR(__xludf.DUMMYFUNCTION("""COMPUTED_VALUE"""),"BLACK")</f>
        <v>BLACK</v>
      </c>
      <c r="G8831" s="20" t="str">
        <f>IFERROR(__xludf.DUMMYFUNCTION("""COMPUTED_VALUE"""),"Uncle Sams Cider (5/13/2022)")</f>
        <v>Uncle Sams Cider (5/13/2022)</v>
      </c>
      <c r="H8831" s="19"/>
    </row>
    <row r="8832">
      <c r="A8832" s="9"/>
      <c r="B8832" s="15"/>
      <c r="C8832" s="9">
        <f>IFERROR(__xludf.DUMMYFUNCTION("""COMPUTED_VALUE"""),44704.5180956828)</f>
        <v>44704.5181</v>
      </c>
      <c r="D8832" s="15">
        <f>IFERROR(__xludf.DUMMYFUNCTION("""COMPUTED_VALUE"""),1.04)</f>
        <v>1.04</v>
      </c>
      <c r="E8832" s="16">
        <f>IFERROR(__xludf.DUMMYFUNCTION("""COMPUTED_VALUE"""),68.0)</f>
        <v>68</v>
      </c>
      <c r="F8832" s="19" t="str">
        <f>IFERROR(__xludf.DUMMYFUNCTION("""COMPUTED_VALUE"""),"BLACK")</f>
        <v>BLACK</v>
      </c>
      <c r="G8832" s="20" t="str">
        <f>IFERROR(__xludf.DUMMYFUNCTION("""COMPUTED_VALUE"""),"Uncle Sams Cider (5/13/2022)")</f>
        <v>Uncle Sams Cider (5/13/2022)</v>
      </c>
      <c r="H8832" s="19"/>
    </row>
    <row r="8833">
      <c r="A8833" s="9"/>
      <c r="B8833" s="15"/>
      <c r="C8833" s="9">
        <f>IFERROR(__xludf.DUMMYFUNCTION("""COMPUTED_VALUE"""),44704.5076743634)</f>
        <v>44704.50767</v>
      </c>
      <c r="D8833" s="15">
        <f>IFERROR(__xludf.DUMMYFUNCTION("""COMPUTED_VALUE"""),1.04)</f>
        <v>1.04</v>
      </c>
      <c r="E8833" s="16">
        <f>IFERROR(__xludf.DUMMYFUNCTION("""COMPUTED_VALUE"""),68.0)</f>
        <v>68</v>
      </c>
      <c r="F8833" s="19" t="str">
        <f>IFERROR(__xludf.DUMMYFUNCTION("""COMPUTED_VALUE"""),"BLACK")</f>
        <v>BLACK</v>
      </c>
      <c r="G8833" s="20" t="str">
        <f>IFERROR(__xludf.DUMMYFUNCTION("""COMPUTED_VALUE"""),"Uncle Sams Cider (5/13/2022)")</f>
        <v>Uncle Sams Cider (5/13/2022)</v>
      </c>
      <c r="H8833" s="19"/>
    </row>
    <row r="8834">
      <c r="A8834" s="9"/>
      <c r="B8834" s="15"/>
      <c r="C8834" s="9">
        <f>IFERROR(__xludf.DUMMYFUNCTION("""COMPUTED_VALUE"""),44704.4972536574)</f>
        <v>44704.49725</v>
      </c>
      <c r="D8834" s="15">
        <f>IFERROR(__xludf.DUMMYFUNCTION("""COMPUTED_VALUE"""),1.04)</f>
        <v>1.04</v>
      </c>
      <c r="E8834" s="16">
        <f>IFERROR(__xludf.DUMMYFUNCTION("""COMPUTED_VALUE"""),68.0)</f>
        <v>68</v>
      </c>
      <c r="F8834" s="19" t="str">
        <f>IFERROR(__xludf.DUMMYFUNCTION("""COMPUTED_VALUE"""),"BLACK")</f>
        <v>BLACK</v>
      </c>
      <c r="G8834" s="20" t="str">
        <f>IFERROR(__xludf.DUMMYFUNCTION("""COMPUTED_VALUE"""),"Uncle Sams Cider (5/13/2022)")</f>
        <v>Uncle Sams Cider (5/13/2022)</v>
      </c>
      <c r="H8834" s="19"/>
    </row>
    <row r="8835">
      <c r="A8835" s="9"/>
      <c r="B8835" s="15"/>
      <c r="C8835" s="9">
        <f>IFERROR(__xludf.DUMMYFUNCTION("""COMPUTED_VALUE"""),44704.4868231828)</f>
        <v>44704.48682</v>
      </c>
      <c r="D8835" s="15">
        <f>IFERROR(__xludf.DUMMYFUNCTION("""COMPUTED_VALUE"""),1.04)</f>
        <v>1.04</v>
      </c>
      <c r="E8835" s="16">
        <f>IFERROR(__xludf.DUMMYFUNCTION("""COMPUTED_VALUE"""),68.0)</f>
        <v>68</v>
      </c>
      <c r="F8835" s="19" t="str">
        <f>IFERROR(__xludf.DUMMYFUNCTION("""COMPUTED_VALUE"""),"BLACK")</f>
        <v>BLACK</v>
      </c>
      <c r="G8835" s="20" t="str">
        <f>IFERROR(__xludf.DUMMYFUNCTION("""COMPUTED_VALUE"""),"Uncle Sams Cider (5/13/2022)")</f>
        <v>Uncle Sams Cider (5/13/2022)</v>
      </c>
      <c r="H8835" s="19"/>
    </row>
    <row r="8836">
      <c r="A8836" s="9"/>
      <c r="B8836" s="15"/>
      <c r="C8836" s="9">
        <f>IFERROR(__xludf.DUMMYFUNCTION("""COMPUTED_VALUE"""),44704.4764012152)</f>
        <v>44704.4764</v>
      </c>
      <c r="D8836" s="15">
        <f>IFERROR(__xludf.DUMMYFUNCTION("""COMPUTED_VALUE"""),1.04)</f>
        <v>1.04</v>
      </c>
      <c r="E8836" s="16">
        <f>IFERROR(__xludf.DUMMYFUNCTION("""COMPUTED_VALUE"""),68.0)</f>
        <v>68</v>
      </c>
      <c r="F8836" s="19" t="str">
        <f>IFERROR(__xludf.DUMMYFUNCTION("""COMPUTED_VALUE"""),"BLACK")</f>
        <v>BLACK</v>
      </c>
      <c r="G8836" s="20" t="str">
        <f>IFERROR(__xludf.DUMMYFUNCTION("""COMPUTED_VALUE"""),"Uncle Sams Cider (5/13/2022)")</f>
        <v>Uncle Sams Cider (5/13/2022)</v>
      </c>
      <c r="H8836" s="19"/>
    </row>
    <row r="8837">
      <c r="A8837" s="9"/>
      <c r="B8837" s="15"/>
      <c r="C8837" s="9">
        <f>IFERROR(__xludf.DUMMYFUNCTION("""COMPUTED_VALUE"""),44704.4659797106)</f>
        <v>44704.46598</v>
      </c>
      <c r="D8837" s="15">
        <f>IFERROR(__xludf.DUMMYFUNCTION("""COMPUTED_VALUE"""),1.04)</f>
        <v>1.04</v>
      </c>
      <c r="E8837" s="16">
        <f>IFERROR(__xludf.DUMMYFUNCTION("""COMPUTED_VALUE"""),68.0)</f>
        <v>68</v>
      </c>
      <c r="F8837" s="19" t="str">
        <f>IFERROR(__xludf.DUMMYFUNCTION("""COMPUTED_VALUE"""),"BLACK")</f>
        <v>BLACK</v>
      </c>
      <c r="G8837" s="20" t="str">
        <f>IFERROR(__xludf.DUMMYFUNCTION("""COMPUTED_VALUE"""),"Uncle Sams Cider (5/13/2022)")</f>
        <v>Uncle Sams Cider (5/13/2022)</v>
      </c>
      <c r="H8837" s="19"/>
    </row>
    <row r="8838">
      <c r="A8838" s="9"/>
      <c r="B8838" s="15"/>
      <c r="C8838" s="9">
        <f>IFERROR(__xludf.DUMMYFUNCTION("""COMPUTED_VALUE"""),44704.4555592939)</f>
        <v>44704.45556</v>
      </c>
      <c r="D8838" s="15">
        <f>IFERROR(__xludf.DUMMYFUNCTION("""COMPUTED_VALUE"""),1.04)</f>
        <v>1.04</v>
      </c>
      <c r="E8838" s="16">
        <f>IFERROR(__xludf.DUMMYFUNCTION("""COMPUTED_VALUE"""),68.0)</f>
        <v>68</v>
      </c>
      <c r="F8838" s="19" t="str">
        <f>IFERROR(__xludf.DUMMYFUNCTION("""COMPUTED_VALUE"""),"BLACK")</f>
        <v>BLACK</v>
      </c>
      <c r="G8838" s="20" t="str">
        <f>IFERROR(__xludf.DUMMYFUNCTION("""COMPUTED_VALUE"""),"Uncle Sams Cider (5/13/2022)")</f>
        <v>Uncle Sams Cider (5/13/2022)</v>
      </c>
      <c r="H8838" s="19"/>
    </row>
    <row r="8839">
      <c r="A8839" s="9"/>
      <c r="B8839" s="15"/>
      <c r="C8839" s="9">
        <f>IFERROR(__xludf.DUMMYFUNCTION("""COMPUTED_VALUE"""),44704.4451256597)</f>
        <v>44704.44513</v>
      </c>
      <c r="D8839" s="15">
        <f>IFERROR(__xludf.DUMMYFUNCTION("""COMPUTED_VALUE"""),1.04)</f>
        <v>1.04</v>
      </c>
      <c r="E8839" s="16">
        <f>IFERROR(__xludf.DUMMYFUNCTION("""COMPUTED_VALUE"""),68.0)</f>
        <v>68</v>
      </c>
      <c r="F8839" s="19" t="str">
        <f>IFERROR(__xludf.DUMMYFUNCTION("""COMPUTED_VALUE"""),"BLACK")</f>
        <v>BLACK</v>
      </c>
      <c r="G8839" s="20" t="str">
        <f>IFERROR(__xludf.DUMMYFUNCTION("""COMPUTED_VALUE"""),"Uncle Sams Cider (5/13/2022)")</f>
        <v>Uncle Sams Cider (5/13/2022)</v>
      </c>
      <c r="H8839" s="19"/>
    </row>
    <row r="8840">
      <c r="A8840" s="9"/>
      <c r="B8840" s="15"/>
      <c r="C8840" s="9">
        <f>IFERROR(__xludf.DUMMYFUNCTION("""COMPUTED_VALUE"""),44704.4346915625)</f>
        <v>44704.43469</v>
      </c>
      <c r="D8840" s="15">
        <f>IFERROR(__xludf.DUMMYFUNCTION("""COMPUTED_VALUE"""),1.04)</f>
        <v>1.04</v>
      </c>
      <c r="E8840" s="16">
        <f>IFERROR(__xludf.DUMMYFUNCTION("""COMPUTED_VALUE"""),68.0)</f>
        <v>68</v>
      </c>
      <c r="F8840" s="19" t="str">
        <f>IFERROR(__xludf.DUMMYFUNCTION("""COMPUTED_VALUE"""),"BLACK")</f>
        <v>BLACK</v>
      </c>
      <c r="G8840" s="20" t="str">
        <f>IFERROR(__xludf.DUMMYFUNCTION("""COMPUTED_VALUE"""),"Uncle Sams Cider (5/13/2022)")</f>
        <v>Uncle Sams Cider (5/13/2022)</v>
      </c>
      <c r="H8840" s="19"/>
    </row>
    <row r="8841">
      <c r="A8841" s="9"/>
      <c r="B8841" s="15"/>
      <c r="C8841" s="9">
        <f>IFERROR(__xludf.DUMMYFUNCTION("""COMPUTED_VALUE"""),44704.4242706018)</f>
        <v>44704.42427</v>
      </c>
      <c r="D8841" s="15">
        <f>IFERROR(__xludf.DUMMYFUNCTION("""COMPUTED_VALUE"""),1.04)</f>
        <v>1.04</v>
      </c>
      <c r="E8841" s="16">
        <f>IFERROR(__xludf.DUMMYFUNCTION("""COMPUTED_VALUE"""),68.0)</f>
        <v>68</v>
      </c>
      <c r="F8841" s="19" t="str">
        <f>IFERROR(__xludf.DUMMYFUNCTION("""COMPUTED_VALUE"""),"BLACK")</f>
        <v>BLACK</v>
      </c>
      <c r="G8841" s="20" t="str">
        <f>IFERROR(__xludf.DUMMYFUNCTION("""COMPUTED_VALUE"""),"Uncle Sams Cider (5/13/2022)")</f>
        <v>Uncle Sams Cider (5/13/2022)</v>
      </c>
      <c r="H8841" s="19"/>
    </row>
    <row r="8842">
      <c r="A8842" s="9"/>
      <c r="B8842" s="15"/>
      <c r="C8842" s="9">
        <f>IFERROR(__xludf.DUMMYFUNCTION("""COMPUTED_VALUE"""),44704.4138481018)</f>
        <v>44704.41385</v>
      </c>
      <c r="D8842" s="15">
        <f>IFERROR(__xludf.DUMMYFUNCTION("""COMPUTED_VALUE"""),1.04)</f>
        <v>1.04</v>
      </c>
      <c r="E8842" s="16">
        <f>IFERROR(__xludf.DUMMYFUNCTION("""COMPUTED_VALUE"""),68.0)</f>
        <v>68</v>
      </c>
      <c r="F8842" s="19" t="str">
        <f>IFERROR(__xludf.DUMMYFUNCTION("""COMPUTED_VALUE"""),"BLACK")</f>
        <v>BLACK</v>
      </c>
      <c r="G8842" s="20" t="str">
        <f>IFERROR(__xludf.DUMMYFUNCTION("""COMPUTED_VALUE"""),"Uncle Sams Cider (5/13/2022)")</f>
        <v>Uncle Sams Cider (5/13/2022)</v>
      </c>
      <c r="H8842" s="19"/>
    </row>
    <row r="8843">
      <c r="A8843" s="9"/>
      <c r="B8843" s="15"/>
      <c r="C8843" s="9">
        <f>IFERROR(__xludf.DUMMYFUNCTION("""COMPUTED_VALUE"""),44704.4034252546)</f>
        <v>44704.40343</v>
      </c>
      <c r="D8843" s="15">
        <f>IFERROR(__xludf.DUMMYFUNCTION("""COMPUTED_VALUE"""),1.041)</f>
        <v>1.041</v>
      </c>
      <c r="E8843" s="16">
        <f>IFERROR(__xludf.DUMMYFUNCTION("""COMPUTED_VALUE"""),67.0)</f>
        <v>67</v>
      </c>
      <c r="F8843" s="19" t="str">
        <f>IFERROR(__xludf.DUMMYFUNCTION("""COMPUTED_VALUE"""),"BLACK")</f>
        <v>BLACK</v>
      </c>
      <c r="G8843" s="20" t="str">
        <f>IFERROR(__xludf.DUMMYFUNCTION("""COMPUTED_VALUE"""),"Uncle Sams Cider (5/13/2022)")</f>
        <v>Uncle Sams Cider (5/13/2022)</v>
      </c>
      <c r="H8843" s="19"/>
    </row>
    <row r="8844">
      <c r="A8844" s="9"/>
      <c r="B8844" s="15"/>
      <c r="C8844" s="9">
        <f>IFERROR(__xludf.DUMMYFUNCTION("""COMPUTED_VALUE"""),44704.3930056944)</f>
        <v>44704.39301</v>
      </c>
      <c r="D8844" s="15">
        <f>IFERROR(__xludf.DUMMYFUNCTION("""COMPUTED_VALUE"""),1.04)</f>
        <v>1.04</v>
      </c>
      <c r="E8844" s="16">
        <f>IFERROR(__xludf.DUMMYFUNCTION("""COMPUTED_VALUE"""),67.0)</f>
        <v>67</v>
      </c>
      <c r="F8844" s="19" t="str">
        <f>IFERROR(__xludf.DUMMYFUNCTION("""COMPUTED_VALUE"""),"BLACK")</f>
        <v>BLACK</v>
      </c>
      <c r="G8844" s="20" t="str">
        <f>IFERROR(__xludf.DUMMYFUNCTION("""COMPUTED_VALUE"""),"Uncle Sams Cider (5/13/2022)")</f>
        <v>Uncle Sams Cider (5/13/2022)</v>
      </c>
      <c r="H8844" s="19"/>
    </row>
    <row r="8845">
      <c r="A8845" s="9"/>
      <c r="B8845" s="15"/>
      <c r="C8845" s="9">
        <f>IFERROR(__xludf.DUMMYFUNCTION("""COMPUTED_VALUE"""),44704.3825853356)</f>
        <v>44704.38259</v>
      </c>
      <c r="D8845" s="15">
        <f>IFERROR(__xludf.DUMMYFUNCTION("""COMPUTED_VALUE"""),1.041)</f>
        <v>1.041</v>
      </c>
      <c r="E8845" s="16">
        <f>IFERROR(__xludf.DUMMYFUNCTION("""COMPUTED_VALUE"""),67.0)</f>
        <v>67</v>
      </c>
      <c r="F8845" s="19" t="str">
        <f>IFERROR(__xludf.DUMMYFUNCTION("""COMPUTED_VALUE"""),"BLACK")</f>
        <v>BLACK</v>
      </c>
      <c r="G8845" s="20" t="str">
        <f>IFERROR(__xludf.DUMMYFUNCTION("""COMPUTED_VALUE"""),"Uncle Sams Cider (5/13/2022)")</f>
        <v>Uncle Sams Cider (5/13/2022)</v>
      </c>
      <c r="H8845" s="19"/>
    </row>
    <row r="8846">
      <c r="A8846" s="9"/>
      <c r="B8846" s="15"/>
      <c r="C8846" s="9">
        <f>IFERROR(__xludf.DUMMYFUNCTION("""COMPUTED_VALUE"""),44704.3721635995)</f>
        <v>44704.37216</v>
      </c>
      <c r="D8846" s="15">
        <f>IFERROR(__xludf.DUMMYFUNCTION("""COMPUTED_VALUE"""),1.041)</f>
        <v>1.041</v>
      </c>
      <c r="E8846" s="16">
        <f>IFERROR(__xludf.DUMMYFUNCTION("""COMPUTED_VALUE"""),67.0)</f>
        <v>67</v>
      </c>
      <c r="F8846" s="19" t="str">
        <f>IFERROR(__xludf.DUMMYFUNCTION("""COMPUTED_VALUE"""),"BLACK")</f>
        <v>BLACK</v>
      </c>
      <c r="G8846" s="20" t="str">
        <f>IFERROR(__xludf.DUMMYFUNCTION("""COMPUTED_VALUE"""),"Uncle Sams Cider (5/13/2022)")</f>
        <v>Uncle Sams Cider (5/13/2022)</v>
      </c>
      <c r="H8846" s="19"/>
    </row>
    <row r="8847">
      <c r="A8847" s="9"/>
      <c r="B8847" s="15"/>
      <c r="C8847" s="9">
        <f>IFERROR(__xludf.DUMMYFUNCTION("""COMPUTED_VALUE"""),44704.3617417592)</f>
        <v>44704.36174</v>
      </c>
      <c r="D8847" s="15">
        <f>IFERROR(__xludf.DUMMYFUNCTION("""COMPUTED_VALUE"""),1.041)</f>
        <v>1.041</v>
      </c>
      <c r="E8847" s="16">
        <f>IFERROR(__xludf.DUMMYFUNCTION("""COMPUTED_VALUE"""),67.0)</f>
        <v>67</v>
      </c>
      <c r="F8847" s="19" t="str">
        <f>IFERROR(__xludf.DUMMYFUNCTION("""COMPUTED_VALUE"""),"BLACK")</f>
        <v>BLACK</v>
      </c>
      <c r="G8847" s="20" t="str">
        <f>IFERROR(__xludf.DUMMYFUNCTION("""COMPUTED_VALUE"""),"Uncle Sams Cider (5/13/2022)")</f>
        <v>Uncle Sams Cider (5/13/2022)</v>
      </c>
      <c r="H8847" s="19"/>
    </row>
    <row r="8848">
      <c r="A8848" s="9"/>
      <c r="B8848" s="15"/>
      <c r="C8848" s="9">
        <f>IFERROR(__xludf.DUMMYFUNCTION("""COMPUTED_VALUE"""),44704.3513211805)</f>
        <v>44704.35132</v>
      </c>
      <c r="D8848" s="15">
        <f>IFERROR(__xludf.DUMMYFUNCTION("""COMPUTED_VALUE"""),1.041)</f>
        <v>1.041</v>
      </c>
      <c r="E8848" s="16">
        <f>IFERROR(__xludf.DUMMYFUNCTION("""COMPUTED_VALUE"""),67.0)</f>
        <v>67</v>
      </c>
      <c r="F8848" s="19" t="str">
        <f>IFERROR(__xludf.DUMMYFUNCTION("""COMPUTED_VALUE"""),"BLACK")</f>
        <v>BLACK</v>
      </c>
      <c r="G8848" s="20" t="str">
        <f>IFERROR(__xludf.DUMMYFUNCTION("""COMPUTED_VALUE"""),"Uncle Sams Cider (5/13/2022)")</f>
        <v>Uncle Sams Cider (5/13/2022)</v>
      </c>
      <c r="H8848" s="19"/>
    </row>
    <row r="8849">
      <c r="A8849" s="9"/>
      <c r="B8849" s="15"/>
      <c r="C8849" s="9">
        <f>IFERROR(__xludf.DUMMYFUNCTION("""COMPUTED_VALUE"""),44704.3408998958)</f>
        <v>44704.3409</v>
      </c>
      <c r="D8849" s="15">
        <f>IFERROR(__xludf.DUMMYFUNCTION("""COMPUTED_VALUE"""),1.041)</f>
        <v>1.041</v>
      </c>
      <c r="E8849" s="16">
        <f>IFERROR(__xludf.DUMMYFUNCTION("""COMPUTED_VALUE"""),67.0)</f>
        <v>67</v>
      </c>
      <c r="F8849" s="19" t="str">
        <f>IFERROR(__xludf.DUMMYFUNCTION("""COMPUTED_VALUE"""),"BLACK")</f>
        <v>BLACK</v>
      </c>
      <c r="G8849" s="20" t="str">
        <f>IFERROR(__xludf.DUMMYFUNCTION("""COMPUTED_VALUE"""),"Uncle Sams Cider (5/13/2022)")</f>
        <v>Uncle Sams Cider (5/13/2022)</v>
      </c>
      <c r="H8849" s="19"/>
    </row>
    <row r="8850">
      <c r="A8850" s="9"/>
      <c r="B8850" s="15"/>
      <c r="C8850" s="9">
        <f>IFERROR(__xludf.DUMMYFUNCTION("""COMPUTED_VALUE"""),44704.3304791551)</f>
        <v>44704.33048</v>
      </c>
      <c r="D8850" s="15">
        <f>IFERROR(__xludf.DUMMYFUNCTION("""COMPUTED_VALUE"""),1.041)</f>
        <v>1.041</v>
      </c>
      <c r="E8850" s="16">
        <f>IFERROR(__xludf.DUMMYFUNCTION("""COMPUTED_VALUE"""),67.0)</f>
        <v>67</v>
      </c>
      <c r="F8850" s="19" t="str">
        <f>IFERROR(__xludf.DUMMYFUNCTION("""COMPUTED_VALUE"""),"BLACK")</f>
        <v>BLACK</v>
      </c>
      <c r="G8850" s="20" t="str">
        <f>IFERROR(__xludf.DUMMYFUNCTION("""COMPUTED_VALUE"""),"Uncle Sams Cider (5/13/2022)")</f>
        <v>Uncle Sams Cider (5/13/2022)</v>
      </c>
      <c r="H8850" s="19"/>
    </row>
    <row r="8851">
      <c r="A8851" s="9"/>
      <c r="B8851" s="15"/>
      <c r="C8851" s="9">
        <f>IFERROR(__xludf.DUMMYFUNCTION("""COMPUTED_VALUE"""),44704.3200571527)</f>
        <v>44704.32006</v>
      </c>
      <c r="D8851" s="15">
        <f>IFERROR(__xludf.DUMMYFUNCTION("""COMPUTED_VALUE"""),1.041)</f>
        <v>1.041</v>
      </c>
      <c r="E8851" s="16">
        <f>IFERROR(__xludf.DUMMYFUNCTION("""COMPUTED_VALUE"""),67.0)</f>
        <v>67</v>
      </c>
      <c r="F8851" s="19" t="str">
        <f>IFERROR(__xludf.DUMMYFUNCTION("""COMPUTED_VALUE"""),"BLACK")</f>
        <v>BLACK</v>
      </c>
      <c r="G8851" s="20" t="str">
        <f>IFERROR(__xludf.DUMMYFUNCTION("""COMPUTED_VALUE"""),"Uncle Sams Cider (5/13/2022)")</f>
        <v>Uncle Sams Cider (5/13/2022)</v>
      </c>
      <c r="H8851" s="19"/>
    </row>
    <row r="8852">
      <c r="A8852" s="9"/>
      <c r="B8852" s="15"/>
      <c r="C8852" s="9">
        <f>IFERROR(__xludf.DUMMYFUNCTION("""COMPUTED_VALUE"""),44704.3096348263)</f>
        <v>44704.30963</v>
      </c>
      <c r="D8852" s="15">
        <f>IFERROR(__xludf.DUMMYFUNCTION("""COMPUTED_VALUE"""),1.041)</f>
        <v>1.041</v>
      </c>
      <c r="E8852" s="16">
        <f>IFERROR(__xludf.DUMMYFUNCTION("""COMPUTED_VALUE"""),67.0)</f>
        <v>67</v>
      </c>
      <c r="F8852" s="19" t="str">
        <f>IFERROR(__xludf.DUMMYFUNCTION("""COMPUTED_VALUE"""),"BLACK")</f>
        <v>BLACK</v>
      </c>
      <c r="G8852" s="20" t="str">
        <f>IFERROR(__xludf.DUMMYFUNCTION("""COMPUTED_VALUE"""),"Uncle Sams Cider (5/13/2022)")</f>
        <v>Uncle Sams Cider (5/13/2022)</v>
      </c>
      <c r="H8852" s="19"/>
    </row>
    <row r="8853">
      <c r="A8853" s="9"/>
      <c r="B8853" s="15"/>
      <c r="C8853" s="9">
        <f>IFERROR(__xludf.DUMMYFUNCTION("""COMPUTED_VALUE"""),44704.2991792592)</f>
        <v>44704.29918</v>
      </c>
      <c r="D8853" s="15">
        <f>IFERROR(__xludf.DUMMYFUNCTION("""COMPUTED_VALUE"""),1.041)</f>
        <v>1.041</v>
      </c>
      <c r="E8853" s="16">
        <f>IFERROR(__xludf.DUMMYFUNCTION("""COMPUTED_VALUE"""),67.0)</f>
        <v>67</v>
      </c>
      <c r="F8853" s="19" t="str">
        <f>IFERROR(__xludf.DUMMYFUNCTION("""COMPUTED_VALUE"""),"BLACK")</f>
        <v>BLACK</v>
      </c>
      <c r="G8853" s="20" t="str">
        <f>IFERROR(__xludf.DUMMYFUNCTION("""COMPUTED_VALUE"""),"Uncle Sams Cider (5/13/2022)")</f>
        <v>Uncle Sams Cider (5/13/2022)</v>
      </c>
      <c r="H8853" s="19"/>
    </row>
    <row r="8854">
      <c r="A8854" s="9"/>
      <c r="B8854" s="15"/>
      <c r="C8854" s="9">
        <f>IFERROR(__xludf.DUMMYFUNCTION("""COMPUTED_VALUE"""),44704.2887454629)</f>
        <v>44704.28875</v>
      </c>
      <c r="D8854" s="15">
        <f>IFERROR(__xludf.DUMMYFUNCTION("""COMPUTED_VALUE"""),1.041)</f>
        <v>1.041</v>
      </c>
      <c r="E8854" s="16">
        <f>IFERROR(__xludf.DUMMYFUNCTION("""COMPUTED_VALUE"""),67.0)</f>
        <v>67</v>
      </c>
      <c r="F8854" s="19" t="str">
        <f>IFERROR(__xludf.DUMMYFUNCTION("""COMPUTED_VALUE"""),"BLACK")</f>
        <v>BLACK</v>
      </c>
      <c r="G8854" s="20" t="str">
        <f>IFERROR(__xludf.DUMMYFUNCTION("""COMPUTED_VALUE"""),"Uncle Sams Cider (5/13/2022)")</f>
        <v>Uncle Sams Cider (5/13/2022)</v>
      </c>
      <c r="H8854" s="19"/>
    </row>
    <row r="8855">
      <c r="A8855" s="9"/>
      <c r="B8855" s="15"/>
      <c r="C8855" s="9">
        <f>IFERROR(__xludf.DUMMYFUNCTION("""COMPUTED_VALUE"""),44704.2783224189)</f>
        <v>44704.27832</v>
      </c>
      <c r="D8855" s="15">
        <f>IFERROR(__xludf.DUMMYFUNCTION("""COMPUTED_VALUE"""),1.041)</f>
        <v>1.041</v>
      </c>
      <c r="E8855" s="16">
        <f>IFERROR(__xludf.DUMMYFUNCTION("""COMPUTED_VALUE"""),67.0)</f>
        <v>67</v>
      </c>
      <c r="F8855" s="19" t="str">
        <f>IFERROR(__xludf.DUMMYFUNCTION("""COMPUTED_VALUE"""),"BLACK")</f>
        <v>BLACK</v>
      </c>
      <c r="G8855" s="20" t="str">
        <f>IFERROR(__xludf.DUMMYFUNCTION("""COMPUTED_VALUE"""),"Uncle Sams Cider (5/13/2022)")</f>
        <v>Uncle Sams Cider (5/13/2022)</v>
      </c>
      <c r="H8855" s="19"/>
    </row>
    <row r="8856">
      <c r="A8856" s="9"/>
      <c r="B8856" s="15"/>
      <c r="C8856" s="9">
        <f>IFERROR(__xludf.DUMMYFUNCTION("""COMPUTED_VALUE"""),44704.2678989236)</f>
        <v>44704.2679</v>
      </c>
      <c r="D8856" s="15">
        <f>IFERROR(__xludf.DUMMYFUNCTION("""COMPUTED_VALUE"""),1.041)</f>
        <v>1.041</v>
      </c>
      <c r="E8856" s="16">
        <f>IFERROR(__xludf.DUMMYFUNCTION("""COMPUTED_VALUE"""),67.0)</f>
        <v>67</v>
      </c>
      <c r="F8856" s="19" t="str">
        <f>IFERROR(__xludf.DUMMYFUNCTION("""COMPUTED_VALUE"""),"BLACK")</f>
        <v>BLACK</v>
      </c>
      <c r="G8856" s="20" t="str">
        <f>IFERROR(__xludf.DUMMYFUNCTION("""COMPUTED_VALUE"""),"Uncle Sams Cider (5/13/2022)")</f>
        <v>Uncle Sams Cider (5/13/2022)</v>
      </c>
      <c r="H8856" s="19"/>
    </row>
    <row r="8857">
      <c r="A8857" s="9"/>
      <c r="B8857" s="15"/>
      <c r="C8857" s="9">
        <f>IFERROR(__xludf.DUMMYFUNCTION("""COMPUTED_VALUE"""),44704.2574768055)</f>
        <v>44704.25748</v>
      </c>
      <c r="D8857" s="15">
        <f>IFERROR(__xludf.DUMMYFUNCTION("""COMPUTED_VALUE"""),1.041)</f>
        <v>1.041</v>
      </c>
      <c r="E8857" s="16">
        <f>IFERROR(__xludf.DUMMYFUNCTION("""COMPUTED_VALUE"""),67.0)</f>
        <v>67</v>
      </c>
      <c r="F8857" s="19" t="str">
        <f>IFERROR(__xludf.DUMMYFUNCTION("""COMPUTED_VALUE"""),"BLACK")</f>
        <v>BLACK</v>
      </c>
      <c r="G8857" s="20" t="str">
        <f>IFERROR(__xludf.DUMMYFUNCTION("""COMPUTED_VALUE"""),"Uncle Sams Cider (5/13/2022)")</f>
        <v>Uncle Sams Cider (5/13/2022)</v>
      </c>
      <c r="H8857" s="19"/>
    </row>
    <row r="8858">
      <c r="A8858" s="9"/>
      <c r="B8858" s="15"/>
      <c r="C8858" s="9">
        <f>IFERROR(__xludf.DUMMYFUNCTION("""COMPUTED_VALUE"""),44704.2470555439)</f>
        <v>44704.24706</v>
      </c>
      <c r="D8858" s="15">
        <f>IFERROR(__xludf.DUMMYFUNCTION("""COMPUTED_VALUE"""),1.041)</f>
        <v>1.041</v>
      </c>
      <c r="E8858" s="16">
        <f>IFERROR(__xludf.DUMMYFUNCTION("""COMPUTED_VALUE"""),67.0)</f>
        <v>67</v>
      </c>
      <c r="F8858" s="19" t="str">
        <f>IFERROR(__xludf.DUMMYFUNCTION("""COMPUTED_VALUE"""),"BLACK")</f>
        <v>BLACK</v>
      </c>
      <c r="G8858" s="20" t="str">
        <f>IFERROR(__xludf.DUMMYFUNCTION("""COMPUTED_VALUE"""),"Uncle Sams Cider (5/13/2022)")</f>
        <v>Uncle Sams Cider (5/13/2022)</v>
      </c>
      <c r="H8858" s="19"/>
    </row>
    <row r="8859">
      <c r="A8859" s="9"/>
      <c r="B8859" s="15"/>
      <c r="C8859" s="9">
        <f>IFERROR(__xludf.DUMMYFUNCTION("""COMPUTED_VALUE"""),44704.2366097222)</f>
        <v>44704.23661</v>
      </c>
      <c r="D8859" s="15">
        <f>IFERROR(__xludf.DUMMYFUNCTION("""COMPUTED_VALUE"""),1.041)</f>
        <v>1.041</v>
      </c>
      <c r="E8859" s="16">
        <f>IFERROR(__xludf.DUMMYFUNCTION("""COMPUTED_VALUE"""),67.0)</f>
        <v>67</v>
      </c>
      <c r="F8859" s="19" t="str">
        <f>IFERROR(__xludf.DUMMYFUNCTION("""COMPUTED_VALUE"""),"BLACK")</f>
        <v>BLACK</v>
      </c>
      <c r="G8859" s="20" t="str">
        <f>IFERROR(__xludf.DUMMYFUNCTION("""COMPUTED_VALUE"""),"Uncle Sams Cider (5/13/2022)")</f>
        <v>Uncle Sams Cider (5/13/2022)</v>
      </c>
      <c r="H8859" s="19"/>
    </row>
    <row r="8860">
      <c r="A8860" s="9"/>
      <c r="B8860" s="15"/>
      <c r="C8860" s="9">
        <f>IFERROR(__xludf.DUMMYFUNCTION("""COMPUTED_VALUE"""),44704.2261901157)</f>
        <v>44704.22619</v>
      </c>
      <c r="D8860" s="15">
        <f>IFERROR(__xludf.DUMMYFUNCTION("""COMPUTED_VALUE"""),1.041)</f>
        <v>1.041</v>
      </c>
      <c r="E8860" s="16">
        <f>IFERROR(__xludf.DUMMYFUNCTION("""COMPUTED_VALUE"""),67.0)</f>
        <v>67</v>
      </c>
      <c r="F8860" s="19" t="str">
        <f>IFERROR(__xludf.DUMMYFUNCTION("""COMPUTED_VALUE"""),"BLACK")</f>
        <v>BLACK</v>
      </c>
      <c r="G8860" s="20" t="str">
        <f>IFERROR(__xludf.DUMMYFUNCTION("""COMPUTED_VALUE"""),"Uncle Sams Cider (5/13/2022)")</f>
        <v>Uncle Sams Cider (5/13/2022)</v>
      </c>
      <c r="H8860" s="19"/>
    </row>
    <row r="8861">
      <c r="A8861" s="9"/>
      <c r="B8861" s="15"/>
      <c r="C8861" s="9">
        <f>IFERROR(__xludf.DUMMYFUNCTION("""COMPUTED_VALUE"""),44704.2157707754)</f>
        <v>44704.21577</v>
      </c>
      <c r="D8861" s="15">
        <f>IFERROR(__xludf.DUMMYFUNCTION("""COMPUTED_VALUE"""),1.041)</f>
        <v>1.041</v>
      </c>
      <c r="E8861" s="16">
        <f>IFERROR(__xludf.DUMMYFUNCTION("""COMPUTED_VALUE"""),67.0)</f>
        <v>67</v>
      </c>
      <c r="F8861" s="19" t="str">
        <f>IFERROR(__xludf.DUMMYFUNCTION("""COMPUTED_VALUE"""),"BLACK")</f>
        <v>BLACK</v>
      </c>
      <c r="G8861" s="20" t="str">
        <f>IFERROR(__xludf.DUMMYFUNCTION("""COMPUTED_VALUE"""),"Uncle Sams Cider (5/13/2022)")</f>
        <v>Uncle Sams Cider (5/13/2022)</v>
      </c>
      <c r="H8861" s="19"/>
    </row>
    <row r="8862">
      <c r="A8862" s="9"/>
      <c r="B8862" s="15"/>
      <c r="C8862" s="9">
        <f>IFERROR(__xludf.DUMMYFUNCTION("""COMPUTED_VALUE"""),44704.205349456)</f>
        <v>44704.20535</v>
      </c>
      <c r="D8862" s="15">
        <f>IFERROR(__xludf.DUMMYFUNCTION("""COMPUTED_VALUE"""),1.041)</f>
        <v>1.041</v>
      </c>
      <c r="E8862" s="16">
        <f>IFERROR(__xludf.DUMMYFUNCTION("""COMPUTED_VALUE"""),67.0)</f>
        <v>67</v>
      </c>
      <c r="F8862" s="19" t="str">
        <f>IFERROR(__xludf.DUMMYFUNCTION("""COMPUTED_VALUE"""),"BLACK")</f>
        <v>BLACK</v>
      </c>
      <c r="G8862" s="20" t="str">
        <f>IFERROR(__xludf.DUMMYFUNCTION("""COMPUTED_VALUE"""),"Uncle Sams Cider (5/13/2022)")</f>
        <v>Uncle Sams Cider (5/13/2022)</v>
      </c>
      <c r="H8862" s="19"/>
    </row>
    <row r="8863">
      <c r="A8863" s="9"/>
      <c r="B8863" s="15"/>
      <c r="C8863" s="9">
        <f>IFERROR(__xludf.DUMMYFUNCTION("""COMPUTED_VALUE"""),44704.1949267361)</f>
        <v>44704.19493</v>
      </c>
      <c r="D8863" s="15">
        <f>IFERROR(__xludf.DUMMYFUNCTION("""COMPUTED_VALUE"""),1.042)</f>
        <v>1.042</v>
      </c>
      <c r="E8863" s="16">
        <f>IFERROR(__xludf.DUMMYFUNCTION("""COMPUTED_VALUE"""),67.0)</f>
        <v>67</v>
      </c>
      <c r="F8863" s="19" t="str">
        <f>IFERROR(__xludf.DUMMYFUNCTION("""COMPUTED_VALUE"""),"BLACK")</f>
        <v>BLACK</v>
      </c>
      <c r="G8863" s="20" t="str">
        <f>IFERROR(__xludf.DUMMYFUNCTION("""COMPUTED_VALUE"""),"Uncle Sams Cider (5/13/2022)")</f>
        <v>Uncle Sams Cider (5/13/2022)</v>
      </c>
      <c r="H8863" s="19"/>
    </row>
    <row r="8864">
      <c r="A8864" s="9"/>
      <c r="B8864" s="15"/>
      <c r="C8864" s="9">
        <f>IFERROR(__xludf.DUMMYFUNCTION("""COMPUTED_VALUE"""),44704.1845054976)</f>
        <v>44704.18451</v>
      </c>
      <c r="D8864" s="15">
        <f>IFERROR(__xludf.DUMMYFUNCTION("""COMPUTED_VALUE"""),1.042)</f>
        <v>1.042</v>
      </c>
      <c r="E8864" s="16">
        <f>IFERROR(__xludf.DUMMYFUNCTION("""COMPUTED_VALUE"""),67.0)</f>
        <v>67</v>
      </c>
      <c r="F8864" s="19" t="str">
        <f>IFERROR(__xludf.DUMMYFUNCTION("""COMPUTED_VALUE"""),"BLACK")</f>
        <v>BLACK</v>
      </c>
      <c r="G8864" s="20" t="str">
        <f>IFERROR(__xludf.DUMMYFUNCTION("""COMPUTED_VALUE"""),"Uncle Sams Cider (5/13/2022)")</f>
        <v>Uncle Sams Cider (5/13/2022)</v>
      </c>
      <c r="H8864" s="19"/>
    </row>
    <row r="8865">
      <c r="A8865" s="9"/>
      <c r="B8865" s="15"/>
      <c r="C8865" s="9">
        <f>IFERROR(__xludf.DUMMYFUNCTION("""COMPUTED_VALUE"""),44704.1740848958)</f>
        <v>44704.17408</v>
      </c>
      <c r="D8865" s="15">
        <f>IFERROR(__xludf.DUMMYFUNCTION("""COMPUTED_VALUE"""),1.042)</f>
        <v>1.042</v>
      </c>
      <c r="E8865" s="16">
        <f>IFERROR(__xludf.DUMMYFUNCTION("""COMPUTED_VALUE"""),67.0)</f>
        <v>67</v>
      </c>
      <c r="F8865" s="19" t="str">
        <f>IFERROR(__xludf.DUMMYFUNCTION("""COMPUTED_VALUE"""),"BLACK")</f>
        <v>BLACK</v>
      </c>
      <c r="G8865" s="20" t="str">
        <f>IFERROR(__xludf.DUMMYFUNCTION("""COMPUTED_VALUE"""),"Uncle Sams Cider (5/13/2022)")</f>
        <v>Uncle Sams Cider (5/13/2022)</v>
      </c>
      <c r="H8865" s="19"/>
    </row>
    <row r="8866">
      <c r="A8866" s="9"/>
      <c r="B8866" s="15"/>
      <c r="C8866" s="9">
        <f>IFERROR(__xludf.DUMMYFUNCTION("""COMPUTED_VALUE"""),44704.1636648379)</f>
        <v>44704.16366</v>
      </c>
      <c r="D8866" s="15">
        <f>IFERROR(__xludf.DUMMYFUNCTION("""COMPUTED_VALUE"""),1.041)</f>
        <v>1.041</v>
      </c>
      <c r="E8866" s="16">
        <f>IFERROR(__xludf.DUMMYFUNCTION("""COMPUTED_VALUE"""),67.0)</f>
        <v>67</v>
      </c>
      <c r="F8866" s="19" t="str">
        <f>IFERROR(__xludf.DUMMYFUNCTION("""COMPUTED_VALUE"""),"BLACK")</f>
        <v>BLACK</v>
      </c>
      <c r="G8866" s="20" t="str">
        <f>IFERROR(__xludf.DUMMYFUNCTION("""COMPUTED_VALUE"""),"Uncle Sams Cider (5/13/2022)")</f>
        <v>Uncle Sams Cider (5/13/2022)</v>
      </c>
      <c r="H8866" s="19"/>
    </row>
    <row r="8867">
      <c r="A8867" s="9"/>
      <c r="B8867" s="15"/>
      <c r="C8867" s="9">
        <f>IFERROR(__xludf.DUMMYFUNCTION("""COMPUTED_VALUE"""),44704.1532435069)</f>
        <v>44704.15324</v>
      </c>
      <c r="D8867" s="15">
        <f>IFERROR(__xludf.DUMMYFUNCTION("""COMPUTED_VALUE"""),1.042)</f>
        <v>1.042</v>
      </c>
      <c r="E8867" s="16">
        <f>IFERROR(__xludf.DUMMYFUNCTION("""COMPUTED_VALUE"""),67.0)</f>
        <v>67</v>
      </c>
      <c r="F8867" s="19" t="str">
        <f>IFERROR(__xludf.DUMMYFUNCTION("""COMPUTED_VALUE"""),"BLACK")</f>
        <v>BLACK</v>
      </c>
      <c r="G8867" s="20" t="str">
        <f>IFERROR(__xludf.DUMMYFUNCTION("""COMPUTED_VALUE"""),"Uncle Sams Cider (5/13/2022)")</f>
        <v>Uncle Sams Cider (5/13/2022)</v>
      </c>
      <c r="H8867" s="19"/>
    </row>
    <row r="8868">
      <c r="A8868" s="9"/>
      <c r="B8868" s="15"/>
      <c r="C8868" s="9">
        <f>IFERROR(__xludf.DUMMYFUNCTION("""COMPUTED_VALUE"""),44704.1428234027)</f>
        <v>44704.14282</v>
      </c>
      <c r="D8868" s="15">
        <f>IFERROR(__xludf.DUMMYFUNCTION("""COMPUTED_VALUE"""),1.042)</f>
        <v>1.042</v>
      </c>
      <c r="E8868" s="16">
        <f>IFERROR(__xludf.DUMMYFUNCTION("""COMPUTED_VALUE"""),67.0)</f>
        <v>67</v>
      </c>
      <c r="F8868" s="19" t="str">
        <f>IFERROR(__xludf.DUMMYFUNCTION("""COMPUTED_VALUE"""),"BLACK")</f>
        <v>BLACK</v>
      </c>
      <c r="G8868" s="20" t="str">
        <f>IFERROR(__xludf.DUMMYFUNCTION("""COMPUTED_VALUE"""),"Uncle Sams Cider (5/13/2022)")</f>
        <v>Uncle Sams Cider (5/13/2022)</v>
      </c>
      <c r="H8868" s="19"/>
    </row>
    <row r="8869">
      <c r="A8869" s="9"/>
      <c r="B8869" s="15"/>
      <c r="C8869" s="9">
        <f>IFERROR(__xludf.DUMMYFUNCTION("""COMPUTED_VALUE"""),44704.1323908564)</f>
        <v>44704.13239</v>
      </c>
      <c r="D8869" s="15">
        <f>IFERROR(__xludf.DUMMYFUNCTION("""COMPUTED_VALUE"""),1.042)</f>
        <v>1.042</v>
      </c>
      <c r="E8869" s="16">
        <f>IFERROR(__xludf.DUMMYFUNCTION("""COMPUTED_VALUE"""),67.0)</f>
        <v>67</v>
      </c>
      <c r="F8869" s="19" t="str">
        <f>IFERROR(__xludf.DUMMYFUNCTION("""COMPUTED_VALUE"""),"BLACK")</f>
        <v>BLACK</v>
      </c>
      <c r="G8869" s="20" t="str">
        <f>IFERROR(__xludf.DUMMYFUNCTION("""COMPUTED_VALUE"""),"Uncle Sams Cider (5/13/2022)")</f>
        <v>Uncle Sams Cider (5/13/2022)</v>
      </c>
      <c r="H8869" s="19"/>
    </row>
    <row r="8870">
      <c r="A8870" s="9"/>
      <c r="B8870" s="15"/>
      <c r="C8870" s="9">
        <f>IFERROR(__xludf.DUMMYFUNCTION("""COMPUTED_VALUE"""),44704.1219689699)</f>
        <v>44704.12197</v>
      </c>
      <c r="D8870" s="15">
        <f>IFERROR(__xludf.DUMMYFUNCTION("""COMPUTED_VALUE"""),1.042)</f>
        <v>1.042</v>
      </c>
      <c r="E8870" s="16">
        <f>IFERROR(__xludf.DUMMYFUNCTION("""COMPUTED_VALUE"""),67.0)</f>
        <v>67</v>
      </c>
      <c r="F8870" s="19" t="str">
        <f>IFERROR(__xludf.DUMMYFUNCTION("""COMPUTED_VALUE"""),"BLACK")</f>
        <v>BLACK</v>
      </c>
      <c r="G8870" s="20" t="str">
        <f>IFERROR(__xludf.DUMMYFUNCTION("""COMPUTED_VALUE"""),"Uncle Sams Cider (5/13/2022)")</f>
        <v>Uncle Sams Cider (5/13/2022)</v>
      </c>
      <c r="H8870" s="19"/>
    </row>
    <row r="8871">
      <c r="A8871" s="9"/>
      <c r="B8871" s="15"/>
      <c r="C8871" s="9">
        <f>IFERROR(__xludf.DUMMYFUNCTION("""COMPUTED_VALUE"""),44704.1115483912)</f>
        <v>44704.11155</v>
      </c>
      <c r="D8871" s="15">
        <f>IFERROR(__xludf.DUMMYFUNCTION("""COMPUTED_VALUE"""),1.042)</f>
        <v>1.042</v>
      </c>
      <c r="E8871" s="16">
        <f>IFERROR(__xludf.DUMMYFUNCTION("""COMPUTED_VALUE"""),67.0)</f>
        <v>67</v>
      </c>
      <c r="F8871" s="19" t="str">
        <f>IFERROR(__xludf.DUMMYFUNCTION("""COMPUTED_VALUE"""),"BLACK")</f>
        <v>BLACK</v>
      </c>
      <c r="G8871" s="20" t="str">
        <f>IFERROR(__xludf.DUMMYFUNCTION("""COMPUTED_VALUE"""),"Uncle Sams Cider (5/13/2022)")</f>
        <v>Uncle Sams Cider (5/13/2022)</v>
      </c>
      <c r="H8871" s="19"/>
    </row>
    <row r="8872">
      <c r="A8872" s="9"/>
      <c r="B8872" s="15"/>
      <c r="C8872" s="9">
        <f>IFERROR(__xludf.DUMMYFUNCTION("""COMPUTED_VALUE"""),44704.101126956)</f>
        <v>44704.10113</v>
      </c>
      <c r="D8872" s="15">
        <f>IFERROR(__xludf.DUMMYFUNCTION("""COMPUTED_VALUE"""),1.042)</f>
        <v>1.042</v>
      </c>
      <c r="E8872" s="16">
        <f>IFERROR(__xludf.DUMMYFUNCTION("""COMPUTED_VALUE"""),67.0)</f>
        <v>67</v>
      </c>
      <c r="F8872" s="19" t="str">
        <f>IFERROR(__xludf.DUMMYFUNCTION("""COMPUTED_VALUE"""),"BLACK")</f>
        <v>BLACK</v>
      </c>
      <c r="G8872" s="20" t="str">
        <f>IFERROR(__xludf.DUMMYFUNCTION("""COMPUTED_VALUE"""),"Uncle Sams Cider (5/13/2022)")</f>
        <v>Uncle Sams Cider (5/13/2022)</v>
      </c>
      <c r="H8872" s="19"/>
    </row>
    <row r="8873">
      <c r="A8873" s="9"/>
      <c r="B8873" s="15"/>
      <c r="C8873" s="9">
        <f>IFERROR(__xludf.DUMMYFUNCTION("""COMPUTED_VALUE"""),44704.0907058101)</f>
        <v>44704.09071</v>
      </c>
      <c r="D8873" s="15">
        <f>IFERROR(__xludf.DUMMYFUNCTION("""COMPUTED_VALUE"""),1.042)</f>
        <v>1.042</v>
      </c>
      <c r="E8873" s="16">
        <f>IFERROR(__xludf.DUMMYFUNCTION("""COMPUTED_VALUE"""),66.0)</f>
        <v>66</v>
      </c>
      <c r="F8873" s="19" t="str">
        <f>IFERROR(__xludf.DUMMYFUNCTION("""COMPUTED_VALUE"""),"BLACK")</f>
        <v>BLACK</v>
      </c>
      <c r="G8873" s="20" t="str">
        <f>IFERROR(__xludf.DUMMYFUNCTION("""COMPUTED_VALUE"""),"Uncle Sams Cider (5/13/2022)")</f>
        <v>Uncle Sams Cider (5/13/2022)</v>
      </c>
      <c r="H8873" s="19"/>
    </row>
    <row r="8874">
      <c r="A8874" s="9"/>
      <c r="B8874" s="15"/>
      <c r="C8874" s="9">
        <f>IFERROR(__xludf.DUMMYFUNCTION("""COMPUTED_VALUE"""),44704.0802725)</f>
        <v>44704.08027</v>
      </c>
      <c r="D8874" s="15">
        <f>IFERROR(__xludf.DUMMYFUNCTION("""COMPUTED_VALUE"""),1.042)</f>
        <v>1.042</v>
      </c>
      <c r="E8874" s="16">
        <f>IFERROR(__xludf.DUMMYFUNCTION("""COMPUTED_VALUE"""),67.0)</f>
        <v>67</v>
      </c>
      <c r="F8874" s="19" t="str">
        <f>IFERROR(__xludf.DUMMYFUNCTION("""COMPUTED_VALUE"""),"BLACK")</f>
        <v>BLACK</v>
      </c>
      <c r="G8874" s="20" t="str">
        <f>IFERROR(__xludf.DUMMYFUNCTION("""COMPUTED_VALUE"""),"Uncle Sams Cider (5/13/2022)")</f>
        <v>Uncle Sams Cider (5/13/2022)</v>
      </c>
      <c r="H8874" s="19"/>
    </row>
    <row r="8875">
      <c r="A8875" s="9"/>
      <c r="B8875" s="15"/>
      <c r="C8875" s="9">
        <f>IFERROR(__xludf.DUMMYFUNCTION("""COMPUTED_VALUE"""),44704.0698515509)</f>
        <v>44704.06985</v>
      </c>
      <c r="D8875" s="15">
        <f>IFERROR(__xludf.DUMMYFUNCTION("""COMPUTED_VALUE"""),1.042)</f>
        <v>1.042</v>
      </c>
      <c r="E8875" s="16">
        <f>IFERROR(__xludf.DUMMYFUNCTION("""COMPUTED_VALUE"""),66.0)</f>
        <v>66</v>
      </c>
      <c r="F8875" s="19" t="str">
        <f>IFERROR(__xludf.DUMMYFUNCTION("""COMPUTED_VALUE"""),"BLACK")</f>
        <v>BLACK</v>
      </c>
      <c r="G8875" s="20" t="str">
        <f>IFERROR(__xludf.DUMMYFUNCTION("""COMPUTED_VALUE"""),"Uncle Sams Cider (5/13/2022)")</f>
        <v>Uncle Sams Cider (5/13/2022)</v>
      </c>
      <c r="H8875" s="19"/>
    </row>
    <row r="8876">
      <c r="A8876" s="9"/>
      <c r="B8876" s="15"/>
      <c r="C8876" s="9">
        <f>IFERROR(__xludf.DUMMYFUNCTION("""COMPUTED_VALUE"""),44704.0594312152)</f>
        <v>44704.05943</v>
      </c>
      <c r="D8876" s="15">
        <f>IFERROR(__xludf.DUMMYFUNCTION("""COMPUTED_VALUE"""),1.042)</f>
        <v>1.042</v>
      </c>
      <c r="E8876" s="16">
        <f>IFERROR(__xludf.DUMMYFUNCTION("""COMPUTED_VALUE"""),66.0)</f>
        <v>66</v>
      </c>
      <c r="F8876" s="19" t="str">
        <f>IFERROR(__xludf.DUMMYFUNCTION("""COMPUTED_VALUE"""),"BLACK")</f>
        <v>BLACK</v>
      </c>
      <c r="G8876" s="20" t="str">
        <f>IFERROR(__xludf.DUMMYFUNCTION("""COMPUTED_VALUE"""),"Uncle Sams Cider (5/13/2022)")</f>
        <v>Uncle Sams Cider (5/13/2022)</v>
      </c>
      <c r="H8876" s="19"/>
    </row>
    <row r="8877">
      <c r="A8877" s="9"/>
      <c r="B8877" s="15"/>
      <c r="C8877" s="9">
        <f>IFERROR(__xludf.DUMMYFUNCTION("""COMPUTED_VALUE"""),44704.049010243)</f>
        <v>44704.04901</v>
      </c>
      <c r="D8877" s="15">
        <f>IFERROR(__xludf.DUMMYFUNCTION("""COMPUTED_VALUE"""),1.042)</f>
        <v>1.042</v>
      </c>
      <c r="E8877" s="16">
        <f>IFERROR(__xludf.DUMMYFUNCTION("""COMPUTED_VALUE"""),66.0)</f>
        <v>66</v>
      </c>
      <c r="F8877" s="19" t="str">
        <f>IFERROR(__xludf.DUMMYFUNCTION("""COMPUTED_VALUE"""),"BLACK")</f>
        <v>BLACK</v>
      </c>
      <c r="G8877" s="20" t="str">
        <f>IFERROR(__xludf.DUMMYFUNCTION("""COMPUTED_VALUE"""),"Uncle Sams Cider (5/13/2022)")</f>
        <v>Uncle Sams Cider (5/13/2022)</v>
      </c>
      <c r="H8877" s="19"/>
    </row>
    <row r="8878">
      <c r="A8878" s="9"/>
      <c r="B8878" s="15"/>
      <c r="C8878" s="9">
        <f>IFERROR(__xludf.DUMMYFUNCTION("""COMPUTED_VALUE"""),44704.0385770717)</f>
        <v>44704.03858</v>
      </c>
      <c r="D8878" s="15">
        <f>IFERROR(__xludf.DUMMYFUNCTION("""COMPUTED_VALUE"""),1.042)</f>
        <v>1.042</v>
      </c>
      <c r="E8878" s="16">
        <f>IFERROR(__xludf.DUMMYFUNCTION("""COMPUTED_VALUE"""),66.0)</f>
        <v>66</v>
      </c>
      <c r="F8878" s="19" t="str">
        <f>IFERROR(__xludf.DUMMYFUNCTION("""COMPUTED_VALUE"""),"BLACK")</f>
        <v>BLACK</v>
      </c>
      <c r="G8878" s="20" t="str">
        <f>IFERROR(__xludf.DUMMYFUNCTION("""COMPUTED_VALUE"""),"Uncle Sams Cider (5/13/2022)")</f>
        <v>Uncle Sams Cider (5/13/2022)</v>
      </c>
      <c r="H8878" s="19"/>
    </row>
    <row r="8879">
      <c r="A8879" s="9"/>
      <c r="B8879" s="15"/>
      <c r="C8879" s="9">
        <f>IFERROR(__xludf.DUMMYFUNCTION("""COMPUTED_VALUE"""),44704.0281445717)</f>
        <v>44704.02814</v>
      </c>
      <c r="D8879" s="15">
        <f>IFERROR(__xludf.DUMMYFUNCTION("""COMPUTED_VALUE"""),1.042)</f>
        <v>1.042</v>
      </c>
      <c r="E8879" s="16">
        <f>IFERROR(__xludf.DUMMYFUNCTION("""COMPUTED_VALUE"""),66.0)</f>
        <v>66</v>
      </c>
      <c r="F8879" s="19" t="str">
        <f>IFERROR(__xludf.DUMMYFUNCTION("""COMPUTED_VALUE"""),"BLACK")</f>
        <v>BLACK</v>
      </c>
      <c r="G8879" s="20" t="str">
        <f>IFERROR(__xludf.DUMMYFUNCTION("""COMPUTED_VALUE"""),"Uncle Sams Cider (5/13/2022)")</f>
        <v>Uncle Sams Cider (5/13/2022)</v>
      </c>
      <c r="H8879" s="19"/>
    </row>
    <row r="8880">
      <c r="A8880" s="9"/>
      <c r="B8880" s="15"/>
      <c r="C8880" s="9">
        <f>IFERROR(__xludf.DUMMYFUNCTION("""COMPUTED_VALUE"""),44704.0177218402)</f>
        <v>44704.01772</v>
      </c>
      <c r="D8880" s="15">
        <f>IFERROR(__xludf.DUMMYFUNCTION("""COMPUTED_VALUE"""),1.042)</f>
        <v>1.042</v>
      </c>
      <c r="E8880" s="16">
        <f>IFERROR(__xludf.DUMMYFUNCTION("""COMPUTED_VALUE"""),66.0)</f>
        <v>66</v>
      </c>
      <c r="F8880" s="19" t="str">
        <f>IFERROR(__xludf.DUMMYFUNCTION("""COMPUTED_VALUE"""),"BLACK")</f>
        <v>BLACK</v>
      </c>
      <c r="G8880" s="20" t="str">
        <f>IFERROR(__xludf.DUMMYFUNCTION("""COMPUTED_VALUE"""),"Uncle Sams Cider (5/13/2022)")</f>
        <v>Uncle Sams Cider (5/13/2022)</v>
      </c>
      <c r="H8880" s="19"/>
    </row>
    <row r="8881">
      <c r="A8881" s="9"/>
      <c r="B8881" s="15"/>
      <c r="C8881" s="9">
        <f>IFERROR(__xludf.DUMMYFUNCTION("""COMPUTED_VALUE"""),44704.0072995833)</f>
        <v>44704.0073</v>
      </c>
      <c r="D8881" s="15">
        <f>IFERROR(__xludf.DUMMYFUNCTION("""COMPUTED_VALUE"""),1.042)</f>
        <v>1.042</v>
      </c>
      <c r="E8881" s="16">
        <f>IFERROR(__xludf.DUMMYFUNCTION("""COMPUTED_VALUE"""),66.0)</f>
        <v>66</v>
      </c>
      <c r="F8881" s="19" t="str">
        <f>IFERROR(__xludf.DUMMYFUNCTION("""COMPUTED_VALUE"""),"BLACK")</f>
        <v>BLACK</v>
      </c>
      <c r="G8881" s="20" t="str">
        <f>IFERROR(__xludf.DUMMYFUNCTION("""COMPUTED_VALUE"""),"Uncle Sams Cider (5/13/2022)")</f>
        <v>Uncle Sams Cider (5/13/2022)</v>
      </c>
      <c r="H8881" s="19"/>
    </row>
    <row r="8882">
      <c r="A8882" s="9"/>
      <c r="B8882" s="15"/>
      <c r="C8882" s="9">
        <f>IFERROR(__xludf.DUMMYFUNCTION("""COMPUTED_VALUE"""),44703.9968660532)</f>
        <v>44703.99687</v>
      </c>
      <c r="D8882" s="15">
        <f>IFERROR(__xludf.DUMMYFUNCTION("""COMPUTED_VALUE"""),1.042)</f>
        <v>1.042</v>
      </c>
      <c r="E8882" s="16">
        <f>IFERROR(__xludf.DUMMYFUNCTION("""COMPUTED_VALUE"""),66.0)</f>
        <v>66</v>
      </c>
      <c r="F8882" s="19" t="str">
        <f>IFERROR(__xludf.DUMMYFUNCTION("""COMPUTED_VALUE"""),"BLACK")</f>
        <v>BLACK</v>
      </c>
      <c r="G8882" s="20" t="str">
        <f>IFERROR(__xludf.DUMMYFUNCTION("""COMPUTED_VALUE"""),"Uncle Sams Cider (5/13/2022)")</f>
        <v>Uncle Sams Cider (5/13/2022)</v>
      </c>
      <c r="H8882" s="19"/>
    </row>
    <row r="8883">
      <c r="A8883" s="9"/>
      <c r="B8883" s="15"/>
      <c r="C8883" s="9">
        <f>IFERROR(__xludf.DUMMYFUNCTION("""COMPUTED_VALUE"""),44703.9864452546)</f>
        <v>44703.98645</v>
      </c>
      <c r="D8883" s="15">
        <f>IFERROR(__xludf.DUMMYFUNCTION("""COMPUTED_VALUE"""),1.042)</f>
        <v>1.042</v>
      </c>
      <c r="E8883" s="16">
        <f>IFERROR(__xludf.DUMMYFUNCTION("""COMPUTED_VALUE"""),66.0)</f>
        <v>66</v>
      </c>
      <c r="F8883" s="19" t="str">
        <f>IFERROR(__xludf.DUMMYFUNCTION("""COMPUTED_VALUE"""),"BLACK")</f>
        <v>BLACK</v>
      </c>
      <c r="G8883" s="20" t="str">
        <f>IFERROR(__xludf.DUMMYFUNCTION("""COMPUTED_VALUE"""),"Uncle Sams Cider (5/13/2022)")</f>
        <v>Uncle Sams Cider (5/13/2022)</v>
      </c>
      <c r="H8883" s="19"/>
    </row>
    <row r="8884">
      <c r="A8884" s="9"/>
      <c r="B8884" s="15"/>
      <c r="C8884" s="9">
        <f>IFERROR(__xludf.DUMMYFUNCTION("""COMPUTED_VALUE"""),44703.9760240277)</f>
        <v>44703.97602</v>
      </c>
      <c r="D8884" s="15">
        <f>IFERROR(__xludf.DUMMYFUNCTION("""COMPUTED_VALUE"""),1.042)</f>
        <v>1.042</v>
      </c>
      <c r="E8884" s="16">
        <f>IFERROR(__xludf.DUMMYFUNCTION("""COMPUTED_VALUE"""),66.0)</f>
        <v>66</v>
      </c>
      <c r="F8884" s="19" t="str">
        <f>IFERROR(__xludf.DUMMYFUNCTION("""COMPUTED_VALUE"""),"BLACK")</f>
        <v>BLACK</v>
      </c>
      <c r="G8884" s="20" t="str">
        <f>IFERROR(__xludf.DUMMYFUNCTION("""COMPUTED_VALUE"""),"Uncle Sams Cider (5/13/2022)")</f>
        <v>Uncle Sams Cider (5/13/2022)</v>
      </c>
      <c r="H8884" s="19"/>
    </row>
    <row r="8885">
      <c r="A8885" s="9"/>
      <c r="B8885" s="15"/>
      <c r="C8885" s="9">
        <f>IFERROR(__xludf.DUMMYFUNCTION("""COMPUTED_VALUE"""),44703.9656021527)</f>
        <v>44703.9656</v>
      </c>
      <c r="D8885" s="15">
        <f>IFERROR(__xludf.DUMMYFUNCTION("""COMPUTED_VALUE"""),1.042)</f>
        <v>1.042</v>
      </c>
      <c r="E8885" s="16">
        <f>IFERROR(__xludf.DUMMYFUNCTION("""COMPUTED_VALUE"""),66.0)</f>
        <v>66</v>
      </c>
      <c r="F8885" s="19" t="str">
        <f>IFERROR(__xludf.DUMMYFUNCTION("""COMPUTED_VALUE"""),"BLACK")</f>
        <v>BLACK</v>
      </c>
      <c r="G8885" s="20" t="str">
        <f>IFERROR(__xludf.DUMMYFUNCTION("""COMPUTED_VALUE"""),"Uncle Sams Cider (5/13/2022)")</f>
        <v>Uncle Sams Cider (5/13/2022)</v>
      </c>
      <c r="H8885" s="19"/>
    </row>
    <row r="8886">
      <c r="A8886" s="9"/>
      <c r="B8886" s="15"/>
      <c r="C8886" s="9">
        <f>IFERROR(__xludf.DUMMYFUNCTION("""COMPUTED_VALUE"""),44703.9551693171)</f>
        <v>44703.95517</v>
      </c>
      <c r="D8886" s="15">
        <f>IFERROR(__xludf.DUMMYFUNCTION("""COMPUTED_VALUE"""),1.043)</f>
        <v>1.043</v>
      </c>
      <c r="E8886" s="16">
        <f>IFERROR(__xludf.DUMMYFUNCTION("""COMPUTED_VALUE"""),66.0)</f>
        <v>66</v>
      </c>
      <c r="F8886" s="19" t="str">
        <f>IFERROR(__xludf.DUMMYFUNCTION("""COMPUTED_VALUE"""),"BLACK")</f>
        <v>BLACK</v>
      </c>
      <c r="G8886" s="20" t="str">
        <f>IFERROR(__xludf.DUMMYFUNCTION("""COMPUTED_VALUE"""),"Uncle Sams Cider (5/13/2022)")</f>
        <v>Uncle Sams Cider (5/13/2022)</v>
      </c>
      <c r="H8886" s="19"/>
    </row>
    <row r="8887">
      <c r="A8887" s="9"/>
      <c r="B8887" s="15"/>
      <c r="C8887" s="9">
        <f>IFERROR(__xludf.DUMMYFUNCTION("""COMPUTED_VALUE"""),44703.9447470486)</f>
        <v>44703.94475</v>
      </c>
      <c r="D8887" s="15">
        <f>IFERROR(__xludf.DUMMYFUNCTION("""COMPUTED_VALUE"""),1.042)</f>
        <v>1.042</v>
      </c>
      <c r="E8887" s="16">
        <f>IFERROR(__xludf.DUMMYFUNCTION("""COMPUTED_VALUE"""),66.0)</f>
        <v>66</v>
      </c>
      <c r="F8887" s="19" t="str">
        <f>IFERROR(__xludf.DUMMYFUNCTION("""COMPUTED_VALUE"""),"BLACK")</f>
        <v>BLACK</v>
      </c>
      <c r="G8887" s="20" t="str">
        <f>IFERROR(__xludf.DUMMYFUNCTION("""COMPUTED_VALUE"""),"Uncle Sams Cider (5/13/2022)")</f>
        <v>Uncle Sams Cider (5/13/2022)</v>
      </c>
      <c r="H8887" s="19"/>
    </row>
    <row r="8888">
      <c r="A8888" s="9"/>
      <c r="B8888" s="15"/>
      <c r="C8888" s="9">
        <f>IFERROR(__xludf.DUMMYFUNCTION("""COMPUTED_VALUE"""),44703.9343255555)</f>
        <v>44703.93433</v>
      </c>
      <c r="D8888" s="15">
        <f>IFERROR(__xludf.DUMMYFUNCTION("""COMPUTED_VALUE"""),1.042)</f>
        <v>1.042</v>
      </c>
      <c r="E8888" s="16">
        <f>IFERROR(__xludf.DUMMYFUNCTION("""COMPUTED_VALUE"""),66.0)</f>
        <v>66</v>
      </c>
      <c r="F8888" s="19" t="str">
        <f>IFERROR(__xludf.DUMMYFUNCTION("""COMPUTED_VALUE"""),"BLACK")</f>
        <v>BLACK</v>
      </c>
      <c r="G8888" s="20" t="str">
        <f>IFERROR(__xludf.DUMMYFUNCTION("""COMPUTED_VALUE"""),"Uncle Sams Cider (5/13/2022)")</f>
        <v>Uncle Sams Cider (5/13/2022)</v>
      </c>
      <c r="H8888" s="19"/>
    </row>
    <row r="8889">
      <c r="A8889" s="9"/>
      <c r="B8889" s="15"/>
      <c r="C8889" s="9">
        <f>IFERROR(__xludf.DUMMYFUNCTION("""COMPUTED_VALUE"""),44703.9238931828)</f>
        <v>44703.92389</v>
      </c>
      <c r="D8889" s="15">
        <f>IFERROR(__xludf.DUMMYFUNCTION("""COMPUTED_VALUE"""),1.043)</f>
        <v>1.043</v>
      </c>
      <c r="E8889" s="16">
        <f>IFERROR(__xludf.DUMMYFUNCTION("""COMPUTED_VALUE"""),66.0)</f>
        <v>66</v>
      </c>
      <c r="F8889" s="19" t="str">
        <f>IFERROR(__xludf.DUMMYFUNCTION("""COMPUTED_VALUE"""),"BLACK")</f>
        <v>BLACK</v>
      </c>
      <c r="G8889" s="20" t="str">
        <f>IFERROR(__xludf.DUMMYFUNCTION("""COMPUTED_VALUE"""),"Uncle Sams Cider (5/13/2022)")</f>
        <v>Uncle Sams Cider (5/13/2022)</v>
      </c>
      <c r="H8889" s="19"/>
    </row>
    <row r="8890">
      <c r="A8890" s="9"/>
      <c r="B8890" s="15"/>
      <c r="C8890" s="9">
        <f>IFERROR(__xludf.DUMMYFUNCTION("""COMPUTED_VALUE"""),44703.9134724189)</f>
        <v>44703.91347</v>
      </c>
      <c r="D8890" s="15">
        <f>IFERROR(__xludf.DUMMYFUNCTION("""COMPUTED_VALUE"""),1.043)</f>
        <v>1.043</v>
      </c>
      <c r="E8890" s="16">
        <f>IFERROR(__xludf.DUMMYFUNCTION("""COMPUTED_VALUE"""),66.0)</f>
        <v>66</v>
      </c>
      <c r="F8890" s="19" t="str">
        <f>IFERROR(__xludf.DUMMYFUNCTION("""COMPUTED_VALUE"""),"BLACK")</f>
        <v>BLACK</v>
      </c>
      <c r="G8890" s="20" t="str">
        <f>IFERROR(__xludf.DUMMYFUNCTION("""COMPUTED_VALUE"""),"Uncle Sams Cider (5/13/2022)")</f>
        <v>Uncle Sams Cider (5/13/2022)</v>
      </c>
      <c r="H8890" s="19"/>
    </row>
    <row r="8891">
      <c r="A8891" s="9"/>
      <c r="B8891" s="15"/>
      <c r="C8891" s="9">
        <f>IFERROR(__xludf.DUMMYFUNCTION("""COMPUTED_VALUE"""),44703.9030515277)</f>
        <v>44703.90305</v>
      </c>
      <c r="D8891" s="15">
        <f>IFERROR(__xludf.DUMMYFUNCTION("""COMPUTED_VALUE"""),1.043)</f>
        <v>1.043</v>
      </c>
      <c r="E8891" s="16">
        <f>IFERROR(__xludf.DUMMYFUNCTION("""COMPUTED_VALUE"""),66.0)</f>
        <v>66</v>
      </c>
      <c r="F8891" s="19" t="str">
        <f>IFERROR(__xludf.DUMMYFUNCTION("""COMPUTED_VALUE"""),"BLACK")</f>
        <v>BLACK</v>
      </c>
      <c r="G8891" s="20" t="str">
        <f>IFERROR(__xludf.DUMMYFUNCTION("""COMPUTED_VALUE"""),"Uncle Sams Cider (5/13/2022)")</f>
        <v>Uncle Sams Cider (5/13/2022)</v>
      </c>
      <c r="H8891" s="19"/>
    </row>
    <row r="8892">
      <c r="A8892" s="9"/>
      <c r="B8892" s="15"/>
      <c r="C8892" s="9">
        <f>IFERROR(__xludf.DUMMYFUNCTION("""COMPUTED_VALUE"""),44703.8926313888)</f>
        <v>44703.89263</v>
      </c>
      <c r="D8892" s="15">
        <f>IFERROR(__xludf.DUMMYFUNCTION("""COMPUTED_VALUE"""),1.043)</f>
        <v>1.043</v>
      </c>
      <c r="E8892" s="16">
        <f>IFERROR(__xludf.DUMMYFUNCTION("""COMPUTED_VALUE"""),66.0)</f>
        <v>66</v>
      </c>
      <c r="F8892" s="19" t="str">
        <f>IFERROR(__xludf.DUMMYFUNCTION("""COMPUTED_VALUE"""),"BLACK")</f>
        <v>BLACK</v>
      </c>
      <c r="G8892" s="20" t="str">
        <f>IFERROR(__xludf.DUMMYFUNCTION("""COMPUTED_VALUE"""),"Uncle Sams Cider (5/13/2022)")</f>
        <v>Uncle Sams Cider (5/13/2022)</v>
      </c>
      <c r="H8892" s="19"/>
    </row>
    <row r="8893">
      <c r="A8893" s="9"/>
      <c r="B8893" s="15"/>
      <c r="C8893" s="9">
        <f>IFERROR(__xludf.DUMMYFUNCTION("""COMPUTED_VALUE"""),44703.8822078472)</f>
        <v>44703.88221</v>
      </c>
      <c r="D8893" s="15">
        <f>IFERROR(__xludf.DUMMYFUNCTION("""COMPUTED_VALUE"""),1.043)</f>
        <v>1.043</v>
      </c>
      <c r="E8893" s="16">
        <f>IFERROR(__xludf.DUMMYFUNCTION("""COMPUTED_VALUE"""),66.0)</f>
        <v>66</v>
      </c>
      <c r="F8893" s="19" t="str">
        <f>IFERROR(__xludf.DUMMYFUNCTION("""COMPUTED_VALUE"""),"BLACK")</f>
        <v>BLACK</v>
      </c>
      <c r="G8893" s="20" t="str">
        <f>IFERROR(__xludf.DUMMYFUNCTION("""COMPUTED_VALUE"""),"Uncle Sams Cider (5/13/2022)")</f>
        <v>Uncle Sams Cider (5/13/2022)</v>
      </c>
      <c r="H8893" s="19"/>
    </row>
    <row r="8894">
      <c r="A8894" s="9"/>
      <c r="B8894" s="15"/>
      <c r="C8894" s="9">
        <f>IFERROR(__xludf.DUMMYFUNCTION("""COMPUTED_VALUE"""),44703.871775081)</f>
        <v>44703.87178</v>
      </c>
      <c r="D8894" s="15">
        <f>IFERROR(__xludf.DUMMYFUNCTION("""COMPUTED_VALUE"""),1.043)</f>
        <v>1.043</v>
      </c>
      <c r="E8894" s="16">
        <f>IFERROR(__xludf.DUMMYFUNCTION("""COMPUTED_VALUE"""),66.0)</f>
        <v>66</v>
      </c>
      <c r="F8894" s="19" t="str">
        <f>IFERROR(__xludf.DUMMYFUNCTION("""COMPUTED_VALUE"""),"BLACK")</f>
        <v>BLACK</v>
      </c>
      <c r="G8894" s="20" t="str">
        <f>IFERROR(__xludf.DUMMYFUNCTION("""COMPUTED_VALUE"""),"Uncle Sams Cider (5/13/2022)")</f>
        <v>Uncle Sams Cider (5/13/2022)</v>
      </c>
      <c r="H8894" s="19"/>
    </row>
    <row r="8895">
      <c r="A8895" s="9"/>
      <c r="B8895" s="15"/>
      <c r="C8895" s="9">
        <f>IFERROR(__xludf.DUMMYFUNCTION("""COMPUTED_VALUE"""),44703.8613532638)</f>
        <v>44703.86135</v>
      </c>
      <c r="D8895" s="15">
        <f>IFERROR(__xludf.DUMMYFUNCTION("""COMPUTED_VALUE"""),1.043)</f>
        <v>1.043</v>
      </c>
      <c r="E8895" s="16">
        <f>IFERROR(__xludf.DUMMYFUNCTION("""COMPUTED_VALUE"""),66.0)</f>
        <v>66</v>
      </c>
      <c r="F8895" s="19" t="str">
        <f>IFERROR(__xludf.DUMMYFUNCTION("""COMPUTED_VALUE"""),"BLACK")</f>
        <v>BLACK</v>
      </c>
      <c r="G8895" s="20" t="str">
        <f>IFERROR(__xludf.DUMMYFUNCTION("""COMPUTED_VALUE"""),"Uncle Sams Cider (5/13/2022)")</f>
        <v>Uncle Sams Cider (5/13/2022)</v>
      </c>
      <c r="H8895" s="19"/>
    </row>
    <row r="8896">
      <c r="A8896" s="9"/>
      <c r="B8896" s="15"/>
      <c r="C8896" s="9">
        <f>IFERROR(__xludf.DUMMYFUNCTION("""COMPUTED_VALUE"""),44703.8509318402)</f>
        <v>44703.85093</v>
      </c>
      <c r="D8896" s="15">
        <f>IFERROR(__xludf.DUMMYFUNCTION("""COMPUTED_VALUE"""),1.043)</f>
        <v>1.043</v>
      </c>
      <c r="E8896" s="16">
        <f>IFERROR(__xludf.DUMMYFUNCTION("""COMPUTED_VALUE"""),66.0)</f>
        <v>66</v>
      </c>
      <c r="F8896" s="19" t="str">
        <f>IFERROR(__xludf.DUMMYFUNCTION("""COMPUTED_VALUE"""),"BLACK")</f>
        <v>BLACK</v>
      </c>
      <c r="G8896" s="20" t="str">
        <f>IFERROR(__xludf.DUMMYFUNCTION("""COMPUTED_VALUE"""),"Uncle Sams Cider (5/13/2022)")</f>
        <v>Uncle Sams Cider (5/13/2022)</v>
      </c>
      <c r="H8896" s="19"/>
    </row>
    <row r="8897">
      <c r="A8897" s="9"/>
      <c r="B8897" s="15"/>
      <c r="C8897" s="9">
        <f>IFERROR(__xludf.DUMMYFUNCTION("""COMPUTED_VALUE"""),44703.8404736689)</f>
        <v>44703.84047</v>
      </c>
      <c r="D8897" s="15">
        <f>IFERROR(__xludf.DUMMYFUNCTION("""COMPUTED_VALUE"""),1.043)</f>
        <v>1.043</v>
      </c>
      <c r="E8897" s="16">
        <f>IFERROR(__xludf.DUMMYFUNCTION("""COMPUTED_VALUE"""),66.0)</f>
        <v>66</v>
      </c>
      <c r="F8897" s="19" t="str">
        <f>IFERROR(__xludf.DUMMYFUNCTION("""COMPUTED_VALUE"""),"BLACK")</f>
        <v>BLACK</v>
      </c>
      <c r="G8897" s="20" t="str">
        <f>IFERROR(__xludf.DUMMYFUNCTION("""COMPUTED_VALUE"""),"Uncle Sams Cider (5/13/2022)")</f>
        <v>Uncle Sams Cider (5/13/2022)</v>
      </c>
      <c r="H8897" s="19"/>
    </row>
    <row r="8898">
      <c r="A8898" s="9"/>
      <c r="B8898" s="15"/>
      <c r="C8898" s="9">
        <f>IFERROR(__xludf.DUMMYFUNCTION("""COMPUTED_VALUE"""),44703.8300422453)</f>
        <v>44703.83004</v>
      </c>
      <c r="D8898" s="15">
        <f>IFERROR(__xludf.DUMMYFUNCTION("""COMPUTED_VALUE"""),1.043)</f>
        <v>1.043</v>
      </c>
      <c r="E8898" s="16">
        <f>IFERROR(__xludf.DUMMYFUNCTION("""COMPUTED_VALUE"""),66.0)</f>
        <v>66</v>
      </c>
      <c r="F8898" s="19" t="str">
        <f>IFERROR(__xludf.DUMMYFUNCTION("""COMPUTED_VALUE"""),"BLACK")</f>
        <v>BLACK</v>
      </c>
      <c r="G8898" s="20" t="str">
        <f>IFERROR(__xludf.DUMMYFUNCTION("""COMPUTED_VALUE"""),"Uncle Sams Cider (5/13/2022)")</f>
        <v>Uncle Sams Cider (5/13/2022)</v>
      </c>
      <c r="H8898" s="19"/>
    </row>
    <row r="8899">
      <c r="A8899" s="9"/>
      <c r="B8899" s="15"/>
      <c r="C8899" s="9">
        <f>IFERROR(__xludf.DUMMYFUNCTION("""COMPUTED_VALUE"""),44703.8196198264)</f>
        <v>44703.81962</v>
      </c>
      <c r="D8899" s="15">
        <f>IFERROR(__xludf.DUMMYFUNCTION("""COMPUTED_VALUE"""),1.043)</f>
        <v>1.043</v>
      </c>
      <c r="E8899" s="16">
        <f>IFERROR(__xludf.DUMMYFUNCTION("""COMPUTED_VALUE"""),66.0)</f>
        <v>66</v>
      </c>
      <c r="F8899" s="19" t="str">
        <f>IFERROR(__xludf.DUMMYFUNCTION("""COMPUTED_VALUE"""),"BLACK")</f>
        <v>BLACK</v>
      </c>
      <c r="G8899" s="20" t="str">
        <f>IFERROR(__xludf.DUMMYFUNCTION("""COMPUTED_VALUE"""),"Uncle Sams Cider (5/13/2022)")</f>
        <v>Uncle Sams Cider (5/13/2022)</v>
      </c>
      <c r="H8899" s="19"/>
    </row>
    <row r="8900">
      <c r="A8900" s="9"/>
      <c r="B8900" s="15"/>
      <c r="C8900" s="9">
        <f>IFERROR(__xludf.DUMMYFUNCTION("""COMPUTED_VALUE"""),44703.8091985185)</f>
        <v>44703.8092</v>
      </c>
      <c r="D8900" s="15">
        <f>IFERROR(__xludf.DUMMYFUNCTION("""COMPUTED_VALUE"""),1.043)</f>
        <v>1.043</v>
      </c>
      <c r="E8900" s="16">
        <f>IFERROR(__xludf.DUMMYFUNCTION("""COMPUTED_VALUE"""),66.0)</f>
        <v>66</v>
      </c>
      <c r="F8900" s="19" t="str">
        <f>IFERROR(__xludf.DUMMYFUNCTION("""COMPUTED_VALUE"""),"BLACK")</f>
        <v>BLACK</v>
      </c>
      <c r="G8900" s="20" t="str">
        <f>IFERROR(__xludf.DUMMYFUNCTION("""COMPUTED_VALUE"""),"Uncle Sams Cider (5/13/2022)")</f>
        <v>Uncle Sams Cider (5/13/2022)</v>
      </c>
      <c r="H8900" s="19"/>
    </row>
    <row r="8901">
      <c r="A8901" s="9"/>
      <c r="B8901" s="15"/>
      <c r="C8901" s="9">
        <f>IFERROR(__xludf.DUMMYFUNCTION("""COMPUTED_VALUE"""),44703.7987762384)</f>
        <v>44703.79878</v>
      </c>
      <c r="D8901" s="15">
        <f>IFERROR(__xludf.DUMMYFUNCTION("""COMPUTED_VALUE"""),1.043)</f>
        <v>1.043</v>
      </c>
      <c r="E8901" s="16">
        <f>IFERROR(__xludf.DUMMYFUNCTION("""COMPUTED_VALUE"""),66.0)</f>
        <v>66</v>
      </c>
      <c r="F8901" s="19" t="str">
        <f>IFERROR(__xludf.DUMMYFUNCTION("""COMPUTED_VALUE"""),"BLACK")</f>
        <v>BLACK</v>
      </c>
      <c r="G8901" s="20" t="str">
        <f>IFERROR(__xludf.DUMMYFUNCTION("""COMPUTED_VALUE"""),"Uncle Sams Cider (5/13/2022)")</f>
        <v>Uncle Sams Cider (5/13/2022)</v>
      </c>
      <c r="H8901" s="19"/>
    </row>
    <row r="8902">
      <c r="A8902" s="9"/>
      <c r="B8902" s="15"/>
      <c r="C8902" s="9">
        <f>IFERROR(__xludf.DUMMYFUNCTION("""COMPUTED_VALUE"""),44703.788355162)</f>
        <v>44703.78836</v>
      </c>
      <c r="D8902" s="15">
        <f>IFERROR(__xludf.DUMMYFUNCTION("""COMPUTED_VALUE"""),1.043)</f>
        <v>1.043</v>
      </c>
      <c r="E8902" s="16">
        <f>IFERROR(__xludf.DUMMYFUNCTION("""COMPUTED_VALUE"""),67.0)</f>
        <v>67</v>
      </c>
      <c r="F8902" s="19" t="str">
        <f>IFERROR(__xludf.DUMMYFUNCTION("""COMPUTED_VALUE"""),"BLACK")</f>
        <v>BLACK</v>
      </c>
      <c r="G8902" s="20" t="str">
        <f>IFERROR(__xludf.DUMMYFUNCTION("""COMPUTED_VALUE"""),"Uncle Sams Cider (5/13/2022)")</f>
        <v>Uncle Sams Cider (5/13/2022)</v>
      </c>
      <c r="H8902" s="19"/>
    </row>
    <row r="8903">
      <c r="A8903" s="9"/>
      <c r="B8903" s="15"/>
      <c r="C8903" s="9">
        <f>IFERROR(__xludf.DUMMYFUNCTION("""COMPUTED_VALUE"""),44703.7779331134)</f>
        <v>44703.77793</v>
      </c>
      <c r="D8903" s="15">
        <f>IFERROR(__xludf.DUMMYFUNCTION("""COMPUTED_VALUE"""),1.043)</f>
        <v>1.043</v>
      </c>
      <c r="E8903" s="16">
        <f>IFERROR(__xludf.DUMMYFUNCTION("""COMPUTED_VALUE"""),68.0)</f>
        <v>68</v>
      </c>
      <c r="F8903" s="19" t="str">
        <f>IFERROR(__xludf.DUMMYFUNCTION("""COMPUTED_VALUE"""),"BLACK")</f>
        <v>BLACK</v>
      </c>
      <c r="G8903" s="20" t="str">
        <f>IFERROR(__xludf.DUMMYFUNCTION("""COMPUTED_VALUE"""),"Uncle Sams Cider (5/13/2022)")</f>
        <v>Uncle Sams Cider (5/13/2022)</v>
      </c>
      <c r="H8903" s="19"/>
    </row>
    <row r="8904">
      <c r="A8904" s="9"/>
      <c r="B8904" s="15"/>
      <c r="C8904" s="9">
        <f>IFERROR(__xludf.DUMMYFUNCTION("""COMPUTED_VALUE"""),44703.7675136921)</f>
        <v>44703.76751</v>
      </c>
      <c r="D8904" s="15">
        <f>IFERROR(__xludf.DUMMYFUNCTION("""COMPUTED_VALUE"""),1.043)</f>
        <v>1.043</v>
      </c>
      <c r="E8904" s="16">
        <f>IFERROR(__xludf.DUMMYFUNCTION("""COMPUTED_VALUE"""),69.0)</f>
        <v>69</v>
      </c>
      <c r="F8904" s="19" t="str">
        <f>IFERROR(__xludf.DUMMYFUNCTION("""COMPUTED_VALUE"""),"BLACK")</f>
        <v>BLACK</v>
      </c>
      <c r="G8904" s="20" t="str">
        <f>IFERROR(__xludf.DUMMYFUNCTION("""COMPUTED_VALUE"""),"Uncle Sams Cider (5/13/2022)")</f>
        <v>Uncle Sams Cider (5/13/2022)</v>
      </c>
      <c r="H8904" s="19"/>
    </row>
    <row r="8905">
      <c r="A8905" s="9"/>
      <c r="B8905" s="15"/>
      <c r="C8905" s="9">
        <f>IFERROR(__xludf.DUMMYFUNCTION("""COMPUTED_VALUE"""),44703.757079155)</f>
        <v>44703.75708</v>
      </c>
      <c r="D8905" s="15">
        <f>IFERROR(__xludf.DUMMYFUNCTION("""COMPUTED_VALUE"""),1.043)</f>
        <v>1.043</v>
      </c>
      <c r="E8905" s="16">
        <f>IFERROR(__xludf.DUMMYFUNCTION("""COMPUTED_VALUE"""),70.0)</f>
        <v>70</v>
      </c>
      <c r="F8905" s="19" t="str">
        <f>IFERROR(__xludf.DUMMYFUNCTION("""COMPUTED_VALUE"""),"BLACK")</f>
        <v>BLACK</v>
      </c>
      <c r="G8905" s="20" t="str">
        <f>IFERROR(__xludf.DUMMYFUNCTION("""COMPUTED_VALUE"""),"Uncle Sams Cider (5/13/2022)")</f>
        <v>Uncle Sams Cider (5/13/2022)</v>
      </c>
      <c r="H8905" s="19"/>
    </row>
    <row r="8906">
      <c r="A8906" s="9"/>
      <c r="B8906" s="15"/>
      <c r="C8906" s="9">
        <f>IFERROR(__xludf.DUMMYFUNCTION("""COMPUTED_VALUE"""),44703.7466455555)</f>
        <v>44703.74665</v>
      </c>
      <c r="D8906" s="15">
        <f>IFERROR(__xludf.DUMMYFUNCTION("""COMPUTED_VALUE"""),1.043)</f>
        <v>1.043</v>
      </c>
      <c r="E8906" s="16">
        <f>IFERROR(__xludf.DUMMYFUNCTION("""COMPUTED_VALUE"""),70.0)</f>
        <v>70</v>
      </c>
      <c r="F8906" s="19" t="str">
        <f>IFERROR(__xludf.DUMMYFUNCTION("""COMPUTED_VALUE"""),"BLACK")</f>
        <v>BLACK</v>
      </c>
      <c r="G8906" s="20" t="str">
        <f>IFERROR(__xludf.DUMMYFUNCTION("""COMPUTED_VALUE"""),"Uncle Sams Cider (5/13/2022)")</f>
        <v>Uncle Sams Cider (5/13/2022)</v>
      </c>
      <c r="H8906" s="19"/>
    </row>
    <row r="8907">
      <c r="A8907" s="9"/>
      <c r="B8907" s="15"/>
      <c r="C8907" s="9">
        <f>IFERROR(__xludf.DUMMYFUNCTION("""COMPUTED_VALUE"""),44703.7362239236)</f>
        <v>44703.73622</v>
      </c>
      <c r="D8907" s="15">
        <f>IFERROR(__xludf.DUMMYFUNCTION("""COMPUTED_VALUE"""),1.044)</f>
        <v>1.044</v>
      </c>
      <c r="E8907" s="16">
        <f>IFERROR(__xludf.DUMMYFUNCTION("""COMPUTED_VALUE"""),69.0)</f>
        <v>69</v>
      </c>
      <c r="F8907" s="19" t="str">
        <f>IFERROR(__xludf.DUMMYFUNCTION("""COMPUTED_VALUE"""),"BLACK")</f>
        <v>BLACK</v>
      </c>
      <c r="G8907" s="20" t="str">
        <f>IFERROR(__xludf.DUMMYFUNCTION("""COMPUTED_VALUE"""),"Uncle Sams Cider (5/13/2022)")</f>
        <v>Uncle Sams Cider (5/13/2022)</v>
      </c>
      <c r="H8907" s="19"/>
    </row>
    <row r="8908">
      <c r="A8908" s="9"/>
      <c r="B8908" s="15"/>
      <c r="C8908" s="9">
        <f>IFERROR(__xludf.DUMMYFUNCTION("""COMPUTED_VALUE"""),44703.7257795023)</f>
        <v>44703.72578</v>
      </c>
      <c r="D8908" s="15">
        <f>IFERROR(__xludf.DUMMYFUNCTION("""COMPUTED_VALUE"""),1.043)</f>
        <v>1.043</v>
      </c>
      <c r="E8908" s="16">
        <f>IFERROR(__xludf.DUMMYFUNCTION("""COMPUTED_VALUE"""),70.0)</f>
        <v>70</v>
      </c>
      <c r="F8908" s="19" t="str">
        <f>IFERROR(__xludf.DUMMYFUNCTION("""COMPUTED_VALUE"""),"BLACK")</f>
        <v>BLACK</v>
      </c>
      <c r="G8908" s="20" t="str">
        <f>IFERROR(__xludf.DUMMYFUNCTION("""COMPUTED_VALUE"""),"Uncle Sams Cider (5/13/2022)")</f>
        <v>Uncle Sams Cider (5/13/2022)</v>
      </c>
      <c r="H8908" s="19"/>
    </row>
    <row r="8909">
      <c r="A8909" s="9"/>
      <c r="B8909" s="15"/>
      <c r="C8909" s="9">
        <f>IFERROR(__xludf.DUMMYFUNCTION("""COMPUTED_VALUE"""),44703.715359074)</f>
        <v>44703.71536</v>
      </c>
      <c r="D8909" s="15">
        <f>IFERROR(__xludf.DUMMYFUNCTION("""COMPUTED_VALUE"""),1.043)</f>
        <v>1.043</v>
      </c>
      <c r="E8909" s="16">
        <f>IFERROR(__xludf.DUMMYFUNCTION("""COMPUTED_VALUE"""),69.0)</f>
        <v>69</v>
      </c>
      <c r="F8909" s="19" t="str">
        <f>IFERROR(__xludf.DUMMYFUNCTION("""COMPUTED_VALUE"""),"BLACK")</f>
        <v>BLACK</v>
      </c>
      <c r="G8909" s="20" t="str">
        <f>IFERROR(__xludf.DUMMYFUNCTION("""COMPUTED_VALUE"""),"Uncle Sams Cider (5/13/2022)")</f>
        <v>Uncle Sams Cider (5/13/2022)</v>
      </c>
      <c r="H8909" s="19"/>
    </row>
    <row r="8910">
      <c r="A8910" s="9"/>
      <c r="B8910" s="15"/>
      <c r="C8910" s="9">
        <f>IFERROR(__xludf.DUMMYFUNCTION("""COMPUTED_VALUE"""),44703.7049386111)</f>
        <v>44703.70494</v>
      </c>
      <c r="D8910" s="15">
        <f>IFERROR(__xludf.DUMMYFUNCTION("""COMPUTED_VALUE"""),1.044)</f>
        <v>1.044</v>
      </c>
      <c r="E8910" s="16">
        <f>IFERROR(__xludf.DUMMYFUNCTION("""COMPUTED_VALUE"""),69.0)</f>
        <v>69</v>
      </c>
      <c r="F8910" s="19" t="str">
        <f>IFERROR(__xludf.DUMMYFUNCTION("""COMPUTED_VALUE"""),"BLACK")</f>
        <v>BLACK</v>
      </c>
      <c r="G8910" s="20" t="str">
        <f>IFERROR(__xludf.DUMMYFUNCTION("""COMPUTED_VALUE"""),"Uncle Sams Cider (5/13/2022)")</f>
        <v>Uncle Sams Cider (5/13/2022)</v>
      </c>
      <c r="H8910" s="19"/>
    </row>
    <row r="8911">
      <c r="A8911" s="9"/>
      <c r="B8911" s="15"/>
      <c r="C8911" s="9">
        <f>IFERROR(__xludf.DUMMYFUNCTION("""COMPUTED_VALUE"""),44703.6945055092)</f>
        <v>44703.69451</v>
      </c>
      <c r="D8911" s="15">
        <f>IFERROR(__xludf.DUMMYFUNCTION("""COMPUTED_VALUE"""),1.043)</f>
        <v>1.043</v>
      </c>
      <c r="E8911" s="16">
        <f>IFERROR(__xludf.DUMMYFUNCTION("""COMPUTED_VALUE"""),69.0)</f>
        <v>69</v>
      </c>
      <c r="F8911" s="19" t="str">
        <f>IFERROR(__xludf.DUMMYFUNCTION("""COMPUTED_VALUE"""),"BLACK")</f>
        <v>BLACK</v>
      </c>
      <c r="G8911" s="20" t="str">
        <f>IFERROR(__xludf.DUMMYFUNCTION("""COMPUTED_VALUE"""),"Uncle Sams Cider (5/13/2022)")</f>
        <v>Uncle Sams Cider (5/13/2022)</v>
      </c>
      <c r="H8911" s="19"/>
    </row>
    <row r="8912">
      <c r="A8912" s="9"/>
      <c r="B8912" s="15"/>
      <c r="C8912" s="9">
        <f>IFERROR(__xludf.DUMMYFUNCTION("""COMPUTED_VALUE"""),44703.6840851967)</f>
        <v>44703.68409</v>
      </c>
      <c r="D8912" s="15">
        <f>IFERROR(__xludf.DUMMYFUNCTION("""COMPUTED_VALUE"""),1.044)</f>
        <v>1.044</v>
      </c>
      <c r="E8912" s="16">
        <f>IFERROR(__xludf.DUMMYFUNCTION("""COMPUTED_VALUE"""),69.0)</f>
        <v>69</v>
      </c>
      <c r="F8912" s="19" t="str">
        <f>IFERROR(__xludf.DUMMYFUNCTION("""COMPUTED_VALUE"""),"BLACK")</f>
        <v>BLACK</v>
      </c>
      <c r="G8912" s="20" t="str">
        <f>IFERROR(__xludf.DUMMYFUNCTION("""COMPUTED_VALUE"""),"Uncle Sams Cider (5/13/2022)")</f>
        <v>Uncle Sams Cider (5/13/2022)</v>
      </c>
      <c r="H8912" s="19"/>
    </row>
    <row r="8913">
      <c r="A8913" s="9"/>
      <c r="B8913" s="15"/>
      <c r="C8913" s="9">
        <f>IFERROR(__xludf.DUMMYFUNCTION("""COMPUTED_VALUE"""),44703.673663993)</f>
        <v>44703.67366</v>
      </c>
      <c r="D8913" s="15">
        <f>IFERROR(__xludf.DUMMYFUNCTION("""COMPUTED_VALUE"""),1.044)</f>
        <v>1.044</v>
      </c>
      <c r="E8913" s="16">
        <f>IFERROR(__xludf.DUMMYFUNCTION("""COMPUTED_VALUE"""),69.0)</f>
        <v>69</v>
      </c>
      <c r="F8913" s="19" t="str">
        <f>IFERROR(__xludf.DUMMYFUNCTION("""COMPUTED_VALUE"""),"BLACK")</f>
        <v>BLACK</v>
      </c>
      <c r="G8913" s="20" t="str">
        <f>IFERROR(__xludf.DUMMYFUNCTION("""COMPUTED_VALUE"""),"Uncle Sams Cider (5/13/2022)")</f>
        <v>Uncle Sams Cider (5/13/2022)</v>
      </c>
      <c r="H8913" s="19"/>
    </row>
    <row r="8914">
      <c r="A8914" s="9"/>
      <c r="B8914" s="15"/>
      <c r="C8914" s="9">
        <f>IFERROR(__xludf.DUMMYFUNCTION("""COMPUTED_VALUE"""),44703.6632449999)</f>
        <v>44703.66324</v>
      </c>
      <c r="D8914" s="15">
        <f>IFERROR(__xludf.DUMMYFUNCTION("""COMPUTED_VALUE"""),1.044)</f>
        <v>1.044</v>
      </c>
      <c r="E8914" s="16">
        <f>IFERROR(__xludf.DUMMYFUNCTION("""COMPUTED_VALUE"""),69.0)</f>
        <v>69</v>
      </c>
      <c r="F8914" s="19" t="str">
        <f>IFERROR(__xludf.DUMMYFUNCTION("""COMPUTED_VALUE"""),"BLACK")</f>
        <v>BLACK</v>
      </c>
      <c r="G8914" s="20" t="str">
        <f>IFERROR(__xludf.DUMMYFUNCTION("""COMPUTED_VALUE"""),"Uncle Sams Cider (5/13/2022)")</f>
        <v>Uncle Sams Cider (5/13/2022)</v>
      </c>
      <c r="H8914" s="19"/>
    </row>
    <row r="8915">
      <c r="A8915" s="9"/>
      <c r="B8915" s="15"/>
      <c r="C8915" s="9">
        <f>IFERROR(__xludf.DUMMYFUNCTION("""COMPUTED_VALUE"""),44703.6528131365)</f>
        <v>44703.65281</v>
      </c>
      <c r="D8915" s="15">
        <f>IFERROR(__xludf.DUMMYFUNCTION("""COMPUTED_VALUE"""),1.044)</f>
        <v>1.044</v>
      </c>
      <c r="E8915" s="16">
        <f>IFERROR(__xludf.DUMMYFUNCTION("""COMPUTED_VALUE"""),69.0)</f>
        <v>69</v>
      </c>
      <c r="F8915" s="19" t="str">
        <f>IFERROR(__xludf.DUMMYFUNCTION("""COMPUTED_VALUE"""),"BLACK")</f>
        <v>BLACK</v>
      </c>
      <c r="G8915" s="20" t="str">
        <f>IFERROR(__xludf.DUMMYFUNCTION("""COMPUTED_VALUE"""),"Uncle Sams Cider (5/13/2022)")</f>
        <v>Uncle Sams Cider (5/13/2022)</v>
      </c>
      <c r="H8915" s="19"/>
    </row>
    <row r="8916">
      <c r="A8916" s="9"/>
      <c r="B8916" s="15"/>
      <c r="C8916" s="9">
        <f>IFERROR(__xludf.DUMMYFUNCTION("""COMPUTED_VALUE"""),44703.6423683449)</f>
        <v>44703.64237</v>
      </c>
      <c r="D8916" s="15">
        <f>IFERROR(__xludf.DUMMYFUNCTION("""COMPUTED_VALUE"""),1.044)</f>
        <v>1.044</v>
      </c>
      <c r="E8916" s="16">
        <f>IFERROR(__xludf.DUMMYFUNCTION("""COMPUTED_VALUE"""),69.0)</f>
        <v>69</v>
      </c>
      <c r="F8916" s="19" t="str">
        <f>IFERROR(__xludf.DUMMYFUNCTION("""COMPUTED_VALUE"""),"BLACK")</f>
        <v>BLACK</v>
      </c>
      <c r="G8916" s="20" t="str">
        <f>IFERROR(__xludf.DUMMYFUNCTION("""COMPUTED_VALUE"""),"Uncle Sams Cider (5/13/2022)")</f>
        <v>Uncle Sams Cider (5/13/2022)</v>
      </c>
      <c r="H8916" s="19"/>
    </row>
    <row r="8917">
      <c r="A8917" s="9"/>
      <c r="B8917" s="15"/>
      <c r="C8917" s="9">
        <f>IFERROR(__xludf.DUMMYFUNCTION("""COMPUTED_VALUE"""),44703.6319473495)</f>
        <v>44703.63195</v>
      </c>
      <c r="D8917" s="15">
        <f>IFERROR(__xludf.DUMMYFUNCTION("""COMPUTED_VALUE"""),1.044)</f>
        <v>1.044</v>
      </c>
      <c r="E8917" s="16">
        <f>IFERROR(__xludf.DUMMYFUNCTION("""COMPUTED_VALUE"""),69.0)</f>
        <v>69</v>
      </c>
      <c r="F8917" s="19" t="str">
        <f>IFERROR(__xludf.DUMMYFUNCTION("""COMPUTED_VALUE"""),"BLACK")</f>
        <v>BLACK</v>
      </c>
      <c r="G8917" s="20" t="str">
        <f>IFERROR(__xludf.DUMMYFUNCTION("""COMPUTED_VALUE"""),"Uncle Sams Cider (5/13/2022)")</f>
        <v>Uncle Sams Cider (5/13/2022)</v>
      </c>
      <c r="H8917" s="19"/>
    </row>
    <row r="8918">
      <c r="A8918" s="9"/>
      <c r="B8918" s="15"/>
      <c r="C8918" s="9">
        <f>IFERROR(__xludf.DUMMYFUNCTION("""COMPUTED_VALUE"""),44703.6215280208)</f>
        <v>44703.62153</v>
      </c>
      <c r="D8918" s="15">
        <f>IFERROR(__xludf.DUMMYFUNCTION("""COMPUTED_VALUE"""),1.044)</f>
        <v>1.044</v>
      </c>
      <c r="E8918" s="16">
        <f>IFERROR(__xludf.DUMMYFUNCTION("""COMPUTED_VALUE"""),69.0)</f>
        <v>69</v>
      </c>
      <c r="F8918" s="19" t="str">
        <f>IFERROR(__xludf.DUMMYFUNCTION("""COMPUTED_VALUE"""),"BLACK")</f>
        <v>BLACK</v>
      </c>
      <c r="G8918" s="20" t="str">
        <f>IFERROR(__xludf.DUMMYFUNCTION("""COMPUTED_VALUE"""),"Uncle Sams Cider (5/13/2022)")</f>
        <v>Uncle Sams Cider (5/13/2022)</v>
      </c>
      <c r="H8918" s="19"/>
    </row>
    <row r="8919">
      <c r="A8919" s="9"/>
      <c r="B8919" s="15"/>
      <c r="C8919" s="9">
        <f>IFERROR(__xludf.DUMMYFUNCTION("""COMPUTED_VALUE"""),44703.6110953588)</f>
        <v>44703.6111</v>
      </c>
      <c r="D8919" s="15">
        <f>IFERROR(__xludf.DUMMYFUNCTION("""COMPUTED_VALUE"""),1.044)</f>
        <v>1.044</v>
      </c>
      <c r="E8919" s="16">
        <f>IFERROR(__xludf.DUMMYFUNCTION("""COMPUTED_VALUE"""),69.0)</f>
        <v>69</v>
      </c>
      <c r="F8919" s="19" t="str">
        <f>IFERROR(__xludf.DUMMYFUNCTION("""COMPUTED_VALUE"""),"BLACK")</f>
        <v>BLACK</v>
      </c>
      <c r="G8919" s="20" t="str">
        <f>IFERROR(__xludf.DUMMYFUNCTION("""COMPUTED_VALUE"""),"Uncle Sams Cider (5/13/2022)")</f>
        <v>Uncle Sams Cider (5/13/2022)</v>
      </c>
      <c r="H8919" s="19"/>
    </row>
    <row r="8920">
      <c r="A8920" s="9"/>
      <c r="B8920" s="15"/>
      <c r="C8920" s="9">
        <f>IFERROR(__xludf.DUMMYFUNCTION("""COMPUTED_VALUE"""),44703.6006627083)</f>
        <v>44703.60066</v>
      </c>
      <c r="D8920" s="15">
        <f>IFERROR(__xludf.DUMMYFUNCTION("""COMPUTED_VALUE"""),1.044)</f>
        <v>1.044</v>
      </c>
      <c r="E8920" s="16">
        <f>IFERROR(__xludf.DUMMYFUNCTION("""COMPUTED_VALUE"""),69.0)</f>
        <v>69</v>
      </c>
      <c r="F8920" s="19" t="str">
        <f>IFERROR(__xludf.DUMMYFUNCTION("""COMPUTED_VALUE"""),"BLACK")</f>
        <v>BLACK</v>
      </c>
      <c r="G8920" s="20" t="str">
        <f>IFERROR(__xludf.DUMMYFUNCTION("""COMPUTED_VALUE"""),"Uncle Sams Cider (5/13/2022)")</f>
        <v>Uncle Sams Cider (5/13/2022)</v>
      </c>
      <c r="H8920" s="19"/>
    </row>
    <row r="8921">
      <c r="A8921" s="9"/>
      <c r="B8921" s="15"/>
      <c r="C8921" s="9">
        <f>IFERROR(__xludf.DUMMYFUNCTION("""COMPUTED_VALUE"""),44703.5902423148)</f>
        <v>44703.59024</v>
      </c>
      <c r="D8921" s="15">
        <f>IFERROR(__xludf.DUMMYFUNCTION("""COMPUTED_VALUE"""),1.044)</f>
        <v>1.044</v>
      </c>
      <c r="E8921" s="16">
        <f>IFERROR(__xludf.DUMMYFUNCTION("""COMPUTED_VALUE"""),69.0)</f>
        <v>69</v>
      </c>
      <c r="F8921" s="19" t="str">
        <f>IFERROR(__xludf.DUMMYFUNCTION("""COMPUTED_VALUE"""),"BLACK")</f>
        <v>BLACK</v>
      </c>
      <c r="G8921" s="20" t="str">
        <f>IFERROR(__xludf.DUMMYFUNCTION("""COMPUTED_VALUE"""),"Uncle Sams Cider (5/13/2022)")</f>
        <v>Uncle Sams Cider (5/13/2022)</v>
      </c>
      <c r="H8921" s="19"/>
    </row>
    <row r="8922">
      <c r="A8922" s="9"/>
      <c r="B8922" s="15"/>
      <c r="C8922" s="9">
        <f>IFERROR(__xludf.DUMMYFUNCTION("""COMPUTED_VALUE"""),44703.5798206134)</f>
        <v>44703.57982</v>
      </c>
      <c r="D8922" s="15">
        <f>IFERROR(__xludf.DUMMYFUNCTION("""COMPUTED_VALUE"""),1.044)</f>
        <v>1.044</v>
      </c>
      <c r="E8922" s="16">
        <f>IFERROR(__xludf.DUMMYFUNCTION("""COMPUTED_VALUE"""),69.0)</f>
        <v>69</v>
      </c>
      <c r="F8922" s="19" t="str">
        <f>IFERROR(__xludf.DUMMYFUNCTION("""COMPUTED_VALUE"""),"BLACK")</f>
        <v>BLACK</v>
      </c>
      <c r="G8922" s="20" t="str">
        <f>IFERROR(__xludf.DUMMYFUNCTION("""COMPUTED_VALUE"""),"Uncle Sams Cider (5/13/2022)")</f>
        <v>Uncle Sams Cider (5/13/2022)</v>
      </c>
      <c r="H8922" s="19"/>
    </row>
    <row r="8923">
      <c r="A8923" s="9"/>
      <c r="B8923" s="15"/>
      <c r="C8923" s="9">
        <f>IFERROR(__xludf.DUMMYFUNCTION("""COMPUTED_VALUE"""),44703.5693996759)</f>
        <v>44703.5694</v>
      </c>
      <c r="D8923" s="15">
        <f>IFERROR(__xludf.DUMMYFUNCTION("""COMPUTED_VALUE"""),1.044)</f>
        <v>1.044</v>
      </c>
      <c r="E8923" s="16">
        <f>IFERROR(__xludf.DUMMYFUNCTION("""COMPUTED_VALUE"""),69.0)</f>
        <v>69</v>
      </c>
      <c r="F8923" s="19" t="str">
        <f>IFERROR(__xludf.DUMMYFUNCTION("""COMPUTED_VALUE"""),"BLACK")</f>
        <v>BLACK</v>
      </c>
      <c r="G8923" s="20" t="str">
        <f>IFERROR(__xludf.DUMMYFUNCTION("""COMPUTED_VALUE"""),"Uncle Sams Cider (5/13/2022)")</f>
        <v>Uncle Sams Cider (5/13/2022)</v>
      </c>
      <c r="H8923" s="19"/>
    </row>
    <row r="8924">
      <c r="A8924" s="9"/>
      <c r="B8924" s="15"/>
      <c r="C8924" s="9">
        <f>IFERROR(__xludf.DUMMYFUNCTION("""COMPUTED_VALUE"""),44703.5589687731)</f>
        <v>44703.55897</v>
      </c>
      <c r="D8924" s="15">
        <f>IFERROR(__xludf.DUMMYFUNCTION("""COMPUTED_VALUE"""),1.044)</f>
        <v>1.044</v>
      </c>
      <c r="E8924" s="16">
        <f>IFERROR(__xludf.DUMMYFUNCTION("""COMPUTED_VALUE"""),69.0)</f>
        <v>69</v>
      </c>
      <c r="F8924" s="19" t="str">
        <f>IFERROR(__xludf.DUMMYFUNCTION("""COMPUTED_VALUE"""),"BLACK")</f>
        <v>BLACK</v>
      </c>
      <c r="G8924" s="20" t="str">
        <f>IFERROR(__xludf.DUMMYFUNCTION("""COMPUTED_VALUE"""),"Uncle Sams Cider (5/13/2022)")</f>
        <v>Uncle Sams Cider (5/13/2022)</v>
      </c>
      <c r="H8924" s="19"/>
    </row>
    <row r="8925">
      <c r="A8925" s="9"/>
      <c r="B8925" s="15"/>
      <c r="C8925" s="9">
        <f>IFERROR(__xludf.DUMMYFUNCTION("""COMPUTED_VALUE"""),44703.5485485763)</f>
        <v>44703.54855</v>
      </c>
      <c r="D8925" s="15">
        <f>IFERROR(__xludf.DUMMYFUNCTION("""COMPUTED_VALUE"""),1.044)</f>
        <v>1.044</v>
      </c>
      <c r="E8925" s="16">
        <f>IFERROR(__xludf.DUMMYFUNCTION("""COMPUTED_VALUE"""),69.0)</f>
        <v>69</v>
      </c>
      <c r="F8925" s="19" t="str">
        <f>IFERROR(__xludf.DUMMYFUNCTION("""COMPUTED_VALUE"""),"BLACK")</f>
        <v>BLACK</v>
      </c>
      <c r="G8925" s="20" t="str">
        <f>IFERROR(__xludf.DUMMYFUNCTION("""COMPUTED_VALUE"""),"Uncle Sams Cider (5/13/2022)")</f>
        <v>Uncle Sams Cider (5/13/2022)</v>
      </c>
      <c r="H8925" s="19"/>
    </row>
    <row r="8926">
      <c r="A8926" s="9"/>
      <c r="B8926" s="15"/>
      <c r="C8926" s="9">
        <f>IFERROR(__xludf.DUMMYFUNCTION("""COMPUTED_VALUE"""),44703.5381159375)</f>
        <v>44703.53812</v>
      </c>
      <c r="D8926" s="15">
        <f>IFERROR(__xludf.DUMMYFUNCTION("""COMPUTED_VALUE"""),1.044)</f>
        <v>1.044</v>
      </c>
      <c r="E8926" s="16">
        <f>IFERROR(__xludf.DUMMYFUNCTION("""COMPUTED_VALUE"""),69.0)</f>
        <v>69</v>
      </c>
      <c r="F8926" s="19" t="str">
        <f>IFERROR(__xludf.DUMMYFUNCTION("""COMPUTED_VALUE"""),"BLACK")</f>
        <v>BLACK</v>
      </c>
      <c r="G8926" s="20" t="str">
        <f>IFERROR(__xludf.DUMMYFUNCTION("""COMPUTED_VALUE"""),"Uncle Sams Cider (5/13/2022)")</f>
        <v>Uncle Sams Cider (5/13/2022)</v>
      </c>
      <c r="H8926" s="19"/>
    </row>
    <row r="8927">
      <c r="A8927" s="9"/>
      <c r="B8927" s="15"/>
      <c r="C8927" s="9">
        <f>IFERROR(__xludf.DUMMYFUNCTION("""COMPUTED_VALUE"""),44703.5276838078)</f>
        <v>44703.52768</v>
      </c>
      <c r="D8927" s="15">
        <f>IFERROR(__xludf.DUMMYFUNCTION("""COMPUTED_VALUE"""),1.045)</f>
        <v>1.045</v>
      </c>
      <c r="E8927" s="16">
        <f>IFERROR(__xludf.DUMMYFUNCTION("""COMPUTED_VALUE"""),69.0)</f>
        <v>69</v>
      </c>
      <c r="F8927" s="19" t="str">
        <f>IFERROR(__xludf.DUMMYFUNCTION("""COMPUTED_VALUE"""),"BLACK")</f>
        <v>BLACK</v>
      </c>
      <c r="G8927" s="20" t="str">
        <f>IFERROR(__xludf.DUMMYFUNCTION("""COMPUTED_VALUE"""),"Uncle Sams Cider (5/13/2022)")</f>
        <v>Uncle Sams Cider (5/13/2022)</v>
      </c>
      <c r="H8927" s="19"/>
    </row>
    <row r="8928">
      <c r="A8928" s="9"/>
      <c r="B8928" s="15"/>
      <c r="C8928" s="9">
        <f>IFERROR(__xludf.DUMMYFUNCTION("""COMPUTED_VALUE"""),44703.5172515162)</f>
        <v>44703.51725</v>
      </c>
      <c r="D8928" s="15">
        <f>IFERROR(__xludf.DUMMYFUNCTION("""COMPUTED_VALUE"""),1.044)</f>
        <v>1.044</v>
      </c>
      <c r="E8928" s="16">
        <f>IFERROR(__xludf.DUMMYFUNCTION("""COMPUTED_VALUE"""),69.0)</f>
        <v>69</v>
      </c>
      <c r="F8928" s="19" t="str">
        <f>IFERROR(__xludf.DUMMYFUNCTION("""COMPUTED_VALUE"""),"BLACK")</f>
        <v>BLACK</v>
      </c>
      <c r="G8928" s="20" t="str">
        <f>IFERROR(__xludf.DUMMYFUNCTION("""COMPUTED_VALUE"""),"Uncle Sams Cider (5/13/2022)")</f>
        <v>Uncle Sams Cider (5/13/2022)</v>
      </c>
      <c r="H8928" s="19"/>
    </row>
    <row r="8929">
      <c r="A8929" s="9"/>
      <c r="B8929" s="15"/>
      <c r="C8929" s="9">
        <f>IFERROR(__xludf.DUMMYFUNCTION("""COMPUTED_VALUE"""),44703.5068180555)</f>
        <v>44703.50682</v>
      </c>
      <c r="D8929" s="15">
        <f>IFERROR(__xludf.DUMMYFUNCTION("""COMPUTED_VALUE"""),1.044)</f>
        <v>1.044</v>
      </c>
      <c r="E8929" s="16">
        <f>IFERROR(__xludf.DUMMYFUNCTION("""COMPUTED_VALUE"""),69.0)</f>
        <v>69</v>
      </c>
      <c r="F8929" s="19" t="str">
        <f>IFERROR(__xludf.DUMMYFUNCTION("""COMPUTED_VALUE"""),"BLACK")</f>
        <v>BLACK</v>
      </c>
      <c r="G8929" s="20" t="str">
        <f>IFERROR(__xludf.DUMMYFUNCTION("""COMPUTED_VALUE"""),"Uncle Sams Cider (5/13/2022)")</f>
        <v>Uncle Sams Cider (5/13/2022)</v>
      </c>
      <c r="H8929" s="19"/>
    </row>
    <row r="8930">
      <c r="A8930" s="9"/>
      <c r="B8930" s="15"/>
      <c r="C8930" s="9">
        <f>IFERROR(__xludf.DUMMYFUNCTION("""COMPUTED_VALUE"""),44703.4963974074)</f>
        <v>44703.4964</v>
      </c>
      <c r="D8930" s="15">
        <f>IFERROR(__xludf.DUMMYFUNCTION("""COMPUTED_VALUE"""),1.044)</f>
        <v>1.044</v>
      </c>
      <c r="E8930" s="16">
        <f>IFERROR(__xludf.DUMMYFUNCTION("""COMPUTED_VALUE"""),69.0)</f>
        <v>69</v>
      </c>
      <c r="F8930" s="19" t="str">
        <f>IFERROR(__xludf.DUMMYFUNCTION("""COMPUTED_VALUE"""),"BLACK")</f>
        <v>BLACK</v>
      </c>
      <c r="G8930" s="20" t="str">
        <f>IFERROR(__xludf.DUMMYFUNCTION("""COMPUTED_VALUE"""),"Uncle Sams Cider (5/13/2022)")</f>
        <v>Uncle Sams Cider (5/13/2022)</v>
      </c>
      <c r="H8930" s="19"/>
    </row>
    <row r="8931">
      <c r="A8931" s="9"/>
      <c r="B8931" s="15"/>
      <c r="C8931" s="9">
        <f>IFERROR(__xludf.DUMMYFUNCTION("""COMPUTED_VALUE"""),44703.4859636458)</f>
        <v>44703.48596</v>
      </c>
      <c r="D8931" s="15">
        <f>IFERROR(__xludf.DUMMYFUNCTION("""COMPUTED_VALUE"""),1.044)</f>
        <v>1.044</v>
      </c>
      <c r="E8931" s="16">
        <f>IFERROR(__xludf.DUMMYFUNCTION("""COMPUTED_VALUE"""),69.0)</f>
        <v>69</v>
      </c>
      <c r="F8931" s="19" t="str">
        <f>IFERROR(__xludf.DUMMYFUNCTION("""COMPUTED_VALUE"""),"BLACK")</f>
        <v>BLACK</v>
      </c>
      <c r="G8931" s="20" t="str">
        <f>IFERROR(__xludf.DUMMYFUNCTION("""COMPUTED_VALUE"""),"Uncle Sams Cider (5/13/2022)")</f>
        <v>Uncle Sams Cider (5/13/2022)</v>
      </c>
      <c r="H8931" s="19"/>
    </row>
    <row r="8932">
      <c r="A8932" s="9"/>
      <c r="B8932" s="15"/>
      <c r="C8932" s="9">
        <f>IFERROR(__xludf.DUMMYFUNCTION("""COMPUTED_VALUE"""),44703.4755058796)</f>
        <v>44703.47551</v>
      </c>
      <c r="D8932" s="15">
        <f>IFERROR(__xludf.DUMMYFUNCTION("""COMPUTED_VALUE"""),1.045)</f>
        <v>1.045</v>
      </c>
      <c r="E8932" s="16">
        <f>IFERROR(__xludf.DUMMYFUNCTION("""COMPUTED_VALUE"""),69.0)</f>
        <v>69</v>
      </c>
      <c r="F8932" s="19" t="str">
        <f>IFERROR(__xludf.DUMMYFUNCTION("""COMPUTED_VALUE"""),"BLACK")</f>
        <v>BLACK</v>
      </c>
      <c r="G8932" s="20" t="str">
        <f>IFERROR(__xludf.DUMMYFUNCTION("""COMPUTED_VALUE"""),"Uncle Sams Cider (5/13/2022)")</f>
        <v>Uncle Sams Cider (5/13/2022)</v>
      </c>
      <c r="H8932" s="19"/>
    </row>
    <row r="8933">
      <c r="A8933" s="9"/>
      <c r="B8933" s="15"/>
      <c r="C8933" s="9">
        <f>IFERROR(__xludf.DUMMYFUNCTION("""COMPUTED_VALUE"""),44703.4650718402)</f>
        <v>44703.46507</v>
      </c>
      <c r="D8933" s="15">
        <f>IFERROR(__xludf.DUMMYFUNCTION("""COMPUTED_VALUE"""),1.045)</f>
        <v>1.045</v>
      </c>
      <c r="E8933" s="16">
        <f>IFERROR(__xludf.DUMMYFUNCTION("""COMPUTED_VALUE"""),69.0)</f>
        <v>69</v>
      </c>
      <c r="F8933" s="19" t="str">
        <f>IFERROR(__xludf.DUMMYFUNCTION("""COMPUTED_VALUE"""),"BLACK")</f>
        <v>BLACK</v>
      </c>
      <c r="G8933" s="20" t="str">
        <f>IFERROR(__xludf.DUMMYFUNCTION("""COMPUTED_VALUE"""),"Uncle Sams Cider (5/13/2022)")</f>
        <v>Uncle Sams Cider (5/13/2022)</v>
      </c>
      <c r="H8933" s="19"/>
    </row>
    <row r="8934">
      <c r="A8934" s="9"/>
      <c r="B8934" s="15"/>
      <c r="C8934" s="9">
        <f>IFERROR(__xludf.DUMMYFUNCTION("""COMPUTED_VALUE"""),44703.4546155555)</f>
        <v>44703.45462</v>
      </c>
      <c r="D8934" s="15">
        <f>IFERROR(__xludf.DUMMYFUNCTION("""COMPUTED_VALUE"""),1.045)</f>
        <v>1.045</v>
      </c>
      <c r="E8934" s="16">
        <f>IFERROR(__xludf.DUMMYFUNCTION("""COMPUTED_VALUE"""),69.0)</f>
        <v>69</v>
      </c>
      <c r="F8934" s="19" t="str">
        <f>IFERROR(__xludf.DUMMYFUNCTION("""COMPUTED_VALUE"""),"BLACK")</f>
        <v>BLACK</v>
      </c>
      <c r="G8934" s="20" t="str">
        <f>IFERROR(__xludf.DUMMYFUNCTION("""COMPUTED_VALUE"""),"Uncle Sams Cider (5/13/2022)")</f>
        <v>Uncle Sams Cider (5/13/2022)</v>
      </c>
      <c r="H8934" s="19"/>
    </row>
    <row r="8935">
      <c r="A8935" s="9"/>
      <c r="B8935" s="15"/>
      <c r="C8935" s="9">
        <f>IFERROR(__xludf.DUMMYFUNCTION("""COMPUTED_VALUE"""),44703.4441942592)</f>
        <v>44703.44419</v>
      </c>
      <c r="D8935" s="15">
        <f>IFERROR(__xludf.DUMMYFUNCTION("""COMPUTED_VALUE"""),1.045)</f>
        <v>1.045</v>
      </c>
      <c r="E8935" s="16">
        <f>IFERROR(__xludf.DUMMYFUNCTION("""COMPUTED_VALUE"""),69.0)</f>
        <v>69</v>
      </c>
      <c r="F8935" s="19" t="str">
        <f>IFERROR(__xludf.DUMMYFUNCTION("""COMPUTED_VALUE"""),"BLACK")</f>
        <v>BLACK</v>
      </c>
      <c r="G8935" s="20" t="str">
        <f>IFERROR(__xludf.DUMMYFUNCTION("""COMPUTED_VALUE"""),"Uncle Sams Cider (5/13/2022)")</f>
        <v>Uncle Sams Cider (5/13/2022)</v>
      </c>
      <c r="H8935" s="19"/>
    </row>
    <row r="8936">
      <c r="A8936" s="9"/>
      <c r="B8936" s="15"/>
      <c r="C8936" s="9">
        <f>IFERROR(__xludf.DUMMYFUNCTION("""COMPUTED_VALUE"""),44703.4337711574)</f>
        <v>44703.43377</v>
      </c>
      <c r="D8936" s="15">
        <f>IFERROR(__xludf.DUMMYFUNCTION("""COMPUTED_VALUE"""),1.045)</f>
        <v>1.045</v>
      </c>
      <c r="E8936" s="16">
        <f>IFERROR(__xludf.DUMMYFUNCTION("""COMPUTED_VALUE"""),69.0)</f>
        <v>69</v>
      </c>
      <c r="F8936" s="19" t="str">
        <f>IFERROR(__xludf.DUMMYFUNCTION("""COMPUTED_VALUE"""),"BLACK")</f>
        <v>BLACK</v>
      </c>
      <c r="G8936" s="20" t="str">
        <f>IFERROR(__xludf.DUMMYFUNCTION("""COMPUTED_VALUE"""),"Uncle Sams Cider (5/13/2022)")</f>
        <v>Uncle Sams Cider (5/13/2022)</v>
      </c>
      <c r="H8936" s="19"/>
    </row>
    <row r="8937">
      <c r="A8937" s="9"/>
      <c r="B8937" s="15"/>
      <c r="C8937" s="9">
        <f>IFERROR(__xludf.DUMMYFUNCTION("""COMPUTED_VALUE"""),44703.4233385879)</f>
        <v>44703.42334</v>
      </c>
      <c r="D8937" s="15">
        <f>IFERROR(__xludf.DUMMYFUNCTION("""COMPUTED_VALUE"""),1.045)</f>
        <v>1.045</v>
      </c>
      <c r="E8937" s="16">
        <f>IFERROR(__xludf.DUMMYFUNCTION("""COMPUTED_VALUE"""),69.0)</f>
        <v>69</v>
      </c>
      <c r="F8937" s="19" t="str">
        <f>IFERROR(__xludf.DUMMYFUNCTION("""COMPUTED_VALUE"""),"BLACK")</f>
        <v>BLACK</v>
      </c>
      <c r="G8937" s="20" t="str">
        <f>IFERROR(__xludf.DUMMYFUNCTION("""COMPUTED_VALUE"""),"Uncle Sams Cider (5/13/2022)")</f>
        <v>Uncle Sams Cider (5/13/2022)</v>
      </c>
      <c r="H8937" s="19"/>
    </row>
    <row r="8938">
      <c r="A8938" s="9"/>
      <c r="B8938" s="15"/>
      <c r="C8938" s="9">
        <f>IFERROR(__xludf.DUMMYFUNCTION("""COMPUTED_VALUE"""),44703.4128945023)</f>
        <v>44703.41289</v>
      </c>
      <c r="D8938" s="15">
        <f>IFERROR(__xludf.DUMMYFUNCTION("""COMPUTED_VALUE"""),1.045)</f>
        <v>1.045</v>
      </c>
      <c r="E8938" s="16">
        <f>IFERROR(__xludf.DUMMYFUNCTION("""COMPUTED_VALUE"""),69.0)</f>
        <v>69</v>
      </c>
      <c r="F8938" s="19" t="str">
        <f>IFERROR(__xludf.DUMMYFUNCTION("""COMPUTED_VALUE"""),"BLACK")</f>
        <v>BLACK</v>
      </c>
      <c r="G8938" s="20" t="str">
        <f>IFERROR(__xludf.DUMMYFUNCTION("""COMPUTED_VALUE"""),"Uncle Sams Cider (5/13/2022)")</f>
        <v>Uncle Sams Cider (5/13/2022)</v>
      </c>
      <c r="H8938" s="19"/>
    </row>
    <row r="8939">
      <c r="A8939" s="9"/>
      <c r="B8939" s="15"/>
      <c r="C8939" s="9">
        <f>IFERROR(__xludf.DUMMYFUNCTION("""COMPUTED_VALUE"""),44703.4024612847)</f>
        <v>44703.40246</v>
      </c>
      <c r="D8939" s="15">
        <f>IFERROR(__xludf.DUMMYFUNCTION("""COMPUTED_VALUE"""),1.045)</f>
        <v>1.045</v>
      </c>
      <c r="E8939" s="16">
        <f>IFERROR(__xludf.DUMMYFUNCTION("""COMPUTED_VALUE"""),69.0)</f>
        <v>69</v>
      </c>
      <c r="F8939" s="19" t="str">
        <f>IFERROR(__xludf.DUMMYFUNCTION("""COMPUTED_VALUE"""),"BLACK")</f>
        <v>BLACK</v>
      </c>
      <c r="G8939" s="20" t="str">
        <f>IFERROR(__xludf.DUMMYFUNCTION("""COMPUTED_VALUE"""),"Uncle Sams Cider (5/13/2022)")</f>
        <v>Uncle Sams Cider (5/13/2022)</v>
      </c>
      <c r="H8939" s="19"/>
    </row>
    <row r="8940">
      <c r="A8940" s="9"/>
      <c r="B8940" s="15"/>
      <c r="C8940" s="9">
        <f>IFERROR(__xludf.DUMMYFUNCTION("""COMPUTED_VALUE"""),44703.3920402662)</f>
        <v>44703.39204</v>
      </c>
      <c r="D8940" s="15">
        <f>IFERROR(__xludf.DUMMYFUNCTION("""COMPUTED_VALUE"""),1.045)</f>
        <v>1.045</v>
      </c>
      <c r="E8940" s="16">
        <f>IFERROR(__xludf.DUMMYFUNCTION("""COMPUTED_VALUE"""),69.0)</f>
        <v>69</v>
      </c>
      <c r="F8940" s="19" t="str">
        <f>IFERROR(__xludf.DUMMYFUNCTION("""COMPUTED_VALUE"""),"BLACK")</f>
        <v>BLACK</v>
      </c>
      <c r="G8940" s="20" t="str">
        <f>IFERROR(__xludf.DUMMYFUNCTION("""COMPUTED_VALUE"""),"Uncle Sams Cider (5/13/2022)")</f>
        <v>Uncle Sams Cider (5/13/2022)</v>
      </c>
      <c r="H8940" s="19"/>
    </row>
    <row r="8941">
      <c r="A8941" s="9"/>
      <c r="B8941" s="15"/>
      <c r="C8941" s="9">
        <f>IFERROR(__xludf.DUMMYFUNCTION("""COMPUTED_VALUE"""),44703.3816186226)</f>
        <v>44703.38162</v>
      </c>
      <c r="D8941" s="15">
        <f>IFERROR(__xludf.DUMMYFUNCTION("""COMPUTED_VALUE"""),1.045)</f>
        <v>1.045</v>
      </c>
      <c r="E8941" s="16">
        <f>IFERROR(__xludf.DUMMYFUNCTION("""COMPUTED_VALUE"""),69.0)</f>
        <v>69</v>
      </c>
      <c r="F8941" s="19" t="str">
        <f>IFERROR(__xludf.DUMMYFUNCTION("""COMPUTED_VALUE"""),"BLACK")</f>
        <v>BLACK</v>
      </c>
      <c r="G8941" s="20" t="str">
        <f>IFERROR(__xludf.DUMMYFUNCTION("""COMPUTED_VALUE"""),"Uncle Sams Cider (5/13/2022)")</f>
        <v>Uncle Sams Cider (5/13/2022)</v>
      </c>
      <c r="H8941" s="19"/>
    </row>
    <row r="8942">
      <c r="A8942" s="9"/>
      <c r="B8942" s="15"/>
      <c r="C8942" s="9">
        <f>IFERROR(__xludf.DUMMYFUNCTION("""COMPUTED_VALUE"""),44703.3711965509)</f>
        <v>44703.3712</v>
      </c>
      <c r="D8942" s="15">
        <f>IFERROR(__xludf.DUMMYFUNCTION("""COMPUTED_VALUE"""),1.045)</f>
        <v>1.045</v>
      </c>
      <c r="E8942" s="16">
        <f>IFERROR(__xludf.DUMMYFUNCTION("""COMPUTED_VALUE"""),68.0)</f>
        <v>68</v>
      </c>
      <c r="F8942" s="19" t="str">
        <f>IFERROR(__xludf.DUMMYFUNCTION("""COMPUTED_VALUE"""),"BLACK")</f>
        <v>BLACK</v>
      </c>
      <c r="G8942" s="20" t="str">
        <f>IFERROR(__xludf.DUMMYFUNCTION("""COMPUTED_VALUE"""),"Uncle Sams Cider (5/13/2022)")</f>
        <v>Uncle Sams Cider (5/13/2022)</v>
      </c>
      <c r="H8942" s="19"/>
    </row>
    <row r="8943">
      <c r="A8943" s="9"/>
      <c r="B8943" s="15"/>
      <c r="C8943" s="9">
        <f>IFERROR(__xludf.DUMMYFUNCTION("""COMPUTED_VALUE"""),44703.3607763194)</f>
        <v>44703.36078</v>
      </c>
      <c r="D8943" s="15">
        <f>IFERROR(__xludf.DUMMYFUNCTION("""COMPUTED_VALUE"""),1.045)</f>
        <v>1.045</v>
      </c>
      <c r="E8943" s="16">
        <f>IFERROR(__xludf.DUMMYFUNCTION("""COMPUTED_VALUE"""),68.0)</f>
        <v>68</v>
      </c>
      <c r="F8943" s="19" t="str">
        <f>IFERROR(__xludf.DUMMYFUNCTION("""COMPUTED_VALUE"""),"BLACK")</f>
        <v>BLACK</v>
      </c>
      <c r="G8943" s="20" t="str">
        <f>IFERROR(__xludf.DUMMYFUNCTION("""COMPUTED_VALUE"""),"Uncle Sams Cider (5/13/2022)")</f>
        <v>Uncle Sams Cider (5/13/2022)</v>
      </c>
      <c r="H8943" s="19"/>
    </row>
    <row r="8944">
      <c r="A8944" s="9"/>
      <c r="B8944" s="15"/>
      <c r="C8944" s="9">
        <f>IFERROR(__xludf.DUMMYFUNCTION("""COMPUTED_VALUE"""),44703.3503197338)</f>
        <v>44703.35032</v>
      </c>
      <c r="D8944" s="15">
        <f>IFERROR(__xludf.DUMMYFUNCTION("""COMPUTED_VALUE"""),1.045)</f>
        <v>1.045</v>
      </c>
      <c r="E8944" s="16">
        <f>IFERROR(__xludf.DUMMYFUNCTION("""COMPUTED_VALUE"""),68.0)</f>
        <v>68</v>
      </c>
      <c r="F8944" s="19" t="str">
        <f>IFERROR(__xludf.DUMMYFUNCTION("""COMPUTED_VALUE"""),"BLACK")</f>
        <v>BLACK</v>
      </c>
      <c r="G8944" s="20" t="str">
        <f>IFERROR(__xludf.DUMMYFUNCTION("""COMPUTED_VALUE"""),"Uncle Sams Cider (5/13/2022)")</f>
        <v>Uncle Sams Cider (5/13/2022)</v>
      </c>
      <c r="H8944" s="19"/>
    </row>
    <row r="8945">
      <c r="A8945" s="9"/>
      <c r="B8945" s="15"/>
      <c r="C8945" s="9">
        <f>IFERROR(__xludf.DUMMYFUNCTION("""COMPUTED_VALUE"""),44703.339887037)</f>
        <v>44703.33989</v>
      </c>
      <c r="D8945" s="15">
        <f>IFERROR(__xludf.DUMMYFUNCTION("""COMPUTED_VALUE"""),1.045)</f>
        <v>1.045</v>
      </c>
      <c r="E8945" s="16">
        <f>IFERROR(__xludf.DUMMYFUNCTION("""COMPUTED_VALUE"""),68.0)</f>
        <v>68</v>
      </c>
      <c r="F8945" s="19" t="str">
        <f>IFERROR(__xludf.DUMMYFUNCTION("""COMPUTED_VALUE"""),"BLACK")</f>
        <v>BLACK</v>
      </c>
      <c r="G8945" s="20" t="str">
        <f>IFERROR(__xludf.DUMMYFUNCTION("""COMPUTED_VALUE"""),"Uncle Sams Cider (5/13/2022)")</f>
        <v>Uncle Sams Cider (5/13/2022)</v>
      </c>
      <c r="H8945" s="19"/>
    </row>
    <row r="8946">
      <c r="A8946" s="9"/>
      <c r="B8946" s="15"/>
      <c r="C8946" s="9">
        <f>IFERROR(__xludf.DUMMYFUNCTION("""COMPUTED_VALUE"""),44703.3294428472)</f>
        <v>44703.32944</v>
      </c>
      <c r="D8946" s="15">
        <f>IFERROR(__xludf.DUMMYFUNCTION("""COMPUTED_VALUE"""),1.045)</f>
        <v>1.045</v>
      </c>
      <c r="E8946" s="16">
        <f>IFERROR(__xludf.DUMMYFUNCTION("""COMPUTED_VALUE"""),68.0)</f>
        <v>68</v>
      </c>
      <c r="F8946" s="19" t="str">
        <f>IFERROR(__xludf.DUMMYFUNCTION("""COMPUTED_VALUE"""),"BLACK")</f>
        <v>BLACK</v>
      </c>
      <c r="G8946" s="20" t="str">
        <f>IFERROR(__xludf.DUMMYFUNCTION("""COMPUTED_VALUE"""),"Uncle Sams Cider (5/13/2022)")</f>
        <v>Uncle Sams Cider (5/13/2022)</v>
      </c>
      <c r="H8946" s="19"/>
    </row>
    <row r="8947">
      <c r="A8947" s="9"/>
      <c r="B8947" s="15"/>
      <c r="C8947" s="9">
        <f>IFERROR(__xludf.DUMMYFUNCTION("""COMPUTED_VALUE"""),44703.3190118518)</f>
        <v>44703.31901</v>
      </c>
      <c r="D8947" s="15">
        <f>IFERROR(__xludf.DUMMYFUNCTION("""COMPUTED_VALUE"""),1.045)</f>
        <v>1.045</v>
      </c>
      <c r="E8947" s="16">
        <f>IFERROR(__xludf.DUMMYFUNCTION("""COMPUTED_VALUE"""),68.0)</f>
        <v>68</v>
      </c>
      <c r="F8947" s="19" t="str">
        <f>IFERROR(__xludf.DUMMYFUNCTION("""COMPUTED_VALUE"""),"BLACK")</f>
        <v>BLACK</v>
      </c>
      <c r="G8947" s="20" t="str">
        <f>IFERROR(__xludf.DUMMYFUNCTION("""COMPUTED_VALUE"""),"Uncle Sams Cider (5/13/2022)")</f>
        <v>Uncle Sams Cider (5/13/2022)</v>
      </c>
      <c r="H8947" s="19"/>
    </row>
    <row r="8948">
      <c r="A8948" s="9"/>
      <c r="B8948" s="15"/>
      <c r="C8948" s="9">
        <f>IFERROR(__xludf.DUMMYFUNCTION("""COMPUTED_VALUE"""),44703.3085900925)</f>
        <v>44703.30859</v>
      </c>
      <c r="D8948" s="15">
        <f>IFERROR(__xludf.DUMMYFUNCTION("""COMPUTED_VALUE"""),1.046)</f>
        <v>1.046</v>
      </c>
      <c r="E8948" s="16">
        <f>IFERROR(__xludf.DUMMYFUNCTION("""COMPUTED_VALUE"""),68.0)</f>
        <v>68</v>
      </c>
      <c r="F8948" s="19" t="str">
        <f>IFERROR(__xludf.DUMMYFUNCTION("""COMPUTED_VALUE"""),"BLACK")</f>
        <v>BLACK</v>
      </c>
      <c r="G8948" s="20" t="str">
        <f>IFERROR(__xludf.DUMMYFUNCTION("""COMPUTED_VALUE"""),"Uncle Sams Cider (5/13/2022)")</f>
        <v>Uncle Sams Cider (5/13/2022)</v>
      </c>
      <c r="H8948" s="19"/>
    </row>
    <row r="8949">
      <c r="A8949" s="9"/>
      <c r="B8949" s="15"/>
      <c r="C8949" s="9">
        <f>IFERROR(__xludf.DUMMYFUNCTION("""COMPUTED_VALUE"""),44703.2981454398)</f>
        <v>44703.29815</v>
      </c>
      <c r="D8949" s="15">
        <f>IFERROR(__xludf.DUMMYFUNCTION("""COMPUTED_VALUE"""),1.045)</f>
        <v>1.045</v>
      </c>
      <c r="E8949" s="16">
        <f>IFERROR(__xludf.DUMMYFUNCTION("""COMPUTED_VALUE"""),68.0)</f>
        <v>68</v>
      </c>
      <c r="F8949" s="19" t="str">
        <f>IFERROR(__xludf.DUMMYFUNCTION("""COMPUTED_VALUE"""),"BLACK")</f>
        <v>BLACK</v>
      </c>
      <c r="G8949" s="20" t="str">
        <f>IFERROR(__xludf.DUMMYFUNCTION("""COMPUTED_VALUE"""),"Uncle Sams Cider (5/13/2022)")</f>
        <v>Uncle Sams Cider (5/13/2022)</v>
      </c>
      <c r="H8949" s="19"/>
    </row>
    <row r="8950">
      <c r="A8950" s="9"/>
      <c r="B8950" s="15"/>
      <c r="C8950" s="9">
        <f>IFERROR(__xludf.DUMMYFUNCTION("""COMPUTED_VALUE"""),44703.28772353)</f>
        <v>44703.28772</v>
      </c>
      <c r="D8950" s="15">
        <f>IFERROR(__xludf.DUMMYFUNCTION("""COMPUTED_VALUE"""),1.046)</f>
        <v>1.046</v>
      </c>
      <c r="E8950" s="16">
        <f>IFERROR(__xludf.DUMMYFUNCTION("""COMPUTED_VALUE"""),68.0)</f>
        <v>68</v>
      </c>
      <c r="F8950" s="19" t="str">
        <f>IFERROR(__xludf.DUMMYFUNCTION("""COMPUTED_VALUE"""),"BLACK")</f>
        <v>BLACK</v>
      </c>
      <c r="G8950" s="20" t="str">
        <f>IFERROR(__xludf.DUMMYFUNCTION("""COMPUTED_VALUE"""),"Uncle Sams Cider (5/13/2022)")</f>
        <v>Uncle Sams Cider (5/13/2022)</v>
      </c>
      <c r="H8950" s="19"/>
    </row>
    <row r="8951">
      <c r="A8951" s="9"/>
      <c r="B8951" s="15"/>
      <c r="C8951" s="9">
        <f>IFERROR(__xludf.DUMMYFUNCTION("""COMPUTED_VALUE"""),44703.2773025)</f>
        <v>44703.2773</v>
      </c>
      <c r="D8951" s="15">
        <f>IFERROR(__xludf.DUMMYFUNCTION("""COMPUTED_VALUE"""),1.046)</f>
        <v>1.046</v>
      </c>
      <c r="E8951" s="16">
        <f>IFERROR(__xludf.DUMMYFUNCTION("""COMPUTED_VALUE"""),68.0)</f>
        <v>68</v>
      </c>
      <c r="F8951" s="19" t="str">
        <f>IFERROR(__xludf.DUMMYFUNCTION("""COMPUTED_VALUE"""),"BLACK")</f>
        <v>BLACK</v>
      </c>
      <c r="G8951" s="20" t="str">
        <f>IFERROR(__xludf.DUMMYFUNCTION("""COMPUTED_VALUE"""),"Uncle Sams Cider (5/13/2022)")</f>
        <v>Uncle Sams Cider (5/13/2022)</v>
      </c>
      <c r="H8951" s="19"/>
    </row>
    <row r="8952">
      <c r="A8952" s="9"/>
      <c r="B8952" s="15"/>
      <c r="C8952" s="9">
        <f>IFERROR(__xludf.DUMMYFUNCTION("""COMPUTED_VALUE"""),44703.2668564236)</f>
        <v>44703.26686</v>
      </c>
      <c r="D8952" s="15">
        <f>IFERROR(__xludf.DUMMYFUNCTION("""COMPUTED_VALUE"""),1.046)</f>
        <v>1.046</v>
      </c>
      <c r="E8952" s="16">
        <f>IFERROR(__xludf.DUMMYFUNCTION("""COMPUTED_VALUE"""),68.0)</f>
        <v>68</v>
      </c>
      <c r="F8952" s="19" t="str">
        <f>IFERROR(__xludf.DUMMYFUNCTION("""COMPUTED_VALUE"""),"BLACK")</f>
        <v>BLACK</v>
      </c>
      <c r="G8952" s="20" t="str">
        <f>IFERROR(__xludf.DUMMYFUNCTION("""COMPUTED_VALUE"""),"Uncle Sams Cider (5/13/2022)")</f>
        <v>Uncle Sams Cider (5/13/2022)</v>
      </c>
      <c r="H8952" s="19"/>
    </row>
    <row r="8953">
      <c r="A8953" s="9"/>
      <c r="B8953" s="15"/>
      <c r="C8953" s="9">
        <f>IFERROR(__xludf.DUMMYFUNCTION("""COMPUTED_VALUE"""),44703.2564104629)</f>
        <v>44703.25641</v>
      </c>
      <c r="D8953" s="15">
        <f>IFERROR(__xludf.DUMMYFUNCTION("""COMPUTED_VALUE"""),1.046)</f>
        <v>1.046</v>
      </c>
      <c r="E8953" s="16">
        <f>IFERROR(__xludf.DUMMYFUNCTION("""COMPUTED_VALUE"""),68.0)</f>
        <v>68</v>
      </c>
      <c r="F8953" s="19" t="str">
        <f>IFERROR(__xludf.DUMMYFUNCTION("""COMPUTED_VALUE"""),"BLACK")</f>
        <v>BLACK</v>
      </c>
      <c r="G8953" s="20" t="str">
        <f>IFERROR(__xludf.DUMMYFUNCTION("""COMPUTED_VALUE"""),"Uncle Sams Cider (5/13/2022)")</f>
        <v>Uncle Sams Cider (5/13/2022)</v>
      </c>
      <c r="H8953" s="19"/>
    </row>
    <row r="8954">
      <c r="A8954" s="9"/>
      <c r="B8954" s="15"/>
      <c r="C8954" s="9">
        <f>IFERROR(__xludf.DUMMYFUNCTION("""COMPUTED_VALUE"""),44703.2459535763)</f>
        <v>44703.24595</v>
      </c>
      <c r="D8954" s="15">
        <f>IFERROR(__xludf.DUMMYFUNCTION("""COMPUTED_VALUE"""),1.046)</f>
        <v>1.046</v>
      </c>
      <c r="E8954" s="16">
        <f>IFERROR(__xludf.DUMMYFUNCTION("""COMPUTED_VALUE"""),68.0)</f>
        <v>68</v>
      </c>
      <c r="F8954" s="19" t="str">
        <f>IFERROR(__xludf.DUMMYFUNCTION("""COMPUTED_VALUE"""),"BLACK")</f>
        <v>BLACK</v>
      </c>
      <c r="G8954" s="20" t="str">
        <f>IFERROR(__xludf.DUMMYFUNCTION("""COMPUTED_VALUE"""),"Uncle Sams Cider (5/13/2022)")</f>
        <v>Uncle Sams Cider (5/13/2022)</v>
      </c>
      <c r="H8954" s="19"/>
    </row>
    <row r="8955">
      <c r="A8955" s="9"/>
      <c r="B8955" s="15"/>
      <c r="C8955" s="9">
        <f>IFERROR(__xludf.DUMMYFUNCTION("""COMPUTED_VALUE"""),44703.2355222685)</f>
        <v>44703.23552</v>
      </c>
      <c r="D8955" s="15">
        <f>IFERROR(__xludf.DUMMYFUNCTION("""COMPUTED_VALUE"""),1.046)</f>
        <v>1.046</v>
      </c>
      <c r="E8955" s="16">
        <f>IFERROR(__xludf.DUMMYFUNCTION("""COMPUTED_VALUE"""),68.0)</f>
        <v>68</v>
      </c>
      <c r="F8955" s="19" t="str">
        <f>IFERROR(__xludf.DUMMYFUNCTION("""COMPUTED_VALUE"""),"BLACK")</f>
        <v>BLACK</v>
      </c>
      <c r="G8955" s="20" t="str">
        <f>IFERROR(__xludf.DUMMYFUNCTION("""COMPUTED_VALUE"""),"Uncle Sams Cider (5/13/2022)")</f>
        <v>Uncle Sams Cider (5/13/2022)</v>
      </c>
      <c r="H8955" s="19"/>
    </row>
    <row r="8956">
      <c r="A8956" s="9"/>
      <c r="B8956" s="15"/>
      <c r="C8956" s="9">
        <f>IFERROR(__xludf.DUMMYFUNCTION("""COMPUTED_VALUE"""),44703.2251001504)</f>
        <v>44703.2251</v>
      </c>
      <c r="D8956" s="15">
        <f>IFERROR(__xludf.DUMMYFUNCTION("""COMPUTED_VALUE"""),1.046)</f>
        <v>1.046</v>
      </c>
      <c r="E8956" s="16">
        <f>IFERROR(__xludf.DUMMYFUNCTION("""COMPUTED_VALUE"""),68.0)</f>
        <v>68</v>
      </c>
      <c r="F8956" s="19" t="str">
        <f>IFERROR(__xludf.DUMMYFUNCTION("""COMPUTED_VALUE"""),"BLACK")</f>
        <v>BLACK</v>
      </c>
      <c r="G8956" s="20" t="str">
        <f>IFERROR(__xludf.DUMMYFUNCTION("""COMPUTED_VALUE"""),"Uncle Sams Cider (5/13/2022)")</f>
        <v>Uncle Sams Cider (5/13/2022)</v>
      </c>
      <c r="H8956" s="19"/>
    </row>
    <row r="8957">
      <c r="A8957" s="9"/>
      <c r="B8957" s="15"/>
      <c r="C8957" s="9">
        <f>IFERROR(__xludf.DUMMYFUNCTION("""COMPUTED_VALUE"""),44703.2146554861)</f>
        <v>44703.21466</v>
      </c>
      <c r="D8957" s="15">
        <f>IFERROR(__xludf.DUMMYFUNCTION("""COMPUTED_VALUE"""),1.046)</f>
        <v>1.046</v>
      </c>
      <c r="E8957" s="16">
        <f>IFERROR(__xludf.DUMMYFUNCTION("""COMPUTED_VALUE"""),68.0)</f>
        <v>68</v>
      </c>
      <c r="F8957" s="19" t="str">
        <f>IFERROR(__xludf.DUMMYFUNCTION("""COMPUTED_VALUE"""),"BLACK")</f>
        <v>BLACK</v>
      </c>
      <c r="G8957" s="20" t="str">
        <f>IFERROR(__xludf.DUMMYFUNCTION("""COMPUTED_VALUE"""),"Uncle Sams Cider (5/13/2022)")</f>
        <v>Uncle Sams Cider (5/13/2022)</v>
      </c>
      <c r="H8957" s="19"/>
    </row>
    <row r="8958">
      <c r="A8958" s="9"/>
      <c r="B8958" s="15"/>
      <c r="C8958" s="9">
        <f>IFERROR(__xludf.DUMMYFUNCTION("""COMPUTED_VALUE"""),44703.2042238194)</f>
        <v>44703.20422</v>
      </c>
      <c r="D8958" s="15">
        <f>IFERROR(__xludf.DUMMYFUNCTION("""COMPUTED_VALUE"""),1.046)</f>
        <v>1.046</v>
      </c>
      <c r="E8958" s="16">
        <f>IFERROR(__xludf.DUMMYFUNCTION("""COMPUTED_VALUE"""),68.0)</f>
        <v>68</v>
      </c>
      <c r="F8958" s="19" t="str">
        <f>IFERROR(__xludf.DUMMYFUNCTION("""COMPUTED_VALUE"""),"BLACK")</f>
        <v>BLACK</v>
      </c>
      <c r="G8958" s="20" t="str">
        <f>IFERROR(__xludf.DUMMYFUNCTION("""COMPUTED_VALUE"""),"Uncle Sams Cider (5/13/2022)")</f>
        <v>Uncle Sams Cider (5/13/2022)</v>
      </c>
      <c r="H8958" s="19"/>
    </row>
    <row r="8959">
      <c r="A8959" s="9"/>
      <c r="B8959" s="15"/>
      <c r="C8959" s="9">
        <f>IFERROR(__xludf.DUMMYFUNCTION("""COMPUTED_VALUE"""),44703.1937915162)</f>
        <v>44703.19379</v>
      </c>
      <c r="D8959" s="15">
        <f>IFERROR(__xludf.DUMMYFUNCTION("""COMPUTED_VALUE"""),1.046)</f>
        <v>1.046</v>
      </c>
      <c r="E8959" s="16">
        <f>IFERROR(__xludf.DUMMYFUNCTION("""COMPUTED_VALUE"""),68.0)</f>
        <v>68</v>
      </c>
      <c r="F8959" s="19" t="str">
        <f>IFERROR(__xludf.DUMMYFUNCTION("""COMPUTED_VALUE"""),"BLACK")</f>
        <v>BLACK</v>
      </c>
      <c r="G8959" s="20" t="str">
        <f>IFERROR(__xludf.DUMMYFUNCTION("""COMPUTED_VALUE"""),"Uncle Sams Cider (5/13/2022)")</f>
        <v>Uncle Sams Cider (5/13/2022)</v>
      </c>
      <c r="H8959" s="19"/>
    </row>
    <row r="8960">
      <c r="A8960" s="9"/>
      <c r="B8960" s="15"/>
      <c r="C8960" s="9">
        <f>IFERROR(__xludf.DUMMYFUNCTION("""COMPUTED_VALUE"""),44703.1833680324)</f>
        <v>44703.18337</v>
      </c>
      <c r="D8960" s="15">
        <f>IFERROR(__xludf.DUMMYFUNCTION("""COMPUTED_VALUE"""),1.046)</f>
        <v>1.046</v>
      </c>
      <c r="E8960" s="16">
        <f>IFERROR(__xludf.DUMMYFUNCTION("""COMPUTED_VALUE"""),68.0)</f>
        <v>68</v>
      </c>
      <c r="F8960" s="19" t="str">
        <f>IFERROR(__xludf.DUMMYFUNCTION("""COMPUTED_VALUE"""),"BLACK")</f>
        <v>BLACK</v>
      </c>
      <c r="G8960" s="20" t="str">
        <f>IFERROR(__xludf.DUMMYFUNCTION("""COMPUTED_VALUE"""),"Uncle Sams Cider (5/13/2022)")</f>
        <v>Uncle Sams Cider (5/13/2022)</v>
      </c>
      <c r="H8960" s="19"/>
    </row>
    <row r="8961">
      <c r="A8961" s="9"/>
      <c r="B8961" s="15"/>
      <c r="C8961" s="9">
        <f>IFERROR(__xludf.DUMMYFUNCTION("""COMPUTED_VALUE"""),44703.1729357175)</f>
        <v>44703.17294</v>
      </c>
      <c r="D8961" s="15">
        <f>IFERROR(__xludf.DUMMYFUNCTION("""COMPUTED_VALUE"""),1.046)</f>
        <v>1.046</v>
      </c>
      <c r="E8961" s="16">
        <f>IFERROR(__xludf.DUMMYFUNCTION("""COMPUTED_VALUE"""),68.0)</f>
        <v>68</v>
      </c>
      <c r="F8961" s="19" t="str">
        <f>IFERROR(__xludf.DUMMYFUNCTION("""COMPUTED_VALUE"""),"BLACK")</f>
        <v>BLACK</v>
      </c>
      <c r="G8961" s="20" t="str">
        <f>IFERROR(__xludf.DUMMYFUNCTION("""COMPUTED_VALUE"""),"Uncle Sams Cider (5/13/2022)")</f>
        <v>Uncle Sams Cider (5/13/2022)</v>
      </c>
      <c r="H8961" s="19"/>
    </row>
    <row r="8962">
      <c r="A8962" s="9"/>
      <c r="B8962" s="15"/>
      <c r="C8962" s="9">
        <f>IFERROR(__xludf.DUMMYFUNCTION("""COMPUTED_VALUE"""),44703.1625132986)</f>
        <v>44703.16251</v>
      </c>
      <c r="D8962" s="15">
        <f>IFERROR(__xludf.DUMMYFUNCTION("""COMPUTED_VALUE"""),1.046)</f>
        <v>1.046</v>
      </c>
      <c r="E8962" s="16">
        <f>IFERROR(__xludf.DUMMYFUNCTION("""COMPUTED_VALUE"""),68.0)</f>
        <v>68</v>
      </c>
      <c r="F8962" s="19" t="str">
        <f>IFERROR(__xludf.DUMMYFUNCTION("""COMPUTED_VALUE"""),"BLACK")</f>
        <v>BLACK</v>
      </c>
      <c r="G8962" s="20" t="str">
        <f>IFERROR(__xludf.DUMMYFUNCTION("""COMPUTED_VALUE"""),"Uncle Sams Cider (5/13/2022)")</f>
        <v>Uncle Sams Cider (5/13/2022)</v>
      </c>
      <c r="H8962" s="19"/>
    </row>
    <row r="8963">
      <c r="A8963" s="9"/>
      <c r="B8963" s="15"/>
      <c r="C8963" s="9">
        <f>IFERROR(__xludf.DUMMYFUNCTION("""COMPUTED_VALUE"""),44703.1520908449)</f>
        <v>44703.15209</v>
      </c>
      <c r="D8963" s="15">
        <f>IFERROR(__xludf.DUMMYFUNCTION("""COMPUTED_VALUE"""),1.046)</f>
        <v>1.046</v>
      </c>
      <c r="E8963" s="16">
        <f>IFERROR(__xludf.DUMMYFUNCTION("""COMPUTED_VALUE"""),68.0)</f>
        <v>68</v>
      </c>
      <c r="F8963" s="19" t="str">
        <f>IFERROR(__xludf.DUMMYFUNCTION("""COMPUTED_VALUE"""),"BLACK")</f>
        <v>BLACK</v>
      </c>
      <c r="G8963" s="20" t="str">
        <f>IFERROR(__xludf.DUMMYFUNCTION("""COMPUTED_VALUE"""),"Uncle Sams Cider (5/13/2022)")</f>
        <v>Uncle Sams Cider (5/13/2022)</v>
      </c>
      <c r="H8963" s="19"/>
    </row>
    <row r="8964">
      <c r="A8964" s="9"/>
      <c r="B8964" s="15"/>
      <c r="C8964" s="9">
        <f>IFERROR(__xludf.DUMMYFUNCTION("""COMPUTED_VALUE"""),44703.1416690856)</f>
        <v>44703.14167</v>
      </c>
      <c r="D8964" s="15">
        <f>IFERROR(__xludf.DUMMYFUNCTION("""COMPUTED_VALUE"""),1.046)</f>
        <v>1.046</v>
      </c>
      <c r="E8964" s="16">
        <f>IFERROR(__xludf.DUMMYFUNCTION("""COMPUTED_VALUE"""),68.0)</f>
        <v>68</v>
      </c>
      <c r="F8964" s="19" t="str">
        <f>IFERROR(__xludf.DUMMYFUNCTION("""COMPUTED_VALUE"""),"BLACK")</f>
        <v>BLACK</v>
      </c>
      <c r="G8964" s="20" t="str">
        <f>IFERROR(__xludf.DUMMYFUNCTION("""COMPUTED_VALUE"""),"Uncle Sams Cider (5/13/2022)")</f>
        <v>Uncle Sams Cider (5/13/2022)</v>
      </c>
      <c r="H8964" s="19"/>
    </row>
    <row r="8965">
      <c r="A8965" s="9"/>
      <c r="B8965" s="15"/>
      <c r="C8965" s="9">
        <f>IFERROR(__xludf.DUMMYFUNCTION("""COMPUTED_VALUE"""),44703.1312475694)</f>
        <v>44703.13125</v>
      </c>
      <c r="D8965" s="15">
        <f>IFERROR(__xludf.DUMMYFUNCTION("""COMPUTED_VALUE"""),1.046)</f>
        <v>1.046</v>
      </c>
      <c r="E8965" s="16">
        <f>IFERROR(__xludf.DUMMYFUNCTION("""COMPUTED_VALUE"""),68.0)</f>
        <v>68</v>
      </c>
      <c r="F8965" s="19" t="str">
        <f>IFERROR(__xludf.DUMMYFUNCTION("""COMPUTED_VALUE"""),"BLACK")</f>
        <v>BLACK</v>
      </c>
      <c r="G8965" s="20" t="str">
        <f>IFERROR(__xludf.DUMMYFUNCTION("""COMPUTED_VALUE"""),"Uncle Sams Cider (5/13/2022)")</f>
        <v>Uncle Sams Cider (5/13/2022)</v>
      </c>
      <c r="H8965" s="19"/>
    </row>
    <row r="8966">
      <c r="A8966" s="9"/>
      <c r="B8966" s="15"/>
      <c r="C8966" s="9">
        <f>IFERROR(__xludf.DUMMYFUNCTION("""COMPUTED_VALUE"""),44703.1208029398)</f>
        <v>44703.1208</v>
      </c>
      <c r="D8966" s="15">
        <f>IFERROR(__xludf.DUMMYFUNCTION("""COMPUTED_VALUE"""),1.046)</f>
        <v>1.046</v>
      </c>
      <c r="E8966" s="16">
        <f>IFERROR(__xludf.DUMMYFUNCTION("""COMPUTED_VALUE"""),68.0)</f>
        <v>68</v>
      </c>
      <c r="F8966" s="19" t="str">
        <f>IFERROR(__xludf.DUMMYFUNCTION("""COMPUTED_VALUE"""),"BLACK")</f>
        <v>BLACK</v>
      </c>
      <c r="G8966" s="20" t="str">
        <f>IFERROR(__xludf.DUMMYFUNCTION("""COMPUTED_VALUE"""),"Uncle Sams Cider (5/13/2022)")</f>
        <v>Uncle Sams Cider (5/13/2022)</v>
      </c>
      <c r="H8966" s="19"/>
    </row>
    <row r="8967">
      <c r="A8967" s="9"/>
      <c r="B8967" s="15"/>
      <c r="C8967" s="9">
        <f>IFERROR(__xludf.DUMMYFUNCTION("""COMPUTED_VALUE"""),44703.1103831481)</f>
        <v>44703.11038</v>
      </c>
      <c r="D8967" s="15">
        <f>IFERROR(__xludf.DUMMYFUNCTION("""COMPUTED_VALUE"""),1.047)</f>
        <v>1.047</v>
      </c>
      <c r="E8967" s="16">
        <f>IFERROR(__xludf.DUMMYFUNCTION("""COMPUTED_VALUE"""),68.0)</f>
        <v>68</v>
      </c>
      <c r="F8967" s="19" t="str">
        <f>IFERROR(__xludf.DUMMYFUNCTION("""COMPUTED_VALUE"""),"BLACK")</f>
        <v>BLACK</v>
      </c>
      <c r="G8967" s="20" t="str">
        <f>IFERROR(__xludf.DUMMYFUNCTION("""COMPUTED_VALUE"""),"Uncle Sams Cider (5/13/2022)")</f>
        <v>Uncle Sams Cider (5/13/2022)</v>
      </c>
      <c r="H8967" s="19"/>
    </row>
    <row r="8968">
      <c r="A8968" s="9"/>
      <c r="B8968" s="15"/>
      <c r="C8968" s="9">
        <f>IFERROR(__xludf.DUMMYFUNCTION("""COMPUTED_VALUE"""),44703.0999507407)</f>
        <v>44703.09995</v>
      </c>
      <c r="D8968" s="15">
        <f>IFERROR(__xludf.DUMMYFUNCTION("""COMPUTED_VALUE"""),1.047)</f>
        <v>1.047</v>
      </c>
      <c r="E8968" s="16">
        <f>IFERROR(__xludf.DUMMYFUNCTION("""COMPUTED_VALUE"""),68.0)</f>
        <v>68</v>
      </c>
      <c r="F8968" s="19" t="str">
        <f>IFERROR(__xludf.DUMMYFUNCTION("""COMPUTED_VALUE"""),"BLACK")</f>
        <v>BLACK</v>
      </c>
      <c r="G8968" s="20" t="str">
        <f>IFERROR(__xludf.DUMMYFUNCTION("""COMPUTED_VALUE"""),"Uncle Sams Cider (5/13/2022)")</f>
        <v>Uncle Sams Cider (5/13/2022)</v>
      </c>
      <c r="H8968" s="19"/>
    </row>
    <row r="8969">
      <c r="A8969" s="9"/>
      <c r="B8969" s="15"/>
      <c r="C8969" s="9">
        <f>IFERROR(__xludf.DUMMYFUNCTION("""COMPUTED_VALUE"""),44703.0895292245)</f>
        <v>44703.08953</v>
      </c>
      <c r="D8969" s="15">
        <f>IFERROR(__xludf.DUMMYFUNCTION("""COMPUTED_VALUE"""),1.047)</f>
        <v>1.047</v>
      </c>
      <c r="E8969" s="16">
        <f>IFERROR(__xludf.DUMMYFUNCTION("""COMPUTED_VALUE"""),68.0)</f>
        <v>68</v>
      </c>
      <c r="F8969" s="19" t="str">
        <f>IFERROR(__xludf.DUMMYFUNCTION("""COMPUTED_VALUE"""),"BLACK")</f>
        <v>BLACK</v>
      </c>
      <c r="G8969" s="20" t="str">
        <f>IFERROR(__xludf.DUMMYFUNCTION("""COMPUTED_VALUE"""),"Uncle Sams Cider (5/13/2022)")</f>
        <v>Uncle Sams Cider (5/13/2022)</v>
      </c>
      <c r="H8969" s="19"/>
    </row>
    <row r="8970">
      <c r="A8970" s="9"/>
      <c r="B8970" s="15"/>
      <c r="C8970" s="9">
        <f>IFERROR(__xludf.DUMMYFUNCTION("""COMPUTED_VALUE"""),44703.0791078472)</f>
        <v>44703.07911</v>
      </c>
      <c r="D8970" s="15">
        <f>IFERROR(__xludf.DUMMYFUNCTION("""COMPUTED_VALUE"""),1.047)</f>
        <v>1.047</v>
      </c>
      <c r="E8970" s="16">
        <f>IFERROR(__xludf.DUMMYFUNCTION("""COMPUTED_VALUE"""),68.0)</f>
        <v>68</v>
      </c>
      <c r="F8970" s="19" t="str">
        <f>IFERROR(__xludf.DUMMYFUNCTION("""COMPUTED_VALUE"""),"BLACK")</f>
        <v>BLACK</v>
      </c>
      <c r="G8970" s="20" t="str">
        <f>IFERROR(__xludf.DUMMYFUNCTION("""COMPUTED_VALUE"""),"Uncle Sams Cider (5/13/2022)")</f>
        <v>Uncle Sams Cider (5/13/2022)</v>
      </c>
      <c r="H8970" s="19"/>
    </row>
    <row r="8971">
      <c r="A8971" s="9"/>
      <c r="B8971" s="15"/>
      <c r="C8971" s="9">
        <f>IFERROR(__xludf.DUMMYFUNCTION("""COMPUTED_VALUE"""),44703.0686868287)</f>
        <v>44703.06869</v>
      </c>
      <c r="D8971" s="15">
        <f>IFERROR(__xludf.DUMMYFUNCTION("""COMPUTED_VALUE"""),1.047)</f>
        <v>1.047</v>
      </c>
      <c r="E8971" s="16">
        <f>IFERROR(__xludf.DUMMYFUNCTION("""COMPUTED_VALUE"""),68.0)</f>
        <v>68</v>
      </c>
      <c r="F8971" s="19" t="str">
        <f>IFERROR(__xludf.DUMMYFUNCTION("""COMPUTED_VALUE"""),"BLACK")</f>
        <v>BLACK</v>
      </c>
      <c r="G8971" s="20" t="str">
        <f>IFERROR(__xludf.DUMMYFUNCTION("""COMPUTED_VALUE"""),"Uncle Sams Cider (5/13/2022)")</f>
        <v>Uncle Sams Cider (5/13/2022)</v>
      </c>
      <c r="H8971" s="19"/>
    </row>
    <row r="8972">
      <c r="A8972" s="9"/>
      <c r="B8972" s="15"/>
      <c r="C8972" s="9">
        <f>IFERROR(__xludf.DUMMYFUNCTION("""COMPUTED_VALUE"""),44703.0582629513)</f>
        <v>44703.05826</v>
      </c>
      <c r="D8972" s="15">
        <f>IFERROR(__xludf.DUMMYFUNCTION("""COMPUTED_VALUE"""),1.047)</f>
        <v>1.047</v>
      </c>
      <c r="E8972" s="16">
        <f>IFERROR(__xludf.DUMMYFUNCTION("""COMPUTED_VALUE"""),68.0)</f>
        <v>68</v>
      </c>
      <c r="F8972" s="19" t="str">
        <f>IFERROR(__xludf.DUMMYFUNCTION("""COMPUTED_VALUE"""),"BLACK")</f>
        <v>BLACK</v>
      </c>
      <c r="G8972" s="20" t="str">
        <f>IFERROR(__xludf.DUMMYFUNCTION("""COMPUTED_VALUE"""),"Uncle Sams Cider (5/13/2022)")</f>
        <v>Uncle Sams Cider (5/13/2022)</v>
      </c>
      <c r="H8972" s="19"/>
    </row>
    <row r="8973">
      <c r="A8973" s="9"/>
      <c r="B8973" s="15"/>
      <c r="C8973" s="9">
        <f>IFERROR(__xludf.DUMMYFUNCTION("""COMPUTED_VALUE"""),44703.0478305439)</f>
        <v>44703.04783</v>
      </c>
      <c r="D8973" s="15">
        <f>IFERROR(__xludf.DUMMYFUNCTION("""COMPUTED_VALUE"""),1.047)</f>
        <v>1.047</v>
      </c>
      <c r="E8973" s="16">
        <f>IFERROR(__xludf.DUMMYFUNCTION("""COMPUTED_VALUE"""),67.0)</f>
        <v>67</v>
      </c>
      <c r="F8973" s="19" t="str">
        <f>IFERROR(__xludf.DUMMYFUNCTION("""COMPUTED_VALUE"""),"BLACK")</f>
        <v>BLACK</v>
      </c>
      <c r="G8973" s="20" t="str">
        <f>IFERROR(__xludf.DUMMYFUNCTION("""COMPUTED_VALUE"""),"Uncle Sams Cider (5/13/2022)")</f>
        <v>Uncle Sams Cider (5/13/2022)</v>
      </c>
      <c r="H8973" s="19"/>
    </row>
    <row r="8974">
      <c r="A8974" s="9"/>
      <c r="B8974" s="15"/>
      <c r="C8974" s="9">
        <f>IFERROR(__xludf.DUMMYFUNCTION("""COMPUTED_VALUE"""),44703.0373962731)</f>
        <v>44703.0374</v>
      </c>
      <c r="D8974" s="15">
        <f>IFERROR(__xludf.DUMMYFUNCTION("""COMPUTED_VALUE"""),1.047)</f>
        <v>1.047</v>
      </c>
      <c r="E8974" s="16">
        <f>IFERROR(__xludf.DUMMYFUNCTION("""COMPUTED_VALUE"""),67.0)</f>
        <v>67</v>
      </c>
      <c r="F8974" s="19" t="str">
        <f>IFERROR(__xludf.DUMMYFUNCTION("""COMPUTED_VALUE"""),"BLACK")</f>
        <v>BLACK</v>
      </c>
      <c r="G8974" s="20" t="str">
        <f>IFERROR(__xludf.DUMMYFUNCTION("""COMPUTED_VALUE"""),"Uncle Sams Cider (5/13/2022)")</f>
        <v>Uncle Sams Cider (5/13/2022)</v>
      </c>
      <c r="H8974" s="19"/>
    </row>
    <row r="8975">
      <c r="A8975" s="9"/>
      <c r="B8975" s="15"/>
      <c r="C8975" s="9">
        <f>IFERROR(__xludf.DUMMYFUNCTION("""COMPUTED_VALUE"""),44703.0269739351)</f>
        <v>44703.02697</v>
      </c>
      <c r="D8975" s="15">
        <f>IFERROR(__xludf.DUMMYFUNCTION("""COMPUTED_VALUE"""),1.047)</f>
        <v>1.047</v>
      </c>
      <c r="E8975" s="16">
        <f>IFERROR(__xludf.DUMMYFUNCTION("""COMPUTED_VALUE"""),68.0)</f>
        <v>68</v>
      </c>
      <c r="F8975" s="19" t="str">
        <f>IFERROR(__xludf.DUMMYFUNCTION("""COMPUTED_VALUE"""),"BLACK")</f>
        <v>BLACK</v>
      </c>
      <c r="G8975" s="20" t="str">
        <f>IFERROR(__xludf.DUMMYFUNCTION("""COMPUTED_VALUE"""),"Uncle Sams Cider (5/13/2022)")</f>
        <v>Uncle Sams Cider (5/13/2022)</v>
      </c>
      <c r="H8975" s="19"/>
    </row>
    <row r="8976">
      <c r="A8976" s="9"/>
      <c r="B8976" s="15"/>
      <c r="C8976" s="9">
        <f>IFERROR(__xludf.DUMMYFUNCTION("""COMPUTED_VALUE"""),44703.0165516435)</f>
        <v>44703.01655</v>
      </c>
      <c r="D8976" s="15">
        <f>IFERROR(__xludf.DUMMYFUNCTION("""COMPUTED_VALUE"""),1.047)</f>
        <v>1.047</v>
      </c>
      <c r="E8976" s="16">
        <f>IFERROR(__xludf.DUMMYFUNCTION("""COMPUTED_VALUE"""),67.0)</f>
        <v>67</v>
      </c>
      <c r="F8976" s="19" t="str">
        <f>IFERROR(__xludf.DUMMYFUNCTION("""COMPUTED_VALUE"""),"BLACK")</f>
        <v>BLACK</v>
      </c>
      <c r="G8976" s="20" t="str">
        <f>IFERROR(__xludf.DUMMYFUNCTION("""COMPUTED_VALUE"""),"Uncle Sams Cider (5/13/2022)")</f>
        <v>Uncle Sams Cider (5/13/2022)</v>
      </c>
      <c r="H8976" s="19"/>
    </row>
    <row r="8977">
      <c r="A8977" s="9"/>
      <c r="B8977" s="15"/>
      <c r="C8977" s="9">
        <f>IFERROR(__xludf.DUMMYFUNCTION("""COMPUTED_VALUE"""),44703.0061173842)</f>
        <v>44703.00612</v>
      </c>
      <c r="D8977" s="15">
        <f>IFERROR(__xludf.DUMMYFUNCTION("""COMPUTED_VALUE"""),1.047)</f>
        <v>1.047</v>
      </c>
      <c r="E8977" s="16">
        <f>IFERROR(__xludf.DUMMYFUNCTION("""COMPUTED_VALUE"""),67.0)</f>
        <v>67</v>
      </c>
      <c r="F8977" s="19" t="str">
        <f>IFERROR(__xludf.DUMMYFUNCTION("""COMPUTED_VALUE"""),"BLACK")</f>
        <v>BLACK</v>
      </c>
      <c r="G8977" s="20" t="str">
        <f>IFERROR(__xludf.DUMMYFUNCTION("""COMPUTED_VALUE"""),"Uncle Sams Cider (5/13/2022)")</f>
        <v>Uncle Sams Cider (5/13/2022)</v>
      </c>
      <c r="H8977" s="19"/>
    </row>
    <row r="8978">
      <c r="A8978" s="9"/>
      <c r="B8978" s="15"/>
      <c r="C8978" s="9">
        <f>IFERROR(__xludf.DUMMYFUNCTION("""COMPUTED_VALUE"""),44702.9956736111)</f>
        <v>44702.99567</v>
      </c>
      <c r="D8978" s="15">
        <f>IFERROR(__xludf.DUMMYFUNCTION("""COMPUTED_VALUE"""),1.047)</f>
        <v>1.047</v>
      </c>
      <c r="E8978" s="16">
        <f>IFERROR(__xludf.DUMMYFUNCTION("""COMPUTED_VALUE"""),67.0)</f>
        <v>67</v>
      </c>
      <c r="F8978" s="19" t="str">
        <f>IFERROR(__xludf.DUMMYFUNCTION("""COMPUTED_VALUE"""),"BLACK")</f>
        <v>BLACK</v>
      </c>
      <c r="G8978" s="20" t="str">
        <f>IFERROR(__xludf.DUMMYFUNCTION("""COMPUTED_VALUE"""),"Uncle Sams Cider (5/13/2022)")</f>
        <v>Uncle Sams Cider (5/13/2022)</v>
      </c>
      <c r="H8978" s="19"/>
    </row>
    <row r="8979">
      <c r="A8979" s="9"/>
      <c r="B8979" s="15"/>
      <c r="C8979" s="9">
        <f>IFERROR(__xludf.DUMMYFUNCTION("""COMPUTED_VALUE"""),44702.9852544213)</f>
        <v>44702.98525</v>
      </c>
      <c r="D8979" s="15">
        <f>IFERROR(__xludf.DUMMYFUNCTION("""COMPUTED_VALUE"""),1.047)</f>
        <v>1.047</v>
      </c>
      <c r="E8979" s="16">
        <f>IFERROR(__xludf.DUMMYFUNCTION("""COMPUTED_VALUE"""),67.0)</f>
        <v>67</v>
      </c>
      <c r="F8979" s="19" t="str">
        <f>IFERROR(__xludf.DUMMYFUNCTION("""COMPUTED_VALUE"""),"BLACK")</f>
        <v>BLACK</v>
      </c>
      <c r="G8979" s="20" t="str">
        <f>IFERROR(__xludf.DUMMYFUNCTION("""COMPUTED_VALUE"""),"Uncle Sams Cider (5/13/2022)")</f>
        <v>Uncle Sams Cider (5/13/2022)</v>
      </c>
      <c r="H8979" s="19"/>
    </row>
    <row r="8980">
      <c r="A8980" s="9"/>
      <c r="B8980" s="15"/>
      <c r="C8980" s="9">
        <f>IFERROR(__xludf.DUMMYFUNCTION("""COMPUTED_VALUE"""),44702.9748337268)</f>
        <v>44702.97483</v>
      </c>
      <c r="D8980" s="15">
        <f>IFERROR(__xludf.DUMMYFUNCTION("""COMPUTED_VALUE"""),1.047)</f>
        <v>1.047</v>
      </c>
      <c r="E8980" s="16">
        <f>IFERROR(__xludf.DUMMYFUNCTION("""COMPUTED_VALUE"""),67.0)</f>
        <v>67</v>
      </c>
      <c r="F8980" s="19" t="str">
        <f>IFERROR(__xludf.DUMMYFUNCTION("""COMPUTED_VALUE"""),"BLACK")</f>
        <v>BLACK</v>
      </c>
      <c r="G8980" s="20" t="str">
        <f>IFERROR(__xludf.DUMMYFUNCTION("""COMPUTED_VALUE"""),"Uncle Sams Cider (5/13/2022)")</f>
        <v>Uncle Sams Cider (5/13/2022)</v>
      </c>
      <c r="H8980" s="19"/>
    </row>
    <row r="8981">
      <c r="A8981" s="9"/>
      <c r="B8981" s="15"/>
      <c r="C8981" s="9">
        <f>IFERROR(__xludf.DUMMYFUNCTION("""COMPUTED_VALUE"""),44702.9643889814)</f>
        <v>44702.96439</v>
      </c>
      <c r="D8981" s="15">
        <f>IFERROR(__xludf.DUMMYFUNCTION("""COMPUTED_VALUE"""),1.047)</f>
        <v>1.047</v>
      </c>
      <c r="E8981" s="16">
        <f>IFERROR(__xludf.DUMMYFUNCTION("""COMPUTED_VALUE"""),67.0)</f>
        <v>67</v>
      </c>
      <c r="F8981" s="19" t="str">
        <f>IFERROR(__xludf.DUMMYFUNCTION("""COMPUTED_VALUE"""),"BLACK")</f>
        <v>BLACK</v>
      </c>
      <c r="G8981" s="20" t="str">
        <f>IFERROR(__xludf.DUMMYFUNCTION("""COMPUTED_VALUE"""),"Uncle Sams Cider (5/13/2022)")</f>
        <v>Uncle Sams Cider (5/13/2022)</v>
      </c>
      <c r="H8981" s="19"/>
    </row>
    <row r="8982">
      <c r="A8982" s="9"/>
      <c r="B8982" s="15"/>
      <c r="C8982" s="9">
        <f>IFERROR(__xludf.DUMMYFUNCTION("""COMPUTED_VALUE"""),44702.9539663773)</f>
        <v>44702.95397</v>
      </c>
      <c r="D8982" s="15">
        <f>IFERROR(__xludf.DUMMYFUNCTION("""COMPUTED_VALUE"""),1.047)</f>
        <v>1.047</v>
      </c>
      <c r="E8982" s="16">
        <f>IFERROR(__xludf.DUMMYFUNCTION("""COMPUTED_VALUE"""),67.0)</f>
        <v>67</v>
      </c>
      <c r="F8982" s="19" t="str">
        <f>IFERROR(__xludf.DUMMYFUNCTION("""COMPUTED_VALUE"""),"BLACK")</f>
        <v>BLACK</v>
      </c>
      <c r="G8982" s="20" t="str">
        <f>IFERROR(__xludf.DUMMYFUNCTION("""COMPUTED_VALUE"""),"Uncle Sams Cider (5/13/2022)")</f>
        <v>Uncle Sams Cider (5/13/2022)</v>
      </c>
      <c r="H8982" s="19"/>
    </row>
    <row r="8983">
      <c r="A8983" s="9"/>
      <c r="B8983" s="15"/>
      <c r="C8983" s="9">
        <f>IFERROR(__xludf.DUMMYFUNCTION("""COMPUTED_VALUE"""),44702.9435472569)</f>
        <v>44702.94355</v>
      </c>
      <c r="D8983" s="15">
        <f>IFERROR(__xludf.DUMMYFUNCTION("""COMPUTED_VALUE"""),1.048)</f>
        <v>1.048</v>
      </c>
      <c r="E8983" s="16">
        <f>IFERROR(__xludf.DUMMYFUNCTION("""COMPUTED_VALUE"""),67.0)</f>
        <v>67</v>
      </c>
      <c r="F8983" s="19" t="str">
        <f>IFERROR(__xludf.DUMMYFUNCTION("""COMPUTED_VALUE"""),"BLACK")</f>
        <v>BLACK</v>
      </c>
      <c r="G8983" s="20" t="str">
        <f>IFERROR(__xludf.DUMMYFUNCTION("""COMPUTED_VALUE"""),"Uncle Sams Cider (5/13/2022)")</f>
        <v>Uncle Sams Cider (5/13/2022)</v>
      </c>
      <c r="H8983" s="19"/>
    </row>
    <row r="8984">
      <c r="A8984" s="9"/>
      <c r="B8984" s="15"/>
      <c r="C8984" s="9">
        <f>IFERROR(__xludf.DUMMYFUNCTION("""COMPUTED_VALUE"""),44702.9331260532)</f>
        <v>44702.93313</v>
      </c>
      <c r="D8984" s="15">
        <f>IFERROR(__xludf.DUMMYFUNCTION("""COMPUTED_VALUE"""),1.047)</f>
        <v>1.047</v>
      </c>
      <c r="E8984" s="16">
        <f>IFERROR(__xludf.DUMMYFUNCTION("""COMPUTED_VALUE"""),67.0)</f>
        <v>67</v>
      </c>
      <c r="F8984" s="19" t="str">
        <f>IFERROR(__xludf.DUMMYFUNCTION("""COMPUTED_VALUE"""),"BLACK")</f>
        <v>BLACK</v>
      </c>
      <c r="G8984" s="20" t="str">
        <f>IFERROR(__xludf.DUMMYFUNCTION("""COMPUTED_VALUE"""),"Uncle Sams Cider (5/13/2022)")</f>
        <v>Uncle Sams Cider (5/13/2022)</v>
      </c>
      <c r="H8984" s="19"/>
    </row>
    <row r="8985">
      <c r="A8985" s="9"/>
      <c r="B8985" s="15"/>
      <c r="C8985" s="9">
        <f>IFERROR(__xludf.DUMMYFUNCTION("""COMPUTED_VALUE"""),44702.9226937037)</f>
        <v>44702.92269</v>
      </c>
      <c r="D8985" s="15">
        <f>IFERROR(__xludf.DUMMYFUNCTION("""COMPUTED_VALUE"""),1.047)</f>
        <v>1.047</v>
      </c>
      <c r="E8985" s="16">
        <f>IFERROR(__xludf.DUMMYFUNCTION("""COMPUTED_VALUE"""),67.0)</f>
        <v>67</v>
      </c>
      <c r="F8985" s="19" t="str">
        <f>IFERROR(__xludf.DUMMYFUNCTION("""COMPUTED_VALUE"""),"BLACK")</f>
        <v>BLACK</v>
      </c>
      <c r="G8985" s="20" t="str">
        <f>IFERROR(__xludf.DUMMYFUNCTION("""COMPUTED_VALUE"""),"Uncle Sams Cider (5/13/2022)")</f>
        <v>Uncle Sams Cider (5/13/2022)</v>
      </c>
      <c r="H8985" s="19"/>
    </row>
    <row r="8986">
      <c r="A8986" s="9"/>
      <c r="B8986" s="15"/>
      <c r="C8986" s="9">
        <f>IFERROR(__xludf.DUMMYFUNCTION("""COMPUTED_VALUE"""),44702.9122729166)</f>
        <v>44702.91227</v>
      </c>
      <c r="D8986" s="15">
        <f>IFERROR(__xludf.DUMMYFUNCTION("""COMPUTED_VALUE"""),1.048)</f>
        <v>1.048</v>
      </c>
      <c r="E8986" s="16">
        <f>IFERROR(__xludf.DUMMYFUNCTION("""COMPUTED_VALUE"""),67.0)</f>
        <v>67</v>
      </c>
      <c r="F8986" s="19" t="str">
        <f>IFERROR(__xludf.DUMMYFUNCTION("""COMPUTED_VALUE"""),"BLACK")</f>
        <v>BLACK</v>
      </c>
      <c r="G8986" s="20" t="str">
        <f>IFERROR(__xludf.DUMMYFUNCTION("""COMPUTED_VALUE"""),"Uncle Sams Cider (5/13/2022)")</f>
        <v>Uncle Sams Cider (5/13/2022)</v>
      </c>
      <c r="H8986" s="19"/>
    </row>
    <row r="8987">
      <c r="A8987" s="9"/>
      <c r="B8987" s="15"/>
      <c r="C8987" s="9">
        <f>IFERROR(__xludf.DUMMYFUNCTION("""COMPUTED_VALUE"""),44702.9018515972)</f>
        <v>44702.90185</v>
      </c>
      <c r="D8987" s="15">
        <f>IFERROR(__xludf.DUMMYFUNCTION("""COMPUTED_VALUE"""),1.048)</f>
        <v>1.048</v>
      </c>
      <c r="E8987" s="16">
        <f>IFERROR(__xludf.DUMMYFUNCTION("""COMPUTED_VALUE"""),67.0)</f>
        <v>67</v>
      </c>
      <c r="F8987" s="19" t="str">
        <f>IFERROR(__xludf.DUMMYFUNCTION("""COMPUTED_VALUE"""),"BLACK")</f>
        <v>BLACK</v>
      </c>
      <c r="G8987" s="20" t="str">
        <f>IFERROR(__xludf.DUMMYFUNCTION("""COMPUTED_VALUE"""),"Uncle Sams Cider (5/13/2022)")</f>
        <v>Uncle Sams Cider (5/13/2022)</v>
      </c>
      <c r="H8987" s="19"/>
    </row>
    <row r="8988">
      <c r="A8988" s="9"/>
      <c r="B8988" s="15"/>
      <c r="C8988" s="9">
        <f>IFERROR(__xludf.DUMMYFUNCTION("""COMPUTED_VALUE"""),44702.89140625)</f>
        <v>44702.89141</v>
      </c>
      <c r="D8988" s="15">
        <f>IFERROR(__xludf.DUMMYFUNCTION("""COMPUTED_VALUE"""),1.048)</f>
        <v>1.048</v>
      </c>
      <c r="E8988" s="16">
        <f>IFERROR(__xludf.DUMMYFUNCTION("""COMPUTED_VALUE"""),67.0)</f>
        <v>67</v>
      </c>
      <c r="F8988" s="19" t="str">
        <f>IFERROR(__xludf.DUMMYFUNCTION("""COMPUTED_VALUE"""),"BLACK")</f>
        <v>BLACK</v>
      </c>
      <c r="G8988" s="20" t="str">
        <f>IFERROR(__xludf.DUMMYFUNCTION("""COMPUTED_VALUE"""),"Uncle Sams Cider (5/13/2022)")</f>
        <v>Uncle Sams Cider (5/13/2022)</v>
      </c>
      <c r="H8988" s="19"/>
    </row>
    <row r="8989">
      <c r="A8989" s="9"/>
      <c r="B8989" s="15"/>
      <c r="C8989" s="9">
        <f>IFERROR(__xludf.DUMMYFUNCTION("""COMPUTED_VALUE"""),44702.8809871296)</f>
        <v>44702.88099</v>
      </c>
      <c r="D8989" s="15">
        <f>IFERROR(__xludf.DUMMYFUNCTION("""COMPUTED_VALUE"""),1.048)</f>
        <v>1.048</v>
      </c>
      <c r="E8989" s="16">
        <f>IFERROR(__xludf.DUMMYFUNCTION("""COMPUTED_VALUE"""),67.0)</f>
        <v>67</v>
      </c>
      <c r="F8989" s="19" t="str">
        <f>IFERROR(__xludf.DUMMYFUNCTION("""COMPUTED_VALUE"""),"BLACK")</f>
        <v>BLACK</v>
      </c>
      <c r="G8989" s="20" t="str">
        <f>IFERROR(__xludf.DUMMYFUNCTION("""COMPUTED_VALUE"""),"Uncle Sams Cider (5/13/2022)")</f>
        <v>Uncle Sams Cider (5/13/2022)</v>
      </c>
      <c r="H8989" s="19"/>
    </row>
    <row r="8990">
      <c r="A8990" s="9"/>
      <c r="B8990" s="15"/>
      <c r="C8990" s="9">
        <f>IFERROR(__xludf.DUMMYFUNCTION("""COMPUTED_VALUE"""),44702.870565787)</f>
        <v>44702.87057</v>
      </c>
      <c r="D8990" s="15">
        <f>IFERROR(__xludf.DUMMYFUNCTION("""COMPUTED_VALUE"""),1.048)</f>
        <v>1.048</v>
      </c>
      <c r="E8990" s="16">
        <f>IFERROR(__xludf.DUMMYFUNCTION("""COMPUTED_VALUE"""),67.0)</f>
        <v>67</v>
      </c>
      <c r="F8990" s="19" t="str">
        <f>IFERROR(__xludf.DUMMYFUNCTION("""COMPUTED_VALUE"""),"BLACK")</f>
        <v>BLACK</v>
      </c>
      <c r="G8990" s="20" t="str">
        <f>IFERROR(__xludf.DUMMYFUNCTION("""COMPUTED_VALUE"""),"Uncle Sams Cider (5/13/2022)")</f>
        <v>Uncle Sams Cider (5/13/2022)</v>
      </c>
      <c r="H8990" s="19"/>
    </row>
    <row r="8991">
      <c r="A8991" s="9"/>
      <c r="B8991" s="15"/>
      <c r="C8991" s="9">
        <f>IFERROR(__xludf.DUMMYFUNCTION("""COMPUTED_VALUE"""),44702.8601446412)</f>
        <v>44702.86014</v>
      </c>
      <c r="D8991" s="15">
        <f>IFERROR(__xludf.DUMMYFUNCTION("""COMPUTED_VALUE"""),1.048)</f>
        <v>1.048</v>
      </c>
      <c r="E8991" s="16">
        <f>IFERROR(__xludf.DUMMYFUNCTION("""COMPUTED_VALUE"""),67.0)</f>
        <v>67</v>
      </c>
      <c r="F8991" s="19" t="str">
        <f>IFERROR(__xludf.DUMMYFUNCTION("""COMPUTED_VALUE"""),"BLACK")</f>
        <v>BLACK</v>
      </c>
      <c r="G8991" s="20" t="str">
        <f>IFERROR(__xludf.DUMMYFUNCTION("""COMPUTED_VALUE"""),"Uncle Sams Cider (5/13/2022)")</f>
        <v>Uncle Sams Cider (5/13/2022)</v>
      </c>
      <c r="H8991" s="19"/>
    </row>
    <row r="8992">
      <c r="A8992" s="9"/>
      <c r="B8992" s="15"/>
      <c r="C8992" s="9">
        <f>IFERROR(__xludf.DUMMYFUNCTION("""COMPUTED_VALUE"""),44702.8497235995)</f>
        <v>44702.84972</v>
      </c>
      <c r="D8992" s="15">
        <f>IFERROR(__xludf.DUMMYFUNCTION("""COMPUTED_VALUE"""),1.048)</f>
        <v>1.048</v>
      </c>
      <c r="E8992" s="16">
        <f>IFERROR(__xludf.DUMMYFUNCTION("""COMPUTED_VALUE"""),67.0)</f>
        <v>67</v>
      </c>
      <c r="F8992" s="19" t="str">
        <f>IFERROR(__xludf.DUMMYFUNCTION("""COMPUTED_VALUE"""),"BLACK")</f>
        <v>BLACK</v>
      </c>
      <c r="G8992" s="20" t="str">
        <f>IFERROR(__xludf.DUMMYFUNCTION("""COMPUTED_VALUE"""),"Uncle Sams Cider (5/13/2022)")</f>
        <v>Uncle Sams Cider (5/13/2022)</v>
      </c>
      <c r="H8992" s="19"/>
    </row>
    <row r="8993">
      <c r="A8993" s="9"/>
      <c r="B8993" s="15"/>
      <c r="C8993" s="9">
        <f>IFERROR(__xludf.DUMMYFUNCTION("""COMPUTED_VALUE"""),44702.8393018981)</f>
        <v>44702.8393</v>
      </c>
      <c r="D8993" s="15">
        <f>IFERROR(__xludf.DUMMYFUNCTION("""COMPUTED_VALUE"""),1.048)</f>
        <v>1.048</v>
      </c>
      <c r="E8993" s="16">
        <f>IFERROR(__xludf.DUMMYFUNCTION("""COMPUTED_VALUE"""),67.0)</f>
        <v>67</v>
      </c>
      <c r="F8993" s="19" t="str">
        <f>IFERROR(__xludf.DUMMYFUNCTION("""COMPUTED_VALUE"""),"BLACK")</f>
        <v>BLACK</v>
      </c>
      <c r="G8993" s="20" t="str">
        <f>IFERROR(__xludf.DUMMYFUNCTION("""COMPUTED_VALUE"""),"Uncle Sams Cider (5/13/2022)")</f>
        <v>Uncle Sams Cider (5/13/2022)</v>
      </c>
      <c r="H8993" s="19"/>
    </row>
    <row r="8994">
      <c r="A8994" s="9"/>
      <c r="B8994" s="15"/>
      <c r="C8994" s="9">
        <f>IFERROR(__xludf.DUMMYFUNCTION("""COMPUTED_VALUE"""),44702.8288808217)</f>
        <v>44702.82888</v>
      </c>
      <c r="D8994" s="15">
        <f>IFERROR(__xludf.DUMMYFUNCTION("""COMPUTED_VALUE"""),1.048)</f>
        <v>1.048</v>
      </c>
      <c r="E8994" s="16">
        <f>IFERROR(__xludf.DUMMYFUNCTION("""COMPUTED_VALUE"""),67.0)</f>
        <v>67</v>
      </c>
      <c r="F8994" s="19" t="str">
        <f>IFERROR(__xludf.DUMMYFUNCTION("""COMPUTED_VALUE"""),"BLACK")</f>
        <v>BLACK</v>
      </c>
      <c r="G8994" s="20" t="str">
        <f>IFERROR(__xludf.DUMMYFUNCTION("""COMPUTED_VALUE"""),"Uncle Sams Cider (5/13/2022)")</f>
        <v>Uncle Sams Cider (5/13/2022)</v>
      </c>
      <c r="H8994" s="19"/>
    </row>
    <row r="8995">
      <c r="A8995" s="9"/>
      <c r="B8995" s="15"/>
      <c r="C8995" s="9">
        <f>IFERROR(__xludf.DUMMYFUNCTION("""COMPUTED_VALUE"""),44702.8184590277)</f>
        <v>44702.81846</v>
      </c>
      <c r="D8995" s="15">
        <f>IFERROR(__xludf.DUMMYFUNCTION("""COMPUTED_VALUE"""),1.048)</f>
        <v>1.048</v>
      </c>
      <c r="E8995" s="16">
        <f>IFERROR(__xludf.DUMMYFUNCTION("""COMPUTED_VALUE"""),67.0)</f>
        <v>67</v>
      </c>
      <c r="F8995" s="19" t="str">
        <f>IFERROR(__xludf.DUMMYFUNCTION("""COMPUTED_VALUE"""),"BLACK")</f>
        <v>BLACK</v>
      </c>
      <c r="G8995" s="20" t="str">
        <f>IFERROR(__xludf.DUMMYFUNCTION("""COMPUTED_VALUE"""),"Uncle Sams Cider (5/13/2022)")</f>
        <v>Uncle Sams Cider (5/13/2022)</v>
      </c>
      <c r="H8995" s="19"/>
    </row>
    <row r="8996">
      <c r="A8996" s="9"/>
      <c r="B8996" s="15"/>
      <c r="C8996" s="9">
        <f>IFERROR(__xludf.DUMMYFUNCTION("""COMPUTED_VALUE"""),44702.8080383217)</f>
        <v>44702.80804</v>
      </c>
      <c r="D8996" s="15">
        <f>IFERROR(__xludf.DUMMYFUNCTION("""COMPUTED_VALUE"""),1.048)</f>
        <v>1.048</v>
      </c>
      <c r="E8996" s="16">
        <f>IFERROR(__xludf.DUMMYFUNCTION("""COMPUTED_VALUE"""),67.0)</f>
        <v>67</v>
      </c>
      <c r="F8996" s="19" t="str">
        <f>IFERROR(__xludf.DUMMYFUNCTION("""COMPUTED_VALUE"""),"BLACK")</f>
        <v>BLACK</v>
      </c>
      <c r="G8996" s="20" t="str">
        <f>IFERROR(__xludf.DUMMYFUNCTION("""COMPUTED_VALUE"""),"Uncle Sams Cider (5/13/2022)")</f>
        <v>Uncle Sams Cider (5/13/2022)</v>
      </c>
      <c r="H8996" s="19"/>
    </row>
    <row r="8997">
      <c r="A8997" s="9"/>
      <c r="B8997" s="15"/>
      <c r="C8997" s="9">
        <f>IFERROR(__xludf.DUMMYFUNCTION("""COMPUTED_VALUE"""),44702.7976174652)</f>
        <v>44702.79762</v>
      </c>
      <c r="D8997" s="15">
        <f>IFERROR(__xludf.DUMMYFUNCTION("""COMPUTED_VALUE"""),1.048)</f>
        <v>1.048</v>
      </c>
      <c r="E8997" s="16">
        <f>IFERROR(__xludf.DUMMYFUNCTION("""COMPUTED_VALUE"""),67.0)</f>
        <v>67</v>
      </c>
      <c r="F8997" s="19" t="str">
        <f>IFERROR(__xludf.DUMMYFUNCTION("""COMPUTED_VALUE"""),"BLACK")</f>
        <v>BLACK</v>
      </c>
      <c r="G8997" s="20" t="str">
        <f>IFERROR(__xludf.DUMMYFUNCTION("""COMPUTED_VALUE"""),"Uncle Sams Cider (5/13/2022)")</f>
        <v>Uncle Sams Cider (5/13/2022)</v>
      </c>
      <c r="H8997" s="19"/>
    </row>
    <row r="8998">
      <c r="A8998" s="9"/>
      <c r="B8998" s="15"/>
      <c r="C8998" s="9">
        <f>IFERROR(__xludf.DUMMYFUNCTION("""COMPUTED_VALUE"""),44702.7871865162)</f>
        <v>44702.78719</v>
      </c>
      <c r="D8998" s="15">
        <f>IFERROR(__xludf.DUMMYFUNCTION("""COMPUTED_VALUE"""),1.048)</f>
        <v>1.048</v>
      </c>
      <c r="E8998" s="16">
        <f>IFERROR(__xludf.DUMMYFUNCTION("""COMPUTED_VALUE"""),67.0)</f>
        <v>67</v>
      </c>
      <c r="F8998" s="19" t="str">
        <f>IFERROR(__xludf.DUMMYFUNCTION("""COMPUTED_VALUE"""),"BLACK")</f>
        <v>BLACK</v>
      </c>
      <c r="G8998" s="20" t="str">
        <f>IFERROR(__xludf.DUMMYFUNCTION("""COMPUTED_VALUE"""),"Uncle Sams Cider (5/13/2022)")</f>
        <v>Uncle Sams Cider (5/13/2022)</v>
      </c>
      <c r="H8998" s="19"/>
    </row>
    <row r="8999">
      <c r="A8999" s="9"/>
      <c r="B8999" s="15"/>
      <c r="C8999" s="9">
        <f>IFERROR(__xludf.DUMMYFUNCTION("""COMPUTED_VALUE"""),44702.7767306597)</f>
        <v>44702.77673</v>
      </c>
      <c r="D8999" s="15">
        <f>IFERROR(__xludf.DUMMYFUNCTION("""COMPUTED_VALUE"""),1.048)</f>
        <v>1.048</v>
      </c>
      <c r="E8999" s="16">
        <f>IFERROR(__xludf.DUMMYFUNCTION("""COMPUTED_VALUE"""),67.0)</f>
        <v>67</v>
      </c>
      <c r="F8999" s="19" t="str">
        <f>IFERROR(__xludf.DUMMYFUNCTION("""COMPUTED_VALUE"""),"BLACK")</f>
        <v>BLACK</v>
      </c>
      <c r="G8999" s="20" t="str">
        <f>IFERROR(__xludf.DUMMYFUNCTION("""COMPUTED_VALUE"""),"Uncle Sams Cider (5/13/2022)")</f>
        <v>Uncle Sams Cider (5/13/2022)</v>
      </c>
      <c r="H8999" s="19"/>
    </row>
    <row r="9000">
      <c r="A9000" s="9"/>
      <c r="B9000" s="15"/>
      <c r="C9000" s="9">
        <f>IFERROR(__xludf.DUMMYFUNCTION("""COMPUTED_VALUE"""),44702.7663091319)</f>
        <v>44702.76631</v>
      </c>
      <c r="D9000" s="15">
        <f>IFERROR(__xludf.DUMMYFUNCTION("""COMPUTED_VALUE"""),1.048)</f>
        <v>1.048</v>
      </c>
      <c r="E9000" s="16">
        <f>IFERROR(__xludf.DUMMYFUNCTION("""COMPUTED_VALUE"""),67.0)</f>
        <v>67</v>
      </c>
      <c r="F9000" s="19" t="str">
        <f>IFERROR(__xludf.DUMMYFUNCTION("""COMPUTED_VALUE"""),"BLACK")</f>
        <v>BLACK</v>
      </c>
      <c r="G9000" s="20" t="str">
        <f>IFERROR(__xludf.DUMMYFUNCTION("""COMPUTED_VALUE"""),"Uncle Sams Cider (5/13/2022)")</f>
        <v>Uncle Sams Cider (5/13/2022)</v>
      </c>
      <c r="H9000" s="19"/>
    </row>
    <row r="9001">
      <c r="A9001" s="9"/>
      <c r="B9001" s="15"/>
      <c r="C9001" s="9">
        <f>IFERROR(__xludf.DUMMYFUNCTION("""COMPUTED_VALUE"""),44702.7558776736)</f>
        <v>44702.75588</v>
      </c>
      <c r="D9001" s="15">
        <f>IFERROR(__xludf.DUMMYFUNCTION("""COMPUTED_VALUE"""),1.048)</f>
        <v>1.048</v>
      </c>
      <c r="E9001" s="16">
        <f>IFERROR(__xludf.DUMMYFUNCTION("""COMPUTED_VALUE"""),66.0)</f>
        <v>66</v>
      </c>
      <c r="F9001" s="19" t="str">
        <f>IFERROR(__xludf.DUMMYFUNCTION("""COMPUTED_VALUE"""),"BLACK")</f>
        <v>BLACK</v>
      </c>
      <c r="G9001" s="20" t="str">
        <f>IFERROR(__xludf.DUMMYFUNCTION("""COMPUTED_VALUE"""),"Uncle Sams Cider (5/13/2022)")</f>
        <v>Uncle Sams Cider (5/13/2022)</v>
      </c>
      <c r="H9001" s="19"/>
    </row>
    <row r="9002">
      <c r="A9002" s="9"/>
      <c r="B9002" s="15"/>
      <c r="C9002" s="9">
        <f>IFERROR(__xludf.DUMMYFUNCTION("""COMPUTED_VALUE"""),44702.7454579745)</f>
        <v>44702.74546</v>
      </c>
      <c r="D9002" s="15">
        <f>IFERROR(__xludf.DUMMYFUNCTION("""COMPUTED_VALUE"""),1.048)</f>
        <v>1.048</v>
      </c>
      <c r="E9002" s="16">
        <f>IFERROR(__xludf.DUMMYFUNCTION("""COMPUTED_VALUE"""),66.0)</f>
        <v>66</v>
      </c>
      <c r="F9002" s="19" t="str">
        <f>IFERROR(__xludf.DUMMYFUNCTION("""COMPUTED_VALUE"""),"BLACK")</f>
        <v>BLACK</v>
      </c>
      <c r="G9002" s="20" t="str">
        <f>IFERROR(__xludf.DUMMYFUNCTION("""COMPUTED_VALUE"""),"Uncle Sams Cider (5/13/2022)")</f>
        <v>Uncle Sams Cider (5/13/2022)</v>
      </c>
      <c r="H9002" s="19"/>
    </row>
    <row r="9003">
      <c r="A9003" s="9"/>
      <c r="B9003" s="15"/>
      <c r="C9003" s="9">
        <f>IFERROR(__xludf.DUMMYFUNCTION("""COMPUTED_VALUE"""),44702.7350355902)</f>
        <v>44702.73504</v>
      </c>
      <c r="D9003" s="15">
        <f>IFERROR(__xludf.DUMMYFUNCTION("""COMPUTED_VALUE"""),1.049)</f>
        <v>1.049</v>
      </c>
      <c r="E9003" s="16">
        <f>IFERROR(__xludf.DUMMYFUNCTION("""COMPUTED_VALUE"""),66.0)</f>
        <v>66</v>
      </c>
      <c r="F9003" s="19" t="str">
        <f>IFERROR(__xludf.DUMMYFUNCTION("""COMPUTED_VALUE"""),"BLACK")</f>
        <v>BLACK</v>
      </c>
      <c r="G9003" s="20" t="str">
        <f>IFERROR(__xludf.DUMMYFUNCTION("""COMPUTED_VALUE"""),"Uncle Sams Cider (5/13/2022)")</f>
        <v>Uncle Sams Cider (5/13/2022)</v>
      </c>
      <c r="H9003" s="19"/>
    </row>
    <row r="9004">
      <c r="A9004" s="9"/>
      <c r="B9004" s="15"/>
      <c r="C9004" s="9">
        <f>IFERROR(__xludf.DUMMYFUNCTION("""COMPUTED_VALUE"""),44702.7246151157)</f>
        <v>44702.72462</v>
      </c>
      <c r="D9004" s="15">
        <f>IFERROR(__xludf.DUMMYFUNCTION("""COMPUTED_VALUE"""),1.048)</f>
        <v>1.048</v>
      </c>
      <c r="E9004" s="16">
        <f>IFERROR(__xludf.DUMMYFUNCTION("""COMPUTED_VALUE"""),66.0)</f>
        <v>66</v>
      </c>
      <c r="F9004" s="19" t="str">
        <f>IFERROR(__xludf.DUMMYFUNCTION("""COMPUTED_VALUE"""),"BLACK")</f>
        <v>BLACK</v>
      </c>
      <c r="G9004" s="20" t="str">
        <f>IFERROR(__xludf.DUMMYFUNCTION("""COMPUTED_VALUE"""),"Uncle Sams Cider (5/13/2022)")</f>
        <v>Uncle Sams Cider (5/13/2022)</v>
      </c>
      <c r="H9004" s="19"/>
    </row>
    <row r="9005">
      <c r="A9005" s="9"/>
      <c r="B9005" s="15"/>
      <c r="C9005" s="9">
        <f>IFERROR(__xludf.DUMMYFUNCTION("""COMPUTED_VALUE"""),44702.7141944675)</f>
        <v>44702.71419</v>
      </c>
      <c r="D9005" s="15">
        <f>IFERROR(__xludf.DUMMYFUNCTION("""COMPUTED_VALUE"""),1.048)</f>
        <v>1.048</v>
      </c>
      <c r="E9005" s="16">
        <f>IFERROR(__xludf.DUMMYFUNCTION("""COMPUTED_VALUE"""),66.0)</f>
        <v>66</v>
      </c>
      <c r="F9005" s="19" t="str">
        <f>IFERROR(__xludf.DUMMYFUNCTION("""COMPUTED_VALUE"""),"BLACK")</f>
        <v>BLACK</v>
      </c>
      <c r="G9005" s="20" t="str">
        <f>IFERROR(__xludf.DUMMYFUNCTION("""COMPUTED_VALUE"""),"Uncle Sams Cider (5/13/2022)")</f>
        <v>Uncle Sams Cider (5/13/2022)</v>
      </c>
      <c r="H9005" s="19"/>
    </row>
    <row r="9006">
      <c r="A9006" s="9"/>
      <c r="B9006" s="15"/>
      <c r="C9006" s="9">
        <f>IFERROR(__xludf.DUMMYFUNCTION("""COMPUTED_VALUE"""),44702.7037718055)</f>
        <v>44702.70377</v>
      </c>
      <c r="D9006" s="15">
        <f>IFERROR(__xludf.DUMMYFUNCTION("""COMPUTED_VALUE"""),1.049)</f>
        <v>1.049</v>
      </c>
      <c r="E9006" s="16">
        <f>IFERROR(__xludf.DUMMYFUNCTION("""COMPUTED_VALUE"""),66.0)</f>
        <v>66</v>
      </c>
      <c r="F9006" s="19" t="str">
        <f>IFERROR(__xludf.DUMMYFUNCTION("""COMPUTED_VALUE"""),"BLACK")</f>
        <v>BLACK</v>
      </c>
      <c r="G9006" s="20" t="str">
        <f>IFERROR(__xludf.DUMMYFUNCTION("""COMPUTED_VALUE"""),"Uncle Sams Cider (5/13/2022)")</f>
        <v>Uncle Sams Cider (5/13/2022)</v>
      </c>
      <c r="H9006" s="19"/>
    </row>
    <row r="9007">
      <c r="A9007" s="9"/>
      <c r="B9007" s="15"/>
      <c r="C9007" s="9">
        <f>IFERROR(__xludf.DUMMYFUNCTION("""COMPUTED_VALUE"""),44702.6933500231)</f>
        <v>44702.69335</v>
      </c>
      <c r="D9007" s="15">
        <f>IFERROR(__xludf.DUMMYFUNCTION("""COMPUTED_VALUE"""),1.049)</f>
        <v>1.049</v>
      </c>
      <c r="E9007" s="16">
        <f>IFERROR(__xludf.DUMMYFUNCTION("""COMPUTED_VALUE"""),66.0)</f>
        <v>66</v>
      </c>
      <c r="F9007" s="19" t="str">
        <f>IFERROR(__xludf.DUMMYFUNCTION("""COMPUTED_VALUE"""),"BLACK")</f>
        <v>BLACK</v>
      </c>
      <c r="G9007" s="20" t="str">
        <f>IFERROR(__xludf.DUMMYFUNCTION("""COMPUTED_VALUE"""),"Uncle Sams Cider (5/13/2022)")</f>
        <v>Uncle Sams Cider (5/13/2022)</v>
      </c>
      <c r="H9007" s="19"/>
    </row>
    <row r="9008">
      <c r="A9008" s="9"/>
      <c r="B9008" s="15"/>
      <c r="C9008" s="9">
        <f>IFERROR(__xludf.DUMMYFUNCTION("""COMPUTED_VALUE"""),44702.6829275925)</f>
        <v>44702.68293</v>
      </c>
      <c r="D9008" s="15">
        <f>IFERROR(__xludf.DUMMYFUNCTION("""COMPUTED_VALUE"""),1.049)</f>
        <v>1.049</v>
      </c>
      <c r="E9008" s="16">
        <f>IFERROR(__xludf.DUMMYFUNCTION("""COMPUTED_VALUE"""),66.0)</f>
        <v>66</v>
      </c>
      <c r="F9008" s="19" t="str">
        <f>IFERROR(__xludf.DUMMYFUNCTION("""COMPUTED_VALUE"""),"BLACK")</f>
        <v>BLACK</v>
      </c>
      <c r="G9008" s="20" t="str">
        <f>IFERROR(__xludf.DUMMYFUNCTION("""COMPUTED_VALUE"""),"Uncle Sams Cider (5/13/2022)")</f>
        <v>Uncle Sams Cider (5/13/2022)</v>
      </c>
      <c r="H9008" s="19"/>
    </row>
    <row r="9009">
      <c r="A9009" s="9"/>
      <c r="B9009" s="15"/>
      <c r="C9009" s="9">
        <f>IFERROR(__xludf.DUMMYFUNCTION("""COMPUTED_VALUE"""),44702.6725053703)</f>
        <v>44702.67251</v>
      </c>
      <c r="D9009" s="15">
        <f>IFERROR(__xludf.DUMMYFUNCTION("""COMPUTED_VALUE"""),1.049)</f>
        <v>1.049</v>
      </c>
      <c r="E9009" s="16">
        <f>IFERROR(__xludf.DUMMYFUNCTION("""COMPUTED_VALUE"""),66.0)</f>
        <v>66</v>
      </c>
      <c r="F9009" s="19" t="str">
        <f>IFERROR(__xludf.DUMMYFUNCTION("""COMPUTED_VALUE"""),"BLACK")</f>
        <v>BLACK</v>
      </c>
      <c r="G9009" s="20" t="str">
        <f>IFERROR(__xludf.DUMMYFUNCTION("""COMPUTED_VALUE"""),"Uncle Sams Cider (5/13/2022)")</f>
        <v>Uncle Sams Cider (5/13/2022)</v>
      </c>
      <c r="H9009" s="19"/>
    </row>
    <row r="9010">
      <c r="A9010" s="9"/>
      <c r="B9010" s="15"/>
      <c r="C9010" s="9">
        <f>IFERROR(__xludf.DUMMYFUNCTION("""COMPUTED_VALUE"""),44702.662071412)</f>
        <v>44702.66207</v>
      </c>
      <c r="D9010" s="15">
        <f>IFERROR(__xludf.DUMMYFUNCTION("""COMPUTED_VALUE"""),1.049)</f>
        <v>1.049</v>
      </c>
      <c r="E9010" s="16">
        <f>IFERROR(__xludf.DUMMYFUNCTION("""COMPUTED_VALUE"""),66.0)</f>
        <v>66</v>
      </c>
      <c r="F9010" s="19" t="str">
        <f>IFERROR(__xludf.DUMMYFUNCTION("""COMPUTED_VALUE"""),"BLACK")</f>
        <v>BLACK</v>
      </c>
      <c r="G9010" s="20" t="str">
        <f>IFERROR(__xludf.DUMMYFUNCTION("""COMPUTED_VALUE"""),"Uncle Sams Cider (5/13/2022)")</f>
        <v>Uncle Sams Cider (5/13/2022)</v>
      </c>
      <c r="H9010" s="19"/>
    </row>
    <row r="9011">
      <c r="A9011" s="9"/>
      <c r="B9011" s="15"/>
      <c r="C9011" s="9">
        <f>IFERROR(__xludf.DUMMYFUNCTION("""COMPUTED_VALUE"""),44702.6516498263)</f>
        <v>44702.65165</v>
      </c>
      <c r="D9011" s="15">
        <f>IFERROR(__xludf.DUMMYFUNCTION("""COMPUTED_VALUE"""),1.049)</f>
        <v>1.049</v>
      </c>
      <c r="E9011" s="16">
        <f>IFERROR(__xludf.DUMMYFUNCTION("""COMPUTED_VALUE"""),66.0)</f>
        <v>66</v>
      </c>
      <c r="F9011" s="19" t="str">
        <f>IFERROR(__xludf.DUMMYFUNCTION("""COMPUTED_VALUE"""),"BLACK")</f>
        <v>BLACK</v>
      </c>
      <c r="G9011" s="20" t="str">
        <f>IFERROR(__xludf.DUMMYFUNCTION("""COMPUTED_VALUE"""),"Uncle Sams Cider (5/13/2022)")</f>
        <v>Uncle Sams Cider (5/13/2022)</v>
      </c>
      <c r="H9011" s="19"/>
    </row>
    <row r="9012">
      <c r="A9012" s="9"/>
      <c r="B9012" s="15"/>
      <c r="C9012" s="9">
        <f>IFERROR(__xludf.DUMMYFUNCTION("""COMPUTED_VALUE"""),44702.6412279514)</f>
        <v>44702.64123</v>
      </c>
      <c r="D9012" s="15">
        <f>IFERROR(__xludf.DUMMYFUNCTION("""COMPUTED_VALUE"""),1.049)</f>
        <v>1.049</v>
      </c>
      <c r="E9012" s="16">
        <f>IFERROR(__xludf.DUMMYFUNCTION("""COMPUTED_VALUE"""),66.0)</f>
        <v>66</v>
      </c>
      <c r="F9012" s="19" t="str">
        <f>IFERROR(__xludf.DUMMYFUNCTION("""COMPUTED_VALUE"""),"BLACK")</f>
        <v>BLACK</v>
      </c>
      <c r="G9012" s="20" t="str">
        <f>IFERROR(__xludf.DUMMYFUNCTION("""COMPUTED_VALUE"""),"Uncle Sams Cider (5/13/2022)")</f>
        <v>Uncle Sams Cider (5/13/2022)</v>
      </c>
      <c r="H9012" s="19"/>
    </row>
    <row r="9013">
      <c r="A9013" s="9"/>
      <c r="B9013" s="15"/>
      <c r="C9013" s="9">
        <f>IFERROR(__xludf.DUMMYFUNCTION("""COMPUTED_VALUE"""),44702.6308092361)</f>
        <v>44702.63081</v>
      </c>
      <c r="D9013" s="15">
        <f>IFERROR(__xludf.DUMMYFUNCTION("""COMPUTED_VALUE"""),1.049)</f>
        <v>1.049</v>
      </c>
      <c r="E9013" s="16">
        <f>IFERROR(__xludf.DUMMYFUNCTION("""COMPUTED_VALUE"""),66.0)</f>
        <v>66</v>
      </c>
      <c r="F9013" s="19" t="str">
        <f>IFERROR(__xludf.DUMMYFUNCTION("""COMPUTED_VALUE"""),"BLACK")</f>
        <v>BLACK</v>
      </c>
      <c r="G9013" s="20" t="str">
        <f>IFERROR(__xludf.DUMMYFUNCTION("""COMPUTED_VALUE"""),"Uncle Sams Cider (5/13/2022)")</f>
        <v>Uncle Sams Cider (5/13/2022)</v>
      </c>
      <c r="H9013" s="19"/>
    </row>
    <row r="9014">
      <c r="A9014" s="9"/>
      <c r="B9014" s="15"/>
      <c r="C9014" s="9">
        <f>IFERROR(__xludf.DUMMYFUNCTION("""COMPUTED_VALUE"""),44702.6203649189)</f>
        <v>44702.62036</v>
      </c>
      <c r="D9014" s="15">
        <f>IFERROR(__xludf.DUMMYFUNCTION("""COMPUTED_VALUE"""),1.049)</f>
        <v>1.049</v>
      </c>
      <c r="E9014" s="16">
        <f>IFERROR(__xludf.DUMMYFUNCTION("""COMPUTED_VALUE"""),66.0)</f>
        <v>66</v>
      </c>
      <c r="F9014" s="19" t="str">
        <f>IFERROR(__xludf.DUMMYFUNCTION("""COMPUTED_VALUE"""),"BLACK")</f>
        <v>BLACK</v>
      </c>
      <c r="G9014" s="20" t="str">
        <f>IFERROR(__xludf.DUMMYFUNCTION("""COMPUTED_VALUE"""),"Uncle Sams Cider (5/13/2022)")</f>
        <v>Uncle Sams Cider (5/13/2022)</v>
      </c>
      <c r="H9014" s="19"/>
    </row>
    <row r="9015">
      <c r="A9015" s="9"/>
      <c r="B9015" s="15"/>
      <c r="C9015" s="9">
        <f>IFERROR(__xludf.DUMMYFUNCTION("""COMPUTED_VALUE"""),44702.6099453009)</f>
        <v>44702.60995</v>
      </c>
      <c r="D9015" s="15">
        <f>IFERROR(__xludf.DUMMYFUNCTION("""COMPUTED_VALUE"""),1.049)</f>
        <v>1.049</v>
      </c>
      <c r="E9015" s="16">
        <f>IFERROR(__xludf.DUMMYFUNCTION("""COMPUTED_VALUE"""),66.0)</f>
        <v>66</v>
      </c>
      <c r="F9015" s="19" t="str">
        <f>IFERROR(__xludf.DUMMYFUNCTION("""COMPUTED_VALUE"""),"BLACK")</f>
        <v>BLACK</v>
      </c>
      <c r="G9015" s="20" t="str">
        <f>IFERROR(__xludf.DUMMYFUNCTION("""COMPUTED_VALUE"""),"Uncle Sams Cider (5/13/2022)")</f>
        <v>Uncle Sams Cider (5/13/2022)</v>
      </c>
      <c r="H9015" s="19"/>
    </row>
    <row r="9016">
      <c r="A9016" s="9"/>
      <c r="B9016" s="15"/>
      <c r="C9016" s="9">
        <f>IFERROR(__xludf.DUMMYFUNCTION("""COMPUTED_VALUE"""),44702.5995270254)</f>
        <v>44702.59953</v>
      </c>
      <c r="D9016" s="15">
        <f>IFERROR(__xludf.DUMMYFUNCTION("""COMPUTED_VALUE"""),1.049)</f>
        <v>1.049</v>
      </c>
      <c r="E9016" s="16">
        <f>IFERROR(__xludf.DUMMYFUNCTION("""COMPUTED_VALUE"""),66.0)</f>
        <v>66</v>
      </c>
      <c r="F9016" s="19" t="str">
        <f>IFERROR(__xludf.DUMMYFUNCTION("""COMPUTED_VALUE"""),"BLACK")</f>
        <v>BLACK</v>
      </c>
      <c r="G9016" s="20" t="str">
        <f>IFERROR(__xludf.DUMMYFUNCTION("""COMPUTED_VALUE"""),"Uncle Sams Cider (5/13/2022)")</f>
        <v>Uncle Sams Cider (5/13/2022)</v>
      </c>
      <c r="H9016" s="19"/>
    </row>
    <row r="9017">
      <c r="A9017" s="9"/>
      <c r="B9017" s="15"/>
      <c r="C9017" s="9">
        <f>IFERROR(__xludf.DUMMYFUNCTION("""COMPUTED_VALUE"""),44702.5891050694)</f>
        <v>44702.58911</v>
      </c>
      <c r="D9017" s="15">
        <f>IFERROR(__xludf.DUMMYFUNCTION("""COMPUTED_VALUE"""),1.049)</f>
        <v>1.049</v>
      </c>
      <c r="E9017" s="16">
        <f>IFERROR(__xludf.DUMMYFUNCTION("""COMPUTED_VALUE"""),66.0)</f>
        <v>66</v>
      </c>
      <c r="F9017" s="19" t="str">
        <f>IFERROR(__xludf.DUMMYFUNCTION("""COMPUTED_VALUE"""),"BLACK")</f>
        <v>BLACK</v>
      </c>
      <c r="G9017" s="20" t="str">
        <f>IFERROR(__xludf.DUMMYFUNCTION("""COMPUTED_VALUE"""),"Uncle Sams Cider (5/13/2022)")</f>
        <v>Uncle Sams Cider (5/13/2022)</v>
      </c>
      <c r="H9017" s="19"/>
    </row>
    <row r="9018">
      <c r="A9018" s="9"/>
      <c r="B9018" s="15"/>
      <c r="C9018" s="9">
        <f>IFERROR(__xludf.DUMMYFUNCTION("""COMPUTED_VALUE"""),44702.5786830208)</f>
        <v>44702.57868</v>
      </c>
      <c r="D9018" s="15">
        <f>IFERROR(__xludf.DUMMYFUNCTION("""COMPUTED_VALUE"""),1.049)</f>
        <v>1.049</v>
      </c>
      <c r="E9018" s="16">
        <f>IFERROR(__xludf.DUMMYFUNCTION("""COMPUTED_VALUE"""),66.0)</f>
        <v>66</v>
      </c>
      <c r="F9018" s="19" t="str">
        <f>IFERROR(__xludf.DUMMYFUNCTION("""COMPUTED_VALUE"""),"BLACK")</f>
        <v>BLACK</v>
      </c>
      <c r="G9018" s="20" t="str">
        <f>IFERROR(__xludf.DUMMYFUNCTION("""COMPUTED_VALUE"""),"Uncle Sams Cider (5/13/2022)")</f>
        <v>Uncle Sams Cider (5/13/2022)</v>
      </c>
      <c r="H9018" s="19"/>
    </row>
    <row r="9019">
      <c r="A9019" s="9"/>
      <c r="B9019" s="15"/>
      <c r="C9019" s="9">
        <f>IFERROR(__xludf.DUMMYFUNCTION("""COMPUTED_VALUE"""),44702.5682634027)</f>
        <v>44702.56826</v>
      </c>
      <c r="D9019" s="15">
        <f>IFERROR(__xludf.DUMMYFUNCTION("""COMPUTED_VALUE"""),1.049)</f>
        <v>1.049</v>
      </c>
      <c r="E9019" s="16">
        <f>IFERROR(__xludf.DUMMYFUNCTION("""COMPUTED_VALUE"""),66.0)</f>
        <v>66</v>
      </c>
      <c r="F9019" s="19" t="str">
        <f>IFERROR(__xludf.DUMMYFUNCTION("""COMPUTED_VALUE"""),"BLACK")</f>
        <v>BLACK</v>
      </c>
      <c r="G9019" s="20" t="str">
        <f>IFERROR(__xludf.DUMMYFUNCTION("""COMPUTED_VALUE"""),"Uncle Sams Cider (5/13/2022)")</f>
        <v>Uncle Sams Cider (5/13/2022)</v>
      </c>
      <c r="H9019" s="19"/>
    </row>
    <row r="9020">
      <c r="A9020" s="9"/>
      <c r="B9020" s="15"/>
      <c r="C9020" s="9">
        <f>IFERROR(__xludf.DUMMYFUNCTION("""COMPUTED_VALUE"""),44702.5578413888)</f>
        <v>44702.55784</v>
      </c>
      <c r="D9020" s="15">
        <f>IFERROR(__xludf.DUMMYFUNCTION("""COMPUTED_VALUE"""),1.049)</f>
        <v>1.049</v>
      </c>
      <c r="E9020" s="16">
        <f>IFERROR(__xludf.DUMMYFUNCTION("""COMPUTED_VALUE"""),66.0)</f>
        <v>66</v>
      </c>
      <c r="F9020" s="19" t="str">
        <f>IFERROR(__xludf.DUMMYFUNCTION("""COMPUTED_VALUE"""),"BLACK")</f>
        <v>BLACK</v>
      </c>
      <c r="G9020" s="20" t="str">
        <f>IFERROR(__xludf.DUMMYFUNCTION("""COMPUTED_VALUE"""),"Uncle Sams Cider (5/13/2022)")</f>
        <v>Uncle Sams Cider (5/13/2022)</v>
      </c>
      <c r="H9020" s="19"/>
    </row>
    <row r="9021">
      <c r="A9021" s="9"/>
      <c r="B9021" s="15"/>
      <c r="C9021" s="9">
        <f>IFERROR(__xludf.DUMMYFUNCTION("""COMPUTED_VALUE"""),44702.5474228819)</f>
        <v>44702.54742</v>
      </c>
      <c r="D9021" s="15">
        <f>IFERROR(__xludf.DUMMYFUNCTION("""COMPUTED_VALUE"""),1.049)</f>
        <v>1.049</v>
      </c>
      <c r="E9021" s="16">
        <f>IFERROR(__xludf.DUMMYFUNCTION("""COMPUTED_VALUE"""),66.0)</f>
        <v>66</v>
      </c>
      <c r="F9021" s="19" t="str">
        <f>IFERROR(__xludf.DUMMYFUNCTION("""COMPUTED_VALUE"""),"BLACK")</f>
        <v>BLACK</v>
      </c>
      <c r="G9021" s="20" t="str">
        <f>IFERROR(__xludf.DUMMYFUNCTION("""COMPUTED_VALUE"""),"Uncle Sams Cider (5/13/2022)")</f>
        <v>Uncle Sams Cider (5/13/2022)</v>
      </c>
      <c r="H9021" s="19"/>
    </row>
    <row r="9022">
      <c r="A9022" s="9"/>
      <c r="B9022" s="15"/>
      <c r="C9022" s="9">
        <f>IFERROR(__xludf.DUMMYFUNCTION("""COMPUTED_VALUE"""),44702.5370005902)</f>
        <v>44702.537</v>
      </c>
      <c r="D9022" s="15">
        <f>IFERROR(__xludf.DUMMYFUNCTION("""COMPUTED_VALUE"""),1.049)</f>
        <v>1.049</v>
      </c>
      <c r="E9022" s="16">
        <f>IFERROR(__xludf.DUMMYFUNCTION("""COMPUTED_VALUE"""),66.0)</f>
        <v>66</v>
      </c>
      <c r="F9022" s="19" t="str">
        <f>IFERROR(__xludf.DUMMYFUNCTION("""COMPUTED_VALUE"""),"BLACK")</f>
        <v>BLACK</v>
      </c>
      <c r="G9022" s="20" t="str">
        <f>IFERROR(__xludf.DUMMYFUNCTION("""COMPUTED_VALUE"""),"Uncle Sams Cider (5/13/2022)")</f>
        <v>Uncle Sams Cider (5/13/2022)</v>
      </c>
      <c r="H9022" s="19"/>
    </row>
    <row r="9023">
      <c r="A9023" s="9"/>
      <c r="B9023" s="15"/>
      <c r="C9023" s="9">
        <f>IFERROR(__xludf.DUMMYFUNCTION("""COMPUTED_VALUE"""),44702.5265820717)</f>
        <v>44702.52658</v>
      </c>
      <c r="D9023" s="15">
        <f>IFERROR(__xludf.DUMMYFUNCTION("""COMPUTED_VALUE"""),1.049)</f>
        <v>1.049</v>
      </c>
      <c r="E9023" s="16">
        <f>IFERROR(__xludf.DUMMYFUNCTION("""COMPUTED_VALUE"""),66.0)</f>
        <v>66</v>
      </c>
      <c r="F9023" s="19" t="str">
        <f>IFERROR(__xludf.DUMMYFUNCTION("""COMPUTED_VALUE"""),"BLACK")</f>
        <v>BLACK</v>
      </c>
      <c r="G9023" s="20" t="str">
        <f>IFERROR(__xludf.DUMMYFUNCTION("""COMPUTED_VALUE"""),"Uncle Sams Cider (5/13/2022)")</f>
        <v>Uncle Sams Cider (5/13/2022)</v>
      </c>
      <c r="H9023" s="19"/>
    </row>
    <row r="9024">
      <c r="A9024" s="9"/>
      <c r="B9024" s="15"/>
      <c r="C9024" s="9">
        <f>IFERROR(__xludf.DUMMYFUNCTION("""COMPUTED_VALUE"""),44702.5161610879)</f>
        <v>44702.51616</v>
      </c>
      <c r="D9024" s="15">
        <f>IFERROR(__xludf.DUMMYFUNCTION("""COMPUTED_VALUE"""),1.05)</f>
        <v>1.05</v>
      </c>
      <c r="E9024" s="16">
        <f>IFERROR(__xludf.DUMMYFUNCTION("""COMPUTED_VALUE"""),66.0)</f>
        <v>66</v>
      </c>
      <c r="F9024" s="19" t="str">
        <f>IFERROR(__xludf.DUMMYFUNCTION("""COMPUTED_VALUE"""),"BLACK")</f>
        <v>BLACK</v>
      </c>
      <c r="G9024" s="20" t="str">
        <f>IFERROR(__xludf.DUMMYFUNCTION("""COMPUTED_VALUE"""),"Uncle Sams Cider (5/13/2022)")</f>
        <v>Uncle Sams Cider (5/13/2022)</v>
      </c>
      <c r="H9024" s="19"/>
    </row>
    <row r="9025">
      <c r="A9025" s="9"/>
      <c r="B9025" s="15"/>
      <c r="C9025" s="9">
        <f>IFERROR(__xludf.DUMMYFUNCTION("""COMPUTED_VALUE"""),44702.5057394328)</f>
        <v>44702.50574</v>
      </c>
      <c r="D9025" s="15">
        <f>IFERROR(__xludf.DUMMYFUNCTION("""COMPUTED_VALUE"""),1.049)</f>
        <v>1.049</v>
      </c>
      <c r="E9025" s="16">
        <f>IFERROR(__xludf.DUMMYFUNCTION("""COMPUTED_VALUE"""),66.0)</f>
        <v>66</v>
      </c>
      <c r="F9025" s="19" t="str">
        <f>IFERROR(__xludf.DUMMYFUNCTION("""COMPUTED_VALUE"""),"BLACK")</f>
        <v>BLACK</v>
      </c>
      <c r="G9025" s="20" t="str">
        <f>IFERROR(__xludf.DUMMYFUNCTION("""COMPUTED_VALUE"""),"Uncle Sams Cider (5/13/2022)")</f>
        <v>Uncle Sams Cider (5/13/2022)</v>
      </c>
      <c r="H9025" s="19"/>
    </row>
    <row r="9026">
      <c r="A9026" s="9"/>
      <c r="B9026" s="15"/>
      <c r="C9026" s="9">
        <f>IFERROR(__xludf.DUMMYFUNCTION("""COMPUTED_VALUE"""),44702.4953175462)</f>
        <v>44702.49532</v>
      </c>
      <c r="D9026" s="15">
        <f>IFERROR(__xludf.DUMMYFUNCTION("""COMPUTED_VALUE"""),1.05)</f>
        <v>1.05</v>
      </c>
      <c r="E9026" s="16">
        <f>IFERROR(__xludf.DUMMYFUNCTION("""COMPUTED_VALUE"""),66.0)</f>
        <v>66</v>
      </c>
      <c r="F9026" s="19" t="str">
        <f>IFERROR(__xludf.DUMMYFUNCTION("""COMPUTED_VALUE"""),"BLACK")</f>
        <v>BLACK</v>
      </c>
      <c r="G9026" s="20" t="str">
        <f>IFERROR(__xludf.DUMMYFUNCTION("""COMPUTED_VALUE"""),"Uncle Sams Cider (5/13/2022)")</f>
        <v>Uncle Sams Cider (5/13/2022)</v>
      </c>
      <c r="H9026" s="19"/>
    </row>
    <row r="9027">
      <c r="A9027" s="9"/>
      <c r="B9027" s="15"/>
      <c r="C9027" s="9">
        <f>IFERROR(__xludf.DUMMYFUNCTION("""COMPUTED_VALUE"""),44702.4848976851)</f>
        <v>44702.4849</v>
      </c>
      <c r="D9027" s="15">
        <f>IFERROR(__xludf.DUMMYFUNCTION("""COMPUTED_VALUE"""),1.049)</f>
        <v>1.049</v>
      </c>
      <c r="E9027" s="16">
        <f>IFERROR(__xludf.DUMMYFUNCTION("""COMPUTED_VALUE"""),66.0)</f>
        <v>66</v>
      </c>
      <c r="F9027" s="19" t="str">
        <f>IFERROR(__xludf.DUMMYFUNCTION("""COMPUTED_VALUE"""),"BLACK")</f>
        <v>BLACK</v>
      </c>
      <c r="G9027" s="20" t="str">
        <f>IFERROR(__xludf.DUMMYFUNCTION("""COMPUTED_VALUE"""),"Uncle Sams Cider (5/13/2022)")</f>
        <v>Uncle Sams Cider (5/13/2022)</v>
      </c>
      <c r="H9027" s="19"/>
    </row>
    <row r="9028">
      <c r="A9028" s="9"/>
      <c r="B9028" s="15"/>
      <c r="C9028" s="9">
        <f>IFERROR(__xludf.DUMMYFUNCTION("""COMPUTED_VALUE"""),44702.4744760416)</f>
        <v>44702.47448</v>
      </c>
      <c r="D9028" s="15">
        <f>IFERROR(__xludf.DUMMYFUNCTION("""COMPUTED_VALUE"""),1.05)</f>
        <v>1.05</v>
      </c>
      <c r="E9028" s="16">
        <f>IFERROR(__xludf.DUMMYFUNCTION("""COMPUTED_VALUE"""),66.0)</f>
        <v>66</v>
      </c>
      <c r="F9028" s="19" t="str">
        <f>IFERROR(__xludf.DUMMYFUNCTION("""COMPUTED_VALUE"""),"BLACK")</f>
        <v>BLACK</v>
      </c>
      <c r="G9028" s="20" t="str">
        <f>IFERROR(__xludf.DUMMYFUNCTION("""COMPUTED_VALUE"""),"Uncle Sams Cider (5/13/2022)")</f>
        <v>Uncle Sams Cider (5/13/2022)</v>
      </c>
      <c r="H9028" s="19"/>
    </row>
    <row r="9029">
      <c r="A9029" s="9"/>
      <c r="B9029" s="15"/>
      <c r="C9029" s="9">
        <f>IFERROR(__xludf.DUMMYFUNCTION("""COMPUTED_VALUE"""),44702.4640551736)</f>
        <v>44702.46406</v>
      </c>
      <c r="D9029" s="15">
        <f>IFERROR(__xludf.DUMMYFUNCTION("""COMPUTED_VALUE"""),1.05)</f>
        <v>1.05</v>
      </c>
      <c r="E9029" s="16">
        <f>IFERROR(__xludf.DUMMYFUNCTION("""COMPUTED_VALUE"""),66.0)</f>
        <v>66</v>
      </c>
      <c r="F9029" s="19" t="str">
        <f>IFERROR(__xludf.DUMMYFUNCTION("""COMPUTED_VALUE"""),"BLACK")</f>
        <v>BLACK</v>
      </c>
      <c r="G9029" s="20" t="str">
        <f>IFERROR(__xludf.DUMMYFUNCTION("""COMPUTED_VALUE"""),"Uncle Sams Cider (5/13/2022)")</f>
        <v>Uncle Sams Cider (5/13/2022)</v>
      </c>
      <c r="H9029" s="19"/>
    </row>
    <row r="9030">
      <c r="A9030" s="9"/>
      <c r="B9030" s="15"/>
      <c r="C9030" s="9">
        <f>IFERROR(__xludf.DUMMYFUNCTION("""COMPUTED_VALUE"""),44702.4536343287)</f>
        <v>44702.45363</v>
      </c>
      <c r="D9030" s="15">
        <f>IFERROR(__xludf.DUMMYFUNCTION("""COMPUTED_VALUE"""),1.05)</f>
        <v>1.05</v>
      </c>
      <c r="E9030" s="16">
        <f>IFERROR(__xludf.DUMMYFUNCTION("""COMPUTED_VALUE"""),66.0)</f>
        <v>66</v>
      </c>
      <c r="F9030" s="19" t="str">
        <f>IFERROR(__xludf.DUMMYFUNCTION("""COMPUTED_VALUE"""),"BLACK")</f>
        <v>BLACK</v>
      </c>
      <c r="G9030" s="20" t="str">
        <f>IFERROR(__xludf.DUMMYFUNCTION("""COMPUTED_VALUE"""),"Uncle Sams Cider (5/13/2022)")</f>
        <v>Uncle Sams Cider (5/13/2022)</v>
      </c>
      <c r="H9030" s="19"/>
    </row>
    <row r="9031">
      <c r="A9031" s="9"/>
      <c r="B9031" s="15"/>
      <c r="C9031" s="9">
        <f>IFERROR(__xludf.DUMMYFUNCTION("""COMPUTED_VALUE"""),44702.443211655)</f>
        <v>44702.44321</v>
      </c>
      <c r="D9031" s="15">
        <f>IFERROR(__xludf.DUMMYFUNCTION("""COMPUTED_VALUE"""),1.05)</f>
        <v>1.05</v>
      </c>
      <c r="E9031" s="16">
        <f>IFERROR(__xludf.DUMMYFUNCTION("""COMPUTED_VALUE"""),66.0)</f>
        <v>66</v>
      </c>
      <c r="F9031" s="19" t="str">
        <f>IFERROR(__xludf.DUMMYFUNCTION("""COMPUTED_VALUE"""),"BLACK")</f>
        <v>BLACK</v>
      </c>
      <c r="G9031" s="20" t="str">
        <f>IFERROR(__xludf.DUMMYFUNCTION("""COMPUTED_VALUE"""),"Uncle Sams Cider (5/13/2022)")</f>
        <v>Uncle Sams Cider (5/13/2022)</v>
      </c>
      <c r="H9031" s="19"/>
    </row>
    <row r="9032">
      <c r="A9032" s="9"/>
      <c r="B9032" s="15"/>
      <c r="C9032" s="9">
        <f>IFERROR(__xludf.DUMMYFUNCTION("""COMPUTED_VALUE"""),44702.4327798263)</f>
        <v>44702.43278</v>
      </c>
      <c r="D9032" s="15">
        <f>IFERROR(__xludf.DUMMYFUNCTION("""COMPUTED_VALUE"""),1.05)</f>
        <v>1.05</v>
      </c>
      <c r="E9032" s="16">
        <f>IFERROR(__xludf.DUMMYFUNCTION("""COMPUTED_VALUE"""),66.0)</f>
        <v>66</v>
      </c>
      <c r="F9032" s="19" t="str">
        <f>IFERROR(__xludf.DUMMYFUNCTION("""COMPUTED_VALUE"""),"BLACK")</f>
        <v>BLACK</v>
      </c>
      <c r="G9032" s="20" t="str">
        <f>IFERROR(__xludf.DUMMYFUNCTION("""COMPUTED_VALUE"""),"Uncle Sams Cider (5/13/2022)")</f>
        <v>Uncle Sams Cider (5/13/2022)</v>
      </c>
      <c r="H9032" s="19"/>
    </row>
    <row r="9033">
      <c r="A9033" s="9"/>
      <c r="B9033" s="15"/>
      <c r="C9033" s="9">
        <f>IFERROR(__xludf.DUMMYFUNCTION("""COMPUTED_VALUE"""),44702.4223588078)</f>
        <v>44702.42236</v>
      </c>
      <c r="D9033" s="15">
        <f>IFERROR(__xludf.DUMMYFUNCTION("""COMPUTED_VALUE"""),1.05)</f>
        <v>1.05</v>
      </c>
      <c r="E9033" s="16">
        <f>IFERROR(__xludf.DUMMYFUNCTION("""COMPUTED_VALUE"""),66.0)</f>
        <v>66</v>
      </c>
      <c r="F9033" s="19" t="str">
        <f>IFERROR(__xludf.DUMMYFUNCTION("""COMPUTED_VALUE"""),"BLACK")</f>
        <v>BLACK</v>
      </c>
      <c r="G9033" s="20" t="str">
        <f>IFERROR(__xludf.DUMMYFUNCTION("""COMPUTED_VALUE"""),"Uncle Sams Cider (5/13/2022)")</f>
        <v>Uncle Sams Cider (5/13/2022)</v>
      </c>
      <c r="H9033" s="19"/>
    </row>
    <row r="9034">
      <c r="A9034" s="9"/>
      <c r="B9034" s="15"/>
      <c r="C9034" s="9">
        <f>IFERROR(__xludf.DUMMYFUNCTION("""COMPUTED_VALUE"""),44702.411938206)</f>
        <v>44702.41194</v>
      </c>
      <c r="D9034" s="15">
        <f>IFERROR(__xludf.DUMMYFUNCTION("""COMPUTED_VALUE"""),1.05)</f>
        <v>1.05</v>
      </c>
      <c r="E9034" s="16">
        <f>IFERROR(__xludf.DUMMYFUNCTION("""COMPUTED_VALUE"""),66.0)</f>
        <v>66</v>
      </c>
      <c r="F9034" s="19" t="str">
        <f>IFERROR(__xludf.DUMMYFUNCTION("""COMPUTED_VALUE"""),"BLACK")</f>
        <v>BLACK</v>
      </c>
      <c r="G9034" s="20" t="str">
        <f>IFERROR(__xludf.DUMMYFUNCTION("""COMPUTED_VALUE"""),"Uncle Sams Cider (5/13/2022)")</f>
        <v>Uncle Sams Cider (5/13/2022)</v>
      </c>
      <c r="H9034" s="19"/>
    </row>
    <row r="9035">
      <c r="A9035" s="9"/>
      <c r="B9035" s="15"/>
      <c r="C9035" s="9">
        <f>IFERROR(__xludf.DUMMYFUNCTION("""COMPUTED_VALUE"""),44702.4015171296)</f>
        <v>44702.40152</v>
      </c>
      <c r="D9035" s="15">
        <f>IFERROR(__xludf.DUMMYFUNCTION("""COMPUTED_VALUE"""),1.05)</f>
        <v>1.05</v>
      </c>
      <c r="E9035" s="16">
        <f>IFERROR(__xludf.DUMMYFUNCTION("""COMPUTED_VALUE"""),67.0)</f>
        <v>67</v>
      </c>
      <c r="F9035" s="19" t="str">
        <f>IFERROR(__xludf.DUMMYFUNCTION("""COMPUTED_VALUE"""),"BLACK")</f>
        <v>BLACK</v>
      </c>
      <c r="G9035" s="20" t="str">
        <f>IFERROR(__xludf.DUMMYFUNCTION("""COMPUTED_VALUE"""),"Uncle Sams Cider (5/13/2022)")</f>
        <v>Uncle Sams Cider (5/13/2022)</v>
      </c>
      <c r="H9035" s="19"/>
    </row>
    <row r="9036">
      <c r="A9036" s="9"/>
      <c r="B9036" s="15"/>
      <c r="C9036" s="9">
        <f>IFERROR(__xludf.DUMMYFUNCTION("""COMPUTED_VALUE"""),44702.3910953935)</f>
        <v>44702.3911</v>
      </c>
      <c r="D9036" s="15">
        <f>IFERROR(__xludf.DUMMYFUNCTION("""COMPUTED_VALUE"""),1.05)</f>
        <v>1.05</v>
      </c>
      <c r="E9036" s="16">
        <f>IFERROR(__xludf.DUMMYFUNCTION("""COMPUTED_VALUE"""),69.0)</f>
        <v>69</v>
      </c>
      <c r="F9036" s="19" t="str">
        <f>IFERROR(__xludf.DUMMYFUNCTION("""COMPUTED_VALUE"""),"BLACK")</f>
        <v>BLACK</v>
      </c>
      <c r="G9036" s="20" t="str">
        <f>IFERROR(__xludf.DUMMYFUNCTION("""COMPUTED_VALUE"""),"Uncle Sams Cider (5/13/2022)")</f>
        <v>Uncle Sams Cider (5/13/2022)</v>
      </c>
      <c r="H9036" s="19"/>
    </row>
    <row r="9037">
      <c r="A9037" s="9"/>
      <c r="B9037" s="15"/>
      <c r="C9037" s="9">
        <f>IFERROR(__xludf.DUMMYFUNCTION("""COMPUTED_VALUE"""),44702.3806623263)</f>
        <v>44702.38066</v>
      </c>
      <c r="D9037" s="15">
        <f>IFERROR(__xludf.DUMMYFUNCTION("""COMPUTED_VALUE"""),1.05)</f>
        <v>1.05</v>
      </c>
      <c r="E9037" s="16">
        <f>IFERROR(__xludf.DUMMYFUNCTION("""COMPUTED_VALUE"""),70.0)</f>
        <v>70</v>
      </c>
      <c r="F9037" s="19" t="str">
        <f>IFERROR(__xludf.DUMMYFUNCTION("""COMPUTED_VALUE"""),"BLACK")</f>
        <v>BLACK</v>
      </c>
      <c r="G9037" s="20" t="str">
        <f>IFERROR(__xludf.DUMMYFUNCTION("""COMPUTED_VALUE"""),"Uncle Sams Cider (5/13/2022)")</f>
        <v>Uncle Sams Cider (5/13/2022)</v>
      </c>
      <c r="H9037" s="19"/>
    </row>
    <row r="9038">
      <c r="A9038" s="9"/>
      <c r="B9038" s="15"/>
      <c r="C9038" s="9">
        <f>IFERROR(__xludf.DUMMYFUNCTION("""COMPUTED_VALUE"""),44702.3702414814)</f>
        <v>44702.37024</v>
      </c>
      <c r="D9038" s="15">
        <f>IFERROR(__xludf.DUMMYFUNCTION("""COMPUTED_VALUE"""),1.05)</f>
        <v>1.05</v>
      </c>
      <c r="E9038" s="16">
        <f>IFERROR(__xludf.DUMMYFUNCTION("""COMPUTED_VALUE"""),70.0)</f>
        <v>70</v>
      </c>
      <c r="F9038" s="19" t="str">
        <f>IFERROR(__xludf.DUMMYFUNCTION("""COMPUTED_VALUE"""),"BLACK")</f>
        <v>BLACK</v>
      </c>
      <c r="G9038" s="20" t="str">
        <f>IFERROR(__xludf.DUMMYFUNCTION("""COMPUTED_VALUE"""),"Uncle Sams Cider (5/13/2022)")</f>
        <v>Uncle Sams Cider (5/13/2022)</v>
      </c>
      <c r="H9038" s="19"/>
    </row>
    <row r="9039">
      <c r="A9039" s="9"/>
      <c r="B9039" s="15"/>
      <c r="C9039" s="9">
        <f>IFERROR(__xludf.DUMMYFUNCTION("""COMPUTED_VALUE"""),44702.3598215972)</f>
        <v>44702.35982</v>
      </c>
      <c r="D9039" s="15">
        <f>IFERROR(__xludf.DUMMYFUNCTION("""COMPUTED_VALUE"""),1.05)</f>
        <v>1.05</v>
      </c>
      <c r="E9039" s="16">
        <f>IFERROR(__xludf.DUMMYFUNCTION("""COMPUTED_VALUE"""),70.0)</f>
        <v>70</v>
      </c>
      <c r="F9039" s="19" t="str">
        <f>IFERROR(__xludf.DUMMYFUNCTION("""COMPUTED_VALUE"""),"BLACK")</f>
        <v>BLACK</v>
      </c>
      <c r="G9039" s="20" t="str">
        <f>IFERROR(__xludf.DUMMYFUNCTION("""COMPUTED_VALUE"""),"Uncle Sams Cider (5/13/2022)")</f>
        <v>Uncle Sams Cider (5/13/2022)</v>
      </c>
      <c r="H9039" s="19"/>
    </row>
    <row r="9040">
      <c r="A9040" s="9"/>
      <c r="B9040" s="15"/>
      <c r="C9040" s="9">
        <f>IFERROR(__xludf.DUMMYFUNCTION("""COMPUTED_VALUE"""),44702.3494010069)</f>
        <v>44702.3494</v>
      </c>
      <c r="D9040" s="15">
        <f>IFERROR(__xludf.DUMMYFUNCTION("""COMPUTED_VALUE"""),1.05)</f>
        <v>1.05</v>
      </c>
      <c r="E9040" s="16">
        <f>IFERROR(__xludf.DUMMYFUNCTION("""COMPUTED_VALUE"""),70.0)</f>
        <v>70</v>
      </c>
      <c r="F9040" s="19" t="str">
        <f>IFERROR(__xludf.DUMMYFUNCTION("""COMPUTED_VALUE"""),"BLACK")</f>
        <v>BLACK</v>
      </c>
      <c r="G9040" s="20" t="str">
        <f>IFERROR(__xludf.DUMMYFUNCTION("""COMPUTED_VALUE"""),"Uncle Sams Cider (5/13/2022)")</f>
        <v>Uncle Sams Cider (5/13/2022)</v>
      </c>
      <c r="H9040" s="19"/>
    </row>
    <row r="9041">
      <c r="A9041" s="9"/>
      <c r="B9041" s="15"/>
      <c r="C9041" s="9">
        <f>IFERROR(__xludf.DUMMYFUNCTION("""COMPUTED_VALUE"""),44702.338980625)</f>
        <v>44702.33898</v>
      </c>
      <c r="D9041" s="15">
        <f>IFERROR(__xludf.DUMMYFUNCTION("""COMPUTED_VALUE"""),1.05)</f>
        <v>1.05</v>
      </c>
      <c r="E9041" s="16">
        <f>IFERROR(__xludf.DUMMYFUNCTION("""COMPUTED_VALUE"""),70.0)</f>
        <v>70</v>
      </c>
      <c r="F9041" s="19" t="str">
        <f>IFERROR(__xludf.DUMMYFUNCTION("""COMPUTED_VALUE"""),"BLACK")</f>
        <v>BLACK</v>
      </c>
      <c r="G9041" s="20" t="str">
        <f>IFERROR(__xludf.DUMMYFUNCTION("""COMPUTED_VALUE"""),"Uncle Sams Cider (5/13/2022)")</f>
        <v>Uncle Sams Cider (5/13/2022)</v>
      </c>
      <c r="H9041" s="19"/>
    </row>
    <row r="9042">
      <c r="A9042" s="9"/>
      <c r="B9042" s="15"/>
      <c r="C9042" s="9">
        <f>IFERROR(__xludf.DUMMYFUNCTION("""COMPUTED_VALUE"""),44702.3285479398)</f>
        <v>44702.32855</v>
      </c>
      <c r="D9042" s="15">
        <f>IFERROR(__xludf.DUMMYFUNCTION("""COMPUTED_VALUE"""),1.05)</f>
        <v>1.05</v>
      </c>
      <c r="E9042" s="16">
        <f>IFERROR(__xludf.DUMMYFUNCTION("""COMPUTED_VALUE"""),69.0)</f>
        <v>69</v>
      </c>
      <c r="F9042" s="19" t="str">
        <f>IFERROR(__xludf.DUMMYFUNCTION("""COMPUTED_VALUE"""),"BLACK")</f>
        <v>BLACK</v>
      </c>
      <c r="G9042" s="20" t="str">
        <f>IFERROR(__xludf.DUMMYFUNCTION("""COMPUTED_VALUE"""),"Uncle Sams Cider (5/13/2022)")</f>
        <v>Uncle Sams Cider (5/13/2022)</v>
      </c>
      <c r="H9042" s="19"/>
    </row>
    <row r="9043">
      <c r="A9043" s="9"/>
      <c r="B9043" s="15"/>
      <c r="C9043" s="9">
        <f>IFERROR(__xludf.DUMMYFUNCTION("""COMPUTED_VALUE"""),44702.3181148032)</f>
        <v>44702.31811</v>
      </c>
      <c r="D9043" s="15">
        <f>IFERROR(__xludf.DUMMYFUNCTION("""COMPUTED_VALUE"""),1.05)</f>
        <v>1.05</v>
      </c>
      <c r="E9043" s="16">
        <f>IFERROR(__xludf.DUMMYFUNCTION("""COMPUTED_VALUE"""),70.0)</f>
        <v>70</v>
      </c>
      <c r="F9043" s="19" t="str">
        <f>IFERROR(__xludf.DUMMYFUNCTION("""COMPUTED_VALUE"""),"BLACK")</f>
        <v>BLACK</v>
      </c>
      <c r="G9043" s="20" t="str">
        <f>IFERROR(__xludf.DUMMYFUNCTION("""COMPUTED_VALUE"""),"Uncle Sams Cider (5/13/2022)")</f>
        <v>Uncle Sams Cider (5/13/2022)</v>
      </c>
      <c r="H9043" s="19"/>
    </row>
    <row r="9044">
      <c r="A9044" s="9"/>
      <c r="B9044" s="15"/>
      <c r="C9044" s="9">
        <f>IFERROR(__xludf.DUMMYFUNCTION("""COMPUTED_VALUE"""),44702.3076604513)</f>
        <v>44702.30766</v>
      </c>
      <c r="D9044" s="15">
        <f>IFERROR(__xludf.DUMMYFUNCTION("""COMPUTED_VALUE"""),1.05)</f>
        <v>1.05</v>
      </c>
      <c r="E9044" s="16">
        <f>IFERROR(__xludf.DUMMYFUNCTION("""COMPUTED_VALUE"""),70.0)</f>
        <v>70</v>
      </c>
      <c r="F9044" s="19" t="str">
        <f>IFERROR(__xludf.DUMMYFUNCTION("""COMPUTED_VALUE"""),"BLACK")</f>
        <v>BLACK</v>
      </c>
      <c r="G9044" s="20" t="str">
        <f>IFERROR(__xludf.DUMMYFUNCTION("""COMPUTED_VALUE"""),"Uncle Sams Cider (5/13/2022)")</f>
        <v>Uncle Sams Cider (5/13/2022)</v>
      </c>
      <c r="H9044" s="19"/>
    </row>
    <row r="9045">
      <c r="A9045" s="9"/>
      <c r="B9045" s="15"/>
      <c r="C9045" s="9">
        <f>IFERROR(__xludf.DUMMYFUNCTION("""COMPUTED_VALUE"""),44702.2972385416)</f>
        <v>44702.29724</v>
      </c>
      <c r="D9045" s="15">
        <f>IFERROR(__xludf.DUMMYFUNCTION("""COMPUTED_VALUE"""),1.05)</f>
        <v>1.05</v>
      </c>
      <c r="E9045" s="16">
        <f>IFERROR(__xludf.DUMMYFUNCTION("""COMPUTED_VALUE"""),69.0)</f>
        <v>69</v>
      </c>
      <c r="F9045" s="19" t="str">
        <f>IFERROR(__xludf.DUMMYFUNCTION("""COMPUTED_VALUE"""),"BLACK")</f>
        <v>BLACK</v>
      </c>
      <c r="G9045" s="20" t="str">
        <f>IFERROR(__xludf.DUMMYFUNCTION("""COMPUTED_VALUE"""),"Uncle Sams Cider (5/13/2022)")</f>
        <v>Uncle Sams Cider (5/13/2022)</v>
      </c>
      <c r="H9045" s="19"/>
    </row>
    <row r="9046">
      <c r="A9046" s="9"/>
      <c r="B9046" s="15"/>
      <c r="C9046" s="9">
        <f>IFERROR(__xludf.DUMMYFUNCTION("""COMPUTED_VALUE"""),44702.2868067824)</f>
        <v>44702.28681</v>
      </c>
      <c r="D9046" s="15">
        <f>IFERROR(__xludf.DUMMYFUNCTION("""COMPUTED_VALUE"""),1.051)</f>
        <v>1.051</v>
      </c>
      <c r="E9046" s="16">
        <f>IFERROR(__xludf.DUMMYFUNCTION("""COMPUTED_VALUE"""),69.0)</f>
        <v>69</v>
      </c>
      <c r="F9046" s="19" t="str">
        <f>IFERROR(__xludf.DUMMYFUNCTION("""COMPUTED_VALUE"""),"BLACK")</f>
        <v>BLACK</v>
      </c>
      <c r="G9046" s="20" t="str">
        <f>IFERROR(__xludf.DUMMYFUNCTION("""COMPUTED_VALUE"""),"Uncle Sams Cider (5/13/2022)")</f>
        <v>Uncle Sams Cider (5/13/2022)</v>
      </c>
      <c r="H9046" s="19"/>
    </row>
    <row r="9047">
      <c r="A9047" s="9"/>
      <c r="B9047" s="15"/>
      <c r="C9047" s="9">
        <f>IFERROR(__xludf.DUMMYFUNCTION("""COMPUTED_VALUE"""),44702.2763739467)</f>
        <v>44702.27637</v>
      </c>
      <c r="D9047" s="15">
        <f>IFERROR(__xludf.DUMMYFUNCTION("""COMPUTED_VALUE"""),1.051)</f>
        <v>1.051</v>
      </c>
      <c r="E9047" s="16">
        <f>IFERROR(__xludf.DUMMYFUNCTION("""COMPUTED_VALUE"""),69.0)</f>
        <v>69</v>
      </c>
      <c r="F9047" s="19" t="str">
        <f>IFERROR(__xludf.DUMMYFUNCTION("""COMPUTED_VALUE"""),"BLACK")</f>
        <v>BLACK</v>
      </c>
      <c r="G9047" s="20" t="str">
        <f>IFERROR(__xludf.DUMMYFUNCTION("""COMPUTED_VALUE"""),"Uncle Sams Cider (5/13/2022)")</f>
        <v>Uncle Sams Cider (5/13/2022)</v>
      </c>
      <c r="H9047" s="19"/>
    </row>
    <row r="9048">
      <c r="A9048" s="9"/>
      <c r="B9048" s="15"/>
      <c r="C9048" s="9">
        <f>IFERROR(__xludf.DUMMYFUNCTION("""COMPUTED_VALUE"""),44702.2659534259)</f>
        <v>44702.26595</v>
      </c>
      <c r="D9048" s="15">
        <f>IFERROR(__xludf.DUMMYFUNCTION("""COMPUTED_VALUE"""),1.051)</f>
        <v>1.051</v>
      </c>
      <c r="E9048" s="16">
        <f>IFERROR(__xludf.DUMMYFUNCTION("""COMPUTED_VALUE"""),69.0)</f>
        <v>69</v>
      </c>
      <c r="F9048" s="19" t="str">
        <f>IFERROR(__xludf.DUMMYFUNCTION("""COMPUTED_VALUE"""),"BLACK")</f>
        <v>BLACK</v>
      </c>
      <c r="G9048" s="20" t="str">
        <f>IFERROR(__xludf.DUMMYFUNCTION("""COMPUTED_VALUE"""),"Uncle Sams Cider (5/13/2022)")</f>
        <v>Uncle Sams Cider (5/13/2022)</v>
      </c>
      <c r="H9048" s="19"/>
    </row>
    <row r="9049">
      <c r="A9049" s="9"/>
      <c r="B9049" s="15"/>
      <c r="C9049" s="9">
        <f>IFERROR(__xludf.DUMMYFUNCTION("""COMPUTED_VALUE"""),44702.2555205324)</f>
        <v>44702.25552</v>
      </c>
      <c r="D9049" s="15">
        <f>IFERROR(__xludf.DUMMYFUNCTION("""COMPUTED_VALUE"""),1.051)</f>
        <v>1.051</v>
      </c>
      <c r="E9049" s="16">
        <f>IFERROR(__xludf.DUMMYFUNCTION("""COMPUTED_VALUE"""),69.0)</f>
        <v>69</v>
      </c>
      <c r="F9049" s="19" t="str">
        <f>IFERROR(__xludf.DUMMYFUNCTION("""COMPUTED_VALUE"""),"BLACK")</f>
        <v>BLACK</v>
      </c>
      <c r="G9049" s="20" t="str">
        <f>IFERROR(__xludf.DUMMYFUNCTION("""COMPUTED_VALUE"""),"Uncle Sams Cider (5/13/2022)")</f>
        <v>Uncle Sams Cider (5/13/2022)</v>
      </c>
      <c r="H9049" s="19"/>
    </row>
    <row r="9050">
      <c r="A9050" s="9"/>
      <c r="B9050" s="15"/>
      <c r="C9050" s="9">
        <f>IFERROR(__xludf.DUMMYFUNCTION("""COMPUTED_VALUE"""),44702.2451005324)</f>
        <v>44702.2451</v>
      </c>
      <c r="D9050" s="15">
        <f>IFERROR(__xludf.DUMMYFUNCTION("""COMPUTED_VALUE"""),1.051)</f>
        <v>1.051</v>
      </c>
      <c r="E9050" s="16">
        <f>IFERROR(__xludf.DUMMYFUNCTION("""COMPUTED_VALUE"""),69.0)</f>
        <v>69</v>
      </c>
      <c r="F9050" s="19" t="str">
        <f>IFERROR(__xludf.DUMMYFUNCTION("""COMPUTED_VALUE"""),"BLACK")</f>
        <v>BLACK</v>
      </c>
      <c r="G9050" s="20" t="str">
        <f>IFERROR(__xludf.DUMMYFUNCTION("""COMPUTED_VALUE"""),"Uncle Sams Cider (5/13/2022)")</f>
        <v>Uncle Sams Cider (5/13/2022)</v>
      </c>
      <c r="H9050" s="19"/>
    </row>
    <row r="9051">
      <c r="A9051" s="9"/>
      <c r="B9051" s="15"/>
      <c r="C9051" s="9">
        <f>IFERROR(__xludf.DUMMYFUNCTION("""COMPUTED_VALUE"""),44702.234669699)</f>
        <v>44702.23467</v>
      </c>
      <c r="D9051" s="15">
        <f>IFERROR(__xludf.DUMMYFUNCTION("""COMPUTED_VALUE"""),1.051)</f>
        <v>1.051</v>
      </c>
      <c r="E9051" s="16">
        <f>IFERROR(__xludf.DUMMYFUNCTION("""COMPUTED_VALUE"""),69.0)</f>
        <v>69</v>
      </c>
      <c r="F9051" s="19" t="str">
        <f>IFERROR(__xludf.DUMMYFUNCTION("""COMPUTED_VALUE"""),"BLACK")</f>
        <v>BLACK</v>
      </c>
      <c r="G9051" s="20" t="str">
        <f>IFERROR(__xludf.DUMMYFUNCTION("""COMPUTED_VALUE"""),"Uncle Sams Cider (5/13/2022)")</f>
        <v>Uncle Sams Cider (5/13/2022)</v>
      </c>
      <c r="H9051" s="19"/>
    </row>
    <row r="9052">
      <c r="A9052" s="9"/>
      <c r="B9052" s="15"/>
      <c r="C9052" s="9">
        <f>IFERROR(__xludf.DUMMYFUNCTION("""COMPUTED_VALUE"""),44702.2242484027)</f>
        <v>44702.22425</v>
      </c>
      <c r="D9052" s="15">
        <f>IFERROR(__xludf.DUMMYFUNCTION("""COMPUTED_VALUE"""),1.051)</f>
        <v>1.051</v>
      </c>
      <c r="E9052" s="16">
        <f>IFERROR(__xludf.DUMMYFUNCTION("""COMPUTED_VALUE"""),69.0)</f>
        <v>69</v>
      </c>
      <c r="F9052" s="19" t="str">
        <f>IFERROR(__xludf.DUMMYFUNCTION("""COMPUTED_VALUE"""),"BLACK")</f>
        <v>BLACK</v>
      </c>
      <c r="G9052" s="20" t="str">
        <f>IFERROR(__xludf.DUMMYFUNCTION("""COMPUTED_VALUE"""),"Uncle Sams Cider (5/13/2022)")</f>
        <v>Uncle Sams Cider (5/13/2022)</v>
      </c>
      <c r="H9052" s="19"/>
    </row>
    <row r="9053">
      <c r="A9053" s="9"/>
      <c r="B9053" s="15"/>
      <c r="C9053" s="9">
        <f>IFERROR(__xludf.DUMMYFUNCTION("""COMPUTED_VALUE"""),44702.2138034722)</f>
        <v>44702.2138</v>
      </c>
      <c r="D9053" s="15">
        <f>IFERROR(__xludf.DUMMYFUNCTION("""COMPUTED_VALUE"""),1.051)</f>
        <v>1.051</v>
      </c>
      <c r="E9053" s="16">
        <f>IFERROR(__xludf.DUMMYFUNCTION("""COMPUTED_VALUE"""),69.0)</f>
        <v>69</v>
      </c>
      <c r="F9053" s="19" t="str">
        <f>IFERROR(__xludf.DUMMYFUNCTION("""COMPUTED_VALUE"""),"BLACK")</f>
        <v>BLACK</v>
      </c>
      <c r="G9053" s="20" t="str">
        <f>IFERROR(__xludf.DUMMYFUNCTION("""COMPUTED_VALUE"""),"Uncle Sams Cider (5/13/2022)")</f>
        <v>Uncle Sams Cider (5/13/2022)</v>
      </c>
      <c r="H9053" s="19"/>
    </row>
    <row r="9054">
      <c r="A9054" s="9"/>
      <c r="B9054" s="15"/>
      <c r="C9054" s="9">
        <f>IFERROR(__xludf.DUMMYFUNCTION("""COMPUTED_VALUE"""),44702.2033818981)</f>
        <v>44702.20338</v>
      </c>
      <c r="D9054" s="15">
        <f>IFERROR(__xludf.DUMMYFUNCTION("""COMPUTED_VALUE"""),1.051)</f>
        <v>1.051</v>
      </c>
      <c r="E9054" s="16">
        <f>IFERROR(__xludf.DUMMYFUNCTION("""COMPUTED_VALUE"""),69.0)</f>
        <v>69</v>
      </c>
      <c r="F9054" s="19" t="str">
        <f>IFERROR(__xludf.DUMMYFUNCTION("""COMPUTED_VALUE"""),"BLACK")</f>
        <v>BLACK</v>
      </c>
      <c r="G9054" s="20" t="str">
        <f>IFERROR(__xludf.DUMMYFUNCTION("""COMPUTED_VALUE"""),"Uncle Sams Cider (5/13/2022)")</f>
        <v>Uncle Sams Cider (5/13/2022)</v>
      </c>
      <c r="H9054" s="19"/>
    </row>
    <row r="9055">
      <c r="A9055" s="9"/>
      <c r="B9055" s="15"/>
      <c r="C9055" s="9">
        <f>IFERROR(__xludf.DUMMYFUNCTION("""COMPUTED_VALUE"""),44702.1929599652)</f>
        <v>44702.19296</v>
      </c>
      <c r="D9055" s="15">
        <f>IFERROR(__xludf.DUMMYFUNCTION("""COMPUTED_VALUE"""),1.051)</f>
        <v>1.051</v>
      </c>
      <c r="E9055" s="16">
        <f>IFERROR(__xludf.DUMMYFUNCTION("""COMPUTED_VALUE"""),69.0)</f>
        <v>69</v>
      </c>
      <c r="F9055" s="19" t="str">
        <f>IFERROR(__xludf.DUMMYFUNCTION("""COMPUTED_VALUE"""),"BLACK")</f>
        <v>BLACK</v>
      </c>
      <c r="G9055" s="20" t="str">
        <f>IFERROR(__xludf.DUMMYFUNCTION("""COMPUTED_VALUE"""),"Uncle Sams Cider (5/13/2022)")</f>
        <v>Uncle Sams Cider (5/13/2022)</v>
      </c>
      <c r="H9055" s="19"/>
    </row>
    <row r="9056">
      <c r="A9056" s="9"/>
      <c r="B9056" s="15"/>
      <c r="C9056" s="9">
        <f>IFERROR(__xludf.DUMMYFUNCTION("""COMPUTED_VALUE"""),44702.1825382754)</f>
        <v>44702.18254</v>
      </c>
      <c r="D9056" s="15">
        <f>IFERROR(__xludf.DUMMYFUNCTION("""COMPUTED_VALUE"""),1.051)</f>
        <v>1.051</v>
      </c>
      <c r="E9056" s="16">
        <f>IFERROR(__xludf.DUMMYFUNCTION("""COMPUTED_VALUE"""),69.0)</f>
        <v>69</v>
      </c>
      <c r="F9056" s="19" t="str">
        <f>IFERROR(__xludf.DUMMYFUNCTION("""COMPUTED_VALUE"""),"BLACK")</f>
        <v>BLACK</v>
      </c>
      <c r="G9056" s="20" t="str">
        <f>IFERROR(__xludf.DUMMYFUNCTION("""COMPUTED_VALUE"""),"Uncle Sams Cider (5/13/2022)")</f>
        <v>Uncle Sams Cider (5/13/2022)</v>
      </c>
      <c r="H9056" s="19"/>
    </row>
    <row r="9057">
      <c r="A9057" s="9"/>
      <c r="B9057" s="15"/>
      <c r="C9057" s="9">
        <f>IFERROR(__xludf.DUMMYFUNCTION("""COMPUTED_VALUE"""),44702.1721048148)</f>
        <v>44702.1721</v>
      </c>
      <c r="D9057" s="15">
        <f>IFERROR(__xludf.DUMMYFUNCTION("""COMPUTED_VALUE"""),1.052)</f>
        <v>1.052</v>
      </c>
      <c r="E9057" s="16">
        <f>IFERROR(__xludf.DUMMYFUNCTION("""COMPUTED_VALUE"""),69.0)</f>
        <v>69</v>
      </c>
      <c r="F9057" s="19" t="str">
        <f>IFERROR(__xludf.DUMMYFUNCTION("""COMPUTED_VALUE"""),"BLACK")</f>
        <v>BLACK</v>
      </c>
      <c r="G9057" s="20" t="str">
        <f>IFERROR(__xludf.DUMMYFUNCTION("""COMPUTED_VALUE"""),"Uncle Sams Cider (5/13/2022)")</f>
        <v>Uncle Sams Cider (5/13/2022)</v>
      </c>
      <c r="H9057" s="19"/>
    </row>
    <row r="9058">
      <c r="A9058" s="9"/>
      <c r="B9058" s="15"/>
      <c r="C9058" s="9">
        <f>IFERROR(__xludf.DUMMYFUNCTION("""COMPUTED_VALUE"""),44702.1616848842)</f>
        <v>44702.16168</v>
      </c>
      <c r="D9058" s="15">
        <f>IFERROR(__xludf.DUMMYFUNCTION("""COMPUTED_VALUE"""),1.052)</f>
        <v>1.052</v>
      </c>
      <c r="E9058" s="16">
        <f>IFERROR(__xludf.DUMMYFUNCTION("""COMPUTED_VALUE"""),69.0)</f>
        <v>69</v>
      </c>
      <c r="F9058" s="19" t="str">
        <f>IFERROR(__xludf.DUMMYFUNCTION("""COMPUTED_VALUE"""),"BLACK")</f>
        <v>BLACK</v>
      </c>
      <c r="G9058" s="20" t="str">
        <f>IFERROR(__xludf.DUMMYFUNCTION("""COMPUTED_VALUE"""),"Uncle Sams Cider (5/13/2022)")</f>
        <v>Uncle Sams Cider (5/13/2022)</v>
      </c>
      <c r="H9058" s="19"/>
    </row>
    <row r="9059">
      <c r="A9059" s="9"/>
      <c r="B9059" s="15"/>
      <c r="C9059" s="9">
        <f>IFERROR(__xludf.DUMMYFUNCTION("""COMPUTED_VALUE"""),44702.151264375)</f>
        <v>44702.15126</v>
      </c>
      <c r="D9059" s="15">
        <f>IFERROR(__xludf.DUMMYFUNCTION("""COMPUTED_VALUE"""),1.052)</f>
        <v>1.052</v>
      </c>
      <c r="E9059" s="16">
        <f>IFERROR(__xludf.DUMMYFUNCTION("""COMPUTED_VALUE"""),69.0)</f>
        <v>69</v>
      </c>
      <c r="F9059" s="19" t="str">
        <f>IFERROR(__xludf.DUMMYFUNCTION("""COMPUTED_VALUE"""),"BLACK")</f>
        <v>BLACK</v>
      </c>
      <c r="G9059" s="20" t="str">
        <f>IFERROR(__xludf.DUMMYFUNCTION("""COMPUTED_VALUE"""),"Uncle Sams Cider (5/13/2022)")</f>
        <v>Uncle Sams Cider (5/13/2022)</v>
      </c>
      <c r="H9059" s="19"/>
    </row>
    <row r="9060">
      <c r="A9060" s="9"/>
      <c r="B9060" s="15"/>
      <c r="C9060" s="9">
        <f>IFERROR(__xludf.DUMMYFUNCTION("""COMPUTED_VALUE"""),44702.1408429629)</f>
        <v>44702.14084</v>
      </c>
      <c r="D9060" s="15">
        <f>IFERROR(__xludf.DUMMYFUNCTION("""COMPUTED_VALUE"""),1.052)</f>
        <v>1.052</v>
      </c>
      <c r="E9060" s="16">
        <f>IFERROR(__xludf.DUMMYFUNCTION("""COMPUTED_VALUE"""),69.0)</f>
        <v>69</v>
      </c>
      <c r="F9060" s="19" t="str">
        <f>IFERROR(__xludf.DUMMYFUNCTION("""COMPUTED_VALUE"""),"BLACK")</f>
        <v>BLACK</v>
      </c>
      <c r="G9060" s="20" t="str">
        <f>IFERROR(__xludf.DUMMYFUNCTION("""COMPUTED_VALUE"""),"Uncle Sams Cider (5/13/2022)")</f>
        <v>Uncle Sams Cider (5/13/2022)</v>
      </c>
      <c r="H9060" s="19"/>
    </row>
    <row r="9061">
      <c r="A9061" s="9"/>
      <c r="B9061" s="15"/>
      <c r="C9061" s="9">
        <f>IFERROR(__xludf.DUMMYFUNCTION("""COMPUTED_VALUE"""),44702.1304094328)</f>
        <v>44702.13041</v>
      </c>
      <c r="D9061" s="15">
        <f>IFERROR(__xludf.DUMMYFUNCTION("""COMPUTED_VALUE"""),1.052)</f>
        <v>1.052</v>
      </c>
      <c r="E9061" s="16">
        <f>IFERROR(__xludf.DUMMYFUNCTION("""COMPUTED_VALUE"""),69.0)</f>
        <v>69</v>
      </c>
      <c r="F9061" s="19" t="str">
        <f>IFERROR(__xludf.DUMMYFUNCTION("""COMPUTED_VALUE"""),"BLACK")</f>
        <v>BLACK</v>
      </c>
      <c r="G9061" s="20" t="str">
        <f>IFERROR(__xludf.DUMMYFUNCTION("""COMPUTED_VALUE"""),"Uncle Sams Cider (5/13/2022)")</f>
        <v>Uncle Sams Cider (5/13/2022)</v>
      </c>
      <c r="H9061" s="19"/>
    </row>
    <row r="9062">
      <c r="A9062" s="9"/>
      <c r="B9062" s="15"/>
      <c r="C9062" s="9">
        <f>IFERROR(__xludf.DUMMYFUNCTION("""COMPUTED_VALUE"""),44702.1199736574)</f>
        <v>44702.11997</v>
      </c>
      <c r="D9062" s="15">
        <f>IFERROR(__xludf.DUMMYFUNCTION("""COMPUTED_VALUE"""),1.052)</f>
        <v>1.052</v>
      </c>
      <c r="E9062" s="16">
        <f>IFERROR(__xludf.DUMMYFUNCTION("""COMPUTED_VALUE"""),69.0)</f>
        <v>69</v>
      </c>
      <c r="F9062" s="19" t="str">
        <f>IFERROR(__xludf.DUMMYFUNCTION("""COMPUTED_VALUE"""),"BLACK")</f>
        <v>BLACK</v>
      </c>
      <c r="G9062" s="20" t="str">
        <f>IFERROR(__xludf.DUMMYFUNCTION("""COMPUTED_VALUE"""),"Uncle Sams Cider (5/13/2022)")</f>
        <v>Uncle Sams Cider (5/13/2022)</v>
      </c>
      <c r="H9062" s="19"/>
    </row>
    <row r="9063">
      <c r="A9063" s="9"/>
      <c r="B9063" s="15"/>
      <c r="C9063" s="9">
        <f>IFERROR(__xludf.DUMMYFUNCTION("""COMPUTED_VALUE"""),44702.1095514236)</f>
        <v>44702.10955</v>
      </c>
      <c r="D9063" s="15">
        <f>IFERROR(__xludf.DUMMYFUNCTION("""COMPUTED_VALUE"""),1.052)</f>
        <v>1.052</v>
      </c>
      <c r="E9063" s="16">
        <f>IFERROR(__xludf.DUMMYFUNCTION("""COMPUTED_VALUE"""),69.0)</f>
        <v>69</v>
      </c>
      <c r="F9063" s="19" t="str">
        <f>IFERROR(__xludf.DUMMYFUNCTION("""COMPUTED_VALUE"""),"BLACK")</f>
        <v>BLACK</v>
      </c>
      <c r="G9063" s="20" t="str">
        <f>IFERROR(__xludf.DUMMYFUNCTION("""COMPUTED_VALUE"""),"Uncle Sams Cider (5/13/2022)")</f>
        <v>Uncle Sams Cider (5/13/2022)</v>
      </c>
      <c r="H9063" s="19"/>
    </row>
    <row r="9064">
      <c r="A9064" s="9"/>
      <c r="B9064" s="15"/>
      <c r="C9064" s="9">
        <f>IFERROR(__xludf.DUMMYFUNCTION("""COMPUTED_VALUE"""),44702.0991309606)</f>
        <v>44702.09913</v>
      </c>
      <c r="D9064" s="15">
        <f>IFERROR(__xludf.DUMMYFUNCTION("""COMPUTED_VALUE"""),1.052)</f>
        <v>1.052</v>
      </c>
      <c r="E9064" s="16">
        <f>IFERROR(__xludf.DUMMYFUNCTION("""COMPUTED_VALUE"""),69.0)</f>
        <v>69</v>
      </c>
      <c r="F9064" s="19" t="str">
        <f>IFERROR(__xludf.DUMMYFUNCTION("""COMPUTED_VALUE"""),"BLACK")</f>
        <v>BLACK</v>
      </c>
      <c r="G9064" s="20" t="str">
        <f>IFERROR(__xludf.DUMMYFUNCTION("""COMPUTED_VALUE"""),"Uncle Sams Cider (5/13/2022)")</f>
        <v>Uncle Sams Cider (5/13/2022)</v>
      </c>
      <c r="H9064" s="19"/>
    </row>
    <row r="9065">
      <c r="A9065" s="9"/>
      <c r="B9065" s="15"/>
      <c r="C9065" s="9">
        <f>IFERROR(__xludf.DUMMYFUNCTION("""COMPUTED_VALUE"""),44702.0887105555)</f>
        <v>44702.08871</v>
      </c>
      <c r="D9065" s="15">
        <f>IFERROR(__xludf.DUMMYFUNCTION("""COMPUTED_VALUE"""),1.052)</f>
        <v>1.052</v>
      </c>
      <c r="E9065" s="16">
        <f>IFERROR(__xludf.DUMMYFUNCTION("""COMPUTED_VALUE"""),69.0)</f>
        <v>69</v>
      </c>
      <c r="F9065" s="19" t="str">
        <f>IFERROR(__xludf.DUMMYFUNCTION("""COMPUTED_VALUE"""),"BLACK")</f>
        <v>BLACK</v>
      </c>
      <c r="G9065" s="20" t="str">
        <f>IFERROR(__xludf.DUMMYFUNCTION("""COMPUTED_VALUE"""),"Uncle Sams Cider (5/13/2022)")</f>
        <v>Uncle Sams Cider (5/13/2022)</v>
      </c>
      <c r="H9065" s="19"/>
    </row>
    <row r="9066">
      <c r="A9066" s="9"/>
      <c r="B9066" s="15"/>
      <c r="C9066" s="9">
        <f>IFERROR(__xludf.DUMMYFUNCTION("""COMPUTED_VALUE"""),44702.0782884259)</f>
        <v>44702.07829</v>
      </c>
      <c r="D9066" s="15">
        <f>IFERROR(__xludf.DUMMYFUNCTION("""COMPUTED_VALUE"""),1.052)</f>
        <v>1.052</v>
      </c>
      <c r="E9066" s="16">
        <f>IFERROR(__xludf.DUMMYFUNCTION("""COMPUTED_VALUE"""),69.0)</f>
        <v>69</v>
      </c>
      <c r="F9066" s="19" t="str">
        <f>IFERROR(__xludf.DUMMYFUNCTION("""COMPUTED_VALUE"""),"BLACK")</f>
        <v>BLACK</v>
      </c>
      <c r="G9066" s="20" t="str">
        <f>IFERROR(__xludf.DUMMYFUNCTION("""COMPUTED_VALUE"""),"Uncle Sams Cider (5/13/2022)")</f>
        <v>Uncle Sams Cider (5/13/2022)</v>
      </c>
      <c r="H9066" s="19"/>
    </row>
    <row r="9067">
      <c r="A9067" s="9"/>
      <c r="B9067" s="15"/>
      <c r="C9067" s="9">
        <f>IFERROR(__xludf.DUMMYFUNCTION("""COMPUTED_VALUE"""),44702.0678682407)</f>
        <v>44702.06787</v>
      </c>
      <c r="D9067" s="15">
        <f>IFERROR(__xludf.DUMMYFUNCTION("""COMPUTED_VALUE"""),1.052)</f>
        <v>1.052</v>
      </c>
      <c r="E9067" s="16">
        <f>IFERROR(__xludf.DUMMYFUNCTION("""COMPUTED_VALUE"""),69.0)</f>
        <v>69</v>
      </c>
      <c r="F9067" s="19" t="str">
        <f>IFERROR(__xludf.DUMMYFUNCTION("""COMPUTED_VALUE"""),"BLACK")</f>
        <v>BLACK</v>
      </c>
      <c r="G9067" s="20" t="str">
        <f>IFERROR(__xludf.DUMMYFUNCTION("""COMPUTED_VALUE"""),"Uncle Sams Cider (5/13/2022)")</f>
        <v>Uncle Sams Cider (5/13/2022)</v>
      </c>
      <c r="H9067" s="19"/>
    </row>
    <row r="9068">
      <c r="A9068" s="9"/>
      <c r="B9068" s="15"/>
      <c r="C9068" s="9">
        <f>IFERROR(__xludf.DUMMYFUNCTION("""COMPUTED_VALUE"""),44702.0574460995)</f>
        <v>44702.05745</v>
      </c>
      <c r="D9068" s="15">
        <f>IFERROR(__xludf.DUMMYFUNCTION("""COMPUTED_VALUE"""),1.052)</f>
        <v>1.052</v>
      </c>
      <c r="E9068" s="16">
        <f>IFERROR(__xludf.DUMMYFUNCTION("""COMPUTED_VALUE"""),69.0)</f>
        <v>69</v>
      </c>
      <c r="F9068" s="19" t="str">
        <f>IFERROR(__xludf.DUMMYFUNCTION("""COMPUTED_VALUE"""),"BLACK")</f>
        <v>BLACK</v>
      </c>
      <c r="G9068" s="20" t="str">
        <f>IFERROR(__xludf.DUMMYFUNCTION("""COMPUTED_VALUE"""),"Uncle Sams Cider (5/13/2022)")</f>
        <v>Uncle Sams Cider (5/13/2022)</v>
      </c>
      <c r="H9068" s="19"/>
    </row>
    <row r="9069">
      <c r="A9069" s="9"/>
      <c r="B9069" s="15"/>
      <c r="C9069" s="9">
        <f>IFERROR(__xludf.DUMMYFUNCTION("""COMPUTED_VALUE"""),44702.0470237384)</f>
        <v>44702.04702</v>
      </c>
      <c r="D9069" s="15">
        <f>IFERROR(__xludf.DUMMYFUNCTION("""COMPUTED_VALUE"""),1.052)</f>
        <v>1.052</v>
      </c>
      <c r="E9069" s="16">
        <f>IFERROR(__xludf.DUMMYFUNCTION("""COMPUTED_VALUE"""),69.0)</f>
        <v>69</v>
      </c>
      <c r="F9069" s="19" t="str">
        <f>IFERROR(__xludf.DUMMYFUNCTION("""COMPUTED_VALUE"""),"BLACK")</f>
        <v>BLACK</v>
      </c>
      <c r="G9069" s="20" t="str">
        <f>IFERROR(__xludf.DUMMYFUNCTION("""COMPUTED_VALUE"""),"Uncle Sams Cider (5/13/2022)")</f>
        <v>Uncle Sams Cider (5/13/2022)</v>
      </c>
      <c r="H9069" s="19"/>
    </row>
    <row r="9070">
      <c r="A9070" s="9"/>
      <c r="B9070" s="15"/>
      <c r="C9070" s="9">
        <f>IFERROR(__xludf.DUMMYFUNCTION("""COMPUTED_VALUE"""),44702.0366023842)</f>
        <v>44702.0366</v>
      </c>
      <c r="D9070" s="15">
        <f>IFERROR(__xludf.DUMMYFUNCTION("""COMPUTED_VALUE"""),1.052)</f>
        <v>1.052</v>
      </c>
      <c r="E9070" s="16">
        <f>IFERROR(__xludf.DUMMYFUNCTION("""COMPUTED_VALUE"""),69.0)</f>
        <v>69</v>
      </c>
      <c r="F9070" s="19" t="str">
        <f>IFERROR(__xludf.DUMMYFUNCTION("""COMPUTED_VALUE"""),"BLACK")</f>
        <v>BLACK</v>
      </c>
      <c r="G9070" s="20" t="str">
        <f>IFERROR(__xludf.DUMMYFUNCTION("""COMPUTED_VALUE"""),"Uncle Sams Cider (5/13/2022)")</f>
        <v>Uncle Sams Cider (5/13/2022)</v>
      </c>
      <c r="H9070" s="19"/>
    </row>
    <row r="9071">
      <c r="A9071" s="9"/>
      <c r="B9071" s="15"/>
      <c r="C9071" s="9">
        <f>IFERROR(__xludf.DUMMYFUNCTION("""COMPUTED_VALUE"""),44702.0261703819)</f>
        <v>44702.02617</v>
      </c>
      <c r="D9071" s="15">
        <f>IFERROR(__xludf.DUMMYFUNCTION("""COMPUTED_VALUE"""),1.052)</f>
        <v>1.052</v>
      </c>
      <c r="E9071" s="16">
        <f>IFERROR(__xludf.DUMMYFUNCTION("""COMPUTED_VALUE"""),69.0)</f>
        <v>69</v>
      </c>
      <c r="F9071" s="19" t="str">
        <f>IFERROR(__xludf.DUMMYFUNCTION("""COMPUTED_VALUE"""),"BLACK")</f>
        <v>BLACK</v>
      </c>
      <c r="G9071" s="20" t="str">
        <f>IFERROR(__xludf.DUMMYFUNCTION("""COMPUTED_VALUE"""),"Uncle Sams Cider (5/13/2022)")</f>
        <v>Uncle Sams Cider (5/13/2022)</v>
      </c>
      <c r="H9071" s="19"/>
    </row>
    <row r="9072">
      <c r="A9072" s="9"/>
      <c r="B9072" s="15"/>
      <c r="C9072" s="9">
        <f>IFERROR(__xludf.DUMMYFUNCTION("""COMPUTED_VALUE"""),44702.0157376504)</f>
        <v>44702.01574</v>
      </c>
      <c r="D9072" s="15">
        <f>IFERROR(__xludf.DUMMYFUNCTION("""COMPUTED_VALUE"""),1.053)</f>
        <v>1.053</v>
      </c>
      <c r="E9072" s="16">
        <f>IFERROR(__xludf.DUMMYFUNCTION("""COMPUTED_VALUE"""),69.0)</f>
        <v>69</v>
      </c>
      <c r="F9072" s="19" t="str">
        <f>IFERROR(__xludf.DUMMYFUNCTION("""COMPUTED_VALUE"""),"BLACK")</f>
        <v>BLACK</v>
      </c>
      <c r="G9072" s="20" t="str">
        <f>IFERROR(__xludf.DUMMYFUNCTION("""COMPUTED_VALUE"""),"Uncle Sams Cider (5/13/2022)")</f>
        <v>Uncle Sams Cider (5/13/2022)</v>
      </c>
      <c r="H9072" s="19"/>
    </row>
    <row r="9073">
      <c r="A9073" s="9"/>
      <c r="B9073" s="15"/>
      <c r="C9073" s="9">
        <f>IFERROR(__xludf.DUMMYFUNCTION("""COMPUTED_VALUE"""),44702.0053165046)</f>
        <v>44702.00532</v>
      </c>
      <c r="D9073" s="15">
        <f>IFERROR(__xludf.DUMMYFUNCTION("""COMPUTED_VALUE"""),1.053)</f>
        <v>1.053</v>
      </c>
      <c r="E9073" s="16">
        <f>IFERROR(__xludf.DUMMYFUNCTION("""COMPUTED_VALUE"""),69.0)</f>
        <v>69</v>
      </c>
      <c r="F9073" s="19" t="str">
        <f>IFERROR(__xludf.DUMMYFUNCTION("""COMPUTED_VALUE"""),"BLACK")</f>
        <v>BLACK</v>
      </c>
      <c r="G9073" s="20" t="str">
        <f>IFERROR(__xludf.DUMMYFUNCTION("""COMPUTED_VALUE"""),"Uncle Sams Cider (5/13/2022)")</f>
        <v>Uncle Sams Cider (5/13/2022)</v>
      </c>
      <c r="H9073" s="19"/>
    </row>
    <row r="9074">
      <c r="A9074" s="9"/>
      <c r="B9074" s="15"/>
      <c r="C9074" s="9">
        <f>IFERROR(__xludf.DUMMYFUNCTION("""COMPUTED_VALUE"""),44701.9948931018)</f>
        <v>44701.99489</v>
      </c>
      <c r="D9074" s="15">
        <f>IFERROR(__xludf.DUMMYFUNCTION("""COMPUTED_VALUE"""),1.053)</f>
        <v>1.053</v>
      </c>
      <c r="E9074" s="16">
        <f>IFERROR(__xludf.DUMMYFUNCTION("""COMPUTED_VALUE"""),69.0)</f>
        <v>69</v>
      </c>
      <c r="F9074" s="19" t="str">
        <f>IFERROR(__xludf.DUMMYFUNCTION("""COMPUTED_VALUE"""),"BLACK")</f>
        <v>BLACK</v>
      </c>
      <c r="G9074" s="20" t="str">
        <f>IFERROR(__xludf.DUMMYFUNCTION("""COMPUTED_VALUE"""),"Uncle Sams Cider (5/13/2022)")</f>
        <v>Uncle Sams Cider (5/13/2022)</v>
      </c>
      <c r="H9074" s="19"/>
    </row>
    <row r="9075">
      <c r="A9075" s="9"/>
      <c r="B9075" s="15"/>
      <c r="C9075" s="9">
        <f>IFERROR(__xludf.DUMMYFUNCTION("""COMPUTED_VALUE"""),44701.9844714583)</f>
        <v>44701.98447</v>
      </c>
      <c r="D9075" s="15">
        <f>IFERROR(__xludf.DUMMYFUNCTION("""COMPUTED_VALUE"""),1.053)</f>
        <v>1.053</v>
      </c>
      <c r="E9075" s="16">
        <f>IFERROR(__xludf.DUMMYFUNCTION("""COMPUTED_VALUE"""),69.0)</f>
        <v>69</v>
      </c>
      <c r="F9075" s="19" t="str">
        <f>IFERROR(__xludf.DUMMYFUNCTION("""COMPUTED_VALUE"""),"BLACK")</f>
        <v>BLACK</v>
      </c>
      <c r="G9075" s="20" t="str">
        <f>IFERROR(__xludf.DUMMYFUNCTION("""COMPUTED_VALUE"""),"Uncle Sams Cider (5/13/2022)")</f>
        <v>Uncle Sams Cider (5/13/2022)</v>
      </c>
      <c r="H9075" s="19"/>
    </row>
    <row r="9076">
      <c r="A9076" s="9"/>
      <c r="B9076" s="15"/>
      <c r="C9076" s="9">
        <f>IFERROR(__xludf.DUMMYFUNCTION("""COMPUTED_VALUE"""),44701.9740500347)</f>
        <v>44701.97405</v>
      </c>
      <c r="D9076" s="15">
        <f>IFERROR(__xludf.DUMMYFUNCTION("""COMPUTED_VALUE"""),1.053)</f>
        <v>1.053</v>
      </c>
      <c r="E9076" s="16">
        <f>IFERROR(__xludf.DUMMYFUNCTION("""COMPUTED_VALUE"""),68.0)</f>
        <v>68</v>
      </c>
      <c r="F9076" s="19" t="str">
        <f>IFERROR(__xludf.DUMMYFUNCTION("""COMPUTED_VALUE"""),"BLACK")</f>
        <v>BLACK</v>
      </c>
      <c r="G9076" s="20" t="str">
        <f>IFERROR(__xludf.DUMMYFUNCTION("""COMPUTED_VALUE"""),"Uncle Sams Cider (5/13/2022)")</f>
        <v>Uncle Sams Cider (5/13/2022)</v>
      </c>
      <c r="H9076" s="19"/>
    </row>
    <row r="9077">
      <c r="A9077" s="9"/>
      <c r="B9077" s="15"/>
      <c r="C9077" s="9">
        <f>IFERROR(__xludf.DUMMYFUNCTION("""COMPUTED_VALUE"""),44701.9635819676)</f>
        <v>44701.96358</v>
      </c>
      <c r="D9077" s="15">
        <f>IFERROR(__xludf.DUMMYFUNCTION("""COMPUTED_VALUE"""),1.053)</f>
        <v>1.053</v>
      </c>
      <c r="E9077" s="16">
        <f>IFERROR(__xludf.DUMMYFUNCTION("""COMPUTED_VALUE"""),68.0)</f>
        <v>68</v>
      </c>
      <c r="F9077" s="19" t="str">
        <f>IFERROR(__xludf.DUMMYFUNCTION("""COMPUTED_VALUE"""),"BLACK")</f>
        <v>BLACK</v>
      </c>
      <c r="G9077" s="20" t="str">
        <f>IFERROR(__xludf.DUMMYFUNCTION("""COMPUTED_VALUE"""),"Uncle Sams Cider (5/13/2022)")</f>
        <v>Uncle Sams Cider (5/13/2022)</v>
      </c>
      <c r="H9077" s="19"/>
    </row>
    <row r="9078">
      <c r="A9078" s="9"/>
      <c r="B9078" s="15"/>
      <c r="C9078" s="9">
        <f>IFERROR(__xludf.DUMMYFUNCTION("""COMPUTED_VALUE"""),44701.9531616666)</f>
        <v>44701.95316</v>
      </c>
      <c r="D9078" s="15">
        <f>IFERROR(__xludf.DUMMYFUNCTION("""COMPUTED_VALUE"""),1.053)</f>
        <v>1.053</v>
      </c>
      <c r="E9078" s="16">
        <f>IFERROR(__xludf.DUMMYFUNCTION("""COMPUTED_VALUE"""),68.0)</f>
        <v>68</v>
      </c>
      <c r="F9078" s="19" t="str">
        <f>IFERROR(__xludf.DUMMYFUNCTION("""COMPUTED_VALUE"""),"BLACK")</f>
        <v>BLACK</v>
      </c>
      <c r="G9078" s="20" t="str">
        <f>IFERROR(__xludf.DUMMYFUNCTION("""COMPUTED_VALUE"""),"Uncle Sams Cider (5/13/2022)")</f>
        <v>Uncle Sams Cider (5/13/2022)</v>
      </c>
      <c r="H9078" s="19"/>
    </row>
    <row r="9079">
      <c r="A9079" s="9"/>
      <c r="B9079" s="15"/>
      <c r="C9079" s="9">
        <f>IFERROR(__xludf.DUMMYFUNCTION("""COMPUTED_VALUE"""),44701.9427402083)</f>
        <v>44701.94274</v>
      </c>
      <c r="D9079" s="15">
        <f>IFERROR(__xludf.DUMMYFUNCTION("""COMPUTED_VALUE"""),1.053)</f>
        <v>1.053</v>
      </c>
      <c r="E9079" s="16">
        <f>IFERROR(__xludf.DUMMYFUNCTION("""COMPUTED_VALUE"""),68.0)</f>
        <v>68</v>
      </c>
      <c r="F9079" s="19" t="str">
        <f>IFERROR(__xludf.DUMMYFUNCTION("""COMPUTED_VALUE"""),"BLACK")</f>
        <v>BLACK</v>
      </c>
      <c r="G9079" s="20" t="str">
        <f>IFERROR(__xludf.DUMMYFUNCTION("""COMPUTED_VALUE"""),"Uncle Sams Cider (5/13/2022)")</f>
        <v>Uncle Sams Cider (5/13/2022)</v>
      </c>
      <c r="H9079" s="19"/>
    </row>
    <row r="9080">
      <c r="A9080" s="9"/>
      <c r="B9080" s="15"/>
      <c r="C9080" s="9">
        <f>IFERROR(__xludf.DUMMYFUNCTION("""COMPUTED_VALUE"""),44701.9323055324)</f>
        <v>44701.93231</v>
      </c>
      <c r="D9080" s="15">
        <f>IFERROR(__xludf.DUMMYFUNCTION("""COMPUTED_VALUE"""),1.053)</f>
        <v>1.053</v>
      </c>
      <c r="E9080" s="16">
        <f>IFERROR(__xludf.DUMMYFUNCTION("""COMPUTED_VALUE"""),68.0)</f>
        <v>68</v>
      </c>
      <c r="F9080" s="19" t="str">
        <f>IFERROR(__xludf.DUMMYFUNCTION("""COMPUTED_VALUE"""),"BLACK")</f>
        <v>BLACK</v>
      </c>
      <c r="G9080" s="20" t="str">
        <f>IFERROR(__xludf.DUMMYFUNCTION("""COMPUTED_VALUE"""),"Uncle Sams Cider (5/13/2022)")</f>
        <v>Uncle Sams Cider (5/13/2022)</v>
      </c>
      <c r="H9080" s="19"/>
    </row>
    <row r="9081">
      <c r="A9081" s="9"/>
      <c r="B9081" s="15"/>
      <c r="C9081" s="9">
        <f>IFERROR(__xludf.DUMMYFUNCTION("""COMPUTED_VALUE"""),44701.921883287)</f>
        <v>44701.92188</v>
      </c>
      <c r="D9081" s="15">
        <f>IFERROR(__xludf.DUMMYFUNCTION("""COMPUTED_VALUE"""),1.053)</f>
        <v>1.053</v>
      </c>
      <c r="E9081" s="16">
        <f>IFERROR(__xludf.DUMMYFUNCTION("""COMPUTED_VALUE"""),68.0)</f>
        <v>68</v>
      </c>
      <c r="F9081" s="19" t="str">
        <f>IFERROR(__xludf.DUMMYFUNCTION("""COMPUTED_VALUE"""),"BLACK")</f>
        <v>BLACK</v>
      </c>
      <c r="G9081" s="20" t="str">
        <f>IFERROR(__xludf.DUMMYFUNCTION("""COMPUTED_VALUE"""),"Uncle Sams Cider (5/13/2022)")</f>
        <v>Uncle Sams Cider (5/13/2022)</v>
      </c>
      <c r="H9081" s="19"/>
    </row>
    <row r="9082">
      <c r="A9082" s="9"/>
      <c r="B9082" s="15"/>
      <c r="C9082" s="9">
        <f>IFERROR(__xludf.DUMMYFUNCTION("""COMPUTED_VALUE"""),44701.9114494328)</f>
        <v>44701.91145</v>
      </c>
      <c r="D9082" s="15">
        <f>IFERROR(__xludf.DUMMYFUNCTION("""COMPUTED_VALUE"""),1.053)</f>
        <v>1.053</v>
      </c>
      <c r="E9082" s="16">
        <f>IFERROR(__xludf.DUMMYFUNCTION("""COMPUTED_VALUE"""),68.0)</f>
        <v>68</v>
      </c>
      <c r="F9082" s="19" t="str">
        <f>IFERROR(__xludf.DUMMYFUNCTION("""COMPUTED_VALUE"""),"BLACK")</f>
        <v>BLACK</v>
      </c>
      <c r="G9082" s="20" t="str">
        <f>IFERROR(__xludf.DUMMYFUNCTION("""COMPUTED_VALUE"""),"Uncle Sams Cider (5/13/2022)")</f>
        <v>Uncle Sams Cider (5/13/2022)</v>
      </c>
      <c r="H9082" s="19"/>
    </row>
    <row r="9083">
      <c r="A9083" s="9"/>
      <c r="B9083" s="15"/>
      <c r="C9083" s="9">
        <f>IFERROR(__xludf.DUMMYFUNCTION("""COMPUTED_VALUE"""),44701.9010292708)</f>
        <v>44701.90103</v>
      </c>
      <c r="D9083" s="15">
        <f>IFERROR(__xludf.DUMMYFUNCTION("""COMPUTED_VALUE"""),1.054)</f>
        <v>1.054</v>
      </c>
      <c r="E9083" s="16">
        <f>IFERROR(__xludf.DUMMYFUNCTION("""COMPUTED_VALUE"""),68.0)</f>
        <v>68</v>
      </c>
      <c r="F9083" s="19" t="str">
        <f>IFERROR(__xludf.DUMMYFUNCTION("""COMPUTED_VALUE"""),"BLACK")</f>
        <v>BLACK</v>
      </c>
      <c r="G9083" s="20" t="str">
        <f>IFERROR(__xludf.DUMMYFUNCTION("""COMPUTED_VALUE"""),"Uncle Sams Cider (5/13/2022)")</f>
        <v>Uncle Sams Cider (5/13/2022)</v>
      </c>
      <c r="H9083" s="19"/>
    </row>
    <row r="9084">
      <c r="A9084" s="9"/>
      <c r="B9084" s="15"/>
      <c r="C9084" s="9">
        <f>IFERROR(__xludf.DUMMYFUNCTION("""COMPUTED_VALUE"""),44701.8906087037)</f>
        <v>44701.89061</v>
      </c>
      <c r="D9084" s="15">
        <f>IFERROR(__xludf.DUMMYFUNCTION("""COMPUTED_VALUE"""),1.053)</f>
        <v>1.053</v>
      </c>
      <c r="E9084" s="16">
        <f>IFERROR(__xludf.DUMMYFUNCTION("""COMPUTED_VALUE"""),68.0)</f>
        <v>68</v>
      </c>
      <c r="F9084" s="19" t="str">
        <f>IFERROR(__xludf.DUMMYFUNCTION("""COMPUTED_VALUE"""),"BLACK")</f>
        <v>BLACK</v>
      </c>
      <c r="G9084" s="20" t="str">
        <f>IFERROR(__xludf.DUMMYFUNCTION("""COMPUTED_VALUE"""),"Uncle Sams Cider (5/13/2022)")</f>
        <v>Uncle Sams Cider (5/13/2022)</v>
      </c>
      <c r="H9084" s="19"/>
    </row>
    <row r="9085">
      <c r="A9085" s="9"/>
      <c r="B9085" s="15"/>
      <c r="C9085" s="9">
        <f>IFERROR(__xludf.DUMMYFUNCTION("""COMPUTED_VALUE"""),44701.8801872916)</f>
        <v>44701.88019</v>
      </c>
      <c r="D9085" s="15">
        <f>IFERROR(__xludf.DUMMYFUNCTION("""COMPUTED_VALUE"""),1.054)</f>
        <v>1.054</v>
      </c>
      <c r="E9085" s="16">
        <f>IFERROR(__xludf.DUMMYFUNCTION("""COMPUTED_VALUE"""),68.0)</f>
        <v>68</v>
      </c>
      <c r="F9085" s="19" t="str">
        <f>IFERROR(__xludf.DUMMYFUNCTION("""COMPUTED_VALUE"""),"BLACK")</f>
        <v>BLACK</v>
      </c>
      <c r="G9085" s="20" t="str">
        <f>IFERROR(__xludf.DUMMYFUNCTION("""COMPUTED_VALUE"""),"Uncle Sams Cider (5/13/2022)")</f>
        <v>Uncle Sams Cider (5/13/2022)</v>
      </c>
      <c r="H9085" s="19"/>
    </row>
    <row r="9086">
      <c r="A9086" s="9"/>
      <c r="B9086" s="15"/>
      <c r="C9086" s="9">
        <f>IFERROR(__xludf.DUMMYFUNCTION("""COMPUTED_VALUE"""),44701.8697676504)</f>
        <v>44701.86977</v>
      </c>
      <c r="D9086" s="15">
        <f>IFERROR(__xludf.DUMMYFUNCTION("""COMPUTED_VALUE"""),1.054)</f>
        <v>1.054</v>
      </c>
      <c r="E9086" s="16">
        <f>IFERROR(__xludf.DUMMYFUNCTION("""COMPUTED_VALUE"""),68.0)</f>
        <v>68</v>
      </c>
      <c r="F9086" s="19" t="str">
        <f>IFERROR(__xludf.DUMMYFUNCTION("""COMPUTED_VALUE"""),"BLACK")</f>
        <v>BLACK</v>
      </c>
      <c r="G9086" s="20" t="str">
        <f>IFERROR(__xludf.DUMMYFUNCTION("""COMPUTED_VALUE"""),"Uncle Sams Cider (5/13/2022)")</f>
        <v>Uncle Sams Cider (5/13/2022)</v>
      </c>
      <c r="H9086" s="19"/>
    </row>
    <row r="9087">
      <c r="A9087" s="9"/>
      <c r="B9087" s="15"/>
      <c r="C9087" s="9">
        <f>IFERROR(__xludf.DUMMYFUNCTION("""COMPUTED_VALUE"""),44701.8593455671)</f>
        <v>44701.85935</v>
      </c>
      <c r="D9087" s="15">
        <f>IFERROR(__xludf.DUMMYFUNCTION("""COMPUTED_VALUE"""),1.054)</f>
        <v>1.054</v>
      </c>
      <c r="E9087" s="16">
        <f>IFERROR(__xludf.DUMMYFUNCTION("""COMPUTED_VALUE"""),68.0)</f>
        <v>68</v>
      </c>
      <c r="F9087" s="19" t="str">
        <f>IFERROR(__xludf.DUMMYFUNCTION("""COMPUTED_VALUE"""),"BLACK")</f>
        <v>BLACK</v>
      </c>
      <c r="G9087" s="20" t="str">
        <f>IFERROR(__xludf.DUMMYFUNCTION("""COMPUTED_VALUE"""),"Uncle Sams Cider (5/13/2022)")</f>
        <v>Uncle Sams Cider (5/13/2022)</v>
      </c>
      <c r="H9087" s="19"/>
    </row>
    <row r="9088">
      <c r="A9088" s="9"/>
      <c r="B9088" s="15"/>
      <c r="C9088" s="9">
        <f>IFERROR(__xludf.DUMMYFUNCTION("""COMPUTED_VALUE"""),44701.8489124421)</f>
        <v>44701.84891</v>
      </c>
      <c r="D9088" s="15">
        <f>IFERROR(__xludf.DUMMYFUNCTION("""COMPUTED_VALUE"""),1.054)</f>
        <v>1.054</v>
      </c>
      <c r="E9088" s="16">
        <f>IFERROR(__xludf.DUMMYFUNCTION("""COMPUTED_VALUE"""),68.0)</f>
        <v>68</v>
      </c>
      <c r="F9088" s="19" t="str">
        <f>IFERROR(__xludf.DUMMYFUNCTION("""COMPUTED_VALUE"""),"BLACK")</f>
        <v>BLACK</v>
      </c>
      <c r="G9088" s="20" t="str">
        <f>IFERROR(__xludf.DUMMYFUNCTION("""COMPUTED_VALUE"""),"Uncle Sams Cider (5/13/2022)")</f>
        <v>Uncle Sams Cider (5/13/2022)</v>
      </c>
      <c r="H9088" s="19"/>
    </row>
    <row r="9089">
      <c r="A9089" s="9"/>
      <c r="B9089" s="15"/>
      <c r="C9089" s="9">
        <f>IFERROR(__xludf.DUMMYFUNCTION("""COMPUTED_VALUE"""),44701.8384903935)</f>
        <v>44701.83849</v>
      </c>
      <c r="D9089" s="15">
        <f>IFERROR(__xludf.DUMMYFUNCTION("""COMPUTED_VALUE"""),1.054)</f>
        <v>1.054</v>
      </c>
      <c r="E9089" s="16">
        <f>IFERROR(__xludf.DUMMYFUNCTION("""COMPUTED_VALUE"""),68.0)</f>
        <v>68</v>
      </c>
      <c r="F9089" s="19" t="str">
        <f>IFERROR(__xludf.DUMMYFUNCTION("""COMPUTED_VALUE"""),"BLACK")</f>
        <v>BLACK</v>
      </c>
      <c r="G9089" s="20" t="str">
        <f>IFERROR(__xludf.DUMMYFUNCTION("""COMPUTED_VALUE"""),"Uncle Sams Cider (5/13/2022)")</f>
        <v>Uncle Sams Cider (5/13/2022)</v>
      </c>
      <c r="H9089" s="19"/>
    </row>
    <row r="9090">
      <c r="A9090" s="9"/>
      <c r="B9090" s="15"/>
      <c r="C9090" s="9">
        <f>IFERROR(__xludf.DUMMYFUNCTION("""COMPUTED_VALUE"""),44701.8280553819)</f>
        <v>44701.82806</v>
      </c>
      <c r="D9090" s="15">
        <f>IFERROR(__xludf.DUMMYFUNCTION("""COMPUTED_VALUE"""),1.054)</f>
        <v>1.054</v>
      </c>
      <c r="E9090" s="16">
        <f>IFERROR(__xludf.DUMMYFUNCTION("""COMPUTED_VALUE"""),68.0)</f>
        <v>68</v>
      </c>
      <c r="F9090" s="19" t="str">
        <f>IFERROR(__xludf.DUMMYFUNCTION("""COMPUTED_VALUE"""),"BLACK")</f>
        <v>BLACK</v>
      </c>
      <c r="G9090" s="20" t="str">
        <f>IFERROR(__xludf.DUMMYFUNCTION("""COMPUTED_VALUE"""),"Uncle Sams Cider (5/13/2022)")</f>
        <v>Uncle Sams Cider (5/13/2022)</v>
      </c>
      <c r="H9090" s="19"/>
    </row>
    <row r="9091">
      <c r="A9091" s="9"/>
      <c r="B9091" s="15"/>
      <c r="C9091" s="9">
        <f>IFERROR(__xludf.DUMMYFUNCTION("""COMPUTED_VALUE"""),44701.8176340162)</f>
        <v>44701.81763</v>
      </c>
      <c r="D9091" s="15">
        <f>IFERROR(__xludf.DUMMYFUNCTION("""COMPUTED_VALUE"""),1.054)</f>
        <v>1.054</v>
      </c>
      <c r="E9091" s="16">
        <f>IFERROR(__xludf.DUMMYFUNCTION("""COMPUTED_VALUE"""),68.0)</f>
        <v>68</v>
      </c>
      <c r="F9091" s="19" t="str">
        <f>IFERROR(__xludf.DUMMYFUNCTION("""COMPUTED_VALUE"""),"BLACK")</f>
        <v>BLACK</v>
      </c>
      <c r="G9091" s="20" t="str">
        <f>IFERROR(__xludf.DUMMYFUNCTION("""COMPUTED_VALUE"""),"Uncle Sams Cider (5/13/2022)")</f>
        <v>Uncle Sams Cider (5/13/2022)</v>
      </c>
      <c r="H9091" s="19"/>
    </row>
    <row r="9092">
      <c r="A9092" s="9"/>
      <c r="B9092" s="15"/>
      <c r="C9092" s="9">
        <f>IFERROR(__xludf.DUMMYFUNCTION("""COMPUTED_VALUE"""),44701.8072129861)</f>
        <v>44701.80721</v>
      </c>
      <c r="D9092" s="15">
        <f>IFERROR(__xludf.DUMMYFUNCTION("""COMPUTED_VALUE"""),1.054)</f>
        <v>1.054</v>
      </c>
      <c r="E9092" s="16">
        <f>IFERROR(__xludf.DUMMYFUNCTION("""COMPUTED_VALUE"""),68.0)</f>
        <v>68</v>
      </c>
      <c r="F9092" s="19" t="str">
        <f>IFERROR(__xludf.DUMMYFUNCTION("""COMPUTED_VALUE"""),"BLACK")</f>
        <v>BLACK</v>
      </c>
      <c r="G9092" s="20" t="str">
        <f>IFERROR(__xludf.DUMMYFUNCTION("""COMPUTED_VALUE"""),"Uncle Sams Cider (5/13/2022)")</f>
        <v>Uncle Sams Cider (5/13/2022)</v>
      </c>
      <c r="H9092" s="19"/>
    </row>
    <row r="9093">
      <c r="A9093" s="9"/>
      <c r="B9093" s="15"/>
      <c r="C9093" s="9">
        <f>IFERROR(__xludf.DUMMYFUNCTION("""COMPUTED_VALUE"""),44701.7967921527)</f>
        <v>44701.79679</v>
      </c>
      <c r="D9093" s="15">
        <f>IFERROR(__xludf.DUMMYFUNCTION("""COMPUTED_VALUE"""),1.054)</f>
        <v>1.054</v>
      </c>
      <c r="E9093" s="16">
        <f>IFERROR(__xludf.DUMMYFUNCTION("""COMPUTED_VALUE"""),68.0)</f>
        <v>68</v>
      </c>
      <c r="F9093" s="19" t="str">
        <f>IFERROR(__xludf.DUMMYFUNCTION("""COMPUTED_VALUE"""),"BLACK")</f>
        <v>BLACK</v>
      </c>
      <c r="G9093" s="20" t="str">
        <f>IFERROR(__xludf.DUMMYFUNCTION("""COMPUTED_VALUE"""),"Uncle Sams Cider (5/13/2022)")</f>
        <v>Uncle Sams Cider (5/13/2022)</v>
      </c>
      <c r="H9093" s="19"/>
    </row>
    <row r="9094">
      <c r="A9094" s="9"/>
      <c r="B9094" s="15"/>
      <c r="C9094" s="9">
        <f>IFERROR(__xludf.DUMMYFUNCTION("""COMPUTED_VALUE"""),44701.7863689236)</f>
        <v>44701.78637</v>
      </c>
      <c r="D9094" s="15">
        <f>IFERROR(__xludf.DUMMYFUNCTION("""COMPUTED_VALUE"""),1.054)</f>
        <v>1.054</v>
      </c>
      <c r="E9094" s="16">
        <f>IFERROR(__xludf.DUMMYFUNCTION("""COMPUTED_VALUE"""),68.0)</f>
        <v>68</v>
      </c>
      <c r="F9094" s="19" t="str">
        <f>IFERROR(__xludf.DUMMYFUNCTION("""COMPUTED_VALUE"""),"BLACK")</f>
        <v>BLACK</v>
      </c>
      <c r="G9094" s="20" t="str">
        <f>IFERROR(__xludf.DUMMYFUNCTION("""COMPUTED_VALUE"""),"Uncle Sams Cider (5/13/2022)")</f>
        <v>Uncle Sams Cider (5/13/2022)</v>
      </c>
      <c r="H9094" s="19"/>
    </row>
    <row r="9095">
      <c r="A9095" s="9"/>
      <c r="B9095" s="15"/>
      <c r="C9095" s="9">
        <f>IFERROR(__xludf.DUMMYFUNCTION("""COMPUTED_VALUE"""),44701.7759482523)</f>
        <v>44701.77595</v>
      </c>
      <c r="D9095" s="15">
        <f>IFERROR(__xludf.DUMMYFUNCTION("""COMPUTED_VALUE"""),1.054)</f>
        <v>1.054</v>
      </c>
      <c r="E9095" s="16">
        <f>IFERROR(__xludf.DUMMYFUNCTION("""COMPUTED_VALUE"""),68.0)</f>
        <v>68</v>
      </c>
      <c r="F9095" s="19" t="str">
        <f>IFERROR(__xludf.DUMMYFUNCTION("""COMPUTED_VALUE"""),"BLACK")</f>
        <v>BLACK</v>
      </c>
      <c r="G9095" s="20" t="str">
        <f>IFERROR(__xludf.DUMMYFUNCTION("""COMPUTED_VALUE"""),"Uncle Sams Cider (5/13/2022)")</f>
        <v>Uncle Sams Cider (5/13/2022)</v>
      </c>
      <c r="H9095" s="19"/>
    </row>
    <row r="9096">
      <c r="A9096" s="9"/>
      <c r="B9096" s="15"/>
      <c r="C9096" s="9">
        <f>IFERROR(__xludf.DUMMYFUNCTION("""COMPUTED_VALUE"""),44701.7655024537)</f>
        <v>44701.7655</v>
      </c>
      <c r="D9096" s="15">
        <f>IFERROR(__xludf.DUMMYFUNCTION("""COMPUTED_VALUE"""),1.055)</f>
        <v>1.055</v>
      </c>
      <c r="E9096" s="16">
        <f>IFERROR(__xludf.DUMMYFUNCTION("""COMPUTED_VALUE"""),68.0)</f>
        <v>68</v>
      </c>
      <c r="F9096" s="19" t="str">
        <f>IFERROR(__xludf.DUMMYFUNCTION("""COMPUTED_VALUE"""),"BLACK")</f>
        <v>BLACK</v>
      </c>
      <c r="G9096" s="20" t="str">
        <f>IFERROR(__xludf.DUMMYFUNCTION("""COMPUTED_VALUE"""),"Uncle Sams Cider (5/13/2022)")</f>
        <v>Uncle Sams Cider (5/13/2022)</v>
      </c>
      <c r="H9096" s="19"/>
    </row>
    <row r="9097">
      <c r="A9097" s="9"/>
      <c r="B9097" s="15"/>
      <c r="C9097" s="9">
        <f>IFERROR(__xludf.DUMMYFUNCTION("""COMPUTED_VALUE"""),44701.7550812847)</f>
        <v>44701.75508</v>
      </c>
      <c r="D9097" s="15">
        <f>IFERROR(__xludf.DUMMYFUNCTION("""COMPUTED_VALUE"""),1.054)</f>
        <v>1.054</v>
      </c>
      <c r="E9097" s="16">
        <f>IFERROR(__xludf.DUMMYFUNCTION("""COMPUTED_VALUE"""),68.0)</f>
        <v>68</v>
      </c>
      <c r="F9097" s="19" t="str">
        <f>IFERROR(__xludf.DUMMYFUNCTION("""COMPUTED_VALUE"""),"BLACK")</f>
        <v>BLACK</v>
      </c>
      <c r="G9097" s="20" t="str">
        <f>IFERROR(__xludf.DUMMYFUNCTION("""COMPUTED_VALUE"""),"Uncle Sams Cider (5/13/2022)")</f>
        <v>Uncle Sams Cider (5/13/2022)</v>
      </c>
      <c r="H9097" s="19"/>
    </row>
    <row r="9098">
      <c r="A9098" s="9"/>
      <c r="B9098" s="15"/>
      <c r="C9098" s="9">
        <f>IFERROR(__xludf.DUMMYFUNCTION("""COMPUTED_VALUE"""),44701.7446592476)</f>
        <v>44701.74466</v>
      </c>
      <c r="D9098" s="15">
        <f>IFERROR(__xludf.DUMMYFUNCTION("""COMPUTED_VALUE"""),1.055)</f>
        <v>1.055</v>
      </c>
      <c r="E9098" s="16">
        <f>IFERROR(__xludf.DUMMYFUNCTION("""COMPUTED_VALUE"""),68.0)</f>
        <v>68</v>
      </c>
      <c r="F9098" s="19" t="str">
        <f>IFERROR(__xludf.DUMMYFUNCTION("""COMPUTED_VALUE"""),"BLACK")</f>
        <v>BLACK</v>
      </c>
      <c r="G9098" s="20" t="str">
        <f>IFERROR(__xludf.DUMMYFUNCTION("""COMPUTED_VALUE"""),"Uncle Sams Cider (5/13/2022)")</f>
        <v>Uncle Sams Cider (5/13/2022)</v>
      </c>
      <c r="H9098" s="19"/>
    </row>
    <row r="9099">
      <c r="A9099" s="9"/>
      <c r="B9099" s="15"/>
      <c r="C9099" s="9">
        <f>IFERROR(__xludf.DUMMYFUNCTION("""COMPUTED_VALUE"""),44701.7342381713)</f>
        <v>44701.73424</v>
      </c>
      <c r="D9099" s="15">
        <f>IFERROR(__xludf.DUMMYFUNCTION("""COMPUTED_VALUE"""),1.055)</f>
        <v>1.055</v>
      </c>
      <c r="E9099" s="16">
        <f>IFERROR(__xludf.DUMMYFUNCTION("""COMPUTED_VALUE"""),68.0)</f>
        <v>68</v>
      </c>
      <c r="F9099" s="19" t="str">
        <f>IFERROR(__xludf.DUMMYFUNCTION("""COMPUTED_VALUE"""),"BLACK")</f>
        <v>BLACK</v>
      </c>
      <c r="G9099" s="20" t="str">
        <f>IFERROR(__xludf.DUMMYFUNCTION("""COMPUTED_VALUE"""),"Uncle Sams Cider (5/13/2022)")</f>
        <v>Uncle Sams Cider (5/13/2022)</v>
      </c>
      <c r="H9099" s="19"/>
    </row>
    <row r="9100">
      <c r="A9100" s="9"/>
      <c r="B9100" s="15"/>
      <c r="C9100" s="9">
        <f>IFERROR(__xludf.DUMMYFUNCTION("""COMPUTED_VALUE"""),44701.7238164699)</f>
        <v>44701.72382</v>
      </c>
      <c r="D9100" s="15">
        <f>IFERROR(__xludf.DUMMYFUNCTION("""COMPUTED_VALUE"""),1.055)</f>
        <v>1.055</v>
      </c>
      <c r="E9100" s="16">
        <f>IFERROR(__xludf.DUMMYFUNCTION("""COMPUTED_VALUE"""),68.0)</f>
        <v>68</v>
      </c>
      <c r="F9100" s="19" t="str">
        <f>IFERROR(__xludf.DUMMYFUNCTION("""COMPUTED_VALUE"""),"BLACK")</f>
        <v>BLACK</v>
      </c>
      <c r="G9100" s="20" t="str">
        <f>IFERROR(__xludf.DUMMYFUNCTION("""COMPUTED_VALUE"""),"Uncle Sams Cider (5/13/2022)")</f>
        <v>Uncle Sams Cider (5/13/2022)</v>
      </c>
      <c r="H9100" s="19"/>
    </row>
    <row r="9101">
      <c r="A9101" s="9"/>
      <c r="B9101" s="15"/>
      <c r="C9101" s="9">
        <f>IFERROR(__xludf.DUMMYFUNCTION("""COMPUTED_VALUE"""),44701.7133937152)</f>
        <v>44701.71339</v>
      </c>
      <c r="D9101" s="15">
        <f>IFERROR(__xludf.DUMMYFUNCTION("""COMPUTED_VALUE"""),1.055)</f>
        <v>1.055</v>
      </c>
      <c r="E9101" s="16">
        <f>IFERROR(__xludf.DUMMYFUNCTION("""COMPUTED_VALUE"""),68.0)</f>
        <v>68</v>
      </c>
      <c r="F9101" s="19" t="str">
        <f>IFERROR(__xludf.DUMMYFUNCTION("""COMPUTED_VALUE"""),"BLACK")</f>
        <v>BLACK</v>
      </c>
      <c r="G9101" s="20" t="str">
        <f>IFERROR(__xludf.DUMMYFUNCTION("""COMPUTED_VALUE"""),"Uncle Sams Cider (5/13/2022)")</f>
        <v>Uncle Sams Cider (5/13/2022)</v>
      </c>
      <c r="H9101" s="19"/>
    </row>
    <row r="9102">
      <c r="A9102" s="9"/>
      <c r="B9102" s="15"/>
      <c r="C9102" s="9">
        <f>IFERROR(__xludf.DUMMYFUNCTION("""COMPUTED_VALUE"""),44701.7029498958)</f>
        <v>44701.70295</v>
      </c>
      <c r="D9102" s="15">
        <f>IFERROR(__xludf.DUMMYFUNCTION("""COMPUTED_VALUE"""),1.055)</f>
        <v>1.055</v>
      </c>
      <c r="E9102" s="16">
        <f>IFERROR(__xludf.DUMMYFUNCTION("""COMPUTED_VALUE"""),68.0)</f>
        <v>68</v>
      </c>
      <c r="F9102" s="19" t="str">
        <f>IFERROR(__xludf.DUMMYFUNCTION("""COMPUTED_VALUE"""),"BLACK")</f>
        <v>BLACK</v>
      </c>
      <c r="G9102" s="20" t="str">
        <f>IFERROR(__xludf.DUMMYFUNCTION("""COMPUTED_VALUE"""),"Uncle Sams Cider (5/13/2022)")</f>
        <v>Uncle Sams Cider (5/13/2022)</v>
      </c>
      <c r="H9102" s="19"/>
    </row>
    <row r="9103">
      <c r="A9103" s="9"/>
      <c r="B9103" s="15"/>
      <c r="C9103" s="9">
        <f>IFERROR(__xludf.DUMMYFUNCTION("""COMPUTED_VALUE"""),44701.6925275578)</f>
        <v>44701.69253</v>
      </c>
      <c r="D9103" s="15">
        <f>IFERROR(__xludf.DUMMYFUNCTION("""COMPUTED_VALUE"""),1.055)</f>
        <v>1.055</v>
      </c>
      <c r="E9103" s="16">
        <f>IFERROR(__xludf.DUMMYFUNCTION("""COMPUTED_VALUE"""),68.0)</f>
        <v>68</v>
      </c>
      <c r="F9103" s="19" t="str">
        <f>IFERROR(__xludf.DUMMYFUNCTION("""COMPUTED_VALUE"""),"BLACK")</f>
        <v>BLACK</v>
      </c>
      <c r="G9103" s="20" t="str">
        <f>IFERROR(__xludf.DUMMYFUNCTION("""COMPUTED_VALUE"""),"Uncle Sams Cider (5/13/2022)")</f>
        <v>Uncle Sams Cider (5/13/2022)</v>
      </c>
      <c r="H9103" s="19"/>
    </row>
    <row r="9104">
      <c r="A9104" s="9"/>
      <c r="B9104" s="15"/>
      <c r="C9104" s="9">
        <f>IFERROR(__xludf.DUMMYFUNCTION("""COMPUTED_VALUE"""),44701.6821072106)</f>
        <v>44701.68211</v>
      </c>
      <c r="D9104" s="15">
        <f>IFERROR(__xludf.DUMMYFUNCTION("""COMPUTED_VALUE"""),1.055)</f>
        <v>1.055</v>
      </c>
      <c r="E9104" s="16">
        <f>IFERROR(__xludf.DUMMYFUNCTION("""COMPUTED_VALUE"""),68.0)</f>
        <v>68</v>
      </c>
      <c r="F9104" s="19" t="str">
        <f>IFERROR(__xludf.DUMMYFUNCTION("""COMPUTED_VALUE"""),"BLACK")</f>
        <v>BLACK</v>
      </c>
      <c r="G9104" s="20" t="str">
        <f>IFERROR(__xludf.DUMMYFUNCTION("""COMPUTED_VALUE"""),"Uncle Sams Cider (5/13/2022)")</f>
        <v>Uncle Sams Cider (5/13/2022)</v>
      </c>
      <c r="H9104" s="19"/>
    </row>
    <row r="9105">
      <c r="A9105" s="9"/>
      <c r="B9105" s="15"/>
      <c r="C9105" s="9">
        <f>IFERROR(__xludf.DUMMYFUNCTION("""COMPUTED_VALUE"""),44701.6716735879)</f>
        <v>44701.67167</v>
      </c>
      <c r="D9105" s="15">
        <f>IFERROR(__xludf.DUMMYFUNCTION("""COMPUTED_VALUE"""),1.055)</f>
        <v>1.055</v>
      </c>
      <c r="E9105" s="16">
        <f>IFERROR(__xludf.DUMMYFUNCTION("""COMPUTED_VALUE"""),68.0)</f>
        <v>68</v>
      </c>
      <c r="F9105" s="19" t="str">
        <f>IFERROR(__xludf.DUMMYFUNCTION("""COMPUTED_VALUE"""),"BLACK")</f>
        <v>BLACK</v>
      </c>
      <c r="G9105" s="20" t="str">
        <f>IFERROR(__xludf.DUMMYFUNCTION("""COMPUTED_VALUE"""),"Uncle Sams Cider (5/13/2022)")</f>
        <v>Uncle Sams Cider (5/13/2022)</v>
      </c>
      <c r="H9105" s="19"/>
    </row>
    <row r="9106">
      <c r="A9106" s="9"/>
      <c r="B9106" s="15"/>
      <c r="C9106" s="9">
        <f>IFERROR(__xludf.DUMMYFUNCTION("""COMPUTED_VALUE"""),44701.6612516088)</f>
        <v>44701.66125</v>
      </c>
      <c r="D9106" s="15">
        <f>IFERROR(__xludf.DUMMYFUNCTION("""COMPUTED_VALUE"""),1.055)</f>
        <v>1.055</v>
      </c>
      <c r="E9106" s="16">
        <f>IFERROR(__xludf.DUMMYFUNCTION("""COMPUTED_VALUE"""),67.0)</f>
        <v>67</v>
      </c>
      <c r="F9106" s="19" t="str">
        <f>IFERROR(__xludf.DUMMYFUNCTION("""COMPUTED_VALUE"""),"BLACK")</f>
        <v>BLACK</v>
      </c>
      <c r="G9106" s="20" t="str">
        <f>IFERROR(__xludf.DUMMYFUNCTION("""COMPUTED_VALUE"""),"Uncle Sams Cider (5/13/2022)")</f>
        <v>Uncle Sams Cider (5/13/2022)</v>
      </c>
      <c r="H9106" s="19"/>
    </row>
    <row r="9107">
      <c r="A9107" s="9"/>
      <c r="B9107" s="15"/>
      <c r="C9107" s="9">
        <f>IFERROR(__xludf.DUMMYFUNCTION("""COMPUTED_VALUE"""),44701.6507839351)</f>
        <v>44701.65078</v>
      </c>
      <c r="D9107" s="15">
        <f>IFERROR(__xludf.DUMMYFUNCTION("""COMPUTED_VALUE"""),1.055)</f>
        <v>1.055</v>
      </c>
      <c r="E9107" s="16">
        <f>IFERROR(__xludf.DUMMYFUNCTION("""COMPUTED_VALUE"""),67.0)</f>
        <v>67</v>
      </c>
      <c r="F9107" s="19" t="str">
        <f>IFERROR(__xludf.DUMMYFUNCTION("""COMPUTED_VALUE"""),"BLACK")</f>
        <v>BLACK</v>
      </c>
      <c r="G9107" s="20" t="str">
        <f>IFERROR(__xludf.DUMMYFUNCTION("""COMPUTED_VALUE"""),"Uncle Sams Cider (5/13/2022)")</f>
        <v>Uncle Sams Cider (5/13/2022)</v>
      </c>
      <c r="H9107" s="19"/>
    </row>
    <row r="9108">
      <c r="A9108" s="9"/>
      <c r="B9108" s="15"/>
      <c r="C9108" s="9">
        <f>IFERROR(__xludf.DUMMYFUNCTION("""COMPUTED_VALUE"""),44701.6403632291)</f>
        <v>44701.64036</v>
      </c>
      <c r="D9108" s="15">
        <f>IFERROR(__xludf.DUMMYFUNCTION("""COMPUTED_VALUE"""),1.055)</f>
        <v>1.055</v>
      </c>
      <c r="E9108" s="16">
        <f>IFERROR(__xludf.DUMMYFUNCTION("""COMPUTED_VALUE"""),67.0)</f>
        <v>67</v>
      </c>
      <c r="F9108" s="19" t="str">
        <f>IFERROR(__xludf.DUMMYFUNCTION("""COMPUTED_VALUE"""),"BLACK")</f>
        <v>BLACK</v>
      </c>
      <c r="G9108" s="20" t="str">
        <f>IFERROR(__xludf.DUMMYFUNCTION("""COMPUTED_VALUE"""),"Uncle Sams Cider (5/13/2022)")</f>
        <v>Uncle Sams Cider (5/13/2022)</v>
      </c>
      <c r="H9108" s="19"/>
    </row>
    <row r="9109">
      <c r="A9109" s="9"/>
      <c r="B9109" s="15"/>
      <c r="C9109" s="9">
        <f>IFERROR(__xludf.DUMMYFUNCTION("""COMPUTED_VALUE"""),44701.629930868)</f>
        <v>44701.62993</v>
      </c>
      <c r="D9109" s="15">
        <f>IFERROR(__xludf.DUMMYFUNCTION("""COMPUTED_VALUE"""),1.055)</f>
        <v>1.055</v>
      </c>
      <c r="E9109" s="16">
        <f>IFERROR(__xludf.DUMMYFUNCTION("""COMPUTED_VALUE"""),67.0)</f>
        <v>67</v>
      </c>
      <c r="F9109" s="19" t="str">
        <f>IFERROR(__xludf.DUMMYFUNCTION("""COMPUTED_VALUE"""),"BLACK")</f>
        <v>BLACK</v>
      </c>
      <c r="G9109" s="20" t="str">
        <f>IFERROR(__xludf.DUMMYFUNCTION("""COMPUTED_VALUE"""),"Uncle Sams Cider (5/13/2022)")</f>
        <v>Uncle Sams Cider (5/13/2022)</v>
      </c>
      <c r="H9109" s="19"/>
    </row>
    <row r="9110">
      <c r="A9110" s="9"/>
      <c r="B9110" s="15"/>
      <c r="C9110" s="9">
        <f>IFERROR(__xludf.DUMMYFUNCTION("""COMPUTED_VALUE"""),44701.6195109722)</f>
        <v>44701.61951</v>
      </c>
      <c r="D9110" s="15">
        <f>IFERROR(__xludf.DUMMYFUNCTION("""COMPUTED_VALUE"""),1.055)</f>
        <v>1.055</v>
      </c>
      <c r="E9110" s="16">
        <f>IFERROR(__xludf.DUMMYFUNCTION("""COMPUTED_VALUE"""),67.0)</f>
        <v>67</v>
      </c>
      <c r="F9110" s="19" t="str">
        <f>IFERROR(__xludf.DUMMYFUNCTION("""COMPUTED_VALUE"""),"BLACK")</f>
        <v>BLACK</v>
      </c>
      <c r="G9110" s="20" t="str">
        <f>IFERROR(__xludf.DUMMYFUNCTION("""COMPUTED_VALUE"""),"Uncle Sams Cider (5/13/2022)")</f>
        <v>Uncle Sams Cider (5/13/2022)</v>
      </c>
      <c r="H9110" s="19"/>
    </row>
    <row r="9111">
      <c r="A9111" s="9"/>
      <c r="B9111" s="15"/>
      <c r="C9111" s="9">
        <f>IFERROR(__xludf.DUMMYFUNCTION("""COMPUTED_VALUE"""),44701.6090905555)</f>
        <v>44701.60909</v>
      </c>
      <c r="D9111" s="15">
        <f>IFERROR(__xludf.DUMMYFUNCTION("""COMPUTED_VALUE"""),1.055)</f>
        <v>1.055</v>
      </c>
      <c r="E9111" s="16">
        <f>IFERROR(__xludf.DUMMYFUNCTION("""COMPUTED_VALUE"""),67.0)</f>
        <v>67</v>
      </c>
      <c r="F9111" s="19" t="str">
        <f>IFERROR(__xludf.DUMMYFUNCTION("""COMPUTED_VALUE"""),"BLACK")</f>
        <v>BLACK</v>
      </c>
      <c r="G9111" s="20" t="str">
        <f>IFERROR(__xludf.DUMMYFUNCTION("""COMPUTED_VALUE"""),"Uncle Sams Cider (5/13/2022)")</f>
        <v>Uncle Sams Cider (5/13/2022)</v>
      </c>
      <c r="H9111" s="19"/>
    </row>
    <row r="9112">
      <c r="A9112" s="9"/>
      <c r="B9112" s="15"/>
      <c r="C9112" s="9">
        <f>IFERROR(__xludf.DUMMYFUNCTION("""COMPUTED_VALUE"""),44701.5986583564)</f>
        <v>44701.59866</v>
      </c>
      <c r="D9112" s="15">
        <f>IFERROR(__xludf.DUMMYFUNCTION("""COMPUTED_VALUE"""),1.055)</f>
        <v>1.055</v>
      </c>
      <c r="E9112" s="16">
        <f>IFERROR(__xludf.DUMMYFUNCTION("""COMPUTED_VALUE"""),67.0)</f>
        <v>67</v>
      </c>
      <c r="F9112" s="19" t="str">
        <f>IFERROR(__xludf.DUMMYFUNCTION("""COMPUTED_VALUE"""),"BLACK")</f>
        <v>BLACK</v>
      </c>
      <c r="G9112" s="20" t="str">
        <f>IFERROR(__xludf.DUMMYFUNCTION("""COMPUTED_VALUE"""),"Uncle Sams Cider (5/13/2022)")</f>
        <v>Uncle Sams Cider (5/13/2022)</v>
      </c>
      <c r="H9112" s="19"/>
    </row>
    <row r="9113">
      <c r="A9113" s="9"/>
      <c r="B9113" s="15"/>
      <c r="C9113" s="9">
        <f>IFERROR(__xludf.DUMMYFUNCTION("""COMPUTED_VALUE"""),44701.5882360648)</f>
        <v>44701.58824</v>
      </c>
      <c r="D9113" s="15">
        <f>IFERROR(__xludf.DUMMYFUNCTION("""COMPUTED_VALUE"""),1.056)</f>
        <v>1.056</v>
      </c>
      <c r="E9113" s="16">
        <f>IFERROR(__xludf.DUMMYFUNCTION("""COMPUTED_VALUE"""),67.0)</f>
        <v>67</v>
      </c>
      <c r="F9113" s="19" t="str">
        <f>IFERROR(__xludf.DUMMYFUNCTION("""COMPUTED_VALUE"""),"BLACK")</f>
        <v>BLACK</v>
      </c>
      <c r="G9113" s="20" t="str">
        <f>IFERROR(__xludf.DUMMYFUNCTION("""COMPUTED_VALUE"""),"Uncle Sams Cider (5/13/2022)")</f>
        <v>Uncle Sams Cider (5/13/2022)</v>
      </c>
      <c r="H9113" s="19"/>
    </row>
    <row r="9114">
      <c r="A9114" s="9"/>
      <c r="B9114" s="15"/>
      <c r="C9114" s="9">
        <f>IFERROR(__xludf.DUMMYFUNCTION("""COMPUTED_VALUE"""),44701.5778021527)</f>
        <v>44701.5778</v>
      </c>
      <c r="D9114" s="15">
        <f>IFERROR(__xludf.DUMMYFUNCTION("""COMPUTED_VALUE"""),1.056)</f>
        <v>1.056</v>
      </c>
      <c r="E9114" s="16">
        <f>IFERROR(__xludf.DUMMYFUNCTION("""COMPUTED_VALUE"""),67.0)</f>
        <v>67</v>
      </c>
      <c r="F9114" s="19" t="str">
        <f>IFERROR(__xludf.DUMMYFUNCTION("""COMPUTED_VALUE"""),"BLACK")</f>
        <v>BLACK</v>
      </c>
      <c r="G9114" s="20" t="str">
        <f>IFERROR(__xludf.DUMMYFUNCTION("""COMPUTED_VALUE"""),"Uncle Sams Cider (5/13/2022)")</f>
        <v>Uncle Sams Cider (5/13/2022)</v>
      </c>
      <c r="H9114" s="19"/>
    </row>
    <row r="9115">
      <c r="A9115" s="9"/>
      <c r="B9115" s="15"/>
      <c r="C9115" s="9">
        <f>IFERROR(__xludf.DUMMYFUNCTION("""COMPUTED_VALUE"""),44701.5673830439)</f>
        <v>44701.56738</v>
      </c>
      <c r="D9115" s="15">
        <f>IFERROR(__xludf.DUMMYFUNCTION("""COMPUTED_VALUE"""),1.056)</f>
        <v>1.056</v>
      </c>
      <c r="E9115" s="16">
        <f>IFERROR(__xludf.DUMMYFUNCTION("""COMPUTED_VALUE"""),67.0)</f>
        <v>67</v>
      </c>
      <c r="F9115" s="19" t="str">
        <f>IFERROR(__xludf.DUMMYFUNCTION("""COMPUTED_VALUE"""),"BLACK")</f>
        <v>BLACK</v>
      </c>
      <c r="G9115" s="20" t="str">
        <f>IFERROR(__xludf.DUMMYFUNCTION("""COMPUTED_VALUE"""),"Uncle Sams Cider (5/13/2022)")</f>
        <v>Uncle Sams Cider (5/13/2022)</v>
      </c>
      <c r="H9115" s="19"/>
    </row>
    <row r="9116">
      <c r="A9116" s="9"/>
      <c r="B9116" s="15"/>
      <c r="C9116" s="9">
        <f>IFERROR(__xludf.DUMMYFUNCTION("""COMPUTED_VALUE"""),44701.5569620254)</f>
        <v>44701.55696</v>
      </c>
      <c r="D9116" s="15">
        <f>IFERROR(__xludf.DUMMYFUNCTION("""COMPUTED_VALUE"""),1.056)</f>
        <v>1.056</v>
      </c>
      <c r="E9116" s="16">
        <f>IFERROR(__xludf.DUMMYFUNCTION("""COMPUTED_VALUE"""),67.0)</f>
        <v>67</v>
      </c>
      <c r="F9116" s="19" t="str">
        <f>IFERROR(__xludf.DUMMYFUNCTION("""COMPUTED_VALUE"""),"BLACK")</f>
        <v>BLACK</v>
      </c>
      <c r="G9116" s="20" t="str">
        <f>IFERROR(__xludf.DUMMYFUNCTION("""COMPUTED_VALUE"""),"Uncle Sams Cider (5/13/2022)")</f>
        <v>Uncle Sams Cider (5/13/2022)</v>
      </c>
      <c r="H9116" s="19"/>
    </row>
    <row r="9117">
      <c r="A9117" s="9"/>
      <c r="B9117" s="15"/>
      <c r="C9117" s="9">
        <f>IFERROR(__xludf.DUMMYFUNCTION("""COMPUTED_VALUE"""),44701.5465406828)</f>
        <v>44701.54654</v>
      </c>
      <c r="D9117" s="15">
        <f>IFERROR(__xludf.DUMMYFUNCTION("""COMPUTED_VALUE"""),1.056)</f>
        <v>1.056</v>
      </c>
      <c r="E9117" s="16">
        <f>IFERROR(__xludf.DUMMYFUNCTION("""COMPUTED_VALUE"""),67.0)</f>
        <v>67</v>
      </c>
      <c r="F9117" s="19" t="str">
        <f>IFERROR(__xludf.DUMMYFUNCTION("""COMPUTED_VALUE"""),"BLACK")</f>
        <v>BLACK</v>
      </c>
      <c r="G9117" s="20" t="str">
        <f>IFERROR(__xludf.DUMMYFUNCTION("""COMPUTED_VALUE"""),"Uncle Sams Cider (5/13/2022)")</f>
        <v>Uncle Sams Cider (5/13/2022)</v>
      </c>
      <c r="H9117" s="19"/>
    </row>
    <row r="9118">
      <c r="A9118" s="9"/>
      <c r="B9118" s="15"/>
      <c r="C9118" s="9">
        <f>IFERROR(__xludf.DUMMYFUNCTION("""COMPUTED_VALUE"""),44701.5360495833)</f>
        <v>44701.53605</v>
      </c>
      <c r="D9118" s="15">
        <f>IFERROR(__xludf.DUMMYFUNCTION("""COMPUTED_VALUE"""),1.056)</f>
        <v>1.056</v>
      </c>
      <c r="E9118" s="16">
        <f>IFERROR(__xludf.DUMMYFUNCTION("""COMPUTED_VALUE"""),67.0)</f>
        <v>67</v>
      </c>
      <c r="F9118" s="19" t="str">
        <f>IFERROR(__xludf.DUMMYFUNCTION("""COMPUTED_VALUE"""),"BLACK")</f>
        <v>BLACK</v>
      </c>
      <c r="G9118" s="20" t="str">
        <f>IFERROR(__xludf.DUMMYFUNCTION("""COMPUTED_VALUE"""),"Uncle Sams Cider (5/13/2022)")</f>
        <v>Uncle Sams Cider (5/13/2022)</v>
      </c>
      <c r="H9118" s="19"/>
    </row>
    <row r="9119">
      <c r="A9119" s="9"/>
      <c r="B9119" s="15"/>
      <c r="C9119" s="9">
        <f>IFERROR(__xludf.DUMMYFUNCTION("""COMPUTED_VALUE"""),44701.5256280787)</f>
        <v>44701.52563</v>
      </c>
      <c r="D9119" s="15">
        <f>IFERROR(__xludf.DUMMYFUNCTION("""COMPUTED_VALUE"""),1.056)</f>
        <v>1.056</v>
      </c>
      <c r="E9119" s="16">
        <f>IFERROR(__xludf.DUMMYFUNCTION("""COMPUTED_VALUE"""),67.0)</f>
        <v>67</v>
      </c>
      <c r="F9119" s="19" t="str">
        <f>IFERROR(__xludf.DUMMYFUNCTION("""COMPUTED_VALUE"""),"BLACK")</f>
        <v>BLACK</v>
      </c>
      <c r="G9119" s="20" t="str">
        <f>IFERROR(__xludf.DUMMYFUNCTION("""COMPUTED_VALUE"""),"Uncle Sams Cider (5/13/2022)")</f>
        <v>Uncle Sams Cider (5/13/2022)</v>
      </c>
      <c r="H9119" s="19"/>
    </row>
    <row r="9120">
      <c r="A9120" s="9"/>
      <c r="B9120" s="15"/>
      <c r="C9120" s="9">
        <f>IFERROR(__xludf.DUMMYFUNCTION("""COMPUTED_VALUE"""),44701.5152064351)</f>
        <v>44701.51521</v>
      </c>
      <c r="D9120" s="15">
        <f>IFERROR(__xludf.DUMMYFUNCTION("""COMPUTED_VALUE"""),1.056)</f>
        <v>1.056</v>
      </c>
      <c r="E9120" s="16">
        <f>IFERROR(__xludf.DUMMYFUNCTION("""COMPUTED_VALUE"""),67.0)</f>
        <v>67</v>
      </c>
      <c r="F9120" s="19" t="str">
        <f>IFERROR(__xludf.DUMMYFUNCTION("""COMPUTED_VALUE"""),"BLACK")</f>
        <v>BLACK</v>
      </c>
      <c r="G9120" s="20" t="str">
        <f>IFERROR(__xludf.DUMMYFUNCTION("""COMPUTED_VALUE"""),"Uncle Sams Cider (5/13/2022)")</f>
        <v>Uncle Sams Cider (5/13/2022)</v>
      </c>
      <c r="H9120" s="19"/>
    </row>
    <row r="9121">
      <c r="A9121" s="9"/>
      <c r="B9121" s="15"/>
      <c r="C9121" s="9">
        <f>IFERROR(__xludf.DUMMYFUNCTION("""COMPUTED_VALUE"""),44701.5047853935)</f>
        <v>44701.50479</v>
      </c>
      <c r="D9121" s="15">
        <f>IFERROR(__xludf.DUMMYFUNCTION("""COMPUTED_VALUE"""),1.056)</f>
        <v>1.056</v>
      </c>
      <c r="E9121" s="16">
        <f>IFERROR(__xludf.DUMMYFUNCTION("""COMPUTED_VALUE"""),67.0)</f>
        <v>67</v>
      </c>
      <c r="F9121" s="19" t="str">
        <f>IFERROR(__xludf.DUMMYFUNCTION("""COMPUTED_VALUE"""),"BLACK")</f>
        <v>BLACK</v>
      </c>
      <c r="G9121" s="20" t="str">
        <f>IFERROR(__xludf.DUMMYFUNCTION("""COMPUTED_VALUE"""),"Uncle Sams Cider (5/13/2022)")</f>
        <v>Uncle Sams Cider (5/13/2022)</v>
      </c>
      <c r="H9121" s="19"/>
    </row>
    <row r="9122">
      <c r="A9122" s="9"/>
      <c r="B9122" s="15"/>
      <c r="C9122" s="9">
        <f>IFERROR(__xludf.DUMMYFUNCTION("""COMPUTED_VALUE"""),44701.4943523726)</f>
        <v>44701.49435</v>
      </c>
      <c r="D9122" s="15">
        <f>IFERROR(__xludf.DUMMYFUNCTION("""COMPUTED_VALUE"""),1.056)</f>
        <v>1.056</v>
      </c>
      <c r="E9122" s="16">
        <f>IFERROR(__xludf.DUMMYFUNCTION("""COMPUTED_VALUE"""),67.0)</f>
        <v>67</v>
      </c>
      <c r="F9122" s="19" t="str">
        <f>IFERROR(__xludf.DUMMYFUNCTION("""COMPUTED_VALUE"""),"BLACK")</f>
        <v>BLACK</v>
      </c>
      <c r="G9122" s="20" t="str">
        <f>IFERROR(__xludf.DUMMYFUNCTION("""COMPUTED_VALUE"""),"Uncle Sams Cider (5/13/2022)")</f>
        <v>Uncle Sams Cider (5/13/2022)</v>
      </c>
      <c r="H9122" s="19"/>
    </row>
    <row r="9123">
      <c r="A9123" s="9"/>
      <c r="B9123" s="15"/>
      <c r="C9123" s="9">
        <f>IFERROR(__xludf.DUMMYFUNCTION("""COMPUTED_VALUE"""),44701.483931956)</f>
        <v>44701.48393</v>
      </c>
      <c r="D9123" s="15">
        <f>IFERROR(__xludf.DUMMYFUNCTION("""COMPUTED_VALUE"""),1.056)</f>
        <v>1.056</v>
      </c>
      <c r="E9123" s="16">
        <f>IFERROR(__xludf.DUMMYFUNCTION("""COMPUTED_VALUE"""),67.0)</f>
        <v>67</v>
      </c>
      <c r="F9123" s="19" t="str">
        <f>IFERROR(__xludf.DUMMYFUNCTION("""COMPUTED_VALUE"""),"BLACK")</f>
        <v>BLACK</v>
      </c>
      <c r="G9123" s="20" t="str">
        <f>IFERROR(__xludf.DUMMYFUNCTION("""COMPUTED_VALUE"""),"Uncle Sams Cider (5/13/2022)")</f>
        <v>Uncle Sams Cider (5/13/2022)</v>
      </c>
      <c r="H9123" s="19"/>
    </row>
    <row r="9124">
      <c r="A9124" s="9"/>
      <c r="B9124" s="15"/>
      <c r="C9124" s="9">
        <f>IFERROR(__xludf.DUMMYFUNCTION("""COMPUTED_VALUE"""),44701.4734990046)</f>
        <v>44701.4735</v>
      </c>
      <c r="D9124" s="15">
        <f>IFERROR(__xludf.DUMMYFUNCTION("""COMPUTED_VALUE"""),1.056)</f>
        <v>1.056</v>
      </c>
      <c r="E9124" s="16">
        <f>IFERROR(__xludf.DUMMYFUNCTION("""COMPUTED_VALUE"""),67.0)</f>
        <v>67</v>
      </c>
      <c r="F9124" s="19" t="str">
        <f>IFERROR(__xludf.DUMMYFUNCTION("""COMPUTED_VALUE"""),"BLACK")</f>
        <v>BLACK</v>
      </c>
      <c r="G9124" s="20" t="str">
        <f>IFERROR(__xludf.DUMMYFUNCTION("""COMPUTED_VALUE"""),"Uncle Sams Cider (5/13/2022)")</f>
        <v>Uncle Sams Cider (5/13/2022)</v>
      </c>
      <c r="H9124" s="19"/>
    </row>
    <row r="9125">
      <c r="A9125" s="9"/>
      <c r="B9125" s="15"/>
      <c r="C9125" s="9">
        <f>IFERROR(__xludf.DUMMYFUNCTION("""COMPUTED_VALUE"""),44701.4630792476)</f>
        <v>44701.46308</v>
      </c>
      <c r="D9125" s="15">
        <f>IFERROR(__xludf.DUMMYFUNCTION("""COMPUTED_VALUE"""),1.056)</f>
        <v>1.056</v>
      </c>
      <c r="E9125" s="16">
        <f>IFERROR(__xludf.DUMMYFUNCTION("""COMPUTED_VALUE"""),67.0)</f>
        <v>67</v>
      </c>
      <c r="F9125" s="19" t="str">
        <f>IFERROR(__xludf.DUMMYFUNCTION("""COMPUTED_VALUE"""),"BLACK")</f>
        <v>BLACK</v>
      </c>
      <c r="G9125" s="20" t="str">
        <f>IFERROR(__xludf.DUMMYFUNCTION("""COMPUTED_VALUE"""),"Uncle Sams Cider (5/13/2022)")</f>
        <v>Uncle Sams Cider (5/13/2022)</v>
      </c>
      <c r="H9125" s="19"/>
    </row>
    <row r="9126">
      <c r="A9126" s="9"/>
      <c r="B9126" s="15"/>
      <c r="C9126" s="9">
        <f>IFERROR(__xludf.DUMMYFUNCTION("""COMPUTED_VALUE"""),44701.4526219676)</f>
        <v>44701.45262</v>
      </c>
      <c r="D9126" s="15">
        <f>IFERROR(__xludf.DUMMYFUNCTION("""COMPUTED_VALUE"""),1.056)</f>
        <v>1.056</v>
      </c>
      <c r="E9126" s="16">
        <f>IFERROR(__xludf.DUMMYFUNCTION("""COMPUTED_VALUE"""),67.0)</f>
        <v>67</v>
      </c>
      <c r="F9126" s="19" t="str">
        <f>IFERROR(__xludf.DUMMYFUNCTION("""COMPUTED_VALUE"""),"BLACK")</f>
        <v>BLACK</v>
      </c>
      <c r="G9126" s="20" t="str">
        <f>IFERROR(__xludf.DUMMYFUNCTION("""COMPUTED_VALUE"""),"Uncle Sams Cider (5/13/2022)")</f>
        <v>Uncle Sams Cider (5/13/2022)</v>
      </c>
      <c r="H9126" s="19"/>
    </row>
    <row r="9127">
      <c r="A9127" s="9"/>
      <c r="B9127" s="15"/>
      <c r="C9127" s="9">
        <f>IFERROR(__xludf.DUMMYFUNCTION("""COMPUTED_VALUE"""),44701.4422010532)</f>
        <v>44701.4422</v>
      </c>
      <c r="D9127" s="15">
        <f>IFERROR(__xludf.DUMMYFUNCTION("""COMPUTED_VALUE"""),1.057)</f>
        <v>1.057</v>
      </c>
      <c r="E9127" s="16">
        <f>IFERROR(__xludf.DUMMYFUNCTION("""COMPUTED_VALUE"""),67.0)</f>
        <v>67</v>
      </c>
      <c r="F9127" s="19" t="str">
        <f>IFERROR(__xludf.DUMMYFUNCTION("""COMPUTED_VALUE"""),"BLACK")</f>
        <v>BLACK</v>
      </c>
      <c r="G9127" s="20" t="str">
        <f>IFERROR(__xludf.DUMMYFUNCTION("""COMPUTED_VALUE"""),"Uncle Sams Cider (5/13/2022)")</f>
        <v>Uncle Sams Cider (5/13/2022)</v>
      </c>
      <c r="H9127" s="19"/>
    </row>
    <row r="9128">
      <c r="A9128" s="9"/>
      <c r="B9128" s="15"/>
      <c r="C9128" s="9">
        <f>IFERROR(__xludf.DUMMYFUNCTION("""COMPUTED_VALUE"""),44701.431780162)</f>
        <v>44701.43178</v>
      </c>
      <c r="D9128" s="15">
        <f>IFERROR(__xludf.DUMMYFUNCTION("""COMPUTED_VALUE"""),1.057)</f>
        <v>1.057</v>
      </c>
      <c r="E9128" s="16">
        <f>IFERROR(__xludf.DUMMYFUNCTION("""COMPUTED_VALUE"""),67.0)</f>
        <v>67</v>
      </c>
      <c r="F9128" s="19" t="str">
        <f>IFERROR(__xludf.DUMMYFUNCTION("""COMPUTED_VALUE"""),"BLACK")</f>
        <v>BLACK</v>
      </c>
      <c r="G9128" s="20" t="str">
        <f>IFERROR(__xludf.DUMMYFUNCTION("""COMPUTED_VALUE"""),"Uncle Sams Cider (5/13/2022)")</f>
        <v>Uncle Sams Cider (5/13/2022)</v>
      </c>
      <c r="H9128" s="19"/>
    </row>
    <row r="9129">
      <c r="A9129" s="9"/>
      <c r="B9129" s="15"/>
      <c r="C9129" s="9">
        <f>IFERROR(__xludf.DUMMYFUNCTION("""COMPUTED_VALUE"""),44701.4213606365)</f>
        <v>44701.42136</v>
      </c>
      <c r="D9129" s="15">
        <f>IFERROR(__xludf.DUMMYFUNCTION("""COMPUTED_VALUE"""),1.057)</f>
        <v>1.057</v>
      </c>
      <c r="E9129" s="16">
        <f>IFERROR(__xludf.DUMMYFUNCTION("""COMPUTED_VALUE"""),67.0)</f>
        <v>67</v>
      </c>
      <c r="F9129" s="19" t="str">
        <f>IFERROR(__xludf.DUMMYFUNCTION("""COMPUTED_VALUE"""),"BLACK")</f>
        <v>BLACK</v>
      </c>
      <c r="G9129" s="20" t="str">
        <f>IFERROR(__xludf.DUMMYFUNCTION("""COMPUTED_VALUE"""),"Uncle Sams Cider (5/13/2022)")</f>
        <v>Uncle Sams Cider (5/13/2022)</v>
      </c>
      <c r="H9129" s="19"/>
    </row>
    <row r="9130">
      <c r="A9130" s="9"/>
      <c r="B9130" s="15"/>
      <c r="C9130" s="9">
        <f>IFERROR(__xludf.DUMMYFUNCTION("""COMPUTED_VALUE"""),44701.4109283449)</f>
        <v>44701.41093</v>
      </c>
      <c r="D9130" s="15">
        <f>IFERROR(__xludf.DUMMYFUNCTION("""COMPUTED_VALUE"""),1.057)</f>
        <v>1.057</v>
      </c>
      <c r="E9130" s="16">
        <f>IFERROR(__xludf.DUMMYFUNCTION("""COMPUTED_VALUE"""),67.0)</f>
        <v>67</v>
      </c>
      <c r="F9130" s="19" t="str">
        <f>IFERROR(__xludf.DUMMYFUNCTION("""COMPUTED_VALUE"""),"BLACK")</f>
        <v>BLACK</v>
      </c>
      <c r="G9130" s="20" t="str">
        <f>IFERROR(__xludf.DUMMYFUNCTION("""COMPUTED_VALUE"""),"Uncle Sams Cider (5/13/2022)")</f>
        <v>Uncle Sams Cider (5/13/2022)</v>
      </c>
      <c r="H9130" s="19"/>
    </row>
    <row r="9131">
      <c r="A9131" s="9"/>
      <c r="B9131" s="15"/>
      <c r="C9131" s="9">
        <f>IFERROR(__xludf.DUMMYFUNCTION("""COMPUTED_VALUE"""),44701.4005058333)</f>
        <v>44701.40051</v>
      </c>
      <c r="D9131" s="15">
        <f>IFERROR(__xludf.DUMMYFUNCTION("""COMPUTED_VALUE"""),1.057)</f>
        <v>1.057</v>
      </c>
      <c r="E9131" s="16">
        <f>IFERROR(__xludf.DUMMYFUNCTION("""COMPUTED_VALUE"""),67.0)</f>
        <v>67</v>
      </c>
      <c r="F9131" s="19" t="str">
        <f>IFERROR(__xludf.DUMMYFUNCTION("""COMPUTED_VALUE"""),"BLACK")</f>
        <v>BLACK</v>
      </c>
      <c r="G9131" s="20" t="str">
        <f>IFERROR(__xludf.DUMMYFUNCTION("""COMPUTED_VALUE"""),"Uncle Sams Cider (5/13/2022)")</f>
        <v>Uncle Sams Cider (5/13/2022)</v>
      </c>
      <c r="H9131" s="19"/>
    </row>
    <row r="9132">
      <c r="A9132" s="9"/>
      <c r="B9132" s="15"/>
      <c r="C9132" s="9">
        <f>IFERROR(__xludf.DUMMYFUNCTION("""COMPUTED_VALUE"""),44701.3900848032)</f>
        <v>44701.39008</v>
      </c>
      <c r="D9132" s="15">
        <f>IFERROR(__xludf.DUMMYFUNCTION("""COMPUTED_VALUE"""),1.057)</f>
        <v>1.057</v>
      </c>
      <c r="E9132" s="16">
        <f>IFERROR(__xludf.DUMMYFUNCTION("""COMPUTED_VALUE"""),67.0)</f>
        <v>67</v>
      </c>
      <c r="F9132" s="19" t="str">
        <f>IFERROR(__xludf.DUMMYFUNCTION("""COMPUTED_VALUE"""),"BLACK")</f>
        <v>BLACK</v>
      </c>
      <c r="G9132" s="20" t="str">
        <f>IFERROR(__xludf.DUMMYFUNCTION("""COMPUTED_VALUE"""),"Uncle Sams Cider (5/13/2022)")</f>
        <v>Uncle Sams Cider (5/13/2022)</v>
      </c>
      <c r="H9132" s="19"/>
    </row>
    <row r="9133">
      <c r="A9133" s="9"/>
      <c r="B9133" s="15"/>
      <c r="C9133" s="9">
        <f>IFERROR(__xludf.DUMMYFUNCTION("""COMPUTED_VALUE"""),44701.3796495138)</f>
        <v>44701.37965</v>
      </c>
      <c r="D9133" s="15">
        <f>IFERROR(__xludf.DUMMYFUNCTION("""COMPUTED_VALUE"""),1.057)</f>
        <v>1.057</v>
      </c>
      <c r="E9133" s="16">
        <f>IFERROR(__xludf.DUMMYFUNCTION("""COMPUTED_VALUE"""),67.0)</f>
        <v>67</v>
      </c>
      <c r="F9133" s="19" t="str">
        <f>IFERROR(__xludf.DUMMYFUNCTION("""COMPUTED_VALUE"""),"BLACK")</f>
        <v>BLACK</v>
      </c>
      <c r="G9133" s="20" t="str">
        <f>IFERROR(__xludf.DUMMYFUNCTION("""COMPUTED_VALUE"""),"Uncle Sams Cider (5/13/2022)")</f>
        <v>Uncle Sams Cider (5/13/2022)</v>
      </c>
      <c r="H9133" s="19"/>
    </row>
    <row r="9134">
      <c r="A9134" s="9"/>
      <c r="B9134" s="15"/>
      <c r="C9134" s="9">
        <f>IFERROR(__xludf.DUMMYFUNCTION("""COMPUTED_VALUE"""),44701.3692285301)</f>
        <v>44701.36923</v>
      </c>
      <c r="D9134" s="15">
        <f>IFERROR(__xludf.DUMMYFUNCTION("""COMPUTED_VALUE"""),1.057)</f>
        <v>1.057</v>
      </c>
      <c r="E9134" s="16">
        <f>IFERROR(__xludf.DUMMYFUNCTION("""COMPUTED_VALUE"""),67.0)</f>
        <v>67</v>
      </c>
      <c r="F9134" s="19" t="str">
        <f>IFERROR(__xludf.DUMMYFUNCTION("""COMPUTED_VALUE"""),"BLACK")</f>
        <v>BLACK</v>
      </c>
      <c r="G9134" s="20" t="str">
        <f>IFERROR(__xludf.DUMMYFUNCTION("""COMPUTED_VALUE"""),"Uncle Sams Cider (5/13/2022)")</f>
        <v>Uncle Sams Cider (5/13/2022)</v>
      </c>
      <c r="H9134" s="19"/>
    </row>
    <row r="9135">
      <c r="A9135" s="9"/>
      <c r="B9135" s="15"/>
      <c r="C9135" s="9">
        <f>IFERROR(__xludf.DUMMYFUNCTION("""COMPUTED_VALUE"""),44701.3588077777)</f>
        <v>44701.35881</v>
      </c>
      <c r="D9135" s="15">
        <f>IFERROR(__xludf.DUMMYFUNCTION("""COMPUTED_VALUE"""),1.057)</f>
        <v>1.057</v>
      </c>
      <c r="E9135" s="16">
        <f>IFERROR(__xludf.DUMMYFUNCTION("""COMPUTED_VALUE"""),67.0)</f>
        <v>67</v>
      </c>
      <c r="F9135" s="19" t="str">
        <f>IFERROR(__xludf.DUMMYFUNCTION("""COMPUTED_VALUE"""),"BLACK")</f>
        <v>BLACK</v>
      </c>
      <c r="G9135" s="20" t="str">
        <f>IFERROR(__xludf.DUMMYFUNCTION("""COMPUTED_VALUE"""),"Uncle Sams Cider (5/13/2022)")</f>
        <v>Uncle Sams Cider (5/13/2022)</v>
      </c>
      <c r="H9135" s="19"/>
    </row>
    <row r="9136">
      <c r="A9136" s="9"/>
      <c r="B9136" s="15"/>
      <c r="C9136" s="9">
        <f>IFERROR(__xludf.DUMMYFUNCTION("""COMPUTED_VALUE"""),44701.3483863773)</f>
        <v>44701.34839</v>
      </c>
      <c r="D9136" s="15">
        <f>IFERROR(__xludf.DUMMYFUNCTION("""COMPUTED_VALUE"""),1.057)</f>
        <v>1.057</v>
      </c>
      <c r="E9136" s="16">
        <f>IFERROR(__xludf.DUMMYFUNCTION("""COMPUTED_VALUE"""),67.0)</f>
        <v>67</v>
      </c>
      <c r="F9136" s="19" t="str">
        <f>IFERROR(__xludf.DUMMYFUNCTION("""COMPUTED_VALUE"""),"BLACK")</f>
        <v>BLACK</v>
      </c>
      <c r="G9136" s="20" t="str">
        <f>IFERROR(__xludf.DUMMYFUNCTION("""COMPUTED_VALUE"""),"Uncle Sams Cider (5/13/2022)")</f>
        <v>Uncle Sams Cider (5/13/2022)</v>
      </c>
      <c r="H9136" s="19"/>
    </row>
    <row r="9137">
      <c r="A9137" s="9"/>
      <c r="B9137" s="15"/>
      <c r="C9137" s="9">
        <f>IFERROR(__xludf.DUMMYFUNCTION("""COMPUTED_VALUE"""),44701.3379661458)</f>
        <v>44701.33797</v>
      </c>
      <c r="D9137" s="15">
        <f>IFERROR(__xludf.DUMMYFUNCTION("""COMPUTED_VALUE"""),1.057)</f>
        <v>1.057</v>
      </c>
      <c r="E9137" s="16">
        <f>IFERROR(__xludf.DUMMYFUNCTION("""COMPUTED_VALUE"""),67.0)</f>
        <v>67</v>
      </c>
      <c r="F9137" s="19" t="str">
        <f>IFERROR(__xludf.DUMMYFUNCTION("""COMPUTED_VALUE"""),"BLACK")</f>
        <v>BLACK</v>
      </c>
      <c r="G9137" s="20" t="str">
        <f>IFERROR(__xludf.DUMMYFUNCTION("""COMPUTED_VALUE"""),"Uncle Sams Cider (5/13/2022)")</f>
        <v>Uncle Sams Cider (5/13/2022)</v>
      </c>
      <c r="H9137" s="19"/>
    </row>
    <row r="9138">
      <c r="A9138" s="9"/>
      <c r="B9138" s="15"/>
      <c r="C9138" s="9">
        <f>IFERROR(__xludf.DUMMYFUNCTION("""COMPUTED_VALUE"""),44701.3275465509)</f>
        <v>44701.32755</v>
      </c>
      <c r="D9138" s="15">
        <f>IFERROR(__xludf.DUMMYFUNCTION("""COMPUTED_VALUE"""),1.057)</f>
        <v>1.057</v>
      </c>
      <c r="E9138" s="16">
        <f>IFERROR(__xludf.DUMMYFUNCTION("""COMPUTED_VALUE"""),66.0)</f>
        <v>66</v>
      </c>
      <c r="F9138" s="19" t="str">
        <f>IFERROR(__xludf.DUMMYFUNCTION("""COMPUTED_VALUE"""),"BLACK")</f>
        <v>BLACK</v>
      </c>
      <c r="G9138" s="20" t="str">
        <f>IFERROR(__xludf.DUMMYFUNCTION("""COMPUTED_VALUE"""),"Uncle Sams Cider (5/13/2022)")</f>
        <v>Uncle Sams Cider (5/13/2022)</v>
      </c>
      <c r="H9138" s="19"/>
    </row>
    <row r="9139">
      <c r="A9139" s="9"/>
      <c r="B9139" s="15"/>
      <c r="C9139" s="9">
        <f>IFERROR(__xludf.DUMMYFUNCTION("""COMPUTED_VALUE"""),44701.3171249074)</f>
        <v>44701.31712</v>
      </c>
      <c r="D9139" s="15">
        <f>IFERROR(__xludf.DUMMYFUNCTION("""COMPUTED_VALUE"""),1.058)</f>
        <v>1.058</v>
      </c>
      <c r="E9139" s="16">
        <f>IFERROR(__xludf.DUMMYFUNCTION("""COMPUTED_VALUE"""),66.0)</f>
        <v>66</v>
      </c>
      <c r="F9139" s="19" t="str">
        <f>IFERROR(__xludf.DUMMYFUNCTION("""COMPUTED_VALUE"""),"BLACK")</f>
        <v>BLACK</v>
      </c>
      <c r="G9139" s="20" t="str">
        <f>IFERROR(__xludf.DUMMYFUNCTION("""COMPUTED_VALUE"""),"Uncle Sams Cider (5/13/2022)")</f>
        <v>Uncle Sams Cider (5/13/2022)</v>
      </c>
      <c r="H9139" s="19"/>
    </row>
    <row r="9140">
      <c r="A9140" s="9"/>
      <c r="B9140" s="15"/>
      <c r="C9140" s="9">
        <f>IFERROR(__xludf.DUMMYFUNCTION("""COMPUTED_VALUE"""),44701.3067028819)</f>
        <v>44701.3067</v>
      </c>
      <c r="D9140" s="15">
        <f>IFERROR(__xludf.DUMMYFUNCTION("""COMPUTED_VALUE"""),1.057)</f>
        <v>1.057</v>
      </c>
      <c r="E9140" s="16">
        <f>IFERROR(__xludf.DUMMYFUNCTION("""COMPUTED_VALUE"""),66.0)</f>
        <v>66</v>
      </c>
      <c r="F9140" s="19" t="str">
        <f>IFERROR(__xludf.DUMMYFUNCTION("""COMPUTED_VALUE"""),"BLACK")</f>
        <v>BLACK</v>
      </c>
      <c r="G9140" s="20" t="str">
        <f>IFERROR(__xludf.DUMMYFUNCTION("""COMPUTED_VALUE"""),"Uncle Sams Cider (5/13/2022)")</f>
        <v>Uncle Sams Cider (5/13/2022)</v>
      </c>
      <c r="H9140" s="19"/>
    </row>
    <row r="9141">
      <c r="A9141" s="9"/>
      <c r="B9141" s="15"/>
      <c r="C9141" s="9">
        <f>IFERROR(__xludf.DUMMYFUNCTION("""COMPUTED_VALUE"""),44701.2962804398)</f>
        <v>44701.29628</v>
      </c>
      <c r="D9141" s="15">
        <f>IFERROR(__xludf.DUMMYFUNCTION("""COMPUTED_VALUE"""),1.058)</f>
        <v>1.058</v>
      </c>
      <c r="E9141" s="16">
        <f>IFERROR(__xludf.DUMMYFUNCTION("""COMPUTED_VALUE"""),66.0)</f>
        <v>66</v>
      </c>
      <c r="F9141" s="19" t="str">
        <f>IFERROR(__xludf.DUMMYFUNCTION("""COMPUTED_VALUE"""),"BLACK")</f>
        <v>BLACK</v>
      </c>
      <c r="G9141" s="20" t="str">
        <f>IFERROR(__xludf.DUMMYFUNCTION("""COMPUTED_VALUE"""),"Uncle Sams Cider (5/13/2022)")</f>
        <v>Uncle Sams Cider (5/13/2022)</v>
      </c>
      <c r="H9141" s="19"/>
    </row>
    <row r="9142">
      <c r="A9142" s="9"/>
      <c r="B9142" s="15"/>
      <c r="C9142" s="9">
        <f>IFERROR(__xludf.DUMMYFUNCTION("""COMPUTED_VALUE"""),44701.2858598958)</f>
        <v>44701.28586</v>
      </c>
      <c r="D9142" s="15">
        <f>IFERROR(__xludf.DUMMYFUNCTION("""COMPUTED_VALUE"""),1.058)</f>
        <v>1.058</v>
      </c>
      <c r="E9142" s="16">
        <f>IFERROR(__xludf.DUMMYFUNCTION("""COMPUTED_VALUE"""),66.0)</f>
        <v>66</v>
      </c>
      <c r="F9142" s="19" t="str">
        <f>IFERROR(__xludf.DUMMYFUNCTION("""COMPUTED_VALUE"""),"BLACK")</f>
        <v>BLACK</v>
      </c>
      <c r="G9142" s="20" t="str">
        <f>IFERROR(__xludf.DUMMYFUNCTION("""COMPUTED_VALUE"""),"Uncle Sams Cider (5/13/2022)")</f>
        <v>Uncle Sams Cider (5/13/2022)</v>
      </c>
      <c r="H9142" s="19"/>
    </row>
    <row r="9143">
      <c r="A9143" s="9"/>
      <c r="B9143" s="15"/>
      <c r="C9143" s="9">
        <f>IFERROR(__xludf.DUMMYFUNCTION("""COMPUTED_VALUE"""),44701.2754284837)</f>
        <v>44701.27543</v>
      </c>
      <c r="D9143" s="15">
        <f>IFERROR(__xludf.DUMMYFUNCTION("""COMPUTED_VALUE"""),1.058)</f>
        <v>1.058</v>
      </c>
      <c r="E9143" s="16">
        <f>IFERROR(__xludf.DUMMYFUNCTION("""COMPUTED_VALUE"""),66.0)</f>
        <v>66</v>
      </c>
      <c r="F9143" s="19" t="str">
        <f>IFERROR(__xludf.DUMMYFUNCTION("""COMPUTED_VALUE"""),"BLACK")</f>
        <v>BLACK</v>
      </c>
      <c r="G9143" s="20" t="str">
        <f>IFERROR(__xludf.DUMMYFUNCTION("""COMPUTED_VALUE"""),"Uncle Sams Cider (5/13/2022)")</f>
        <v>Uncle Sams Cider (5/13/2022)</v>
      </c>
      <c r="H9143" s="19"/>
    </row>
    <row r="9144">
      <c r="A9144" s="9"/>
      <c r="B9144" s="15"/>
      <c r="C9144" s="9">
        <f>IFERROR(__xludf.DUMMYFUNCTION("""COMPUTED_VALUE"""),44701.2649958101)</f>
        <v>44701.265</v>
      </c>
      <c r="D9144" s="15">
        <f>IFERROR(__xludf.DUMMYFUNCTION("""COMPUTED_VALUE"""),1.058)</f>
        <v>1.058</v>
      </c>
      <c r="E9144" s="16">
        <f>IFERROR(__xludf.DUMMYFUNCTION("""COMPUTED_VALUE"""),66.0)</f>
        <v>66</v>
      </c>
      <c r="F9144" s="19" t="str">
        <f>IFERROR(__xludf.DUMMYFUNCTION("""COMPUTED_VALUE"""),"BLACK")</f>
        <v>BLACK</v>
      </c>
      <c r="G9144" s="20" t="str">
        <f>IFERROR(__xludf.DUMMYFUNCTION("""COMPUTED_VALUE"""),"Uncle Sams Cider (5/13/2022)")</f>
        <v>Uncle Sams Cider (5/13/2022)</v>
      </c>
      <c r="H9144" s="19"/>
    </row>
    <row r="9145">
      <c r="A9145" s="9"/>
      <c r="B9145" s="15"/>
      <c r="C9145" s="9">
        <f>IFERROR(__xludf.DUMMYFUNCTION("""COMPUTED_VALUE"""),44701.2545757407)</f>
        <v>44701.25458</v>
      </c>
      <c r="D9145" s="15">
        <f>IFERROR(__xludf.DUMMYFUNCTION("""COMPUTED_VALUE"""),1.058)</f>
        <v>1.058</v>
      </c>
      <c r="E9145" s="16">
        <f>IFERROR(__xludf.DUMMYFUNCTION("""COMPUTED_VALUE"""),66.0)</f>
        <v>66</v>
      </c>
      <c r="F9145" s="19" t="str">
        <f>IFERROR(__xludf.DUMMYFUNCTION("""COMPUTED_VALUE"""),"BLACK")</f>
        <v>BLACK</v>
      </c>
      <c r="G9145" s="20" t="str">
        <f>IFERROR(__xludf.DUMMYFUNCTION("""COMPUTED_VALUE"""),"Uncle Sams Cider (5/13/2022)")</f>
        <v>Uncle Sams Cider (5/13/2022)</v>
      </c>
      <c r="H9145" s="19"/>
    </row>
    <row r="9146">
      <c r="A9146" s="9"/>
      <c r="B9146" s="15"/>
      <c r="C9146" s="9">
        <f>IFERROR(__xludf.DUMMYFUNCTION("""COMPUTED_VALUE"""),44701.244155162)</f>
        <v>44701.24416</v>
      </c>
      <c r="D9146" s="15">
        <f>IFERROR(__xludf.DUMMYFUNCTION("""COMPUTED_VALUE"""),1.058)</f>
        <v>1.058</v>
      </c>
      <c r="E9146" s="16">
        <f>IFERROR(__xludf.DUMMYFUNCTION("""COMPUTED_VALUE"""),66.0)</f>
        <v>66</v>
      </c>
      <c r="F9146" s="19" t="str">
        <f>IFERROR(__xludf.DUMMYFUNCTION("""COMPUTED_VALUE"""),"BLACK")</f>
        <v>BLACK</v>
      </c>
      <c r="G9146" s="20" t="str">
        <f>IFERROR(__xludf.DUMMYFUNCTION("""COMPUTED_VALUE"""),"Uncle Sams Cider (5/13/2022)")</f>
        <v>Uncle Sams Cider (5/13/2022)</v>
      </c>
      <c r="H9146" s="19"/>
    </row>
    <row r="9147">
      <c r="A9147" s="9"/>
      <c r="B9147" s="15"/>
      <c r="C9147" s="9">
        <f>IFERROR(__xludf.DUMMYFUNCTION("""COMPUTED_VALUE"""),44701.2337356134)</f>
        <v>44701.23374</v>
      </c>
      <c r="D9147" s="15">
        <f>IFERROR(__xludf.DUMMYFUNCTION("""COMPUTED_VALUE"""),1.059)</f>
        <v>1.059</v>
      </c>
      <c r="E9147" s="16">
        <f>IFERROR(__xludf.DUMMYFUNCTION("""COMPUTED_VALUE"""),66.0)</f>
        <v>66</v>
      </c>
      <c r="F9147" s="19" t="str">
        <f>IFERROR(__xludf.DUMMYFUNCTION("""COMPUTED_VALUE"""),"BLACK")</f>
        <v>BLACK</v>
      </c>
      <c r="G9147" s="20" t="str">
        <f>IFERROR(__xludf.DUMMYFUNCTION("""COMPUTED_VALUE"""),"Uncle Sams Cider (5/13/2022)")</f>
        <v>Uncle Sams Cider (5/13/2022)</v>
      </c>
      <c r="H9147" s="19"/>
    </row>
    <row r="9148">
      <c r="A9148" s="9"/>
      <c r="B9148" s="15"/>
      <c r="C9148" s="9">
        <f>IFERROR(__xludf.DUMMYFUNCTION("""COMPUTED_VALUE"""),44701.2233152199)</f>
        <v>44701.22332</v>
      </c>
      <c r="D9148" s="15">
        <f>IFERROR(__xludf.DUMMYFUNCTION("""COMPUTED_VALUE"""),1.059)</f>
        <v>1.059</v>
      </c>
      <c r="E9148" s="16">
        <f>IFERROR(__xludf.DUMMYFUNCTION("""COMPUTED_VALUE"""),66.0)</f>
        <v>66</v>
      </c>
      <c r="F9148" s="19" t="str">
        <f>IFERROR(__xludf.DUMMYFUNCTION("""COMPUTED_VALUE"""),"BLACK")</f>
        <v>BLACK</v>
      </c>
      <c r="G9148" s="20" t="str">
        <f>IFERROR(__xludf.DUMMYFUNCTION("""COMPUTED_VALUE"""),"Uncle Sams Cider (5/13/2022)")</f>
        <v>Uncle Sams Cider (5/13/2022)</v>
      </c>
      <c r="H9148" s="19"/>
    </row>
    <row r="9149">
      <c r="A9149" s="9"/>
      <c r="B9149" s="15"/>
      <c r="C9149" s="9">
        <f>IFERROR(__xludf.DUMMYFUNCTION("""COMPUTED_VALUE"""),44701.2128942708)</f>
        <v>44701.21289</v>
      </c>
      <c r="D9149" s="15">
        <f>IFERROR(__xludf.DUMMYFUNCTION("""COMPUTED_VALUE"""),1.058)</f>
        <v>1.058</v>
      </c>
      <c r="E9149" s="16">
        <f>IFERROR(__xludf.DUMMYFUNCTION("""COMPUTED_VALUE"""),66.0)</f>
        <v>66</v>
      </c>
      <c r="F9149" s="19" t="str">
        <f>IFERROR(__xludf.DUMMYFUNCTION("""COMPUTED_VALUE"""),"BLACK")</f>
        <v>BLACK</v>
      </c>
      <c r="G9149" s="20" t="str">
        <f>IFERROR(__xludf.DUMMYFUNCTION("""COMPUTED_VALUE"""),"Uncle Sams Cider (5/13/2022)")</f>
        <v>Uncle Sams Cider (5/13/2022)</v>
      </c>
      <c r="H9149" s="19"/>
    </row>
    <row r="9150">
      <c r="A9150" s="9"/>
      <c r="B9150" s="15"/>
      <c r="C9150" s="9">
        <f>IFERROR(__xludf.DUMMYFUNCTION("""COMPUTED_VALUE"""),44701.2024725694)</f>
        <v>44701.20247</v>
      </c>
      <c r="D9150" s="15">
        <f>IFERROR(__xludf.DUMMYFUNCTION("""COMPUTED_VALUE"""),1.059)</f>
        <v>1.059</v>
      </c>
      <c r="E9150" s="16">
        <f>IFERROR(__xludf.DUMMYFUNCTION("""COMPUTED_VALUE"""),66.0)</f>
        <v>66</v>
      </c>
      <c r="F9150" s="19" t="str">
        <f>IFERROR(__xludf.DUMMYFUNCTION("""COMPUTED_VALUE"""),"BLACK")</f>
        <v>BLACK</v>
      </c>
      <c r="G9150" s="20" t="str">
        <f>IFERROR(__xludf.DUMMYFUNCTION("""COMPUTED_VALUE"""),"Uncle Sams Cider (5/13/2022)")</f>
        <v>Uncle Sams Cider (5/13/2022)</v>
      </c>
      <c r="H9150" s="19"/>
    </row>
    <row r="9151">
      <c r="A9151" s="9"/>
      <c r="B9151" s="15"/>
      <c r="C9151" s="9">
        <f>IFERROR(__xludf.DUMMYFUNCTION("""COMPUTED_VALUE"""),44701.1920500578)</f>
        <v>44701.19205</v>
      </c>
      <c r="D9151" s="15">
        <f>IFERROR(__xludf.DUMMYFUNCTION("""COMPUTED_VALUE"""),1.059)</f>
        <v>1.059</v>
      </c>
      <c r="E9151" s="16">
        <f>IFERROR(__xludf.DUMMYFUNCTION("""COMPUTED_VALUE"""),66.0)</f>
        <v>66</v>
      </c>
      <c r="F9151" s="19" t="str">
        <f>IFERROR(__xludf.DUMMYFUNCTION("""COMPUTED_VALUE"""),"BLACK")</f>
        <v>BLACK</v>
      </c>
      <c r="G9151" s="20" t="str">
        <f>IFERROR(__xludf.DUMMYFUNCTION("""COMPUTED_VALUE"""),"Uncle Sams Cider (5/13/2022)")</f>
        <v>Uncle Sams Cider (5/13/2022)</v>
      </c>
      <c r="H9151" s="19"/>
    </row>
    <row r="9152">
      <c r="A9152" s="9"/>
      <c r="B9152" s="15"/>
      <c r="C9152" s="9">
        <f>IFERROR(__xludf.DUMMYFUNCTION("""COMPUTED_VALUE"""),44701.1816291551)</f>
        <v>44701.18163</v>
      </c>
      <c r="D9152" s="15">
        <f>IFERROR(__xludf.DUMMYFUNCTION("""COMPUTED_VALUE"""),1.059)</f>
        <v>1.059</v>
      </c>
      <c r="E9152" s="16">
        <f>IFERROR(__xludf.DUMMYFUNCTION("""COMPUTED_VALUE"""),66.0)</f>
        <v>66</v>
      </c>
      <c r="F9152" s="19" t="str">
        <f>IFERROR(__xludf.DUMMYFUNCTION("""COMPUTED_VALUE"""),"BLACK")</f>
        <v>BLACK</v>
      </c>
      <c r="G9152" s="20" t="str">
        <f>IFERROR(__xludf.DUMMYFUNCTION("""COMPUTED_VALUE"""),"Uncle Sams Cider (5/13/2022)")</f>
        <v>Uncle Sams Cider (5/13/2022)</v>
      </c>
      <c r="H9152" s="19"/>
    </row>
    <row r="9153">
      <c r="A9153" s="9"/>
      <c r="B9153" s="15"/>
      <c r="C9153" s="9">
        <f>IFERROR(__xludf.DUMMYFUNCTION("""COMPUTED_VALUE"""),44701.1712064351)</f>
        <v>44701.17121</v>
      </c>
      <c r="D9153" s="15">
        <f>IFERROR(__xludf.DUMMYFUNCTION("""COMPUTED_VALUE"""),1.059)</f>
        <v>1.059</v>
      </c>
      <c r="E9153" s="16">
        <f>IFERROR(__xludf.DUMMYFUNCTION("""COMPUTED_VALUE"""),66.0)</f>
        <v>66</v>
      </c>
      <c r="F9153" s="19" t="str">
        <f>IFERROR(__xludf.DUMMYFUNCTION("""COMPUTED_VALUE"""),"BLACK")</f>
        <v>BLACK</v>
      </c>
      <c r="G9153" s="20" t="str">
        <f>IFERROR(__xludf.DUMMYFUNCTION("""COMPUTED_VALUE"""),"Uncle Sams Cider (5/13/2022)")</f>
        <v>Uncle Sams Cider (5/13/2022)</v>
      </c>
      <c r="H9153" s="19"/>
    </row>
    <row r="9154">
      <c r="A9154" s="9"/>
      <c r="B9154" s="15"/>
      <c r="C9154" s="9">
        <f>IFERROR(__xludf.DUMMYFUNCTION("""COMPUTED_VALUE"""),44701.160784537)</f>
        <v>44701.16078</v>
      </c>
      <c r="D9154" s="15">
        <f>IFERROR(__xludf.DUMMYFUNCTION("""COMPUTED_VALUE"""),1.059)</f>
        <v>1.059</v>
      </c>
      <c r="E9154" s="16">
        <f>IFERROR(__xludf.DUMMYFUNCTION("""COMPUTED_VALUE"""),66.0)</f>
        <v>66</v>
      </c>
      <c r="F9154" s="19" t="str">
        <f>IFERROR(__xludf.DUMMYFUNCTION("""COMPUTED_VALUE"""),"BLACK")</f>
        <v>BLACK</v>
      </c>
      <c r="G9154" s="20" t="str">
        <f>IFERROR(__xludf.DUMMYFUNCTION("""COMPUTED_VALUE"""),"Uncle Sams Cider (5/13/2022)")</f>
        <v>Uncle Sams Cider (5/13/2022)</v>
      </c>
      <c r="H9154" s="19"/>
    </row>
    <row r="9155">
      <c r="A9155" s="9"/>
      <c r="B9155" s="15"/>
      <c r="C9155" s="9">
        <f>IFERROR(__xludf.DUMMYFUNCTION("""COMPUTED_VALUE"""),44701.1503410185)</f>
        <v>44701.15034</v>
      </c>
      <c r="D9155" s="15">
        <f>IFERROR(__xludf.DUMMYFUNCTION("""COMPUTED_VALUE"""),1.059)</f>
        <v>1.059</v>
      </c>
      <c r="E9155" s="16">
        <f>IFERROR(__xludf.DUMMYFUNCTION("""COMPUTED_VALUE"""),66.0)</f>
        <v>66</v>
      </c>
      <c r="F9155" s="19" t="str">
        <f>IFERROR(__xludf.DUMMYFUNCTION("""COMPUTED_VALUE"""),"BLACK")</f>
        <v>BLACK</v>
      </c>
      <c r="G9155" s="20" t="str">
        <f>IFERROR(__xludf.DUMMYFUNCTION("""COMPUTED_VALUE"""),"Uncle Sams Cider (5/13/2022)")</f>
        <v>Uncle Sams Cider (5/13/2022)</v>
      </c>
      <c r="H9155" s="19"/>
    </row>
    <row r="9156">
      <c r="A9156" s="9"/>
      <c r="B9156" s="15"/>
      <c r="C9156" s="9">
        <f>IFERROR(__xludf.DUMMYFUNCTION("""COMPUTED_VALUE"""),44701.1399199421)</f>
        <v>44701.13992</v>
      </c>
      <c r="D9156" s="15">
        <f>IFERROR(__xludf.DUMMYFUNCTION("""COMPUTED_VALUE"""),1.059)</f>
        <v>1.059</v>
      </c>
      <c r="E9156" s="16">
        <f>IFERROR(__xludf.DUMMYFUNCTION("""COMPUTED_VALUE"""),66.0)</f>
        <v>66</v>
      </c>
      <c r="F9156" s="19" t="str">
        <f>IFERROR(__xludf.DUMMYFUNCTION("""COMPUTED_VALUE"""),"BLACK")</f>
        <v>BLACK</v>
      </c>
      <c r="G9156" s="20" t="str">
        <f>IFERROR(__xludf.DUMMYFUNCTION("""COMPUTED_VALUE"""),"Uncle Sams Cider (5/13/2022)")</f>
        <v>Uncle Sams Cider (5/13/2022)</v>
      </c>
      <c r="H9156" s="19"/>
    </row>
    <row r="9157">
      <c r="A9157" s="9"/>
      <c r="B9157" s="15"/>
      <c r="C9157" s="9">
        <f>IFERROR(__xludf.DUMMYFUNCTION("""COMPUTED_VALUE"""),44701.129498287)</f>
        <v>44701.1295</v>
      </c>
      <c r="D9157" s="15">
        <f>IFERROR(__xludf.DUMMYFUNCTION("""COMPUTED_VALUE"""),1.059)</f>
        <v>1.059</v>
      </c>
      <c r="E9157" s="16">
        <f>IFERROR(__xludf.DUMMYFUNCTION("""COMPUTED_VALUE"""),66.0)</f>
        <v>66</v>
      </c>
      <c r="F9157" s="19" t="str">
        <f>IFERROR(__xludf.DUMMYFUNCTION("""COMPUTED_VALUE"""),"BLACK")</f>
        <v>BLACK</v>
      </c>
      <c r="G9157" s="20" t="str">
        <f>IFERROR(__xludf.DUMMYFUNCTION("""COMPUTED_VALUE"""),"Uncle Sams Cider (5/13/2022)")</f>
        <v>Uncle Sams Cider (5/13/2022)</v>
      </c>
      <c r="H9157" s="19"/>
    </row>
    <row r="9158">
      <c r="A9158" s="9"/>
      <c r="B9158" s="15"/>
      <c r="C9158" s="9">
        <f>IFERROR(__xludf.DUMMYFUNCTION("""COMPUTED_VALUE"""),44701.1190642592)</f>
        <v>44701.11906</v>
      </c>
      <c r="D9158" s="15">
        <f>IFERROR(__xludf.DUMMYFUNCTION("""COMPUTED_VALUE"""),1.059)</f>
        <v>1.059</v>
      </c>
      <c r="E9158" s="16">
        <f>IFERROR(__xludf.DUMMYFUNCTION("""COMPUTED_VALUE"""),66.0)</f>
        <v>66</v>
      </c>
      <c r="F9158" s="19" t="str">
        <f>IFERROR(__xludf.DUMMYFUNCTION("""COMPUTED_VALUE"""),"BLACK")</f>
        <v>BLACK</v>
      </c>
      <c r="G9158" s="20" t="str">
        <f>IFERROR(__xludf.DUMMYFUNCTION("""COMPUTED_VALUE"""),"Uncle Sams Cider (5/13/2022)")</f>
        <v>Uncle Sams Cider (5/13/2022)</v>
      </c>
      <c r="H9158" s="19"/>
    </row>
    <row r="9159">
      <c r="A9159" s="9"/>
      <c r="B9159" s="15"/>
      <c r="C9159" s="9">
        <f>IFERROR(__xludf.DUMMYFUNCTION("""COMPUTED_VALUE"""),44701.1086442708)</f>
        <v>44701.10864</v>
      </c>
      <c r="D9159" s="15">
        <f>IFERROR(__xludf.DUMMYFUNCTION("""COMPUTED_VALUE"""),1.06)</f>
        <v>1.06</v>
      </c>
      <c r="E9159" s="16">
        <f>IFERROR(__xludf.DUMMYFUNCTION("""COMPUTED_VALUE"""),66.0)</f>
        <v>66</v>
      </c>
      <c r="F9159" s="19" t="str">
        <f>IFERROR(__xludf.DUMMYFUNCTION("""COMPUTED_VALUE"""),"BLACK")</f>
        <v>BLACK</v>
      </c>
      <c r="G9159" s="20" t="str">
        <f>IFERROR(__xludf.DUMMYFUNCTION("""COMPUTED_VALUE"""),"Uncle Sams Cider (5/13/2022)")</f>
        <v>Uncle Sams Cider (5/13/2022)</v>
      </c>
      <c r="H9159" s="19"/>
    </row>
    <row r="9160">
      <c r="A9160" s="9"/>
      <c r="B9160" s="15"/>
      <c r="C9160" s="9">
        <f>IFERROR(__xludf.DUMMYFUNCTION("""COMPUTED_VALUE"""),44701.0982120717)</f>
        <v>44701.09821</v>
      </c>
      <c r="D9160" s="15">
        <f>IFERROR(__xludf.DUMMYFUNCTION("""COMPUTED_VALUE"""),1.059)</f>
        <v>1.059</v>
      </c>
      <c r="E9160" s="16">
        <f>IFERROR(__xludf.DUMMYFUNCTION("""COMPUTED_VALUE"""),66.0)</f>
        <v>66</v>
      </c>
      <c r="F9160" s="19" t="str">
        <f>IFERROR(__xludf.DUMMYFUNCTION("""COMPUTED_VALUE"""),"BLACK")</f>
        <v>BLACK</v>
      </c>
      <c r="G9160" s="20" t="str">
        <f>IFERROR(__xludf.DUMMYFUNCTION("""COMPUTED_VALUE"""),"Uncle Sams Cider (5/13/2022)")</f>
        <v>Uncle Sams Cider (5/13/2022)</v>
      </c>
      <c r="H9160" s="19"/>
    </row>
    <row r="9161">
      <c r="A9161" s="9"/>
      <c r="B9161" s="15"/>
      <c r="C9161" s="9">
        <f>IFERROR(__xludf.DUMMYFUNCTION("""COMPUTED_VALUE"""),44701.0877908912)</f>
        <v>44701.08779</v>
      </c>
      <c r="D9161" s="15">
        <f>IFERROR(__xludf.DUMMYFUNCTION("""COMPUTED_VALUE"""),1.059)</f>
        <v>1.059</v>
      </c>
      <c r="E9161" s="16">
        <f>IFERROR(__xludf.DUMMYFUNCTION("""COMPUTED_VALUE"""),66.0)</f>
        <v>66</v>
      </c>
      <c r="F9161" s="19" t="str">
        <f>IFERROR(__xludf.DUMMYFUNCTION("""COMPUTED_VALUE"""),"BLACK")</f>
        <v>BLACK</v>
      </c>
      <c r="G9161" s="20" t="str">
        <f>IFERROR(__xludf.DUMMYFUNCTION("""COMPUTED_VALUE"""),"Uncle Sams Cider (5/13/2022)")</f>
        <v>Uncle Sams Cider (5/13/2022)</v>
      </c>
      <c r="H9161" s="19"/>
    </row>
    <row r="9162">
      <c r="A9162" s="9"/>
      <c r="B9162" s="15"/>
      <c r="C9162" s="9">
        <f>IFERROR(__xludf.DUMMYFUNCTION("""COMPUTED_VALUE"""),44701.0773689814)</f>
        <v>44701.07737</v>
      </c>
      <c r="D9162" s="15">
        <f>IFERROR(__xludf.DUMMYFUNCTION("""COMPUTED_VALUE"""),1.06)</f>
        <v>1.06</v>
      </c>
      <c r="E9162" s="16">
        <f>IFERROR(__xludf.DUMMYFUNCTION("""COMPUTED_VALUE"""),66.0)</f>
        <v>66</v>
      </c>
      <c r="F9162" s="19" t="str">
        <f>IFERROR(__xludf.DUMMYFUNCTION("""COMPUTED_VALUE"""),"BLACK")</f>
        <v>BLACK</v>
      </c>
      <c r="G9162" s="20" t="str">
        <f>IFERROR(__xludf.DUMMYFUNCTION("""COMPUTED_VALUE"""),"Uncle Sams Cider (5/13/2022)")</f>
        <v>Uncle Sams Cider (5/13/2022)</v>
      </c>
      <c r="H9162" s="19"/>
    </row>
    <row r="9163">
      <c r="A9163" s="9"/>
      <c r="B9163" s="15"/>
      <c r="C9163" s="9">
        <f>IFERROR(__xludf.DUMMYFUNCTION("""COMPUTED_VALUE"""),44701.0669471875)</f>
        <v>44701.06695</v>
      </c>
      <c r="D9163" s="15">
        <f>IFERROR(__xludf.DUMMYFUNCTION("""COMPUTED_VALUE"""),1.059)</f>
        <v>1.059</v>
      </c>
      <c r="E9163" s="16">
        <f>IFERROR(__xludf.DUMMYFUNCTION("""COMPUTED_VALUE"""),66.0)</f>
        <v>66</v>
      </c>
      <c r="F9163" s="19" t="str">
        <f>IFERROR(__xludf.DUMMYFUNCTION("""COMPUTED_VALUE"""),"BLACK")</f>
        <v>BLACK</v>
      </c>
      <c r="G9163" s="20" t="str">
        <f>IFERROR(__xludf.DUMMYFUNCTION("""COMPUTED_VALUE"""),"Uncle Sams Cider (5/13/2022)")</f>
        <v>Uncle Sams Cider (5/13/2022)</v>
      </c>
      <c r="H9163" s="19"/>
    </row>
    <row r="9164">
      <c r="A9164" s="9"/>
      <c r="B9164" s="15"/>
      <c r="C9164" s="9">
        <f>IFERROR(__xludf.DUMMYFUNCTION("""COMPUTED_VALUE"""),44701.056491956)</f>
        <v>44701.05649</v>
      </c>
      <c r="D9164" s="15">
        <f>IFERROR(__xludf.DUMMYFUNCTION("""COMPUTED_VALUE"""),1.06)</f>
        <v>1.06</v>
      </c>
      <c r="E9164" s="16">
        <f>IFERROR(__xludf.DUMMYFUNCTION("""COMPUTED_VALUE"""),65.0)</f>
        <v>65</v>
      </c>
      <c r="F9164" s="19" t="str">
        <f>IFERROR(__xludf.DUMMYFUNCTION("""COMPUTED_VALUE"""),"BLACK")</f>
        <v>BLACK</v>
      </c>
      <c r="G9164" s="20" t="str">
        <f>IFERROR(__xludf.DUMMYFUNCTION("""COMPUTED_VALUE"""),"Uncle Sams Cider (5/13/2022)")</f>
        <v>Uncle Sams Cider (5/13/2022)</v>
      </c>
      <c r="H9164" s="19"/>
    </row>
    <row r="9165">
      <c r="A9165" s="9"/>
      <c r="B9165" s="15"/>
      <c r="C9165" s="9">
        <f>IFERROR(__xludf.DUMMYFUNCTION("""COMPUTED_VALUE"""),44701.0460703587)</f>
        <v>44701.04607</v>
      </c>
      <c r="D9165" s="15">
        <f>IFERROR(__xludf.DUMMYFUNCTION("""COMPUTED_VALUE"""),1.06)</f>
        <v>1.06</v>
      </c>
      <c r="E9165" s="16">
        <f>IFERROR(__xludf.DUMMYFUNCTION("""COMPUTED_VALUE"""),65.0)</f>
        <v>65</v>
      </c>
      <c r="F9165" s="19" t="str">
        <f>IFERROR(__xludf.DUMMYFUNCTION("""COMPUTED_VALUE"""),"BLACK")</f>
        <v>BLACK</v>
      </c>
      <c r="G9165" s="20" t="str">
        <f>IFERROR(__xludf.DUMMYFUNCTION("""COMPUTED_VALUE"""),"Uncle Sams Cider (5/13/2022)")</f>
        <v>Uncle Sams Cider (5/13/2022)</v>
      </c>
      <c r="H9165" s="19"/>
    </row>
    <row r="9166">
      <c r="A9166" s="9"/>
      <c r="B9166" s="15"/>
      <c r="C9166" s="9">
        <f>IFERROR(__xludf.DUMMYFUNCTION("""COMPUTED_VALUE"""),44701.0356483564)</f>
        <v>44701.03565</v>
      </c>
      <c r="D9166" s="15">
        <f>IFERROR(__xludf.DUMMYFUNCTION("""COMPUTED_VALUE"""),1.06)</f>
        <v>1.06</v>
      </c>
      <c r="E9166" s="16">
        <f>IFERROR(__xludf.DUMMYFUNCTION("""COMPUTED_VALUE"""),66.0)</f>
        <v>66</v>
      </c>
      <c r="F9166" s="19" t="str">
        <f>IFERROR(__xludf.DUMMYFUNCTION("""COMPUTED_VALUE"""),"BLACK")</f>
        <v>BLACK</v>
      </c>
      <c r="G9166" s="20" t="str">
        <f>IFERROR(__xludf.DUMMYFUNCTION("""COMPUTED_VALUE"""),"Uncle Sams Cider (5/13/2022)")</f>
        <v>Uncle Sams Cider (5/13/2022)</v>
      </c>
      <c r="H9166" s="19"/>
    </row>
    <row r="9167">
      <c r="A9167" s="9"/>
      <c r="B9167" s="15"/>
      <c r="C9167" s="9">
        <f>IFERROR(__xludf.DUMMYFUNCTION("""COMPUTED_VALUE"""),44701.0252170486)</f>
        <v>44701.02522</v>
      </c>
      <c r="D9167" s="15">
        <f>IFERROR(__xludf.DUMMYFUNCTION("""COMPUTED_VALUE"""),1.06)</f>
        <v>1.06</v>
      </c>
      <c r="E9167" s="16">
        <f>IFERROR(__xludf.DUMMYFUNCTION("""COMPUTED_VALUE"""),65.0)</f>
        <v>65</v>
      </c>
      <c r="F9167" s="19" t="str">
        <f>IFERROR(__xludf.DUMMYFUNCTION("""COMPUTED_VALUE"""),"BLACK")</f>
        <v>BLACK</v>
      </c>
      <c r="G9167" s="20" t="str">
        <f>IFERROR(__xludf.DUMMYFUNCTION("""COMPUTED_VALUE"""),"Uncle Sams Cider (5/13/2022)")</f>
        <v>Uncle Sams Cider (5/13/2022)</v>
      </c>
      <c r="H9167" s="19"/>
    </row>
    <row r="9168">
      <c r="A9168" s="9"/>
      <c r="B9168" s="15"/>
      <c r="C9168" s="9">
        <f>IFERROR(__xludf.DUMMYFUNCTION("""COMPUTED_VALUE"""),44701.0147975925)</f>
        <v>44701.0148</v>
      </c>
      <c r="D9168" s="15">
        <f>IFERROR(__xludf.DUMMYFUNCTION("""COMPUTED_VALUE"""),1.06)</f>
        <v>1.06</v>
      </c>
      <c r="E9168" s="16">
        <f>IFERROR(__xludf.DUMMYFUNCTION("""COMPUTED_VALUE"""),66.0)</f>
        <v>66</v>
      </c>
      <c r="F9168" s="19" t="str">
        <f>IFERROR(__xludf.DUMMYFUNCTION("""COMPUTED_VALUE"""),"BLACK")</f>
        <v>BLACK</v>
      </c>
      <c r="G9168" s="20" t="str">
        <f>IFERROR(__xludf.DUMMYFUNCTION("""COMPUTED_VALUE"""),"Uncle Sams Cider (5/13/2022)")</f>
        <v>Uncle Sams Cider (5/13/2022)</v>
      </c>
      <c r="H9168" s="19"/>
    </row>
    <row r="9169">
      <c r="A9169" s="9"/>
      <c r="B9169" s="15"/>
      <c r="C9169" s="9">
        <f>IFERROR(__xludf.DUMMYFUNCTION("""COMPUTED_VALUE"""),44701.0043636342)</f>
        <v>44701.00436</v>
      </c>
      <c r="D9169" s="15">
        <f>IFERROR(__xludf.DUMMYFUNCTION("""COMPUTED_VALUE"""),1.06)</f>
        <v>1.06</v>
      </c>
      <c r="E9169" s="16">
        <f>IFERROR(__xludf.DUMMYFUNCTION("""COMPUTED_VALUE"""),66.0)</f>
        <v>66</v>
      </c>
      <c r="F9169" s="19" t="str">
        <f>IFERROR(__xludf.DUMMYFUNCTION("""COMPUTED_VALUE"""),"BLACK")</f>
        <v>BLACK</v>
      </c>
      <c r="G9169" s="20" t="str">
        <f>IFERROR(__xludf.DUMMYFUNCTION("""COMPUTED_VALUE"""),"Uncle Sams Cider (5/13/2022)")</f>
        <v>Uncle Sams Cider (5/13/2022)</v>
      </c>
      <c r="H9169" s="19"/>
    </row>
    <row r="9170">
      <c r="A9170" s="9"/>
      <c r="B9170" s="15"/>
      <c r="C9170" s="9">
        <f>IFERROR(__xludf.DUMMYFUNCTION("""COMPUTED_VALUE"""),44700.9939311458)</f>
        <v>44700.99393</v>
      </c>
      <c r="D9170" s="15">
        <f>IFERROR(__xludf.DUMMYFUNCTION("""COMPUTED_VALUE"""),1.06)</f>
        <v>1.06</v>
      </c>
      <c r="E9170" s="16">
        <f>IFERROR(__xludf.DUMMYFUNCTION("""COMPUTED_VALUE"""),66.0)</f>
        <v>66</v>
      </c>
      <c r="F9170" s="19" t="str">
        <f>IFERROR(__xludf.DUMMYFUNCTION("""COMPUTED_VALUE"""),"BLACK")</f>
        <v>BLACK</v>
      </c>
      <c r="G9170" s="20" t="str">
        <f>IFERROR(__xludf.DUMMYFUNCTION("""COMPUTED_VALUE"""),"Uncle Sams Cider (5/13/2022)")</f>
        <v>Uncle Sams Cider (5/13/2022)</v>
      </c>
      <c r="H9170" s="19"/>
    </row>
    <row r="9171">
      <c r="A9171" s="9"/>
      <c r="B9171" s="15"/>
      <c r="C9171" s="9">
        <f>IFERROR(__xludf.DUMMYFUNCTION("""COMPUTED_VALUE"""),44700.9835104861)</f>
        <v>44700.98351</v>
      </c>
      <c r="D9171" s="15">
        <f>IFERROR(__xludf.DUMMYFUNCTION("""COMPUTED_VALUE"""),1.06)</f>
        <v>1.06</v>
      </c>
      <c r="E9171" s="16">
        <f>IFERROR(__xludf.DUMMYFUNCTION("""COMPUTED_VALUE"""),66.0)</f>
        <v>66</v>
      </c>
      <c r="F9171" s="19" t="str">
        <f>IFERROR(__xludf.DUMMYFUNCTION("""COMPUTED_VALUE"""),"BLACK")</f>
        <v>BLACK</v>
      </c>
      <c r="G9171" s="20" t="str">
        <f>IFERROR(__xludf.DUMMYFUNCTION("""COMPUTED_VALUE"""),"Uncle Sams Cider (5/13/2022)")</f>
        <v>Uncle Sams Cider (5/13/2022)</v>
      </c>
      <c r="H9171" s="19"/>
    </row>
    <row r="9172">
      <c r="A9172" s="9"/>
      <c r="B9172" s="15"/>
      <c r="C9172" s="9">
        <f>IFERROR(__xludf.DUMMYFUNCTION("""COMPUTED_VALUE"""),44700.9730908564)</f>
        <v>44700.97309</v>
      </c>
      <c r="D9172" s="15">
        <f>IFERROR(__xludf.DUMMYFUNCTION("""COMPUTED_VALUE"""),1.06)</f>
        <v>1.06</v>
      </c>
      <c r="E9172" s="16">
        <f>IFERROR(__xludf.DUMMYFUNCTION("""COMPUTED_VALUE"""),66.0)</f>
        <v>66</v>
      </c>
      <c r="F9172" s="19" t="str">
        <f>IFERROR(__xludf.DUMMYFUNCTION("""COMPUTED_VALUE"""),"BLACK")</f>
        <v>BLACK</v>
      </c>
      <c r="G9172" s="20" t="str">
        <f>IFERROR(__xludf.DUMMYFUNCTION("""COMPUTED_VALUE"""),"Uncle Sams Cider (5/13/2022)")</f>
        <v>Uncle Sams Cider (5/13/2022)</v>
      </c>
      <c r="H9172" s="19"/>
    </row>
    <row r="9173">
      <c r="A9173" s="9"/>
      <c r="B9173" s="15"/>
      <c r="C9173" s="9">
        <f>IFERROR(__xludf.DUMMYFUNCTION("""COMPUTED_VALUE"""),44700.9626462963)</f>
        <v>44700.96265</v>
      </c>
      <c r="D9173" s="15">
        <f>IFERROR(__xludf.DUMMYFUNCTION("""COMPUTED_VALUE"""),1.06)</f>
        <v>1.06</v>
      </c>
      <c r="E9173" s="16">
        <f>IFERROR(__xludf.DUMMYFUNCTION("""COMPUTED_VALUE"""),68.0)</f>
        <v>68</v>
      </c>
      <c r="F9173" s="19" t="str">
        <f>IFERROR(__xludf.DUMMYFUNCTION("""COMPUTED_VALUE"""),"BLACK")</f>
        <v>BLACK</v>
      </c>
      <c r="G9173" s="20" t="str">
        <f>IFERROR(__xludf.DUMMYFUNCTION("""COMPUTED_VALUE"""),"Uncle Sams Cider (5/13/2022)")</f>
        <v>Uncle Sams Cider (5/13/2022)</v>
      </c>
      <c r="H9173" s="19"/>
    </row>
    <row r="9174">
      <c r="A9174" s="9"/>
      <c r="B9174" s="15"/>
      <c r="C9174" s="9">
        <f>IFERROR(__xludf.DUMMYFUNCTION("""COMPUTED_VALUE"""),44700.952226331)</f>
        <v>44700.95223</v>
      </c>
      <c r="D9174" s="15">
        <f>IFERROR(__xludf.DUMMYFUNCTION("""COMPUTED_VALUE"""),1.06)</f>
        <v>1.06</v>
      </c>
      <c r="E9174" s="16">
        <f>IFERROR(__xludf.DUMMYFUNCTION("""COMPUTED_VALUE"""),69.0)</f>
        <v>69</v>
      </c>
      <c r="F9174" s="19" t="str">
        <f>IFERROR(__xludf.DUMMYFUNCTION("""COMPUTED_VALUE"""),"BLACK")</f>
        <v>BLACK</v>
      </c>
      <c r="G9174" s="20" t="str">
        <f>IFERROR(__xludf.DUMMYFUNCTION("""COMPUTED_VALUE"""),"Uncle Sams Cider (5/13/2022)")</f>
        <v>Uncle Sams Cider (5/13/2022)</v>
      </c>
      <c r="H9174" s="19"/>
    </row>
    <row r="9175">
      <c r="A9175" s="9"/>
      <c r="B9175" s="15"/>
      <c r="C9175" s="9">
        <f>IFERROR(__xludf.DUMMYFUNCTION("""COMPUTED_VALUE"""),44700.9418042361)</f>
        <v>44700.9418</v>
      </c>
      <c r="D9175" s="15">
        <f>IFERROR(__xludf.DUMMYFUNCTION("""COMPUTED_VALUE"""),1.06)</f>
        <v>1.06</v>
      </c>
      <c r="E9175" s="16">
        <f>IFERROR(__xludf.DUMMYFUNCTION("""COMPUTED_VALUE"""),70.0)</f>
        <v>70</v>
      </c>
      <c r="F9175" s="19" t="str">
        <f>IFERROR(__xludf.DUMMYFUNCTION("""COMPUTED_VALUE"""),"BLACK")</f>
        <v>BLACK</v>
      </c>
      <c r="G9175" s="20" t="str">
        <f>IFERROR(__xludf.DUMMYFUNCTION("""COMPUTED_VALUE"""),"Uncle Sams Cider (5/13/2022)")</f>
        <v>Uncle Sams Cider (5/13/2022)</v>
      </c>
      <c r="H9175" s="19"/>
    </row>
    <row r="9176">
      <c r="A9176" s="9"/>
      <c r="B9176" s="15"/>
      <c r="C9176" s="9">
        <f>IFERROR(__xludf.DUMMYFUNCTION("""COMPUTED_VALUE"""),44700.9313822222)</f>
        <v>44700.93138</v>
      </c>
      <c r="D9176" s="15">
        <f>IFERROR(__xludf.DUMMYFUNCTION("""COMPUTED_VALUE"""),1.061)</f>
        <v>1.061</v>
      </c>
      <c r="E9176" s="16">
        <f>IFERROR(__xludf.DUMMYFUNCTION("""COMPUTED_VALUE"""),70.0)</f>
        <v>70</v>
      </c>
      <c r="F9176" s="19" t="str">
        <f>IFERROR(__xludf.DUMMYFUNCTION("""COMPUTED_VALUE"""),"BLACK")</f>
        <v>BLACK</v>
      </c>
      <c r="G9176" s="20" t="str">
        <f>IFERROR(__xludf.DUMMYFUNCTION("""COMPUTED_VALUE"""),"Uncle Sams Cider (5/13/2022)")</f>
        <v>Uncle Sams Cider (5/13/2022)</v>
      </c>
      <c r="H9176" s="19"/>
    </row>
    <row r="9177">
      <c r="A9177" s="9"/>
      <c r="B9177" s="15"/>
      <c r="C9177" s="9">
        <f>IFERROR(__xludf.DUMMYFUNCTION("""COMPUTED_VALUE"""),44700.9209587963)</f>
        <v>44700.92096</v>
      </c>
      <c r="D9177" s="15">
        <f>IFERROR(__xludf.DUMMYFUNCTION("""COMPUTED_VALUE"""),1.061)</f>
        <v>1.061</v>
      </c>
      <c r="E9177" s="16">
        <f>IFERROR(__xludf.DUMMYFUNCTION("""COMPUTED_VALUE"""),70.0)</f>
        <v>70</v>
      </c>
      <c r="F9177" s="19" t="str">
        <f>IFERROR(__xludf.DUMMYFUNCTION("""COMPUTED_VALUE"""),"BLACK")</f>
        <v>BLACK</v>
      </c>
      <c r="G9177" s="20" t="str">
        <f>IFERROR(__xludf.DUMMYFUNCTION("""COMPUTED_VALUE"""),"Uncle Sams Cider (5/13/2022)")</f>
        <v>Uncle Sams Cider (5/13/2022)</v>
      </c>
      <c r="H9177" s="19"/>
    </row>
    <row r="9178">
      <c r="A9178" s="9"/>
      <c r="B9178" s="15"/>
      <c r="C9178" s="9">
        <f>IFERROR(__xludf.DUMMYFUNCTION("""COMPUTED_VALUE"""),44700.9105372453)</f>
        <v>44700.91054</v>
      </c>
      <c r="D9178" s="15">
        <f>IFERROR(__xludf.DUMMYFUNCTION("""COMPUTED_VALUE"""),1.061)</f>
        <v>1.061</v>
      </c>
      <c r="E9178" s="16">
        <f>IFERROR(__xludf.DUMMYFUNCTION("""COMPUTED_VALUE"""),70.0)</f>
        <v>70</v>
      </c>
      <c r="F9178" s="19" t="str">
        <f>IFERROR(__xludf.DUMMYFUNCTION("""COMPUTED_VALUE"""),"BLACK")</f>
        <v>BLACK</v>
      </c>
      <c r="G9178" s="20" t="str">
        <f>IFERROR(__xludf.DUMMYFUNCTION("""COMPUTED_VALUE"""),"Uncle Sams Cider (5/13/2022)")</f>
        <v>Uncle Sams Cider (5/13/2022)</v>
      </c>
      <c r="H9178" s="19"/>
    </row>
    <row r="9179">
      <c r="A9179" s="9"/>
      <c r="B9179" s="15"/>
      <c r="C9179" s="9">
        <f>IFERROR(__xludf.DUMMYFUNCTION("""COMPUTED_VALUE"""),44700.9001171412)</f>
        <v>44700.90012</v>
      </c>
      <c r="D9179" s="15">
        <f>IFERROR(__xludf.DUMMYFUNCTION("""COMPUTED_VALUE"""),1.061)</f>
        <v>1.061</v>
      </c>
      <c r="E9179" s="16">
        <f>IFERROR(__xludf.DUMMYFUNCTION("""COMPUTED_VALUE"""),70.0)</f>
        <v>70</v>
      </c>
      <c r="F9179" s="19" t="str">
        <f>IFERROR(__xludf.DUMMYFUNCTION("""COMPUTED_VALUE"""),"BLACK")</f>
        <v>BLACK</v>
      </c>
      <c r="G9179" s="20" t="str">
        <f>IFERROR(__xludf.DUMMYFUNCTION("""COMPUTED_VALUE"""),"Uncle Sams Cider (5/13/2022)")</f>
        <v>Uncle Sams Cider (5/13/2022)</v>
      </c>
      <c r="H9179" s="19"/>
    </row>
    <row r="9180">
      <c r="A9180" s="9"/>
      <c r="B9180" s="15"/>
      <c r="C9180" s="9">
        <f>IFERROR(__xludf.DUMMYFUNCTION("""COMPUTED_VALUE"""),44700.8896942476)</f>
        <v>44700.88969</v>
      </c>
      <c r="D9180" s="15">
        <f>IFERROR(__xludf.DUMMYFUNCTION("""COMPUTED_VALUE"""),1.061)</f>
        <v>1.061</v>
      </c>
      <c r="E9180" s="16">
        <f>IFERROR(__xludf.DUMMYFUNCTION("""COMPUTED_VALUE"""),69.0)</f>
        <v>69</v>
      </c>
      <c r="F9180" s="19" t="str">
        <f>IFERROR(__xludf.DUMMYFUNCTION("""COMPUTED_VALUE"""),"BLACK")</f>
        <v>BLACK</v>
      </c>
      <c r="G9180" s="20" t="str">
        <f>IFERROR(__xludf.DUMMYFUNCTION("""COMPUTED_VALUE"""),"Uncle Sams Cider (5/13/2022)")</f>
        <v>Uncle Sams Cider (5/13/2022)</v>
      </c>
      <c r="H9180" s="19"/>
    </row>
    <row r="9181">
      <c r="A9181" s="9"/>
      <c r="B9181" s="15"/>
      <c r="C9181" s="9">
        <f>IFERROR(__xludf.DUMMYFUNCTION("""COMPUTED_VALUE"""),44700.8792497222)</f>
        <v>44700.87925</v>
      </c>
      <c r="D9181" s="15">
        <f>IFERROR(__xludf.DUMMYFUNCTION("""COMPUTED_VALUE"""),1.061)</f>
        <v>1.061</v>
      </c>
      <c r="E9181" s="16">
        <f>IFERROR(__xludf.DUMMYFUNCTION("""COMPUTED_VALUE"""),69.0)</f>
        <v>69</v>
      </c>
      <c r="F9181" s="19" t="str">
        <f>IFERROR(__xludf.DUMMYFUNCTION("""COMPUTED_VALUE"""),"BLACK")</f>
        <v>BLACK</v>
      </c>
      <c r="G9181" s="20" t="str">
        <f>IFERROR(__xludf.DUMMYFUNCTION("""COMPUTED_VALUE"""),"Uncle Sams Cider (5/13/2022)")</f>
        <v>Uncle Sams Cider (5/13/2022)</v>
      </c>
      <c r="H9181" s="19"/>
    </row>
    <row r="9182">
      <c r="A9182" s="9"/>
      <c r="B9182" s="15"/>
      <c r="C9182" s="9">
        <f>IFERROR(__xludf.DUMMYFUNCTION("""COMPUTED_VALUE"""),44700.8688173148)</f>
        <v>44700.86882</v>
      </c>
      <c r="D9182" s="15">
        <f>IFERROR(__xludf.DUMMYFUNCTION("""COMPUTED_VALUE"""),1.061)</f>
        <v>1.061</v>
      </c>
      <c r="E9182" s="16">
        <f>IFERROR(__xludf.DUMMYFUNCTION("""COMPUTED_VALUE"""),69.0)</f>
        <v>69</v>
      </c>
      <c r="F9182" s="19" t="str">
        <f>IFERROR(__xludf.DUMMYFUNCTION("""COMPUTED_VALUE"""),"BLACK")</f>
        <v>BLACK</v>
      </c>
      <c r="G9182" s="20" t="str">
        <f>IFERROR(__xludf.DUMMYFUNCTION("""COMPUTED_VALUE"""),"Uncle Sams Cider (5/13/2022)")</f>
        <v>Uncle Sams Cider (5/13/2022)</v>
      </c>
      <c r="H9182" s="19"/>
    </row>
    <row r="9183">
      <c r="A9183" s="9"/>
      <c r="B9183" s="15"/>
      <c r="C9183" s="9">
        <f>IFERROR(__xludf.DUMMYFUNCTION("""COMPUTED_VALUE"""),44700.858385)</f>
        <v>44700.85839</v>
      </c>
      <c r="D9183" s="15">
        <f>IFERROR(__xludf.DUMMYFUNCTION("""COMPUTED_VALUE"""),1.061)</f>
        <v>1.061</v>
      </c>
      <c r="E9183" s="16">
        <f>IFERROR(__xludf.DUMMYFUNCTION("""COMPUTED_VALUE"""),69.0)</f>
        <v>69</v>
      </c>
      <c r="F9183" s="19" t="str">
        <f>IFERROR(__xludf.DUMMYFUNCTION("""COMPUTED_VALUE"""),"BLACK")</f>
        <v>BLACK</v>
      </c>
      <c r="G9183" s="20" t="str">
        <f>IFERROR(__xludf.DUMMYFUNCTION("""COMPUTED_VALUE"""),"Uncle Sams Cider (5/13/2022)")</f>
        <v>Uncle Sams Cider (5/13/2022)</v>
      </c>
      <c r="H9183" s="19"/>
    </row>
    <row r="9184">
      <c r="A9184" s="9"/>
      <c r="B9184" s="15"/>
      <c r="C9184" s="9">
        <f>IFERROR(__xludf.DUMMYFUNCTION("""COMPUTED_VALUE"""),44700.8479638426)</f>
        <v>44700.84796</v>
      </c>
      <c r="D9184" s="15">
        <f>IFERROR(__xludf.DUMMYFUNCTION("""COMPUTED_VALUE"""),1.061)</f>
        <v>1.061</v>
      </c>
      <c r="E9184" s="16">
        <f>IFERROR(__xludf.DUMMYFUNCTION("""COMPUTED_VALUE"""),69.0)</f>
        <v>69</v>
      </c>
      <c r="F9184" s="19" t="str">
        <f>IFERROR(__xludf.DUMMYFUNCTION("""COMPUTED_VALUE"""),"BLACK")</f>
        <v>BLACK</v>
      </c>
      <c r="G9184" s="20" t="str">
        <f>IFERROR(__xludf.DUMMYFUNCTION("""COMPUTED_VALUE"""),"Uncle Sams Cider (5/13/2022)")</f>
        <v>Uncle Sams Cider (5/13/2022)</v>
      </c>
      <c r="H9184" s="19"/>
    </row>
    <row r="9185">
      <c r="A9185" s="9"/>
      <c r="B9185" s="15"/>
      <c r="C9185" s="9">
        <f>IFERROR(__xludf.DUMMYFUNCTION("""COMPUTED_VALUE"""),44700.8375306481)</f>
        <v>44700.83753</v>
      </c>
      <c r="D9185" s="15">
        <f>IFERROR(__xludf.DUMMYFUNCTION("""COMPUTED_VALUE"""),1.061)</f>
        <v>1.061</v>
      </c>
      <c r="E9185" s="16">
        <f>IFERROR(__xludf.DUMMYFUNCTION("""COMPUTED_VALUE"""),69.0)</f>
        <v>69</v>
      </c>
      <c r="F9185" s="19" t="str">
        <f>IFERROR(__xludf.DUMMYFUNCTION("""COMPUTED_VALUE"""),"BLACK")</f>
        <v>BLACK</v>
      </c>
      <c r="G9185" s="20" t="str">
        <f>IFERROR(__xludf.DUMMYFUNCTION("""COMPUTED_VALUE"""),"Uncle Sams Cider (5/13/2022)")</f>
        <v>Uncle Sams Cider (5/13/2022)</v>
      </c>
      <c r="H9185" s="19"/>
    </row>
    <row r="9186">
      <c r="A9186" s="9"/>
      <c r="B9186" s="15"/>
      <c r="C9186" s="9">
        <f>IFERROR(__xludf.DUMMYFUNCTION("""COMPUTED_VALUE"""),44700.8271089351)</f>
        <v>44700.82711</v>
      </c>
      <c r="D9186" s="15">
        <f>IFERROR(__xludf.DUMMYFUNCTION("""COMPUTED_VALUE"""),1.061)</f>
        <v>1.061</v>
      </c>
      <c r="E9186" s="16">
        <f>IFERROR(__xludf.DUMMYFUNCTION("""COMPUTED_VALUE"""),69.0)</f>
        <v>69</v>
      </c>
      <c r="F9186" s="19" t="str">
        <f>IFERROR(__xludf.DUMMYFUNCTION("""COMPUTED_VALUE"""),"BLACK")</f>
        <v>BLACK</v>
      </c>
      <c r="G9186" s="20" t="str">
        <f>IFERROR(__xludf.DUMMYFUNCTION("""COMPUTED_VALUE"""),"Uncle Sams Cider (5/13/2022)")</f>
        <v>Uncle Sams Cider (5/13/2022)</v>
      </c>
      <c r="H9186" s="19"/>
    </row>
    <row r="9187">
      <c r="A9187" s="9"/>
      <c r="B9187" s="15"/>
      <c r="C9187" s="9">
        <f>IFERROR(__xludf.DUMMYFUNCTION("""COMPUTED_VALUE"""),44700.8166872916)</f>
        <v>44700.81669</v>
      </c>
      <c r="D9187" s="15">
        <f>IFERROR(__xludf.DUMMYFUNCTION("""COMPUTED_VALUE"""),1.061)</f>
        <v>1.061</v>
      </c>
      <c r="E9187" s="16">
        <f>IFERROR(__xludf.DUMMYFUNCTION("""COMPUTED_VALUE"""),69.0)</f>
        <v>69</v>
      </c>
      <c r="F9187" s="19" t="str">
        <f>IFERROR(__xludf.DUMMYFUNCTION("""COMPUTED_VALUE"""),"BLACK")</f>
        <v>BLACK</v>
      </c>
      <c r="G9187" s="20" t="str">
        <f>IFERROR(__xludf.DUMMYFUNCTION("""COMPUTED_VALUE"""),"Uncle Sams Cider (5/13/2022)")</f>
        <v>Uncle Sams Cider (5/13/2022)</v>
      </c>
      <c r="H9187" s="19"/>
    </row>
    <row r="9188">
      <c r="A9188" s="9"/>
      <c r="B9188" s="15"/>
      <c r="C9188" s="9">
        <f>IFERROR(__xludf.DUMMYFUNCTION("""COMPUTED_VALUE"""),44700.8062562962)</f>
        <v>44700.80626</v>
      </c>
      <c r="D9188" s="15">
        <f>IFERROR(__xludf.DUMMYFUNCTION("""COMPUTED_VALUE"""),1.062)</f>
        <v>1.062</v>
      </c>
      <c r="E9188" s="16">
        <f>IFERROR(__xludf.DUMMYFUNCTION("""COMPUTED_VALUE"""),69.0)</f>
        <v>69</v>
      </c>
      <c r="F9188" s="19" t="str">
        <f>IFERROR(__xludf.DUMMYFUNCTION("""COMPUTED_VALUE"""),"BLACK")</f>
        <v>BLACK</v>
      </c>
      <c r="G9188" s="20" t="str">
        <f>IFERROR(__xludf.DUMMYFUNCTION("""COMPUTED_VALUE"""),"Uncle Sams Cider (5/13/2022)")</f>
        <v>Uncle Sams Cider (5/13/2022)</v>
      </c>
      <c r="H9188" s="19"/>
    </row>
    <row r="9189">
      <c r="A9189" s="9"/>
      <c r="B9189" s="15"/>
      <c r="C9189" s="9">
        <f>IFERROR(__xludf.DUMMYFUNCTION("""COMPUTED_VALUE"""),44700.7958347685)</f>
        <v>44700.79583</v>
      </c>
      <c r="D9189" s="15">
        <f>IFERROR(__xludf.DUMMYFUNCTION("""COMPUTED_VALUE"""),1.062)</f>
        <v>1.062</v>
      </c>
      <c r="E9189" s="16">
        <f>IFERROR(__xludf.DUMMYFUNCTION("""COMPUTED_VALUE"""),69.0)</f>
        <v>69</v>
      </c>
      <c r="F9189" s="19" t="str">
        <f>IFERROR(__xludf.DUMMYFUNCTION("""COMPUTED_VALUE"""),"BLACK")</f>
        <v>BLACK</v>
      </c>
      <c r="G9189" s="20" t="str">
        <f>IFERROR(__xludf.DUMMYFUNCTION("""COMPUTED_VALUE"""),"Uncle Sams Cider (5/13/2022)")</f>
        <v>Uncle Sams Cider (5/13/2022)</v>
      </c>
      <c r="H9189" s="19"/>
    </row>
    <row r="9190">
      <c r="A9190" s="9"/>
      <c r="B9190" s="15"/>
      <c r="C9190" s="9">
        <f>IFERROR(__xludf.DUMMYFUNCTION("""COMPUTED_VALUE"""),44700.7854132639)</f>
        <v>44700.78541</v>
      </c>
      <c r="D9190" s="15">
        <f>IFERROR(__xludf.DUMMYFUNCTION("""COMPUTED_VALUE"""),1.062)</f>
        <v>1.062</v>
      </c>
      <c r="E9190" s="16">
        <f>IFERROR(__xludf.DUMMYFUNCTION("""COMPUTED_VALUE"""),69.0)</f>
        <v>69</v>
      </c>
      <c r="F9190" s="19" t="str">
        <f>IFERROR(__xludf.DUMMYFUNCTION("""COMPUTED_VALUE"""),"BLACK")</f>
        <v>BLACK</v>
      </c>
      <c r="G9190" s="20" t="str">
        <f>IFERROR(__xludf.DUMMYFUNCTION("""COMPUTED_VALUE"""),"Uncle Sams Cider (5/13/2022)")</f>
        <v>Uncle Sams Cider (5/13/2022)</v>
      </c>
      <c r="H9190" s="19"/>
    </row>
    <row r="9191">
      <c r="A9191" s="9"/>
      <c r="B9191" s="15"/>
      <c r="C9191" s="9">
        <f>IFERROR(__xludf.DUMMYFUNCTION("""COMPUTED_VALUE"""),44700.7749792824)</f>
        <v>44700.77498</v>
      </c>
      <c r="D9191" s="15">
        <f>IFERROR(__xludf.DUMMYFUNCTION("""COMPUTED_VALUE"""),1.062)</f>
        <v>1.062</v>
      </c>
      <c r="E9191" s="16">
        <f>IFERROR(__xludf.DUMMYFUNCTION("""COMPUTED_VALUE"""),69.0)</f>
        <v>69</v>
      </c>
      <c r="F9191" s="19" t="str">
        <f>IFERROR(__xludf.DUMMYFUNCTION("""COMPUTED_VALUE"""),"BLACK")</f>
        <v>BLACK</v>
      </c>
      <c r="G9191" s="20" t="str">
        <f>IFERROR(__xludf.DUMMYFUNCTION("""COMPUTED_VALUE"""),"Uncle Sams Cider (5/13/2022)")</f>
        <v>Uncle Sams Cider (5/13/2022)</v>
      </c>
      <c r="H9191" s="19"/>
    </row>
    <row r="9192">
      <c r="A9192" s="9"/>
      <c r="B9192" s="15"/>
      <c r="C9192" s="9">
        <f>IFERROR(__xludf.DUMMYFUNCTION("""COMPUTED_VALUE"""),44700.764560949)</f>
        <v>44700.76456</v>
      </c>
      <c r="D9192" s="15">
        <f>IFERROR(__xludf.DUMMYFUNCTION("""COMPUTED_VALUE"""),1.062)</f>
        <v>1.062</v>
      </c>
      <c r="E9192" s="16">
        <f>IFERROR(__xludf.DUMMYFUNCTION("""COMPUTED_VALUE"""),69.0)</f>
        <v>69</v>
      </c>
      <c r="F9192" s="19" t="str">
        <f>IFERROR(__xludf.DUMMYFUNCTION("""COMPUTED_VALUE"""),"BLACK")</f>
        <v>BLACK</v>
      </c>
      <c r="G9192" s="20" t="str">
        <f>IFERROR(__xludf.DUMMYFUNCTION("""COMPUTED_VALUE"""),"Uncle Sams Cider (5/13/2022)")</f>
        <v>Uncle Sams Cider (5/13/2022)</v>
      </c>
      <c r="H9192" s="19"/>
    </row>
    <row r="9193">
      <c r="A9193" s="9"/>
      <c r="B9193" s="15"/>
      <c r="C9193" s="9">
        <f>IFERROR(__xludf.DUMMYFUNCTION("""COMPUTED_VALUE"""),44700.7541403588)</f>
        <v>44700.75414</v>
      </c>
      <c r="D9193" s="15">
        <f>IFERROR(__xludf.DUMMYFUNCTION("""COMPUTED_VALUE"""),1.062)</f>
        <v>1.062</v>
      </c>
      <c r="E9193" s="16">
        <f>IFERROR(__xludf.DUMMYFUNCTION("""COMPUTED_VALUE"""),69.0)</f>
        <v>69</v>
      </c>
      <c r="F9193" s="19" t="str">
        <f>IFERROR(__xludf.DUMMYFUNCTION("""COMPUTED_VALUE"""),"BLACK")</f>
        <v>BLACK</v>
      </c>
      <c r="G9193" s="20" t="str">
        <f>IFERROR(__xludf.DUMMYFUNCTION("""COMPUTED_VALUE"""),"Uncle Sams Cider (5/13/2022)")</f>
        <v>Uncle Sams Cider (5/13/2022)</v>
      </c>
      <c r="H9193" s="19"/>
    </row>
    <row r="9194">
      <c r="A9194" s="9"/>
      <c r="B9194" s="15"/>
      <c r="C9194" s="9">
        <f>IFERROR(__xludf.DUMMYFUNCTION("""COMPUTED_VALUE"""),44700.7437190046)</f>
        <v>44700.74372</v>
      </c>
      <c r="D9194" s="15">
        <f>IFERROR(__xludf.DUMMYFUNCTION("""COMPUTED_VALUE"""),1.062)</f>
        <v>1.062</v>
      </c>
      <c r="E9194" s="16">
        <f>IFERROR(__xludf.DUMMYFUNCTION("""COMPUTED_VALUE"""),69.0)</f>
        <v>69</v>
      </c>
      <c r="F9194" s="19" t="str">
        <f>IFERROR(__xludf.DUMMYFUNCTION("""COMPUTED_VALUE"""),"BLACK")</f>
        <v>BLACK</v>
      </c>
      <c r="G9194" s="20" t="str">
        <f>IFERROR(__xludf.DUMMYFUNCTION("""COMPUTED_VALUE"""),"Uncle Sams Cider (5/13/2022)")</f>
        <v>Uncle Sams Cider (5/13/2022)</v>
      </c>
      <c r="H9194" s="19"/>
    </row>
    <row r="9195">
      <c r="A9195" s="9"/>
      <c r="B9195" s="15"/>
      <c r="C9195" s="9">
        <f>IFERROR(__xludf.DUMMYFUNCTION("""COMPUTED_VALUE"""),44700.7332969097)</f>
        <v>44700.7333</v>
      </c>
      <c r="D9195" s="15">
        <f>IFERROR(__xludf.DUMMYFUNCTION("""COMPUTED_VALUE"""),1.062)</f>
        <v>1.062</v>
      </c>
      <c r="E9195" s="16">
        <f>IFERROR(__xludf.DUMMYFUNCTION("""COMPUTED_VALUE"""),69.0)</f>
        <v>69</v>
      </c>
      <c r="F9195" s="19" t="str">
        <f>IFERROR(__xludf.DUMMYFUNCTION("""COMPUTED_VALUE"""),"BLACK")</f>
        <v>BLACK</v>
      </c>
      <c r="G9195" s="20" t="str">
        <f>IFERROR(__xludf.DUMMYFUNCTION("""COMPUTED_VALUE"""),"Uncle Sams Cider (5/13/2022)")</f>
        <v>Uncle Sams Cider (5/13/2022)</v>
      </c>
      <c r="H9195" s="19"/>
    </row>
    <row r="9196">
      <c r="A9196" s="9"/>
      <c r="B9196" s="15"/>
      <c r="C9196" s="9">
        <f>IFERROR(__xludf.DUMMYFUNCTION("""COMPUTED_VALUE"""),44700.7228764699)</f>
        <v>44700.72288</v>
      </c>
      <c r="D9196" s="15">
        <f>IFERROR(__xludf.DUMMYFUNCTION("""COMPUTED_VALUE"""),1.062)</f>
        <v>1.062</v>
      </c>
      <c r="E9196" s="16">
        <f>IFERROR(__xludf.DUMMYFUNCTION("""COMPUTED_VALUE"""),69.0)</f>
        <v>69</v>
      </c>
      <c r="F9196" s="19" t="str">
        <f>IFERROR(__xludf.DUMMYFUNCTION("""COMPUTED_VALUE"""),"BLACK")</f>
        <v>BLACK</v>
      </c>
      <c r="G9196" s="20" t="str">
        <f>IFERROR(__xludf.DUMMYFUNCTION("""COMPUTED_VALUE"""),"Uncle Sams Cider (5/13/2022)")</f>
        <v>Uncle Sams Cider (5/13/2022)</v>
      </c>
      <c r="H9196" s="19"/>
    </row>
    <row r="9197">
      <c r="A9197" s="9"/>
      <c r="B9197" s="15"/>
      <c r="C9197" s="9">
        <f>IFERROR(__xludf.DUMMYFUNCTION("""COMPUTED_VALUE"""),44700.7124435995)</f>
        <v>44700.71244</v>
      </c>
      <c r="D9197" s="15">
        <f>IFERROR(__xludf.DUMMYFUNCTION("""COMPUTED_VALUE"""),1.062)</f>
        <v>1.062</v>
      </c>
      <c r="E9197" s="16">
        <f>IFERROR(__xludf.DUMMYFUNCTION("""COMPUTED_VALUE"""),69.0)</f>
        <v>69</v>
      </c>
      <c r="F9197" s="19" t="str">
        <f>IFERROR(__xludf.DUMMYFUNCTION("""COMPUTED_VALUE"""),"BLACK")</f>
        <v>BLACK</v>
      </c>
      <c r="G9197" s="20" t="str">
        <f>IFERROR(__xludf.DUMMYFUNCTION("""COMPUTED_VALUE"""),"Uncle Sams Cider (5/13/2022)")</f>
        <v>Uncle Sams Cider (5/13/2022)</v>
      </c>
      <c r="H9197" s="19"/>
    </row>
    <row r="9198">
      <c r="A9198" s="9"/>
      <c r="B9198" s="15"/>
      <c r="C9198" s="9">
        <f>IFERROR(__xludf.DUMMYFUNCTION("""COMPUTED_VALUE"""),44700.7019988078)</f>
        <v>44700.702</v>
      </c>
      <c r="D9198" s="15">
        <f>IFERROR(__xludf.DUMMYFUNCTION("""COMPUTED_VALUE"""),1.062)</f>
        <v>1.062</v>
      </c>
      <c r="E9198" s="16">
        <f>IFERROR(__xludf.DUMMYFUNCTION("""COMPUTED_VALUE"""),69.0)</f>
        <v>69</v>
      </c>
      <c r="F9198" s="19" t="str">
        <f>IFERROR(__xludf.DUMMYFUNCTION("""COMPUTED_VALUE"""),"BLACK")</f>
        <v>BLACK</v>
      </c>
      <c r="G9198" s="20" t="str">
        <f>IFERROR(__xludf.DUMMYFUNCTION("""COMPUTED_VALUE"""),"Uncle Sams Cider (5/13/2022)")</f>
        <v>Uncle Sams Cider (5/13/2022)</v>
      </c>
      <c r="H9198" s="19"/>
    </row>
    <row r="9199">
      <c r="A9199" s="9"/>
      <c r="B9199" s="15"/>
      <c r="C9199" s="9">
        <f>IFERROR(__xludf.DUMMYFUNCTION("""COMPUTED_VALUE"""),44700.6915782754)</f>
        <v>44700.69158</v>
      </c>
      <c r="D9199" s="15">
        <f>IFERROR(__xludf.DUMMYFUNCTION("""COMPUTED_VALUE"""),1.063)</f>
        <v>1.063</v>
      </c>
      <c r="E9199" s="16">
        <f>IFERROR(__xludf.DUMMYFUNCTION("""COMPUTED_VALUE"""),69.0)</f>
        <v>69</v>
      </c>
      <c r="F9199" s="19" t="str">
        <f>IFERROR(__xludf.DUMMYFUNCTION("""COMPUTED_VALUE"""),"BLACK")</f>
        <v>BLACK</v>
      </c>
      <c r="G9199" s="20" t="str">
        <f>IFERROR(__xludf.DUMMYFUNCTION("""COMPUTED_VALUE"""),"Uncle Sams Cider (5/13/2022)")</f>
        <v>Uncle Sams Cider (5/13/2022)</v>
      </c>
      <c r="H9199" s="19"/>
    </row>
    <row r="9200">
      <c r="A9200" s="9"/>
      <c r="B9200" s="15"/>
      <c r="C9200" s="9">
        <f>IFERROR(__xludf.DUMMYFUNCTION("""COMPUTED_VALUE"""),44700.681156331)</f>
        <v>44700.68116</v>
      </c>
      <c r="D9200" s="15">
        <f>IFERROR(__xludf.DUMMYFUNCTION("""COMPUTED_VALUE"""),1.063)</f>
        <v>1.063</v>
      </c>
      <c r="E9200" s="16">
        <f>IFERROR(__xludf.DUMMYFUNCTION("""COMPUTED_VALUE"""),69.0)</f>
        <v>69</v>
      </c>
      <c r="F9200" s="19" t="str">
        <f>IFERROR(__xludf.DUMMYFUNCTION("""COMPUTED_VALUE"""),"BLACK")</f>
        <v>BLACK</v>
      </c>
      <c r="G9200" s="20" t="str">
        <f>IFERROR(__xludf.DUMMYFUNCTION("""COMPUTED_VALUE"""),"Uncle Sams Cider (5/13/2022)")</f>
        <v>Uncle Sams Cider (5/13/2022)</v>
      </c>
      <c r="H9200" s="19"/>
    </row>
    <row r="9201">
      <c r="A9201" s="9"/>
      <c r="B9201" s="15"/>
      <c r="C9201" s="9">
        <f>IFERROR(__xludf.DUMMYFUNCTION("""COMPUTED_VALUE"""),44700.6707361342)</f>
        <v>44700.67074</v>
      </c>
      <c r="D9201" s="15">
        <f>IFERROR(__xludf.DUMMYFUNCTION("""COMPUTED_VALUE"""),1.063)</f>
        <v>1.063</v>
      </c>
      <c r="E9201" s="16">
        <f>IFERROR(__xludf.DUMMYFUNCTION("""COMPUTED_VALUE"""),69.0)</f>
        <v>69</v>
      </c>
      <c r="F9201" s="19" t="str">
        <f>IFERROR(__xludf.DUMMYFUNCTION("""COMPUTED_VALUE"""),"BLACK")</f>
        <v>BLACK</v>
      </c>
      <c r="G9201" s="20" t="str">
        <f>IFERROR(__xludf.DUMMYFUNCTION("""COMPUTED_VALUE"""),"Uncle Sams Cider (5/13/2022)")</f>
        <v>Uncle Sams Cider (5/13/2022)</v>
      </c>
      <c r="H9201" s="19"/>
    </row>
    <row r="9202">
      <c r="A9202" s="9"/>
      <c r="B9202" s="15"/>
      <c r="C9202" s="9">
        <f>IFERROR(__xludf.DUMMYFUNCTION("""COMPUTED_VALUE"""),44700.6603160879)</f>
        <v>44700.66032</v>
      </c>
      <c r="D9202" s="15">
        <f>IFERROR(__xludf.DUMMYFUNCTION("""COMPUTED_VALUE"""),1.063)</f>
        <v>1.063</v>
      </c>
      <c r="E9202" s="16">
        <f>IFERROR(__xludf.DUMMYFUNCTION("""COMPUTED_VALUE"""),69.0)</f>
        <v>69</v>
      </c>
      <c r="F9202" s="19" t="str">
        <f>IFERROR(__xludf.DUMMYFUNCTION("""COMPUTED_VALUE"""),"BLACK")</f>
        <v>BLACK</v>
      </c>
      <c r="G9202" s="20" t="str">
        <f>IFERROR(__xludf.DUMMYFUNCTION("""COMPUTED_VALUE"""),"Uncle Sams Cider (5/13/2022)")</f>
        <v>Uncle Sams Cider (5/13/2022)</v>
      </c>
      <c r="H9202" s="19"/>
    </row>
    <row r="9203">
      <c r="A9203" s="9"/>
      <c r="B9203" s="15"/>
      <c r="C9203" s="9">
        <f>IFERROR(__xludf.DUMMYFUNCTION("""COMPUTED_VALUE"""),44700.6498952893)</f>
        <v>44700.6499</v>
      </c>
      <c r="D9203" s="15">
        <f>IFERROR(__xludf.DUMMYFUNCTION("""COMPUTED_VALUE"""),1.063)</f>
        <v>1.063</v>
      </c>
      <c r="E9203" s="16">
        <f>IFERROR(__xludf.DUMMYFUNCTION("""COMPUTED_VALUE"""),69.0)</f>
        <v>69</v>
      </c>
      <c r="F9203" s="19" t="str">
        <f>IFERROR(__xludf.DUMMYFUNCTION("""COMPUTED_VALUE"""),"BLACK")</f>
        <v>BLACK</v>
      </c>
      <c r="G9203" s="20" t="str">
        <f>IFERROR(__xludf.DUMMYFUNCTION("""COMPUTED_VALUE"""),"Uncle Sams Cider (5/13/2022)")</f>
        <v>Uncle Sams Cider (5/13/2022)</v>
      </c>
      <c r="H9203" s="19"/>
    </row>
    <row r="9204">
      <c r="A9204" s="9"/>
      <c r="B9204" s="15"/>
      <c r="C9204" s="9">
        <f>IFERROR(__xludf.DUMMYFUNCTION("""COMPUTED_VALUE"""),44700.639472118)</f>
        <v>44700.63947</v>
      </c>
      <c r="D9204" s="15">
        <f>IFERROR(__xludf.DUMMYFUNCTION("""COMPUTED_VALUE"""),1.063)</f>
        <v>1.063</v>
      </c>
      <c r="E9204" s="16">
        <f>IFERROR(__xludf.DUMMYFUNCTION("""COMPUTED_VALUE"""),69.0)</f>
        <v>69</v>
      </c>
      <c r="F9204" s="19" t="str">
        <f>IFERROR(__xludf.DUMMYFUNCTION("""COMPUTED_VALUE"""),"BLACK")</f>
        <v>BLACK</v>
      </c>
      <c r="G9204" s="20" t="str">
        <f>IFERROR(__xludf.DUMMYFUNCTION("""COMPUTED_VALUE"""),"Uncle Sams Cider (5/13/2022)")</f>
        <v>Uncle Sams Cider (5/13/2022)</v>
      </c>
      <c r="H9204" s="19"/>
    </row>
    <row r="9205">
      <c r="A9205" s="9"/>
      <c r="B9205" s="15"/>
      <c r="C9205" s="9">
        <f>IFERROR(__xludf.DUMMYFUNCTION("""COMPUTED_VALUE"""),44700.6290529166)</f>
        <v>44700.62905</v>
      </c>
      <c r="D9205" s="15">
        <f>IFERROR(__xludf.DUMMYFUNCTION("""COMPUTED_VALUE"""),1.063)</f>
        <v>1.063</v>
      </c>
      <c r="E9205" s="16">
        <f>IFERROR(__xludf.DUMMYFUNCTION("""COMPUTED_VALUE"""),69.0)</f>
        <v>69</v>
      </c>
      <c r="F9205" s="19" t="str">
        <f>IFERROR(__xludf.DUMMYFUNCTION("""COMPUTED_VALUE"""),"BLACK")</f>
        <v>BLACK</v>
      </c>
      <c r="G9205" s="20" t="str">
        <f>IFERROR(__xludf.DUMMYFUNCTION("""COMPUTED_VALUE"""),"Uncle Sams Cider (5/13/2022)")</f>
        <v>Uncle Sams Cider (5/13/2022)</v>
      </c>
      <c r="H9205" s="19"/>
    </row>
    <row r="9206">
      <c r="A9206" s="9"/>
      <c r="B9206" s="15"/>
      <c r="C9206" s="9">
        <f>IFERROR(__xludf.DUMMYFUNCTION("""COMPUTED_VALUE"""),44700.6186308796)</f>
        <v>44700.61863</v>
      </c>
      <c r="D9206" s="15">
        <f>IFERROR(__xludf.DUMMYFUNCTION("""COMPUTED_VALUE"""),1.063)</f>
        <v>1.063</v>
      </c>
      <c r="E9206" s="16">
        <f>IFERROR(__xludf.DUMMYFUNCTION("""COMPUTED_VALUE"""),69.0)</f>
        <v>69</v>
      </c>
      <c r="F9206" s="19" t="str">
        <f>IFERROR(__xludf.DUMMYFUNCTION("""COMPUTED_VALUE"""),"BLACK")</f>
        <v>BLACK</v>
      </c>
      <c r="G9206" s="20" t="str">
        <f>IFERROR(__xludf.DUMMYFUNCTION("""COMPUTED_VALUE"""),"Uncle Sams Cider (5/13/2022)")</f>
        <v>Uncle Sams Cider (5/13/2022)</v>
      </c>
      <c r="H9206" s="19"/>
    </row>
    <row r="9207">
      <c r="A9207" s="9"/>
      <c r="B9207" s="15"/>
      <c r="C9207" s="9">
        <f>IFERROR(__xludf.DUMMYFUNCTION("""COMPUTED_VALUE"""),44700.6082080671)</f>
        <v>44700.60821</v>
      </c>
      <c r="D9207" s="15">
        <f>IFERROR(__xludf.DUMMYFUNCTION("""COMPUTED_VALUE"""),1.063)</f>
        <v>1.063</v>
      </c>
      <c r="E9207" s="16">
        <f>IFERROR(__xludf.DUMMYFUNCTION("""COMPUTED_VALUE"""),69.0)</f>
        <v>69</v>
      </c>
      <c r="F9207" s="19" t="str">
        <f>IFERROR(__xludf.DUMMYFUNCTION("""COMPUTED_VALUE"""),"BLACK")</f>
        <v>BLACK</v>
      </c>
      <c r="G9207" s="20" t="str">
        <f>IFERROR(__xludf.DUMMYFUNCTION("""COMPUTED_VALUE"""),"Uncle Sams Cider (5/13/2022)")</f>
        <v>Uncle Sams Cider (5/13/2022)</v>
      </c>
      <c r="H9207" s="19"/>
    </row>
    <row r="9208">
      <c r="A9208" s="9"/>
      <c r="B9208" s="15"/>
      <c r="C9208" s="9">
        <f>IFERROR(__xludf.DUMMYFUNCTION("""COMPUTED_VALUE"""),44700.5977851388)</f>
        <v>44700.59779</v>
      </c>
      <c r="D9208" s="15">
        <f>IFERROR(__xludf.DUMMYFUNCTION("""COMPUTED_VALUE"""),1.063)</f>
        <v>1.063</v>
      </c>
      <c r="E9208" s="16">
        <f>IFERROR(__xludf.DUMMYFUNCTION("""COMPUTED_VALUE"""),69.0)</f>
        <v>69</v>
      </c>
      <c r="F9208" s="19" t="str">
        <f>IFERROR(__xludf.DUMMYFUNCTION("""COMPUTED_VALUE"""),"BLACK")</f>
        <v>BLACK</v>
      </c>
      <c r="G9208" s="20" t="str">
        <f>IFERROR(__xludf.DUMMYFUNCTION("""COMPUTED_VALUE"""),"Uncle Sams Cider (5/13/2022)")</f>
        <v>Uncle Sams Cider (5/13/2022)</v>
      </c>
      <c r="H9208" s="19"/>
    </row>
    <row r="9209">
      <c r="A9209" s="9"/>
      <c r="B9209" s="15"/>
      <c r="C9209" s="9">
        <f>IFERROR(__xludf.DUMMYFUNCTION("""COMPUTED_VALUE"""),44700.5873638194)</f>
        <v>44700.58736</v>
      </c>
      <c r="D9209" s="15">
        <f>IFERROR(__xludf.DUMMYFUNCTION("""COMPUTED_VALUE"""),1.064)</f>
        <v>1.064</v>
      </c>
      <c r="E9209" s="16">
        <f>IFERROR(__xludf.DUMMYFUNCTION("""COMPUTED_VALUE"""),69.0)</f>
        <v>69</v>
      </c>
      <c r="F9209" s="19" t="str">
        <f>IFERROR(__xludf.DUMMYFUNCTION("""COMPUTED_VALUE"""),"BLACK")</f>
        <v>BLACK</v>
      </c>
      <c r="G9209" s="20" t="str">
        <f>IFERROR(__xludf.DUMMYFUNCTION("""COMPUTED_VALUE"""),"Uncle Sams Cider (5/13/2022)")</f>
        <v>Uncle Sams Cider (5/13/2022)</v>
      </c>
      <c r="H9209" s="19"/>
    </row>
    <row r="9210">
      <c r="A9210" s="9"/>
      <c r="B9210" s="15"/>
      <c r="C9210" s="9">
        <f>IFERROR(__xludf.DUMMYFUNCTION("""COMPUTED_VALUE"""),44700.5769437615)</f>
        <v>44700.57694</v>
      </c>
      <c r="D9210" s="15">
        <f>IFERROR(__xludf.DUMMYFUNCTION("""COMPUTED_VALUE"""),1.064)</f>
        <v>1.064</v>
      </c>
      <c r="E9210" s="16">
        <f>IFERROR(__xludf.DUMMYFUNCTION("""COMPUTED_VALUE"""),69.0)</f>
        <v>69</v>
      </c>
      <c r="F9210" s="19" t="str">
        <f>IFERROR(__xludf.DUMMYFUNCTION("""COMPUTED_VALUE"""),"BLACK")</f>
        <v>BLACK</v>
      </c>
      <c r="G9210" s="20" t="str">
        <f>IFERROR(__xludf.DUMMYFUNCTION("""COMPUTED_VALUE"""),"Uncle Sams Cider (5/13/2022)")</f>
        <v>Uncle Sams Cider (5/13/2022)</v>
      </c>
      <c r="H9210" s="19"/>
    </row>
    <row r="9211">
      <c r="A9211" s="9"/>
      <c r="B9211" s="15"/>
      <c r="C9211" s="9">
        <f>IFERROR(__xludf.DUMMYFUNCTION("""COMPUTED_VALUE"""),44700.566522199)</f>
        <v>44700.56652</v>
      </c>
      <c r="D9211" s="15">
        <f>IFERROR(__xludf.DUMMYFUNCTION("""COMPUTED_VALUE"""),1.063)</f>
        <v>1.063</v>
      </c>
      <c r="E9211" s="16">
        <f>IFERROR(__xludf.DUMMYFUNCTION("""COMPUTED_VALUE"""),69.0)</f>
        <v>69</v>
      </c>
      <c r="F9211" s="19" t="str">
        <f>IFERROR(__xludf.DUMMYFUNCTION("""COMPUTED_VALUE"""),"BLACK")</f>
        <v>BLACK</v>
      </c>
      <c r="G9211" s="20" t="str">
        <f>IFERROR(__xludf.DUMMYFUNCTION("""COMPUTED_VALUE"""),"Uncle Sams Cider (5/13/2022)")</f>
        <v>Uncle Sams Cider (5/13/2022)</v>
      </c>
      <c r="H9211" s="19"/>
    </row>
    <row r="9212">
      <c r="A9212" s="9"/>
      <c r="B9212" s="15"/>
      <c r="C9212" s="9">
        <f>IFERROR(__xludf.DUMMYFUNCTION("""COMPUTED_VALUE"""),44700.5560988541)</f>
        <v>44700.5561</v>
      </c>
      <c r="D9212" s="15">
        <f>IFERROR(__xludf.DUMMYFUNCTION("""COMPUTED_VALUE"""),1.064)</f>
        <v>1.064</v>
      </c>
      <c r="E9212" s="16">
        <f>IFERROR(__xludf.DUMMYFUNCTION("""COMPUTED_VALUE"""),68.0)</f>
        <v>68</v>
      </c>
      <c r="F9212" s="19" t="str">
        <f>IFERROR(__xludf.DUMMYFUNCTION("""COMPUTED_VALUE"""),"BLACK")</f>
        <v>BLACK</v>
      </c>
      <c r="G9212" s="20" t="str">
        <f>IFERROR(__xludf.DUMMYFUNCTION("""COMPUTED_VALUE"""),"Uncle Sams Cider (5/13/2022)")</f>
        <v>Uncle Sams Cider (5/13/2022)</v>
      </c>
      <c r="H9212" s="19"/>
    </row>
    <row r="9213">
      <c r="A9213" s="9"/>
      <c r="B9213" s="15"/>
      <c r="C9213" s="9">
        <f>IFERROR(__xludf.DUMMYFUNCTION("""COMPUTED_VALUE"""),44700.5456807175)</f>
        <v>44700.54568</v>
      </c>
      <c r="D9213" s="15">
        <f>IFERROR(__xludf.DUMMYFUNCTION("""COMPUTED_VALUE"""),1.064)</f>
        <v>1.064</v>
      </c>
      <c r="E9213" s="16">
        <f>IFERROR(__xludf.DUMMYFUNCTION("""COMPUTED_VALUE"""),68.0)</f>
        <v>68</v>
      </c>
      <c r="F9213" s="19" t="str">
        <f>IFERROR(__xludf.DUMMYFUNCTION("""COMPUTED_VALUE"""),"BLACK")</f>
        <v>BLACK</v>
      </c>
      <c r="G9213" s="20" t="str">
        <f>IFERROR(__xludf.DUMMYFUNCTION("""COMPUTED_VALUE"""),"Uncle Sams Cider (5/13/2022)")</f>
        <v>Uncle Sams Cider (5/13/2022)</v>
      </c>
      <c r="H9213" s="19"/>
    </row>
    <row r="9214">
      <c r="A9214" s="9"/>
      <c r="B9214" s="15"/>
      <c r="C9214" s="9">
        <f>IFERROR(__xludf.DUMMYFUNCTION("""COMPUTED_VALUE"""),44700.5352363773)</f>
        <v>44700.53524</v>
      </c>
      <c r="D9214" s="15">
        <f>IFERROR(__xludf.DUMMYFUNCTION("""COMPUTED_VALUE"""),1.064)</f>
        <v>1.064</v>
      </c>
      <c r="E9214" s="16">
        <f>IFERROR(__xludf.DUMMYFUNCTION("""COMPUTED_VALUE"""),68.0)</f>
        <v>68</v>
      </c>
      <c r="F9214" s="19" t="str">
        <f>IFERROR(__xludf.DUMMYFUNCTION("""COMPUTED_VALUE"""),"BLACK")</f>
        <v>BLACK</v>
      </c>
      <c r="G9214" s="20" t="str">
        <f>IFERROR(__xludf.DUMMYFUNCTION("""COMPUTED_VALUE"""),"Uncle Sams Cider (5/13/2022)")</f>
        <v>Uncle Sams Cider (5/13/2022)</v>
      </c>
      <c r="H9214" s="19"/>
    </row>
    <row r="9215">
      <c r="A9215" s="9"/>
      <c r="B9215" s="15"/>
      <c r="C9215" s="9">
        <f>IFERROR(__xludf.DUMMYFUNCTION("""COMPUTED_VALUE"""),44700.5248142476)</f>
        <v>44700.52481</v>
      </c>
      <c r="D9215" s="15">
        <f>IFERROR(__xludf.DUMMYFUNCTION("""COMPUTED_VALUE"""),1.064)</f>
        <v>1.064</v>
      </c>
      <c r="E9215" s="16">
        <f>IFERROR(__xludf.DUMMYFUNCTION("""COMPUTED_VALUE"""),68.0)</f>
        <v>68</v>
      </c>
      <c r="F9215" s="19" t="str">
        <f>IFERROR(__xludf.DUMMYFUNCTION("""COMPUTED_VALUE"""),"BLACK")</f>
        <v>BLACK</v>
      </c>
      <c r="G9215" s="20" t="str">
        <f>IFERROR(__xludf.DUMMYFUNCTION("""COMPUTED_VALUE"""),"Uncle Sams Cider (5/13/2022)")</f>
        <v>Uncle Sams Cider (5/13/2022)</v>
      </c>
      <c r="H9215" s="19"/>
    </row>
    <row r="9216">
      <c r="A9216" s="9"/>
      <c r="B9216" s="15"/>
      <c r="C9216" s="9">
        <f>IFERROR(__xludf.DUMMYFUNCTION("""COMPUTED_VALUE"""),44700.5143680787)</f>
        <v>44700.51437</v>
      </c>
      <c r="D9216" s="15">
        <f>IFERROR(__xludf.DUMMYFUNCTION("""COMPUTED_VALUE"""),1.064)</f>
        <v>1.064</v>
      </c>
      <c r="E9216" s="16">
        <f>IFERROR(__xludf.DUMMYFUNCTION("""COMPUTED_VALUE"""),68.0)</f>
        <v>68</v>
      </c>
      <c r="F9216" s="19" t="str">
        <f>IFERROR(__xludf.DUMMYFUNCTION("""COMPUTED_VALUE"""),"BLACK")</f>
        <v>BLACK</v>
      </c>
      <c r="G9216" s="20" t="str">
        <f>IFERROR(__xludf.DUMMYFUNCTION("""COMPUTED_VALUE"""),"Uncle Sams Cider (5/13/2022)")</f>
        <v>Uncle Sams Cider (5/13/2022)</v>
      </c>
      <c r="H9216" s="19"/>
    </row>
    <row r="9217">
      <c r="A9217" s="9"/>
      <c r="B9217" s="15"/>
      <c r="C9217" s="9">
        <f>IFERROR(__xludf.DUMMYFUNCTION("""COMPUTED_VALUE"""),44700.5039347453)</f>
        <v>44700.50393</v>
      </c>
      <c r="D9217" s="15">
        <f>IFERROR(__xludf.DUMMYFUNCTION("""COMPUTED_VALUE"""),1.064)</f>
        <v>1.064</v>
      </c>
      <c r="E9217" s="16">
        <f>IFERROR(__xludf.DUMMYFUNCTION("""COMPUTED_VALUE"""),68.0)</f>
        <v>68</v>
      </c>
      <c r="F9217" s="19" t="str">
        <f>IFERROR(__xludf.DUMMYFUNCTION("""COMPUTED_VALUE"""),"BLACK")</f>
        <v>BLACK</v>
      </c>
      <c r="G9217" s="20" t="str">
        <f>IFERROR(__xludf.DUMMYFUNCTION("""COMPUTED_VALUE"""),"Uncle Sams Cider (5/13/2022)")</f>
        <v>Uncle Sams Cider (5/13/2022)</v>
      </c>
      <c r="H9217" s="19"/>
    </row>
    <row r="9218">
      <c r="A9218" s="9"/>
      <c r="B9218" s="15"/>
      <c r="C9218" s="9">
        <f>IFERROR(__xludf.DUMMYFUNCTION("""COMPUTED_VALUE"""),44700.4935042245)</f>
        <v>44700.4935</v>
      </c>
      <c r="D9218" s="15">
        <f>IFERROR(__xludf.DUMMYFUNCTION("""COMPUTED_VALUE"""),1.065)</f>
        <v>1.065</v>
      </c>
      <c r="E9218" s="16">
        <f>IFERROR(__xludf.DUMMYFUNCTION("""COMPUTED_VALUE"""),68.0)</f>
        <v>68</v>
      </c>
      <c r="F9218" s="19" t="str">
        <f>IFERROR(__xludf.DUMMYFUNCTION("""COMPUTED_VALUE"""),"BLACK")</f>
        <v>BLACK</v>
      </c>
      <c r="G9218" s="20" t="str">
        <f>IFERROR(__xludf.DUMMYFUNCTION("""COMPUTED_VALUE"""),"Uncle Sams Cider (5/13/2022)")</f>
        <v>Uncle Sams Cider (5/13/2022)</v>
      </c>
      <c r="H9218" s="19"/>
    </row>
    <row r="9219">
      <c r="A9219" s="9"/>
      <c r="B9219" s="15"/>
      <c r="C9219" s="9">
        <f>IFERROR(__xludf.DUMMYFUNCTION("""COMPUTED_VALUE"""),44700.4830823611)</f>
        <v>44700.48308</v>
      </c>
      <c r="D9219" s="15">
        <f>IFERROR(__xludf.DUMMYFUNCTION("""COMPUTED_VALUE"""),1.065)</f>
        <v>1.065</v>
      </c>
      <c r="E9219" s="16">
        <f>IFERROR(__xludf.DUMMYFUNCTION("""COMPUTED_VALUE"""),68.0)</f>
        <v>68</v>
      </c>
      <c r="F9219" s="19" t="str">
        <f>IFERROR(__xludf.DUMMYFUNCTION("""COMPUTED_VALUE"""),"BLACK")</f>
        <v>BLACK</v>
      </c>
      <c r="G9219" s="20" t="str">
        <f>IFERROR(__xludf.DUMMYFUNCTION("""COMPUTED_VALUE"""),"Uncle Sams Cider (5/13/2022)")</f>
        <v>Uncle Sams Cider (5/13/2022)</v>
      </c>
      <c r="H9219" s="19"/>
    </row>
    <row r="9220">
      <c r="A9220" s="9"/>
      <c r="B9220" s="15"/>
      <c r="C9220" s="9">
        <f>IFERROR(__xludf.DUMMYFUNCTION("""COMPUTED_VALUE"""),44700.4726593634)</f>
        <v>44700.47266</v>
      </c>
      <c r="D9220" s="15">
        <f>IFERROR(__xludf.DUMMYFUNCTION("""COMPUTED_VALUE"""),1.065)</f>
        <v>1.065</v>
      </c>
      <c r="E9220" s="16">
        <f>IFERROR(__xludf.DUMMYFUNCTION("""COMPUTED_VALUE"""),68.0)</f>
        <v>68</v>
      </c>
      <c r="F9220" s="19" t="str">
        <f>IFERROR(__xludf.DUMMYFUNCTION("""COMPUTED_VALUE"""),"BLACK")</f>
        <v>BLACK</v>
      </c>
      <c r="G9220" s="20" t="str">
        <f>IFERROR(__xludf.DUMMYFUNCTION("""COMPUTED_VALUE"""),"Uncle Sams Cider (5/13/2022)")</f>
        <v>Uncle Sams Cider (5/13/2022)</v>
      </c>
      <c r="H9220" s="19"/>
    </row>
    <row r="9221">
      <c r="A9221" s="9"/>
      <c r="B9221" s="15"/>
      <c r="C9221" s="9">
        <f>IFERROR(__xludf.DUMMYFUNCTION("""COMPUTED_VALUE"""),44700.4622379398)</f>
        <v>44700.46224</v>
      </c>
      <c r="D9221" s="15">
        <f>IFERROR(__xludf.DUMMYFUNCTION("""COMPUTED_VALUE"""),1.065)</f>
        <v>1.065</v>
      </c>
      <c r="E9221" s="16">
        <f>IFERROR(__xludf.DUMMYFUNCTION("""COMPUTED_VALUE"""),68.0)</f>
        <v>68</v>
      </c>
      <c r="F9221" s="19" t="str">
        <f>IFERROR(__xludf.DUMMYFUNCTION("""COMPUTED_VALUE"""),"BLACK")</f>
        <v>BLACK</v>
      </c>
      <c r="G9221" s="20" t="str">
        <f>IFERROR(__xludf.DUMMYFUNCTION("""COMPUTED_VALUE"""),"Uncle Sams Cider (5/13/2022)")</f>
        <v>Uncle Sams Cider (5/13/2022)</v>
      </c>
      <c r="H9221" s="19"/>
    </row>
    <row r="9222">
      <c r="A9222" s="9"/>
      <c r="B9222" s="15"/>
      <c r="C9222" s="9">
        <f>IFERROR(__xludf.DUMMYFUNCTION("""COMPUTED_VALUE"""),44700.4518065856)</f>
        <v>44700.45181</v>
      </c>
      <c r="D9222" s="15">
        <f>IFERROR(__xludf.DUMMYFUNCTION("""COMPUTED_VALUE"""),1.065)</f>
        <v>1.065</v>
      </c>
      <c r="E9222" s="16">
        <f>IFERROR(__xludf.DUMMYFUNCTION("""COMPUTED_VALUE"""),68.0)</f>
        <v>68</v>
      </c>
      <c r="F9222" s="19" t="str">
        <f>IFERROR(__xludf.DUMMYFUNCTION("""COMPUTED_VALUE"""),"BLACK")</f>
        <v>BLACK</v>
      </c>
      <c r="G9222" s="20" t="str">
        <f>IFERROR(__xludf.DUMMYFUNCTION("""COMPUTED_VALUE"""),"Uncle Sams Cider (5/13/2022)")</f>
        <v>Uncle Sams Cider (5/13/2022)</v>
      </c>
      <c r="H9222" s="19"/>
    </row>
    <row r="9223">
      <c r="A9223" s="9"/>
      <c r="B9223" s="15"/>
      <c r="C9223" s="9">
        <f>IFERROR(__xludf.DUMMYFUNCTION("""COMPUTED_VALUE"""),44700.4413848032)</f>
        <v>44700.44138</v>
      </c>
      <c r="D9223" s="15">
        <f>IFERROR(__xludf.DUMMYFUNCTION("""COMPUTED_VALUE"""),1.065)</f>
        <v>1.065</v>
      </c>
      <c r="E9223" s="16">
        <f>IFERROR(__xludf.DUMMYFUNCTION("""COMPUTED_VALUE"""),68.0)</f>
        <v>68</v>
      </c>
      <c r="F9223" s="19" t="str">
        <f>IFERROR(__xludf.DUMMYFUNCTION("""COMPUTED_VALUE"""),"BLACK")</f>
        <v>BLACK</v>
      </c>
      <c r="G9223" s="20" t="str">
        <f>IFERROR(__xludf.DUMMYFUNCTION("""COMPUTED_VALUE"""),"Uncle Sams Cider (5/13/2022)")</f>
        <v>Uncle Sams Cider (5/13/2022)</v>
      </c>
      <c r="H9223" s="19"/>
    </row>
    <row r="9224">
      <c r="A9224" s="9"/>
      <c r="B9224" s="15"/>
      <c r="C9224" s="9">
        <f>IFERROR(__xludf.DUMMYFUNCTION("""COMPUTED_VALUE"""),44700.4205420833)</f>
        <v>44700.42054</v>
      </c>
      <c r="D9224" s="15">
        <f>IFERROR(__xludf.DUMMYFUNCTION("""COMPUTED_VALUE"""),1.065)</f>
        <v>1.065</v>
      </c>
      <c r="E9224" s="16">
        <f>IFERROR(__xludf.DUMMYFUNCTION("""COMPUTED_VALUE"""),68.0)</f>
        <v>68</v>
      </c>
      <c r="F9224" s="19" t="str">
        <f>IFERROR(__xludf.DUMMYFUNCTION("""COMPUTED_VALUE"""),"BLACK")</f>
        <v>BLACK</v>
      </c>
      <c r="G9224" s="20" t="str">
        <f>IFERROR(__xludf.DUMMYFUNCTION("""COMPUTED_VALUE"""),"Uncle Sams Cider (5/13/2022)")</f>
        <v>Uncle Sams Cider (5/13/2022)</v>
      </c>
      <c r="H9224" s="19"/>
    </row>
    <row r="9225">
      <c r="A9225" s="9"/>
      <c r="B9225" s="15"/>
      <c r="C9225" s="9">
        <f>IFERROR(__xludf.DUMMYFUNCTION("""COMPUTED_VALUE"""),44700.4101202083)</f>
        <v>44700.41012</v>
      </c>
      <c r="D9225" s="15">
        <f>IFERROR(__xludf.DUMMYFUNCTION("""COMPUTED_VALUE"""),1.065)</f>
        <v>1.065</v>
      </c>
      <c r="E9225" s="16">
        <f>IFERROR(__xludf.DUMMYFUNCTION("""COMPUTED_VALUE"""),68.0)</f>
        <v>68</v>
      </c>
      <c r="F9225" s="19" t="str">
        <f>IFERROR(__xludf.DUMMYFUNCTION("""COMPUTED_VALUE"""),"BLACK")</f>
        <v>BLACK</v>
      </c>
      <c r="G9225" s="20" t="str">
        <f>IFERROR(__xludf.DUMMYFUNCTION("""COMPUTED_VALUE"""),"Uncle Sams Cider (5/13/2022)")</f>
        <v>Uncle Sams Cider (5/13/2022)</v>
      </c>
      <c r="H9225" s="19"/>
    </row>
    <row r="9226">
      <c r="A9226" s="9"/>
      <c r="B9226" s="15"/>
      <c r="C9226" s="9">
        <f>IFERROR(__xludf.DUMMYFUNCTION("""COMPUTED_VALUE"""),44700.3996984722)</f>
        <v>44700.3997</v>
      </c>
      <c r="D9226" s="15">
        <f>IFERROR(__xludf.DUMMYFUNCTION("""COMPUTED_VALUE"""),1.065)</f>
        <v>1.065</v>
      </c>
      <c r="E9226" s="16">
        <f>IFERROR(__xludf.DUMMYFUNCTION("""COMPUTED_VALUE"""),68.0)</f>
        <v>68</v>
      </c>
      <c r="F9226" s="19" t="str">
        <f>IFERROR(__xludf.DUMMYFUNCTION("""COMPUTED_VALUE"""),"BLACK")</f>
        <v>BLACK</v>
      </c>
      <c r="G9226" s="20" t="str">
        <f>IFERROR(__xludf.DUMMYFUNCTION("""COMPUTED_VALUE"""),"Uncle Sams Cider (5/13/2022)")</f>
        <v>Uncle Sams Cider (5/13/2022)</v>
      </c>
      <c r="H9226" s="19"/>
    </row>
    <row r="9227">
      <c r="A9227" s="9"/>
      <c r="B9227" s="15"/>
      <c r="C9227" s="9">
        <f>IFERROR(__xludf.DUMMYFUNCTION("""COMPUTED_VALUE"""),44700.3892769675)</f>
        <v>44700.38928</v>
      </c>
      <c r="D9227" s="15">
        <f>IFERROR(__xludf.DUMMYFUNCTION("""COMPUTED_VALUE"""),1.065)</f>
        <v>1.065</v>
      </c>
      <c r="E9227" s="16">
        <f>IFERROR(__xludf.DUMMYFUNCTION("""COMPUTED_VALUE"""),68.0)</f>
        <v>68</v>
      </c>
      <c r="F9227" s="19" t="str">
        <f>IFERROR(__xludf.DUMMYFUNCTION("""COMPUTED_VALUE"""),"BLACK")</f>
        <v>BLACK</v>
      </c>
      <c r="G9227" s="20" t="str">
        <f>IFERROR(__xludf.DUMMYFUNCTION("""COMPUTED_VALUE"""),"Uncle Sams Cider (5/13/2022)")</f>
        <v>Uncle Sams Cider (5/13/2022)</v>
      </c>
      <c r="H9227" s="19"/>
    </row>
    <row r="9228">
      <c r="A9228" s="9"/>
      <c r="B9228" s="15"/>
      <c r="C9228" s="9">
        <f>IFERROR(__xludf.DUMMYFUNCTION("""COMPUTED_VALUE"""),44700.3788541319)</f>
        <v>44700.37885</v>
      </c>
      <c r="D9228" s="15">
        <f>IFERROR(__xludf.DUMMYFUNCTION("""COMPUTED_VALUE"""),1.065)</f>
        <v>1.065</v>
      </c>
      <c r="E9228" s="16">
        <f>IFERROR(__xludf.DUMMYFUNCTION("""COMPUTED_VALUE"""),68.0)</f>
        <v>68</v>
      </c>
      <c r="F9228" s="19" t="str">
        <f>IFERROR(__xludf.DUMMYFUNCTION("""COMPUTED_VALUE"""),"BLACK")</f>
        <v>BLACK</v>
      </c>
      <c r="G9228" s="20" t="str">
        <f>IFERROR(__xludf.DUMMYFUNCTION("""COMPUTED_VALUE"""),"Uncle Sams Cider (5/13/2022)")</f>
        <v>Uncle Sams Cider (5/13/2022)</v>
      </c>
      <c r="H9228" s="19"/>
    </row>
    <row r="9229">
      <c r="A9229" s="9"/>
      <c r="B9229" s="15"/>
      <c r="C9229" s="9">
        <f>IFERROR(__xludf.DUMMYFUNCTION("""COMPUTED_VALUE"""),44700.3684337037)</f>
        <v>44700.36843</v>
      </c>
      <c r="D9229" s="15">
        <f>IFERROR(__xludf.DUMMYFUNCTION("""COMPUTED_VALUE"""),1.065)</f>
        <v>1.065</v>
      </c>
      <c r="E9229" s="16">
        <f>IFERROR(__xludf.DUMMYFUNCTION("""COMPUTED_VALUE"""),68.0)</f>
        <v>68</v>
      </c>
      <c r="F9229" s="19" t="str">
        <f>IFERROR(__xludf.DUMMYFUNCTION("""COMPUTED_VALUE"""),"BLACK")</f>
        <v>BLACK</v>
      </c>
      <c r="G9229" s="20" t="str">
        <f>IFERROR(__xludf.DUMMYFUNCTION("""COMPUTED_VALUE"""),"Uncle Sams Cider (5/13/2022)")</f>
        <v>Uncle Sams Cider (5/13/2022)</v>
      </c>
      <c r="H9229" s="19"/>
    </row>
    <row r="9230">
      <c r="A9230" s="9"/>
      <c r="B9230" s="15"/>
      <c r="C9230" s="9">
        <f>IFERROR(__xludf.DUMMYFUNCTION("""COMPUTED_VALUE"""),44700.3580117939)</f>
        <v>44700.35801</v>
      </c>
      <c r="D9230" s="15">
        <f>IFERROR(__xludf.DUMMYFUNCTION("""COMPUTED_VALUE"""),1.065)</f>
        <v>1.065</v>
      </c>
      <c r="E9230" s="16">
        <f>IFERROR(__xludf.DUMMYFUNCTION("""COMPUTED_VALUE"""),68.0)</f>
        <v>68</v>
      </c>
      <c r="F9230" s="19" t="str">
        <f>IFERROR(__xludf.DUMMYFUNCTION("""COMPUTED_VALUE"""),"BLACK")</f>
        <v>BLACK</v>
      </c>
      <c r="G9230" s="20" t="str">
        <f>IFERROR(__xludf.DUMMYFUNCTION("""COMPUTED_VALUE"""),"Uncle Sams Cider (5/13/2022)")</f>
        <v>Uncle Sams Cider (5/13/2022)</v>
      </c>
      <c r="H9230" s="19"/>
    </row>
    <row r="9231">
      <c r="A9231" s="9"/>
      <c r="B9231" s="15"/>
      <c r="C9231" s="9">
        <f>IFERROR(__xludf.DUMMYFUNCTION("""COMPUTED_VALUE"""),44700.3475673032)</f>
        <v>44700.34757</v>
      </c>
      <c r="D9231" s="15">
        <f>IFERROR(__xludf.DUMMYFUNCTION("""COMPUTED_VALUE"""),1.066)</f>
        <v>1.066</v>
      </c>
      <c r="E9231" s="16">
        <f>IFERROR(__xludf.DUMMYFUNCTION("""COMPUTED_VALUE"""),68.0)</f>
        <v>68</v>
      </c>
      <c r="F9231" s="19" t="str">
        <f>IFERROR(__xludf.DUMMYFUNCTION("""COMPUTED_VALUE"""),"BLACK")</f>
        <v>BLACK</v>
      </c>
      <c r="G9231" s="20" t="str">
        <f>IFERROR(__xludf.DUMMYFUNCTION("""COMPUTED_VALUE"""),"Uncle Sams Cider (5/13/2022)")</f>
        <v>Uncle Sams Cider (5/13/2022)</v>
      </c>
      <c r="H9231" s="19"/>
    </row>
    <row r="9232">
      <c r="A9232" s="9"/>
      <c r="B9232" s="15"/>
      <c r="C9232" s="9">
        <f>IFERROR(__xludf.DUMMYFUNCTION("""COMPUTED_VALUE"""),44700.3371348148)</f>
        <v>44700.33713</v>
      </c>
      <c r="D9232" s="15">
        <f>IFERROR(__xludf.DUMMYFUNCTION("""COMPUTED_VALUE"""),1.066)</f>
        <v>1.066</v>
      </c>
      <c r="E9232" s="16">
        <f>IFERROR(__xludf.DUMMYFUNCTION("""COMPUTED_VALUE"""),68.0)</f>
        <v>68</v>
      </c>
      <c r="F9232" s="19" t="str">
        <f>IFERROR(__xludf.DUMMYFUNCTION("""COMPUTED_VALUE"""),"BLACK")</f>
        <v>BLACK</v>
      </c>
      <c r="G9232" s="20" t="str">
        <f>IFERROR(__xludf.DUMMYFUNCTION("""COMPUTED_VALUE"""),"Uncle Sams Cider (5/13/2022)")</f>
        <v>Uncle Sams Cider (5/13/2022)</v>
      </c>
      <c r="H9232" s="19"/>
    </row>
    <row r="9233">
      <c r="A9233" s="9"/>
      <c r="B9233" s="15"/>
      <c r="C9233" s="9">
        <f>IFERROR(__xludf.DUMMYFUNCTION("""COMPUTED_VALUE"""),44700.326712662)</f>
        <v>44700.32671</v>
      </c>
      <c r="D9233" s="15">
        <f>IFERROR(__xludf.DUMMYFUNCTION("""COMPUTED_VALUE"""),1.066)</f>
        <v>1.066</v>
      </c>
      <c r="E9233" s="16">
        <f>IFERROR(__xludf.DUMMYFUNCTION("""COMPUTED_VALUE"""),68.0)</f>
        <v>68</v>
      </c>
      <c r="F9233" s="19" t="str">
        <f>IFERROR(__xludf.DUMMYFUNCTION("""COMPUTED_VALUE"""),"BLACK")</f>
        <v>BLACK</v>
      </c>
      <c r="G9233" s="20" t="str">
        <f>IFERROR(__xludf.DUMMYFUNCTION("""COMPUTED_VALUE"""),"Uncle Sams Cider (5/13/2022)")</f>
        <v>Uncle Sams Cider (5/13/2022)</v>
      </c>
      <c r="H9233" s="19"/>
    </row>
    <row r="9234">
      <c r="A9234" s="9"/>
      <c r="B9234" s="15"/>
      <c r="C9234" s="9">
        <f>IFERROR(__xludf.DUMMYFUNCTION("""COMPUTED_VALUE"""),44700.3162927546)</f>
        <v>44700.31629</v>
      </c>
      <c r="D9234" s="15">
        <f>IFERROR(__xludf.DUMMYFUNCTION("""COMPUTED_VALUE"""),1.066)</f>
        <v>1.066</v>
      </c>
      <c r="E9234" s="16">
        <f>IFERROR(__xludf.DUMMYFUNCTION("""COMPUTED_VALUE"""),68.0)</f>
        <v>68</v>
      </c>
      <c r="F9234" s="19" t="str">
        <f>IFERROR(__xludf.DUMMYFUNCTION("""COMPUTED_VALUE"""),"BLACK")</f>
        <v>BLACK</v>
      </c>
      <c r="G9234" s="20" t="str">
        <f>IFERROR(__xludf.DUMMYFUNCTION("""COMPUTED_VALUE"""),"Uncle Sams Cider (5/13/2022)")</f>
        <v>Uncle Sams Cider (5/13/2022)</v>
      </c>
      <c r="H9234" s="19"/>
    </row>
    <row r="9235">
      <c r="A9235" s="9"/>
      <c r="B9235" s="15"/>
      <c r="C9235" s="9">
        <f>IFERROR(__xludf.DUMMYFUNCTION("""COMPUTED_VALUE"""),44700.3058373263)</f>
        <v>44700.30584</v>
      </c>
      <c r="D9235" s="15">
        <f>IFERROR(__xludf.DUMMYFUNCTION("""COMPUTED_VALUE"""),1.066)</f>
        <v>1.066</v>
      </c>
      <c r="E9235" s="16">
        <f>IFERROR(__xludf.DUMMYFUNCTION("""COMPUTED_VALUE"""),68.0)</f>
        <v>68</v>
      </c>
      <c r="F9235" s="19" t="str">
        <f>IFERROR(__xludf.DUMMYFUNCTION("""COMPUTED_VALUE"""),"BLACK")</f>
        <v>BLACK</v>
      </c>
      <c r="G9235" s="20" t="str">
        <f>IFERROR(__xludf.DUMMYFUNCTION("""COMPUTED_VALUE"""),"Uncle Sams Cider (5/13/2022)")</f>
        <v>Uncle Sams Cider (5/13/2022)</v>
      </c>
      <c r="H9235" s="19"/>
    </row>
    <row r="9236">
      <c r="A9236" s="9"/>
      <c r="B9236" s="15"/>
      <c r="C9236" s="9">
        <f>IFERROR(__xludf.DUMMYFUNCTION("""COMPUTED_VALUE"""),44700.2954154861)</f>
        <v>44700.29542</v>
      </c>
      <c r="D9236" s="15">
        <f>IFERROR(__xludf.DUMMYFUNCTION("""COMPUTED_VALUE"""),1.066)</f>
        <v>1.066</v>
      </c>
      <c r="E9236" s="16">
        <f>IFERROR(__xludf.DUMMYFUNCTION("""COMPUTED_VALUE"""),68.0)</f>
        <v>68</v>
      </c>
      <c r="F9236" s="19" t="str">
        <f>IFERROR(__xludf.DUMMYFUNCTION("""COMPUTED_VALUE"""),"BLACK")</f>
        <v>BLACK</v>
      </c>
      <c r="G9236" s="20" t="str">
        <f>IFERROR(__xludf.DUMMYFUNCTION("""COMPUTED_VALUE"""),"Uncle Sams Cider (5/13/2022)")</f>
        <v>Uncle Sams Cider (5/13/2022)</v>
      </c>
      <c r="H9236" s="19"/>
    </row>
    <row r="9237">
      <c r="A9237" s="9"/>
      <c r="B9237" s="15"/>
      <c r="C9237" s="9">
        <f>IFERROR(__xludf.DUMMYFUNCTION("""COMPUTED_VALUE"""),44700.2849822106)</f>
        <v>44700.28498</v>
      </c>
      <c r="D9237" s="15">
        <f>IFERROR(__xludf.DUMMYFUNCTION("""COMPUTED_VALUE"""),1.066)</f>
        <v>1.066</v>
      </c>
      <c r="E9237" s="16">
        <f>IFERROR(__xludf.DUMMYFUNCTION("""COMPUTED_VALUE"""),68.0)</f>
        <v>68</v>
      </c>
      <c r="F9237" s="19" t="str">
        <f>IFERROR(__xludf.DUMMYFUNCTION("""COMPUTED_VALUE"""),"BLACK")</f>
        <v>BLACK</v>
      </c>
      <c r="G9237" s="20" t="str">
        <f>IFERROR(__xludf.DUMMYFUNCTION("""COMPUTED_VALUE"""),"Uncle Sams Cider (5/13/2022)")</f>
        <v>Uncle Sams Cider (5/13/2022)</v>
      </c>
      <c r="H9237" s="19"/>
    </row>
    <row r="9238">
      <c r="A9238" s="9"/>
      <c r="B9238" s="15"/>
      <c r="C9238" s="9">
        <f>IFERROR(__xludf.DUMMYFUNCTION("""COMPUTED_VALUE"""),44700.2745609375)</f>
        <v>44700.27456</v>
      </c>
      <c r="D9238" s="15">
        <f>IFERROR(__xludf.DUMMYFUNCTION("""COMPUTED_VALUE"""),1.066)</f>
        <v>1.066</v>
      </c>
      <c r="E9238" s="16">
        <f>IFERROR(__xludf.DUMMYFUNCTION("""COMPUTED_VALUE"""),68.0)</f>
        <v>68</v>
      </c>
      <c r="F9238" s="19" t="str">
        <f>IFERROR(__xludf.DUMMYFUNCTION("""COMPUTED_VALUE"""),"BLACK")</f>
        <v>BLACK</v>
      </c>
      <c r="G9238" s="20" t="str">
        <f>IFERROR(__xludf.DUMMYFUNCTION("""COMPUTED_VALUE"""),"Uncle Sams Cider (5/13/2022)")</f>
        <v>Uncle Sams Cider (5/13/2022)</v>
      </c>
      <c r="H9238" s="19"/>
    </row>
    <row r="9239">
      <c r="A9239" s="9"/>
      <c r="B9239" s="15"/>
      <c r="C9239" s="9">
        <f>IFERROR(__xludf.DUMMYFUNCTION("""COMPUTED_VALUE"""),44700.264105868)</f>
        <v>44700.26411</v>
      </c>
      <c r="D9239" s="15">
        <f>IFERROR(__xludf.DUMMYFUNCTION("""COMPUTED_VALUE"""),1.066)</f>
        <v>1.066</v>
      </c>
      <c r="E9239" s="16">
        <f>IFERROR(__xludf.DUMMYFUNCTION("""COMPUTED_VALUE"""),68.0)</f>
        <v>68</v>
      </c>
      <c r="F9239" s="19" t="str">
        <f>IFERROR(__xludf.DUMMYFUNCTION("""COMPUTED_VALUE"""),"BLACK")</f>
        <v>BLACK</v>
      </c>
      <c r="G9239" s="20" t="str">
        <f>IFERROR(__xludf.DUMMYFUNCTION("""COMPUTED_VALUE"""),"Uncle Sams Cider (5/13/2022)")</f>
        <v>Uncle Sams Cider (5/13/2022)</v>
      </c>
      <c r="H9239" s="19"/>
    </row>
    <row r="9240">
      <c r="A9240" s="9"/>
      <c r="B9240" s="15"/>
      <c r="C9240" s="9">
        <f>IFERROR(__xludf.DUMMYFUNCTION("""COMPUTED_VALUE"""),44700.2536722222)</f>
        <v>44700.25367</v>
      </c>
      <c r="D9240" s="15">
        <f>IFERROR(__xludf.DUMMYFUNCTION("""COMPUTED_VALUE"""),1.066)</f>
        <v>1.066</v>
      </c>
      <c r="E9240" s="16">
        <f>IFERROR(__xludf.DUMMYFUNCTION("""COMPUTED_VALUE"""),68.0)</f>
        <v>68</v>
      </c>
      <c r="F9240" s="19" t="str">
        <f>IFERROR(__xludf.DUMMYFUNCTION("""COMPUTED_VALUE"""),"BLACK")</f>
        <v>BLACK</v>
      </c>
      <c r="G9240" s="20" t="str">
        <f>IFERROR(__xludf.DUMMYFUNCTION("""COMPUTED_VALUE"""),"Uncle Sams Cider (5/13/2022)")</f>
        <v>Uncle Sams Cider (5/13/2022)</v>
      </c>
      <c r="H9240" s="19"/>
    </row>
    <row r="9241">
      <c r="A9241" s="9"/>
      <c r="B9241" s="15"/>
      <c r="C9241" s="9">
        <f>IFERROR(__xludf.DUMMYFUNCTION("""COMPUTED_VALUE"""),44700.2432512268)</f>
        <v>44700.24325</v>
      </c>
      <c r="D9241" s="15">
        <f>IFERROR(__xludf.DUMMYFUNCTION("""COMPUTED_VALUE"""),1.066)</f>
        <v>1.066</v>
      </c>
      <c r="E9241" s="16">
        <f>IFERROR(__xludf.DUMMYFUNCTION("""COMPUTED_VALUE"""),67.0)</f>
        <v>67</v>
      </c>
      <c r="F9241" s="19" t="str">
        <f>IFERROR(__xludf.DUMMYFUNCTION("""COMPUTED_VALUE"""),"BLACK")</f>
        <v>BLACK</v>
      </c>
      <c r="G9241" s="20" t="str">
        <f>IFERROR(__xludf.DUMMYFUNCTION("""COMPUTED_VALUE"""),"Uncle Sams Cider (5/13/2022)")</f>
        <v>Uncle Sams Cider (5/13/2022)</v>
      </c>
      <c r="H9241" s="19"/>
    </row>
    <row r="9242">
      <c r="A9242" s="9"/>
      <c r="B9242" s="15"/>
      <c r="C9242" s="9">
        <f>IFERROR(__xludf.DUMMYFUNCTION("""COMPUTED_VALUE"""),44700.2328311111)</f>
        <v>44700.23283</v>
      </c>
      <c r="D9242" s="15">
        <f>IFERROR(__xludf.DUMMYFUNCTION("""COMPUTED_VALUE"""),1.067)</f>
        <v>1.067</v>
      </c>
      <c r="E9242" s="16">
        <f>IFERROR(__xludf.DUMMYFUNCTION("""COMPUTED_VALUE"""),67.0)</f>
        <v>67</v>
      </c>
      <c r="F9242" s="19" t="str">
        <f>IFERROR(__xludf.DUMMYFUNCTION("""COMPUTED_VALUE"""),"BLACK")</f>
        <v>BLACK</v>
      </c>
      <c r="G9242" s="20" t="str">
        <f>IFERROR(__xludf.DUMMYFUNCTION("""COMPUTED_VALUE"""),"Uncle Sams Cider (5/13/2022)")</f>
        <v>Uncle Sams Cider (5/13/2022)</v>
      </c>
      <c r="H9242" s="19"/>
    </row>
    <row r="9243">
      <c r="A9243" s="9"/>
      <c r="B9243" s="15"/>
      <c r="C9243" s="9">
        <f>IFERROR(__xludf.DUMMYFUNCTION("""COMPUTED_VALUE"""),44700.2224109027)</f>
        <v>44700.22241</v>
      </c>
      <c r="D9243" s="15">
        <f>IFERROR(__xludf.DUMMYFUNCTION("""COMPUTED_VALUE"""),1.067)</f>
        <v>1.067</v>
      </c>
      <c r="E9243" s="16">
        <f>IFERROR(__xludf.DUMMYFUNCTION("""COMPUTED_VALUE"""),67.0)</f>
        <v>67</v>
      </c>
      <c r="F9243" s="19" t="str">
        <f>IFERROR(__xludf.DUMMYFUNCTION("""COMPUTED_VALUE"""),"BLACK")</f>
        <v>BLACK</v>
      </c>
      <c r="G9243" s="20" t="str">
        <f>IFERROR(__xludf.DUMMYFUNCTION("""COMPUTED_VALUE"""),"Uncle Sams Cider (5/13/2022)")</f>
        <v>Uncle Sams Cider (5/13/2022)</v>
      </c>
      <c r="H9243" s="19"/>
    </row>
    <row r="9244">
      <c r="A9244" s="9"/>
      <c r="B9244" s="15"/>
      <c r="C9244" s="9">
        <f>IFERROR(__xludf.DUMMYFUNCTION("""COMPUTED_VALUE"""),44700.2119886574)</f>
        <v>44700.21199</v>
      </c>
      <c r="D9244" s="15">
        <f>IFERROR(__xludf.DUMMYFUNCTION("""COMPUTED_VALUE"""),1.067)</f>
        <v>1.067</v>
      </c>
      <c r="E9244" s="16">
        <f>IFERROR(__xludf.DUMMYFUNCTION("""COMPUTED_VALUE"""),67.0)</f>
        <v>67</v>
      </c>
      <c r="F9244" s="19" t="str">
        <f>IFERROR(__xludf.DUMMYFUNCTION("""COMPUTED_VALUE"""),"BLACK")</f>
        <v>BLACK</v>
      </c>
      <c r="G9244" s="20" t="str">
        <f>IFERROR(__xludf.DUMMYFUNCTION("""COMPUTED_VALUE"""),"Uncle Sams Cider (5/13/2022)")</f>
        <v>Uncle Sams Cider (5/13/2022)</v>
      </c>
      <c r="H9244" s="19"/>
    </row>
    <row r="9245">
      <c r="A9245" s="9"/>
      <c r="B9245" s="15"/>
      <c r="C9245" s="9">
        <f>IFERROR(__xludf.DUMMYFUNCTION("""COMPUTED_VALUE"""),44700.201567743)</f>
        <v>44700.20157</v>
      </c>
      <c r="D9245" s="15">
        <f>IFERROR(__xludf.DUMMYFUNCTION("""COMPUTED_VALUE"""),1.067)</f>
        <v>1.067</v>
      </c>
      <c r="E9245" s="16">
        <f>IFERROR(__xludf.DUMMYFUNCTION("""COMPUTED_VALUE"""),67.0)</f>
        <v>67</v>
      </c>
      <c r="F9245" s="19" t="str">
        <f>IFERROR(__xludf.DUMMYFUNCTION("""COMPUTED_VALUE"""),"BLACK")</f>
        <v>BLACK</v>
      </c>
      <c r="G9245" s="20" t="str">
        <f>IFERROR(__xludf.DUMMYFUNCTION("""COMPUTED_VALUE"""),"Uncle Sams Cider (5/13/2022)")</f>
        <v>Uncle Sams Cider (5/13/2022)</v>
      </c>
      <c r="H9245" s="19"/>
    </row>
    <row r="9246">
      <c r="A9246" s="9"/>
      <c r="B9246" s="15"/>
      <c r="C9246" s="9">
        <f>IFERROR(__xludf.DUMMYFUNCTION("""COMPUTED_VALUE"""),44700.1911453356)</f>
        <v>44700.19115</v>
      </c>
      <c r="D9246" s="15">
        <f>IFERROR(__xludf.DUMMYFUNCTION("""COMPUTED_VALUE"""),1.067)</f>
        <v>1.067</v>
      </c>
      <c r="E9246" s="16">
        <f>IFERROR(__xludf.DUMMYFUNCTION("""COMPUTED_VALUE"""),67.0)</f>
        <v>67</v>
      </c>
      <c r="F9246" s="19" t="str">
        <f>IFERROR(__xludf.DUMMYFUNCTION("""COMPUTED_VALUE"""),"BLACK")</f>
        <v>BLACK</v>
      </c>
      <c r="G9246" s="20" t="str">
        <f>IFERROR(__xludf.DUMMYFUNCTION("""COMPUTED_VALUE"""),"Uncle Sams Cider (5/13/2022)")</f>
        <v>Uncle Sams Cider (5/13/2022)</v>
      </c>
      <c r="H9246" s="19"/>
    </row>
    <row r="9247">
      <c r="A9247" s="9"/>
      <c r="B9247" s="15"/>
      <c r="C9247" s="9">
        <f>IFERROR(__xludf.DUMMYFUNCTION("""COMPUTED_VALUE"""),44700.180715)</f>
        <v>44700.18072</v>
      </c>
      <c r="D9247" s="15">
        <f>IFERROR(__xludf.DUMMYFUNCTION("""COMPUTED_VALUE"""),1.067)</f>
        <v>1.067</v>
      </c>
      <c r="E9247" s="16">
        <f>IFERROR(__xludf.DUMMYFUNCTION("""COMPUTED_VALUE"""),67.0)</f>
        <v>67</v>
      </c>
      <c r="F9247" s="19" t="str">
        <f>IFERROR(__xludf.DUMMYFUNCTION("""COMPUTED_VALUE"""),"BLACK")</f>
        <v>BLACK</v>
      </c>
      <c r="G9247" s="20" t="str">
        <f>IFERROR(__xludf.DUMMYFUNCTION("""COMPUTED_VALUE"""),"Uncle Sams Cider (5/13/2022)")</f>
        <v>Uncle Sams Cider (5/13/2022)</v>
      </c>
      <c r="H9247" s="19"/>
    </row>
    <row r="9248">
      <c r="A9248" s="9"/>
      <c r="B9248" s="15"/>
      <c r="C9248" s="9">
        <f>IFERROR(__xludf.DUMMYFUNCTION("""COMPUTED_VALUE"""),44700.1702343865)</f>
        <v>44700.17023</v>
      </c>
      <c r="D9248" s="15">
        <f>IFERROR(__xludf.DUMMYFUNCTION("""COMPUTED_VALUE"""),1.067)</f>
        <v>1.067</v>
      </c>
      <c r="E9248" s="16">
        <f>IFERROR(__xludf.DUMMYFUNCTION("""COMPUTED_VALUE"""),67.0)</f>
        <v>67</v>
      </c>
      <c r="F9248" s="19" t="str">
        <f>IFERROR(__xludf.DUMMYFUNCTION("""COMPUTED_VALUE"""),"BLACK")</f>
        <v>BLACK</v>
      </c>
      <c r="G9248" s="20" t="str">
        <f>IFERROR(__xludf.DUMMYFUNCTION("""COMPUTED_VALUE"""),"Uncle Sams Cider (5/13/2022)")</f>
        <v>Uncle Sams Cider (5/13/2022)</v>
      </c>
      <c r="H9248" s="19"/>
    </row>
    <row r="9249">
      <c r="A9249" s="9"/>
      <c r="B9249" s="15"/>
      <c r="C9249" s="9">
        <f>IFERROR(__xludf.DUMMYFUNCTION("""COMPUTED_VALUE"""),44700.159814618)</f>
        <v>44700.15981</v>
      </c>
      <c r="D9249" s="15">
        <f>IFERROR(__xludf.DUMMYFUNCTION("""COMPUTED_VALUE"""),1.067)</f>
        <v>1.067</v>
      </c>
      <c r="E9249" s="16">
        <f>IFERROR(__xludf.DUMMYFUNCTION("""COMPUTED_VALUE"""),67.0)</f>
        <v>67</v>
      </c>
      <c r="F9249" s="19" t="str">
        <f>IFERROR(__xludf.DUMMYFUNCTION("""COMPUTED_VALUE"""),"BLACK")</f>
        <v>BLACK</v>
      </c>
      <c r="G9249" s="20" t="str">
        <f>IFERROR(__xludf.DUMMYFUNCTION("""COMPUTED_VALUE"""),"Uncle Sams Cider (5/13/2022)")</f>
        <v>Uncle Sams Cider (5/13/2022)</v>
      </c>
      <c r="H9249" s="19"/>
    </row>
    <row r="9250">
      <c r="A9250" s="9"/>
      <c r="B9250" s="15"/>
      <c r="C9250" s="9">
        <f>IFERROR(__xludf.DUMMYFUNCTION("""COMPUTED_VALUE"""),44700.1493935069)</f>
        <v>44700.14939</v>
      </c>
      <c r="D9250" s="15">
        <f>IFERROR(__xludf.DUMMYFUNCTION("""COMPUTED_VALUE"""),1.067)</f>
        <v>1.067</v>
      </c>
      <c r="E9250" s="16">
        <f>IFERROR(__xludf.DUMMYFUNCTION("""COMPUTED_VALUE"""),67.0)</f>
        <v>67</v>
      </c>
      <c r="F9250" s="19" t="str">
        <f>IFERROR(__xludf.DUMMYFUNCTION("""COMPUTED_VALUE"""),"BLACK")</f>
        <v>BLACK</v>
      </c>
      <c r="G9250" s="20" t="str">
        <f>IFERROR(__xludf.DUMMYFUNCTION("""COMPUTED_VALUE"""),"Uncle Sams Cider (5/13/2022)")</f>
        <v>Uncle Sams Cider (5/13/2022)</v>
      </c>
      <c r="H9250" s="19"/>
    </row>
    <row r="9251">
      <c r="A9251" s="9"/>
      <c r="B9251" s="15"/>
      <c r="C9251" s="9">
        <f>IFERROR(__xludf.DUMMYFUNCTION("""COMPUTED_VALUE"""),44700.1389725578)</f>
        <v>44700.13897</v>
      </c>
      <c r="D9251" s="15">
        <f>IFERROR(__xludf.DUMMYFUNCTION("""COMPUTED_VALUE"""),1.067)</f>
        <v>1.067</v>
      </c>
      <c r="E9251" s="16">
        <f>IFERROR(__xludf.DUMMYFUNCTION("""COMPUTED_VALUE"""),67.0)</f>
        <v>67</v>
      </c>
      <c r="F9251" s="19" t="str">
        <f>IFERROR(__xludf.DUMMYFUNCTION("""COMPUTED_VALUE"""),"BLACK")</f>
        <v>BLACK</v>
      </c>
      <c r="G9251" s="20" t="str">
        <f>IFERROR(__xludf.DUMMYFUNCTION("""COMPUTED_VALUE"""),"Uncle Sams Cider (5/13/2022)")</f>
        <v>Uncle Sams Cider (5/13/2022)</v>
      </c>
      <c r="H9251" s="19"/>
    </row>
    <row r="9252">
      <c r="A9252" s="9"/>
      <c r="B9252" s="15"/>
      <c r="C9252" s="9">
        <f>IFERROR(__xludf.DUMMYFUNCTION("""COMPUTED_VALUE"""),44700.128538912)</f>
        <v>44700.12854</v>
      </c>
      <c r="D9252" s="15">
        <f>IFERROR(__xludf.DUMMYFUNCTION("""COMPUTED_VALUE"""),1.067)</f>
        <v>1.067</v>
      </c>
      <c r="E9252" s="16">
        <f>IFERROR(__xludf.DUMMYFUNCTION("""COMPUTED_VALUE"""),67.0)</f>
        <v>67</v>
      </c>
      <c r="F9252" s="19" t="str">
        <f>IFERROR(__xludf.DUMMYFUNCTION("""COMPUTED_VALUE"""),"BLACK")</f>
        <v>BLACK</v>
      </c>
      <c r="G9252" s="20" t="str">
        <f>IFERROR(__xludf.DUMMYFUNCTION("""COMPUTED_VALUE"""),"Uncle Sams Cider (5/13/2022)")</f>
        <v>Uncle Sams Cider (5/13/2022)</v>
      </c>
      <c r="H9252" s="19"/>
    </row>
    <row r="9253">
      <c r="A9253" s="9"/>
      <c r="B9253" s="15"/>
      <c r="C9253" s="9">
        <f>IFERROR(__xludf.DUMMYFUNCTION("""COMPUTED_VALUE"""),44700.1181164351)</f>
        <v>44700.11812</v>
      </c>
      <c r="D9253" s="15">
        <f>IFERROR(__xludf.DUMMYFUNCTION("""COMPUTED_VALUE"""),1.068)</f>
        <v>1.068</v>
      </c>
      <c r="E9253" s="16">
        <f>IFERROR(__xludf.DUMMYFUNCTION("""COMPUTED_VALUE"""),67.0)</f>
        <v>67</v>
      </c>
      <c r="F9253" s="19" t="str">
        <f>IFERROR(__xludf.DUMMYFUNCTION("""COMPUTED_VALUE"""),"BLACK")</f>
        <v>BLACK</v>
      </c>
      <c r="G9253" s="20" t="str">
        <f>IFERROR(__xludf.DUMMYFUNCTION("""COMPUTED_VALUE"""),"Uncle Sams Cider (5/13/2022)")</f>
        <v>Uncle Sams Cider (5/13/2022)</v>
      </c>
      <c r="H9253" s="19"/>
    </row>
    <row r="9254">
      <c r="A9254" s="9"/>
      <c r="B9254" s="15"/>
      <c r="C9254" s="9">
        <f>IFERROR(__xludf.DUMMYFUNCTION("""COMPUTED_VALUE"""),44700.1076943634)</f>
        <v>44700.10769</v>
      </c>
      <c r="D9254" s="15">
        <f>IFERROR(__xludf.DUMMYFUNCTION("""COMPUTED_VALUE"""),1.068)</f>
        <v>1.068</v>
      </c>
      <c r="E9254" s="16">
        <f>IFERROR(__xludf.DUMMYFUNCTION("""COMPUTED_VALUE"""),67.0)</f>
        <v>67</v>
      </c>
      <c r="F9254" s="19" t="str">
        <f>IFERROR(__xludf.DUMMYFUNCTION("""COMPUTED_VALUE"""),"BLACK")</f>
        <v>BLACK</v>
      </c>
      <c r="G9254" s="20" t="str">
        <f>IFERROR(__xludf.DUMMYFUNCTION("""COMPUTED_VALUE"""),"Uncle Sams Cider (5/13/2022)")</f>
        <v>Uncle Sams Cider (5/13/2022)</v>
      </c>
      <c r="H9254" s="19"/>
    </row>
    <row r="9255">
      <c r="A9255" s="9"/>
      <c r="B9255" s="15"/>
      <c r="C9255" s="9">
        <f>IFERROR(__xludf.DUMMYFUNCTION("""COMPUTED_VALUE"""),44700.0972724768)</f>
        <v>44700.09727</v>
      </c>
      <c r="D9255" s="15">
        <f>IFERROR(__xludf.DUMMYFUNCTION("""COMPUTED_VALUE"""),1.068)</f>
        <v>1.068</v>
      </c>
      <c r="E9255" s="16">
        <f>IFERROR(__xludf.DUMMYFUNCTION("""COMPUTED_VALUE"""),67.0)</f>
        <v>67</v>
      </c>
      <c r="F9255" s="19" t="str">
        <f>IFERROR(__xludf.DUMMYFUNCTION("""COMPUTED_VALUE"""),"BLACK")</f>
        <v>BLACK</v>
      </c>
      <c r="G9255" s="20" t="str">
        <f>IFERROR(__xludf.DUMMYFUNCTION("""COMPUTED_VALUE"""),"Uncle Sams Cider (5/13/2022)")</f>
        <v>Uncle Sams Cider (5/13/2022)</v>
      </c>
      <c r="H9255" s="19"/>
    </row>
    <row r="9256">
      <c r="A9256" s="9"/>
      <c r="B9256" s="15"/>
      <c r="C9256" s="9">
        <f>IFERROR(__xludf.DUMMYFUNCTION("""COMPUTED_VALUE"""),44700.0868384027)</f>
        <v>44700.08684</v>
      </c>
      <c r="D9256" s="15">
        <f>IFERROR(__xludf.DUMMYFUNCTION("""COMPUTED_VALUE"""),1.068)</f>
        <v>1.068</v>
      </c>
      <c r="E9256" s="16">
        <f>IFERROR(__xludf.DUMMYFUNCTION("""COMPUTED_VALUE"""),67.0)</f>
        <v>67</v>
      </c>
      <c r="F9256" s="19" t="str">
        <f>IFERROR(__xludf.DUMMYFUNCTION("""COMPUTED_VALUE"""),"BLACK")</f>
        <v>BLACK</v>
      </c>
      <c r="G9256" s="20" t="str">
        <f>IFERROR(__xludf.DUMMYFUNCTION("""COMPUTED_VALUE"""),"Uncle Sams Cider (5/13/2022)")</f>
        <v>Uncle Sams Cider (5/13/2022)</v>
      </c>
      <c r="H9256" s="19"/>
    </row>
    <row r="9257">
      <c r="A9257" s="9"/>
      <c r="B9257" s="15"/>
      <c r="C9257" s="9">
        <f>IFERROR(__xludf.DUMMYFUNCTION("""COMPUTED_VALUE"""),44700.0764035532)</f>
        <v>44700.0764</v>
      </c>
      <c r="D9257" s="15">
        <f>IFERROR(__xludf.DUMMYFUNCTION("""COMPUTED_VALUE"""),1.068)</f>
        <v>1.068</v>
      </c>
      <c r="E9257" s="16">
        <f>IFERROR(__xludf.DUMMYFUNCTION("""COMPUTED_VALUE"""),67.0)</f>
        <v>67</v>
      </c>
      <c r="F9257" s="19" t="str">
        <f>IFERROR(__xludf.DUMMYFUNCTION("""COMPUTED_VALUE"""),"BLACK")</f>
        <v>BLACK</v>
      </c>
      <c r="G9257" s="20" t="str">
        <f>IFERROR(__xludf.DUMMYFUNCTION("""COMPUTED_VALUE"""),"Uncle Sams Cider (5/13/2022)")</f>
        <v>Uncle Sams Cider (5/13/2022)</v>
      </c>
      <c r="H9257" s="19"/>
    </row>
    <row r="9258">
      <c r="A9258" s="9"/>
      <c r="B9258" s="15"/>
      <c r="C9258" s="9">
        <f>IFERROR(__xludf.DUMMYFUNCTION("""COMPUTED_VALUE"""),44700.0659824884)</f>
        <v>44700.06598</v>
      </c>
      <c r="D9258" s="15">
        <f>IFERROR(__xludf.DUMMYFUNCTION("""COMPUTED_VALUE"""),1.068)</f>
        <v>1.068</v>
      </c>
      <c r="E9258" s="16">
        <f>IFERROR(__xludf.DUMMYFUNCTION("""COMPUTED_VALUE"""),67.0)</f>
        <v>67</v>
      </c>
      <c r="F9258" s="19" t="str">
        <f>IFERROR(__xludf.DUMMYFUNCTION("""COMPUTED_VALUE"""),"BLACK")</f>
        <v>BLACK</v>
      </c>
      <c r="G9258" s="20" t="str">
        <f>IFERROR(__xludf.DUMMYFUNCTION("""COMPUTED_VALUE"""),"Uncle Sams Cider (5/13/2022)")</f>
        <v>Uncle Sams Cider (5/13/2022)</v>
      </c>
      <c r="H9258" s="19"/>
    </row>
    <row r="9259">
      <c r="A9259" s="9"/>
      <c r="B9259" s="15"/>
      <c r="C9259" s="9">
        <f>IFERROR(__xludf.DUMMYFUNCTION("""COMPUTED_VALUE"""),44700.0555615162)</f>
        <v>44700.05556</v>
      </c>
      <c r="D9259" s="15">
        <f>IFERROR(__xludf.DUMMYFUNCTION("""COMPUTED_VALUE"""),1.068)</f>
        <v>1.068</v>
      </c>
      <c r="E9259" s="16">
        <f>IFERROR(__xludf.DUMMYFUNCTION("""COMPUTED_VALUE"""),67.0)</f>
        <v>67</v>
      </c>
      <c r="F9259" s="19" t="str">
        <f>IFERROR(__xludf.DUMMYFUNCTION("""COMPUTED_VALUE"""),"BLACK")</f>
        <v>BLACK</v>
      </c>
      <c r="G9259" s="20" t="str">
        <f>IFERROR(__xludf.DUMMYFUNCTION("""COMPUTED_VALUE"""),"Uncle Sams Cider (5/13/2022)")</f>
        <v>Uncle Sams Cider (5/13/2022)</v>
      </c>
      <c r="H9259" s="19"/>
    </row>
    <row r="9260">
      <c r="A9260" s="9"/>
      <c r="B9260" s="15"/>
      <c r="C9260" s="9">
        <f>IFERROR(__xludf.DUMMYFUNCTION("""COMPUTED_VALUE"""),44700.0451408217)</f>
        <v>44700.04514</v>
      </c>
      <c r="D9260" s="15">
        <f>IFERROR(__xludf.DUMMYFUNCTION("""COMPUTED_VALUE"""),1.068)</f>
        <v>1.068</v>
      </c>
      <c r="E9260" s="16">
        <f>IFERROR(__xludf.DUMMYFUNCTION("""COMPUTED_VALUE"""),67.0)</f>
        <v>67</v>
      </c>
      <c r="F9260" s="19" t="str">
        <f>IFERROR(__xludf.DUMMYFUNCTION("""COMPUTED_VALUE"""),"BLACK")</f>
        <v>BLACK</v>
      </c>
      <c r="G9260" s="20" t="str">
        <f>IFERROR(__xludf.DUMMYFUNCTION("""COMPUTED_VALUE"""),"Uncle Sams Cider (5/13/2022)")</f>
        <v>Uncle Sams Cider (5/13/2022)</v>
      </c>
      <c r="H9260" s="19"/>
    </row>
    <row r="9261">
      <c r="A9261" s="9"/>
      <c r="B9261" s="15"/>
      <c r="C9261" s="9">
        <f>IFERROR(__xludf.DUMMYFUNCTION("""COMPUTED_VALUE"""),44700.0347063888)</f>
        <v>44700.03471</v>
      </c>
      <c r="D9261" s="15">
        <f>IFERROR(__xludf.DUMMYFUNCTION("""COMPUTED_VALUE"""),1.068)</f>
        <v>1.068</v>
      </c>
      <c r="E9261" s="16">
        <f>IFERROR(__xludf.DUMMYFUNCTION("""COMPUTED_VALUE"""),67.0)</f>
        <v>67</v>
      </c>
      <c r="F9261" s="19" t="str">
        <f>IFERROR(__xludf.DUMMYFUNCTION("""COMPUTED_VALUE"""),"BLACK")</f>
        <v>BLACK</v>
      </c>
      <c r="G9261" s="20" t="str">
        <f>IFERROR(__xludf.DUMMYFUNCTION("""COMPUTED_VALUE"""),"Uncle Sams Cider (5/13/2022)")</f>
        <v>Uncle Sams Cider (5/13/2022)</v>
      </c>
      <c r="H9261" s="19"/>
    </row>
    <row r="9262">
      <c r="A9262" s="9"/>
      <c r="B9262" s="15"/>
      <c r="C9262" s="9">
        <f>IFERROR(__xludf.DUMMYFUNCTION("""COMPUTED_VALUE"""),44700.0242730555)</f>
        <v>44700.02427</v>
      </c>
      <c r="D9262" s="15">
        <f>IFERROR(__xludf.DUMMYFUNCTION("""COMPUTED_VALUE"""),1.068)</f>
        <v>1.068</v>
      </c>
      <c r="E9262" s="16">
        <f>IFERROR(__xludf.DUMMYFUNCTION("""COMPUTED_VALUE"""),67.0)</f>
        <v>67</v>
      </c>
      <c r="F9262" s="19" t="str">
        <f>IFERROR(__xludf.DUMMYFUNCTION("""COMPUTED_VALUE"""),"BLACK")</f>
        <v>BLACK</v>
      </c>
      <c r="G9262" s="20" t="str">
        <f>IFERROR(__xludf.DUMMYFUNCTION("""COMPUTED_VALUE"""),"Uncle Sams Cider (5/13/2022)")</f>
        <v>Uncle Sams Cider (5/13/2022)</v>
      </c>
      <c r="H9262" s="19"/>
    </row>
    <row r="9263">
      <c r="A9263" s="9"/>
      <c r="B9263" s="15"/>
      <c r="C9263" s="9">
        <f>IFERROR(__xludf.DUMMYFUNCTION("""COMPUTED_VALUE"""),44700.0138525)</f>
        <v>44700.01385</v>
      </c>
      <c r="D9263" s="15">
        <f>IFERROR(__xludf.DUMMYFUNCTION("""COMPUTED_VALUE"""),1.069)</f>
        <v>1.069</v>
      </c>
      <c r="E9263" s="16">
        <f>IFERROR(__xludf.DUMMYFUNCTION("""COMPUTED_VALUE"""),67.0)</f>
        <v>67</v>
      </c>
      <c r="F9263" s="19" t="str">
        <f>IFERROR(__xludf.DUMMYFUNCTION("""COMPUTED_VALUE"""),"BLACK")</f>
        <v>BLACK</v>
      </c>
      <c r="G9263" s="20" t="str">
        <f>IFERROR(__xludf.DUMMYFUNCTION("""COMPUTED_VALUE"""),"Uncle Sams Cider (5/13/2022)")</f>
        <v>Uncle Sams Cider (5/13/2022)</v>
      </c>
      <c r="H9263" s="19"/>
    </row>
    <row r="9264">
      <c r="A9264" s="9"/>
      <c r="B9264" s="15"/>
      <c r="C9264" s="9">
        <f>IFERROR(__xludf.DUMMYFUNCTION("""COMPUTED_VALUE"""),44700.0034199884)</f>
        <v>44700.00342</v>
      </c>
      <c r="D9264" s="15">
        <f>IFERROR(__xludf.DUMMYFUNCTION("""COMPUTED_VALUE"""),1.069)</f>
        <v>1.069</v>
      </c>
      <c r="E9264" s="16">
        <f>IFERROR(__xludf.DUMMYFUNCTION("""COMPUTED_VALUE"""),67.0)</f>
        <v>67</v>
      </c>
      <c r="F9264" s="19" t="str">
        <f>IFERROR(__xludf.DUMMYFUNCTION("""COMPUTED_VALUE"""),"BLACK")</f>
        <v>BLACK</v>
      </c>
      <c r="G9264" s="20" t="str">
        <f>IFERROR(__xludf.DUMMYFUNCTION("""COMPUTED_VALUE"""),"Uncle Sams Cider (5/13/2022)")</f>
        <v>Uncle Sams Cider (5/13/2022)</v>
      </c>
      <c r="H9264" s="19"/>
    </row>
    <row r="9265">
      <c r="A9265" s="9"/>
      <c r="B9265" s="15"/>
      <c r="C9265" s="9">
        <f>IFERROR(__xludf.DUMMYFUNCTION("""COMPUTED_VALUE"""),44699.9929987384)</f>
        <v>44699.993</v>
      </c>
      <c r="D9265" s="15">
        <f>IFERROR(__xludf.DUMMYFUNCTION("""COMPUTED_VALUE"""),1.069)</f>
        <v>1.069</v>
      </c>
      <c r="E9265" s="16">
        <f>IFERROR(__xludf.DUMMYFUNCTION("""COMPUTED_VALUE"""),67.0)</f>
        <v>67</v>
      </c>
      <c r="F9265" s="19" t="str">
        <f>IFERROR(__xludf.DUMMYFUNCTION("""COMPUTED_VALUE"""),"BLACK")</f>
        <v>BLACK</v>
      </c>
      <c r="G9265" s="20" t="str">
        <f>IFERROR(__xludf.DUMMYFUNCTION("""COMPUTED_VALUE"""),"Uncle Sams Cider (5/13/2022)")</f>
        <v>Uncle Sams Cider (5/13/2022)</v>
      </c>
      <c r="H9265" s="19"/>
    </row>
    <row r="9266">
      <c r="A9266" s="9"/>
      <c r="B9266" s="15"/>
      <c r="C9266" s="9">
        <f>IFERROR(__xludf.DUMMYFUNCTION("""COMPUTED_VALUE"""),44699.9825661921)</f>
        <v>44699.98257</v>
      </c>
      <c r="D9266" s="15">
        <f>IFERROR(__xludf.DUMMYFUNCTION("""COMPUTED_VALUE"""),1.069)</f>
        <v>1.069</v>
      </c>
      <c r="E9266" s="16">
        <f>IFERROR(__xludf.DUMMYFUNCTION("""COMPUTED_VALUE"""),67.0)</f>
        <v>67</v>
      </c>
      <c r="F9266" s="19" t="str">
        <f>IFERROR(__xludf.DUMMYFUNCTION("""COMPUTED_VALUE"""),"BLACK")</f>
        <v>BLACK</v>
      </c>
      <c r="G9266" s="20" t="str">
        <f>IFERROR(__xludf.DUMMYFUNCTION("""COMPUTED_VALUE"""),"Uncle Sams Cider (5/13/2022)")</f>
        <v>Uncle Sams Cider (5/13/2022)</v>
      </c>
      <c r="H9266" s="19"/>
    </row>
    <row r="9267">
      <c r="A9267" s="9"/>
      <c r="B9267" s="15"/>
      <c r="C9267" s="9">
        <f>IFERROR(__xludf.DUMMYFUNCTION("""COMPUTED_VALUE"""),44699.9721340856)</f>
        <v>44699.97213</v>
      </c>
      <c r="D9267" s="15">
        <f>IFERROR(__xludf.DUMMYFUNCTION("""COMPUTED_VALUE"""),1.069)</f>
        <v>1.069</v>
      </c>
      <c r="E9267" s="16">
        <f>IFERROR(__xludf.DUMMYFUNCTION("""COMPUTED_VALUE"""),67.0)</f>
        <v>67</v>
      </c>
      <c r="F9267" s="19" t="str">
        <f>IFERROR(__xludf.DUMMYFUNCTION("""COMPUTED_VALUE"""),"BLACK")</f>
        <v>BLACK</v>
      </c>
      <c r="G9267" s="20" t="str">
        <f>IFERROR(__xludf.DUMMYFUNCTION("""COMPUTED_VALUE"""),"Uncle Sams Cider (5/13/2022)")</f>
        <v>Uncle Sams Cider (5/13/2022)</v>
      </c>
      <c r="H9267" s="19"/>
    </row>
    <row r="9268">
      <c r="A9268" s="9"/>
      <c r="B9268" s="15"/>
      <c r="C9268" s="9">
        <f>IFERROR(__xludf.DUMMYFUNCTION("""COMPUTED_VALUE"""),44699.9617143402)</f>
        <v>44699.96171</v>
      </c>
      <c r="D9268" s="15">
        <f>IFERROR(__xludf.DUMMYFUNCTION("""COMPUTED_VALUE"""),1.069)</f>
        <v>1.069</v>
      </c>
      <c r="E9268" s="16">
        <f>IFERROR(__xludf.DUMMYFUNCTION("""COMPUTED_VALUE"""),67.0)</f>
        <v>67</v>
      </c>
      <c r="F9268" s="19" t="str">
        <f>IFERROR(__xludf.DUMMYFUNCTION("""COMPUTED_VALUE"""),"BLACK")</f>
        <v>BLACK</v>
      </c>
      <c r="G9268" s="20" t="str">
        <f>IFERROR(__xludf.DUMMYFUNCTION("""COMPUTED_VALUE"""),"Uncle Sams Cider (5/13/2022)")</f>
        <v>Uncle Sams Cider (5/13/2022)</v>
      </c>
      <c r="H9268" s="19"/>
    </row>
    <row r="9269">
      <c r="A9269" s="9"/>
      <c r="B9269" s="15"/>
      <c r="C9269" s="9">
        <f>IFERROR(__xludf.DUMMYFUNCTION("""COMPUTED_VALUE"""),44699.9512926504)</f>
        <v>44699.95129</v>
      </c>
      <c r="D9269" s="15">
        <f>IFERROR(__xludf.DUMMYFUNCTION("""COMPUTED_VALUE"""),1.069)</f>
        <v>1.069</v>
      </c>
      <c r="E9269" s="16">
        <f>IFERROR(__xludf.DUMMYFUNCTION("""COMPUTED_VALUE"""),66.0)</f>
        <v>66</v>
      </c>
      <c r="F9269" s="19" t="str">
        <f>IFERROR(__xludf.DUMMYFUNCTION("""COMPUTED_VALUE"""),"BLACK")</f>
        <v>BLACK</v>
      </c>
      <c r="G9269" s="20" t="str">
        <f>IFERROR(__xludf.DUMMYFUNCTION("""COMPUTED_VALUE"""),"Uncle Sams Cider (5/13/2022)")</f>
        <v>Uncle Sams Cider (5/13/2022)</v>
      </c>
      <c r="H9269" s="19"/>
    </row>
    <row r="9270">
      <c r="A9270" s="9"/>
      <c r="B9270" s="15"/>
      <c r="C9270" s="9">
        <f>IFERROR(__xludf.DUMMYFUNCTION("""COMPUTED_VALUE"""),44699.9408731597)</f>
        <v>44699.94087</v>
      </c>
      <c r="D9270" s="15">
        <f>IFERROR(__xludf.DUMMYFUNCTION("""COMPUTED_VALUE"""),1.069)</f>
        <v>1.069</v>
      </c>
      <c r="E9270" s="16">
        <f>IFERROR(__xludf.DUMMYFUNCTION("""COMPUTED_VALUE"""),66.0)</f>
        <v>66</v>
      </c>
      <c r="F9270" s="19" t="str">
        <f>IFERROR(__xludf.DUMMYFUNCTION("""COMPUTED_VALUE"""),"BLACK")</f>
        <v>BLACK</v>
      </c>
      <c r="G9270" s="20" t="str">
        <f>IFERROR(__xludf.DUMMYFUNCTION("""COMPUTED_VALUE"""),"Uncle Sams Cider (5/13/2022)")</f>
        <v>Uncle Sams Cider (5/13/2022)</v>
      </c>
      <c r="H9270" s="19"/>
    </row>
    <row r="9271">
      <c r="A9271" s="9"/>
      <c r="B9271" s="15"/>
      <c r="C9271" s="9">
        <f>IFERROR(__xludf.DUMMYFUNCTION("""COMPUTED_VALUE"""),44699.930451331)</f>
        <v>44699.93045</v>
      </c>
      <c r="D9271" s="15">
        <f>IFERROR(__xludf.DUMMYFUNCTION("""COMPUTED_VALUE"""),1.069)</f>
        <v>1.069</v>
      </c>
      <c r="E9271" s="16">
        <f>IFERROR(__xludf.DUMMYFUNCTION("""COMPUTED_VALUE"""),66.0)</f>
        <v>66</v>
      </c>
      <c r="F9271" s="19" t="str">
        <f>IFERROR(__xludf.DUMMYFUNCTION("""COMPUTED_VALUE"""),"BLACK")</f>
        <v>BLACK</v>
      </c>
      <c r="G9271" s="20" t="str">
        <f>IFERROR(__xludf.DUMMYFUNCTION("""COMPUTED_VALUE"""),"Uncle Sams Cider (5/13/2022)")</f>
        <v>Uncle Sams Cider (5/13/2022)</v>
      </c>
      <c r="H9271" s="19"/>
    </row>
    <row r="9272">
      <c r="A9272" s="9"/>
      <c r="B9272" s="15"/>
      <c r="C9272" s="9">
        <f>IFERROR(__xludf.DUMMYFUNCTION("""COMPUTED_VALUE"""),44699.9200297916)</f>
        <v>44699.92003</v>
      </c>
      <c r="D9272" s="15">
        <f>IFERROR(__xludf.DUMMYFUNCTION("""COMPUTED_VALUE"""),1.069)</f>
        <v>1.069</v>
      </c>
      <c r="E9272" s="16">
        <f>IFERROR(__xludf.DUMMYFUNCTION("""COMPUTED_VALUE"""),66.0)</f>
        <v>66</v>
      </c>
      <c r="F9272" s="19" t="str">
        <f>IFERROR(__xludf.DUMMYFUNCTION("""COMPUTED_VALUE"""),"BLACK")</f>
        <v>BLACK</v>
      </c>
      <c r="G9272" s="20" t="str">
        <f>IFERROR(__xludf.DUMMYFUNCTION("""COMPUTED_VALUE"""),"Uncle Sams Cider (5/13/2022)")</f>
        <v>Uncle Sams Cider (5/13/2022)</v>
      </c>
      <c r="H9272" s="19"/>
    </row>
    <row r="9273">
      <c r="A9273" s="9"/>
      <c r="B9273" s="15"/>
      <c r="C9273" s="9">
        <f>IFERROR(__xludf.DUMMYFUNCTION("""COMPUTED_VALUE"""),44699.909607037)</f>
        <v>44699.90961</v>
      </c>
      <c r="D9273" s="15">
        <f>IFERROR(__xludf.DUMMYFUNCTION("""COMPUTED_VALUE"""),1.069)</f>
        <v>1.069</v>
      </c>
      <c r="E9273" s="16">
        <f>IFERROR(__xludf.DUMMYFUNCTION("""COMPUTED_VALUE"""),66.0)</f>
        <v>66</v>
      </c>
      <c r="F9273" s="19" t="str">
        <f>IFERROR(__xludf.DUMMYFUNCTION("""COMPUTED_VALUE"""),"BLACK")</f>
        <v>BLACK</v>
      </c>
      <c r="G9273" s="20" t="str">
        <f>IFERROR(__xludf.DUMMYFUNCTION("""COMPUTED_VALUE"""),"Uncle Sams Cider (5/13/2022)")</f>
        <v>Uncle Sams Cider (5/13/2022)</v>
      </c>
      <c r="H9273" s="19"/>
    </row>
    <row r="9274">
      <c r="A9274" s="9"/>
      <c r="B9274" s="15"/>
      <c r="C9274" s="9">
        <f>IFERROR(__xludf.DUMMYFUNCTION("""COMPUTED_VALUE"""),44699.899185)</f>
        <v>44699.89919</v>
      </c>
      <c r="D9274" s="15">
        <f>IFERROR(__xludf.DUMMYFUNCTION("""COMPUTED_VALUE"""),1.07)</f>
        <v>1.07</v>
      </c>
      <c r="E9274" s="16">
        <f>IFERROR(__xludf.DUMMYFUNCTION("""COMPUTED_VALUE"""),66.0)</f>
        <v>66</v>
      </c>
      <c r="F9274" s="19" t="str">
        <f>IFERROR(__xludf.DUMMYFUNCTION("""COMPUTED_VALUE"""),"BLACK")</f>
        <v>BLACK</v>
      </c>
      <c r="G9274" s="20" t="str">
        <f>IFERROR(__xludf.DUMMYFUNCTION("""COMPUTED_VALUE"""),"Uncle Sams Cider (5/13/2022)")</f>
        <v>Uncle Sams Cider (5/13/2022)</v>
      </c>
      <c r="H9274" s="19"/>
    </row>
    <row r="9275">
      <c r="A9275" s="9"/>
      <c r="B9275" s="15"/>
      <c r="C9275" s="9">
        <f>IFERROR(__xludf.DUMMYFUNCTION("""COMPUTED_VALUE"""),44699.8887647338)</f>
        <v>44699.88876</v>
      </c>
      <c r="D9275" s="15">
        <f>IFERROR(__xludf.DUMMYFUNCTION("""COMPUTED_VALUE"""),1.07)</f>
        <v>1.07</v>
      </c>
      <c r="E9275" s="16">
        <f>IFERROR(__xludf.DUMMYFUNCTION("""COMPUTED_VALUE"""),66.0)</f>
        <v>66</v>
      </c>
      <c r="F9275" s="19" t="str">
        <f>IFERROR(__xludf.DUMMYFUNCTION("""COMPUTED_VALUE"""),"BLACK")</f>
        <v>BLACK</v>
      </c>
      <c r="G9275" s="20" t="str">
        <f>IFERROR(__xludf.DUMMYFUNCTION("""COMPUTED_VALUE"""),"Uncle Sams Cider (5/13/2022)")</f>
        <v>Uncle Sams Cider (5/13/2022)</v>
      </c>
      <c r="H9275" s="19"/>
    </row>
    <row r="9276">
      <c r="A9276" s="9"/>
      <c r="B9276" s="15"/>
      <c r="C9276" s="9">
        <f>IFERROR(__xludf.DUMMYFUNCTION("""COMPUTED_VALUE"""),44699.8783094676)</f>
        <v>44699.87831</v>
      </c>
      <c r="D9276" s="15">
        <f>IFERROR(__xludf.DUMMYFUNCTION("""COMPUTED_VALUE"""),1.07)</f>
        <v>1.07</v>
      </c>
      <c r="E9276" s="16">
        <f>IFERROR(__xludf.DUMMYFUNCTION("""COMPUTED_VALUE"""),66.0)</f>
        <v>66</v>
      </c>
      <c r="F9276" s="19" t="str">
        <f>IFERROR(__xludf.DUMMYFUNCTION("""COMPUTED_VALUE"""),"BLACK")</f>
        <v>BLACK</v>
      </c>
      <c r="G9276" s="20" t="str">
        <f>IFERROR(__xludf.DUMMYFUNCTION("""COMPUTED_VALUE"""),"Uncle Sams Cider (5/13/2022)")</f>
        <v>Uncle Sams Cider (5/13/2022)</v>
      </c>
      <c r="H9276" s="19"/>
    </row>
    <row r="9277">
      <c r="A9277" s="9"/>
      <c r="B9277" s="15"/>
      <c r="C9277" s="9">
        <f>IFERROR(__xludf.DUMMYFUNCTION("""COMPUTED_VALUE"""),44699.8678865509)</f>
        <v>44699.86789</v>
      </c>
      <c r="D9277" s="15">
        <f>IFERROR(__xludf.DUMMYFUNCTION("""COMPUTED_VALUE"""),1.07)</f>
        <v>1.07</v>
      </c>
      <c r="E9277" s="16">
        <f>IFERROR(__xludf.DUMMYFUNCTION("""COMPUTED_VALUE"""),66.0)</f>
        <v>66</v>
      </c>
      <c r="F9277" s="19" t="str">
        <f>IFERROR(__xludf.DUMMYFUNCTION("""COMPUTED_VALUE"""),"BLACK")</f>
        <v>BLACK</v>
      </c>
      <c r="G9277" s="20" t="str">
        <f>IFERROR(__xludf.DUMMYFUNCTION("""COMPUTED_VALUE"""),"Uncle Sams Cider (5/13/2022)")</f>
        <v>Uncle Sams Cider (5/13/2022)</v>
      </c>
      <c r="H9277" s="19"/>
    </row>
    <row r="9278">
      <c r="A9278" s="9"/>
      <c r="B9278" s="15"/>
      <c r="C9278" s="9">
        <f>IFERROR(__xludf.DUMMYFUNCTION("""COMPUTED_VALUE"""),44699.8574648264)</f>
        <v>44699.85746</v>
      </c>
      <c r="D9278" s="15">
        <f>IFERROR(__xludf.DUMMYFUNCTION("""COMPUTED_VALUE"""),1.07)</f>
        <v>1.07</v>
      </c>
      <c r="E9278" s="16">
        <f>IFERROR(__xludf.DUMMYFUNCTION("""COMPUTED_VALUE"""),66.0)</f>
        <v>66</v>
      </c>
      <c r="F9278" s="19" t="str">
        <f>IFERROR(__xludf.DUMMYFUNCTION("""COMPUTED_VALUE"""),"BLACK")</f>
        <v>BLACK</v>
      </c>
      <c r="G9278" s="20" t="str">
        <f>IFERROR(__xludf.DUMMYFUNCTION("""COMPUTED_VALUE"""),"Uncle Sams Cider (5/13/2022)")</f>
        <v>Uncle Sams Cider (5/13/2022)</v>
      </c>
      <c r="H9278" s="19"/>
    </row>
    <row r="9279">
      <c r="A9279" s="9"/>
      <c r="B9279" s="15"/>
      <c r="C9279" s="9">
        <f>IFERROR(__xludf.DUMMYFUNCTION("""COMPUTED_VALUE"""),44699.8470432291)</f>
        <v>44699.84704</v>
      </c>
      <c r="D9279" s="15">
        <f>IFERROR(__xludf.DUMMYFUNCTION("""COMPUTED_VALUE"""),1.07)</f>
        <v>1.07</v>
      </c>
      <c r="E9279" s="16">
        <f>IFERROR(__xludf.DUMMYFUNCTION("""COMPUTED_VALUE"""),66.0)</f>
        <v>66</v>
      </c>
      <c r="F9279" s="19" t="str">
        <f>IFERROR(__xludf.DUMMYFUNCTION("""COMPUTED_VALUE"""),"BLACK")</f>
        <v>BLACK</v>
      </c>
      <c r="G9279" s="20" t="str">
        <f>IFERROR(__xludf.DUMMYFUNCTION("""COMPUTED_VALUE"""),"Uncle Sams Cider (5/13/2022)")</f>
        <v>Uncle Sams Cider (5/13/2022)</v>
      </c>
      <c r="H9279" s="19"/>
    </row>
    <row r="9280">
      <c r="A9280" s="9"/>
      <c r="B9280" s="15"/>
      <c r="C9280" s="9">
        <f>IFERROR(__xludf.DUMMYFUNCTION("""COMPUTED_VALUE"""),44699.8366238194)</f>
        <v>44699.83662</v>
      </c>
      <c r="D9280" s="15">
        <f>IFERROR(__xludf.DUMMYFUNCTION("""COMPUTED_VALUE"""),1.07)</f>
        <v>1.07</v>
      </c>
      <c r="E9280" s="16">
        <f>IFERROR(__xludf.DUMMYFUNCTION("""COMPUTED_VALUE"""),66.0)</f>
        <v>66</v>
      </c>
      <c r="F9280" s="19" t="str">
        <f>IFERROR(__xludf.DUMMYFUNCTION("""COMPUTED_VALUE"""),"BLACK")</f>
        <v>BLACK</v>
      </c>
      <c r="G9280" s="20" t="str">
        <f>IFERROR(__xludf.DUMMYFUNCTION("""COMPUTED_VALUE"""),"Uncle Sams Cider (5/13/2022)")</f>
        <v>Uncle Sams Cider (5/13/2022)</v>
      </c>
      <c r="H9280" s="19"/>
    </row>
    <row r="9281">
      <c r="A9281" s="9"/>
      <c r="B9281" s="15"/>
      <c r="C9281" s="9">
        <f>IFERROR(__xludf.DUMMYFUNCTION("""COMPUTED_VALUE"""),44699.826190787)</f>
        <v>44699.82619</v>
      </c>
      <c r="D9281" s="15">
        <f>IFERROR(__xludf.DUMMYFUNCTION("""COMPUTED_VALUE"""),1.07)</f>
        <v>1.07</v>
      </c>
      <c r="E9281" s="16">
        <f>IFERROR(__xludf.DUMMYFUNCTION("""COMPUTED_VALUE"""),66.0)</f>
        <v>66</v>
      </c>
      <c r="F9281" s="19" t="str">
        <f>IFERROR(__xludf.DUMMYFUNCTION("""COMPUTED_VALUE"""),"BLACK")</f>
        <v>BLACK</v>
      </c>
      <c r="G9281" s="20" t="str">
        <f>IFERROR(__xludf.DUMMYFUNCTION("""COMPUTED_VALUE"""),"Uncle Sams Cider (5/13/2022)")</f>
        <v>Uncle Sams Cider (5/13/2022)</v>
      </c>
      <c r="H9281" s="19"/>
    </row>
    <row r="9282">
      <c r="A9282" s="9"/>
      <c r="B9282" s="15"/>
      <c r="C9282" s="9">
        <f>IFERROR(__xludf.DUMMYFUNCTION("""COMPUTED_VALUE"""),44699.8157566782)</f>
        <v>44699.81576</v>
      </c>
      <c r="D9282" s="15">
        <f>IFERROR(__xludf.DUMMYFUNCTION("""COMPUTED_VALUE"""),1.07)</f>
        <v>1.07</v>
      </c>
      <c r="E9282" s="16">
        <f>IFERROR(__xludf.DUMMYFUNCTION("""COMPUTED_VALUE"""),66.0)</f>
        <v>66</v>
      </c>
      <c r="F9282" s="19" t="str">
        <f>IFERROR(__xludf.DUMMYFUNCTION("""COMPUTED_VALUE"""),"BLACK")</f>
        <v>BLACK</v>
      </c>
      <c r="G9282" s="20" t="str">
        <f>IFERROR(__xludf.DUMMYFUNCTION("""COMPUTED_VALUE"""),"Uncle Sams Cider (5/13/2022)")</f>
        <v>Uncle Sams Cider (5/13/2022)</v>
      </c>
      <c r="H9282" s="19"/>
    </row>
    <row r="9283">
      <c r="A9283" s="9"/>
      <c r="B9283" s="15"/>
      <c r="C9283" s="9">
        <f>IFERROR(__xludf.DUMMYFUNCTION("""COMPUTED_VALUE"""),44699.8053355555)</f>
        <v>44699.80534</v>
      </c>
      <c r="D9283" s="15">
        <f>IFERROR(__xludf.DUMMYFUNCTION("""COMPUTED_VALUE"""),1.07)</f>
        <v>1.07</v>
      </c>
      <c r="E9283" s="16">
        <f>IFERROR(__xludf.DUMMYFUNCTION("""COMPUTED_VALUE"""),66.0)</f>
        <v>66</v>
      </c>
      <c r="F9283" s="19" t="str">
        <f>IFERROR(__xludf.DUMMYFUNCTION("""COMPUTED_VALUE"""),"BLACK")</f>
        <v>BLACK</v>
      </c>
      <c r="G9283" s="20" t="str">
        <f>IFERROR(__xludf.DUMMYFUNCTION("""COMPUTED_VALUE"""),"Uncle Sams Cider (5/13/2022)")</f>
        <v>Uncle Sams Cider (5/13/2022)</v>
      </c>
      <c r="H9283" s="19"/>
    </row>
    <row r="9284">
      <c r="A9284" s="9"/>
      <c r="B9284" s="15"/>
      <c r="C9284" s="9">
        <f>IFERROR(__xludf.DUMMYFUNCTION("""COMPUTED_VALUE"""),44699.7949036458)</f>
        <v>44699.7949</v>
      </c>
      <c r="D9284" s="15">
        <f>IFERROR(__xludf.DUMMYFUNCTION("""COMPUTED_VALUE"""),1.07)</f>
        <v>1.07</v>
      </c>
      <c r="E9284" s="16">
        <f>IFERROR(__xludf.DUMMYFUNCTION("""COMPUTED_VALUE"""),66.0)</f>
        <v>66</v>
      </c>
      <c r="F9284" s="19" t="str">
        <f>IFERROR(__xludf.DUMMYFUNCTION("""COMPUTED_VALUE"""),"BLACK")</f>
        <v>BLACK</v>
      </c>
      <c r="G9284" s="20" t="str">
        <f>IFERROR(__xludf.DUMMYFUNCTION("""COMPUTED_VALUE"""),"Uncle Sams Cider (5/13/2022)")</f>
        <v>Uncle Sams Cider (5/13/2022)</v>
      </c>
      <c r="H9284" s="19"/>
    </row>
    <row r="9285">
      <c r="A9285" s="9"/>
      <c r="B9285" s="15"/>
      <c r="C9285" s="9">
        <f>IFERROR(__xludf.DUMMYFUNCTION("""COMPUTED_VALUE"""),44699.7844606828)</f>
        <v>44699.78446</v>
      </c>
      <c r="D9285" s="15">
        <f>IFERROR(__xludf.DUMMYFUNCTION("""COMPUTED_VALUE"""),1.07)</f>
        <v>1.07</v>
      </c>
      <c r="E9285" s="16">
        <f>IFERROR(__xludf.DUMMYFUNCTION("""COMPUTED_VALUE"""),66.0)</f>
        <v>66</v>
      </c>
      <c r="F9285" s="19" t="str">
        <f>IFERROR(__xludf.DUMMYFUNCTION("""COMPUTED_VALUE"""),"BLACK")</f>
        <v>BLACK</v>
      </c>
      <c r="G9285" s="20" t="str">
        <f>IFERROR(__xludf.DUMMYFUNCTION("""COMPUTED_VALUE"""),"Uncle Sams Cider (5/13/2022)")</f>
        <v>Uncle Sams Cider (5/13/2022)</v>
      </c>
      <c r="H9285" s="19"/>
    </row>
    <row r="9286">
      <c r="A9286" s="9"/>
      <c r="B9286" s="15"/>
      <c r="C9286" s="9">
        <f>IFERROR(__xludf.DUMMYFUNCTION("""COMPUTED_VALUE"""),44699.7740374537)</f>
        <v>44699.77404</v>
      </c>
      <c r="D9286" s="15">
        <f>IFERROR(__xludf.DUMMYFUNCTION("""COMPUTED_VALUE"""),1.071)</f>
        <v>1.071</v>
      </c>
      <c r="E9286" s="16">
        <f>IFERROR(__xludf.DUMMYFUNCTION("""COMPUTED_VALUE"""),66.0)</f>
        <v>66</v>
      </c>
      <c r="F9286" s="19" t="str">
        <f>IFERROR(__xludf.DUMMYFUNCTION("""COMPUTED_VALUE"""),"BLACK")</f>
        <v>BLACK</v>
      </c>
      <c r="G9286" s="20" t="str">
        <f>IFERROR(__xludf.DUMMYFUNCTION("""COMPUTED_VALUE"""),"Uncle Sams Cider (5/13/2022)")</f>
        <v>Uncle Sams Cider (5/13/2022)</v>
      </c>
      <c r="H9286" s="19"/>
    </row>
    <row r="9287">
      <c r="A9287" s="9"/>
      <c r="B9287" s="15"/>
      <c r="C9287" s="9">
        <f>IFERROR(__xludf.DUMMYFUNCTION("""COMPUTED_VALUE"""),44699.7636174537)</f>
        <v>44699.76362</v>
      </c>
      <c r="D9287" s="15">
        <f>IFERROR(__xludf.DUMMYFUNCTION("""COMPUTED_VALUE"""),1.071)</f>
        <v>1.071</v>
      </c>
      <c r="E9287" s="16">
        <f>IFERROR(__xludf.DUMMYFUNCTION("""COMPUTED_VALUE"""),66.0)</f>
        <v>66</v>
      </c>
      <c r="F9287" s="19" t="str">
        <f>IFERROR(__xludf.DUMMYFUNCTION("""COMPUTED_VALUE"""),"BLACK")</f>
        <v>BLACK</v>
      </c>
      <c r="G9287" s="20" t="str">
        <f>IFERROR(__xludf.DUMMYFUNCTION("""COMPUTED_VALUE"""),"Uncle Sams Cider (5/13/2022)")</f>
        <v>Uncle Sams Cider (5/13/2022)</v>
      </c>
      <c r="H9287" s="19"/>
    </row>
    <row r="9288">
      <c r="A9288" s="9"/>
      <c r="B9288" s="15"/>
      <c r="C9288" s="9">
        <f>IFERROR(__xludf.DUMMYFUNCTION("""COMPUTED_VALUE"""),44699.7531971412)</f>
        <v>44699.7532</v>
      </c>
      <c r="D9288" s="15">
        <f>IFERROR(__xludf.DUMMYFUNCTION("""COMPUTED_VALUE"""),1.071)</f>
        <v>1.071</v>
      </c>
      <c r="E9288" s="16">
        <f>IFERROR(__xludf.DUMMYFUNCTION("""COMPUTED_VALUE"""),66.0)</f>
        <v>66</v>
      </c>
      <c r="F9288" s="19" t="str">
        <f>IFERROR(__xludf.DUMMYFUNCTION("""COMPUTED_VALUE"""),"BLACK")</f>
        <v>BLACK</v>
      </c>
      <c r="G9288" s="20" t="str">
        <f>IFERROR(__xludf.DUMMYFUNCTION("""COMPUTED_VALUE"""),"Uncle Sams Cider (5/13/2022)")</f>
        <v>Uncle Sams Cider (5/13/2022)</v>
      </c>
      <c r="H9288" s="19"/>
    </row>
    <row r="9289">
      <c r="A9289" s="9"/>
      <c r="B9289" s="15"/>
      <c r="C9289" s="9">
        <f>IFERROR(__xludf.DUMMYFUNCTION("""COMPUTED_VALUE"""),44699.7427757638)</f>
        <v>44699.74278</v>
      </c>
      <c r="D9289" s="15">
        <f>IFERROR(__xludf.DUMMYFUNCTION("""COMPUTED_VALUE"""),1.071)</f>
        <v>1.071</v>
      </c>
      <c r="E9289" s="16">
        <f>IFERROR(__xludf.DUMMYFUNCTION("""COMPUTED_VALUE"""),66.0)</f>
        <v>66</v>
      </c>
      <c r="F9289" s="19" t="str">
        <f>IFERROR(__xludf.DUMMYFUNCTION("""COMPUTED_VALUE"""),"BLACK")</f>
        <v>BLACK</v>
      </c>
      <c r="G9289" s="20" t="str">
        <f>IFERROR(__xludf.DUMMYFUNCTION("""COMPUTED_VALUE"""),"Uncle Sams Cider (5/13/2022)")</f>
        <v>Uncle Sams Cider (5/13/2022)</v>
      </c>
      <c r="H9289" s="19"/>
    </row>
    <row r="9290">
      <c r="A9290" s="9"/>
      <c r="B9290" s="15"/>
      <c r="C9290" s="9">
        <f>IFERROR(__xludf.DUMMYFUNCTION("""COMPUTED_VALUE"""),44699.7323439236)</f>
        <v>44699.73234</v>
      </c>
      <c r="D9290" s="15">
        <f>IFERROR(__xludf.DUMMYFUNCTION("""COMPUTED_VALUE"""),1.071)</f>
        <v>1.071</v>
      </c>
      <c r="E9290" s="16">
        <f>IFERROR(__xludf.DUMMYFUNCTION("""COMPUTED_VALUE"""),66.0)</f>
        <v>66</v>
      </c>
      <c r="F9290" s="19" t="str">
        <f>IFERROR(__xludf.DUMMYFUNCTION("""COMPUTED_VALUE"""),"BLACK")</f>
        <v>BLACK</v>
      </c>
      <c r="G9290" s="20" t="str">
        <f>IFERROR(__xludf.DUMMYFUNCTION("""COMPUTED_VALUE"""),"Uncle Sams Cider (5/13/2022)")</f>
        <v>Uncle Sams Cider (5/13/2022)</v>
      </c>
      <c r="H9290" s="19"/>
    </row>
    <row r="9291">
      <c r="A9291" s="9"/>
      <c r="B9291" s="15"/>
      <c r="C9291" s="9">
        <f>IFERROR(__xludf.DUMMYFUNCTION("""COMPUTED_VALUE"""),44699.7219225115)</f>
        <v>44699.72192</v>
      </c>
      <c r="D9291" s="15">
        <f>IFERROR(__xludf.DUMMYFUNCTION("""COMPUTED_VALUE"""),1.071)</f>
        <v>1.071</v>
      </c>
      <c r="E9291" s="16">
        <f>IFERROR(__xludf.DUMMYFUNCTION("""COMPUTED_VALUE"""),65.0)</f>
        <v>65</v>
      </c>
      <c r="F9291" s="19" t="str">
        <f>IFERROR(__xludf.DUMMYFUNCTION("""COMPUTED_VALUE"""),"BLACK")</f>
        <v>BLACK</v>
      </c>
      <c r="G9291" s="20" t="str">
        <f>IFERROR(__xludf.DUMMYFUNCTION("""COMPUTED_VALUE"""),"Uncle Sams Cider (5/13/2022)")</f>
        <v>Uncle Sams Cider (5/13/2022)</v>
      </c>
      <c r="H9291" s="19"/>
    </row>
    <row r="9292">
      <c r="A9292" s="9"/>
      <c r="B9292" s="15"/>
      <c r="C9292" s="9">
        <f>IFERROR(__xludf.DUMMYFUNCTION("""COMPUTED_VALUE"""),44699.7114878125)</f>
        <v>44699.71149</v>
      </c>
      <c r="D9292" s="15">
        <f>IFERROR(__xludf.DUMMYFUNCTION("""COMPUTED_VALUE"""),1.071)</f>
        <v>1.071</v>
      </c>
      <c r="E9292" s="16">
        <f>IFERROR(__xludf.DUMMYFUNCTION("""COMPUTED_VALUE"""),65.0)</f>
        <v>65</v>
      </c>
      <c r="F9292" s="19" t="str">
        <f>IFERROR(__xludf.DUMMYFUNCTION("""COMPUTED_VALUE"""),"BLACK")</f>
        <v>BLACK</v>
      </c>
      <c r="G9292" s="20" t="str">
        <f>IFERROR(__xludf.DUMMYFUNCTION("""COMPUTED_VALUE"""),"Uncle Sams Cider (5/13/2022)")</f>
        <v>Uncle Sams Cider (5/13/2022)</v>
      </c>
      <c r="H9292" s="19"/>
    </row>
    <row r="9293">
      <c r="A9293" s="9"/>
      <c r="B9293" s="15"/>
      <c r="C9293" s="9">
        <f>IFERROR(__xludf.DUMMYFUNCTION("""COMPUTED_VALUE"""),44699.7010671412)</f>
        <v>44699.70107</v>
      </c>
      <c r="D9293" s="15">
        <f>IFERROR(__xludf.DUMMYFUNCTION("""COMPUTED_VALUE"""),1.071)</f>
        <v>1.071</v>
      </c>
      <c r="E9293" s="16">
        <f>IFERROR(__xludf.DUMMYFUNCTION("""COMPUTED_VALUE"""),65.0)</f>
        <v>65</v>
      </c>
      <c r="F9293" s="19" t="str">
        <f>IFERROR(__xludf.DUMMYFUNCTION("""COMPUTED_VALUE"""),"BLACK")</f>
        <v>BLACK</v>
      </c>
      <c r="G9293" s="20" t="str">
        <f>IFERROR(__xludf.DUMMYFUNCTION("""COMPUTED_VALUE"""),"Uncle Sams Cider (5/13/2022)")</f>
        <v>Uncle Sams Cider (5/13/2022)</v>
      </c>
      <c r="H9293" s="19"/>
    </row>
    <row r="9294">
      <c r="A9294" s="9"/>
      <c r="B9294" s="15"/>
      <c r="C9294" s="9">
        <f>IFERROR(__xludf.DUMMYFUNCTION("""COMPUTED_VALUE"""),44699.6906474189)</f>
        <v>44699.69065</v>
      </c>
      <c r="D9294" s="15">
        <f>IFERROR(__xludf.DUMMYFUNCTION("""COMPUTED_VALUE"""),1.071)</f>
        <v>1.071</v>
      </c>
      <c r="E9294" s="16">
        <f>IFERROR(__xludf.DUMMYFUNCTION("""COMPUTED_VALUE"""),65.0)</f>
        <v>65</v>
      </c>
      <c r="F9294" s="19" t="str">
        <f>IFERROR(__xludf.DUMMYFUNCTION("""COMPUTED_VALUE"""),"BLACK")</f>
        <v>BLACK</v>
      </c>
      <c r="G9294" s="20" t="str">
        <f>IFERROR(__xludf.DUMMYFUNCTION("""COMPUTED_VALUE"""),"Uncle Sams Cider (5/13/2022)")</f>
        <v>Uncle Sams Cider (5/13/2022)</v>
      </c>
      <c r="H9294" s="19"/>
    </row>
    <row r="9295">
      <c r="A9295" s="9"/>
      <c r="B9295" s="15"/>
      <c r="C9295" s="9">
        <f>IFERROR(__xludf.DUMMYFUNCTION("""COMPUTED_VALUE"""),44699.6802260648)</f>
        <v>44699.68023</v>
      </c>
      <c r="D9295" s="15">
        <f>IFERROR(__xludf.DUMMYFUNCTION("""COMPUTED_VALUE"""),1.071)</f>
        <v>1.071</v>
      </c>
      <c r="E9295" s="16">
        <f>IFERROR(__xludf.DUMMYFUNCTION("""COMPUTED_VALUE"""),65.0)</f>
        <v>65</v>
      </c>
      <c r="F9295" s="19" t="str">
        <f>IFERROR(__xludf.DUMMYFUNCTION("""COMPUTED_VALUE"""),"BLACK")</f>
        <v>BLACK</v>
      </c>
      <c r="G9295" s="20" t="str">
        <f>IFERROR(__xludf.DUMMYFUNCTION("""COMPUTED_VALUE"""),"Uncle Sams Cider (5/13/2022)")</f>
        <v>Uncle Sams Cider (5/13/2022)</v>
      </c>
      <c r="H9295" s="19"/>
    </row>
    <row r="9296">
      <c r="A9296" s="9"/>
      <c r="B9296" s="15"/>
      <c r="C9296" s="9">
        <f>IFERROR(__xludf.DUMMYFUNCTION("""COMPUTED_VALUE"""),44699.6698047801)</f>
        <v>44699.6698</v>
      </c>
      <c r="D9296" s="15">
        <f>IFERROR(__xludf.DUMMYFUNCTION("""COMPUTED_VALUE"""),1.071)</f>
        <v>1.071</v>
      </c>
      <c r="E9296" s="16">
        <f>IFERROR(__xludf.DUMMYFUNCTION("""COMPUTED_VALUE"""),65.0)</f>
        <v>65</v>
      </c>
      <c r="F9296" s="19" t="str">
        <f>IFERROR(__xludf.DUMMYFUNCTION("""COMPUTED_VALUE"""),"BLACK")</f>
        <v>BLACK</v>
      </c>
      <c r="G9296" s="20" t="str">
        <f>IFERROR(__xludf.DUMMYFUNCTION("""COMPUTED_VALUE"""),"Uncle Sams Cider (5/13/2022)")</f>
        <v>Uncle Sams Cider (5/13/2022)</v>
      </c>
      <c r="H9296" s="19"/>
    </row>
    <row r="9297">
      <c r="A9297" s="9"/>
      <c r="B9297" s="15"/>
      <c r="C9297" s="9">
        <f>IFERROR(__xludf.DUMMYFUNCTION("""COMPUTED_VALUE"""),44699.6593727199)</f>
        <v>44699.65937</v>
      </c>
      <c r="D9297" s="15">
        <f>IFERROR(__xludf.DUMMYFUNCTION("""COMPUTED_VALUE"""),1.072)</f>
        <v>1.072</v>
      </c>
      <c r="E9297" s="16">
        <f>IFERROR(__xludf.DUMMYFUNCTION("""COMPUTED_VALUE"""),65.0)</f>
        <v>65</v>
      </c>
      <c r="F9297" s="19" t="str">
        <f>IFERROR(__xludf.DUMMYFUNCTION("""COMPUTED_VALUE"""),"BLACK")</f>
        <v>BLACK</v>
      </c>
      <c r="G9297" s="20" t="str">
        <f>IFERROR(__xludf.DUMMYFUNCTION("""COMPUTED_VALUE"""),"Uncle Sams Cider (5/13/2022)")</f>
        <v>Uncle Sams Cider (5/13/2022)</v>
      </c>
      <c r="H9297" s="19"/>
    </row>
    <row r="9298">
      <c r="A9298" s="9"/>
      <c r="B9298" s="15"/>
      <c r="C9298" s="9">
        <f>IFERROR(__xludf.DUMMYFUNCTION("""COMPUTED_VALUE"""),44699.6489410764)</f>
        <v>44699.64894</v>
      </c>
      <c r="D9298" s="15">
        <f>IFERROR(__xludf.DUMMYFUNCTION("""COMPUTED_VALUE"""),1.071)</f>
        <v>1.071</v>
      </c>
      <c r="E9298" s="16">
        <f>IFERROR(__xludf.DUMMYFUNCTION("""COMPUTED_VALUE"""),65.0)</f>
        <v>65</v>
      </c>
      <c r="F9298" s="19" t="str">
        <f>IFERROR(__xludf.DUMMYFUNCTION("""COMPUTED_VALUE"""),"BLACK")</f>
        <v>BLACK</v>
      </c>
      <c r="G9298" s="20" t="str">
        <f>IFERROR(__xludf.DUMMYFUNCTION("""COMPUTED_VALUE"""),"Uncle Sams Cider (5/13/2022)")</f>
        <v>Uncle Sams Cider (5/13/2022)</v>
      </c>
      <c r="H9298" s="19"/>
    </row>
    <row r="9299">
      <c r="A9299" s="9"/>
      <c r="B9299" s="15"/>
      <c r="C9299" s="9">
        <f>IFERROR(__xludf.DUMMYFUNCTION("""COMPUTED_VALUE"""),44699.6385207754)</f>
        <v>44699.63852</v>
      </c>
      <c r="D9299" s="15">
        <f>IFERROR(__xludf.DUMMYFUNCTION("""COMPUTED_VALUE"""),1.072)</f>
        <v>1.072</v>
      </c>
      <c r="E9299" s="16">
        <f>IFERROR(__xludf.DUMMYFUNCTION("""COMPUTED_VALUE"""),65.0)</f>
        <v>65</v>
      </c>
      <c r="F9299" s="19" t="str">
        <f>IFERROR(__xludf.DUMMYFUNCTION("""COMPUTED_VALUE"""),"BLACK")</f>
        <v>BLACK</v>
      </c>
      <c r="G9299" s="20" t="str">
        <f>IFERROR(__xludf.DUMMYFUNCTION("""COMPUTED_VALUE"""),"Uncle Sams Cider (5/13/2022)")</f>
        <v>Uncle Sams Cider (5/13/2022)</v>
      </c>
      <c r="H9299" s="19"/>
    </row>
    <row r="9300">
      <c r="A9300" s="9"/>
      <c r="B9300" s="15"/>
      <c r="C9300" s="9">
        <f>IFERROR(__xludf.DUMMYFUNCTION("""COMPUTED_VALUE"""),44699.6280989236)</f>
        <v>44699.6281</v>
      </c>
      <c r="D9300" s="15">
        <f>IFERROR(__xludf.DUMMYFUNCTION("""COMPUTED_VALUE"""),1.072)</f>
        <v>1.072</v>
      </c>
      <c r="E9300" s="16">
        <f>IFERROR(__xludf.DUMMYFUNCTION("""COMPUTED_VALUE"""),65.0)</f>
        <v>65</v>
      </c>
      <c r="F9300" s="19" t="str">
        <f>IFERROR(__xludf.DUMMYFUNCTION("""COMPUTED_VALUE"""),"BLACK")</f>
        <v>BLACK</v>
      </c>
      <c r="G9300" s="20" t="str">
        <f>IFERROR(__xludf.DUMMYFUNCTION("""COMPUTED_VALUE"""),"Uncle Sams Cider (5/13/2022)")</f>
        <v>Uncle Sams Cider (5/13/2022)</v>
      </c>
      <c r="H9300" s="19"/>
    </row>
    <row r="9301">
      <c r="A9301" s="9"/>
      <c r="B9301" s="15"/>
      <c r="C9301" s="9">
        <f>IFERROR(__xludf.DUMMYFUNCTION("""COMPUTED_VALUE"""),44699.6176796643)</f>
        <v>44699.61768</v>
      </c>
      <c r="D9301" s="15">
        <f>IFERROR(__xludf.DUMMYFUNCTION("""COMPUTED_VALUE"""),1.072)</f>
        <v>1.072</v>
      </c>
      <c r="E9301" s="16">
        <f>IFERROR(__xludf.DUMMYFUNCTION("""COMPUTED_VALUE"""),66.0)</f>
        <v>66</v>
      </c>
      <c r="F9301" s="19" t="str">
        <f>IFERROR(__xludf.DUMMYFUNCTION("""COMPUTED_VALUE"""),"BLACK")</f>
        <v>BLACK</v>
      </c>
      <c r="G9301" s="20" t="str">
        <f>IFERROR(__xludf.DUMMYFUNCTION("""COMPUTED_VALUE"""),"Uncle Sams Cider (5/13/2022)")</f>
        <v>Uncle Sams Cider (5/13/2022)</v>
      </c>
      <c r="H9301" s="19"/>
    </row>
    <row r="9302">
      <c r="A9302" s="9"/>
      <c r="B9302" s="15"/>
      <c r="C9302" s="9">
        <f>IFERROR(__xludf.DUMMYFUNCTION("""COMPUTED_VALUE"""),44699.6072593981)</f>
        <v>44699.60726</v>
      </c>
      <c r="D9302" s="15">
        <f>IFERROR(__xludf.DUMMYFUNCTION("""COMPUTED_VALUE"""),1.072)</f>
        <v>1.072</v>
      </c>
      <c r="E9302" s="16">
        <f>IFERROR(__xludf.DUMMYFUNCTION("""COMPUTED_VALUE"""),67.0)</f>
        <v>67</v>
      </c>
      <c r="F9302" s="19" t="str">
        <f>IFERROR(__xludf.DUMMYFUNCTION("""COMPUTED_VALUE"""),"BLACK")</f>
        <v>BLACK</v>
      </c>
      <c r="G9302" s="20" t="str">
        <f>IFERROR(__xludf.DUMMYFUNCTION("""COMPUTED_VALUE"""),"Uncle Sams Cider (5/13/2022)")</f>
        <v>Uncle Sams Cider (5/13/2022)</v>
      </c>
      <c r="H9302" s="19"/>
    </row>
    <row r="9303">
      <c r="A9303" s="9"/>
      <c r="B9303" s="15"/>
      <c r="C9303" s="9">
        <f>IFERROR(__xludf.DUMMYFUNCTION("""COMPUTED_VALUE"""),44699.5968161226)</f>
        <v>44699.59682</v>
      </c>
      <c r="D9303" s="15">
        <f>IFERROR(__xludf.DUMMYFUNCTION("""COMPUTED_VALUE"""),1.072)</f>
        <v>1.072</v>
      </c>
      <c r="E9303" s="16">
        <f>IFERROR(__xludf.DUMMYFUNCTION("""COMPUTED_VALUE"""),69.0)</f>
        <v>69</v>
      </c>
      <c r="F9303" s="19" t="str">
        <f>IFERROR(__xludf.DUMMYFUNCTION("""COMPUTED_VALUE"""),"BLACK")</f>
        <v>BLACK</v>
      </c>
      <c r="G9303" s="20" t="str">
        <f>IFERROR(__xludf.DUMMYFUNCTION("""COMPUTED_VALUE"""),"Uncle Sams Cider (5/13/2022)")</f>
        <v>Uncle Sams Cider (5/13/2022)</v>
      </c>
      <c r="H9303" s="19"/>
    </row>
    <row r="9304">
      <c r="A9304" s="9"/>
      <c r="B9304" s="15"/>
      <c r="C9304" s="9">
        <f>IFERROR(__xludf.DUMMYFUNCTION("""COMPUTED_VALUE"""),44699.5863946296)</f>
        <v>44699.58639</v>
      </c>
      <c r="D9304" s="15">
        <f>IFERROR(__xludf.DUMMYFUNCTION("""COMPUTED_VALUE"""),1.072)</f>
        <v>1.072</v>
      </c>
      <c r="E9304" s="16">
        <f>IFERROR(__xludf.DUMMYFUNCTION("""COMPUTED_VALUE"""),70.0)</f>
        <v>70</v>
      </c>
      <c r="F9304" s="19" t="str">
        <f>IFERROR(__xludf.DUMMYFUNCTION("""COMPUTED_VALUE"""),"BLACK")</f>
        <v>BLACK</v>
      </c>
      <c r="G9304" s="20" t="str">
        <f>IFERROR(__xludf.DUMMYFUNCTION("""COMPUTED_VALUE"""),"Uncle Sams Cider (5/13/2022)")</f>
        <v>Uncle Sams Cider (5/13/2022)</v>
      </c>
      <c r="H9304" s="19"/>
    </row>
    <row r="9305">
      <c r="A9305" s="9"/>
      <c r="B9305" s="15"/>
      <c r="C9305" s="9">
        <f>IFERROR(__xludf.DUMMYFUNCTION("""COMPUTED_VALUE"""),44699.5759750231)</f>
        <v>44699.57598</v>
      </c>
      <c r="D9305" s="15">
        <f>IFERROR(__xludf.DUMMYFUNCTION("""COMPUTED_VALUE"""),1.072)</f>
        <v>1.072</v>
      </c>
      <c r="E9305" s="16">
        <f>IFERROR(__xludf.DUMMYFUNCTION("""COMPUTED_VALUE"""),70.0)</f>
        <v>70</v>
      </c>
      <c r="F9305" s="19" t="str">
        <f>IFERROR(__xludf.DUMMYFUNCTION("""COMPUTED_VALUE"""),"BLACK")</f>
        <v>BLACK</v>
      </c>
      <c r="G9305" s="20" t="str">
        <f>IFERROR(__xludf.DUMMYFUNCTION("""COMPUTED_VALUE"""),"Uncle Sams Cider (5/13/2022)")</f>
        <v>Uncle Sams Cider (5/13/2022)</v>
      </c>
      <c r="H9305" s="19"/>
    </row>
    <row r="9306">
      <c r="A9306" s="9"/>
      <c r="B9306" s="15"/>
      <c r="C9306" s="9">
        <f>IFERROR(__xludf.DUMMYFUNCTION("""COMPUTED_VALUE"""),44699.5655544791)</f>
        <v>44699.56555</v>
      </c>
      <c r="D9306" s="15">
        <f>IFERROR(__xludf.DUMMYFUNCTION("""COMPUTED_VALUE"""),1.072)</f>
        <v>1.072</v>
      </c>
      <c r="E9306" s="16">
        <f>IFERROR(__xludf.DUMMYFUNCTION("""COMPUTED_VALUE"""),70.0)</f>
        <v>70</v>
      </c>
      <c r="F9306" s="19" t="str">
        <f>IFERROR(__xludf.DUMMYFUNCTION("""COMPUTED_VALUE"""),"BLACK")</f>
        <v>BLACK</v>
      </c>
      <c r="G9306" s="20" t="str">
        <f>IFERROR(__xludf.DUMMYFUNCTION("""COMPUTED_VALUE"""),"Uncle Sams Cider (5/13/2022)")</f>
        <v>Uncle Sams Cider (5/13/2022)</v>
      </c>
      <c r="H9306" s="19"/>
    </row>
    <row r="9307">
      <c r="A9307" s="9"/>
      <c r="B9307" s="15"/>
      <c r="C9307" s="9">
        <f>IFERROR(__xludf.DUMMYFUNCTION("""COMPUTED_VALUE"""),44699.5551213078)</f>
        <v>44699.55512</v>
      </c>
      <c r="D9307" s="15">
        <f>IFERROR(__xludf.DUMMYFUNCTION("""COMPUTED_VALUE"""),1.072)</f>
        <v>1.072</v>
      </c>
      <c r="E9307" s="16">
        <f>IFERROR(__xludf.DUMMYFUNCTION("""COMPUTED_VALUE"""),70.0)</f>
        <v>70</v>
      </c>
      <c r="F9307" s="19" t="str">
        <f>IFERROR(__xludf.DUMMYFUNCTION("""COMPUTED_VALUE"""),"BLACK")</f>
        <v>BLACK</v>
      </c>
      <c r="G9307" s="20" t="str">
        <f>IFERROR(__xludf.DUMMYFUNCTION("""COMPUTED_VALUE"""),"Uncle Sams Cider (5/13/2022)")</f>
        <v>Uncle Sams Cider (5/13/2022)</v>
      </c>
      <c r="H9307" s="19"/>
    </row>
    <row r="9308">
      <c r="A9308" s="9"/>
      <c r="B9308" s="15"/>
      <c r="C9308" s="9">
        <f>IFERROR(__xludf.DUMMYFUNCTION("""COMPUTED_VALUE"""),44699.5447007407)</f>
        <v>44699.5447</v>
      </c>
      <c r="D9308" s="15">
        <f>IFERROR(__xludf.DUMMYFUNCTION("""COMPUTED_VALUE"""),1.073)</f>
        <v>1.073</v>
      </c>
      <c r="E9308" s="16">
        <f>IFERROR(__xludf.DUMMYFUNCTION("""COMPUTED_VALUE"""),69.0)</f>
        <v>69</v>
      </c>
      <c r="F9308" s="19" t="str">
        <f>IFERROR(__xludf.DUMMYFUNCTION("""COMPUTED_VALUE"""),"BLACK")</f>
        <v>BLACK</v>
      </c>
      <c r="G9308" s="20" t="str">
        <f>IFERROR(__xludf.DUMMYFUNCTION("""COMPUTED_VALUE"""),"Uncle Sams Cider (5/13/2022)")</f>
        <v>Uncle Sams Cider (5/13/2022)</v>
      </c>
      <c r="H9308" s="19"/>
    </row>
    <row r="9309">
      <c r="A9309" s="9"/>
      <c r="B9309" s="15"/>
      <c r="C9309" s="9">
        <f>IFERROR(__xludf.DUMMYFUNCTION("""COMPUTED_VALUE"""),44699.5342684838)</f>
        <v>44699.53427</v>
      </c>
      <c r="D9309" s="15">
        <f>IFERROR(__xludf.DUMMYFUNCTION("""COMPUTED_VALUE"""),1.073)</f>
        <v>1.073</v>
      </c>
      <c r="E9309" s="16">
        <f>IFERROR(__xludf.DUMMYFUNCTION("""COMPUTED_VALUE"""),69.0)</f>
        <v>69</v>
      </c>
      <c r="F9309" s="19" t="str">
        <f>IFERROR(__xludf.DUMMYFUNCTION("""COMPUTED_VALUE"""),"BLACK")</f>
        <v>BLACK</v>
      </c>
      <c r="G9309" s="20" t="str">
        <f>IFERROR(__xludf.DUMMYFUNCTION("""COMPUTED_VALUE"""),"Uncle Sams Cider (5/13/2022)")</f>
        <v>Uncle Sams Cider (5/13/2022)</v>
      </c>
      <c r="H9309" s="19"/>
    </row>
    <row r="9310">
      <c r="A9310" s="9"/>
      <c r="B9310" s="15"/>
      <c r="C9310" s="9">
        <f>IFERROR(__xludf.DUMMYFUNCTION("""COMPUTED_VALUE"""),44699.5238471064)</f>
        <v>44699.52385</v>
      </c>
      <c r="D9310" s="15">
        <f>IFERROR(__xludf.DUMMYFUNCTION("""COMPUTED_VALUE"""),1.073)</f>
        <v>1.073</v>
      </c>
      <c r="E9310" s="16">
        <f>IFERROR(__xludf.DUMMYFUNCTION("""COMPUTED_VALUE"""),70.0)</f>
        <v>70</v>
      </c>
      <c r="F9310" s="19" t="str">
        <f>IFERROR(__xludf.DUMMYFUNCTION("""COMPUTED_VALUE"""),"BLACK")</f>
        <v>BLACK</v>
      </c>
      <c r="G9310" s="20" t="str">
        <f>IFERROR(__xludf.DUMMYFUNCTION("""COMPUTED_VALUE"""),"Uncle Sams Cider (5/13/2022)")</f>
        <v>Uncle Sams Cider (5/13/2022)</v>
      </c>
      <c r="H9310" s="19"/>
    </row>
    <row r="9311">
      <c r="A9311" s="9"/>
      <c r="B9311" s="15"/>
      <c r="C9311" s="9">
        <f>IFERROR(__xludf.DUMMYFUNCTION("""COMPUTED_VALUE"""),44699.5134262268)</f>
        <v>44699.51343</v>
      </c>
      <c r="D9311" s="15">
        <f>IFERROR(__xludf.DUMMYFUNCTION("""COMPUTED_VALUE"""),1.073)</f>
        <v>1.073</v>
      </c>
      <c r="E9311" s="16">
        <f>IFERROR(__xludf.DUMMYFUNCTION("""COMPUTED_VALUE"""),69.0)</f>
        <v>69</v>
      </c>
      <c r="F9311" s="19" t="str">
        <f>IFERROR(__xludf.DUMMYFUNCTION("""COMPUTED_VALUE"""),"BLACK")</f>
        <v>BLACK</v>
      </c>
      <c r="G9311" s="20" t="str">
        <f>IFERROR(__xludf.DUMMYFUNCTION("""COMPUTED_VALUE"""),"Uncle Sams Cider (5/13/2022)")</f>
        <v>Uncle Sams Cider (5/13/2022)</v>
      </c>
      <c r="H9311" s="19"/>
    </row>
    <row r="9312">
      <c r="A9312" s="9"/>
      <c r="B9312" s="15"/>
      <c r="C9312" s="9">
        <f>IFERROR(__xludf.DUMMYFUNCTION("""COMPUTED_VALUE"""),44699.5029942939)</f>
        <v>44699.50299</v>
      </c>
      <c r="D9312" s="15">
        <f>IFERROR(__xludf.DUMMYFUNCTION("""COMPUTED_VALUE"""),1.073)</f>
        <v>1.073</v>
      </c>
      <c r="E9312" s="16">
        <f>IFERROR(__xludf.DUMMYFUNCTION("""COMPUTED_VALUE"""),69.0)</f>
        <v>69</v>
      </c>
      <c r="F9312" s="19" t="str">
        <f>IFERROR(__xludf.DUMMYFUNCTION("""COMPUTED_VALUE"""),"BLACK")</f>
        <v>BLACK</v>
      </c>
      <c r="G9312" s="20" t="str">
        <f>IFERROR(__xludf.DUMMYFUNCTION("""COMPUTED_VALUE"""),"Uncle Sams Cider (5/13/2022)")</f>
        <v>Uncle Sams Cider (5/13/2022)</v>
      </c>
      <c r="H9312" s="19"/>
    </row>
    <row r="9313">
      <c r="A9313" s="9"/>
      <c r="B9313" s="15"/>
      <c r="C9313" s="9">
        <f>IFERROR(__xludf.DUMMYFUNCTION("""COMPUTED_VALUE"""),44699.4925612152)</f>
        <v>44699.49256</v>
      </c>
      <c r="D9313" s="15">
        <f>IFERROR(__xludf.DUMMYFUNCTION("""COMPUTED_VALUE"""),1.073)</f>
        <v>1.073</v>
      </c>
      <c r="E9313" s="16">
        <f>IFERROR(__xludf.DUMMYFUNCTION("""COMPUTED_VALUE"""),69.0)</f>
        <v>69</v>
      </c>
      <c r="F9313" s="19" t="str">
        <f>IFERROR(__xludf.DUMMYFUNCTION("""COMPUTED_VALUE"""),"BLACK")</f>
        <v>BLACK</v>
      </c>
      <c r="G9313" s="20" t="str">
        <f>IFERROR(__xludf.DUMMYFUNCTION("""COMPUTED_VALUE"""),"Uncle Sams Cider (5/13/2022)")</f>
        <v>Uncle Sams Cider (5/13/2022)</v>
      </c>
      <c r="H9313" s="19"/>
    </row>
    <row r="9314">
      <c r="A9314" s="9"/>
      <c r="B9314" s="15"/>
      <c r="C9314" s="9">
        <f>IFERROR(__xludf.DUMMYFUNCTION("""COMPUTED_VALUE"""),44699.4821403125)</f>
        <v>44699.48214</v>
      </c>
      <c r="D9314" s="15">
        <f>IFERROR(__xludf.DUMMYFUNCTION("""COMPUTED_VALUE"""),1.073)</f>
        <v>1.073</v>
      </c>
      <c r="E9314" s="16">
        <f>IFERROR(__xludf.DUMMYFUNCTION("""COMPUTED_VALUE"""),69.0)</f>
        <v>69</v>
      </c>
      <c r="F9314" s="19" t="str">
        <f>IFERROR(__xludf.DUMMYFUNCTION("""COMPUTED_VALUE"""),"BLACK")</f>
        <v>BLACK</v>
      </c>
      <c r="G9314" s="20" t="str">
        <f>IFERROR(__xludf.DUMMYFUNCTION("""COMPUTED_VALUE"""),"Uncle Sams Cider (5/13/2022)")</f>
        <v>Uncle Sams Cider (5/13/2022)</v>
      </c>
      <c r="H9314" s="19"/>
    </row>
    <row r="9315">
      <c r="A9315" s="9"/>
      <c r="B9315" s="15"/>
      <c r="C9315" s="9">
        <f>IFERROR(__xludf.DUMMYFUNCTION("""COMPUTED_VALUE"""),44699.4716953703)</f>
        <v>44699.4717</v>
      </c>
      <c r="D9315" s="15">
        <f>IFERROR(__xludf.DUMMYFUNCTION("""COMPUTED_VALUE"""),1.073)</f>
        <v>1.073</v>
      </c>
      <c r="E9315" s="16">
        <f>IFERROR(__xludf.DUMMYFUNCTION("""COMPUTED_VALUE"""),69.0)</f>
        <v>69</v>
      </c>
      <c r="F9315" s="19" t="str">
        <f>IFERROR(__xludf.DUMMYFUNCTION("""COMPUTED_VALUE"""),"BLACK")</f>
        <v>BLACK</v>
      </c>
      <c r="G9315" s="20" t="str">
        <f>IFERROR(__xludf.DUMMYFUNCTION("""COMPUTED_VALUE"""),"Uncle Sams Cider (5/13/2022)")</f>
        <v>Uncle Sams Cider (5/13/2022)</v>
      </c>
      <c r="H9315" s="19"/>
    </row>
    <row r="9316">
      <c r="A9316" s="9"/>
      <c r="B9316" s="15"/>
      <c r="C9316" s="9">
        <f>IFERROR(__xludf.DUMMYFUNCTION("""COMPUTED_VALUE"""),44699.4612741898)</f>
        <v>44699.46127</v>
      </c>
      <c r="D9316" s="15">
        <f>IFERROR(__xludf.DUMMYFUNCTION("""COMPUTED_VALUE"""),1.073)</f>
        <v>1.073</v>
      </c>
      <c r="E9316" s="16">
        <f>IFERROR(__xludf.DUMMYFUNCTION("""COMPUTED_VALUE"""),69.0)</f>
        <v>69</v>
      </c>
      <c r="F9316" s="19" t="str">
        <f>IFERROR(__xludf.DUMMYFUNCTION("""COMPUTED_VALUE"""),"BLACK")</f>
        <v>BLACK</v>
      </c>
      <c r="G9316" s="20" t="str">
        <f>IFERROR(__xludf.DUMMYFUNCTION("""COMPUTED_VALUE"""),"Uncle Sams Cider (5/13/2022)")</f>
        <v>Uncle Sams Cider (5/13/2022)</v>
      </c>
      <c r="H9316" s="19"/>
    </row>
    <row r="9317">
      <c r="A9317" s="9"/>
      <c r="B9317" s="15"/>
      <c r="C9317" s="9">
        <f>IFERROR(__xludf.DUMMYFUNCTION("""COMPUTED_VALUE"""),44699.4508417592)</f>
        <v>44699.45084</v>
      </c>
      <c r="D9317" s="15">
        <f>IFERROR(__xludf.DUMMYFUNCTION("""COMPUTED_VALUE"""),1.073)</f>
        <v>1.073</v>
      </c>
      <c r="E9317" s="16">
        <f>IFERROR(__xludf.DUMMYFUNCTION("""COMPUTED_VALUE"""),69.0)</f>
        <v>69</v>
      </c>
      <c r="F9317" s="19" t="str">
        <f>IFERROR(__xludf.DUMMYFUNCTION("""COMPUTED_VALUE"""),"BLACK")</f>
        <v>BLACK</v>
      </c>
      <c r="G9317" s="20" t="str">
        <f>IFERROR(__xludf.DUMMYFUNCTION("""COMPUTED_VALUE"""),"Uncle Sams Cider (5/13/2022)")</f>
        <v>Uncle Sams Cider (5/13/2022)</v>
      </c>
      <c r="H9317" s="19"/>
    </row>
    <row r="9318">
      <c r="A9318" s="9"/>
      <c r="B9318" s="15"/>
      <c r="C9318" s="9">
        <f>IFERROR(__xludf.DUMMYFUNCTION("""COMPUTED_VALUE"""),44699.4404090856)</f>
        <v>44699.44041</v>
      </c>
      <c r="D9318" s="15">
        <f>IFERROR(__xludf.DUMMYFUNCTION("""COMPUTED_VALUE"""),1.074)</f>
        <v>1.074</v>
      </c>
      <c r="E9318" s="16">
        <f>IFERROR(__xludf.DUMMYFUNCTION("""COMPUTED_VALUE"""),69.0)</f>
        <v>69</v>
      </c>
      <c r="F9318" s="19" t="str">
        <f>IFERROR(__xludf.DUMMYFUNCTION("""COMPUTED_VALUE"""),"BLACK")</f>
        <v>BLACK</v>
      </c>
      <c r="G9318" s="20" t="str">
        <f>IFERROR(__xludf.DUMMYFUNCTION("""COMPUTED_VALUE"""),"Uncle Sams Cider (5/13/2022)")</f>
        <v>Uncle Sams Cider (5/13/2022)</v>
      </c>
      <c r="H9318" s="19"/>
    </row>
    <row r="9319">
      <c r="A9319" s="9"/>
      <c r="B9319" s="15"/>
      <c r="C9319" s="9">
        <f>IFERROR(__xludf.DUMMYFUNCTION("""COMPUTED_VALUE"""),44699.4299663541)</f>
        <v>44699.42997</v>
      </c>
      <c r="D9319" s="15">
        <f>IFERROR(__xludf.DUMMYFUNCTION("""COMPUTED_VALUE"""),1.074)</f>
        <v>1.074</v>
      </c>
      <c r="E9319" s="16">
        <f>IFERROR(__xludf.DUMMYFUNCTION("""COMPUTED_VALUE"""),69.0)</f>
        <v>69</v>
      </c>
      <c r="F9319" s="19" t="str">
        <f>IFERROR(__xludf.DUMMYFUNCTION("""COMPUTED_VALUE"""),"BLACK")</f>
        <v>BLACK</v>
      </c>
      <c r="G9319" s="20" t="str">
        <f>IFERROR(__xludf.DUMMYFUNCTION("""COMPUTED_VALUE"""),"Uncle Sams Cider (5/13/2022)")</f>
        <v>Uncle Sams Cider (5/13/2022)</v>
      </c>
      <c r="H9319" s="19"/>
    </row>
    <row r="9320">
      <c r="A9320" s="9"/>
      <c r="B9320" s="15"/>
      <c r="C9320" s="9">
        <f>IFERROR(__xludf.DUMMYFUNCTION("""COMPUTED_VALUE"""),44699.4195434143)</f>
        <v>44699.41954</v>
      </c>
      <c r="D9320" s="15">
        <f>IFERROR(__xludf.DUMMYFUNCTION("""COMPUTED_VALUE"""),1.074)</f>
        <v>1.074</v>
      </c>
      <c r="E9320" s="16">
        <f>IFERROR(__xludf.DUMMYFUNCTION("""COMPUTED_VALUE"""),69.0)</f>
        <v>69</v>
      </c>
      <c r="F9320" s="19" t="str">
        <f>IFERROR(__xludf.DUMMYFUNCTION("""COMPUTED_VALUE"""),"BLACK")</f>
        <v>BLACK</v>
      </c>
      <c r="G9320" s="20" t="str">
        <f>IFERROR(__xludf.DUMMYFUNCTION("""COMPUTED_VALUE"""),"Uncle Sams Cider (5/13/2022)")</f>
        <v>Uncle Sams Cider (5/13/2022)</v>
      </c>
      <c r="H9320" s="19"/>
    </row>
    <row r="9321">
      <c r="A9321" s="9"/>
      <c r="B9321" s="15"/>
      <c r="C9321" s="9">
        <f>IFERROR(__xludf.DUMMYFUNCTION("""COMPUTED_VALUE"""),44699.4091218865)</f>
        <v>44699.40912</v>
      </c>
      <c r="D9321" s="15">
        <f>IFERROR(__xludf.DUMMYFUNCTION("""COMPUTED_VALUE"""),1.074)</f>
        <v>1.074</v>
      </c>
      <c r="E9321" s="16">
        <f>IFERROR(__xludf.DUMMYFUNCTION("""COMPUTED_VALUE"""),69.0)</f>
        <v>69</v>
      </c>
      <c r="F9321" s="19" t="str">
        <f>IFERROR(__xludf.DUMMYFUNCTION("""COMPUTED_VALUE"""),"BLACK")</f>
        <v>BLACK</v>
      </c>
      <c r="G9321" s="20" t="str">
        <f>IFERROR(__xludf.DUMMYFUNCTION("""COMPUTED_VALUE"""),"Uncle Sams Cider (5/13/2022)")</f>
        <v>Uncle Sams Cider (5/13/2022)</v>
      </c>
      <c r="H9321" s="19"/>
    </row>
    <row r="9322">
      <c r="A9322" s="9"/>
      <c r="B9322" s="15"/>
      <c r="C9322" s="9">
        <f>IFERROR(__xludf.DUMMYFUNCTION("""COMPUTED_VALUE"""),44699.3986783101)</f>
        <v>44699.39868</v>
      </c>
      <c r="D9322" s="15">
        <f>IFERROR(__xludf.DUMMYFUNCTION("""COMPUTED_VALUE"""),1.074)</f>
        <v>1.074</v>
      </c>
      <c r="E9322" s="16">
        <f>IFERROR(__xludf.DUMMYFUNCTION("""COMPUTED_VALUE"""),69.0)</f>
        <v>69</v>
      </c>
      <c r="F9322" s="19" t="str">
        <f>IFERROR(__xludf.DUMMYFUNCTION("""COMPUTED_VALUE"""),"BLACK")</f>
        <v>BLACK</v>
      </c>
      <c r="G9322" s="20" t="str">
        <f>IFERROR(__xludf.DUMMYFUNCTION("""COMPUTED_VALUE"""),"Uncle Sams Cider (5/13/2022)")</f>
        <v>Uncle Sams Cider (5/13/2022)</v>
      </c>
      <c r="H9322" s="19"/>
    </row>
    <row r="9323">
      <c r="A9323" s="9"/>
      <c r="B9323" s="15"/>
      <c r="C9323" s="9">
        <f>IFERROR(__xludf.DUMMYFUNCTION("""COMPUTED_VALUE"""),44699.3882576736)</f>
        <v>44699.38826</v>
      </c>
      <c r="D9323" s="15">
        <f>IFERROR(__xludf.DUMMYFUNCTION("""COMPUTED_VALUE"""),1.074)</f>
        <v>1.074</v>
      </c>
      <c r="E9323" s="16">
        <f>IFERROR(__xludf.DUMMYFUNCTION("""COMPUTED_VALUE"""),69.0)</f>
        <v>69</v>
      </c>
      <c r="F9323" s="19" t="str">
        <f>IFERROR(__xludf.DUMMYFUNCTION("""COMPUTED_VALUE"""),"BLACK")</f>
        <v>BLACK</v>
      </c>
      <c r="G9323" s="20" t="str">
        <f>IFERROR(__xludf.DUMMYFUNCTION("""COMPUTED_VALUE"""),"Uncle Sams Cider (5/13/2022)")</f>
        <v>Uncle Sams Cider (5/13/2022)</v>
      </c>
      <c r="H9323" s="19"/>
    </row>
    <row r="9324">
      <c r="A9324" s="9"/>
      <c r="B9324" s="15"/>
      <c r="C9324" s="9">
        <f>IFERROR(__xludf.DUMMYFUNCTION("""COMPUTED_VALUE"""),44699.3778241898)</f>
        <v>44699.37782</v>
      </c>
      <c r="D9324" s="15">
        <f>IFERROR(__xludf.DUMMYFUNCTION("""COMPUTED_VALUE"""),1.074)</f>
        <v>1.074</v>
      </c>
      <c r="E9324" s="16">
        <f>IFERROR(__xludf.DUMMYFUNCTION("""COMPUTED_VALUE"""),69.0)</f>
        <v>69</v>
      </c>
      <c r="F9324" s="19" t="str">
        <f>IFERROR(__xludf.DUMMYFUNCTION("""COMPUTED_VALUE"""),"BLACK")</f>
        <v>BLACK</v>
      </c>
      <c r="G9324" s="20" t="str">
        <f>IFERROR(__xludf.DUMMYFUNCTION("""COMPUTED_VALUE"""),"Uncle Sams Cider (5/13/2022)")</f>
        <v>Uncle Sams Cider (5/13/2022)</v>
      </c>
      <c r="H9324" s="19"/>
    </row>
    <row r="9325">
      <c r="A9325" s="9"/>
      <c r="B9325" s="15"/>
      <c r="C9325" s="9">
        <f>IFERROR(__xludf.DUMMYFUNCTION("""COMPUTED_VALUE"""),44699.3674034027)</f>
        <v>44699.3674</v>
      </c>
      <c r="D9325" s="15">
        <f>IFERROR(__xludf.DUMMYFUNCTION("""COMPUTED_VALUE"""),1.074)</f>
        <v>1.074</v>
      </c>
      <c r="E9325" s="16">
        <f>IFERROR(__xludf.DUMMYFUNCTION("""COMPUTED_VALUE"""),69.0)</f>
        <v>69</v>
      </c>
      <c r="F9325" s="19" t="str">
        <f>IFERROR(__xludf.DUMMYFUNCTION("""COMPUTED_VALUE"""),"BLACK")</f>
        <v>BLACK</v>
      </c>
      <c r="G9325" s="20" t="str">
        <f>IFERROR(__xludf.DUMMYFUNCTION("""COMPUTED_VALUE"""),"Uncle Sams Cider (5/13/2022)")</f>
        <v>Uncle Sams Cider (5/13/2022)</v>
      </c>
      <c r="H9325" s="19"/>
    </row>
    <row r="9326">
      <c r="A9326" s="9"/>
      <c r="B9326" s="15"/>
      <c r="C9326" s="9">
        <f>IFERROR(__xludf.DUMMYFUNCTION("""COMPUTED_VALUE"""),44699.3569823958)</f>
        <v>44699.35698</v>
      </c>
      <c r="D9326" s="15">
        <f>IFERROR(__xludf.DUMMYFUNCTION("""COMPUTED_VALUE"""),1.075)</f>
        <v>1.075</v>
      </c>
      <c r="E9326" s="16">
        <f>IFERROR(__xludf.DUMMYFUNCTION("""COMPUTED_VALUE"""),69.0)</f>
        <v>69</v>
      </c>
      <c r="F9326" s="19" t="str">
        <f>IFERROR(__xludf.DUMMYFUNCTION("""COMPUTED_VALUE"""),"BLACK")</f>
        <v>BLACK</v>
      </c>
      <c r="G9326" s="20" t="str">
        <f>IFERROR(__xludf.DUMMYFUNCTION("""COMPUTED_VALUE"""),"Uncle Sams Cider (5/13/2022)")</f>
        <v>Uncle Sams Cider (5/13/2022)</v>
      </c>
      <c r="H9326" s="19"/>
    </row>
    <row r="9327">
      <c r="A9327" s="9"/>
      <c r="B9327" s="15"/>
      <c r="C9327" s="9">
        <f>IFERROR(__xludf.DUMMYFUNCTION("""COMPUTED_VALUE"""),44699.3465370254)</f>
        <v>44699.34654</v>
      </c>
      <c r="D9327" s="15">
        <f>IFERROR(__xludf.DUMMYFUNCTION("""COMPUTED_VALUE"""),1.074)</f>
        <v>1.074</v>
      </c>
      <c r="E9327" s="16">
        <f>IFERROR(__xludf.DUMMYFUNCTION("""COMPUTED_VALUE"""),69.0)</f>
        <v>69</v>
      </c>
      <c r="F9327" s="19" t="str">
        <f>IFERROR(__xludf.DUMMYFUNCTION("""COMPUTED_VALUE"""),"BLACK")</f>
        <v>BLACK</v>
      </c>
      <c r="G9327" s="20" t="str">
        <f>IFERROR(__xludf.DUMMYFUNCTION("""COMPUTED_VALUE"""),"Uncle Sams Cider (5/13/2022)")</f>
        <v>Uncle Sams Cider (5/13/2022)</v>
      </c>
      <c r="H9327" s="19"/>
    </row>
    <row r="9328">
      <c r="A9328" s="9"/>
      <c r="B9328" s="15"/>
      <c r="C9328" s="9">
        <f>IFERROR(__xludf.DUMMYFUNCTION("""COMPUTED_VALUE"""),44699.3361165856)</f>
        <v>44699.33612</v>
      </c>
      <c r="D9328" s="15">
        <f>IFERROR(__xludf.DUMMYFUNCTION("""COMPUTED_VALUE"""),1.075)</f>
        <v>1.075</v>
      </c>
      <c r="E9328" s="16">
        <f>IFERROR(__xludf.DUMMYFUNCTION("""COMPUTED_VALUE"""),69.0)</f>
        <v>69</v>
      </c>
      <c r="F9328" s="19" t="str">
        <f>IFERROR(__xludf.DUMMYFUNCTION("""COMPUTED_VALUE"""),"BLACK")</f>
        <v>BLACK</v>
      </c>
      <c r="G9328" s="20" t="str">
        <f>IFERROR(__xludf.DUMMYFUNCTION("""COMPUTED_VALUE"""),"Uncle Sams Cider (5/13/2022)")</f>
        <v>Uncle Sams Cider (5/13/2022)</v>
      </c>
      <c r="H9328" s="19"/>
    </row>
    <row r="9329">
      <c r="A9329" s="9"/>
      <c r="B9329" s="15"/>
      <c r="C9329" s="9">
        <f>IFERROR(__xludf.DUMMYFUNCTION("""COMPUTED_VALUE"""),44699.3256951736)</f>
        <v>44699.3257</v>
      </c>
      <c r="D9329" s="15">
        <f>IFERROR(__xludf.DUMMYFUNCTION("""COMPUTED_VALUE"""),1.075)</f>
        <v>1.075</v>
      </c>
      <c r="E9329" s="16">
        <f>IFERROR(__xludf.DUMMYFUNCTION("""COMPUTED_VALUE"""),69.0)</f>
        <v>69</v>
      </c>
      <c r="F9329" s="19" t="str">
        <f>IFERROR(__xludf.DUMMYFUNCTION("""COMPUTED_VALUE"""),"BLACK")</f>
        <v>BLACK</v>
      </c>
      <c r="G9329" s="20" t="str">
        <f>IFERROR(__xludf.DUMMYFUNCTION("""COMPUTED_VALUE"""),"Uncle Sams Cider (5/13/2022)")</f>
        <v>Uncle Sams Cider (5/13/2022)</v>
      </c>
      <c r="H9329" s="19"/>
    </row>
    <row r="9330">
      <c r="A9330" s="9"/>
      <c r="B9330" s="15"/>
      <c r="C9330" s="9">
        <f>IFERROR(__xludf.DUMMYFUNCTION("""COMPUTED_VALUE"""),44699.3152738773)</f>
        <v>44699.31527</v>
      </c>
      <c r="D9330" s="15">
        <f>IFERROR(__xludf.DUMMYFUNCTION("""COMPUTED_VALUE"""),1.075)</f>
        <v>1.075</v>
      </c>
      <c r="E9330" s="16">
        <f>IFERROR(__xludf.DUMMYFUNCTION("""COMPUTED_VALUE"""),69.0)</f>
        <v>69</v>
      </c>
      <c r="F9330" s="19" t="str">
        <f>IFERROR(__xludf.DUMMYFUNCTION("""COMPUTED_VALUE"""),"BLACK")</f>
        <v>BLACK</v>
      </c>
      <c r="G9330" s="20" t="str">
        <f>IFERROR(__xludf.DUMMYFUNCTION("""COMPUTED_VALUE"""),"Uncle Sams Cider (5/13/2022)")</f>
        <v>Uncle Sams Cider (5/13/2022)</v>
      </c>
      <c r="H9330" s="19"/>
    </row>
    <row r="9331">
      <c r="A9331" s="9"/>
      <c r="B9331" s="15"/>
      <c r="C9331" s="9">
        <f>IFERROR(__xludf.DUMMYFUNCTION("""COMPUTED_VALUE"""),44699.3048412731)</f>
        <v>44699.30484</v>
      </c>
      <c r="D9331" s="15">
        <f>IFERROR(__xludf.DUMMYFUNCTION("""COMPUTED_VALUE"""),1.075)</f>
        <v>1.075</v>
      </c>
      <c r="E9331" s="16">
        <f>IFERROR(__xludf.DUMMYFUNCTION("""COMPUTED_VALUE"""),69.0)</f>
        <v>69</v>
      </c>
      <c r="F9331" s="19" t="str">
        <f>IFERROR(__xludf.DUMMYFUNCTION("""COMPUTED_VALUE"""),"BLACK")</f>
        <v>BLACK</v>
      </c>
      <c r="G9331" s="20" t="str">
        <f>IFERROR(__xludf.DUMMYFUNCTION("""COMPUTED_VALUE"""),"Uncle Sams Cider (5/13/2022)")</f>
        <v>Uncle Sams Cider (5/13/2022)</v>
      </c>
      <c r="H9331" s="19"/>
    </row>
    <row r="9332">
      <c r="A9332" s="9"/>
      <c r="B9332" s="15"/>
      <c r="C9332" s="9">
        <f>IFERROR(__xludf.DUMMYFUNCTION("""COMPUTED_VALUE"""),44699.2944202083)</f>
        <v>44699.29442</v>
      </c>
      <c r="D9332" s="15">
        <f>IFERROR(__xludf.DUMMYFUNCTION("""COMPUTED_VALUE"""),1.075)</f>
        <v>1.075</v>
      </c>
      <c r="E9332" s="16">
        <f>IFERROR(__xludf.DUMMYFUNCTION("""COMPUTED_VALUE"""),69.0)</f>
        <v>69</v>
      </c>
      <c r="F9332" s="19" t="str">
        <f>IFERROR(__xludf.DUMMYFUNCTION("""COMPUTED_VALUE"""),"BLACK")</f>
        <v>BLACK</v>
      </c>
      <c r="G9332" s="20" t="str">
        <f>IFERROR(__xludf.DUMMYFUNCTION("""COMPUTED_VALUE"""),"Uncle Sams Cider (5/13/2022)")</f>
        <v>Uncle Sams Cider (5/13/2022)</v>
      </c>
      <c r="H9332" s="19"/>
    </row>
    <row r="9333">
      <c r="A9333" s="9"/>
      <c r="B9333" s="15"/>
      <c r="C9333" s="9">
        <f>IFERROR(__xludf.DUMMYFUNCTION("""COMPUTED_VALUE"""),44699.2839981944)</f>
        <v>44699.284</v>
      </c>
      <c r="D9333" s="15">
        <f>IFERROR(__xludf.DUMMYFUNCTION("""COMPUTED_VALUE"""),1.075)</f>
        <v>1.075</v>
      </c>
      <c r="E9333" s="16">
        <f>IFERROR(__xludf.DUMMYFUNCTION("""COMPUTED_VALUE"""),69.0)</f>
        <v>69</v>
      </c>
      <c r="F9333" s="19" t="str">
        <f>IFERROR(__xludf.DUMMYFUNCTION("""COMPUTED_VALUE"""),"BLACK")</f>
        <v>BLACK</v>
      </c>
      <c r="G9333" s="20" t="str">
        <f>IFERROR(__xludf.DUMMYFUNCTION("""COMPUTED_VALUE"""),"Uncle Sams Cider (5/13/2022)")</f>
        <v>Uncle Sams Cider (5/13/2022)</v>
      </c>
      <c r="H9333" s="19"/>
    </row>
    <row r="9334">
      <c r="A9334" s="9"/>
      <c r="B9334" s="15"/>
      <c r="C9334" s="9">
        <f>IFERROR(__xludf.DUMMYFUNCTION("""COMPUTED_VALUE"""),44699.2735773263)</f>
        <v>44699.27358</v>
      </c>
      <c r="D9334" s="15">
        <f>IFERROR(__xludf.DUMMYFUNCTION("""COMPUTED_VALUE"""),1.075)</f>
        <v>1.075</v>
      </c>
      <c r="E9334" s="16">
        <f>IFERROR(__xludf.DUMMYFUNCTION("""COMPUTED_VALUE"""),69.0)</f>
        <v>69</v>
      </c>
      <c r="F9334" s="19" t="str">
        <f>IFERROR(__xludf.DUMMYFUNCTION("""COMPUTED_VALUE"""),"BLACK")</f>
        <v>BLACK</v>
      </c>
      <c r="G9334" s="20" t="str">
        <f>IFERROR(__xludf.DUMMYFUNCTION("""COMPUTED_VALUE"""),"Uncle Sams Cider (5/13/2022)")</f>
        <v>Uncle Sams Cider (5/13/2022)</v>
      </c>
      <c r="H9334" s="19"/>
    </row>
    <row r="9335">
      <c r="A9335" s="9"/>
      <c r="B9335" s="15"/>
      <c r="C9335" s="9">
        <f>IFERROR(__xludf.DUMMYFUNCTION("""COMPUTED_VALUE"""),44699.2631573842)</f>
        <v>44699.26316</v>
      </c>
      <c r="D9335" s="15">
        <f>IFERROR(__xludf.DUMMYFUNCTION("""COMPUTED_VALUE"""),1.075)</f>
        <v>1.075</v>
      </c>
      <c r="E9335" s="16">
        <f>IFERROR(__xludf.DUMMYFUNCTION("""COMPUTED_VALUE"""),68.0)</f>
        <v>68</v>
      </c>
      <c r="F9335" s="19" t="str">
        <f>IFERROR(__xludf.DUMMYFUNCTION("""COMPUTED_VALUE"""),"BLACK")</f>
        <v>BLACK</v>
      </c>
      <c r="G9335" s="20" t="str">
        <f>IFERROR(__xludf.DUMMYFUNCTION("""COMPUTED_VALUE"""),"Uncle Sams Cider (5/13/2022)")</f>
        <v>Uncle Sams Cider (5/13/2022)</v>
      </c>
      <c r="H9335" s="19"/>
    </row>
    <row r="9336">
      <c r="A9336" s="9"/>
      <c r="B9336" s="15"/>
      <c r="C9336" s="9">
        <f>IFERROR(__xludf.DUMMYFUNCTION("""COMPUTED_VALUE"""),44699.2527371412)</f>
        <v>44699.25274</v>
      </c>
      <c r="D9336" s="15">
        <f>IFERROR(__xludf.DUMMYFUNCTION("""COMPUTED_VALUE"""),1.076)</f>
        <v>1.076</v>
      </c>
      <c r="E9336" s="16">
        <f>IFERROR(__xludf.DUMMYFUNCTION("""COMPUTED_VALUE"""),68.0)</f>
        <v>68</v>
      </c>
      <c r="F9336" s="19" t="str">
        <f>IFERROR(__xludf.DUMMYFUNCTION("""COMPUTED_VALUE"""),"BLACK")</f>
        <v>BLACK</v>
      </c>
      <c r="G9336" s="20" t="str">
        <f>IFERROR(__xludf.DUMMYFUNCTION("""COMPUTED_VALUE"""),"Uncle Sams Cider (5/13/2022)")</f>
        <v>Uncle Sams Cider (5/13/2022)</v>
      </c>
      <c r="H9336" s="19"/>
    </row>
    <row r="9337">
      <c r="A9337" s="9"/>
      <c r="B9337" s="15"/>
      <c r="C9337" s="9">
        <f>IFERROR(__xludf.DUMMYFUNCTION("""COMPUTED_VALUE"""),44699.2423032754)</f>
        <v>44699.2423</v>
      </c>
      <c r="D9337" s="15">
        <f>IFERROR(__xludf.DUMMYFUNCTION("""COMPUTED_VALUE"""),1.075)</f>
        <v>1.075</v>
      </c>
      <c r="E9337" s="16">
        <f>IFERROR(__xludf.DUMMYFUNCTION("""COMPUTED_VALUE"""),68.0)</f>
        <v>68</v>
      </c>
      <c r="F9337" s="19" t="str">
        <f>IFERROR(__xludf.DUMMYFUNCTION("""COMPUTED_VALUE"""),"BLACK")</f>
        <v>BLACK</v>
      </c>
      <c r="G9337" s="20" t="str">
        <f>IFERROR(__xludf.DUMMYFUNCTION("""COMPUTED_VALUE"""),"Uncle Sams Cider (5/13/2022)")</f>
        <v>Uncle Sams Cider (5/13/2022)</v>
      </c>
      <c r="H9337" s="19"/>
    </row>
    <row r="9338">
      <c r="A9338" s="9"/>
      <c r="B9338" s="15"/>
      <c r="C9338" s="9">
        <f>IFERROR(__xludf.DUMMYFUNCTION("""COMPUTED_VALUE"""),44699.2318707986)</f>
        <v>44699.23187</v>
      </c>
      <c r="D9338" s="15">
        <f>IFERROR(__xludf.DUMMYFUNCTION("""COMPUTED_VALUE"""),1.076)</f>
        <v>1.076</v>
      </c>
      <c r="E9338" s="16">
        <f>IFERROR(__xludf.DUMMYFUNCTION("""COMPUTED_VALUE"""),68.0)</f>
        <v>68</v>
      </c>
      <c r="F9338" s="19" t="str">
        <f>IFERROR(__xludf.DUMMYFUNCTION("""COMPUTED_VALUE"""),"BLACK")</f>
        <v>BLACK</v>
      </c>
      <c r="G9338" s="20" t="str">
        <f>IFERROR(__xludf.DUMMYFUNCTION("""COMPUTED_VALUE"""),"Uncle Sams Cider (5/13/2022)")</f>
        <v>Uncle Sams Cider (5/13/2022)</v>
      </c>
      <c r="H9338" s="19"/>
    </row>
    <row r="9339">
      <c r="A9339" s="9"/>
      <c r="B9339" s="15"/>
      <c r="C9339" s="9">
        <f>IFERROR(__xludf.DUMMYFUNCTION("""COMPUTED_VALUE"""),44699.221450625)</f>
        <v>44699.22145</v>
      </c>
      <c r="D9339" s="15">
        <f>IFERROR(__xludf.DUMMYFUNCTION("""COMPUTED_VALUE"""),1.076)</f>
        <v>1.076</v>
      </c>
      <c r="E9339" s="16">
        <f>IFERROR(__xludf.DUMMYFUNCTION("""COMPUTED_VALUE"""),68.0)</f>
        <v>68</v>
      </c>
      <c r="F9339" s="19" t="str">
        <f>IFERROR(__xludf.DUMMYFUNCTION("""COMPUTED_VALUE"""),"BLACK")</f>
        <v>BLACK</v>
      </c>
      <c r="G9339" s="20" t="str">
        <f>IFERROR(__xludf.DUMMYFUNCTION("""COMPUTED_VALUE"""),"Uncle Sams Cider (5/13/2022)")</f>
        <v>Uncle Sams Cider (5/13/2022)</v>
      </c>
      <c r="H9339" s="19"/>
    </row>
    <row r="9340">
      <c r="A9340" s="9"/>
      <c r="B9340" s="15"/>
      <c r="C9340" s="9">
        <f>IFERROR(__xludf.DUMMYFUNCTION("""COMPUTED_VALUE"""),44699.211018993)</f>
        <v>44699.21102</v>
      </c>
      <c r="D9340" s="15">
        <f>IFERROR(__xludf.DUMMYFUNCTION("""COMPUTED_VALUE"""),1.076)</f>
        <v>1.076</v>
      </c>
      <c r="E9340" s="16">
        <f>IFERROR(__xludf.DUMMYFUNCTION("""COMPUTED_VALUE"""),68.0)</f>
        <v>68</v>
      </c>
      <c r="F9340" s="19" t="str">
        <f>IFERROR(__xludf.DUMMYFUNCTION("""COMPUTED_VALUE"""),"BLACK")</f>
        <v>BLACK</v>
      </c>
      <c r="G9340" s="20" t="str">
        <f>IFERROR(__xludf.DUMMYFUNCTION("""COMPUTED_VALUE"""),"Uncle Sams Cider (5/13/2022)")</f>
        <v>Uncle Sams Cider (5/13/2022)</v>
      </c>
      <c r="H9340" s="19"/>
    </row>
    <row r="9341">
      <c r="A9341" s="9"/>
      <c r="B9341" s="15"/>
      <c r="C9341" s="9">
        <f>IFERROR(__xludf.DUMMYFUNCTION("""COMPUTED_VALUE"""),44699.2005987615)</f>
        <v>44699.2006</v>
      </c>
      <c r="D9341" s="15">
        <f>IFERROR(__xludf.DUMMYFUNCTION("""COMPUTED_VALUE"""),1.076)</f>
        <v>1.076</v>
      </c>
      <c r="E9341" s="16">
        <f>IFERROR(__xludf.DUMMYFUNCTION("""COMPUTED_VALUE"""),68.0)</f>
        <v>68</v>
      </c>
      <c r="F9341" s="19" t="str">
        <f>IFERROR(__xludf.DUMMYFUNCTION("""COMPUTED_VALUE"""),"BLACK")</f>
        <v>BLACK</v>
      </c>
      <c r="G9341" s="20" t="str">
        <f>IFERROR(__xludf.DUMMYFUNCTION("""COMPUTED_VALUE"""),"Uncle Sams Cider (5/13/2022)")</f>
        <v>Uncle Sams Cider (5/13/2022)</v>
      </c>
      <c r="H9341" s="19"/>
    </row>
    <row r="9342">
      <c r="A9342" s="9"/>
      <c r="B9342" s="15"/>
      <c r="C9342" s="9">
        <f>IFERROR(__xludf.DUMMYFUNCTION("""COMPUTED_VALUE"""),44699.1901772916)</f>
        <v>44699.19018</v>
      </c>
      <c r="D9342" s="15">
        <f>IFERROR(__xludf.DUMMYFUNCTION("""COMPUTED_VALUE"""),1.076)</f>
        <v>1.076</v>
      </c>
      <c r="E9342" s="16">
        <f>IFERROR(__xludf.DUMMYFUNCTION("""COMPUTED_VALUE"""),68.0)</f>
        <v>68</v>
      </c>
      <c r="F9342" s="19" t="str">
        <f>IFERROR(__xludf.DUMMYFUNCTION("""COMPUTED_VALUE"""),"BLACK")</f>
        <v>BLACK</v>
      </c>
      <c r="G9342" s="20" t="str">
        <f>IFERROR(__xludf.DUMMYFUNCTION("""COMPUTED_VALUE"""),"Uncle Sams Cider (5/13/2022)")</f>
        <v>Uncle Sams Cider (5/13/2022)</v>
      </c>
      <c r="H9342" s="19"/>
    </row>
    <row r="9343">
      <c r="A9343" s="9"/>
      <c r="B9343" s="15"/>
      <c r="C9343" s="9">
        <f>IFERROR(__xludf.DUMMYFUNCTION("""COMPUTED_VALUE"""),44699.1797570138)</f>
        <v>44699.17976</v>
      </c>
      <c r="D9343" s="15">
        <f>IFERROR(__xludf.DUMMYFUNCTION("""COMPUTED_VALUE"""),1.077)</f>
        <v>1.077</v>
      </c>
      <c r="E9343" s="16">
        <f>IFERROR(__xludf.DUMMYFUNCTION("""COMPUTED_VALUE"""),68.0)</f>
        <v>68</v>
      </c>
      <c r="F9343" s="19" t="str">
        <f>IFERROR(__xludf.DUMMYFUNCTION("""COMPUTED_VALUE"""),"BLACK")</f>
        <v>BLACK</v>
      </c>
      <c r="G9343" s="20" t="str">
        <f>IFERROR(__xludf.DUMMYFUNCTION("""COMPUTED_VALUE"""),"Uncle Sams Cider (5/13/2022)")</f>
        <v>Uncle Sams Cider (5/13/2022)</v>
      </c>
      <c r="H9343" s="19"/>
    </row>
    <row r="9344">
      <c r="A9344" s="9"/>
      <c r="B9344" s="15"/>
      <c r="C9344" s="9">
        <f>IFERROR(__xludf.DUMMYFUNCTION("""COMPUTED_VALUE"""),44699.169335243)</f>
        <v>44699.16934</v>
      </c>
      <c r="D9344" s="15">
        <f>IFERROR(__xludf.DUMMYFUNCTION("""COMPUTED_VALUE"""),1.076)</f>
        <v>1.076</v>
      </c>
      <c r="E9344" s="16">
        <f>IFERROR(__xludf.DUMMYFUNCTION("""COMPUTED_VALUE"""),68.0)</f>
        <v>68</v>
      </c>
      <c r="F9344" s="19" t="str">
        <f>IFERROR(__xludf.DUMMYFUNCTION("""COMPUTED_VALUE"""),"BLACK")</f>
        <v>BLACK</v>
      </c>
      <c r="G9344" s="20" t="str">
        <f>IFERROR(__xludf.DUMMYFUNCTION("""COMPUTED_VALUE"""),"Uncle Sams Cider (5/13/2022)")</f>
        <v>Uncle Sams Cider (5/13/2022)</v>
      </c>
      <c r="H9344" s="19"/>
    </row>
    <row r="9345">
      <c r="A9345" s="9"/>
      <c r="B9345" s="15"/>
      <c r="C9345" s="9">
        <f>IFERROR(__xludf.DUMMYFUNCTION("""COMPUTED_VALUE"""),44699.1589129976)</f>
        <v>44699.15891</v>
      </c>
      <c r="D9345" s="15">
        <f>IFERROR(__xludf.DUMMYFUNCTION("""COMPUTED_VALUE"""),1.077)</f>
        <v>1.077</v>
      </c>
      <c r="E9345" s="16">
        <f>IFERROR(__xludf.DUMMYFUNCTION("""COMPUTED_VALUE"""),68.0)</f>
        <v>68</v>
      </c>
      <c r="F9345" s="19" t="str">
        <f>IFERROR(__xludf.DUMMYFUNCTION("""COMPUTED_VALUE"""),"BLACK")</f>
        <v>BLACK</v>
      </c>
      <c r="G9345" s="20" t="str">
        <f>IFERROR(__xludf.DUMMYFUNCTION("""COMPUTED_VALUE"""),"Uncle Sams Cider (5/13/2022)")</f>
        <v>Uncle Sams Cider (5/13/2022)</v>
      </c>
      <c r="H9345" s="19"/>
    </row>
    <row r="9346">
      <c r="A9346" s="9"/>
      <c r="B9346" s="15"/>
      <c r="C9346" s="9">
        <f>IFERROR(__xludf.DUMMYFUNCTION("""COMPUTED_VALUE"""),44699.1484919675)</f>
        <v>44699.14849</v>
      </c>
      <c r="D9346" s="15">
        <f>IFERROR(__xludf.DUMMYFUNCTION("""COMPUTED_VALUE"""),1.077)</f>
        <v>1.077</v>
      </c>
      <c r="E9346" s="16">
        <f>IFERROR(__xludf.DUMMYFUNCTION("""COMPUTED_VALUE"""),68.0)</f>
        <v>68</v>
      </c>
      <c r="F9346" s="19" t="str">
        <f>IFERROR(__xludf.DUMMYFUNCTION("""COMPUTED_VALUE"""),"BLACK")</f>
        <v>BLACK</v>
      </c>
      <c r="G9346" s="20" t="str">
        <f>IFERROR(__xludf.DUMMYFUNCTION("""COMPUTED_VALUE"""),"Uncle Sams Cider (5/13/2022)")</f>
        <v>Uncle Sams Cider (5/13/2022)</v>
      </c>
      <c r="H9346" s="19"/>
    </row>
    <row r="9347">
      <c r="A9347" s="9"/>
      <c r="B9347" s="15"/>
      <c r="C9347" s="9">
        <f>IFERROR(__xludf.DUMMYFUNCTION("""COMPUTED_VALUE"""),44699.1380708564)</f>
        <v>44699.13807</v>
      </c>
      <c r="D9347" s="15">
        <f>IFERROR(__xludf.DUMMYFUNCTION("""COMPUTED_VALUE"""),1.077)</f>
        <v>1.077</v>
      </c>
      <c r="E9347" s="16">
        <f>IFERROR(__xludf.DUMMYFUNCTION("""COMPUTED_VALUE"""),68.0)</f>
        <v>68</v>
      </c>
      <c r="F9347" s="19" t="str">
        <f>IFERROR(__xludf.DUMMYFUNCTION("""COMPUTED_VALUE"""),"BLACK")</f>
        <v>BLACK</v>
      </c>
      <c r="G9347" s="20" t="str">
        <f>IFERROR(__xludf.DUMMYFUNCTION("""COMPUTED_VALUE"""),"Uncle Sams Cider (5/13/2022)")</f>
        <v>Uncle Sams Cider (5/13/2022)</v>
      </c>
      <c r="H9347" s="19"/>
    </row>
    <row r="9348">
      <c r="A9348" s="9"/>
      <c r="B9348" s="15"/>
      <c r="C9348" s="9">
        <f>IFERROR(__xludf.DUMMYFUNCTION("""COMPUTED_VALUE"""),44699.1276499189)</f>
        <v>44699.12765</v>
      </c>
      <c r="D9348" s="15">
        <f>IFERROR(__xludf.DUMMYFUNCTION("""COMPUTED_VALUE"""),1.077)</f>
        <v>1.077</v>
      </c>
      <c r="E9348" s="16">
        <f>IFERROR(__xludf.DUMMYFUNCTION("""COMPUTED_VALUE"""),68.0)</f>
        <v>68</v>
      </c>
      <c r="F9348" s="19" t="str">
        <f>IFERROR(__xludf.DUMMYFUNCTION("""COMPUTED_VALUE"""),"BLACK")</f>
        <v>BLACK</v>
      </c>
      <c r="G9348" s="20" t="str">
        <f>IFERROR(__xludf.DUMMYFUNCTION("""COMPUTED_VALUE"""),"Uncle Sams Cider (5/13/2022)")</f>
        <v>Uncle Sams Cider (5/13/2022)</v>
      </c>
      <c r="H9348" s="19"/>
    </row>
    <row r="9349">
      <c r="A9349" s="9"/>
      <c r="B9349" s="15"/>
      <c r="C9349" s="9">
        <f>IFERROR(__xludf.DUMMYFUNCTION("""COMPUTED_VALUE"""),44699.1172181134)</f>
        <v>44699.11722</v>
      </c>
      <c r="D9349" s="15">
        <f>IFERROR(__xludf.DUMMYFUNCTION("""COMPUTED_VALUE"""),1.077)</f>
        <v>1.077</v>
      </c>
      <c r="E9349" s="16">
        <f>IFERROR(__xludf.DUMMYFUNCTION("""COMPUTED_VALUE"""),68.0)</f>
        <v>68</v>
      </c>
      <c r="F9349" s="19" t="str">
        <f>IFERROR(__xludf.DUMMYFUNCTION("""COMPUTED_VALUE"""),"BLACK")</f>
        <v>BLACK</v>
      </c>
      <c r="G9349" s="20" t="str">
        <f>IFERROR(__xludf.DUMMYFUNCTION("""COMPUTED_VALUE"""),"Uncle Sams Cider (5/13/2022)")</f>
        <v>Uncle Sams Cider (5/13/2022)</v>
      </c>
      <c r="H9349" s="19"/>
    </row>
    <row r="9350">
      <c r="A9350" s="9"/>
      <c r="B9350" s="15"/>
      <c r="C9350" s="9">
        <f>IFERROR(__xludf.DUMMYFUNCTION("""COMPUTED_VALUE"""),44699.1067846296)</f>
        <v>44699.10678</v>
      </c>
      <c r="D9350" s="15">
        <f>IFERROR(__xludf.DUMMYFUNCTION("""COMPUTED_VALUE"""),1.077)</f>
        <v>1.077</v>
      </c>
      <c r="E9350" s="16">
        <f>IFERROR(__xludf.DUMMYFUNCTION("""COMPUTED_VALUE"""),68.0)</f>
        <v>68</v>
      </c>
      <c r="F9350" s="19" t="str">
        <f>IFERROR(__xludf.DUMMYFUNCTION("""COMPUTED_VALUE"""),"BLACK")</f>
        <v>BLACK</v>
      </c>
      <c r="G9350" s="20" t="str">
        <f>IFERROR(__xludf.DUMMYFUNCTION("""COMPUTED_VALUE"""),"Uncle Sams Cider (5/13/2022)")</f>
        <v>Uncle Sams Cider (5/13/2022)</v>
      </c>
      <c r="H9350" s="19"/>
    </row>
    <row r="9351">
      <c r="A9351" s="9"/>
      <c r="B9351" s="15"/>
      <c r="C9351" s="9">
        <f>IFERROR(__xludf.DUMMYFUNCTION("""COMPUTED_VALUE"""),44699.0963636689)</f>
        <v>44699.09636</v>
      </c>
      <c r="D9351" s="15">
        <f>IFERROR(__xludf.DUMMYFUNCTION("""COMPUTED_VALUE"""),1.077)</f>
        <v>1.077</v>
      </c>
      <c r="E9351" s="16">
        <f>IFERROR(__xludf.DUMMYFUNCTION("""COMPUTED_VALUE"""),68.0)</f>
        <v>68</v>
      </c>
      <c r="F9351" s="19" t="str">
        <f>IFERROR(__xludf.DUMMYFUNCTION("""COMPUTED_VALUE"""),"BLACK")</f>
        <v>BLACK</v>
      </c>
      <c r="G9351" s="20" t="str">
        <f>IFERROR(__xludf.DUMMYFUNCTION("""COMPUTED_VALUE"""),"Uncle Sams Cider (5/13/2022)")</f>
        <v>Uncle Sams Cider (5/13/2022)</v>
      </c>
      <c r="H9351" s="19"/>
    </row>
    <row r="9352">
      <c r="A9352" s="9"/>
      <c r="B9352" s="15"/>
      <c r="C9352" s="9">
        <f>IFERROR(__xludf.DUMMYFUNCTION("""COMPUTED_VALUE"""),44699.0859426273)</f>
        <v>44699.08594</v>
      </c>
      <c r="D9352" s="15">
        <f>IFERROR(__xludf.DUMMYFUNCTION("""COMPUTED_VALUE"""),1.077)</f>
        <v>1.077</v>
      </c>
      <c r="E9352" s="16">
        <f>IFERROR(__xludf.DUMMYFUNCTION("""COMPUTED_VALUE"""),68.0)</f>
        <v>68</v>
      </c>
      <c r="F9352" s="19" t="str">
        <f>IFERROR(__xludf.DUMMYFUNCTION("""COMPUTED_VALUE"""),"BLACK")</f>
        <v>BLACK</v>
      </c>
      <c r="G9352" s="20" t="str">
        <f>IFERROR(__xludf.DUMMYFUNCTION("""COMPUTED_VALUE"""),"Uncle Sams Cider (5/13/2022)")</f>
        <v>Uncle Sams Cider (5/13/2022)</v>
      </c>
      <c r="H9352" s="19"/>
    </row>
    <row r="9353">
      <c r="A9353" s="9"/>
      <c r="B9353" s="15"/>
      <c r="C9353" s="9">
        <f>IFERROR(__xludf.DUMMYFUNCTION("""COMPUTED_VALUE"""),44699.0755093287)</f>
        <v>44699.07551</v>
      </c>
      <c r="D9353" s="15">
        <f>IFERROR(__xludf.DUMMYFUNCTION("""COMPUTED_VALUE"""),1.077)</f>
        <v>1.077</v>
      </c>
      <c r="E9353" s="16">
        <f>IFERROR(__xludf.DUMMYFUNCTION("""COMPUTED_VALUE"""),68.0)</f>
        <v>68</v>
      </c>
      <c r="F9353" s="19" t="str">
        <f>IFERROR(__xludf.DUMMYFUNCTION("""COMPUTED_VALUE"""),"BLACK")</f>
        <v>BLACK</v>
      </c>
      <c r="G9353" s="20" t="str">
        <f>IFERROR(__xludf.DUMMYFUNCTION("""COMPUTED_VALUE"""),"Uncle Sams Cider (5/13/2022)")</f>
        <v>Uncle Sams Cider (5/13/2022)</v>
      </c>
      <c r="H9353" s="19"/>
    </row>
    <row r="9354">
      <c r="A9354" s="9"/>
      <c r="B9354" s="15"/>
      <c r="C9354" s="9">
        <f>IFERROR(__xludf.DUMMYFUNCTION("""COMPUTED_VALUE"""),44699.0650883564)</f>
        <v>44699.06509</v>
      </c>
      <c r="D9354" s="15">
        <f>IFERROR(__xludf.DUMMYFUNCTION("""COMPUTED_VALUE"""),1.077)</f>
        <v>1.077</v>
      </c>
      <c r="E9354" s="16">
        <f>IFERROR(__xludf.DUMMYFUNCTION("""COMPUTED_VALUE"""),68.0)</f>
        <v>68</v>
      </c>
      <c r="F9354" s="19" t="str">
        <f>IFERROR(__xludf.DUMMYFUNCTION("""COMPUTED_VALUE"""),"BLACK")</f>
        <v>BLACK</v>
      </c>
      <c r="G9354" s="20" t="str">
        <f>IFERROR(__xludf.DUMMYFUNCTION("""COMPUTED_VALUE"""),"Uncle Sams Cider (5/13/2022)")</f>
        <v>Uncle Sams Cider (5/13/2022)</v>
      </c>
      <c r="H9354" s="19"/>
    </row>
    <row r="9355">
      <c r="A9355" s="9"/>
      <c r="B9355" s="15"/>
      <c r="C9355" s="9">
        <f>IFERROR(__xludf.DUMMYFUNCTION("""COMPUTED_VALUE"""),44699.05465603)</f>
        <v>44699.05466</v>
      </c>
      <c r="D9355" s="15">
        <f>IFERROR(__xludf.DUMMYFUNCTION("""COMPUTED_VALUE"""),1.077)</f>
        <v>1.077</v>
      </c>
      <c r="E9355" s="16">
        <f>IFERROR(__xludf.DUMMYFUNCTION("""COMPUTED_VALUE"""),68.0)</f>
        <v>68</v>
      </c>
      <c r="F9355" s="19" t="str">
        <f>IFERROR(__xludf.DUMMYFUNCTION("""COMPUTED_VALUE"""),"BLACK")</f>
        <v>BLACK</v>
      </c>
      <c r="G9355" s="20" t="str">
        <f>IFERROR(__xludf.DUMMYFUNCTION("""COMPUTED_VALUE"""),"Uncle Sams Cider (5/13/2022)")</f>
        <v>Uncle Sams Cider (5/13/2022)</v>
      </c>
      <c r="H9355" s="19"/>
    </row>
    <row r="9356">
      <c r="A9356" s="9"/>
      <c r="B9356" s="15"/>
      <c r="C9356" s="9">
        <f>IFERROR(__xludf.DUMMYFUNCTION("""COMPUTED_VALUE"""),44699.0442116203)</f>
        <v>44699.04421</v>
      </c>
      <c r="D9356" s="15">
        <f>IFERROR(__xludf.DUMMYFUNCTION("""COMPUTED_VALUE"""),1.078)</f>
        <v>1.078</v>
      </c>
      <c r="E9356" s="16">
        <f>IFERROR(__xludf.DUMMYFUNCTION("""COMPUTED_VALUE"""),67.0)</f>
        <v>67</v>
      </c>
      <c r="F9356" s="19" t="str">
        <f>IFERROR(__xludf.DUMMYFUNCTION("""COMPUTED_VALUE"""),"BLACK")</f>
        <v>BLACK</v>
      </c>
      <c r="G9356" s="20" t="str">
        <f>IFERROR(__xludf.DUMMYFUNCTION("""COMPUTED_VALUE"""),"Uncle Sams Cider (5/13/2022)")</f>
        <v>Uncle Sams Cider (5/13/2022)</v>
      </c>
      <c r="H9356" s="19"/>
    </row>
    <row r="9357">
      <c r="A9357" s="9"/>
      <c r="B9357" s="15"/>
      <c r="C9357" s="9">
        <f>IFERROR(__xludf.DUMMYFUNCTION("""COMPUTED_VALUE"""),44699.0337908796)</f>
        <v>44699.03379</v>
      </c>
      <c r="D9357" s="15">
        <f>IFERROR(__xludf.DUMMYFUNCTION("""COMPUTED_VALUE"""),1.078)</f>
        <v>1.078</v>
      </c>
      <c r="E9357" s="16">
        <f>IFERROR(__xludf.DUMMYFUNCTION("""COMPUTED_VALUE"""),68.0)</f>
        <v>68</v>
      </c>
      <c r="F9357" s="19" t="str">
        <f>IFERROR(__xludf.DUMMYFUNCTION("""COMPUTED_VALUE"""),"BLACK")</f>
        <v>BLACK</v>
      </c>
      <c r="G9357" s="20" t="str">
        <f>IFERROR(__xludf.DUMMYFUNCTION("""COMPUTED_VALUE"""),"Uncle Sams Cider (5/13/2022)")</f>
        <v>Uncle Sams Cider (5/13/2022)</v>
      </c>
      <c r="H9357" s="19"/>
    </row>
    <row r="9358">
      <c r="A9358" s="9"/>
      <c r="B9358" s="15"/>
      <c r="C9358" s="9">
        <f>IFERROR(__xludf.DUMMYFUNCTION("""COMPUTED_VALUE"""),44699.0233698611)</f>
        <v>44699.02337</v>
      </c>
      <c r="D9358" s="15">
        <f>IFERROR(__xludf.DUMMYFUNCTION("""COMPUTED_VALUE"""),1.078)</f>
        <v>1.078</v>
      </c>
      <c r="E9358" s="16">
        <f>IFERROR(__xludf.DUMMYFUNCTION("""COMPUTED_VALUE"""),67.0)</f>
        <v>67</v>
      </c>
      <c r="F9358" s="19" t="str">
        <f>IFERROR(__xludf.DUMMYFUNCTION("""COMPUTED_VALUE"""),"BLACK")</f>
        <v>BLACK</v>
      </c>
      <c r="G9358" s="20" t="str">
        <f>IFERROR(__xludf.DUMMYFUNCTION("""COMPUTED_VALUE"""),"Uncle Sams Cider (5/13/2022)")</f>
        <v>Uncle Sams Cider (5/13/2022)</v>
      </c>
      <c r="H9358" s="19"/>
    </row>
    <row r="9359">
      <c r="A9359" s="9"/>
      <c r="B9359" s="15"/>
      <c r="C9359" s="9">
        <f>IFERROR(__xludf.DUMMYFUNCTION("""COMPUTED_VALUE"""),44699.0129479745)</f>
        <v>44699.01295</v>
      </c>
      <c r="D9359" s="15">
        <f>IFERROR(__xludf.DUMMYFUNCTION("""COMPUTED_VALUE"""),1.078)</f>
        <v>1.078</v>
      </c>
      <c r="E9359" s="16">
        <f>IFERROR(__xludf.DUMMYFUNCTION("""COMPUTED_VALUE"""),67.0)</f>
        <v>67</v>
      </c>
      <c r="F9359" s="19" t="str">
        <f>IFERROR(__xludf.DUMMYFUNCTION("""COMPUTED_VALUE"""),"BLACK")</f>
        <v>BLACK</v>
      </c>
      <c r="G9359" s="20" t="str">
        <f>IFERROR(__xludf.DUMMYFUNCTION("""COMPUTED_VALUE"""),"Uncle Sams Cider (5/13/2022)")</f>
        <v>Uncle Sams Cider (5/13/2022)</v>
      </c>
      <c r="H9359" s="19"/>
    </row>
    <row r="9360">
      <c r="A9360" s="9"/>
      <c r="B9360" s="15"/>
      <c r="C9360" s="9">
        <f>IFERROR(__xludf.DUMMYFUNCTION("""COMPUTED_VALUE"""),44699.0025286921)</f>
        <v>44699.00253</v>
      </c>
      <c r="D9360" s="15">
        <f>IFERROR(__xludf.DUMMYFUNCTION("""COMPUTED_VALUE"""),1.078)</f>
        <v>1.078</v>
      </c>
      <c r="E9360" s="16">
        <f>IFERROR(__xludf.DUMMYFUNCTION("""COMPUTED_VALUE"""),67.0)</f>
        <v>67</v>
      </c>
      <c r="F9360" s="19" t="str">
        <f>IFERROR(__xludf.DUMMYFUNCTION("""COMPUTED_VALUE"""),"BLACK")</f>
        <v>BLACK</v>
      </c>
      <c r="G9360" s="20" t="str">
        <f>IFERROR(__xludf.DUMMYFUNCTION("""COMPUTED_VALUE"""),"Uncle Sams Cider (5/13/2022)")</f>
        <v>Uncle Sams Cider (5/13/2022)</v>
      </c>
      <c r="H9360" s="19"/>
    </row>
    <row r="9361">
      <c r="A9361" s="9"/>
      <c r="B9361" s="15"/>
      <c r="C9361" s="9">
        <f>IFERROR(__xludf.DUMMYFUNCTION("""COMPUTED_VALUE"""),44698.9921070833)</f>
        <v>44698.99211</v>
      </c>
      <c r="D9361" s="15">
        <f>IFERROR(__xludf.DUMMYFUNCTION("""COMPUTED_VALUE"""),1.078)</f>
        <v>1.078</v>
      </c>
      <c r="E9361" s="16">
        <f>IFERROR(__xludf.DUMMYFUNCTION("""COMPUTED_VALUE"""),67.0)</f>
        <v>67</v>
      </c>
      <c r="F9361" s="19" t="str">
        <f>IFERROR(__xludf.DUMMYFUNCTION("""COMPUTED_VALUE"""),"BLACK")</f>
        <v>BLACK</v>
      </c>
      <c r="G9361" s="20" t="str">
        <f>IFERROR(__xludf.DUMMYFUNCTION("""COMPUTED_VALUE"""),"Uncle Sams Cider (5/13/2022)")</f>
        <v>Uncle Sams Cider (5/13/2022)</v>
      </c>
      <c r="H9361" s="19"/>
    </row>
    <row r="9362">
      <c r="A9362" s="9"/>
      <c r="B9362" s="15"/>
      <c r="C9362" s="9">
        <f>IFERROR(__xludf.DUMMYFUNCTION("""COMPUTED_VALUE"""),44698.9816861921)</f>
        <v>44698.98169</v>
      </c>
      <c r="D9362" s="15">
        <f>IFERROR(__xludf.DUMMYFUNCTION("""COMPUTED_VALUE"""),1.078)</f>
        <v>1.078</v>
      </c>
      <c r="E9362" s="16">
        <f>IFERROR(__xludf.DUMMYFUNCTION("""COMPUTED_VALUE"""),67.0)</f>
        <v>67</v>
      </c>
      <c r="F9362" s="19" t="str">
        <f>IFERROR(__xludf.DUMMYFUNCTION("""COMPUTED_VALUE"""),"BLACK")</f>
        <v>BLACK</v>
      </c>
      <c r="G9362" s="20" t="str">
        <f>IFERROR(__xludf.DUMMYFUNCTION("""COMPUTED_VALUE"""),"Uncle Sams Cider (5/13/2022)")</f>
        <v>Uncle Sams Cider (5/13/2022)</v>
      </c>
      <c r="H9362" s="19"/>
    </row>
    <row r="9363">
      <c r="A9363" s="9"/>
      <c r="B9363" s="15"/>
      <c r="C9363" s="9">
        <f>IFERROR(__xludf.DUMMYFUNCTION("""COMPUTED_VALUE"""),44698.9712649421)</f>
        <v>44698.97126</v>
      </c>
      <c r="D9363" s="15">
        <f>IFERROR(__xludf.DUMMYFUNCTION("""COMPUTED_VALUE"""),1.078)</f>
        <v>1.078</v>
      </c>
      <c r="E9363" s="16">
        <f>IFERROR(__xludf.DUMMYFUNCTION("""COMPUTED_VALUE"""),67.0)</f>
        <v>67</v>
      </c>
      <c r="F9363" s="19" t="str">
        <f>IFERROR(__xludf.DUMMYFUNCTION("""COMPUTED_VALUE"""),"BLACK")</f>
        <v>BLACK</v>
      </c>
      <c r="G9363" s="20" t="str">
        <f>IFERROR(__xludf.DUMMYFUNCTION("""COMPUTED_VALUE"""),"Uncle Sams Cider (5/13/2022)")</f>
        <v>Uncle Sams Cider (5/13/2022)</v>
      </c>
      <c r="H9363" s="19"/>
    </row>
    <row r="9364">
      <c r="A9364" s="9"/>
      <c r="B9364" s="15"/>
      <c r="C9364" s="9">
        <f>IFERROR(__xludf.DUMMYFUNCTION("""COMPUTED_VALUE"""),44698.9608438426)</f>
        <v>44698.96084</v>
      </c>
      <c r="D9364" s="15">
        <f>IFERROR(__xludf.DUMMYFUNCTION("""COMPUTED_VALUE"""),1.079)</f>
        <v>1.079</v>
      </c>
      <c r="E9364" s="16">
        <f>IFERROR(__xludf.DUMMYFUNCTION("""COMPUTED_VALUE"""),67.0)</f>
        <v>67</v>
      </c>
      <c r="F9364" s="19" t="str">
        <f>IFERROR(__xludf.DUMMYFUNCTION("""COMPUTED_VALUE"""),"BLACK")</f>
        <v>BLACK</v>
      </c>
      <c r="G9364" s="20" t="str">
        <f>IFERROR(__xludf.DUMMYFUNCTION("""COMPUTED_VALUE"""),"Uncle Sams Cider (5/13/2022)")</f>
        <v>Uncle Sams Cider (5/13/2022)</v>
      </c>
      <c r="H9364" s="19"/>
    </row>
    <row r="9365">
      <c r="A9365" s="9"/>
      <c r="B9365" s="15"/>
      <c r="C9365" s="9">
        <f>IFERROR(__xludf.DUMMYFUNCTION("""COMPUTED_VALUE"""),44698.9504104976)</f>
        <v>44698.95041</v>
      </c>
      <c r="D9365" s="15">
        <f>IFERROR(__xludf.DUMMYFUNCTION("""COMPUTED_VALUE"""),1.078)</f>
        <v>1.078</v>
      </c>
      <c r="E9365" s="16">
        <f>IFERROR(__xludf.DUMMYFUNCTION("""COMPUTED_VALUE"""),67.0)</f>
        <v>67</v>
      </c>
      <c r="F9365" s="19" t="str">
        <f>IFERROR(__xludf.DUMMYFUNCTION("""COMPUTED_VALUE"""),"BLACK")</f>
        <v>BLACK</v>
      </c>
      <c r="G9365" s="20" t="str">
        <f>IFERROR(__xludf.DUMMYFUNCTION("""COMPUTED_VALUE"""),"Uncle Sams Cider (5/13/2022)")</f>
        <v>Uncle Sams Cider (5/13/2022)</v>
      </c>
      <c r="H9365" s="19"/>
    </row>
    <row r="9366">
      <c r="A9366" s="9"/>
      <c r="B9366" s="15"/>
      <c r="C9366" s="9">
        <f>IFERROR(__xludf.DUMMYFUNCTION("""COMPUTED_VALUE"""),44698.9399763888)</f>
        <v>44698.93998</v>
      </c>
      <c r="D9366" s="15">
        <f>IFERROR(__xludf.DUMMYFUNCTION("""COMPUTED_VALUE"""),1.079)</f>
        <v>1.079</v>
      </c>
      <c r="E9366" s="16">
        <f>IFERROR(__xludf.DUMMYFUNCTION("""COMPUTED_VALUE"""),67.0)</f>
        <v>67</v>
      </c>
      <c r="F9366" s="19" t="str">
        <f>IFERROR(__xludf.DUMMYFUNCTION("""COMPUTED_VALUE"""),"BLACK")</f>
        <v>BLACK</v>
      </c>
      <c r="G9366" s="20" t="str">
        <f>IFERROR(__xludf.DUMMYFUNCTION("""COMPUTED_VALUE"""),"Uncle Sams Cider (5/13/2022)")</f>
        <v>Uncle Sams Cider (5/13/2022)</v>
      </c>
      <c r="H9366" s="19"/>
    </row>
    <row r="9367">
      <c r="A9367" s="9"/>
      <c r="B9367" s="15"/>
      <c r="C9367" s="9">
        <f>IFERROR(__xludf.DUMMYFUNCTION("""COMPUTED_VALUE"""),44698.9295541203)</f>
        <v>44698.92955</v>
      </c>
      <c r="D9367" s="15">
        <f>IFERROR(__xludf.DUMMYFUNCTION("""COMPUTED_VALUE"""),1.079)</f>
        <v>1.079</v>
      </c>
      <c r="E9367" s="16">
        <f>IFERROR(__xludf.DUMMYFUNCTION("""COMPUTED_VALUE"""),67.0)</f>
        <v>67</v>
      </c>
      <c r="F9367" s="19" t="str">
        <f>IFERROR(__xludf.DUMMYFUNCTION("""COMPUTED_VALUE"""),"BLACK")</f>
        <v>BLACK</v>
      </c>
      <c r="G9367" s="20" t="str">
        <f>IFERROR(__xludf.DUMMYFUNCTION("""COMPUTED_VALUE"""),"Uncle Sams Cider (5/13/2022)")</f>
        <v>Uncle Sams Cider (5/13/2022)</v>
      </c>
      <c r="H9367" s="19"/>
    </row>
    <row r="9368">
      <c r="A9368" s="9"/>
      <c r="B9368" s="15"/>
      <c r="C9368" s="9">
        <f>IFERROR(__xludf.DUMMYFUNCTION("""COMPUTED_VALUE"""),44698.919132824)</f>
        <v>44698.91913</v>
      </c>
      <c r="D9368" s="15">
        <f>IFERROR(__xludf.DUMMYFUNCTION("""COMPUTED_VALUE"""),1.079)</f>
        <v>1.079</v>
      </c>
      <c r="E9368" s="16">
        <f>IFERROR(__xludf.DUMMYFUNCTION("""COMPUTED_VALUE"""),67.0)</f>
        <v>67</v>
      </c>
      <c r="F9368" s="19" t="str">
        <f>IFERROR(__xludf.DUMMYFUNCTION("""COMPUTED_VALUE"""),"BLACK")</f>
        <v>BLACK</v>
      </c>
      <c r="G9368" s="20" t="str">
        <f>IFERROR(__xludf.DUMMYFUNCTION("""COMPUTED_VALUE"""),"Uncle Sams Cider (5/13/2022)")</f>
        <v>Uncle Sams Cider (5/13/2022)</v>
      </c>
      <c r="H9368" s="19"/>
    </row>
    <row r="9369">
      <c r="A9369" s="9"/>
      <c r="B9369" s="15"/>
      <c r="C9369" s="9">
        <f>IFERROR(__xludf.DUMMYFUNCTION("""COMPUTED_VALUE"""),44698.9087128356)</f>
        <v>44698.90871</v>
      </c>
      <c r="D9369" s="15">
        <f>IFERROR(__xludf.DUMMYFUNCTION("""COMPUTED_VALUE"""),1.078)</f>
        <v>1.078</v>
      </c>
      <c r="E9369" s="16">
        <f>IFERROR(__xludf.DUMMYFUNCTION("""COMPUTED_VALUE"""),67.0)</f>
        <v>67</v>
      </c>
      <c r="F9369" s="19" t="str">
        <f>IFERROR(__xludf.DUMMYFUNCTION("""COMPUTED_VALUE"""),"BLACK")</f>
        <v>BLACK</v>
      </c>
      <c r="G9369" s="20" t="str">
        <f>IFERROR(__xludf.DUMMYFUNCTION("""COMPUTED_VALUE"""),"Uncle Sams Cider (5/13/2022)")</f>
        <v>Uncle Sams Cider (5/13/2022)</v>
      </c>
      <c r="H9369" s="19"/>
    </row>
    <row r="9370">
      <c r="A9370" s="9"/>
      <c r="B9370" s="15"/>
      <c r="C9370" s="9">
        <f>IFERROR(__xludf.DUMMYFUNCTION("""COMPUTED_VALUE"""),44698.898291412)</f>
        <v>44698.89829</v>
      </c>
      <c r="D9370" s="15">
        <f>IFERROR(__xludf.DUMMYFUNCTION("""COMPUTED_VALUE"""),1.079)</f>
        <v>1.079</v>
      </c>
      <c r="E9370" s="16">
        <f>IFERROR(__xludf.DUMMYFUNCTION("""COMPUTED_VALUE"""),67.0)</f>
        <v>67</v>
      </c>
      <c r="F9370" s="19" t="str">
        <f>IFERROR(__xludf.DUMMYFUNCTION("""COMPUTED_VALUE"""),"BLACK")</f>
        <v>BLACK</v>
      </c>
      <c r="G9370" s="20" t="str">
        <f>IFERROR(__xludf.DUMMYFUNCTION("""COMPUTED_VALUE"""),"Uncle Sams Cider (5/13/2022)")</f>
        <v>Uncle Sams Cider (5/13/2022)</v>
      </c>
      <c r="H9370" s="19"/>
    </row>
    <row r="9371">
      <c r="A9371" s="9"/>
      <c r="B9371" s="15"/>
      <c r="C9371" s="9">
        <f>IFERROR(__xludf.DUMMYFUNCTION("""COMPUTED_VALUE"""),44698.8878715509)</f>
        <v>44698.88787</v>
      </c>
      <c r="D9371" s="15">
        <f>IFERROR(__xludf.DUMMYFUNCTION("""COMPUTED_VALUE"""),1.079)</f>
        <v>1.079</v>
      </c>
      <c r="E9371" s="16">
        <f>IFERROR(__xludf.DUMMYFUNCTION("""COMPUTED_VALUE"""),67.0)</f>
        <v>67</v>
      </c>
      <c r="F9371" s="19" t="str">
        <f>IFERROR(__xludf.DUMMYFUNCTION("""COMPUTED_VALUE"""),"BLACK")</f>
        <v>BLACK</v>
      </c>
      <c r="G9371" s="20" t="str">
        <f>IFERROR(__xludf.DUMMYFUNCTION("""COMPUTED_VALUE"""),"Uncle Sams Cider (5/13/2022)")</f>
        <v>Uncle Sams Cider (5/13/2022)</v>
      </c>
      <c r="H9371" s="19"/>
    </row>
    <row r="9372">
      <c r="A9372" s="9"/>
      <c r="B9372" s="15"/>
      <c r="C9372" s="9">
        <f>IFERROR(__xludf.DUMMYFUNCTION("""COMPUTED_VALUE"""),44698.8774501851)</f>
        <v>44698.87745</v>
      </c>
      <c r="D9372" s="15">
        <f>IFERROR(__xludf.DUMMYFUNCTION("""COMPUTED_VALUE"""),1.079)</f>
        <v>1.079</v>
      </c>
      <c r="E9372" s="16">
        <f>IFERROR(__xludf.DUMMYFUNCTION("""COMPUTED_VALUE"""),67.0)</f>
        <v>67</v>
      </c>
      <c r="F9372" s="19" t="str">
        <f>IFERROR(__xludf.DUMMYFUNCTION("""COMPUTED_VALUE"""),"BLACK")</f>
        <v>BLACK</v>
      </c>
      <c r="G9372" s="20" t="str">
        <f>IFERROR(__xludf.DUMMYFUNCTION("""COMPUTED_VALUE"""),"Uncle Sams Cider (5/13/2022)")</f>
        <v>Uncle Sams Cider (5/13/2022)</v>
      </c>
      <c r="H9372" s="19"/>
    </row>
    <row r="9373">
      <c r="A9373" s="9"/>
      <c r="B9373" s="15"/>
      <c r="C9373" s="9">
        <f>IFERROR(__xludf.DUMMYFUNCTION("""COMPUTED_VALUE"""),44698.8670284375)</f>
        <v>44698.86703</v>
      </c>
      <c r="D9373" s="15">
        <f>IFERROR(__xludf.DUMMYFUNCTION("""COMPUTED_VALUE"""),1.079)</f>
        <v>1.079</v>
      </c>
      <c r="E9373" s="16">
        <f>IFERROR(__xludf.DUMMYFUNCTION("""COMPUTED_VALUE"""),67.0)</f>
        <v>67</v>
      </c>
      <c r="F9373" s="19" t="str">
        <f>IFERROR(__xludf.DUMMYFUNCTION("""COMPUTED_VALUE"""),"BLACK")</f>
        <v>BLACK</v>
      </c>
      <c r="G9373" s="20" t="str">
        <f>IFERROR(__xludf.DUMMYFUNCTION("""COMPUTED_VALUE"""),"Uncle Sams Cider (5/13/2022)")</f>
        <v>Uncle Sams Cider (5/13/2022)</v>
      </c>
      <c r="H9373" s="19"/>
    </row>
    <row r="9374">
      <c r="A9374" s="9"/>
      <c r="B9374" s="15"/>
      <c r="C9374" s="9">
        <f>IFERROR(__xludf.DUMMYFUNCTION("""COMPUTED_VALUE"""),44698.8565954745)</f>
        <v>44698.8566</v>
      </c>
      <c r="D9374" s="15">
        <f>IFERROR(__xludf.DUMMYFUNCTION("""COMPUTED_VALUE"""),1.079)</f>
        <v>1.079</v>
      </c>
      <c r="E9374" s="16">
        <f>IFERROR(__xludf.DUMMYFUNCTION("""COMPUTED_VALUE"""),67.0)</f>
        <v>67</v>
      </c>
      <c r="F9374" s="19" t="str">
        <f>IFERROR(__xludf.DUMMYFUNCTION("""COMPUTED_VALUE"""),"BLACK")</f>
        <v>BLACK</v>
      </c>
      <c r="G9374" s="20" t="str">
        <f>IFERROR(__xludf.DUMMYFUNCTION("""COMPUTED_VALUE"""),"Uncle Sams Cider (5/13/2022)")</f>
        <v>Uncle Sams Cider (5/13/2022)</v>
      </c>
      <c r="H9374" s="19"/>
    </row>
    <row r="9375">
      <c r="A9375" s="9"/>
      <c r="B9375" s="15"/>
      <c r="C9375" s="9">
        <f>IFERROR(__xludf.DUMMYFUNCTION("""COMPUTED_VALUE"""),44698.8461743518)</f>
        <v>44698.84617</v>
      </c>
      <c r="D9375" s="15">
        <f>IFERROR(__xludf.DUMMYFUNCTION("""COMPUTED_VALUE"""),1.079)</f>
        <v>1.079</v>
      </c>
      <c r="E9375" s="16">
        <f>IFERROR(__xludf.DUMMYFUNCTION("""COMPUTED_VALUE"""),67.0)</f>
        <v>67</v>
      </c>
      <c r="F9375" s="19" t="str">
        <f>IFERROR(__xludf.DUMMYFUNCTION("""COMPUTED_VALUE"""),"BLACK")</f>
        <v>BLACK</v>
      </c>
      <c r="G9375" s="20" t="str">
        <f>IFERROR(__xludf.DUMMYFUNCTION("""COMPUTED_VALUE"""),"Uncle Sams Cider (5/13/2022)")</f>
        <v>Uncle Sams Cider (5/13/2022)</v>
      </c>
      <c r="H9375" s="19"/>
    </row>
    <row r="9376">
      <c r="A9376" s="9"/>
      <c r="B9376" s="15"/>
      <c r="C9376" s="9">
        <f>IFERROR(__xludf.DUMMYFUNCTION("""COMPUTED_VALUE"""),44698.8357528588)</f>
        <v>44698.83575</v>
      </c>
      <c r="D9376" s="15">
        <f>IFERROR(__xludf.DUMMYFUNCTION("""COMPUTED_VALUE"""),1.079)</f>
        <v>1.079</v>
      </c>
      <c r="E9376" s="16">
        <f>IFERROR(__xludf.DUMMYFUNCTION("""COMPUTED_VALUE"""),67.0)</f>
        <v>67</v>
      </c>
      <c r="F9376" s="19" t="str">
        <f>IFERROR(__xludf.DUMMYFUNCTION("""COMPUTED_VALUE"""),"BLACK")</f>
        <v>BLACK</v>
      </c>
      <c r="G9376" s="20" t="str">
        <f>IFERROR(__xludf.DUMMYFUNCTION("""COMPUTED_VALUE"""),"Uncle Sams Cider (5/13/2022)")</f>
        <v>Uncle Sams Cider (5/13/2022)</v>
      </c>
      <c r="H9376" s="19"/>
    </row>
    <row r="9377">
      <c r="A9377" s="9"/>
      <c r="B9377" s="15"/>
      <c r="C9377" s="9">
        <f>IFERROR(__xludf.DUMMYFUNCTION("""COMPUTED_VALUE"""),44698.825329537)</f>
        <v>44698.82533</v>
      </c>
      <c r="D9377" s="15">
        <f>IFERROR(__xludf.DUMMYFUNCTION("""COMPUTED_VALUE"""),1.079)</f>
        <v>1.079</v>
      </c>
      <c r="E9377" s="16">
        <f>IFERROR(__xludf.DUMMYFUNCTION("""COMPUTED_VALUE"""),67.0)</f>
        <v>67</v>
      </c>
      <c r="F9377" s="19" t="str">
        <f>IFERROR(__xludf.DUMMYFUNCTION("""COMPUTED_VALUE"""),"BLACK")</f>
        <v>BLACK</v>
      </c>
      <c r="G9377" s="20" t="str">
        <f>IFERROR(__xludf.DUMMYFUNCTION("""COMPUTED_VALUE"""),"Uncle Sams Cider (5/13/2022)")</f>
        <v>Uncle Sams Cider (5/13/2022)</v>
      </c>
      <c r="H9377" s="19"/>
    </row>
    <row r="9378">
      <c r="A9378" s="9"/>
      <c r="B9378" s="15"/>
      <c r="C9378" s="9">
        <f>IFERROR(__xludf.DUMMYFUNCTION("""COMPUTED_VALUE"""),44698.8149098032)</f>
        <v>44698.81491</v>
      </c>
      <c r="D9378" s="15">
        <f>IFERROR(__xludf.DUMMYFUNCTION("""COMPUTED_VALUE"""),1.079)</f>
        <v>1.079</v>
      </c>
      <c r="E9378" s="16">
        <f>IFERROR(__xludf.DUMMYFUNCTION("""COMPUTED_VALUE"""),66.0)</f>
        <v>66</v>
      </c>
      <c r="F9378" s="19" t="str">
        <f>IFERROR(__xludf.DUMMYFUNCTION("""COMPUTED_VALUE"""),"BLACK")</f>
        <v>BLACK</v>
      </c>
      <c r="G9378" s="20" t="str">
        <f>IFERROR(__xludf.DUMMYFUNCTION("""COMPUTED_VALUE"""),"Uncle Sams Cider (5/13/2022)")</f>
        <v>Uncle Sams Cider (5/13/2022)</v>
      </c>
      <c r="H9378" s="19"/>
    </row>
    <row r="9379">
      <c r="A9379" s="9"/>
      <c r="B9379" s="15"/>
      <c r="C9379" s="9">
        <f>IFERROR(__xludf.DUMMYFUNCTION("""COMPUTED_VALUE"""),44698.8044869328)</f>
        <v>44698.80449</v>
      </c>
      <c r="D9379" s="15">
        <f>IFERROR(__xludf.DUMMYFUNCTION("""COMPUTED_VALUE"""),1.08)</f>
        <v>1.08</v>
      </c>
      <c r="E9379" s="16">
        <f>IFERROR(__xludf.DUMMYFUNCTION("""COMPUTED_VALUE"""),66.0)</f>
        <v>66</v>
      </c>
      <c r="F9379" s="19" t="str">
        <f>IFERROR(__xludf.DUMMYFUNCTION("""COMPUTED_VALUE"""),"BLACK")</f>
        <v>BLACK</v>
      </c>
      <c r="G9379" s="20" t="str">
        <f>IFERROR(__xludf.DUMMYFUNCTION("""COMPUTED_VALUE"""),"Uncle Sams Cider (5/13/2022)")</f>
        <v>Uncle Sams Cider (5/13/2022)</v>
      </c>
      <c r="H9379" s="19"/>
    </row>
    <row r="9380">
      <c r="A9380" s="9"/>
      <c r="B9380" s="15"/>
      <c r="C9380" s="9">
        <f>IFERROR(__xludf.DUMMYFUNCTION("""COMPUTED_VALUE"""),44698.7940553472)</f>
        <v>44698.79406</v>
      </c>
      <c r="D9380" s="15">
        <f>IFERROR(__xludf.DUMMYFUNCTION("""COMPUTED_VALUE"""),1.08)</f>
        <v>1.08</v>
      </c>
      <c r="E9380" s="16">
        <f>IFERROR(__xludf.DUMMYFUNCTION("""COMPUTED_VALUE"""),66.0)</f>
        <v>66</v>
      </c>
      <c r="F9380" s="19" t="str">
        <f>IFERROR(__xludf.DUMMYFUNCTION("""COMPUTED_VALUE"""),"BLACK")</f>
        <v>BLACK</v>
      </c>
      <c r="G9380" s="20" t="str">
        <f>IFERROR(__xludf.DUMMYFUNCTION("""COMPUTED_VALUE"""),"Uncle Sams Cider (5/13/2022)")</f>
        <v>Uncle Sams Cider (5/13/2022)</v>
      </c>
      <c r="H9380" s="19"/>
    </row>
    <row r="9381">
      <c r="A9381" s="9"/>
      <c r="B9381" s="15"/>
      <c r="C9381" s="9">
        <f>IFERROR(__xludf.DUMMYFUNCTION("""COMPUTED_VALUE"""),44698.7836209722)</f>
        <v>44698.78362</v>
      </c>
      <c r="D9381" s="15">
        <f>IFERROR(__xludf.DUMMYFUNCTION("""COMPUTED_VALUE"""),1.08)</f>
        <v>1.08</v>
      </c>
      <c r="E9381" s="16">
        <f>IFERROR(__xludf.DUMMYFUNCTION("""COMPUTED_VALUE"""),66.0)</f>
        <v>66</v>
      </c>
      <c r="F9381" s="19" t="str">
        <f>IFERROR(__xludf.DUMMYFUNCTION("""COMPUTED_VALUE"""),"BLACK")</f>
        <v>BLACK</v>
      </c>
      <c r="G9381" s="20" t="str">
        <f>IFERROR(__xludf.DUMMYFUNCTION("""COMPUTED_VALUE"""),"Uncle Sams Cider (5/13/2022)")</f>
        <v>Uncle Sams Cider (5/13/2022)</v>
      </c>
      <c r="H9381" s="19"/>
    </row>
    <row r="9382">
      <c r="A9382" s="9"/>
      <c r="B9382" s="15"/>
      <c r="C9382" s="9">
        <f>IFERROR(__xludf.DUMMYFUNCTION("""COMPUTED_VALUE"""),44698.7732018287)</f>
        <v>44698.7732</v>
      </c>
      <c r="D9382" s="15">
        <f>IFERROR(__xludf.DUMMYFUNCTION("""COMPUTED_VALUE"""),1.08)</f>
        <v>1.08</v>
      </c>
      <c r="E9382" s="16">
        <f>IFERROR(__xludf.DUMMYFUNCTION("""COMPUTED_VALUE"""),66.0)</f>
        <v>66</v>
      </c>
      <c r="F9382" s="19" t="str">
        <f>IFERROR(__xludf.DUMMYFUNCTION("""COMPUTED_VALUE"""),"BLACK")</f>
        <v>BLACK</v>
      </c>
      <c r="G9382" s="20" t="str">
        <f>IFERROR(__xludf.DUMMYFUNCTION("""COMPUTED_VALUE"""),"Uncle Sams Cider (5/13/2022)")</f>
        <v>Uncle Sams Cider (5/13/2022)</v>
      </c>
      <c r="H9382" s="19"/>
    </row>
    <row r="9383">
      <c r="A9383" s="9"/>
      <c r="B9383" s="15"/>
      <c r="C9383" s="9">
        <f>IFERROR(__xludf.DUMMYFUNCTION("""COMPUTED_VALUE"""),44698.7627804398)</f>
        <v>44698.76278</v>
      </c>
      <c r="D9383" s="15">
        <f>IFERROR(__xludf.DUMMYFUNCTION("""COMPUTED_VALUE"""),1.08)</f>
        <v>1.08</v>
      </c>
      <c r="E9383" s="16">
        <f>IFERROR(__xludf.DUMMYFUNCTION("""COMPUTED_VALUE"""),66.0)</f>
        <v>66</v>
      </c>
      <c r="F9383" s="19" t="str">
        <f>IFERROR(__xludf.DUMMYFUNCTION("""COMPUTED_VALUE"""),"BLACK")</f>
        <v>BLACK</v>
      </c>
      <c r="G9383" s="20" t="str">
        <f>IFERROR(__xludf.DUMMYFUNCTION("""COMPUTED_VALUE"""),"Uncle Sams Cider (5/13/2022)")</f>
        <v>Uncle Sams Cider (5/13/2022)</v>
      </c>
      <c r="H9383" s="19"/>
    </row>
    <row r="9384">
      <c r="A9384" s="9"/>
      <c r="B9384" s="15"/>
      <c r="C9384" s="9">
        <f>IFERROR(__xludf.DUMMYFUNCTION("""COMPUTED_VALUE"""),44698.7523233564)</f>
        <v>44698.75232</v>
      </c>
      <c r="D9384" s="15">
        <f>IFERROR(__xludf.DUMMYFUNCTION("""COMPUTED_VALUE"""),1.08)</f>
        <v>1.08</v>
      </c>
      <c r="E9384" s="16">
        <f>IFERROR(__xludf.DUMMYFUNCTION("""COMPUTED_VALUE"""),66.0)</f>
        <v>66</v>
      </c>
      <c r="F9384" s="19" t="str">
        <f>IFERROR(__xludf.DUMMYFUNCTION("""COMPUTED_VALUE"""),"BLACK")</f>
        <v>BLACK</v>
      </c>
      <c r="G9384" s="20" t="str">
        <f>IFERROR(__xludf.DUMMYFUNCTION("""COMPUTED_VALUE"""),"Uncle Sams Cider (5/13/2022)")</f>
        <v>Uncle Sams Cider (5/13/2022)</v>
      </c>
      <c r="H9384" s="19"/>
    </row>
    <row r="9385">
      <c r="A9385" s="9"/>
      <c r="B9385" s="15"/>
      <c r="C9385" s="9">
        <f>IFERROR(__xludf.DUMMYFUNCTION("""COMPUTED_VALUE"""),44698.7419008912)</f>
        <v>44698.7419</v>
      </c>
      <c r="D9385" s="15">
        <f>IFERROR(__xludf.DUMMYFUNCTION("""COMPUTED_VALUE"""),1.08)</f>
        <v>1.08</v>
      </c>
      <c r="E9385" s="16">
        <f>IFERROR(__xludf.DUMMYFUNCTION("""COMPUTED_VALUE"""),66.0)</f>
        <v>66</v>
      </c>
      <c r="F9385" s="19" t="str">
        <f>IFERROR(__xludf.DUMMYFUNCTION("""COMPUTED_VALUE"""),"BLACK")</f>
        <v>BLACK</v>
      </c>
      <c r="G9385" s="20" t="str">
        <f>IFERROR(__xludf.DUMMYFUNCTION("""COMPUTED_VALUE"""),"Uncle Sams Cider (5/13/2022)")</f>
        <v>Uncle Sams Cider (5/13/2022)</v>
      </c>
      <c r="H9385" s="19"/>
    </row>
    <row r="9386">
      <c r="A9386" s="9"/>
      <c r="B9386" s="15"/>
      <c r="C9386" s="9">
        <f>IFERROR(__xludf.DUMMYFUNCTION("""COMPUTED_VALUE"""),44698.7314551273)</f>
        <v>44698.73146</v>
      </c>
      <c r="D9386" s="15">
        <f>IFERROR(__xludf.DUMMYFUNCTION("""COMPUTED_VALUE"""),1.08)</f>
        <v>1.08</v>
      </c>
      <c r="E9386" s="16">
        <f>IFERROR(__xludf.DUMMYFUNCTION("""COMPUTED_VALUE"""),66.0)</f>
        <v>66</v>
      </c>
      <c r="F9386" s="19" t="str">
        <f>IFERROR(__xludf.DUMMYFUNCTION("""COMPUTED_VALUE"""),"BLACK")</f>
        <v>BLACK</v>
      </c>
      <c r="G9386" s="20" t="str">
        <f>IFERROR(__xludf.DUMMYFUNCTION("""COMPUTED_VALUE"""),"Uncle Sams Cider (5/13/2022)")</f>
        <v>Uncle Sams Cider (5/13/2022)</v>
      </c>
      <c r="H9386" s="19"/>
    </row>
    <row r="9387">
      <c r="A9387" s="9"/>
      <c r="B9387" s="15"/>
      <c r="C9387" s="9">
        <f>IFERROR(__xludf.DUMMYFUNCTION("""COMPUTED_VALUE"""),44698.7210353125)</f>
        <v>44698.72104</v>
      </c>
      <c r="D9387" s="15">
        <f>IFERROR(__xludf.DUMMYFUNCTION("""COMPUTED_VALUE"""),1.08)</f>
        <v>1.08</v>
      </c>
      <c r="E9387" s="16">
        <f>IFERROR(__xludf.DUMMYFUNCTION("""COMPUTED_VALUE"""),66.0)</f>
        <v>66</v>
      </c>
      <c r="F9387" s="19" t="str">
        <f>IFERROR(__xludf.DUMMYFUNCTION("""COMPUTED_VALUE"""),"BLACK")</f>
        <v>BLACK</v>
      </c>
      <c r="G9387" s="20" t="str">
        <f>IFERROR(__xludf.DUMMYFUNCTION("""COMPUTED_VALUE"""),"Uncle Sams Cider (5/13/2022)")</f>
        <v>Uncle Sams Cider (5/13/2022)</v>
      </c>
      <c r="H9387" s="19"/>
    </row>
    <row r="9388">
      <c r="A9388" s="9"/>
      <c r="B9388" s="15"/>
      <c r="C9388" s="9">
        <f>IFERROR(__xludf.DUMMYFUNCTION("""COMPUTED_VALUE"""),44698.7106141087)</f>
        <v>44698.71061</v>
      </c>
      <c r="D9388" s="15">
        <f>IFERROR(__xludf.DUMMYFUNCTION("""COMPUTED_VALUE"""),1.081)</f>
        <v>1.081</v>
      </c>
      <c r="E9388" s="16">
        <f>IFERROR(__xludf.DUMMYFUNCTION("""COMPUTED_VALUE"""),66.0)</f>
        <v>66</v>
      </c>
      <c r="F9388" s="19" t="str">
        <f>IFERROR(__xludf.DUMMYFUNCTION("""COMPUTED_VALUE"""),"BLACK")</f>
        <v>BLACK</v>
      </c>
      <c r="G9388" s="20" t="str">
        <f>IFERROR(__xludf.DUMMYFUNCTION("""COMPUTED_VALUE"""),"Uncle Sams Cider (5/13/2022)")</f>
        <v>Uncle Sams Cider (5/13/2022)</v>
      </c>
      <c r="H9388" s="19"/>
    </row>
    <row r="9389">
      <c r="A9389" s="9"/>
      <c r="B9389" s="15"/>
      <c r="C9389" s="9">
        <f>IFERROR(__xludf.DUMMYFUNCTION("""COMPUTED_VALUE"""),44698.7001787037)</f>
        <v>44698.70018</v>
      </c>
      <c r="D9389" s="15">
        <f>IFERROR(__xludf.DUMMYFUNCTION("""COMPUTED_VALUE"""),1.081)</f>
        <v>1.081</v>
      </c>
      <c r="E9389" s="16">
        <f>IFERROR(__xludf.DUMMYFUNCTION("""COMPUTED_VALUE"""),66.0)</f>
        <v>66</v>
      </c>
      <c r="F9389" s="19" t="str">
        <f>IFERROR(__xludf.DUMMYFUNCTION("""COMPUTED_VALUE"""),"BLACK")</f>
        <v>BLACK</v>
      </c>
      <c r="G9389" s="20" t="str">
        <f>IFERROR(__xludf.DUMMYFUNCTION("""COMPUTED_VALUE"""),"Uncle Sams Cider (5/13/2022)")</f>
        <v>Uncle Sams Cider (5/13/2022)</v>
      </c>
      <c r="H9389" s="19"/>
    </row>
    <row r="9390">
      <c r="A9390" s="9"/>
      <c r="B9390" s="15"/>
      <c r="C9390" s="9">
        <f>IFERROR(__xludf.DUMMYFUNCTION("""COMPUTED_VALUE"""),44698.689758125)</f>
        <v>44698.68976</v>
      </c>
      <c r="D9390" s="15">
        <f>IFERROR(__xludf.DUMMYFUNCTION("""COMPUTED_VALUE"""),1.081)</f>
        <v>1.081</v>
      </c>
      <c r="E9390" s="16">
        <f>IFERROR(__xludf.DUMMYFUNCTION("""COMPUTED_VALUE"""),66.0)</f>
        <v>66</v>
      </c>
      <c r="F9390" s="19" t="str">
        <f>IFERROR(__xludf.DUMMYFUNCTION("""COMPUTED_VALUE"""),"BLACK")</f>
        <v>BLACK</v>
      </c>
      <c r="G9390" s="20" t="str">
        <f>IFERROR(__xludf.DUMMYFUNCTION("""COMPUTED_VALUE"""),"Uncle Sams Cider (5/13/2022)")</f>
        <v>Uncle Sams Cider (5/13/2022)</v>
      </c>
      <c r="H9390" s="19"/>
    </row>
    <row r="9391">
      <c r="A9391" s="9"/>
      <c r="B9391" s="15"/>
      <c r="C9391" s="9">
        <f>IFERROR(__xludf.DUMMYFUNCTION("""COMPUTED_VALUE"""),44698.6793264004)</f>
        <v>44698.67933</v>
      </c>
      <c r="D9391" s="15">
        <f>IFERROR(__xludf.DUMMYFUNCTION("""COMPUTED_VALUE"""),1.081)</f>
        <v>1.081</v>
      </c>
      <c r="E9391" s="16">
        <f>IFERROR(__xludf.DUMMYFUNCTION("""COMPUTED_VALUE"""),66.0)</f>
        <v>66</v>
      </c>
      <c r="F9391" s="19" t="str">
        <f>IFERROR(__xludf.DUMMYFUNCTION("""COMPUTED_VALUE"""),"BLACK")</f>
        <v>BLACK</v>
      </c>
      <c r="G9391" s="20" t="str">
        <f>IFERROR(__xludf.DUMMYFUNCTION("""COMPUTED_VALUE"""),"Uncle Sams Cider (5/13/2022)")</f>
        <v>Uncle Sams Cider (5/13/2022)</v>
      </c>
      <c r="H9391" s="19"/>
    </row>
    <row r="9392">
      <c r="A9392" s="9"/>
      <c r="B9392" s="15"/>
      <c r="C9392" s="9">
        <f>IFERROR(__xludf.DUMMYFUNCTION("""COMPUTED_VALUE"""),44698.6688944097)</f>
        <v>44698.66889</v>
      </c>
      <c r="D9392" s="15">
        <f>IFERROR(__xludf.DUMMYFUNCTION("""COMPUTED_VALUE"""),1.081)</f>
        <v>1.081</v>
      </c>
      <c r="E9392" s="16">
        <f>IFERROR(__xludf.DUMMYFUNCTION("""COMPUTED_VALUE"""),66.0)</f>
        <v>66</v>
      </c>
      <c r="F9392" s="19" t="str">
        <f>IFERROR(__xludf.DUMMYFUNCTION("""COMPUTED_VALUE"""),"BLACK")</f>
        <v>BLACK</v>
      </c>
      <c r="G9392" s="20" t="str">
        <f>IFERROR(__xludf.DUMMYFUNCTION("""COMPUTED_VALUE"""),"Uncle Sams Cider (5/13/2022)")</f>
        <v>Uncle Sams Cider (5/13/2022)</v>
      </c>
      <c r="H9392" s="19"/>
    </row>
    <row r="9393">
      <c r="A9393" s="9"/>
      <c r="B9393" s="15"/>
      <c r="C9393" s="9">
        <f>IFERROR(__xludf.DUMMYFUNCTION("""COMPUTED_VALUE"""),44698.6584745138)</f>
        <v>44698.65847</v>
      </c>
      <c r="D9393" s="15">
        <f>IFERROR(__xludf.DUMMYFUNCTION("""COMPUTED_VALUE"""),1.081)</f>
        <v>1.081</v>
      </c>
      <c r="E9393" s="16">
        <f>IFERROR(__xludf.DUMMYFUNCTION("""COMPUTED_VALUE"""),66.0)</f>
        <v>66</v>
      </c>
      <c r="F9393" s="19" t="str">
        <f>IFERROR(__xludf.DUMMYFUNCTION("""COMPUTED_VALUE"""),"BLACK")</f>
        <v>BLACK</v>
      </c>
      <c r="G9393" s="20" t="str">
        <f>IFERROR(__xludf.DUMMYFUNCTION("""COMPUTED_VALUE"""),"Uncle Sams Cider (5/13/2022)")</f>
        <v>Uncle Sams Cider (5/13/2022)</v>
      </c>
      <c r="H9393" s="19"/>
    </row>
    <row r="9394">
      <c r="A9394" s="9"/>
      <c r="B9394" s="15"/>
      <c r="C9394" s="9">
        <f>IFERROR(__xludf.DUMMYFUNCTION("""COMPUTED_VALUE"""),44698.6480537384)</f>
        <v>44698.64805</v>
      </c>
      <c r="D9394" s="15">
        <f>IFERROR(__xludf.DUMMYFUNCTION("""COMPUTED_VALUE"""),1.081)</f>
        <v>1.081</v>
      </c>
      <c r="E9394" s="16">
        <f>IFERROR(__xludf.DUMMYFUNCTION("""COMPUTED_VALUE"""),66.0)</f>
        <v>66</v>
      </c>
      <c r="F9394" s="19" t="str">
        <f>IFERROR(__xludf.DUMMYFUNCTION("""COMPUTED_VALUE"""),"BLACK")</f>
        <v>BLACK</v>
      </c>
      <c r="G9394" s="20" t="str">
        <f>IFERROR(__xludf.DUMMYFUNCTION("""COMPUTED_VALUE"""),"Uncle Sams Cider (5/13/2022)")</f>
        <v>Uncle Sams Cider (5/13/2022)</v>
      </c>
      <c r="H9394" s="19"/>
    </row>
    <row r="9395">
      <c r="A9395" s="9"/>
      <c r="B9395" s="15"/>
      <c r="C9395" s="9">
        <f>IFERROR(__xludf.DUMMYFUNCTION("""COMPUTED_VALUE"""),44698.6376087963)</f>
        <v>44698.63761</v>
      </c>
      <c r="D9395" s="15">
        <f>IFERROR(__xludf.DUMMYFUNCTION("""COMPUTED_VALUE"""),1.081)</f>
        <v>1.081</v>
      </c>
      <c r="E9395" s="16">
        <f>IFERROR(__xludf.DUMMYFUNCTION("""COMPUTED_VALUE"""),66.0)</f>
        <v>66</v>
      </c>
      <c r="F9395" s="19" t="str">
        <f>IFERROR(__xludf.DUMMYFUNCTION("""COMPUTED_VALUE"""),"BLACK")</f>
        <v>BLACK</v>
      </c>
      <c r="G9395" s="20" t="str">
        <f>IFERROR(__xludf.DUMMYFUNCTION("""COMPUTED_VALUE"""),"Uncle Sams Cider (5/13/2022)")</f>
        <v>Uncle Sams Cider (5/13/2022)</v>
      </c>
      <c r="H9395" s="19"/>
    </row>
    <row r="9396">
      <c r="A9396" s="9"/>
      <c r="B9396" s="15"/>
      <c r="C9396" s="9">
        <f>IFERROR(__xludf.DUMMYFUNCTION("""COMPUTED_VALUE"""),44698.627188449)</f>
        <v>44698.62719</v>
      </c>
      <c r="D9396" s="15">
        <f>IFERROR(__xludf.DUMMYFUNCTION("""COMPUTED_VALUE"""),1.081)</f>
        <v>1.081</v>
      </c>
      <c r="E9396" s="16">
        <f>IFERROR(__xludf.DUMMYFUNCTION("""COMPUTED_VALUE"""),66.0)</f>
        <v>66</v>
      </c>
      <c r="F9396" s="19" t="str">
        <f>IFERROR(__xludf.DUMMYFUNCTION("""COMPUTED_VALUE"""),"BLACK")</f>
        <v>BLACK</v>
      </c>
      <c r="G9396" s="20" t="str">
        <f>IFERROR(__xludf.DUMMYFUNCTION("""COMPUTED_VALUE"""),"Uncle Sams Cider (5/13/2022)")</f>
        <v>Uncle Sams Cider (5/13/2022)</v>
      </c>
      <c r="H9396" s="19"/>
    </row>
    <row r="9397">
      <c r="A9397" s="9"/>
      <c r="B9397" s="15"/>
      <c r="C9397" s="9">
        <f>IFERROR(__xludf.DUMMYFUNCTION("""COMPUTED_VALUE"""),44698.6167553935)</f>
        <v>44698.61676</v>
      </c>
      <c r="D9397" s="15">
        <f>IFERROR(__xludf.DUMMYFUNCTION("""COMPUTED_VALUE"""),1.081)</f>
        <v>1.081</v>
      </c>
      <c r="E9397" s="16">
        <f>IFERROR(__xludf.DUMMYFUNCTION("""COMPUTED_VALUE"""),65.0)</f>
        <v>65</v>
      </c>
      <c r="F9397" s="19" t="str">
        <f>IFERROR(__xludf.DUMMYFUNCTION("""COMPUTED_VALUE"""),"BLACK")</f>
        <v>BLACK</v>
      </c>
      <c r="G9397" s="20" t="str">
        <f>IFERROR(__xludf.DUMMYFUNCTION("""COMPUTED_VALUE"""),"Uncle Sams Cider (5/13/2022)")</f>
        <v>Uncle Sams Cider (5/13/2022)</v>
      </c>
      <c r="H9397" s="19"/>
    </row>
    <row r="9398">
      <c r="A9398" s="9"/>
      <c r="B9398" s="15"/>
      <c r="C9398" s="9">
        <f>IFERROR(__xludf.DUMMYFUNCTION("""COMPUTED_VALUE"""),44698.6063350347)</f>
        <v>44698.60634</v>
      </c>
      <c r="D9398" s="15">
        <f>IFERROR(__xludf.DUMMYFUNCTION("""COMPUTED_VALUE"""),1.082)</f>
        <v>1.082</v>
      </c>
      <c r="E9398" s="16">
        <f>IFERROR(__xludf.DUMMYFUNCTION("""COMPUTED_VALUE"""),65.0)</f>
        <v>65</v>
      </c>
      <c r="F9398" s="19" t="str">
        <f>IFERROR(__xludf.DUMMYFUNCTION("""COMPUTED_VALUE"""),"BLACK")</f>
        <v>BLACK</v>
      </c>
      <c r="G9398" s="20" t="str">
        <f>IFERROR(__xludf.DUMMYFUNCTION("""COMPUTED_VALUE"""),"Uncle Sams Cider (5/13/2022)")</f>
        <v>Uncle Sams Cider (5/13/2022)</v>
      </c>
      <c r="H9398" s="19"/>
    </row>
    <row r="9399">
      <c r="A9399" s="9"/>
      <c r="B9399" s="15"/>
      <c r="C9399" s="9">
        <f>IFERROR(__xludf.DUMMYFUNCTION("""COMPUTED_VALUE"""),44698.5959151388)</f>
        <v>44698.59592</v>
      </c>
      <c r="D9399" s="15">
        <f>IFERROR(__xludf.DUMMYFUNCTION("""COMPUTED_VALUE"""),1.082)</f>
        <v>1.082</v>
      </c>
      <c r="E9399" s="16">
        <f>IFERROR(__xludf.DUMMYFUNCTION("""COMPUTED_VALUE"""),65.0)</f>
        <v>65</v>
      </c>
      <c r="F9399" s="19" t="str">
        <f>IFERROR(__xludf.DUMMYFUNCTION("""COMPUTED_VALUE"""),"BLACK")</f>
        <v>BLACK</v>
      </c>
      <c r="G9399" s="20" t="str">
        <f>IFERROR(__xludf.DUMMYFUNCTION("""COMPUTED_VALUE"""),"Uncle Sams Cider (5/13/2022)")</f>
        <v>Uncle Sams Cider (5/13/2022)</v>
      </c>
      <c r="H9399" s="19"/>
    </row>
    <row r="9400">
      <c r="A9400" s="9"/>
      <c r="B9400" s="15"/>
      <c r="C9400" s="9">
        <f>IFERROR(__xludf.DUMMYFUNCTION("""COMPUTED_VALUE"""),44698.5854710416)</f>
        <v>44698.58547</v>
      </c>
      <c r="D9400" s="15">
        <f>IFERROR(__xludf.DUMMYFUNCTION("""COMPUTED_VALUE"""),1.082)</f>
        <v>1.082</v>
      </c>
      <c r="E9400" s="16">
        <f>IFERROR(__xludf.DUMMYFUNCTION("""COMPUTED_VALUE"""),65.0)</f>
        <v>65</v>
      </c>
      <c r="F9400" s="19" t="str">
        <f>IFERROR(__xludf.DUMMYFUNCTION("""COMPUTED_VALUE"""),"BLACK")</f>
        <v>BLACK</v>
      </c>
      <c r="G9400" s="20" t="str">
        <f>IFERROR(__xludf.DUMMYFUNCTION("""COMPUTED_VALUE"""),"Uncle Sams Cider (5/13/2022)")</f>
        <v>Uncle Sams Cider (5/13/2022)</v>
      </c>
      <c r="H9400" s="19"/>
    </row>
    <row r="9401">
      <c r="A9401" s="9"/>
      <c r="B9401" s="15"/>
      <c r="C9401" s="9">
        <f>IFERROR(__xludf.DUMMYFUNCTION("""COMPUTED_VALUE"""),44698.5750503935)</f>
        <v>44698.57505</v>
      </c>
      <c r="D9401" s="15">
        <f>IFERROR(__xludf.DUMMYFUNCTION("""COMPUTED_VALUE"""),1.082)</f>
        <v>1.082</v>
      </c>
      <c r="E9401" s="16">
        <f>IFERROR(__xludf.DUMMYFUNCTION("""COMPUTED_VALUE"""),65.0)</f>
        <v>65</v>
      </c>
      <c r="F9401" s="19" t="str">
        <f>IFERROR(__xludf.DUMMYFUNCTION("""COMPUTED_VALUE"""),"BLACK")</f>
        <v>BLACK</v>
      </c>
      <c r="G9401" s="20" t="str">
        <f>IFERROR(__xludf.DUMMYFUNCTION("""COMPUTED_VALUE"""),"Uncle Sams Cider (5/13/2022)")</f>
        <v>Uncle Sams Cider (5/13/2022)</v>
      </c>
      <c r="H9401" s="19"/>
    </row>
    <row r="9402">
      <c r="A9402" s="9"/>
      <c r="B9402" s="15"/>
      <c r="C9402" s="9">
        <f>IFERROR(__xludf.DUMMYFUNCTION("""COMPUTED_VALUE"""),44698.5646177777)</f>
        <v>44698.56462</v>
      </c>
      <c r="D9402" s="15">
        <f>IFERROR(__xludf.DUMMYFUNCTION("""COMPUTED_VALUE"""),1.082)</f>
        <v>1.082</v>
      </c>
      <c r="E9402" s="16">
        <f>IFERROR(__xludf.DUMMYFUNCTION("""COMPUTED_VALUE"""),65.0)</f>
        <v>65</v>
      </c>
      <c r="F9402" s="19" t="str">
        <f>IFERROR(__xludf.DUMMYFUNCTION("""COMPUTED_VALUE"""),"BLACK")</f>
        <v>BLACK</v>
      </c>
      <c r="G9402" s="20" t="str">
        <f>IFERROR(__xludf.DUMMYFUNCTION("""COMPUTED_VALUE"""),"Uncle Sams Cider (5/13/2022)")</f>
        <v>Uncle Sams Cider (5/13/2022)</v>
      </c>
      <c r="H9402" s="19"/>
    </row>
    <row r="9403">
      <c r="A9403" s="9"/>
      <c r="B9403" s="15"/>
      <c r="C9403" s="9">
        <f>IFERROR(__xludf.DUMMYFUNCTION("""COMPUTED_VALUE"""),44698.5541987615)</f>
        <v>44698.5542</v>
      </c>
      <c r="D9403" s="15">
        <f>IFERROR(__xludf.DUMMYFUNCTION("""COMPUTED_VALUE"""),1.082)</f>
        <v>1.082</v>
      </c>
      <c r="E9403" s="16">
        <f>IFERROR(__xludf.DUMMYFUNCTION("""COMPUTED_VALUE"""),65.0)</f>
        <v>65</v>
      </c>
      <c r="F9403" s="19" t="str">
        <f>IFERROR(__xludf.DUMMYFUNCTION("""COMPUTED_VALUE"""),"BLACK")</f>
        <v>BLACK</v>
      </c>
      <c r="G9403" s="20" t="str">
        <f>IFERROR(__xludf.DUMMYFUNCTION("""COMPUTED_VALUE"""),"Uncle Sams Cider (5/13/2022)")</f>
        <v>Uncle Sams Cider (5/13/2022)</v>
      </c>
      <c r="H9403" s="19"/>
    </row>
    <row r="9404">
      <c r="A9404" s="9"/>
      <c r="B9404" s="15"/>
      <c r="C9404" s="9">
        <f>IFERROR(__xludf.DUMMYFUNCTION("""COMPUTED_VALUE"""),44698.5437784375)</f>
        <v>44698.54378</v>
      </c>
      <c r="D9404" s="15">
        <f>IFERROR(__xludf.DUMMYFUNCTION("""COMPUTED_VALUE"""),1.082)</f>
        <v>1.082</v>
      </c>
      <c r="E9404" s="16">
        <f>IFERROR(__xludf.DUMMYFUNCTION("""COMPUTED_VALUE"""),65.0)</f>
        <v>65</v>
      </c>
      <c r="F9404" s="19" t="str">
        <f>IFERROR(__xludf.DUMMYFUNCTION("""COMPUTED_VALUE"""),"BLACK")</f>
        <v>BLACK</v>
      </c>
      <c r="G9404" s="20" t="str">
        <f>IFERROR(__xludf.DUMMYFUNCTION("""COMPUTED_VALUE"""),"Uncle Sams Cider (5/13/2022)")</f>
        <v>Uncle Sams Cider (5/13/2022)</v>
      </c>
      <c r="H9404" s="19"/>
    </row>
    <row r="9405">
      <c r="A9405" s="9"/>
      <c r="B9405" s="15"/>
      <c r="C9405" s="9">
        <f>IFERROR(__xludf.DUMMYFUNCTION("""COMPUTED_VALUE"""),44698.5333456713)</f>
        <v>44698.53335</v>
      </c>
      <c r="D9405" s="15">
        <f>IFERROR(__xludf.DUMMYFUNCTION("""COMPUTED_VALUE"""),1.082)</f>
        <v>1.082</v>
      </c>
      <c r="E9405" s="16">
        <f>IFERROR(__xludf.DUMMYFUNCTION("""COMPUTED_VALUE"""),66.0)</f>
        <v>66</v>
      </c>
      <c r="F9405" s="19" t="str">
        <f>IFERROR(__xludf.DUMMYFUNCTION("""COMPUTED_VALUE"""),"BLACK")</f>
        <v>BLACK</v>
      </c>
      <c r="G9405" s="20" t="str">
        <f>IFERROR(__xludf.DUMMYFUNCTION("""COMPUTED_VALUE"""),"Uncle Sams Cider (5/13/2022)")</f>
        <v>Uncle Sams Cider (5/13/2022)</v>
      </c>
      <c r="H9405" s="19"/>
    </row>
    <row r="9406">
      <c r="A9406" s="9"/>
      <c r="B9406" s="15"/>
      <c r="C9406" s="9">
        <f>IFERROR(__xludf.DUMMYFUNCTION("""COMPUTED_VALUE"""),44698.5229243634)</f>
        <v>44698.52292</v>
      </c>
      <c r="D9406" s="15">
        <f>IFERROR(__xludf.DUMMYFUNCTION("""COMPUTED_VALUE"""),1.082)</f>
        <v>1.082</v>
      </c>
      <c r="E9406" s="16">
        <f>IFERROR(__xludf.DUMMYFUNCTION("""COMPUTED_VALUE"""),68.0)</f>
        <v>68</v>
      </c>
      <c r="F9406" s="19" t="str">
        <f>IFERROR(__xludf.DUMMYFUNCTION("""COMPUTED_VALUE"""),"BLACK")</f>
        <v>BLACK</v>
      </c>
      <c r="G9406" s="20" t="str">
        <f>IFERROR(__xludf.DUMMYFUNCTION("""COMPUTED_VALUE"""),"Uncle Sams Cider (5/13/2022)")</f>
        <v>Uncle Sams Cider (5/13/2022)</v>
      </c>
      <c r="H9406" s="19"/>
    </row>
    <row r="9407">
      <c r="A9407" s="9"/>
      <c r="B9407" s="15"/>
      <c r="C9407" s="9">
        <f>IFERROR(__xludf.DUMMYFUNCTION("""COMPUTED_VALUE"""),44698.5125018865)</f>
        <v>44698.5125</v>
      </c>
      <c r="D9407" s="15">
        <f>IFERROR(__xludf.DUMMYFUNCTION("""COMPUTED_VALUE"""),1.082)</f>
        <v>1.082</v>
      </c>
      <c r="E9407" s="16">
        <f>IFERROR(__xludf.DUMMYFUNCTION("""COMPUTED_VALUE"""),69.0)</f>
        <v>69</v>
      </c>
      <c r="F9407" s="19" t="str">
        <f>IFERROR(__xludf.DUMMYFUNCTION("""COMPUTED_VALUE"""),"BLACK")</f>
        <v>BLACK</v>
      </c>
      <c r="G9407" s="20" t="str">
        <f>IFERROR(__xludf.DUMMYFUNCTION("""COMPUTED_VALUE"""),"Uncle Sams Cider (5/13/2022)")</f>
        <v>Uncle Sams Cider (5/13/2022)</v>
      </c>
      <c r="H9407" s="19"/>
    </row>
    <row r="9408">
      <c r="A9408" s="9"/>
      <c r="B9408" s="15"/>
      <c r="C9408" s="9">
        <f>IFERROR(__xludf.DUMMYFUNCTION("""COMPUTED_VALUE"""),44698.502068125)</f>
        <v>44698.50207</v>
      </c>
      <c r="D9408" s="15">
        <f>IFERROR(__xludf.DUMMYFUNCTION("""COMPUTED_VALUE"""),1.082)</f>
        <v>1.082</v>
      </c>
      <c r="E9408" s="16">
        <f>IFERROR(__xludf.DUMMYFUNCTION("""COMPUTED_VALUE"""),70.0)</f>
        <v>70</v>
      </c>
      <c r="F9408" s="19" t="str">
        <f>IFERROR(__xludf.DUMMYFUNCTION("""COMPUTED_VALUE"""),"BLACK")</f>
        <v>BLACK</v>
      </c>
      <c r="G9408" s="20" t="str">
        <f>IFERROR(__xludf.DUMMYFUNCTION("""COMPUTED_VALUE"""),"Uncle Sams Cider (5/13/2022)")</f>
        <v>Uncle Sams Cider (5/13/2022)</v>
      </c>
      <c r="H9408" s="19"/>
    </row>
    <row r="9409">
      <c r="A9409" s="9"/>
      <c r="B9409" s="15"/>
      <c r="C9409" s="9">
        <f>IFERROR(__xludf.DUMMYFUNCTION("""COMPUTED_VALUE"""),44698.4916476273)</f>
        <v>44698.49165</v>
      </c>
      <c r="D9409" s="15">
        <f>IFERROR(__xludf.DUMMYFUNCTION("""COMPUTED_VALUE"""),1.082)</f>
        <v>1.082</v>
      </c>
      <c r="E9409" s="16">
        <f>IFERROR(__xludf.DUMMYFUNCTION("""COMPUTED_VALUE"""),70.0)</f>
        <v>70</v>
      </c>
      <c r="F9409" s="19" t="str">
        <f>IFERROR(__xludf.DUMMYFUNCTION("""COMPUTED_VALUE"""),"BLACK")</f>
        <v>BLACK</v>
      </c>
      <c r="G9409" s="20" t="str">
        <f>IFERROR(__xludf.DUMMYFUNCTION("""COMPUTED_VALUE"""),"Uncle Sams Cider (5/13/2022)")</f>
        <v>Uncle Sams Cider (5/13/2022)</v>
      </c>
      <c r="H9409" s="19"/>
    </row>
    <row r="9410">
      <c r="A9410" s="9"/>
      <c r="B9410" s="15"/>
      <c r="C9410" s="9">
        <f>IFERROR(__xludf.DUMMYFUNCTION("""COMPUTED_VALUE"""),44698.4812149768)</f>
        <v>44698.48121</v>
      </c>
      <c r="D9410" s="15">
        <f>IFERROR(__xludf.DUMMYFUNCTION("""COMPUTED_VALUE"""),1.082)</f>
        <v>1.082</v>
      </c>
      <c r="E9410" s="16">
        <f>IFERROR(__xludf.DUMMYFUNCTION("""COMPUTED_VALUE"""),70.0)</f>
        <v>70</v>
      </c>
      <c r="F9410" s="19" t="str">
        <f>IFERROR(__xludf.DUMMYFUNCTION("""COMPUTED_VALUE"""),"BLACK")</f>
        <v>BLACK</v>
      </c>
      <c r="G9410" s="20" t="str">
        <f>IFERROR(__xludf.DUMMYFUNCTION("""COMPUTED_VALUE"""),"Uncle Sams Cider (5/13/2022)")</f>
        <v>Uncle Sams Cider (5/13/2022)</v>
      </c>
      <c r="H9410" s="19"/>
    </row>
    <row r="9411">
      <c r="A9411" s="9"/>
      <c r="B9411" s="15"/>
      <c r="C9411" s="9">
        <f>IFERROR(__xludf.DUMMYFUNCTION("""COMPUTED_VALUE"""),44698.4707832407)</f>
        <v>44698.47078</v>
      </c>
      <c r="D9411" s="15">
        <f>IFERROR(__xludf.DUMMYFUNCTION("""COMPUTED_VALUE"""),1.083)</f>
        <v>1.083</v>
      </c>
      <c r="E9411" s="16">
        <f>IFERROR(__xludf.DUMMYFUNCTION("""COMPUTED_VALUE"""),69.0)</f>
        <v>69</v>
      </c>
      <c r="F9411" s="19" t="str">
        <f>IFERROR(__xludf.DUMMYFUNCTION("""COMPUTED_VALUE"""),"BLACK")</f>
        <v>BLACK</v>
      </c>
      <c r="G9411" s="20" t="str">
        <f>IFERROR(__xludf.DUMMYFUNCTION("""COMPUTED_VALUE"""),"Uncle Sams Cider (5/13/2022)")</f>
        <v>Uncle Sams Cider (5/13/2022)</v>
      </c>
      <c r="H9411" s="19"/>
    </row>
    <row r="9412">
      <c r="A9412" s="9"/>
      <c r="B9412" s="15"/>
      <c r="C9412" s="9">
        <f>IFERROR(__xludf.DUMMYFUNCTION("""COMPUTED_VALUE"""),44698.4603616319)</f>
        <v>44698.46036</v>
      </c>
      <c r="D9412" s="15">
        <f>IFERROR(__xludf.DUMMYFUNCTION("""COMPUTED_VALUE"""),1.083)</f>
        <v>1.083</v>
      </c>
      <c r="E9412" s="16">
        <f>IFERROR(__xludf.DUMMYFUNCTION("""COMPUTED_VALUE"""),69.0)</f>
        <v>69</v>
      </c>
      <c r="F9412" s="19" t="str">
        <f>IFERROR(__xludf.DUMMYFUNCTION("""COMPUTED_VALUE"""),"BLACK")</f>
        <v>BLACK</v>
      </c>
      <c r="G9412" s="20" t="str">
        <f>IFERROR(__xludf.DUMMYFUNCTION("""COMPUTED_VALUE"""),"Uncle Sams Cider (5/13/2022)")</f>
        <v>Uncle Sams Cider (5/13/2022)</v>
      </c>
      <c r="H9412" s="19"/>
    </row>
    <row r="9413">
      <c r="A9413" s="9"/>
      <c r="B9413" s="15"/>
      <c r="C9413" s="9">
        <f>IFERROR(__xludf.DUMMYFUNCTION("""COMPUTED_VALUE"""),44698.4499287268)</f>
        <v>44698.44993</v>
      </c>
      <c r="D9413" s="15">
        <f>IFERROR(__xludf.DUMMYFUNCTION("""COMPUTED_VALUE"""),1.083)</f>
        <v>1.083</v>
      </c>
      <c r="E9413" s="16">
        <f>IFERROR(__xludf.DUMMYFUNCTION("""COMPUTED_VALUE"""),69.0)</f>
        <v>69</v>
      </c>
      <c r="F9413" s="19" t="str">
        <f>IFERROR(__xludf.DUMMYFUNCTION("""COMPUTED_VALUE"""),"BLACK")</f>
        <v>BLACK</v>
      </c>
      <c r="G9413" s="20" t="str">
        <f>IFERROR(__xludf.DUMMYFUNCTION("""COMPUTED_VALUE"""),"Uncle Sams Cider (5/13/2022)")</f>
        <v>Uncle Sams Cider (5/13/2022)</v>
      </c>
      <c r="H9413" s="19"/>
    </row>
    <row r="9414">
      <c r="A9414" s="9"/>
      <c r="B9414" s="15"/>
      <c r="C9414" s="9">
        <f>IFERROR(__xludf.DUMMYFUNCTION("""COMPUTED_VALUE"""),44698.4395058333)</f>
        <v>44698.43951</v>
      </c>
      <c r="D9414" s="15">
        <f>IFERROR(__xludf.DUMMYFUNCTION("""COMPUTED_VALUE"""),1.083)</f>
        <v>1.083</v>
      </c>
      <c r="E9414" s="16">
        <f>IFERROR(__xludf.DUMMYFUNCTION("""COMPUTED_VALUE"""),69.0)</f>
        <v>69</v>
      </c>
      <c r="F9414" s="19" t="str">
        <f>IFERROR(__xludf.DUMMYFUNCTION("""COMPUTED_VALUE"""),"BLACK")</f>
        <v>BLACK</v>
      </c>
      <c r="G9414" s="20" t="str">
        <f>IFERROR(__xludf.DUMMYFUNCTION("""COMPUTED_VALUE"""),"Uncle Sams Cider (5/13/2022)")</f>
        <v>Uncle Sams Cider (5/13/2022)</v>
      </c>
      <c r="H9414" s="19"/>
    </row>
    <row r="9415">
      <c r="A9415" s="9"/>
      <c r="B9415" s="15"/>
      <c r="C9415" s="9">
        <f>IFERROR(__xludf.DUMMYFUNCTION("""COMPUTED_VALUE"""),44698.4290846759)</f>
        <v>44698.42908</v>
      </c>
      <c r="D9415" s="15">
        <f>IFERROR(__xludf.DUMMYFUNCTION("""COMPUTED_VALUE"""),1.083)</f>
        <v>1.083</v>
      </c>
      <c r="E9415" s="16">
        <f>IFERROR(__xludf.DUMMYFUNCTION("""COMPUTED_VALUE"""),69.0)</f>
        <v>69</v>
      </c>
      <c r="F9415" s="19" t="str">
        <f>IFERROR(__xludf.DUMMYFUNCTION("""COMPUTED_VALUE"""),"BLACK")</f>
        <v>BLACK</v>
      </c>
      <c r="G9415" s="20" t="str">
        <f>IFERROR(__xludf.DUMMYFUNCTION("""COMPUTED_VALUE"""),"Uncle Sams Cider (5/13/2022)")</f>
        <v>Uncle Sams Cider (5/13/2022)</v>
      </c>
      <c r="H9415" s="19"/>
    </row>
    <row r="9416">
      <c r="A9416" s="9"/>
      <c r="B9416" s="15"/>
      <c r="C9416" s="9">
        <f>IFERROR(__xludf.DUMMYFUNCTION("""COMPUTED_VALUE"""),44698.4186625)</f>
        <v>44698.41866</v>
      </c>
      <c r="D9416" s="15">
        <f>IFERROR(__xludf.DUMMYFUNCTION("""COMPUTED_VALUE"""),1.083)</f>
        <v>1.083</v>
      </c>
      <c r="E9416" s="16">
        <f>IFERROR(__xludf.DUMMYFUNCTION("""COMPUTED_VALUE"""),69.0)</f>
        <v>69</v>
      </c>
      <c r="F9416" s="19" t="str">
        <f>IFERROR(__xludf.DUMMYFUNCTION("""COMPUTED_VALUE"""),"BLACK")</f>
        <v>BLACK</v>
      </c>
      <c r="G9416" s="20" t="str">
        <f>IFERROR(__xludf.DUMMYFUNCTION("""COMPUTED_VALUE"""),"Uncle Sams Cider (5/13/2022)")</f>
        <v>Uncle Sams Cider (5/13/2022)</v>
      </c>
      <c r="H9416" s="19"/>
    </row>
    <row r="9417">
      <c r="A9417" s="9"/>
      <c r="B9417" s="15"/>
      <c r="C9417" s="9">
        <f>IFERROR(__xludf.DUMMYFUNCTION("""COMPUTED_VALUE"""),44698.4082185069)</f>
        <v>44698.40822</v>
      </c>
      <c r="D9417" s="15">
        <f>IFERROR(__xludf.DUMMYFUNCTION("""COMPUTED_VALUE"""),1.083)</f>
        <v>1.083</v>
      </c>
      <c r="E9417" s="16">
        <f>IFERROR(__xludf.DUMMYFUNCTION("""COMPUTED_VALUE"""),69.0)</f>
        <v>69</v>
      </c>
      <c r="F9417" s="19" t="str">
        <f>IFERROR(__xludf.DUMMYFUNCTION("""COMPUTED_VALUE"""),"BLACK")</f>
        <v>BLACK</v>
      </c>
      <c r="G9417" s="20" t="str">
        <f>IFERROR(__xludf.DUMMYFUNCTION("""COMPUTED_VALUE"""),"Uncle Sams Cider (5/13/2022)")</f>
        <v>Uncle Sams Cider (5/13/2022)</v>
      </c>
      <c r="H9417" s="19"/>
    </row>
    <row r="9418">
      <c r="A9418" s="9"/>
      <c r="B9418" s="15"/>
      <c r="C9418" s="9">
        <f>IFERROR(__xludf.DUMMYFUNCTION("""COMPUTED_VALUE"""),44698.3977989814)</f>
        <v>44698.3978</v>
      </c>
      <c r="D9418" s="15">
        <f>IFERROR(__xludf.DUMMYFUNCTION("""COMPUTED_VALUE"""),1.083)</f>
        <v>1.083</v>
      </c>
      <c r="E9418" s="16">
        <f>IFERROR(__xludf.DUMMYFUNCTION("""COMPUTED_VALUE"""),69.0)</f>
        <v>69</v>
      </c>
      <c r="F9418" s="19" t="str">
        <f>IFERROR(__xludf.DUMMYFUNCTION("""COMPUTED_VALUE"""),"BLACK")</f>
        <v>BLACK</v>
      </c>
      <c r="G9418" s="20" t="str">
        <f>IFERROR(__xludf.DUMMYFUNCTION("""COMPUTED_VALUE"""),"Uncle Sams Cider (5/13/2022)")</f>
        <v>Uncle Sams Cider (5/13/2022)</v>
      </c>
      <c r="H9418" s="19"/>
    </row>
    <row r="9419">
      <c r="A9419" s="9"/>
      <c r="B9419" s="15"/>
      <c r="C9419" s="9">
        <f>IFERROR(__xludf.DUMMYFUNCTION("""COMPUTED_VALUE"""),44698.3873769328)</f>
        <v>44698.38738</v>
      </c>
      <c r="D9419" s="15">
        <f>IFERROR(__xludf.DUMMYFUNCTION("""COMPUTED_VALUE"""),1.084)</f>
        <v>1.084</v>
      </c>
      <c r="E9419" s="16">
        <f>IFERROR(__xludf.DUMMYFUNCTION("""COMPUTED_VALUE"""),69.0)</f>
        <v>69</v>
      </c>
      <c r="F9419" s="19" t="str">
        <f>IFERROR(__xludf.DUMMYFUNCTION("""COMPUTED_VALUE"""),"BLACK")</f>
        <v>BLACK</v>
      </c>
      <c r="G9419" s="20" t="str">
        <f>IFERROR(__xludf.DUMMYFUNCTION("""COMPUTED_VALUE"""),"Uncle Sams Cider (5/13/2022)")</f>
        <v>Uncle Sams Cider (5/13/2022)</v>
      </c>
      <c r="H9419" s="19"/>
    </row>
    <row r="9420">
      <c r="A9420" s="9"/>
      <c r="B9420" s="15"/>
      <c r="C9420" s="9">
        <f>IFERROR(__xludf.DUMMYFUNCTION("""COMPUTED_VALUE"""),44698.3769562847)</f>
        <v>44698.37696</v>
      </c>
      <c r="D9420" s="15">
        <f>IFERROR(__xludf.DUMMYFUNCTION("""COMPUTED_VALUE"""),1.083)</f>
        <v>1.083</v>
      </c>
      <c r="E9420" s="16">
        <f>IFERROR(__xludf.DUMMYFUNCTION("""COMPUTED_VALUE"""),69.0)</f>
        <v>69</v>
      </c>
      <c r="F9420" s="19" t="str">
        <f>IFERROR(__xludf.DUMMYFUNCTION("""COMPUTED_VALUE"""),"BLACK")</f>
        <v>BLACK</v>
      </c>
      <c r="G9420" s="20" t="str">
        <f>IFERROR(__xludf.DUMMYFUNCTION("""COMPUTED_VALUE"""),"Uncle Sams Cider (5/13/2022)")</f>
        <v>Uncle Sams Cider (5/13/2022)</v>
      </c>
      <c r="H9420" s="19"/>
    </row>
    <row r="9421">
      <c r="A9421" s="9"/>
      <c r="B9421" s="15"/>
      <c r="C9421" s="9">
        <f>IFERROR(__xludf.DUMMYFUNCTION("""COMPUTED_VALUE"""),44698.3665353819)</f>
        <v>44698.36654</v>
      </c>
      <c r="D9421" s="15">
        <f>IFERROR(__xludf.DUMMYFUNCTION("""COMPUTED_VALUE"""),1.084)</f>
        <v>1.084</v>
      </c>
      <c r="E9421" s="16">
        <f>IFERROR(__xludf.DUMMYFUNCTION("""COMPUTED_VALUE"""),69.0)</f>
        <v>69</v>
      </c>
      <c r="F9421" s="19" t="str">
        <f>IFERROR(__xludf.DUMMYFUNCTION("""COMPUTED_VALUE"""),"BLACK")</f>
        <v>BLACK</v>
      </c>
      <c r="G9421" s="20" t="str">
        <f>IFERROR(__xludf.DUMMYFUNCTION("""COMPUTED_VALUE"""),"Uncle Sams Cider (5/13/2022)")</f>
        <v>Uncle Sams Cider (5/13/2022)</v>
      </c>
      <c r="H9421" s="19"/>
    </row>
    <row r="9422">
      <c r="A9422" s="9"/>
      <c r="B9422" s="15"/>
      <c r="C9422" s="9">
        <f>IFERROR(__xludf.DUMMYFUNCTION("""COMPUTED_VALUE"""),44698.3561023032)</f>
        <v>44698.3561</v>
      </c>
      <c r="D9422" s="15">
        <f>IFERROR(__xludf.DUMMYFUNCTION("""COMPUTED_VALUE"""),1.083)</f>
        <v>1.083</v>
      </c>
      <c r="E9422" s="16">
        <f>IFERROR(__xludf.DUMMYFUNCTION("""COMPUTED_VALUE"""),69.0)</f>
        <v>69</v>
      </c>
      <c r="F9422" s="19" t="str">
        <f>IFERROR(__xludf.DUMMYFUNCTION("""COMPUTED_VALUE"""),"BLACK")</f>
        <v>BLACK</v>
      </c>
      <c r="G9422" s="20" t="str">
        <f>IFERROR(__xludf.DUMMYFUNCTION("""COMPUTED_VALUE"""),"Uncle Sams Cider (5/13/2022)")</f>
        <v>Uncle Sams Cider (5/13/2022)</v>
      </c>
      <c r="H9422" s="19"/>
    </row>
    <row r="9423">
      <c r="A9423" s="9"/>
      <c r="B9423" s="15"/>
      <c r="C9423" s="9">
        <f>IFERROR(__xludf.DUMMYFUNCTION("""COMPUTED_VALUE"""),44698.3456823263)</f>
        <v>44698.34568</v>
      </c>
      <c r="D9423" s="15">
        <f>IFERROR(__xludf.DUMMYFUNCTION("""COMPUTED_VALUE"""),1.083)</f>
        <v>1.083</v>
      </c>
      <c r="E9423" s="16">
        <f>IFERROR(__xludf.DUMMYFUNCTION("""COMPUTED_VALUE"""),69.0)</f>
        <v>69</v>
      </c>
      <c r="F9423" s="19" t="str">
        <f>IFERROR(__xludf.DUMMYFUNCTION("""COMPUTED_VALUE"""),"BLACK")</f>
        <v>BLACK</v>
      </c>
      <c r="G9423" s="20" t="str">
        <f>IFERROR(__xludf.DUMMYFUNCTION("""COMPUTED_VALUE"""),"Uncle Sams Cider (5/13/2022)")</f>
        <v>Uncle Sams Cider (5/13/2022)</v>
      </c>
      <c r="H9423" s="19"/>
    </row>
    <row r="9424">
      <c r="A9424" s="9"/>
      <c r="B9424" s="15"/>
      <c r="C9424" s="9">
        <f>IFERROR(__xludf.DUMMYFUNCTION("""COMPUTED_VALUE"""),44698.3352499189)</f>
        <v>44698.33525</v>
      </c>
      <c r="D9424" s="15">
        <f>IFERROR(__xludf.DUMMYFUNCTION("""COMPUTED_VALUE"""),1.084)</f>
        <v>1.084</v>
      </c>
      <c r="E9424" s="16">
        <f>IFERROR(__xludf.DUMMYFUNCTION("""COMPUTED_VALUE"""),69.0)</f>
        <v>69</v>
      </c>
      <c r="F9424" s="19" t="str">
        <f>IFERROR(__xludf.DUMMYFUNCTION("""COMPUTED_VALUE"""),"BLACK")</f>
        <v>BLACK</v>
      </c>
      <c r="G9424" s="20" t="str">
        <f>IFERROR(__xludf.DUMMYFUNCTION("""COMPUTED_VALUE"""),"Uncle Sams Cider (5/13/2022)")</f>
        <v>Uncle Sams Cider (5/13/2022)</v>
      </c>
      <c r="H9424" s="19"/>
    </row>
    <row r="9425">
      <c r="A9425" s="9"/>
      <c r="B9425" s="15"/>
      <c r="C9425" s="9">
        <f>IFERROR(__xludf.DUMMYFUNCTION("""COMPUTED_VALUE"""),44698.3248166666)</f>
        <v>44698.32482</v>
      </c>
      <c r="D9425" s="15">
        <f>IFERROR(__xludf.DUMMYFUNCTION("""COMPUTED_VALUE"""),1.084)</f>
        <v>1.084</v>
      </c>
      <c r="E9425" s="16">
        <f>IFERROR(__xludf.DUMMYFUNCTION("""COMPUTED_VALUE"""),69.0)</f>
        <v>69</v>
      </c>
      <c r="F9425" s="19" t="str">
        <f>IFERROR(__xludf.DUMMYFUNCTION("""COMPUTED_VALUE"""),"BLACK")</f>
        <v>BLACK</v>
      </c>
      <c r="G9425" s="20" t="str">
        <f>IFERROR(__xludf.DUMMYFUNCTION("""COMPUTED_VALUE"""),"Uncle Sams Cider (5/13/2022)")</f>
        <v>Uncle Sams Cider (5/13/2022)</v>
      </c>
      <c r="H9425" s="19"/>
    </row>
    <row r="9426">
      <c r="A9426" s="9"/>
      <c r="B9426" s="15"/>
      <c r="C9426" s="9">
        <f>IFERROR(__xludf.DUMMYFUNCTION("""COMPUTED_VALUE"""),44698.314396574)</f>
        <v>44698.3144</v>
      </c>
      <c r="D9426" s="15">
        <f>IFERROR(__xludf.DUMMYFUNCTION("""COMPUTED_VALUE"""),1.084)</f>
        <v>1.084</v>
      </c>
      <c r="E9426" s="16">
        <f>IFERROR(__xludf.DUMMYFUNCTION("""COMPUTED_VALUE"""),69.0)</f>
        <v>69</v>
      </c>
      <c r="F9426" s="19" t="str">
        <f>IFERROR(__xludf.DUMMYFUNCTION("""COMPUTED_VALUE"""),"BLACK")</f>
        <v>BLACK</v>
      </c>
      <c r="G9426" s="20" t="str">
        <f>IFERROR(__xludf.DUMMYFUNCTION("""COMPUTED_VALUE"""),"Uncle Sams Cider (5/13/2022)")</f>
        <v>Uncle Sams Cider (5/13/2022)</v>
      </c>
      <c r="H9426" s="19"/>
    </row>
    <row r="9427">
      <c r="A9427" s="9"/>
      <c r="B9427" s="15"/>
      <c r="C9427" s="9">
        <f>IFERROR(__xludf.DUMMYFUNCTION("""COMPUTED_VALUE"""),44698.3039757986)</f>
        <v>44698.30398</v>
      </c>
      <c r="D9427" s="15">
        <f>IFERROR(__xludf.DUMMYFUNCTION("""COMPUTED_VALUE"""),1.084)</f>
        <v>1.084</v>
      </c>
      <c r="E9427" s="16">
        <f>IFERROR(__xludf.DUMMYFUNCTION("""COMPUTED_VALUE"""),69.0)</f>
        <v>69</v>
      </c>
      <c r="F9427" s="19" t="str">
        <f>IFERROR(__xludf.DUMMYFUNCTION("""COMPUTED_VALUE"""),"BLACK")</f>
        <v>BLACK</v>
      </c>
      <c r="G9427" s="20" t="str">
        <f>IFERROR(__xludf.DUMMYFUNCTION("""COMPUTED_VALUE"""),"Uncle Sams Cider (5/13/2022)")</f>
        <v>Uncle Sams Cider (5/13/2022)</v>
      </c>
      <c r="H9427" s="19"/>
    </row>
    <row r="9428">
      <c r="A9428" s="9"/>
      <c r="B9428" s="15"/>
      <c r="C9428" s="9">
        <f>IFERROR(__xludf.DUMMYFUNCTION("""COMPUTED_VALUE"""),44698.2935299305)</f>
        <v>44698.29353</v>
      </c>
      <c r="D9428" s="15">
        <f>IFERROR(__xludf.DUMMYFUNCTION("""COMPUTED_VALUE"""),1.084)</f>
        <v>1.084</v>
      </c>
      <c r="E9428" s="16">
        <f>IFERROR(__xludf.DUMMYFUNCTION("""COMPUTED_VALUE"""),69.0)</f>
        <v>69</v>
      </c>
      <c r="F9428" s="19" t="str">
        <f>IFERROR(__xludf.DUMMYFUNCTION("""COMPUTED_VALUE"""),"BLACK")</f>
        <v>BLACK</v>
      </c>
      <c r="G9428" s="20" t="str">
        <f>IFERROR(__xludf.DUMMYFUNCTION("""COMPUTED_VALUE"""),"Uncle Sams Cider (5/13/2022)")</f>
        <v>Uncle Sams Cider (5/13/2022)</v>
      </c>
      <c r="H9428" s="19"/>
    </row>
    <row r="9429">
      <c r="A9429" s="9"/>
      <c r="B9429" s="15"/>
      <c r="C9429" s="9">
        <f>IFERROR(__xludf.DUMMYFUNCTION("""COMPUTED_VALUE"""),44698.2831087731)</f>
        <v>44698.28311</v>
      </c>
      <c r="D9429" s="15">
        <f>IFERROR(__xludf.DUMMYFUNCTION("""COMPUTED_VALUE"""),1.084)</f>
        <v>1.084</v>
      </c>
      <c r="E9429" s="16">
        <f>IFERROR(__xludf.DUMMYFUNCTION("""COMPUTED_VALUE"""),69.0)</f>
        <v>69</v>
      </c>
      <c r="F9429" s="19" t="str">
        <f>IFERROR(__xludf.DUMMYFUNCTION("""COMPUTED_VALUE"""),"BLACK")</f>
        <v>BLACK</v>
      </c>
      <c r="G9429" s="20" t="str">
        <f>IFERROR(__xludf.DUMMYFUNCTION("""COMPUTED_VALUE"""),"Uncle Sams Cider (5/13/2022)")</f>
        <v>Uncle Sams Cider (5/13/2022)</v>
      </c>
      <c r="H9429" s="19"/>
    </row>
    <row r="9430">
      <c r="A9430" s="9"/>
      <c r="B9430" s="15"/>
      <c r="C9430" s="9">
        <f>IFERROR(__xludf.DUMMYFUNCTION("""COMPUTED_VALUE"""),44698.2726645139)</f>
        <v>44698.27266</v>
      </c>
      <c r="D9430" s="15">
        <f>IFERROR(__xludf.DUMMYFUNCTION("""COMPUTED_VALUE"""),1.084)</f>
        <v>1.084</v>
      </c>
      <c r="E9430" s="16">
        <f>IFERROR(__xludf.DUMMYFUNCTION("""COMPUTED_VALUE"""),69.0)</f>
        <v>69</v>
      </c>
      <c r="F9430" s="19" t="str">
        <f>IFERROR(__xludf.DUMMYFUNCTION("""COMPUTED_VALUE"""),"BLACK")</f>
        <v>BLACK</v>
      </c>
      <c r="G9430" s="20" t="str">
        <f>IFERROR(__xludf.DUMMYFUNCTION("""COMPUTED_VALUE"""),"Uncle Sams Cider (5/13/2022)")</f>
        <v>Uncle Sams Cider (5/13/2022)</v>
      </c>
      <c r="H9430" s="19"/>
    </row>
    <row r="9431">
      <c r="A9431" s="9"/>
      <c r="B9431" s="15"/>
      <c r="C9431" s="9">
        <f>IFERROR(__xludf.DUMMYFUNCTION("""COMPUTED_VALUE"""),44698.2622327083)</f>
        <v>44698.26223</v>
      </c>
      <c r="D9431" s="15">
        <f>IFERROR(__xludf.DUMMYFUNCTION("""COMPUTED_VALUE"""),1.084)</f>
        <v>1.084</v>
      </c>
      <c r="E9431" s="16">
        <f>IFERROR(__xludf.DUMMYFUNCTION("""COMPUTED_VALUE"""),69.0)</f>
        <v>69</v>
      </c>
      <c r="F9431" s="19" t="str">
        <f>IFERROR(__xludf.DUMMYFUNCTION("""COMPUTED_VALUE"""),"BLACK")</f>
        <v>BLACK</v>
      </c>
      <c r="G9431" s="20" t="str">
        <f>IFERROR(__xludf.DUMMYFUNCTION("""COMPUTED_VALUE"""),"Uncle Sams Cider (5/13/2022)")</f>
        <v>Uncle Sams Cider (5/13/2022)</v>
      </c>
      <c r="H9431" s="19"/>
    </row>
    <row r="9432">
      <c r="A9432" s="9"/>
      <c r="B9432" s="15"/>
      <c r="C9432" s="9">
        <f>IFERROR(__xludf.DUMMYFUNCTION("""COMPUTED_VALUE"""),44698.2518106828)</f>
        <v>44698.25181</v>
      </c>
      <c r="D9432" s="15">
        <f>IFERROR(__xludf.DUMMYFUNCTION("""COMPUTED_VALUE"""),1.085)</f>
        <v>1.085</v>
      </c>
      <c r="E9432" s="16">
        <f>IFERROR(__xludf.DUMMYFUNCTION("""COMPUTED_VALUE"""),69.0)</f>
        <v>69</v>
      </c>
      <c r="F9432" s="19" t="str">
        <f>IFERROR(__xludf.DUMMYFUNCTION("""COMPUTED_VALUE"""),"BLACK")</f>
        <v>BLACK</v>
      </c>
      <c r="G9432" s="20" t="str">
        <f>IFERROR(__xludf.DUMMYFUNCTION("""COMPUTED_VALUE"""),"Uncle Sams Cider (5/13/2022)")</f>
        <v>Uncle Sams Cider (5/13/2022)</v>
      </c>
      <c r="H9432" s="19"/>
    </row>
    <row r="9433">
      <c r="A9433" s="9"/>
      <c r="B9433" s="15"/>
      <c r="C9433" s="9">
        <f>IFERROR(__xludf.DUMMYFUNCTION("""COMPUTED_VALUE"""),44698.2413889583)</f>
        <v>44698.24139</v>
      </c>
      <c r="D9433" s="15">
        <f>IFERROR(__xludf.DUMMYFUNCTION("""COMPUTED_VALUE"""),1.085)</f>
        <v>1.085</v>
      </c>
      <c r="E9433" s="16">
        <f>IFERROR(__xludf.DUMMYFUNCTION("""COMPUTED_VALUE"""),68.0)</f>
        <v>68</v>
      </c>
      <c r="F9433" s="19" t="str">
        <f>IFERROR(__xludf.DUMMYFUNCTION("""COMPUTED_VALUE"""),"BLACK")</f>
        <v>BLACK</v>
      </c>
      <c r="G9433" s="20" t="str">
        <f>IFERROR(__xludf.DUMMYFUNCTION("""COMPUTED_VALUE"""),"Uncle Sams Cider (5/13/2022)")</f>
        <v>Uncle Sams Cider (5/13/2022)</v>
      </c>
      <c r="H9433" s="19"/>
    </row>
    <row r="9434">
      <c r="A9434" s="9"/>
      <c r="B9434" s="15"/>
      <c r="C9434" s="9">
        <f>IFERROR(__xludf.DUMMYFUNCTION("""COMPUTED_VALUE"""),44698.2309683796)</f>
        <v>44698.23097</v>
      </c>
      <c r="D9434" s="15">
        <f>IFERROR(__xludf.DUMMYFUNCTION("""COMPUTED_VALUE"""),1.085)</f>
        <v>1.085</v>
      </c>
      <c r="E9434" s="16">
        <f>IFERROR(__xludf.DUMMYFUNCTION("""COMPUTED_VALUE"""),68.0)</f>
        <v>68</v>
      </c>
      <c r="F9434" s="19" t="str">
        <f>IFERROR(__xludf.DUMMYFUNCTION("""COMPUTED_VALUE"""),"BLACK")</f>
        <v>BLACK</v>
      </c>
      <c r="G9434" s="20" t="str">
        <f>IFERROR(__xludf.DUMMYFUNCTION("""COMPUTED_VALUE"""),"Uncle Sams Cider (5/13/2022)")</f>
        <v>Uncle Sams Cider (5/13/2022)</v>
      </c>
      <c r="H9434" s="19"/>
    </row>
    <row r="9435">
      <c r="A9435" s="9"/>
      <c r="B9435" s="15"/>
      <c r="C9435" s="9">
        <f>IFERROR(__xludf.DUMMYFUNCTION("""COMPUTED_VALUE"""),44698.2205468287)</f>
        <v>44698.22055</v>
      </c>
      <c r="D9435" s="15">
        <f>IFERROR(__xludf.DUMMYFUNCTION("""COMPUTED_VALUE"""),1.085)</f>
        <v>1.085</v>
      </c>
      <c r="E9435" s="16">
        <f>IFERROR(__xludf.DUMMYFUNCTION("""COMPUTED_VALUE"""),68.0)</f>
        <v>68</v>
      </c>
      <c r="F9435" s="19" t="str">
        <f>IFERROR(__xludf.DUMMYFUNCTION("""COMPUTED_VALUE"""),"BLACK")</f>
        <v>BLACK</v>
      </c>
      <c r="G9435" s="20" t="str">
        <f>IFERROR(__xludf.DUMMYFUNCTION("""COMPUTED_VALUE"""),"Uncle Sams Cider (5/13/2022)")</f>
        <v>Uncle Sams Cider (5/13/2022)</v>
      </c>
      <c r="H9435" s="19"/>
    </row>
    <row r="9436">
      <c r="A9436" s="9"/>
      <c r="B9436" s="15"/>
      <c r="C9436" s="9">
        <f>IFERROR(__xludf.DUMMYFUNCTION("""COMPUTED_VALUE"""),44698.2101267592)</f>
        <v>44698.21013</v>
      </c>
      <c r="D9436" s="15">
        <f>IFERROR(__xludf.DUMMYFUNCTION("""COMPUTED_VALUE"""),1.085)</f>
        <v>1.085</v>
      </c>
      <c r="E9436" s="16">
        <f>IFERROR(__xludf.DUMMYFUNCTION("""COMPUTED_VALUE"""),68.0)</f>
        <v>68</v>
      </c>
      <c r="F9436" s="19" t="str">
        <f>IFERROR(__xludf.DUMMYFUNCTION("""COMPUTED_VALUE"""),"BLACK")</f>
        <v>BLACK</v>
      </c>
      <c r="G9436" s="20" t="str">
        <f>IFERROR(__xludf.DUMMYFUNCTION("""COMPUTED_VALUE"""),"Uncle Sams Cider (5/13/2022)")</f>
        <v>Uncle Sams Cider (5/13/2022)</v>
      </c>
      <c r="H9436" s="19"/>
    </row>
    <row r="9437">
      <c r="A9437" s="9"/>
      <c r="B9437" s="15"/>
      <c r="C9437" s="9">
        <f>IFERROR(__xludf.DUMMYFUNCTION("""COMPUTED_VALUE"""),44698.1997064814)</f>
        <v>44698.19971</v>
      </c>
      <c r="D9437" s="15">
        <f>IFERROR(__xludf.DUMMYFUNCTION("""COMPUTED_VALUE"""),1.085)</f>
        <v>1.085</v>
      </c>
      <c r="E9437" s="16">
        <f>IFERROR(__xludf.DUMMYFUNCTION("""COMPUTED_VALUE"""),68.0)</f>
        <v>68</v>
      </c>
      <c r="F9437" s="19" t="str">
        <f>IFERROR(__xludf.DUMMYFUNCTION("""COMPUTED_VALUE"""),"BLACK")</f>
        <v>BLACK</v>
      </c>
      <c r="G9437" s="20" t="str">
        <f>IFERROR(__xludf.DUMMYFUNCTION("""COMPUTED_VALUE"""),"Uncle Sams Cider (5/13/2022)")</f>
        <v>Uncle Sams Cider (5/13/2022)</v>
      </c>
      <c r="H9437" s="19"/>
    </row>
    <row r="9438">
      <c r="A9438" s="9"/>
      <c r="B9438" s="15"/>
      <c r="C9438" s="9">
        <f>IFERROR(__xludf.DUMMYFUNCTION("""COMPUTED_VALUE"""),44698.1892847453)</f>
        <v>44698.18928</v>
      </c>
      <c r="D9438" s="15">
        <f>IFERROR(__xludf.DUMMYFUNCTION("""COMPUTED_VALUE"""),1.085)</f>
        <v>1.085</v>
      </c>
      <c r="E9438" s="16">
        <f>IFERROR(__xludf.DUMMYFUNCTION("""COMPUTED_VALUE"""),68.0)</f>
        <v>68</v>
      </c>
      <c r="F9438" s="19" t="str">
        <f>IFERROR(__xludf.DUMMYFUNCTION("""COMPUTED_VALUE"""),"BLACK")</f>
        <v>BLACK</v>
      </c>
      <c r="G9438" s="20" t="str">
        <f>IFERROR(__xludf.DUMMYFUNCTION("""COMPUTED_VALUE"""),"Uncle Sams Cider (5/13/2022)")</f>
        <v>Uncle Sams Cider (5/13/2022)</v>
      </c>
      <c r="H9438" s="19"/>
    </row>
    <row r="9439">
      <c r="A9439" s="9"/>
      <c r="B9439" s="15"/>
      <c r="C9439" s="9">
        <f>IFERROR(__xludf.DUMMYFUNCTION("""COMPUTED_VALUE"""),44698.1788637847)</f>
        <v>44698.17886</v>
      </c>
      <c r="D9439" s="15">
        <f>IFERROR(__xludf.DUMMYFUNCTION("""COMPUTED_VALUE"""),1.085)</f>
        <v>1.085</v>
      </c>
      <c r="E9439" s="16">
        <f>IFERROR(__xludf.DUMMYFUNCTION("""COMPUTED_VALUE"""),68.0)</f>
        <v>68</v>
      </c>
      <c r="F9439" s="19" t="str">
        <f>IFERROR(__xludf.DUMMYFUNCTION("""COMPUTED_VALUE"""),"BLACK")</f>
        <v>BLACK</v>
      </c>
      <c r="G9439" s="20" t="str">
        <f>IFERROR(__xludf.DUMMYFUNCTION("""COMPUTED_VALUE"""),"Uncle Sams Cider (5/13/2022)")</f>
        <v>Uncle Sams Cider (5/13/2022)</v>
      </c>
      <c r="H9439" s="19"/>
    </row>
    <row r="9440">
      <c r="A9440" s="9"/>
      <c r="B9440" s="15"/>
      <c r="C9440" s="9">
        <f>IFERROR(__xludf.DUMMYFUNCTION("""COMPUTED_VALUE"""),44698.1684446875)</f>
        <v>44698.16844</v>
      </c>
      <c r="D9440" s="15">
        <f>IFERROR(__xludf.DUMMYFUNCTION("""COMPUTED_VALUE"""),1.086)</f>
        <v>1.086</v>
      </c>
      <c r="E9440" s="16">
        <f>IFERROR(__xludf.DUMMYFUNCTION("""COMPUTED_VALUE"""),68.0)</f>
        <v>68</v>
      </c>
      <c r="F9440" s="19" t="str">
        <f>IFERROR(__xludf.DUMMYFUNCTION("""COMPUTED_VALUE"""),"BLACK")</f>
        <v>BLACK</v>
      </c>
      <c r="G9440" s="20" t="str">
        <f>IFERROR(__xludf.DUMMYFUNCTION("""COMPUTED_VALUE"""),"Uncle Sams Cider (5/13/2022)")</f>
        <v>Uncle Sams Cider (5/13/2022)</v>
      </c>
      <c r="H9440" s="19"/>
    </row>
    <row r="9441">
      <c r="A9441" s="9"/>
      <c r="B9441" s="15"/>
      <c r="C9441" s="9">
        <f>IFERROR(__xludf.DUMMYFUNCTION("""COMPUTED_VALUE"""),44698.1580241898)</f>
        <v>44698.15802</v>
      </c>
      <c r="D9441" s="15">
        <f>IFERROR(__xludf.DUMMYFUNCTION("""COMPUTED_VALUE"""),1.086)</f>
        <v>1.086</v>
      </c>
      <c r="E9441" s="16">
        <f>IFERROR(__xludf.DUMMYFUNCTION("""COMPUTED_VALUE"""),68.0)</f>
        <v>68</v>
      </c>
      <c r="F9441" s="19" t="str">
        <f>IFERROR(__xludf.DUMMYFUNCTION("""COMPUTED_VALUE"""),"BLACK")</f>
        <v>BLACK</v>
      </c>
      <c r="G9441" s="20" t="str">
        <f>IFERROR(__xludf.DUMMYFUNCTION("""COMPUTED_VALUE"""),"Uncle Sams Cider (5/13/2022)")</f>
        <v>Uncle Sams Cider (5/13/2022)</v>
      </c>
      <c r="H9441" s="19"/>
    </row>
    <row r="9442">
      <c r="A9442" s="9"/>
      <c r="B9442" s="15"/>
      <c r="C9442" s="9">
        <f>IFERROR(__xludf.DUMMYFUNCTION("""COMPUTED_VALUE"""),44698.147567118)</f>
        <v>44698.14757</v>
      </c>
      <c r="D9442" s="15">
        <f>IFERROR(__xludf.DUMMYFUNCTION("""COMPUTED_VALUE"""),1.086)</f>
        <v>1.086</v>
      </c>
      <c r="E9442" s="16">
        <f>IFERROR(__xludf.DUMMYFUNCTION("""COMPUTED_VALUE"""),68.0)</f>
        <v>68</v>
      </c>
      <c r="F9442" s="19" t="str">
        <f>IFERROR(__xludf.DUMMYFUNCTION("""COMPUTED_VALUE"""),"BLACK")</f>
        <v>BLACK</v>
      </c>
      <c r="G9442" s="20" t="str">
        <f>IFERROR(__xludf.DUMMYFUNCTION("""COMPUTED_VALUE"""),"Uncle Sams Cider (5/13/2022)")</f>
        <v>Uncle Sams Cider (5/13/2022)</v>
      </c>
      <c r="H9442" s="19"/>
    </row>
    <row r="9443">
      <c r="A9443" s="9"/>
      <c r="B9443" s="15"/>
      <c r="C9443" s="9">
        <f>IFERROR(__xludf.DUMMYFUNCTION("""COMPUTED_VALUE"""),44698.137145405)</f>
        <v>44698.13715</v>
      </c>
      <c r="D9443" s="15">
        <f>IFERROR(__xludf.DUMMYFUNCTION("""COMPUTED_VALUE"""),1.086)</f>
        <v>1.086</v>
      </c>
      <c r="E9443" s="16">
        <f>IFERROR(__xludf.DUMMYFUNCTION("""COMPUTED_VALUE"""),68.0)</f>
        <v>68</v>
      </c>
      <c r="F9443" s="19" t="str">
        <f>IFERROR(__xludf.DUMMYFUNCTION("""COMPUTED_VALUE"""),"BLACK")</f>
        <v>BLACK</v>
      </c>
      <c r="G9443" s="20" t="str">
        <f>IFERROR(__xludf.DUMMYFUNCTION("""COMPUTED_VALUE"""),"Uncle Sams Cider (5/13/2022)")</f>
        <v>Uncle Sams Cider (5/13/2022)</v>
      </c>
      <c r="H9443" s="19"/>
    </row>
    <row r="9444">
      <c r="A9444" s="9"/>
      <c r="B9444" s="15"/>
      <c r="C9444" s="9">
        <f>IFERROR(__xludf.DUMMYFUNCTION("""COMPUTED_VALUE"""),44698.1267115972)</f>
        <v>44698.12671</v>
      </c>
      <c r="D9444" s="15">
        <f>IFERROR(__xludf.DUMMYFUNCTION("""COMPUTED_VALUE"""),1.086)</f>
        <v>1.086</v>
      </c>
      <c r="E9444" s="16">
        <f>IFERROR(__xludf.DUMMYFUNCTION("""COMPUTED_VALUE"""),68.0)</f>
        <v>68</v>
      </c>
      <c r="F9444" s="19" t="str">
        <f>IFERROR(__xludf.DUMMYFUNCTION("""COMPUTED_VALUE"""),"BLACK")</f>
        <v>BLACK</v>
      </c>
      <c r="G9444" s="20" t="str">
        <f>IFERROR(__xludf.DUMMYFUNCTION("""COMPUTED_VALUE"""),"Uncle Sams Cider (5/13/2022)")</f>
        <v>Uncle Sams Cider (5/13/2022)</v>
      </c>
      <c r="H9444" s="19"/>
    </row>
    <row r="9445">
      <c r="A9445" s="9"/>
      <c r="B9445" s="15"/>
      <c r="C9445" s="9">
        <f>IFERROR(__xludf.DUMMYFUNCTION("""COMPUTED_VALUE"""),44698.1162793171)</f>
        <v>44698.11628</v>
      </c>
      <c r="D9445" s="15">
        <f>IFERROR(__xludf.DUMMYFUNCTION("""COMPUTED_VALUE"""),1.086)</f>
        <v>1.086</v>
      </c>
      <c r="E9445" s="16">
        <f>IFERROR(__xludf.DUMMYFUNCTION("""COMPUTED_VALUE"""),68.0)</f>
        <v>68</v>
      </c>
      <c r="F9445" s="19" t="str">
        <f>IFERROR(__xludf.DUMMYFUNCTION("""COMPUTED_VALUE"""),"BLACK")</f>
        <v>BLACK</v>
      </c>
      <c r="G9445" s="20" t="str">
        <f>IFERROR(__xludf.DUMMYFUNCTION("""COMPUTED_VALUE"""),"Uncle Sams Cider (5/13/2022)")</f>
        <v>Uncle Sams Cider (5/13/2022)</v>
      </c>
      <c r="H9445" s="19"/>
    </row>
    <row r="9446">
      <c r="A9446" s="9"/>
      <c r="B9446" s="15"/>
      <c r="C9446" s="9">
        <f>IFERROR(__xludf.DUMMYFUNCTION("""COMPUTED_VALUE"""),44698.1058134143)</f>
        <v>44698.10581</v>
      </c>
      <c r="D9446" s="15">
        <f>IFERROR(__xludf.DUMMYFUNCTION("""COMPUTED_VALUE"""),1.086)</f>
        <v>1.086</v>
      </c>
      <c r="E9446" s="16">
        <f>IFERROR(__xludf.DUMMYFUNCTION("""COMPUTED_VALUE"""),68.0)</f>
        <v>68</v>
      </c>
      <c r="F9446" s="19" t="str">
        <f>IFERROR(__xludf.DUMMYFUNCTION("""COMPUTED_VALUE"""),"BLACK")</f>
        <v>BLACK</v>
      </c>
      <c r="G9446" s="20" t="str">
        <f>IFERROR(__xludf.DUMMYFUNCTION("""COMPUTED_VALUE"""),"Uncle Sams Cider (5/13/2022)")</f>
        <v>Uncle Sams Cider (5/13/2022)</v>
      </c>
      <c r="H9446" s="19"/>
    </row>
    <row r="9447">
      <c r="A9447" s="9"/>
      <c r="B9447" s="15"/>
      <c r="C9447" s="9">
        <f>IFERROR(__xludf.DUMMYFUNCTION("""COMPUTED_VALUE"""),44698.0953924884)</f>
        <v>44698.09539</v>
      </c>
      <c r="D9447" s="15">
        <f>IFERROR(__xludf.DUMMYFUNCTION("""COMPUTED_VALUE"""),1.086)</f>
        <v>1.086</v>
      </c>
      <c r="E9447" s="16">
        <f>IFERROR(__xludf.DUMMYFUNCTION("""COMPUTED_VALUE"""),68.0)</f>
        <v>68</v>
      </c>
      <c r="F9447" s="19" t="str">
        <f>IFERROR(__xludf.DUMMYFUNCTION("""COMPUTED_VALUE"""),"BLACK")</f>
        <v>BLACK</v>
      </c>
      <c r="G9447" s="20" t="str">
        <f>IFERROR(__xludf.DUMMYFUNCTION("""COMPUTED_VALUE"""),"Uncle Sams Cider (5/13/2022)")</f>
        <v>Uncle Sams Cider (5/13/2022)</v>
      </c>
      <c r="H9447" s="19"/>
    </row>
    <row r="9448">
      <c r="A9448" s="9"/>
      <c r="B9448" s="15"/>
      <c r="C9448" s="9">
        <f>IFERROR(__xludf.DUMMYFUNCTION("""COMPUTED_VALUE"""),44698.0849730092)</f>
        <v>44698.08497</v>
      </c>
      <c r="D9448" s="15">
        <f>IFERROR(__xludf.DUMMYFUNCTION("""COMPUTED_VALUE"""),1.086)</f>
        <v>1.086</v>
      </c>
      <c r="E9448" s="16">
        <f>IFERROR(__xludf.DUMMYFUNCTION("""COMPUTED_VALUE"""),68.0)</f>
        <v>68</v>
      </c>
      <c r="F9448" s="19" t="str">
        <f>IFERROR(__xludf.DUMMYFUNCTION("""COMPUTED_VALUE"""),"BLACK")</f>
        <v>BLACK</v>
      </c>
      <c r="G9448" s="20" t="str">
        <f>IFERROR(__xludf.DUMMYFUNCTION("""COMPUTED_VALUE"""),"Uncle Sams Cider (5/13/2022)")</f>
        <v>Uncle Sams Cider (5/13/2022)</v>
      </c>
      <c r="H9448" s="19"/>
    </row>
    <row r="9449">
      <c r="A9449" s="9"/>
      <c r="B9449" s="15"/>
      <c r="C9449" s="9">
        <f>IFERROR(__xludf.DUMMYFUNCTION("""COMPUTED_VALUE"""),44698.0745291898)</f>
        <v>44698.07453</v>
      </c>
      <c r="D9449" s="15">
        <f>IFERROR(__xludf.DUMMYFUNCTION("""COMPUTED_VALUE"""),1.086)</f>
        <v>1.086</v>
      </c>
      <c r="E9449" s="16">
        <f>IFERROR(__xludf.DUMMYFUNCTION("""COMPUTED_VALUE"""),68.0)</f>
        <v>68</v>
      </c>
      <c r="F9449" s="19" t="str">
        <f>IFERROR(__xludf.DUMMYFUNCTION("""COMPUTED_VALUE"""),"BLACK")</f>
        <v>BLACK</v>
      </c>
      <c r="G9449" s="20" t="str">
        <f>IFERROR(__xludf.DUMMYFUNCTION("""COMPUTED_VALUE"""),"Uncle Sams Cider (5/13/2022)")</f>
        <v>Uncle Sams Cider (5/13/2022)</v>
      </c>
      <c r="H9449" s="19"/>
    </row>
    <row r="9450">
      <c r="A9450" s="9"/>
      <c r="B9450" s="15"/>
      <c r="C9450" s="9">
        <f>IFERROR(__xludf.DUMMYFUNCTION("""COMPUTED_VALUE"""),44698.0641080208)</f>
        <v>44698.06411</v>
      </c>
      <c r="D9450" s="15">
        <f>IFERROR(__xludf.DUMMYFUNCTION("""COMPUTED_VALUE"""),1.086)</f>
        <v>1.086</v>
      </c>
      <c r="E9450" s="16">
        <f>IFERROR(__xludf.DUMMYFUNCTION("""COMPUTED_VALUE"""),68.0)</f>
        <v>68</v>
      </c>
      <c r="F9450" s="19" t="str">
        <f>IFERROR(__xludf.DUMMYFUNCTION("""COMPUTED_VALUE"""),"BLACK")</f>
        <v>BLACK</v>
      </c>
      <c r="G9450" s="20" t="str">
        <f>IFERROR(__xludf.DUMMYFUNCTION("""COMPUTED_VALUE"""),"Uncle Sams Cider (5/13/2022)")</f>
        <v>Uncle Sams Cider (5/13/2022)</v>
      </c>
      <c r="H9450" s="19"/>
    </row>
    <row r="9451">
      <c r="A9451" s="9"/>
      <c r="B9451" s="15"/>
      <c r="C9451" s="9">
        <f>IFERROR(__xludf.DUMMYFUNCTION("""COMPUTED_VALUE"""),44698.0536869213)</f>
        <v>44698.05369</v>
      </c>
      <c r="D9451" s="15">
        <f>IFERROR(__xludf.DUMMYFUNCTION("""COMPUTED_VALUE"""),1.087)</f>
        <v>1.087</v>
      </c>
      <c r="E9451" s="16">
        <f>IFERROR(__xludf.DUMMYFUNCTION("""COMPUTED_VALUE"""),68.0)</f>
        <v>68</v>
      </c>
      <c r="F9451" s="19" t="str">
        <f>IFERROR(__xludf.DUMMYFUNCTION("""COMPUTED_VALUE"""),"BLACK")</f>
        <v>BLACK</v>
      </c>
      <c r="G9451" s="20" t="str">
        <f>IFERROR(__xludf.DUMMYFUNCTION("""COMPUTED_VALUE"""),"Uncle Sams Cider (5/13/2022)")</f>
        <v>Uncle Sams Cider (5/13/2022)</v>
      </c>
      <c r="H9451" s="19"/>
    </row>
    <row r="9452">
      <c r="A9452" s="9"/>
      <c r="B9452" s="15"/>
      <c r="C9452" s="9">
        <f>IFERROR(__xludf.DUMMYFUNCTION("""COMPUTED_VALUE"""),44698.0432307175)</f>
        <v>44698.04323</v>
      </c>
      <c r="D9452" s="15">
        <f>IFERROR(__xludf.DUMMYFUNCTION("""COMPUTED_VALUE"""),1.087)</f>
        <v>1.087</v>
      </c>
      <c r="E9452" s="16">
        <f>IFERROR(__xludf.DUMMYFUNCTION("""COMPUTED_VALUE"""),68.0)</f>
        <v>68</v>
      </c>
      <c r="F9452" s="19" t="str">
        <f>IFERROR(__xludf.DUMMYFUNCTION("""COMPUTED_VALUE"""),"BLACK")</f>
        <v>BLACK</v>
      </c>
      <c r="G9452" s="20" t="str">
        <f>IFERROR(__xludf.DUMMYFUNCTION("""COMPUTED_VALUE"""),"Uncle Sams Cider (5/13/2022)")</f>
        <v>Uncle Sams Cider (5/13/2022)</v>
      </c>
      <c r="H9452" s="19"/>
    </row>
    <row r="9453">
      <c r="A9453" s="9"/>
      <c r="B9453" s="15"/>
      <c r="C9453" s="9">
        <f>IFERROR(__xludf.DUMMYFUNCTION("""COMPUTED_VALUE"""),44698.0328093865)</f>
        <v>44698.03281</v>
      </c>
      <c r="D9453" s="15">
        <f>IFERROR(__xludf.DUMMYFUNCTION("""COMPUTED_VALUE"""),1.087)</f>
        <v>1.087</v>
      </c>
      <c r="E9453" s="16">
        <f>IFERROR(__xludf.DUMMYFUNCTION("""COMPUTED_VALUE"""),67.0)</f>
        <v>67</v>
      </c>
      <c r="F9453" s="19" t="str">
        <f>IFERROR(__xludf.DUMMYFUNCTION("""COMPUTED_VALUE"""),"BLACK")</f>
        <v>BLACK</v>
      </c>
      <c r="G9453" s="20" t="str">
        <f>IFERROR(__xludf.DUMMYFUNCTION("""COMPUTED_VALUE"""),"Uncle Sams Cider (5/13/2022)")</f>
        <v>Uncle Sams Cider (5/13/2022)</v>
      </c>
      <c r="H9453" s="19"/>
    </row>
    <row r="9454">
      <c r="A9454" s="9"/>
      <c r="B9454" s="15"/>
      <c r="C9454" s="9">
        <f>IFERROR(__xludf.DUMMYFUNCTION("""COMPUTED_VALUE"""),44698.0118962615)</f>
        <v>44698.0119</v>
      </c>
      <c r="D9454" s="15">
        <f>IFERROR(__xludf.DUMMYFUNCTION("""COMPUTED_VALUE"""),1.087)</f>
        <v>1.087</v>
      </c>
      <c r="E9454" s="16">
        <f>IFERROR(__xludf.DUMMYFUNCTION("""COMPUTED_VALUE"""),67.0)</f>
        <v>67</v>
      </c>
      <c r="F9454" s="19" t="str">
        <f>IFERROR(__xludf.DUMMYFUNCTION("""COMPUTED_VALUE"""),"BLACK")</f>
        <v>BLACK</v>
      </c>
      <c r="G9454" s="20" t="str">
        <f>IFERROR(__xludf.DUMMYFUNCTION("""COMPUTED_VALUE"""),"Uncle Sams Cider (5/13/2022)")</f>
        <v>Uncle Sams Cider (5/13/2022)</v>
      </c>
      <c r="H9454" s="19"/>
    </row>
    <row r="9455">
      <c r="A9455" s="9"/>
      <c r="B9455" s="15"/>
      <c r="C9455" s="9">
        <f>IFERROR(__xludf.DUMMYFUNCTION("""COMPUTED_VALUE"""),44698.0014621759)</f>
        <v>44698.00146</v>
      </c>
      <c r="D9455" s="15">
        <f>IFERROR(__xludf.DUMMYFUNCTION("""COMPUTED_VALUE"""),1.087)</f>
        <v>1.087</v>
      </c>
      <c r="E9455" s="16">
        <f>IFERROR(__xludf.DUMMYFUNCTION("""COMPUTED_VALUE"""),67.0)</f>
        <v>67</v>
      </c>
      <c r="F9455" s="19" t="str">
        <f>IFERROR(__xludf.DUMMYFUNCTION("""COMPUTED_VALUE"""),"BLACK")</f>
        <v>BLACK</v>
      </c>
      <c r="G9455" s="20" t="str">
        <f>IFERROR(__xludf.DUMMYFUNCTION("""COMPUTED_VALUE"""),"Uncle Sams Cider (5/13/2022)")</f>
        <v>Uncle Sams Cider (5/13/2022)</v>
      </c>
      <c r="H9455" s="19"/>
    </row>
    <row r="9456">
      <c r="A9456" s="9"/>
      <c r="B9456" s="15"/>
      <c r="C9456" s="9">
        <f>IFERROR(__xludf.DUMMYFUNCTION("""COMPUTED_VALUE"""),44697.991040081)</f>
        <v>44697.99104</v>
      </c>
      <c r="D9456" s="15">
        <f>IFERROR(__xludf.DUMMYFUNCTION("""COMPUTED_VALUE"""),1.088)</f>
        <v>1.088</v>
      </c>
      <c r="E9456" s="16">
        <f>IFERROR(__xludf.DUMMYFUNCTION("""COMPUTED_VALUE"""),67.0)</f>
        <v>67</v>
      </c>
      <c r="F9456" s="19" t="str">
        <f>IFERROR(__xludf.DUMMYFUNCTION("""COMPUTED_VALUE"""),"BLACK")</f>
        <v>BLACK</v>
      </c>
      <c r="G9456" s="20" t="str">
        <f>IFERROR(__xludf.DUMMYFUNCTION("""COMPUTED_VALUE"""),"Uncle Sams Cider (5/13/2022)")</f>
        <v>Uncle Sams Cider (5/13/2022)</v>
      </c>
      <c r="H9456" s="19"/>
    </row>
    <row r="9457">
      <c r="A9457" s="9"/>
      <c r="B9457" s="15"/>
      <c r="C9457" s="9">
        <f>IFERROR(__xludf.DUMMYFUNCTION("""COMPUTED_VALUE"""),44697.9805750578)</f>
        <v>44697.98058</v>
      </c>
      <c r="D9457" s="15">
        <f>IFERROR(__xludf.DUMMYFUNCTION("""COMPUTED_VALUE"""),1.087)</f>
        <v>1.087</v>
      </c>
      <c r="E9457" s="16">
        <f>IFERROR(__xludf.DUMMYFUNCTION("""COMPUTED_VALUE"""),67.0)</f>
        <v>67</v>
      </c>
      <c r="F9457" s="19" t="str">
        <f>IFERROR(__xludf.DUMMYFUNCTION("""COMPUTED_VALUE"""),"BLACK")</f>
        <v>BLACK</v>
      </c>
      <c r="G9457" s="20" t="str">
        <f>IFERROR(__xludf.DUMMYFUNCTION("""COMPUTED_VALUE"""),"Uncle Sams Cider (5/13/2022)")</f>
        <v>Uncle Sams Cider (5/13/2022)</v>
      </c>
      <c r="H9457" s="19"/>
    </row>
    <row r="9458">
      <c r="A9458" s="9"/>
      <c r="B9458" s="15"/>
      <c r="C9458" s="9">
        <f>IFERROR(__xludf.DUMMYFUNCTION("""COMPUTED_VALUE"""),44697.9701540277)</f>
        <v>44697.97015</v>
      </c>
      <c r="D9458" s="15">
        <f>IFERROR(__xludf.DUMMYFUNCTION("""COMPUTED_VALUE"""),1.087)</f>
        <v>1.087</v>
      </c>
      <c r="E9458" s="16">
        <f>IFERROR(__xludf.DUMMYFUNCTION("""COMPUTED_VALUE"""),67.0)</f>
        <v>67</v>
      </c>
      <c r="F9458" s="19" t="str">
        <f>IFERROR(__xludf.DUMMYFUNCTION("""COMPUTED_VALUE"""),"BLACK")</f>
        <v>BLACK</v>
      </c>
      <c r="G9458" s="20" t="str">
        <f>IFERROR(__xludf.DUMMYFUNCTION("""COMPUTED_VALUE"""),"Uncle Sams Cider (5/13/2022)")</f>
        <v>Uncle Sams Cider (5/13/2022)</v>
      </c>
      <c r="H9458" s="19"/>
    </row>
    <row r="9459">
      <c r="A9459" s="9"/>
      <c r="B9459" s="15"/>
      <c r="C9459" s="9">
        <f>IFERROR(__xludf.DUMMYFUNCTION("""COMPUTED_VALUE"""),44697.959733368)</f>
        <v>44697.95973</v>
      </c>
      <c r="D9459" s="15">
        <f>IFERROR(__xludf.DUMMYFUNCTION("""COMPUTED_VALUE"""),1.088)</f>
        <v>1.088</v>
      </c>
      <c r="E9459" s="16">
        <f>IFERROR(__xludf.DUMMYFUNCTION("""COMPUTED_VALUE"""),67.0)</f>
        <v>67</v>
      </c>
      <c r="F9459" s="19" t="str">
        <f>IFERROR(__xludf.DUMMYFUNCTION("""COMPUTED_VALUE"""),"BLACK")</f>
        <v>BLACK</v>
      </c>
      <c r="G9459" s="20" t="str">
        <f>IFERROR(__xludf.DUMMYFUNCTION("""COMPUTED_VALUE"""),"Uncle Sams Cider (5/13/2022)")</f>
        <v>Uncle Sams Cider (5/13/2022)</v>
      </c>
      <c r="H9459" s="19"/>
    </row>
    <row r="9460">
      <c r="A9460" s="9"/>
      <c r="B9460" s="15"/>
      <c r="C9460" s="9">
        <f>IFERROR(__xludf.DUMMYFUNCTION("""COMPUTED_VALUE"""),44697.9492657523)</f>
        <v>44697.94927</v>
      </c>
      <c r="D9460" s="15">
        <f>IFERROR(__xludf.DUMMYFUNCTION("""COMPUTED_VALUE"""),1.088)</f>
        <v>1.088</v>
      </c>
      <c r="E9460" s="16">
        <f>IFERROR(__xludf.DUMMYFUNCTION("""COMPUTED_VALUE"""),67.0)</f>
        <v>67</v>
      </c>
      <c r="F9460" s="19" t="str">
        <f>IFERROR(__xludf.DUMMYFUNCTION("""COMPUTED_VALUE"""),"BLACK")</f>
        <v>BLACK</v>
      </c>
      <c r="G9460" s="20" t="str">
        <f>IFERROR(__xludf.DUMMYFUNCTION("""COMPUTED_VALUE"""),"Uncle Sams Cider (5/13/2022)")</f>
        <v>Uncle Sams Cider (5/13/2022)</v>
      </c>
      <c r="H9460" s="19"/>
    </row>
    <row r="9461">
      <c r="A9461" s="9"/>
      <c r="B9461" s="15"/>
      <c r="C9461" s="9">
        <f>IFERROR(__xludf.DUMMYFUNCTION("""COMPUTED_VALUE"""),44697.9388436921)</f>
        <v>44697.93884</v>
      </c>
      <c r="D9461" s="15">
        <f>IFERROR(__xludf.DUMMYFUNCTION("""COMPUTED_VALUE"""),1.088)</f>
        <v>1.088</v>
      </c>
      <c r="E9461" s="16">
        <f>IFERROR(__xludf.DUMMYFUNCTION("""COMPUTED_VALUE"""),67.0)</f>
        <v>67</v>
      </c>
      <c r="F9461" s="19" t="str">
        <f>IFERROR(__xludf.DUMMYFUNCTION("""COMPUTED_VALUE"""),"BLACK")</f>
        <v>BLACK</v>
      </c>
      <c r="G9461" s="20" t="str">
        <f>IFERROR(__xludf.DUMMYFUNCTION("""COMPUTED_VALUE"""),"Uncle Sams Cider (5/13/2022)")</f>
        <v>Uncle Sams Cider (5/13/2022)</v>
      </c>
      <c r="H9461" s="19"/>
    </row>
    <row r="9462">
      <c r="A9462" s="9"/>
      <c r="B9462" s="15"/>
      <c r="C9462" s="9">
        <f>IFERROR(__xludf.DUMMYFUNCTION("""COMPUTED_VALUE"""),44697.9284199189)</f>
        <v>44697.92842</v>
      </c>
      <c r="D9462" s="15">
        <f>IFERROR(__xludf.DUMMYFUNCTION("""COMPUTED_VALUE"""),1.088)</f>
        <v>1.088</v>
      </c>
      <c r="E9462" s="16">
        <f>IFERROR(__xludf.DUMMYFUNCTION("""COMPUTED_VALUE"""),67.0)</f>
        <v>67</v>
      </c>
      <c r="F9462" s="19" t="str">
        <f>IFERROR(__xludf.DUMMYFUNCTION("""COMPUTED_VALUE"""),"BLACK")</f>
        <v>BLACK</v>
      </c>
      <c r="G9462" s="20" t="str">
        <f>IFERROR(__xludf.DUMMYFUNCTION("""COMPUTED_VALUE"""),"Uncle Sams Cider (5/13/2022)")</f>
        <v>Uncle Sams Cider (5/13/2022)</v>
      </c>
      <c r="H9462" s="19"/>
    </row>
    <row r="9463">
      <c r="A9463" s="9"/>
      <c r="B9463" s="15"/>
      <c r="C9463" s="9">
        <f>IFERROR(__xludf.DUMMYFUNCTION("""COMPUTED_VALUE"""),44697.9180004282)</f>
        <v>44697.918</v>
      </c>
      <c r="D9463" s="15">
        <f>IFERROR(__xludf.DUMMYFUNCTION("""COMPUTED_VALUE"""),1.088)</f>
        <v>1.088</v>
      </c>
      <c r="E9463" s="16">
        <f>IFERROR(__xludf.DUMMYFUNCTION("""COMPUTED_VALUE"""),67.0)</f>
        <v>67</v>
      </c>
      <c r="F9463" s="19" t="str">
        <f>IFERROR(__xludf.DUMMYFUNCTION("""COMPUTED_VALUE"""),"BLACK")</f>
        <v>BLACK</v>
      </c>
      <c r="G9463" s="20" t="str">
        <f>IFERROR(__xludf.DUMMYFUNCTION("""COMPUTED_VALUE"""),"Uncle Sams Cider (5/13/2022)")</f>
        <v>Uncle Sams Cider (5/13/2022)</v>
      </c>
      <c r="H9463" s="19"/>
    </row>
    <row r="9464">
      <c r="A9464" s="9"/>
      <c r="B9464" s="15"/>
      <c r="C9464" s="9">
        <f>IFERROR(__xludf.DUMMYFUNCTION("""COMPUTED_VALUE"""),44697.9075679166)</f>
        <v>44697.90757</v>
      </c>
      <c r="D9464" s="15">
        <f>IFERROR(__xludf.DUMMYFUNCTION("""COMPUTED_VALUE"""),1.089)</f>
        <v>1.089</v>
      </c>
      <c r="E9464" s="16">
        <f>IFERROR(__xludf.DUMMYFUNCTION("""COMPUTED_VALUE"""),67.0)</f>
        <v>67</v>
      </c>
      <c r="F9464" s="19" t="str">
        <f>IFERROR(__xludf.DUMMYFUNCTION("""COMPUTED_VALUE"""),"BLACK")</f>
        <v>BLACK</v>
      </c>
      <c r="G9464" s="20" t="str">
        <f>IFERROR(__xludf.DUMMYFUNCTION("""COMPUTED_VALUE"""),"Uncle Sams Cider (5/13/2022)")</f>
        <v>Uncle Sams Cider (5/13/2022)</v>
      </c>
      <c r="H9464" s="19"/>
    </row>
    <row r="9465">
      <c r="A9465" s="9"/>
      <c r="B9465" s="15"/>
      <c r="C9465" s="9">
        <f>IFERROR(__xludf.DUMMYFUNCTION("""COMPUTED_VALUE"""),44697.8971448958)</f>
        <v>44697.89714</v>
      </c>
      <c r="D9465" s="15">
        <f>IFERROR(__xludf.DUMMYFUNCTION("""COMPUTED_VALUE"""),1.088)</f>
        <v>1.088</v>
      </c>
      <c r="E9465" s="16">
        <f>IFERROR(__xludf.DUMMYFUNCTION("""COMPUTED_VALUE"""),67.0)</f>
        <v>67</v>
      </c>
      <c r="F9465" s="19" t="str">
        <f>IFERROR(__xludf.DUMMYFUNCTION("""COMPUTED_VALUE"""),"BLACK")</f>
        <v>BLACK</v>
      </c>
      <c r="G9465" s="20" t="str">
        <f>IFERROR(__xludf.DUMMYFUNCTION("""COMPUTED_VALUE"""),"Uncle Sams Cider (5/13/2022)")</f>
        <v>Uncle Sams Cider (5/13/2022)</v>
      </c>
      <c r="H9465" s="19"/>
    </row>
    <row r="9466">
      <c r="A9466" s="9"/>
      <c r="B9466" s="15"/>
      <c r="C9466" s="9">
        <f>IFERROR(__xludf.DUMMYFUNCTION("""COMPUTED_VALUE"""),44697.8867118634)</f>
        <v>44697.88671</v>
      </c>
      <c r="D9466" s="15">
        <f>IFERROR(__xludf.DUMMYFUNCTION("""COMPUTED_VALUE"""),1.089)</f>
        <v>1.089</v>
      </c>
      <c r="E9466" s="16">
        <f>IFERROR(__xludf.DUMMYFUNCTION("""COMPUTED_VALUE"""),67.0)</f>
        <v>67</v>
      </c>
      <c r="F9466" s="19" t="str">
        <f>IFERROR(__xludf.DUMMYFUNCTION("""COMPUTED_VALUE"""),"BLACK")</f>
        <v>BLACK</v>
      </c>
      <c r="G9466" s="20" t="str">
        <f>IFERROR(__xludf.DUMMYFUNCTION("""COMPUTED_VALUE"""),"Uncle Sams Cider (5/13/2022)")</f>
        <v>Uncle Sams Cider (5/13/2022)</v>
      </c>
      <c r="H9466" s="19"/>
    </row>
    <row r="9467">
      <c r="A9467" s="9"/>
      <c r="B9467" s="15"/>
      <c r="C9467" s="9">
        <f>IFERROR(__xludf.DUMMYFUNCTION("""COMPUTED_VALUE"""),44697.8762911458)</f>
        <v>44697.87629</v>
      </c>
      <c r="D9467" s="15">
        <f>IFERROR(__xludf.DUMMYFUNCTION("""COMPUTED_VALUE"""),1.089)</f>
        <v>1.089</v>
      </c>
      <c r="E9467" s="16">
        <f>IFERROR(__xludf.DUMMYFUNCTION("""COMPUTED_VALUE"""),67.0)</f>
        <v>67</v>
      </c>
      <c r="F9467" s="19" t="str">
        <f>IFERROR(__xludf.DUMMYFUNCTION("""COMPUTED_VALUE"""),"BLACK")</f>
        <v>BLACK</v>
      </c>
      <c r="G9467" s="20" t="str">
        <f>IFERROR(__xludf.DUMMYFUNCTION("""COMPUTED_VALUE"""),"Uncle Sams Cider (5/13/2022)")</f>
        <v>Uncle Sams Cider (5/13/2022)</v>
      </c>
      <c r="H9467" s="19"/>
    </row>
    <row r="9468">
      <c r="A9468" s="9"/>
      <c r="B9468" s="15"/>
      <c r="C9468" s="9">
        <f>IFERROR(__xludf.DUMMYFUNCTION("""COMPUTED_VALUE"""),44697.8658579166)</f>
        <v>44697.86586</v>
      </c>
      <c r="D9468" s="15">
        <f>IFERROR(__xludf.DUMMYFUNCTION("""COMPUTED_VALUE"""),1.089)</f>
        <v>1.089</v>
      </c>
      <c r="E9468" s="16">
        <f>IFERROR(__xludf.DUMMYFUNCTION("""COMPUTED_VALUE"""),67.0)</f>
        <v>67</v>
      </c>
      <c r="F9468" s="19" t="str">
        <f>IFERROR(__xludf.DUMMYFUNCTION("""COMPUTED_VALUE"""),"BLACK")</f>
        <v>BLACK</v>
      </c>
      <c r="G9468" s="20" t="str">
        <f>IFERROR(__xludf.DUMMYFUNCTION("""COMPUTED_VALUE"""),"Uncle Sams Cider (5/13/2022)")</f>
        <v>Uncle Sams Cider (5/13/2022)</v>
      </c>
      <c r="H9468" s="19"/>
    </row>
    <row r="9469">
      <c r="A9469" s="9"/>
      <c r="B9469" s="15"/>
      <c r="C9469" s="9">
        <f>IFERROR(__xludf.DUMMYFUNCTION("""COMPUTED_VALUE"""),44697.8554361689)</f>
        <v>44697.85544</v>
      </c>
      <c r="D9469" s="15">
        <f>IFERROR(__xludf.DUMMYFUNCTION("""COMPUTED_VALUE"""),1.089)</f>
        <v>1.089</v>
      </c>
      <c r="E9469" s="16">
        <f>IFERROR(__xludf.DUMMYFUNCTION("""COMPUTED_VALUE"""),67.0)</f>
        <v>67</v>
      </c>
      <c r="F9469" s="19" t="str">
        <f>IFERROR(__xludf.DUMMYFUNCTION("""COMPUTED_VALUE"""),"BLACK")</f>
        <v>BLACK</v>
      </c>
      <c r="G9469" s="20" t="str">
        <f>IFERROR(__xludf.DUMMYFUNCTION("""COMPUTED_VALUE"""),"Uncle Sams Cider (5/13/2022)")</f>
        <v>Uncle Sams Cider (5/13/2022)</v>
      </c>
      <c r="H9469" s="19"/>
    </row>
    <row r="9470">
      <c r="A9470" s="9"/>
      <c r="B9470" s="15"/>
      <c r="C9470" s="9">
        <f>IFERROR(__xludf.DUMMYFUNCTION("""COMPUTED_VALUE"""),44697.8450151157)</f>
        <v>44697.84502</v>
      </c>
      <c r="D9470" s="15">
        <f>IFERROR(__xludf.DUMMYFUNCTION("""COMPUTED_VALUE"""),1.089)</f>
        <v>1.089</v>
      </c>
      <c r="E9470" s="16">
        <f>IFERROR(__xludf.DUMMYFUNCTION("""COMPUTED_VALUE"""),66.0)</f>
        <v>66</v>
      </c>
      <c r="F9470" s="19" t="str">
        <f>IFERROR(__xludf.DUMMYFUNCTION("""COMPUTED_VALUE"""),"BLACK")</f>
        <v>BLACK</v>
      </c>
      <c r="G9470" s="20" t="str">
        <f>IFERROR(__xludf.DUMMYFUNCTION("""COMPUTED_VALUE"""),"Uncle Sams Cider (5/13/2022)")</f>
        <v>Uncle Sams Cider (5/13/2022)</v>
      </c>
      <c r="H9470" s="19"/>
    </row>
    <row r="9471">
      <c r="A9471" s="9"/>
      <c r="B9471" s="15"/>
      <c r="C9471" s="9">
        <f>IFERROR(__xludf.DUMMYFUNCTION("""COMPUTED_VALUE"""),44697.8345821412)</f>
        <v>44697.83458</v>
      </c>
      <c r="D9471" s="15">
        <f>IFERROR(__xludf.DUMMYFUNCTION("""COMPUTED_VALUE"""),1.089)</f>
        <v>1.089</v>
      </c>
      <c r="E9471" s="16">
        <f>IFERROR(__xludf.DUMMYFUNCTION("""COMPUTED_VALUE"""),66.0)</f>
        <v>66</v>
      </c>
      <c r="F9471" s="19" t="str">
        <f>IFERROR(__xludf.DUMMYFUNCTION("""COMPUTED_VALUE"""),"BLACK")</f>
        <v>BLACK</v>
      </c>
      <c r="G9471" s="20" t="str">
        <f>IFERROR(__xludf.DUMMYFUNCTION("""COMPUTED_VALUE"""),"Uncle Sams Cider (5/13/2022)")</f>
        <v>Uncle Sams Cider (5/13/2022)</v>
      </c>
      <c r="H9471" s="19"/>
    </row>
    <row r="9472">
      <c r="A9472" s="9"/>
      <c r="B9472" s="15"/>
      <c r="C9472" s="9">
        <f>IFERROR(__xludf.DUMMYFUNCTION("""COMPUTED_VALUE"""),44697.824148993)</f>
        <v>44697.82415</v>
      </c>
      <c r="D9472" s="15">
        <f>IFERROR(__xludf.DUMMYFUNCTION("""COMPUTED_VALUE"""),1.089)</f>
        <v>1.089</v>
      </c>
      <c r="E9472" s="16">
        <f>IFERROR(__xludf.DUMMYFUNCTION("""COMPUTED_VALUE"""),66.0)</f>
        <v>66</v>
      </c>
      <c r="F9472" s="19" t="str">
        <f>IFERROR(__xludf.DUMMYFUNCTION("""COMPUTED_VALUE"""),"BLACK")</f>
        <v>BLACK</v>
      </c>
      <c r="G9472" s="20" t="str">
        <f>IFERROR(__xludf.DUMMYFUNCTION("""COMPUTED_VALUE"""),"Uncle Sams Cider (5/13/2022)")</f>
        <v>Uncle Sams Cider (5/13/2022)</v>
      </c>
      <c r="H9472" s="19"/>
    </row>
    <row r="9473">
      <c r="A9473" s="9"/>
      <c r="B9473" s="15"/>
      <c r="C9473" s="9">
        <f>IFERROR(__xludf.DUMMYFUNCTION("""COMPUTED_VALUE"""),44697.8137260995)</f>
        <v>44697.81373</v>
      </c>
      <c r="D9473" s="15">
        <f>IFERROR(__xludf.DUMMYFUNCTION("""COMPUTED_VALUE"""),1.089)</f>
        <v>1.089</v>
      </c>
      <c r="E9473" s="16">
        <f>IFERROR(__xludf.DUMMYFUNCTION("""COMPUTED_VALUE"""),66.0)</f>
        <v>66</v>
      </c>
      <c r="F9473" s="19" t="str">
        <f>IFERROR(__xludf.DUMMYFUNCTION("""COMPUTED_VALUE"""),"BLACK")</f>
        <v>BLACK</v>
      </c>
      <c r="G9473" s="20" t="str">
        <f>IFERROR(__xludf.DUMMYFUNCTION("""COMPUTED_VALUE"""),"Uncle Sams Cider (5/13/2022)")</f>
        <v>Uncle Sams Cider (5/13/2022)</v>
      </c>
      <c r="H9473" s="19"/>
    </row>
    <row r="9474">
      <c r="A9474" s="9"/>
      <c r="B9474" s="15"/>
      <c r="C9474" s="9">
        <f>IFERROR(__xludf.DUMMYFUNCTION("""COMPUTED_VALUE"""),44697.8033048726)</f>
        <v>44697.8033</v>
      </c>
      <c r="D9474" s="15">
        <f>IFERROR(__xludf.DUMMYFUNCTION("""COMPUTED_VALUE"""),1.089)</f>
        <v>1.089</v>
      </c>
      <c r="E9474" s="16">
        <f>IFERROR(__xludf.DUMMYFUNCTION("""COMPUTED_VALUE"""),66.0)</f>
        <v>66</v>
      </c>
      <c r="F9474" s="19" t="str">
        <f>IFERROR(__xludf.DUMMYFUNCTION("""COMPUTED_VALUE"""),"BLACK")</f>
        <v>BLACK</v>
      </c>
      <c r="G9474" s="20" t="str">
        <f>IFERROR(__xludf.DUMMYFUNCTION("""COMPUTED_VALUE"""),"Uncle Sams Cider (5/13/2022)")</f>
        <v>Uncle Sams Cider (5/13/2022)</v>
      </c>
      <c r="H9474" s="19"/>
    </row>
    <row r="9475">
      <c r="A9475" s="9"/>
      <c r="B9475" s="15"/>
      <c r="C9475" s="9">
        <f>IFERROR(__xludf.DUMMYFUNCTION("""COMPUTED_VALUE"""),44697.7928854745)</f>
        <v>44697.79289</v>
      </c>
      <c r="D9475" s="15">
        <f>IFERROR(__xludf.DUMMYFUNCTION("""COMPUTED_VALUE"""),1.089)</f>
        <v>1.089</v>
      </c>
      <c r="E9475" s="16">
        <f>IFERROR(__xludf.DUMMYFUNCTION("""COMPUTED_VALUE"""),66.0)</f>
        <v>66</v>
      </c>
      <c r="F9475" s="19" t="str">
        <f>IFERROR(__xludf.DUMMYFUNCTION("""COMPUTED_VALUE"""),"BLACK")</f>
        <v>BLACK</v>
      </c>
      <c r="G9475" s="20" t="str">
        <f>IFERROR(__xludf.DUMMYFUNCTION("""COMPUTED_VALUE"""),"Uncle Sams Cider (5/13/2022)")</f>
        <v>Uncle Sams Cider (5/13/2022)</v>
      </c>
      <c r="H9475" s="19"/>
    </row>
    <row r="9476">
      <c r="A9476" s="9"/>
      <c r="B9476" s="15"/>
      <c r="C9476" s="9">
        <f>IFERROR(__xludf.DUMMYFUNCTION("""COMPUTED_VALUE"""),44697.7824519791)</f>
        <v>44697.78245</v>
      </c>
      <c r="D9476" s="15">
        <f>IFERROR(__xludf.DUMMYFUNCTION("""COMPUTED_VALUE"""),1.09)</f>
        <v>1.09</v>
      </c>
      <c r="E9476" s="16">
        <f>IFERROR(__xludf.DUMMYFUNCTION("""COMPUTED_VALUE"""),66.0)</f>
        <v>66</v>
      </c>
      <c r="F9476" s="19" t="str">
        <f>IFERROR(__xludf.DUMMYFUNCTION("""COMPUTED_VALUE"""),"BLACK")</f>
        <v>BLACK</v>
      </c>
      <c r="G9476" s="20" t="str">
        <f>IFERROR(__xludf.DUMMYFUNCTION("""COMPUTED_VALUE"""),"Uncle Sams Cider (5/13/2022)")</f>
        <v>Uncle Sams Cider (5/13/2022)</v>
      </c>
      <c r="H9476" s="19"/>
    </row>
    <row r="9477">
      <c r="A9477" s="9"/>
      <c r="B9477" s="15"/>
      <c r="C9477" s="9">
        <f>IFERROR(__xludf.DUMMYFUNCTION("""COMPUTED_VALUE"""),44697.7720306481)</f>
        <v>44697.77203</v>
      </c>
      <c r="D9477" s="15">
        <f>IFERROR(__xludf.DUMMYFUNCTION("""COMPUTED_VALUE"""),1.09)</f>
        <v>1.09</v>
      </c>
      <c r="E9477" s="16">
        <f>IFERROR(__xludf.DUMMYFUNCTION("""COMPUTED_VALUE"""),66.0)</f>
        <v>66</v>
      </c>
      <c r="F9477" s="19" t="str">
        <f>IFERROR(__xludf.DUMMYFUNCTION("""COMPUTED_VALUE"""),"BLACK")</f>
        <v>BLACK</v>
      </c>
      <c r="G9477" s="20" t="str">
        <f>IFERROR(__xludf.DUMMYFUNCTION("""COMPUTED_VALUE"""),"Uncle Sams Cider (5/13/2022)")</f>
        <v>Uncle Sams Cider (5/13/2022)</v>
      </c>
      <c r="H9477" s="19"/>
    </row>
    <row r="9478">
      <c r="A9478" s="9"/>
      <c r="B9478" s="15"/>
      <c r="C9478" s="9">
        <f>IFERROR(__xludf.DUMMYFUNCTION("""COMPUTED_VALUE"""),44697.76159875)</f>
        <v>44697.7616</v>
      </c>
      <c r="D9478" s="15">
        <f>IFERROR(__xludf.DUMMYFUNCTION("""COMPUTED_VALUE"""),1.09)</f>
        <v>1.09</v>
      </c>
      <c r="E9478" s="16">
        <f>IFERROR(__xludf.DUMMYFUNCTION("""COMPUTED_VALUE"""),66.0)</f>
        <v>66</v>
      </c>
      <c r="F9478" s="19" t="str">
        <f>IFERROR(__xludf.DUMMYFUNCTION("""COMPUTED_VALUE"""),"BLACK")</f>
        <v>BLACK</v>
      </c>
      <c r="G9478" s="20" t="str">
        <f>IFERROR(__xludf.DUMMYFUNCTION("""COMPUTED_VALUE"""),"Uncle Sams Cider (5/13/2022)")</f>
        <v>Uncle Sams Cider (5/13/2022)</v>
      </c>
      <c r="H9478" s="19"/>
    </row>
    <row r="9479">
      <c r="A9479" s="9"/>
      <c r="B9479" s="15"/>
      <c r="C9479" s="9">
        <f>IFERROR(__xludf.DUMMYFUNCTION("""COMPUTED_VALUE"""),44697.7511752893)</f>
        <v>44697.75118</v>
      </c>
      <c r="D9479" s="15">
        <f>IFERROR(__xludf.DUMMYFUNCTION("""COMPUTED_VALUE"""),1.09)</f>
        <v>1.09</v>
      </c>
      <c r="E9479" s="16">
        <f>IFERROR(__xludf.DUMMYFUNCTION("""COMPUTED_VALUE"""),66.0)</f>
        <v>66</v>
      </c>
      <c r="F9479" s="19" t="str">
        <f>IFERROR(__xludf.DUMMYFUNCTION("""COMPUTED_VALUE"""),"BLACK")</f>
        <v>BLACK</v>
      </c>
      <c r="G9479" s="20" t="str">
        <f>IFERROR(__xludf.DUMMYFUNCTION("""COMPUTED_VALUE"""),"Uncle Sams Cider (5/13/2022)")</f>
        <v>Uncle Sams Cider (5/13/2022)</v>
      </c>
      <c r="H9479" s="19"/>
    </row>
    <row r="9480">
      <c r="A9480" s="9"/>
      <c r="B9480" s="15"/>
      <c r="C9480" s="9">
        <f>IFERROR(__xludf.DUMMYFUNCTION("""COMPUTED_VALUE"""),44697.7407546643)</f>
        <v>44697.74075</v>
      </c>
      <c r="D9480" s="15">
        <f>IFERROR(__xludf.DUMMYFUNCTION("""COMPUTED_VALUE"""),1.09)</f>
        <v>1.09</v>
      </c>
      <c r="E9480" s="16">
        <f>IFERROR(__xludf.DUMMYFUNCTION("""COMPUTED_VALUE"""),66.0)</f>
        <v>66</v>
      </c>
      <c r="F9480" s="19" t="str">
        <f>IFERROR(__xludf.DUMMYFUNCTION("""COMPUTED_VALUE"""),"BLACK")</f>
        <v>BLACK</v>
      </c>
      <c r="G9480" s="20" t="str">
        <f>IFERROR(__xludf.DUMMYFUNCTION("""COMPUTED_VALUE"""),"Uncle Sams Cider (5/13/2022)")</f>
        <v>Uncle Sams Cider (5/13/2022)</v>
      </c>
      <c r="H9480" s="19"/>
    </row>
    <row r="9481">
      <c r="A9481" s="9"/>
      <c r="B9481" s="15"/>
      <c r="C9481" s="9">
        <f>IFERROR(__xludf.DUMMYFUNCTION("""COMPUTED_VALUE"""),44697.7303093171)</f>
        <v>44697.73031</v>
      </c>
      <c r="D9481" s="15">
        <f>IFERROR(__xludf.DUMMYFUNCTION("""COMPUTED_VALUE"""),1.09)</f>
        <v>1.09</v>
      </c>
      <c r="E9481" s="16">
        <f>IFERROR(__xludf.DUMMYFUNCTION("""COMPUTED_VALUE"""),66.0)</f>
        <v>66</v>
      </c>
      <c r="F9481" s="19" t="str">
        <f>IFERROR(__xludf.DUMMYFUNCTION("""COMPUTED_VALUE"""),"BLACK")</f>
        <v>BLACK</v>
      </c>
      <c r="G9481" s="20" t="str">
        <f>IFERROR(__xludf.DUMMYFUNCTION("""COMPUTED_VALUE"""),"Uncle Sams Cider (5/13/2022)")</f>
        <v>Uncle Sams Cider (5/13/2022)</v>
      </c>
      <c r="H9481" s="19"/>
    </row>
    <row r="9482">
      <c r="A9482" s="9"/>
      <c r="B9482" s="15"/>
      <c r="C9482" s="9">
        <f>IFERROR(__xludf.DUMMYFUNCTION("""COMPUTED_VALUE"""),44697.7198886111)</f>
        <v>44697.71989</v>
      </c>
      <c r="D9482" s="15">
        <f>IFERROR(__xludf.DUMMYFUNCTION("""COMPUTED_VALUE"""),1.09)</f>
        <v>1.09</v>
      </c>
      <c r="E9482" s="16">
        <f>IFERROR(__xludf.DUMMYFUNCTION("""COMPUTED_VALUE"""),66.0)</f>
        <v>66</v>
      </c>
      <c r="F9482" s="19" t="str">
        <f>IFERROR(__xludf.DUMMYFUNCTION("""COMPUTED_VALUE"""),"BLACK")</f>
        <v>BLACK</v>
      </c>
      <c r="G9482" s="20" t="str">
        <f>IFERROR(__xludf.DUMMYFUNCTION("""COMPUTED_VALUE"""),"Uncle Sams Cider (5/13/2022)")</f>
        <v>Uncle Sams Cider (5/13/2022)</v>
      </c>
      <c r="H9482" s="19"/>
    </row>
    <row r="9483">
      <c r="A9483" s="9"/>
      <c r="B9483" s="15"/>
      <c r="C9483" s="9">
        <f>IFERROR(__xludf.DUMMYFUNCTION("""COMPUTED_VALUE"""),44697.7094551504)</f>
        <v>44697.70946</v>
      </c>
      <c r="D9483" s="15">
        <f>IFERROR(__xludf.DUMMYFUNCTION("""COMPUTED_VALUE"""),1.09)</f>
        <v>1.09</v>
      </c>
      <c r="E9483" s="16">
        <f>IFERROR(__xludf.DUMMYFUNCTION("""COMPUTED_VALUE"""),66.0)</f>
        <v>66</v>
      </c>
      <c r="F9483" s="19" t="str">
        <f>IFERROR(__xludf.DUMMYFUNCTION("""COMPUTED_VALUE"""),"BLACK")</f>
        <v>BLACK</v>
      </c>
      <c r="G9483" s="20" t="str">
        <f>IFERROR(__xludf.DUMMYFUNCTION("""COMPUTED_VALUE"""),"Uncle Sams Cider (5/13/2022)")</f>
        <v>Uncle Sams Cider (5/13/2022)</v>
      </c>
      <c r="H9483" s="19"/>
    </row>
    <row r="9484">
      <c r="A9484" s="9"/>
      <c r="B9484" s="15"/>
      <c r="C9484" s="9">
        <f>IFERROR(__xludf.DUMMYFUNCTION("""COMPUTED_VALUE"""),44697.699033912)</f>
        <v>44697.69903</v>
      </c>
      <c r="D9484" s="15">
        <f>IFERROR(__xludf.DUMMYFUNCTION("""COMPUTED_VALUE"""),1.09)</f>
        <v>1.09</v>
      </c>
      <c r="E9484" s="16">
        <f>IFERROR(__xludf.DUMMYFUNCTION("""COMPUTED_VALUE"""),66.0)</f>
        <v>66</v>
      </c>
      <c r="F9484" s="19" t="str">
        <f>IFERROR(__xludf.DUMMYFUNCTION("""COMPUTED_VALUE"""),"BLACK")</f>
        <v>BLACK</v>
      </c>
      <c r="G9484" s="20" t="str">
        <f>IFERROR(__xludf.DUMMYFUNCTION("""COMPUTED_VALUE"""),"Uncle Sams Cider (5/13/2022)")</f>
        <v>Uncle Sams Cider (5/13/2022)</v>
      </c>
      <c r="H9484" s="19"/>
    </row>
    <row r="9485">
      <c r="A9485" s="9"/>
      <c r="B9485" s="15"/>
      <c r="C9485" s="9">
        <f>IFERROR(__xludf.DUMMYFUNCTION("""COMPUTED_VALUE"""),44697.68861375)</f>
        <v>44697.68861</v>
      </c>
      <c r="D9485" s="15">
        <f>IFERROR(__xludf.DUMMYFUNCTION("""COMPUTED_VALUE"""),1.09)</f>
        <v>1.09</v>
      </c>
      <c r="E9485" s="16">
        <f>IFERROR(__xludf.DUMMYFUNCTION("""COMPUTED_VALUE"""),66.0)</f>
        <v>66</v>
      </c>
      <c r="F9485" s="19" t="str">
        <f>IFERROR(__xludf.DUMMYFUNCTION("""COMPUTED_VALUE"""),"BLACK")</f>
        <v>BLACK</v>
      </c>
      <c r="G9485" s="20" t="str">
        <f>IFERROR(__xludf.DUMMYFUNCTION("""COMPUTED_VALUE"""),"Uncle Sams Cider (5/13/2022)")</f>
        <v>Uncle Sams Cider (5/13/2022)</v>
      </c>
      <c r="H9485" s="19"/>
    </row>
    <row r="9486">
      <c r="A9486" s="9"/>
      <c r="B9486" s="15"/>
      <c r="C9486" s="9">
        <f>IFERROR(__xludf.DUMMYFUNCTION("""COMPUTED_VALUE"""),44697.6781811111)</f>
        <v>44697.67818</v>
      </c>
      <c r="D9486" s="15">
        <f>IFERROR(__xludf.DUMMYFUNCTION("""COMPUTED_VALUE"""),1.09)</f>
        <v>1.09</v>
      </c>
      <c r="E9486" s="16">
        <f>IFERROR(__xludf.DUMMYFUNCTION("""COMPUTED_VALUE"""),65.0)</f>
        <v>65</v>
      </c>
      <c r="F9486" s="19" t="str">
        <f>IFERROR(__xludf.DUMMYFUNCTION("""COMPUTED_VALUE"""),"BLACK")</f>
        <v>BLACK</v>
      </c>
      <c r="G9486" s="20" t="str">
        <f>IFERROR(__xludf.DUMMYFUNCTION("""COMPUTED_VALUE"""),"Uncle Sams Cider (5/13/2022)")</f>
        <v>Uncle Sams Cider (5/13/2022)</v>
      </c>
      <c r="H9486" s="19"/>
    </row>
    <row r="9487">
      <c r="A9487" s="9"/>
      <c r="B9487" s="15"/>
      <c r="C9487" s="9">
        <f>IFERROR(__xludf.DUMMYFUNCTION("""COMPUTED_VALUE"""),44697.66776125)</f>
        <v>44697.66776</v>
      </c>
      <c r="D9487" s="15">
        <f>IFERROR(__xludf.DUMMYFUNCTION("""COMPUTED_VALUE"""),1.09)</f>
        <v>1.09</v>
      </c>
      <c r="E9487" s="16">
        <f>IFERROR(__xludf.DUMMYFUNCTION("""COMPUTED_VALUE"""),65.0)</f>
        <v>65</v>
      </c>
      <c r="F9487" s="19" t="str">
        <f>IFERROR(__xludf.DUMMYFUNCTION("""COMPUTED_VALUE"""),"BLACK")</f>
        <v>BLACK</v>
      </c>
      <c r="G9487" s="20" t="str">
        <f>IFERROR(__xludf.DUMMYFUNCTION("""COMPUTED_VALUE"""),"Uncle Sams Cider (5/13/2022)")</f>
        <v>Uncle Sams Cider (5/13/2022)</v>
      </c>
      <c r="H9487" s="19"/>
    </row>
    <row r="9488">
      <c r="A9488" s="9"/>
      <c r="B9488" s="15"/>
      <c r="C9488" s="9">
        <f>IFERROR(__xludf.DUMMYFUNCTION("""COMPUTED_VALUE"""),44697.6573410301)</f>
        <v>44697.65734</v>
      </c>
      <c r="D9488" s="15">
        <f>IFERROR(__xludf.DUMMYFUNCTION("""COMPUTED_VALUE"""),1.09)</f>
        <v>1.09</v>
      </c>
      <c r="E9488" s="16">
        <f>IFERROR(__xludf.DUMMYFUNCTION("""COMPUTED_VALUE"""),65.0)</f>
        <v>65</v>
      </c>
      <c r="F9488" s="19" t="str">
        <f>IFERROR(__xludf.DUMMYFUNCTION("""COMPUTED_VALUE"""),"BLACK")</f>
        <v>BLACK</v>
      </c>
      <c r="G9488" s="20" t="str">
        <f>IFERROR(__xludf.DUMMYFUNCTION("""COMPUTED_VALUE"""),"Uncle Sams Cider (5/13/2022)")</f>
        <v>Uncle Sams Cider (5/13/2022)</v>
      </c>
      <c r="H9488" s="19"/>
    </row>
    <row r="9489">
      <c r="A9489" s="9"/>
      <c r="B9489" s="15"/>
      <c r="C9489" s="9">
        <f>IFERROR(__xludf.DUMMYFUNCTION("""COMPUTED_VALUE"""),44697.6469197916)</f>
        <v>44697.64692</v>
      </c>
      <c r="D9489" s="15">
        <f>IFERROR(__xludf.DUMMYFUNCTION("""COMPUTED_VALUE"""),1.09)</f>
        <v>1.09</v>
      </c>
      <c r="E9489" s="16">
        <f>IFERROR(__xludf.DUMMYFUNCTION("""COMPUTED_VALUE"""),65.0)</f>
        <v>65</v>
      </c>
      <c r="F9489" s="19" t="str">
        <f>IFERROR(__xludf.DUMMYFUNCTION("""COMPUTED_VALUE"""),"BLACK")</f>
        <v>BLACK</v>
      </c>
      <c r="G9489" s="20" t="str">
        <f>IFERROR(__xludf.DUMMYFUNCTION("""COMPUTED_VALUE"""),"Uncle Sams Cider (5/13/2022)")</f>
        <v>Uncle Sams Cider (5/13/2022)</v>
      </c>
      <c r="H9489" s="19"/>
    </row>
    <row r="9490">
      <c r="A9490" s="9"/>
      <c r="B9490" s="15"/>
      <c r="C9490" s="9">
        <f>IFERROR(__xludf.DUMMYFUNCTION("""COMPUTED_VALUE"""),44697.6364981365)</f>
        <v>44697.6365</v>
      </c>
      <c r="D9490" s="15">
        <f>IFERROR(__xludf.DUMMYFUNCTION("""COMPUTED_VALUE"""),1.091)</f>
        <v>1.091</v>
      </c>
      <c r="E9490" s="16">
        <f>IFERROR(__xludf.DUMMYFUNCTION("""COMPUTED_VALUE"""),64.0)</f>
        <v>64</v>
      </c>
      <c r="F9490" s="19" t="str">
        <f>IFERROR(__xludf.DUMMYFUNCTION("""COMPUTED_VALUE"""),"BLACK")</f>
        <v>BLACK</v>
      </c>
      <c r="G9490" s="20" t="str">
        <f>IFERROR(__xludf.DUMMYFUNCTION("""COMPUTED_VALUE"""),"Uncle Sams Cider (5/13/2022)")</f>
        <v>Uncle Sams Cider (5/13/2022)</v>
      </c>
      <c r="H9490" s="19"/>
    </row>
    <row r="9491">
      <c r="A9491" s="9"/>
      <c r="B9491" s="15"/>
      <c r="C9491" s="9">
        <f>IFERROR(__xludf.DUMMYFUNCTION("""COMPUTED_VALUE"""),44697.6260770601)</f>
        <v>44697.62608</v>
      </c>
      <c r="D9491" s="15">
        <f>IFERROR(__xludf.DUMMYFUNCTION("""COMPUTED_VALUE"""),1.091)</f>
        <v>1.091</v>
      </c>
      <c r="E9491" s="16">
        <f>IFERROR(__xludf.DUMMYFUNCTION("""COMPUTED_VALUE"""),65.0)</f>
        <v>65</v>
      </c>
      <c r="F9491" s="19" t="str">
        <f>IFERROR(__xludf.DUMMYFUNCTION("""COMPUTED_VALUE"""),"BLACK")</f>
        <v>BLACK</v>
      </c>
      <c r="G9491" s="20" t="str">
        <f>IFERROR(__xludf.DUMMYFUNCTION("""COMPUTED_VALUE"""),"Uncle Sams Cider (5/13/2022)")</f>
        <v>Uncle Sams Cider (5/13/2022)</v>
      </c>
      <c r="H9491" s="19"/>
    </row>
    <row r="9492">
      <c r="A9492" s="9"/>
      <c r="B9492" s="15"/>
      <c r="C9492" s="9">
        <f>IFERROR(__xludf.DUMMYFUNCTION("""COMPUTED_VALUE"""),44697.6156451851)</f>
        <v>44697.61565</v>
      </c>
      <c r="D9492" s="15">
        <f>IFERROR(__xludf.DUMMYFUNCTION("""COMPUTED_VALUE"""),1.091)</f>
        <v>1.091</v>
      </c>
      <c r="E9492" s="16">
        <f>IFERROR(__xludf.DUMMYFUNCTION("""COMPUTED_VALUE"""),67.0)</f>
        <v>67</v>
      </c>
      <c r="F9492" s="19" t="str">
        <f>IFERROR(__xludf.DUMMYFUNCTION("""COMPUTED_VALUE"""),"BLACK")</f>
        <v>BLACK</v>
      </c>
      <c r="G9492" s="20" t="str">
        <f>IFERROR(__xludf.DUMMYFUNCTION("""COMPUTED_VALUE"""),"Uncle Sams Cider (5/13/2022)")</f>
        <v>Uncle Sams Cider (5/13/2022)</v>
      </c>
      <c r="H9492" s="19"/>
    </row>
    <row r="9493">
      <c r="A9493" s="9"/>
      <c r="B9493" s="15"/>
      <c r="C9493" s="9">
        <f>IFERROR(__xludf.DUMMYFUNCTION("""COMPUTED_VALUE"""),44697.6052220833)</f>
        <v>44697.60522</v>
      </c>
      <c r="D9493" s="15">
        <f>IFERROR(__xludf.DUMMYFUNCTION("""COMPUTED_VALUE"""),1.09)</f>
        <v>1.09</v>
      </c>
      <c r="E9493" s="16">
        <f>IFERROR(__xludf.DUMMYFUNCTION("""COMPUTED_VALUE"""),69.0)</f>
        <v>69</v>
      </c>
      <c r="F9493" s="19" t="str">
        <f>IFERROR(__xludf.DUMMYFUNCTION("""COMPUTED_VALUE"""),"BLACK")</f>
        <v>BLACK</v>
      </c>
      <c r="G9493" s="20" t="str">
        <f>IFERROR(__xludf.DUMMYFUNCTION("""COMPUTED_VALUE"""),"Uncle Sams Cider (5/13/2022)")</f>
        <v>Uncle Sams Cider (5/13/2022)</v>
      </c>
      <c r="H9493" s="19"/>
    </row>
    <row r="9494">
      <c r="A9494" s="9"/>
      <c r="B9494" s="15"/>
      <c r="C9494" s="9">
        <f>IFERROR(__xludf.DUMMYFUNCTION("""COMPUTED_VALUE"""),44697.5947768171)</f>
        <v>44697.59478</v>
      </c>
      <c r="D9494" s="15">
        <f>IFERROR(__xludf.DUMMYFUNCTION("""COMPUTED_VALUE"""),1.091)</f>
        <v>1.091</v>
      </c>
      <c r="E9494" s="16">
        <f>IFERROR(__xludf.DUMMYFUNCTION("""COMPUTED_VALUE"""),70.0)</f>
        <v>70</v>
      </c>
      <c r="F9494" s="19" t="str">
        <f>IFERROR(__xludf.DUMMYFUNCTION("""COMPUTED_VALUE"""),"BLACK")</f>
        <v>BLACK</v>
      </c>
      <c r="G9494" s="20" t="str">
        <f>IFERROR(__xludf.DUMMYFUNCTION("""COMPUTED_VALUE"""),"Uncle Sams Cider (5/13/2022)")</f>
        <v>Uncle Sams Cider (5/13/2022)</v>
      </c>
      <c r="H9494" s="19"/>
    </row>
    <row r="9495">
      <c r="A9495" s="9"/>
      <c r="B9495" s="15"/>
      <c r="C9495" s="9">
        <f>IFERROR(__xludf.DUMMYFUNCTION("""COMPUTED_VALUE"""),44697.5843560532)</f>
        <v>44697.58436</v>
      </c>
      <c r="D9495" s="15">
        <f>IFERROR(__xludf.DUMMYFUNCTION("""COMPUTED_VALUE"""),1.091)</f>
        <v>1.091</v>
      </c>
      <c r="E9495" s="16">
        <f>IFERROR(__xludf.DUMMYFUNCTION("""COMPUTED_VALUE"""),70.0)</f>
        <v>70</v>
      </c>
      <c r="F9495" s="19" t="str">
        <f>IFERROR(__xludf.DUMMYFUNCTION("""COMPUTED_VALUE"""),"BLACK")</f>
        <v>BLACK</v>
      </c>
      <c r="G9495" s="20" t="str">
        <f>IFERROR(__xludf.DUMMYFUNCTION("""COMPUTED_VALUE"""),"Uncle Sams Cider (5/13/2022)")</f>
        <v>Uncle Sams Cider (5/13/2022)</v>
      </c>
      <c r="H9495" s="19"/>
    </row>
    <row r="9496">
      <c r="A9496" s="9"/>
      <c r="B9496" s="15"/>
      <c r="C9496" s="9">
        <f>IFERROR(__xludf.DUMMYFUNCTION("""COMPUTED_VALUE"""),44697.5739349305)</f>
        <v>44697.57393</v>
      </c>
      <c r="D9496" s="15">
        <f>IFERROR(__xludf.DUMMYFUNCTION("""COMPUTED_VALUE"""),1.091)</f>
        <v>1.091</v>
      </c>
      <c r="E9496" s="16">
        <f>IFERROR(__xludf.DUMMYFUNCTION("""COMPUTED_VALUE"""),69.0)</f>
        <v>69</v>
      </c>
      <c r="F9496" s="19" t="str">
        <f>IFERROR(__xludf.DUMMYFUNCTION("""COMPUTED_VALUE"""),"BLACK")</f>
        <v>BLACK</v>
      </c>
      <c r="G9496" s="20" t="str">
        <f>IFERROR(__xludf.DUMMYFUNCTION("""COMPUTED_VALUE"""),"Uncle Sams Cider (5/13/2022)")</f>
        <v>Uncle Sams Cider (5/13/2022)</v>
      </c>
      <c r="H9496" s="19"/>
    </row>
    <row r="9497">
      <c r="A9497" s="9"/>
      <c r="B9497" s="15"/>
      <c r="C9497" s="9">
        <f>IFERROR(__xludf.DUMMYFUNCTION("""COMPUTED_VALUE"""),44697.5635122338)</f>
        <v>44697.56351</v>
      </c>
      <c r="D9497" s="15">
        <f>IFERROR(__xludf.DUMMYFUNCTION("""COMPUTED_VALUE"""),1.091)</f>
        <v>1.091</v>
      </c>
      <c r="E9497" s="16">
        <f>IFERROR(__xludf.DUMMYFUNCTION("""COMPUTED_VALUE"""),69.0)</f>
        <v>69</v>
      </c>
      <c r="F9497" s="19" t="str">
        <f>IFERROR(__xludf.DUMMYFUNCTION("""COMPUTED_VALUE"""),"BLACK")</f>
        <v>BLACK</v>
      </c>
      <c r="G9497" s="20" t="str">
        <f>IFERROR(__xludf.DUMMYFUNCTION("""COMPUTED_VALUE"""),"Uncle Sams Cider (5/13/2022)")</f>
        <v>Uncle Sams Cider (5/13/2022)</v>
      </c>
      <c r="H9497" s="19"/>
    </row>
    <row r="9498">
      <c r="A9498" s="9"/>
      <c r="B9498" s="15"/>
      <c r="C9498" s="9">
        <f>IFERROR(__xludf.DUMMYFUNCTION("""COMPUTED_VALUE"""),44697.5530676388)</f>
        <v>44697.55307</v>
      </c>
      <c r="D9498" s="15">
        <f>IFERROR(__xludf.DUMMYFUNCTION("""COMPUTED_VALUE"""),1.091)</f>
        <v>1.091</v>
      </c>
      <c r="E9498" s="16">
        <f>IFERROR(__xludf.DUMMYFUNCTION("""COMPUTED_VALUE"""),69.0)</f>
        <v>69</v>
      </c>
      <c r="F9498" s="19" t="str">
        <f>IFERROR(__xludf.DUMMYFUNCTION("""COMPUTED_VALUE"""),"BLACK")</f>
        <v>BLACK</v>
      </c>
      <c r="G9498" s="20" t="str">
        <f>IFERROR(__xludf.DUMMYFUNCTION("""COMPUTED_VALUE"""),"Uncle Sams Cider (5/13/2022)")</f>
        <v>Uncle Sams Cider (5/13/2022)</v>
      </c>
      <c r="H9498" s="19"/>
    </row>
    <row r="9499">
      <c r="A9499" s="9"/>
      <c r="B9499" s="15"/>
      <c r="C9499" s="9">
        <f>IFERROR(__xludf.DUMMYFUNCTION("""COMPUTED_VALUE"""),44697.5426234143)</f>
        <v>44697.54262</v>
      </c>
      <c r="D9499" s="15">
        <f>IFERROR(__xludf.DUMMYFUNCTION("""COMPUTED_VALUE"""),1.092)</f>
        <v>1.092</v>
      </c>
      <c r="E9499" s="16">
        <f>IFERROR(__xludf.DUMMYFUNCTION("""COMPUTED_VALUE"""),69.0)</f>
        <v>69</v>
      </c>
      <c r="F9499" s="19" t="str">
        <f>IFERROR(__xludf.DUMMYFUNCTION("""COMPUTED_VALUE"""),"BLACK")</f>
        <v>BLACK</v>
      </c>
      <c r="G9499" s="20" t="str">
        <f>IFERROR(__xludf.DUMMYFUNCTION("""COMPUTED_VALUE"""),"Uncle Sams Cider (5/13/2022)")</f>
        <v>Uncle Sams Cider (5/13/2022)</v>
      </c>
      <c r="H9499" s="19"/>
    </row>
    <row r="9500">
      <c r="A9500" s="9"/>
      <c r="B9500" s="15"/>
      <c r="C9500" s="9">
        <f>IFERROR(__xludf.DUMMYFUNCTION("""COMPUTED_VALUE"""),44697.5321908796)</f>
        <v>44697.53219</v>
      </c>
      <c r="D9500" s="15">
        <f>IFERROR(__xludf.DUMMYFUNCTION("""COMPUTED_VALUE"""),1.092)</f>
        <v>1.092</v>
      </c>
      <c r="E9500" s="16">
        <f>IFERROR(__xludf.DUMMYFUNCTION("""COMPUTED_VALUE"""),69.0)</f>
        <v>69</v>
      </c>
      <c r="F9500" s="19" t="str">
        <f>IFERROR(__xludf.DUMMYFUNCTION("""COMPUTED_VALUE"""),"BLACK")</f>
        <v>BLACK</v>
      </c>
      <c r="G9500" s="20" t="str">
        <f>IFERROR(__xludf.DUMMYFUNCTION("""COMPUTED_VALUE"""),"Uncle Sams Cider (5/13/2022)")</f>
        <v>Uncle Sams Cider (5/13/2022)</v>
      </c>
      <c r="H9500" s="19"/>
    </row>
    <row r="9501">
      <c r="A9501" s="9"/>
      <c r="B9501" s="15"/>
      <c r="C9501" s="9">
        <f>IFERROR(__xludf.DUMMYFUNCTION("""COMPUTED_VALUE"""),44697.5217685069)</f>
        <v>44697.52177</v>
      </c>
      <c r="D9501" s="15">
        <f>IFERROR(__xludf.DUMMYFUNCTION("""COMPUTED_VALUE"""),1.092)</f>
        <v>1.092</v>
      </c>
      <c r="E9501" s="16">
        <f>IFERROR(__xludf.DUMMYFUNCTION("""COMPUTED_VALUE"""),69.0)</f>
        <v>69</v>
      </c>
      <c r="F9501" s="19" t="str">
        <f>IFERROR(__xludf.DUMMYFUNCTION("""COMPUTED_VALUE"""),"BLACK")</f>
        <v>BLACK</v>
      </c>
      <c r="G9501" s="20" t="str">
        <f>IFERROR(__xludf.DUMMYFUNCTION("""COMPUTED_VALUE"""),"Uncle Sams Cider (5/13/2022)")</f>
        <v>Uncle Sams Cider (5/13/2022)</v>
      </c>
      <c r="H9501" s="19"/>
    </row>
    <row r="9502">
      <c r="A9502" s="9"/>
      <c r="B9502" s="15"/>
      <c r="C9502" s="9">
        <f>IFERROR(__xludf.DUMMYFUNCTION("""COMPUTED_VALUE"""),44697.5113468518)</f>
        <v>44697.51135</v>
      </c>
      <c r="D9502" s="15">
        <f>IFERROR(__xludf.DUMMYFUNCTION("""COMPUTED_VALUE"""),1.092)</f>
        <v>1.092</v>
      </c>
      <c r="E9502" s="16">
        <f>IFERROR(__xludf.DUMMYFUNCTION("""COMPUTED_VALUE"""),69.0)</f>
        <v>69</v>
      </c>
      <c r="F9502" s="19" t="str">
        <f>IFERROR(__xludf.DUMMYFUNCTION("""COMPUTED_VALUE"""),"BLACK")</f>
        <v>BLACK</v>
      </c>
      <c r="G9502" s="20" t="str">
        <f>IFERROR(__xludf.DUMMYFUNCTION("""COMPUTED_VALUE"""),"Uncle Sams Cider (5/13/2022)")</f>
        <v>Uncle Sams Cider (5/13/2022)</v>
      </c>
      <c r="H9502" s="19"/>
    </row>
    <row r="9503">
      <c r="A9503" s="9"/>
      <c r="B9503" s="15"/>
      <c r="C9503" s="9">
        <f>IFERROR(__xludf.DUMMYFUNCTION("""COMPUTED_VALUE"""),44697.5009255092)</f>
        <v>44697.50093</v>
      </c>
      <c r="D9503" s="15">
        <f>IFERROR(__xludf.DUMMYFUNCTION("""COMPUTED_VALUE"""),1.092)</f>
        <v>1.092</v>
      </c>
      <c r="E9503" s="16">
        <f>IFERROR(__xludf.DUMMYFUNCTION("""COMPUTED_VALUE"""),69.0)</f>
        <v>69</v>
      </c>
      <c r="F9503" s="19" t="str">
        <f>IFERROR(__xludf.DUMMYFUNCTION("""COMPUTED_VALUE"""),"BLACK")</f>
        <v>BLACK</v>
      </c>
      <c r="G9503" s="20" t="str">
        <f>IFERROR(__xludf.DUMMYFUNCTION("""COMPUTED_VALUE"""),"Uncle Sams Cider (5/13/2022)")</f>
        <v>Uncle Sams Cider (5/13/2022)</v>
      </c>
      <c r="H9503" s="19"/>
    </row>
    <row r="9504">
      <c r="A9504" s="9"/>
      <c r="B9504" s="15"/>
      <c r="C9504" s="9">
        <f>IFERROR(__xludf.DUMMYFUNCTION("""COMPUTED_VALUE"""),44697.4904573032)</f>
        <v>44697.49046</v>
      </c>
      <c r="D9504" s="15">
        <f>IFERROR(__xludf.DUMMYFUNCTION("""COMPUTED_VALUE"""),1.092)</f>
        <v>1.092</v>
      </c>
      <c r="E9504" s="16">
        <f>IFERROR(__xludf.DUMMYFUNCTION("""COMPUTED_VALUE"""),69.0)</f>
        <v>69</v>
      </c>
      <c r="F9504" s="19" t="str">
        <f>IFERROR(__xludf.DUMMYFUNCTION("""COMPUTED_VALUE"""),"BLACK")</f>
        <v>BLACK</v>
      </c>
      <c r="G9504" s="20" t="str">
        <f>IFERROR(__xludf.DUMMYFUNCTION("""COMPUTED_VALUE"""),"Uncle Sams Cider (5/13/2022)")</f>
        <v>Uncle Sams Cider (5/13/2022)</v>
      </c>
      <c r="H9504" s="19"/>
    </row>
    <row r="9505">
      <c r="A9505" s="9"/>
      <c r="B9505" s="15"/>
      <c r="C9505" s="9">
        <f>IFERROR(__xludf.DUMMYFUNCTION("""COMPUTED_VALUE"""),44697.4800227893)</f>
        <v>44697.48002</v>
      </c>
      <c r="D9505" s="15">
        <f>IFERROR(__xludf.DUMMYFUNCTION("""COMPUTED_VALUE"""),1.092)</f>
        <v>1.092</v>
      </c>
      <c r="E9505" s="16">
        <f>IFERROR(__xludf.DUMMYFUNCTION("""COMPUTED_VALUE"""),69.0)</f>
        <v>69</v>
      </c>
      <c r="F9505" s="19" t="str">
        <f>IFERROR(__xludf.DUMMYFUNCTION("""COMPUTED_VALUE"""),"BLACK")</f>
        <v>BLACK</v>
      </c>
      <c r="G9505" s="20" t="str">
        <f>IFERROR(__xludf.DUMMYFUNCTION("""COMPUTED_VALUE"""),"Uncle Sams Cider (5/13/2022)")</f>
        <v>Uncle Sams Cider (5/13/2022)</v>
      </c>
      <c r="H9505" s="19"/>
    </row>
    <row r="9506">
      <c r="A9506" s="9"/>
      <c r="B9506" s="15"/>
      <c r="C9506" s="9">
        <f>IFERROR(__xludf.DUMMYFUNCTION("""COMPUTED_VALUE"""),44697.4696046064)</f>
        <v>44697.4696</v>
      </c>
      <c r="D9506" s="15">
        <f>IFERROR(__xludf.DUMMYFUNCTION("""COMPUTED_VALUE"""),1.092)</f>
        <v>1.092</v>
      </c>
      <c r="E9506" s="16">
        <f>IFERROR(__xludf.DUMMYFUNCTION("""COMPUTED_VALUE"""),69.0)</f>
        <v>69</v>
      </c>
      <c r="F9506" s="19" t="str">
        <f>IFERROR(__xludf.DUMMYFUNCTION("""COMPUTED_VALUE"""),"BLACK")</f>
        <v>BLACK</v>
      </c>
      <c r="G9506" s="20" t="str">
        <f>IFERROR(__xludf.DUMMYFUNCTION("""COMPUTED_VALUE"""),"Uncle Sams Cider (5/13/2022)")</f>
        <v>Uncle Sams Cider (5/13/2022)</v>
      </c>
      <c r="H9506" s="19"/>
    </row>
    <row r="9507">
      <c r="A9507" s="9"/>
      <c r="B9507" s="15"/>
      <c r="C9507" s="9">
        <f>IFERROR(__xludf.DUMMYFUNCTION("""COMPUTED_VALUE"""),44697.4591837037)</f>
        <v>44697.45918</v>
      </c>
      <c r="D9507" s="15">
        <f>IFERROR(__xludf.DUMMYFUNCTION("""COMPUTED_VALUE"""),1.092)</f>
        <v>1.092</v>
      </c>
      <c r="E9507" s="16">
        <f>IFERROR(__xludf.DUMMYFUNCTION("""COMPUTED_VALUE"""),69.0)</f>
        <v>69</v>
      </c>
      <c r="F9507" s="19" t="str">
        <f>IFERROR(__xludf.DUMMYFUNCTION("""COMPUTED_VALUE"""),"BLACK")</f>
        <v>BLACK</v>
      </c>
      <c r="G9507" s="20" t="str">
        <f>IFERROR(__xludf.DUMMYFUNCTION("""COMPUTED_VALUE"""),"Uncle Sams Cider (5/13/2022)")</f>
        <v>Uncle Sams Cider (5/13/2022)</v>
      </c>
      <c r="H9507" s="19"/>
    </row>
    <row r="9508">
      <c r="A9508" s="9"/>
      <c r="B9508" s="15"/>
      <c r="C9508" s="9">
        <f>IFERROR(__xludf.DUMMYFUNCTION("""COMPUTED_VALUE"""),44697.4487631828)</f>
        <v>44697.44876</v>
      </c>
      <c r="D9508" s="15">
        <f>IFERROR(__xludf.DUMMYFUNCTION("""COMPUTED_VALUE"""),1.092)</f>
        <v>1.092</v>
      </c>
      <c r="E9508" s="16">
        <f>IFERROR(__xludf.DUMMYFUNCTION("""COMPUTED_VALUE"""),69.0)</f>
        <v>69</v>
      </c>
      <c r="F9508" s="19" t="str">
        <f>IFERROR(__xludf.DUMMYFUNCTION("""COMPUTED_VALUE"""),"BLACK")</f>
        <v>BLACK</v>
      </c>
      <c r="G9508" s="20" t="str">
        <f>IFERROR(__xludf.DUMMYFUNCTION("""COMPUTED_VALUE"""),"Uncle Sams Cider (5/13/2022)")</f>
        <v>Uncle Sams Cider (5/13/2022)</v>
      </c>
      <c r="H9508" s="19"/>
    </row>
    <row r="9509">
      <c r="A9509" s="9"/>
      <c r="B9509" s="15"/>
      <c r="C9509" s="9">
        <f>IFERROR(__xludf.DUMMYFUNCTION("""COMPUTED_VALUE"""),44697.4383415162)</f>
        <v>44697.43834</v>
      </c>
      <c r="D9509" s="15">
        <f>IFERROR(__xludf.DUMMYFUNCTION("""COMPUTED_VALUE"""),1.093)</f>
        <v>1.093</v>
      </c>
      <c r="E9509" s="16">
        <f>IFERROR(__xludf.DUMMYFUNCTION("""COMPUTED_VALUE"""),69.0)</f>
        <v>69</v>
      </c>
      <c r="F9509" s="19" t="str">
        <f>IFERROR(__xludf.DUMMYFUNCTION("""COMPUTED_VALUE"""),"BLACK")</f>
        <v>BLACK</v>
      </c>
      <c r="G9509" s="20" t="str">
        <f>IFERROR(__xludf.DUMMYFUNCTION("""COMPUTED_VALUE"""),"Uncle Sams Cider (5/13/2022)")</f>
        <v>Uncle Sams Cider (5/13/2022)</v>
      </c>
      <c r="H9509" s="19"/>
    </row>
    <row r="9510">
      <c r="A9510" s="9"/>
      <c r="B9510" s="15"/>
      <c r="C9510" s="9">
        <f>IFERROR(__xludf.DUMMYFUNCTION("""COMPUTED_VALUE"""),44697.4279224537)</f>
        <v>44697.42792</v>
      </c>
      <c r="D9510" s="15">
        <f>IFERROR(__xludf.DUMMYFUNCTION("""COMPUTED_VALUE"""),1.093)</f>
        <v>1.093</v>
      </c>
      <c r="E9510" s="16">
        <f>IFERROR(__xludf.DUMMYFUNCTION("""COMPUTED_VALUE"""),69.0)</f>
        <v>69</v>
      </c>
      <c r="F9510" s="19" t="str">
        <f>IFERROR(__xludf.DUMMYFUNCTION("""COMPUTED_VALUE"""),"BLACK")</f>
        <v>BLACK</v>
      </c>
      <c r="G9510" s="20" t="str">
        <f>IFERROR(__xludf.DUMMYFUNCTION("""COMPUTED_VALUE"""),"Uncle Sams Cider (5/13/2022)")</f>
        <v>Uncle Sams Cider (5/13/2022)</v>
      </c>
      <c r="H9510" s="19"/>
    </row>
    <row r="9511">
      <c r="A9511" s="9"/>
      <c r="B9511" s="15"/>
      <c r="C9511" s="9">
        <f>IFERROR(__xludf.DUMMYFUNCTION("""COMPUTED_VALUE"""),44697.4174792013)</f>
        <v>44697.41748</v>
      </c>
      <c r="D9511" s="15">
        <f>IFERROR(__xludf.DUMMYFUNCTION("""COMPUTED_VALUE"""),1.093)</f>
        <v>1.093</v>
      </c>
      <c r="E9511" s="16">
        <f>IFERROR(__xludf.DUMMYFUNCTION("""COMPUTED_VALUE"""),69.0)</f>
        <v>69</v>
      </c>
      <c r="F9511" s="19" t="str">
        <f>IFERROR(__xludf.DUMMYFUNCTION("""COMPUTED_VALUE"""),"BLACK")</f>
        <v>BLACK</v>
      </c>
      <c r="G9511" s="20" t="str">
        <f>IFERROR(__xludf.DUMMYFUNCTION("""COMPUTED_VALUE"""),"Uncle Sams Cider (5/13/2022)")</f>
        <v>Uncle Sams Cider (5/13/2022)</v>
      </c>
      <c r="H9511" s="19"/>
    </row>
    <row r="9512">
      <c r="A9512" s="9"/>
      <c r="B9512" s="15"/>
      <c r="C9512" s="9">
        <f>IFERROR(__xludf.DUMMYFUNCTION("""COMPUTED_VALUE"""),44697.4070585185)</f>
        <v>44697.40706</v>
      </c>
      <c r="D9512" s="15">
        <f>IFERROR(__xludf.DUMMYFUNCTION("""COMPUTED_VALUE"""),1.093)</f>
        <v>1.093</v>
      </c>
      <c r="E9512" s="16">
        <f>IFERROR(__xludf.DUMMYFUNCTION("""COMPUTED_VALUE"""),69.0)</f>
        <v>69</v>
      </c>
      <c r="F9512" s="19" t="str">
        <f>IFERROR(__xludf.DUMMYFUNCTION("""COMPUTED_VALUE"""),"BLACK")</f>
        <v>BLACK</v>
      </c>
      <c r="G9512" s="20" t="str">
        <f>IFERROR(__xludf.DUMMYFUNCTION("""COMPUTED_VALUE"""),"Uncle Sams Cider (5/13/2022)")</f>
        <v>Uncle Sams Cider (5/13/2022)</v>
      </c>
      <c r="H9512" s="19"/>
    </row>
    <row r="9513">
      <c r="A9513" s="9"/>
      <c r="B9513" s="15"/>
      <c r="C9513" s="9">
        <f>IFERROR(__xludf.DUMMYFUNCTION("""COMPUTED_VALUE"""),44697.3966363889)</f>
        <v>44697.39664</v>
      </c>
      <c r="D9513" s="15">
        <f>IFERROR(__xludf.DUMMYFUNCTION("""COMPUTED_VALUE"""),1.093)</f>
        <v>1.093</v>
      </c>
      <c r="E9513" s="16">
        <f>IFERROR(__xludf.DUMMYFUNCTION("""COMPUTED_VALUE"""),69.0)</f>
        <v>69</v>
      </c>
      <c r="F9513" s="19" t="str">
        <f>IFERROR(__xludf.DUMMYFUNCTION("""COMPUTED_VALUE"""),"BLACK")</f>
        <v>BLACK</v>
      </c>
      <c r="G9513" s="20" t="str">
        <f>IFERROR(__xludf.DUMMYFUNCTION("""COMPUTED_VALUE"""),"Uncle Sams Cider (5/13/2022)")</f>
        <v>Uncle Sams Cider (5/13/2022)</v>
      </c>
      <c r="H9513" s="19"/>
    </row>
    <row r="9514">
      <c r="A9514" s="9"/>
      <c r="B9514" s="15"/>
      <c r="C9514" s="9">
        <f>IFERROR(__xludf.DUMMYFUNCTION("""COMPUTED_VALUE"""),44697.3861914236)</f>
        <v>44697.38619</v>
      </c>
      <c r="D9514" s="15">
        <f>IFERROR(__xludf.DUMMYFUNCTION("""COMPUTED_VALUE"""),1.093)</f>
        <v>1.093</v>
      </c>
      <c r="E9514" s="16">
        <f>IFERROR(__xludf.DUMMYFUNCTION("""COMPUTED_VALUE"""),69.0)</f>
        <v>69</v>
      </c>
      <c r="F9514" s="19" t="str">
        <f>IFERROR(__xludf.DUMMYFUNCTION("""COMPUTED_VALUE"""),"BLACK")</f>
        <v>BLACK</v>
      </c>
      <c r="G9514" s="20" t="str">
        <f>IFERROR(__xludf.DUMMYFUNCTION("""COMPUTED_VALUE"""),"Uncle Sams Cider (5/13/2022)")</f>
        <v>Uncle Sams Cider (5/13/2022)</v>
      </c>
      <c r="H9514" s="19"/>
    </row>
    <row r="9515">
      <c r="A9515" s="9"/>
      <c r="B9515" s="15"/>
      <c r="C9515" s="9">
        <f>IFERROR(__xludf.DUMMYFUNCTION("""COMPUTED_VALUE"""),44697.375746493)</f>
        <v>44697.37575</v>
      </c>
      <c r="D9515" s="15">
        <f>IFERROR(__xludf.DUMMYFUNCTION("""COMPUTED_VALUE"""),1.093)</f>
        <v>1.093</v>
      </c>
      <c r="E9515" s="16">
        <f>IFERROR(__xludf.DUMMYFUNCTION("""COMPUTED_VALUE"""),69.0)</f>
        <v>69</v>
      </c>
      <c r="F9515" s="19" t="str">
        <f>IFERROR(__xludf.DUMMYFUNCTION("""COMPUTED_VALUE"""),"BLACK")</f>
        <v>BLACK</v>
      </c>
      <c r="G9515" s="20" t="str">
        <f>IFERROR(__xludf.DUMMYFUNCTION("""COMPUTED_VALUE"""),"Uncle Sams Cider (5/13/2022)")</f>
        <v>Uncle Sams Cider (5/13/2022)</v>
      </c>
      <c r="H9515" s="19"/>
    </row>
    <row r="9516">
      <c r="A9516" s="9"/>
      <c r="B9516" s="15"/>
      <c r="C9516" s="9">
        <f>IFERROR(__xludf.DUMMYFUNCTION("""COMPUTED_VALUE"""),44697.3653238657)</f>
        <v>44697.36532</v>
      </c>
      <c r="D9516" s="15">
        <f>IFERROR(__xludf.DUMMYFUNCTION("""COMPUTED_VALUE"""),1.093)</f>
        <v>1.093</v>
      </c>
      <c r="E9516" s="16">
        <f>IFERROR(__xludf.DUMMYFUNCTION("""COMPUTED_VALUE"""),68.0)</f>
        <v>68</v>
      </c>
      <c r="F9516" s="19" t="str">
        <f>IFERROR(__xludf.DUMMYFUNCTION("""COMPUTED_VALUE"""),"BLACK")</f>
        <v>BLACK</v>
      </c>
      <c r="G9516" s="20" t="str">
        <f>IFERROR(__xludf.DUMMYFUNCTION("""COMPUTED_VALUE"""),"Uncle Sams Cider (5/13/2022)")</f>
        <v>Uncle Sams Cider (5/13/2022)</v>
      </c>
      <c r="H9516" s="19"/>
    </row>
    <row r="9517">
      <c r="A9517" s="9"/>
      <c r="B9517" s="15"/>
      <c r="C9517" s="9">
        <f>IFERROR(__xludf.DUMMYFUNCTION("""COMPUTED_VALUE"""),44697.354903831)</f>
        <v>44697.3549</v>
      </c>
      <c r="D9517" s="15">
        <f>IFERROR(__xludf.DUMMYFUNCTION("""COMPUTED_VALUE"""),1.093)</f>
        <v>1.093</v>
      </c>
      <c r="E9517" s="16">
        <f>IFERROR(__xludf.DUMMYFUNCTION("""COMPUTED_VALUE"""),68.0)</f>
        <v>68</v>
      </c>
      <c r="F9517" s="19" t="str">
        <f>IFERROR(__xludf.DUMMYFUNCTION("""COMPUTED_VALUE"""),"BLACK")</f>
        <v>BLACK</v>
      </c>
      <c r="G9517" s="20" t="str">
        <f>IFERROR(__xludf.DUMMYFUNCTION("""COMPUTED_VALUE"""),"Uncle Sams Cider (5/13/2022)")</f>
        <v>Uncle Sams Cider (5/13/2022)</v>
      </c>
      <c r="H9517" s="19"/>
    </row>
    <row r="9518">
      <c r="A9518" s="9"/>
      <c r="B9518" s="15"/>
      <c r="C9518" s="9">
        <f>IFERROR(__xludf.DUMMYFUNCTION("""COMPUTED_VALUE"""),44697.344449537)</f>
        <v>44697.34445</v>
      </c>
      <c r="D9518" s="15">
        <f>IFERROR(__xludf.DUMMYFUNCTION("""COMPUTED_VALUE"""),1.093)</f>
        <v>1.093</v>
      </c>
      <c r="E9518" s="16">
        <f>IFERROR(__xludf.DUMMYFUNCTION("""COMPUTED_VALUE"""),68.0)</f>
        <v>68</v>
      </c>
      <c r="F9518" s="19" t="str">
        <f>IFERROR(__xludf.DUMMYFUNCTION("""COMPUTED_VALUE"""),"BLACK")</f>
        <v>BLACK</v>
      </c>
      <c r="G9518" s="20" t="str">
        <f>IFERROR(__xludf.DUMMYFUNCTION("""COMPUTED_VALUE"""),"Uncle Sams Cider (5/13/2022)")</f>
        <v>Uncle Sams Cider (5/13/2022)</v>
      </c>
      <c r="H9518" s="19"/>
    </row>
    <row r="9519">
      <c r="A9519" s="9"/>
      <c r="B9519" s="15"/>
      <c r="C9519" s="9">
        <f>IFERROR(__xludf.DUMMYFUNCTION("""COMPUTED_VALUE"""),44697.3340270254)</f>
        <v>44697.33403</v>
      </c>
      <c r="D9519" s="15">
        <f>IFERROR(__xludf.DUMMYFUNCTION("""COMPUTED_VALUE"""),1.094)</f>
        <v>1.094</v>
      </c>
      <c r="E9519" s="16">
        <f>IFERROR(__xludf.DUMMYFUNCTION("""COMPUTED_VALUE"""),68.0)</f>
        <v>68</v>
      </c>
      <c r="F9519" s="19" t="str">
        <f>IFERROR(__xludf.DUMMYFUNCTION("""COMPUTED_VALUE"""),"BLACK")</f>
        <v>BLACK</v>
      </c>
      <c r="G9519" s="20" t="str">
        <f>IFERROR(__xludf.DUMMYFUNCTION("""COMPUTED_VALUE"""),"Uncle Sams Cider (5/13/2022)")</f>
        <v>Uncle Sams Cider (5/13/2022)</v>
      </c>
      <c r="H9519" s="19"/>
    </row>
    <row r="9520">
      <c r="A9520" s="9"/>
      <c r="B9520" s="15"/>
      <c r="C9520" s="9">
        <f>IFERROR(__xludf.DUMMYFUNCTION("""COMPUTED_VALUE"""),44697.3236066319)</f>
        <v>44697.32361</v>
      </c>
      <c r="D9520" s="15">
        <f>IFERROR(__xludf.DUMMYFUNCTION("""COMPUTED_VALUE"""),1.094)</f>
        <v>1.094</v>
      </c>
      <c r="E9520" s="16">
        <f>IFERROR(__xludf.DUMMYFUNCTION("""COMPUTED_VALUE"""),68.0)</f>
        <v>68</v>
      </c>
      <c r="F9520" s="19" t="str">
        <f>IFERROR(__xludf.DUMMYFUNCTION("""COMPUTED_VALUE"""),"BLACK")</f>
        <v>BLACK</v>
      </c>
      <c r="G9520" s="20" t="str">
        <f>IFERROR(__xludf.DUMMYFUNCTION("""COMPUTED_VALUE"""),"Uncle Sams Cider (5/13/2022)")</f>
        <v>Uncle Sams Cider (5/13/2022)</v>
      </c>
      <c r="H9520" s="19"/>
    </row>
    <row r="9521">
      <c r="A9521" s="9"/>
      <c r="B9521" s="15"/>
      <c r="C9521" s="9">
        <f>IFERROR(__xludf.DUMMYFUNCTION("""COMPUTED_VALUE"""),44697.3131872453)</f>
        <v>44697.31319</v>
      </c>
      <c r="D9521" s="15">
        <f>IFERROR(__xludf.DUMMYFUNCTION("""COMPUTED_VALUE"""),1.094)</f>
        <v>1.094</v>
      </c>
      <c r="E9521" s="16">
        <f>IFERROR(__xludf.DUMMYFUNCTION("""COMPUTED_VALUE"""),68.0)</f>
        <v>68</v>
      </c>
      <c r="F9521" s="19" t="str">
        <f>IFERROR(__xludf.DUMMYFUNCTION("""COMPUTED_VALUE"""),"BLACK")</f>
        <v>BLACK</v>
      </c>
      <c r="G9521" s="20" t="str">
        <f>IFERROR(__xludf.DUMMYFUNCTION("""COMPUTED_VALUE"""),"Uncle Sams Cider (5/13/2022)")</f>
        <v>Uncle Sams Cider (5/13/2022)</v>
      </c>
      <c r="H9521" s="19"/>
    </row>
    <row r="9522">
      <c r="A9522" s="9"/>
      <c r="B9522" s="15"/>
      <c r="C9522" s="9">
        <f>IFERROR(__xludf.DUMMYFUNCTION("""COMPUTED_VALUE"""),44697.3027659722)</f>
        <v>44697.30277</v>
      </c>
      <c r="D9522" s="15">
        <f>IFERROR(__xludf.DUMMYFUNCTION("""COMPUTED_VALUE"""),1.094)</f>
        <v>1.094</v>
      </c>
      <c r="E9522" s="16">
        <f>IFERROR(__xludf.DUMMYFUNCTION("""COMPUTED_VALUE"""),68.0)</f>
        <v>68</v>
      </c>
      <c r="F9522" s="19" t="str">
        <f>IFERROR(__xludf.DUMMYFUNCTION("""COMPUTED_VALUE"""),"BLACK")</f>
        <v>BLACK</v>
      </c>
      <c r="G9522" s="20" t="str">
        <f>IFERROR(__xludf.DUMMYFUNCTION("""COMPUTED_VALUE"""),"Uncle Sams Cider (5/13/2022)")</f>
        <v>Uncle Sams Cider (5/13/2022)</v>
      </c>
      <c r="H9522" s="19"/>
    </row>
    <row r="9523">
      <c r="A9523" s="9"/>
      <c r="B9523" s="15"/>
      <c r="C9523" s="9">
        <f>IFERROR(__xludf.DUMMYFUNCTION("""COMPUTED_VALUE"""),44697.2923428588)</f>
        <v>44697.29234</v>
      </c>
      <c r="D9523" s="15">
        <f>IFERROR(__xludf.DUMMYFUNCTION("""COMPUTED_VALUE"""),1.094)</f>
        <v>1.094</v>
      </c>
      <c r="E9523" s="16">
        <f>IFERROR(__xludf.DUMMYFUNCTION("""COMPUTED_VALUE"""),68.0)</f>
        <v>68</v>
      </c>
      <c r="F9523" s="19" t="str">
        <f>IFERROR(__xludf.DUMMYFUNCTION("""COMPUTED_VALUE"""),"BLACK")</f>
        <v>BLACK</v>
      </c>
      <c r="G9523" s="20" t="str">
        <f>IFERROR(__xludf.DUMMYFUNCTION("""COMPUTED_VALUE"""),"Uncle Sams Cider (5/13/2022)")</f>
        <v>Uncle Sams Cider (5/13/2022)</v>
      </c>
      <c r="H9523" s="19"/>
    </row>
    <row r="9524">
      <c r="A9524" s="9"/>
      <c r="B9524" s="15"/>
      <c r="C9524" s="9">
        <f>IFERROR(__xludf.DUMMYFUNCTION("""COMPUTED_VALUE"""),44697.2819082638)</f>
        <v>44697.28191</v>
      </c>
      <c r="D9524" s="15">
        <f>IFERROR(__xludf.DUMMYFUNCTION("""COMPUTED_VALUE"""),1.094)</f>
        <v>1.094</v>
      </c>
      <c r="E9524" s="16">
        <f>IFERROR(__xludf.DUMMYFUNCTION("""COMPUTED_VALUE"""),68.0)</f>
        <v>68</v>
      </c>
      <c r="F9524" s="19" t="str">
        <f>IFERROR(__xludf.DUMMYFUNCTION("""COMPUTED_VALUE"""),"BLACK")</f>
        <v>BLACK</v>
      </c>
      <c r="G9524" s="20" t="str">
        <f>IFERROR(__xludf.DUMMYFUNCTION("""COMPUTED_VALUE"""),"Uncle Sams Cider (5/13/2022)")</f>
        <v>Uncle Sams Cider (5/13/2022)</v>
      </c>
      <c r="H9524" s="19"/>
    </row>
    <row r="9525">
      <c r="A9525" s="9"/>
      <c r="B9525" s="15"/>
      <c r="C9525" s="9">
        <f>IFERROR(__xludf.DUMMYFUNCTION("""COMPUTED_VALUE"""),44697.271487037)</f>
        <v>44697.27149</v>
      </c>
      <c r="D9525" s="15">
        <f>IFERROR(__xludf.DUMMYFUNCTION("""COMPUTED_VALUE"""),1.094)</f>
        <v>1.094</v>
      </c>
      <c r="E9525" s="16">
        <f>IFERROR(__xludf.DUMMYFUNCTION("""COMPUTED_VALUE"""),68.0)</f>
        <v>68</v>
      </c>
      <c r="F9525" s="19" t="str">
        <f>IFERROR(__xludf.DUMMYFUNCTION("""COMPUTED_VALUE"""),"BLACK")</f>
        <v>BLACK</v>
      </c>
      <c r="G9525" s="20" t="str">
        <f>IFERROR(__xludf.DUMMYFUNCTION("""COMPUTED_VALUE"""),"Uncle Sams Cider (5/13/2022)")</f>
        <v>Uncle Sams Cider (5/13/2022)</v>
      </c>
      <c r="H9525" s="19"/>
    </row>
    <row r="9526">
      <c r="A9526" s="9"/>
      <c r="B9526" s="15"/>
      <c r="C9526" s="9">
        <f>IFERROR(__xludf.DUMMYFUNCTION("""COMPUTED_VALUE"""),44697.2610647801)</f>
        <v>44697.26106</v>
      </c>
      <c r="D9526" s="15">
        <f>IFERROR(__xludf.DUMMYFUNCTION("""COMPUTED_VALUE"""),1.094)</f>
        <v>1.094</v>
      </c>
      <c r="E9526" s="16">
        <f>IFERROR(__xludf.DUMMYFUNCTION("""COMPUTED_VALUE"""),68.0)</f>
        <v>68</v>
      </c>
      <c r="F9526" s="19" t="str">
        <f>IFERROR(__xludf.DUMMYFUNCTION("""COMPUTED_VALUE"""),"BLACK")</f>
        <v>BLACK</v>
      </c>
      <c r="G9526" s="20" t="str">
        <f>IFERROR(__xludf.DUMMYFUNCTION("""COMPUTED_VALUE"""),"Uncle Sams Cider (5/13/2022)")</f>
        <v>Uncle Sams Cider (5/13/2022)</v>
      </c>
      <c r="H9526" s="19"/>
    </row>
    <row r="9527">
      <c r="A9527" s="9"/>
      <c r="B9527" s="15"/>
      <c r="C9527" s="9">
        <f>IFERROR(__xludf.DUMMYFUNCTION("""COMPUTED_VALUE"""),44697.2506316898)</f>
        <v>44697.25063</v>
      </c>
      <c r="D9527" s="15">
        <f>IFERROR(__xludf.DUMMYFUNCTION("""COMPUTED_VALUE"""),1.094)</f>
        <v>1.094</v>
      </c>
      <c r="E9527" s="16">
        <f>IFERROR(__xludf.DUMMYFUNCTION("""COMPUTED_VALUE"""),68.0)</f>
        <v>68</v>
      </c>
      <c r="F9527" s="19" t="str">
        <f>IFERROR(__xludf.DUMMYFUNCTION("""COMPUTED_VALUE"""),"BLACK")</f>
        <v>BLACK</v>
      </c>
      <c r="G9527" s="20" t="str">
        <f>IFERROR(__xludf.DUMMYFUNCTION("""COMPUTED_VALUE"""),"Uncle Sams Cider (5/13/2022)")</f>
        <v>Uncle Sams Cider (5/13/2022)</v>
      </c>
      <c r="H9527" s="19"/>
    </row>
    <row r="9528">
      <c r="A9528" s="9"/>
      <c r="B9528" s="15"/>
      <c r="C9528" s="9">
        <f>IFERROR(__xludf.DUMMYFUNCTION("""COMPUTED_VALUE"""),44697.2402093055)</f>
        <v>44697.24021</v>
      </c>
      <c r="D9528" s="15">
        <f>IFERROR(__xludf.DUMMYFUNCTION("""COMPUTED_VALUE"""),1.094)</f>
        <v>1.094</v>
      </c>
      <c r="E9528" s="16">
        <f>IFERROR(__xludf.DUMMYFUNCTION("""COMPUTED_VALUE"""),68.0)</f>
        <v>68</v>
      </c>
      <c r="F9528" s="19" t="str">
        <f>IFERROR(__xludf.DUMMYFUNCTION("""COMPUTED_VALUE"""),"BLACK")</f>
        <v>BLACK</v>
      </c>
      <c r="G9528" s="20" t="str">
        <f>IFERROR(__xludf.DUMMYFUNCTION("""COMPUTED_VALUE"""),"Uncle Sams Cider (5/13/2022)")</f>
        <v>Uncle Sams Cider (5/13/2022)</v>
      </c>
      <c r="H9528" s="19"/>
    </row>
    <row r="9529">
      <c r="A9529" s="9"/>
      <c r="B9529" s="15"/>
      <c r="C9529" s="9">
        <f>IFERROR(__xludf.DUMMYFUNCTION("""COMPUTED_VALUE"""),44697.2297882407)</f>
        <v>44697.22979</v>
      </c>
      <c r="D9529" s="15">
        <f>IFERROR(__xludf.DUMMYFUNCTION("""COMPUTED_VALUE"""),1.095)</f>
        <v>1.095</v>
      </c>
      <c r="E9529" s="16">
        <f>IFERROR(__xludf.DUMMYFUNCTION("""COMPUTED_VALUE"""),68.0)</f>
        <v>68</v>
      </c>
      <c r="F9529" s="19" t="str">
        <f>IFERROR(__xludf.DUMMYFUNCTION("""COMPUTED_VALUE"""),"BLACK")</f>
        <v>BLACK</v>
      </c>
      <c r="G9529" s="20" t="str">
        <f>IFERROR(__xludf.DUMMYFUNCTION("""COMPUTED_VALUE"""),"Uncle Sams Cider (5/13/2022)")</f>
        <v>Uncle Sams Cider (5/13/2022)</v>
      </c>
      <c r="H9529" s="19"/>
    </row>
    <row r="9530">
      <c r="A9530" s="9"/>
      <c r="B9530" s="15"/>
      <c r="C9530" s="9">
        <f>IFERROR(__xludf.DUMMYFUNCTION("""COMPUTED_VALUE"""),44697.2193557291)</f>
        <v>44697.21936</v>
      </c>
      <c r="D9530" s="15">
        <f>IFERROR(__xludf.DUMMYFUNCTION("""COMPUTED_VALUE"""),1.095)</f>
        <v>1.095</v>
      </c>
      <c r="E9530" s="16">
        <f>IFERROR(__xludf.DUMMYFUNCTION("""COMPUTED_VALUE"""),68.0)</f>
        <v>68</v>
      </c>
      <c r="F9530" s="19" t="str">
        <f>IFERROR(__xludf.DUMMYFUNCTION("""COMPUTED_VALUE"""),"BLACK")</f>
        <v>BLACK</v>
      </c>
      <c r="G9530" s="20" t="str">
        <f>IFERROR(__xludf.DUMMYFUNCTION("""COMPUTED_VALUE"""),"Uncle Sams Cider (5/13/2022)")</f>
        <v>Uncle Sams Cider (5/13/2022)</v>
      </c>
      <c r="H9530" s="19"/>
    </row>
    <row r="9531">
      <c r="A9531" s="9"/>
      <c r="B9531" s="15"/>
      <c r="C9531" s="9">
        <f>IFERROR(__xludf.DUMMYFUNCTION("""COMPUTED_VALUE"""),44697.2089345717)</f>
        <v>44697.20893</v>
      </c>
      <c r="D9531" s="15">
        <f>IFERROR(__xludf.DUMMYFUNCTION("""COMPUTED_VALUE"""),1.095)</f>
        <v>1.095</v>
      </c>
      <c r="E9531" s="16">
        <f>IFERROR(__xludf.DUMMYFUNCTION("""COMPUTED_VALUE"""),68.0)</f>
        <v>68</v>
      </c>
      <c r="F9531" s="19" t="str">
        <f>IFERROR(__xludf.DUMMYFUNCTION("""COMPUTED_VALUE"""),"BLACK")</f>
        <v>BLACK</v>
      </c>
      <c r="G9531" s="20" t="str">
        <f>IFERROR(__xludf.DUMMYFUNCTION("""COMPUTED_VALUE"""),"Uncle Sams Cider (5/13/2022)")</f>
        <v>Uncle Sams Cider (5/13/2022)</v>
      </c>
      <c r="H9531" s="19"/>
    </row>
    <row r="9532">
      <c r="A9532" s="9"/>
      <c r="B9532" s="15"/>
      <c r="C9532" s="9">
        <f>IFERROR(__xludf.DUMMYFUNCTION("""COMPUTED_VALUE"""),44697.198513287)</f>
        <v>44697.19851</v>
      </c>
      <c r="D9532" s="15">
        <f>IFERROR(__xludf.DUMMYFUNCTION("""COMPUTED_VALUE"""),1.095)</f>
        <v>1.095</v>
      </c>
      <c r="E9532" s="16">
        <f>IFERROR(__xludf.DUMMYFUNCTION("""COMPUTED_VALUE"""),67.0)</f>
        <v>67</v>
      </c>
      <c r="F9532" s="19" t="str">
        <f>IFERROR(__xludf.DUMMYFUNCTION("""COMPUTED_VALUE"""),"BLACK")</f>
        <v>BLACK</v>
      </c>
      <c r="G9532" s="20" t="str">
        <f>IFERROR(__xludf.DUMMYFUNCTION("""COMPUTED_VALUE"""),"Uncle Sams Cider (5/13/2022)")</f>
        <v>Uncle Sams Cider (5/13/2022)</v>
      </c>
      <c r="H9532" s="19"/>
    </row>
    <row r="9533">
      <c r="A9533" s="9"/>
      <c r="B9533" s="15"/>
      <c r="C9533" s="9">
        <f>IFERROR(__xludf.DUMMYFUNCTION("""COMPUTED_VALUE"""),44697.1880923726)</f>
        <v>44697.18809</v>
      </c>
      <c r="D9533" s="15">
        <f>IFERROR(__xludf.DUMMYFUNCTION("""COMPUTED_VALUE"""),1.095)</f>
        <v>1.095</v>
      </c>
      <c r="E9533" s="16">
        <f>IFERROR(__xludf.DUMMYFUNCTION("""COMPUTED_VALUE"""),67.0)</f>
        <v>67</v>
      </c>
      <c r="F9533" s="19" t="str">
        <f>IFERROR(__xludf.DUMMYFUNCTION("""COMPUTED_VALUE"""),"BLACK")</f>
        <v>BLACK</v>
      </c>
      <c r="G9533" s="20" t="str">
        <f>IFERROR(__xludf.DUMMYFUNCTION("""COMPUTED_VALUE"""),"Uncle Sams Cider (5/13/2022)")</f>
        <v>Uncle Sams Cider (5/13/2022)</v>
      </c>
      <c r="H9533" s="19"/>
    </row>
    <row r="9534">
      <c r="A9534" s="9"/>
      <c r="B9534" s="15"/>
      <c r="C9534" s="9">
        <f>IFERROR(__xludf.DUMMYFUNCTION("""COMPUTED_VALUE"""),44697.1776595949)</f>
        <v>44697.17766</v>
      </c>
      <c r="D9534" s="15">
        <f>IFERROR(__xludf.DUMMYFUNCTION("""COMPUTED_VALUE"""),1.095)</f>
        <v>1.095</v>
      </c>
      <c r="E9534" s="16">
        <f>IFERROR(__xludf.DUMMYFUNCTION("""COMPUTED_VALUE"""),67.0)</f>
        <v>67</v>
      </c>
      <c r="F9534" s="19" t="str">
        <f>IFERROR(__xludf.DUMMYFUNCTION("""COMPUTED_VALUE"""),"BLACK")</f>
        <v>BLACK</v>
      </c>
      <c r="G9534" s="20" t="str">
        <f>IFERROR(__xludf.DUMMYFUNCTION("""COMPUTED_VALUE"""),"Uncle Sams Cider (5/13/2022)")</f>
        <v>Uncle Sams Cider (5/13/2022)</v>
      </c>
      <c r="H9534" s="19"/>
    </row>
    <row r="9535">
      <c r="A9535" s="9"/>
      <c r="B9535" s="15"/>
      <c r="C9535" s="9">
        <f>IFERROR(__xludf.DUMMYFUNCTION("""COMPUTED_VALUE"""),44697.1672389004)</f>
        <v>44697.16724</v>
      </c>
      <c r="D9535" s="15">
        <f>IFERROR(__xludf.DUMMYFUNCTION("""COMPUTED_VALUE"""),1.095)</f>
        <v>1.095</v>
      </c>
      <c r="E9535" s="16">
        <f>IFERROR(__xludf.DUMMYFUNCTION("""COMPUTED_VALUE"""),67.0)</f>
        <v>67</v>
      </c>
      <c r="F9535" s="19" t="str">
        <f>IFERROR(__xludf.DUMMYFUNCTION("""COMPUTED_VALUE"""),"BLACK")</f>
        <v>BLACK</v>
      </c>
      <c r="G9535" s="20" t="str">
        <f>IFERROR(__xludf.DUMMYFUNCTION("""COMPUTED_VALUE"""),"Uncle Sams Cider (5/13/2022)")</f>
        <v>Uncle Sams Cider (5/13/2022)</v>
      </c>
      <c r="H9535" s="19"/>
    </row>
    <row r="9536">
      <c r="A9536" s="9"/>
      <c r="B9536" s="15"/>
      <c r="C9536" s="9">
        <f>IFERROR(__xludf.DUMMYFUNCTION("""COMPUTED_VALUE"""),44697.1568181018)</f>
        <v>44697.15682</v>
      </c>
      <c r="D9536" s="15">
        <f>IFERROR(__xludf.DUMMYFUNCTION("""COMPUTED_VALUE"""),1.095)</f>
        <v>1.095</v>
      </c>
      <c r="E9536" s="16">
        <f>IFERROR(__xludf.DUMMYFUNCTION("""COMPUTED_VALUE"""),67.0)</f>
        <v>67</v>
      </c>
      <c r="F9536" s="19" t="str">
        <f>IFERROR(__xludf.DUMMYFUNCTION("""COMPUTED_VALUE"""),"BLACK")</f>
        <v>BLACK</v>
      </c>
      <c r="G9536" s="20" t="str">
        <f>IFERROR(__xludf.DUMMYFUNCTION("""COMPUTED_VALUE"""),"Uncle Sams Cider (5/13/2022)")</f>
        <v>Uncle Sams Cider (5/13/2022)</v>
      </c>
      <c r="H9536" s="19"/>
    </row>
    <row r="9537">
      <c r="A9537" s="9"/>
      <c r="B9537" s="15"/>
      <c r="C9537" s="9">
        <f>IFERROR(__xludf.DUMMYFUNCTION("""COMPUTED_VALUE"""),44697.146385868)</f>
        <v>44697.14639</v>
      </c>
      <c r="D9537" s="15">
        <f>IFERROR(__xludf.DUMMYFUNCTION("""COMPUTED_VALUE"""),1.095)</f>
        <v>1.095</v>
      </c>
      <c r="E9537" s="16">
        <f>IFERROR(__xludf.DUMMYFUNCTION("""COMPUTED_VALUE"""),67.0)</f>
        <v>67</v>
      </c>
      <c r="F9537" s="19" t="str">
        <f>IFERROR(__xludf.DUMMYFUNCTION("""COMPUTED_VALUE"""),"BLACK")</f>
        <v>BLACK</v>
      </c>
      <c r="G9537" s="20" t="str">
        <f>IFERROR(__xludf.DUMMYFUNCTION("""COMPUTED_VALUE"""),"Uncle Sams Cider (5/13/2022)")</f>
        <v>Uncle Sams Cider (5/13/2022)</v>
      </c>
      <c r="H9537" s="19"/>
    </row>
    <row r="9538">
      <c r="A9538" s="9"/>
      <c r="B9538" s="15"/>
      <c r="C9538" s="9">
        <f>IFERROR(__xludf.DUMMYFUNCTION("""COMPUTED_VALUE"""),44697.1359645486)</f>
        <v>44697.13596</v>
      </c>
      <c r="D9538" s="15">
        <f>IFERROR(__xludf.DUMMYFUNCTION("""COMPUTED_VALUE"""),1.096)</f>
        <v>1.096</v>
      </c>
      <c r="E9538" s="16">
        <f>IFERROR(__xludf.DUMMYFUNCTION("""COMPUTED_VALUE"""),67.0)</f>
        <v>67</v>
      </c>
      <c r="F9538" s="19" t="str">
        <f>IFERROR(__xludf.DUMMYFUNCTION("""COMPUTED_VALUE"""),"BLACK")</f>
        <v>BLACK</v>
      </c>
      <c r="G9538" s="20" t="str">
        <f>IFERROR(__xludf.DUMMYFUNCTION("""COMPUTED_VALUE"""),"Uncle Sams Cider (5/13/2022)")</f>
        <v>Uncle Sams Cider (5/13/2022)</v>
      </c>
      <c r="H9538" s="19"/>
    </row>
    <row r="9539">
      <c r="A9539" s="9"/>
      <c r="B9539" s="15"/>
      <c r="C9539" s="9">
        <f>IFERROR(__xludf.DUMMYFUNCTION("""COMPUTED_VALUE"""),44697.1255332986)</f>
        <v>44697.12553</v>
      </c>
      <c r="D9539" s="15">
        <f>IFERROR(__xludf.DUMMYFUNCTION("""COMPUTED_VALUE"""),1.096)</f>
        <v>1.096</v>
      </c>
      <c r="E9539" s="16">
        <f>IFERROR(__xludf.DUMMYFUNCTION("""COMPUTED_VALUE"""),67.0)</f>
        <v>67</v>
      </c>
      <c r="F9539" s="19" t="str">
        <f>IFERROR(__xludf.DUMMYFUNCTION("""COMPUTED_VALUE"""),"BLACK")</f>
        <v>BLACK</v>
      </c>
      <c r="G9539" s="20" t="str">
        <f>IFERROR(__xludf.DUMMYFUNCTION("""COMPUTED_VALUE"""),"Uncle Sams Cider (5/13/2022)")</f>
        <v>Uncle Sams Cider (5/13/2022)</v>
      </c>
      <c r="H9539" s="19"/>
    </row>
    <row r="9540">
      <c r="A9540" s="9"/>
      <c r="B9540" s="15"/>
      <c r="C9540" s="9">
        <f>IFERROR(__xludf.DUMMYFUNCTION("""COMPUTED_VALUE"""),44697.1151114583)</f>
        <v>44697.11511</v>
      </c>
      <c r="D9540" s="15">
        <f>IFERROR(__xludf.DUMMYFUNCTION("""COMPUTED_VALUE"""),1.096)</f>
        <v>1.096</v>
      </c>
      <c r="E9540" s="16">
        <f>IFERROR(__xludf.DUMMYFUNCTION("""COMPUTED_VALUE"""),67.0)</f>
        <v>67</v>
      </c>
      <c r="F9540" s="19" t="str">
        <f>IFERROR(__xludf.DUMMYFUNCTION("""COMPUTED_VALUE"""),"BLACK")</f>
        <v>BLACK</v>
      </c>
      <c r="G9540" s="20" t="str">
        <f>IFERROR(__xludf.DUMMYFUNCTION("""COMPUTED_VALUE"""),"Uncle Sams Cider (5/13/2022)")</f>
        <v>Uncle Sams Cider (5/13/2022)</v>
      </c>
      <c r="H9540" s="19"/>
    </row>
    <row r="9541">
      <c r="A9541" s="9"/>
      <c r="B9541" s="15"/>
      <c r="C9541" s="9">
        <f>IFERROR(__xludf.DUMMYFUNCTION("""COMPUTED_VALUE"""),44697.104690162)</f>
        <v>44697.10469</v>
      </c>
      <c r="D9541" s="15">
        <f>IFERROR(__xludf.DUMMYFUNCTION("""COMPUTED_VALUE"""),1.096)</f>
        <v>1.096</v>
      </c>
      <c r="E9541" s="16">
        <f>IFERROR(__xludf.DUMMYFUNCTION("""COMPUTED_VALUE"""),67.0)</f>
        <v>67</v>
      </c>
      <c r="F9541" s="19" t="str">
        <f>IFERROR(__xludf.DUMMYFUNCTION("""COMPUTED_VALUE"""),"BLACK")</f>
        <v>BLACK</v>
      </c>
      <c r="G9541" s="20" t="str">
        <f>IFERROR(__xludf.DUMMYFUNCTION("""COMPUTED_VALUE"""),"Uncle Sams Cider (5/13/2022)")</f>
        <v>Uncle Sams Cider (5/13/2022)</v>
      </c>
      <c r="H9541" s="19"/>
    </row>
    <row r="9542">
      <c r="A9542" s="9"/>
      <c r="B9542" s="15"/>
      <c r="C9542" s="9">
        <f>IFERROR(__xludf.DUMMYFUNCTION("""COMPUTED_VALUE"""),44697.0942695138)</f>
        <v>44697.09427</v>
      </c>
      <c r="D9542" s="15">
        <f>IFERROR(__xludf.DUMMYFUNCTION("""COMPUTED_VALUE"""),1.096)</f>
        <v>1.096</v>
      </c>
      <c r="E9542" s="16">
        <f>IFERROR(__xludf.DUMMYFUNCTION("""COMPUTED_VALUE"""),67.0)</f>
        <v>67</v>
      </c>
      <c r="F9542" s="19" t="str">
        <f>IFERROR(__xludf.DUMMYFUNCTION("""COMPUTED_VALUE"""),"BLACK")</f>
        <v>BLACK</v>
      </c>
      <c r="G9542" s="20" t="str">
        <f>IFERROR(__xludf.DUMMYFUNCTION("""COMPUTED_VALUE"""),"Uncle Sams Cider (5/13/2022)")</f>
        <v>Uncle Sams Cider (5/13/2022)</v>
      </c>
      <c r="H9542" s="19"/>
    </row>
    <row r="9543">
      <c r="A9543" s="9"/>
      <c r="B9543" s="15"/>
      <c r="C9543" s="9">
        <f>IFERROR(__xludf.DUMMYFUNCTION("""COMPUTED_VALUE"""),44697.0838484375)</f>
        <v>44697.08385</v>
      </c>
      <c r="D9543" s="15">
        <f>IFERROR(__xludf.DUMMYFUNCTION("""COMPUTED_VALUE"""),1.096)</f>
        <v>1.096</v>
      </c>
      <c r="E9543" s="16">
        <f>IFERROR(__xludf.DUMMYFUNCTION("""COMPUTED_VALUE"""),67.0)</f>
        <v>67</v>
      </c>
      <c r="F9543" s="19" t="str">
        <f>IFERROR(__xludf.DUMMYFUNCTION("""COMPUTED_VALUE"""),"BLACK")</f>
        <v>BLACK</v>
      </c>
      <c r="G9543" s="20" t="str">
        <f>IFERROR(__xludf.DUMMYFUNCTION("""COMPUTED_VALUE"""),"Uncle Sams Cider (5/13/2022)")</f>
        <v>Uncle Sams Cider (5/13/2022)</v>
      </c>
      <c r="H9543" s="19"/>
    </row>
    <row r="9544">
      <c r="A9544" s="9"/>
      <c r="B9544" s="15"/>
      <c r="C9544" s="9">
        <f>IFERROR(__xludf.DUMMYFUNCTION("""COMPUTED_VALUE"""),44697.0734284027)</f>
        <v>44697.07343</v>
      </c>
      <c r="D9544" s="15">
        <f>IFERROR(__xludf.DUMMYFUNCTION("""COMPUTED_VALUE"""),1.096)</f>
        <v>1.096</v>
      </c>
      <c r="E9544" s="16">
        <f>IFERROR(__xludf.DUMMYFUNCTION("""COMPUTED_VALUE"""),67.0)</f>
        <v>67</v>
      </c>
      <c r="F9544" s="19" t="str">
        <f>IFERROR(__xludf.DUMMYFUNCTION("""COMPUTED_VALUE"""),"BLACK")</f>
        <v>BLACK</v>
      </c>
      <c r="G9544" s="20" t="str">
        <f>IFERROR(__xludf.DUMMYFUNCTION("""COMPUTED_VALUE"""),"Uncle Sams Cider (5/13/2022)")</f>
        <v>Uncle Sams Cider (5/13/2022)</v>
      </c>
      <c r="H9544" s="19"/>
    </row>
    <row r="9545">
      <c r="A9545" s="9"/>
      <c r="B9545" s="15"/>
      <c r="C9545" s="9">
        <f>IFERROR(__xludf.DUMMYFUNCTION("""COMPUTED_VALUE"""),44697.0630076504)</f>
        <v>44697.06301</v>
      </c>
      <c r="D9545" s="15">
        <f>IFERROR(__xludf.DUMMYFUNCTION("""COMPUTED_VALUE"""),1.097)</f>
        <v>1.097</v>
      </c>
      <c r="E9545" s="16">
        <f>IFERROR(__xludf.DUMMYFUNCTION("""COMPUTED_VALUE"""),67.0)</f>
        <v>67</v>
      </c>
      <c r="F9545" s="19" t="str">
        <f>IFERROR(__xludf.DUMMYFUNCTION("""COMPUTED_VALUE"""),"BLACK")</f>
        <v>BLACK</v>
      </c>
      <c r="G9545" s="20" t="str">
        <f>IFERROR(__xludf.DUMMYFUNCTION("""COMPUTED_VALUE"""),"Uncle Sams Cider (5/13/2022)")</f>
        <v>Uncle Sams Cider (5/13/2022)</v>
      </c>
      <c r="H9545" s="19"/>
    </row>
    <row r="9546">
      <c r="A9546" s="9"/>
      <c r="B9546" s="15"/>
      <c r="C9546" s="9">
        <f>IFERROR(__xludf.DUMMYFUNCTION("""COMPUTED_VALUE"""),44697.0525747106)</f>
        <v>44697.05257</v>
      </c>
      <c r="D9546" s="15">
        <f>IFERROR(__xludf.DUMMYFUNCTION("""COMPUTED_VALUE"""),1.096)</f>
        <v>1.096</v>
      </c>
      <c r="E9546" s="16">
        <f>IFERROR(__xludf.DUMMYFUNCTION("""COMPUTED_VALUE"""),67.0)</f>
        <v>67</v>
      </c>
      <c r="F9546" s="19" t="str">
        <f>IFERROR(__xludf.DUMMYFUNCTION("""COMPUTED_VALUE"""),"BLACK")</f>
        <v>BLACK</v>
      </c>
      <c r="G9546" s="20" t="str">
        <f>IFERROR(__xludf.DUMMYFUNCTION("""COMPUTED_VALUE"""),"Uncle Sams Cider (5/13/2022)")</f>
        <v>Uncle Sams Cider (5/13/2022)</v>
      </c>
      <c r="H9546" s="19"/>
    </row>
    <row r="9547">
      <c r="A9547" s="9"/>
      <c r="B9547" s="15"/>
      <c r="C9547" s="9">
        <f>IFERROR(__xludf.DUMMYFUNCTION("""COMPUTED_VALUE"""),44697.0421547222)</f>
        <v>44697.04215</v>
      </c>
      <c r="D9547" s="15">
        <f>IFERROR(__xludf.DUMMYFUNCTION("""COMPUTED_VALUE"""),1.096)</f>
        <v>1.096</v>
      </c>
      <c r="E9547" s="16">
        <f>IFERROR(__xludf.DUMMYFUNCTION("""COMPUTED_VALUE"""),66.0)</f>
        <v>66</v>
      </c>
      <c r="F9547" s="19" t="str">
        <f>IFERROR(__xludf.DUMMYFUNCTION("""COMPUTED_VALUE"""),"BLACK")</f>
        <v>BLACK</v>
      </c>
      <c r="G9547" s="20" t="str">
        <f>IFERROR(__xludf.DUMMYFUNCTION("""COMPUTED_VALUE"""),"Uncle Sams Cider (5/13/2022)")</f>
        <v>Uncle Sams Cider (5/13/2022)</v>
      </c>
      <c r="H9547" s="19"/>
    </row>
    <row r="9548">
      <c r="A9548" s="9"/>
      <c r="B9548" s="15"/>
      <c r="C9548" s="9">
        <f>IFERROR(__xludf.DUMMYFUNCTION("""COMPUTED_VALUE"""),44697.0317341088)</f>
        <v>44697.03173</v>
      </c>
      <c r="D9548" s="15">
        <f>IFERROR(__xludf.DUMMYFUNCTION("""COMPUTED_VALUE"""),1.097)</f>
        <v>1.097</v>
      </c>
      <c r="E9548" s="16">
        <f>IFERROR(__xludf.DUMMYFUNCTION("""COMPUTED_VALUE"""),66.0)</f>
        <v>66</v>
      </c>
      <c r="F9548" s="19" t="str">
        <f>IFERROR(__xludf.DUMMYFUNCTION("""COMPUTED_VALUE"""),"BLACK")</f>
        <v>BLACK</v>
      </c>
      <c r="G9548" s="20" t="str">
        <f>IFERROR(__xludf.DUMMYFUNCTION("""COMPUTED_VALUE"""),"Uncle Sams Cider (5/13/2022)")</f>
        <v>Uncle Sams Cider (5/13/2022)</v>
      </c>
      <c r="H9548" s="19"/>
    </row>
    <row r="9549">
      <c r="A9549" s="9"/>
      <c r="B9549" s="15"/>
      <c r="C9549" s="9">
        <f>IFERROR(__xludf.DUMMYFUNCTION("""COMPUTED_VALUE"""),44697.0213142245)</f>
        <v>44697.02131</v>
      </c>
      <c r="D9549" s="15">
        <f>IFERROR(__xludf.DUMMYFUNCTION("""COMPUTED_VALUE"""),1.097)</f>
        <v>1.097</v>
      </c>
      <c r="E9549" s="16">
        <f>IFERROR(__xludf.DUMMYFUNCTION("""COMPUTED_VALUE"""),66.0)</f>
        <v>66</v>
      </c>
      <c r="F9549" s="19" t="str">
        <f>IFERROR(__xludf.DUMMYFUNCTION("""COMPUTED_VALUE"""),"BLACK")</f>
        <v>BLACK</v>
      </c>
      <c r="G9549" s="20" t="str">
        <f>IFERROR(__xludf.DUMMYFUNCTION("""COMPUTED_VALUE"""),"Uncle Sams Cider (5/13/2022)")</f>
        <v>Uncle Sams Cider (5/13/2022)</v>
      </c>
      <c r="H9549" s="19"/>
    </row>
    <row r="9550">
      <c r="A9550" s="9"/>
      <c r="B9550" s="15"/>
      <c r="C9550" s="9">
        <f>IFERROR(__xludf.DUMMYFUNCTION("""COMPUTED_VALUE"""),44697.0108916319)</f>
        <v>44697.01089</v>
      </c>
      <c r="D9550" s="15">
        <f>IFERROR(__xludf.DUMMYFUNCTION("""COMPUTED_VALUE"""),1.097)</f>
        <v>1.097</v>
      </c>
      <c r="E9550" s="16">
        <f>IFERROR(__xludf.DUMMYFUNCTION("""COMPUTED_VALUE"""),66.0)</f>
        <v>66</v>
      </c>
      <c r="F9550" s="19" t="str">
        <f>IFERROR(__xludf.DUMMYFUNCTION("""COMPUTED_VALUE"""),"BLACK")</f>
        <v>BLACK</v>
      </c>
      <c r="G9550" s="20" t="str">
        <f>IFERROR(__xludf.DUMMYFUNCTION("""COMPUTED_VALUE"""),"Uncle Sams Cider (5/13/2022)")</f>
        <v>Uncle Sams Cider (5/13/2022)</v>
      </c>
      <c r="H9550" s="19"/>
    </row>
    <row r="9551">
      <c r="A9551" s="9"/>
      <c r="B9551" s="15"/>
      <c r="C9551" s="9">
        <f>IFERROR(__xludf.DUMMYFUNCTION("""COMPUTED_VALUE"""),44697.0004686342)</f>
        <v>44697.00047</v>
      </c>
      <c r="D9551" s="15">
        <f>IFERROR(__xludf.DUMMYFUNCTION("""COMPUTED_VALUE"""),1.097)</f>
        <v>1.097</v>
      </c>
      <c r="E9551" s="16">
        <f>IFERROR(__xludf.DUMMYFUNCTION("""COMPUTED_VALUE"""),66.0)</f>
        <v>66</v>
      </c>
      <c r="F9551" s="19" t="str">
        <f>IFERROR(__xludf.DUMMYFUNCTION("""COMPUTED_VALUE"""),"BLACK")</f>
        <v>BLACK</v>
      </c>
      <c r="G9551" s="20" t="str">
        <f>IFERROR(__xludf.DUMMYFUNCTION("""COMPUTED_VALUE"""),"Uncle Sams Cider (5/13/2022)")</f>
        <v>Uncle Sams Cider (5/13/2022)</v>
      </c>
      <c r="H9551" s="19"/>
    </row>
    <row r="9552">
      <c r="A9552" s="9"/>
      <c r="B9552" s="15"/>
      <c r="C9552" s="9">
        <f>IFERROR(__xludf.DUMMYFUNCTION("""COMPUTED_VALUE"""),44696.9900342013)</f>
        <v>44696.99003</v>
      </c>
      <c r="D9552" s="15">
        <f>IFERROR(__xludf.DUMMYFUNCTION("""COMPUTED_VALUE"""),1.097)</f>
        <v>1.097</v>
      </c>
      <c r="E9552" s="16">
        <f>IFERROR(__xludf.DUMMYFUNCTION("""COMPUTED_VALUE"""),66.0)</f>
        <v>66</v>
      </c>
      <c r="F9552" s="19" t="str">
        <f>IFERROR(__xludf.DUMMYFUNCTION("""COMPUTED_VALUE"""),"BLACK")</f>
        <v>BLACK</v>
      </c>
      <c r="G9552" s="20" t="str">
        <f>IFERROR(__xludf.DUMMYFUNCTION("""COMPUTED_VALUE"""),"Uncle Sams Cider (5/13/2022)")</f>
        <v>Uncle Sams Cider (5/13/2022)</v>
      </c>
      <c r="H9552" s="19"/>
    </row>
    <row r="9553">
      <c r="A9553" s="9"/>
      <c r="B9553" s="15"/>
      <c r="C9553" s="9">
        <f>IFERROR(__xludf.DUMMYFUNCTION("""COMPUTED_VALUE"""),44696.9796130902)</f>
        <v>44696.97961</v>
      </c>
      <c r="D9553" s="15">
        <f>IFERROR(__xludf.DUMMYFUNCTION("""COMPUTED_VALUE"""),1.097)</f>
        <v>1.097</v>
      </c>
      <c r="E9553" s="16">
        <f>IFERROR(__xludf.DUMMYFUNCTION("""COMPUTED_VALUE"""),66.0)</f>
        <v>66</v>
      </c>
      <c r="F9553" s="19" t="str">
        <f>IFERROR(__xludf.DUMMYFUNCTION("""COMPUTED_VALUE"""),"BLACK")</f>
        <v>BLACK</v>
      </c>
      <c r="G9553" s="20" t="str">
        <f>IFERROR(__xludf.DUMMYFUNCTION("""COMPUTED_VALUE"""),"Uncle Sams Cider (5/13/2022)")</f>
        <v>Uncle Sams Cider (5/13/2022)</v>
      </c>
      <c r="H9553" s="19"/>
    </row>
    <row r="9554">
      <c r="A9554" s="9"/>
      <c r="B9554" s="15"/>
      <c r="C9554" s="9">
        <f>IFERROR(__xludf.DUMMYFUNCTION("""COMPUTED_VALUE"""),44696.9691921759)</f>
        <v>44696.96919</v>
      </c>
      <c r="D9554" s="15">
        <f>IFERROR(__xludf.DUMMYFUNCTION("""COMPUTED_VALUE"""),1.097)</f>
        <v>1.097</v>
      </c>
      <c r="E9554" s="16">
        <f>IFERROR(__xludf.DUMMYFUNCTION("""COMPUTED_VALUE"""),66.0)</f>
        <v>66</v>
      </c>
      <c r="F9554" s="19" t="str">
        <f>IFERROR(__xludf.DUMMYFUNCTION("""COMPUTED_VALUE"""),"BLACK")</f>
        <v>BLACK</v>
      </c>
      <c r="G9554" s="20" t="str">
        <f>IFERROR(__xludf.DUMMYFUNCTION("""COMPUTED_VALUE"""),"Uncle Sams Cider (5/13/2022)")</f>
        <v>Uncle Sams Cider (5/13/2022)</v>
      </c>
      <c r="H9554" s="19"/>
    </row>
    <row r="9555">
      <c r="A9555" s="9"/>
      <c r="B9555" s="15"/>
      <c r="C9555" s="9">
        <f>IFERROR(__xludf.DUMMYFUNCTION("""COMPUTED_VALUE"""),44696.9587600925)</f>
        <v>44696.95876</v>
      </c>
      <c r="D9555" s="15">
        <f>IFERROR(__xludf.DUMMYFUNCTION("""COMPUTED_VALUE"""),1.098)</f>
        <v>1.098</v>
      </c>
      <c r="E9555" s="16">
        <f>IFERROR(__xludf.DUMMYFUNCTION("""COMPUTED_VALUE"""),66.0)</f>
        <v>66</v>
      </c>
      <c r="F9555" s="19" t="str">
        <f>IFERROR(__xludf.DUMMYFUNCTION("""COMPUTED_VALUE"""),"BLACK")</f>
        <v>BLACK</v>
      </c>
      <c r="G9555" s="20" t="str">
        <f>IFERROR(__xludf.DUMMYFUNCTION("""COMPUTED_VALUE"""),"Uncle Sams Cider (5/13/2022)")</f>
        <v>Uncle Sams Cider (5/13/2022)</v>
      </c>
      <c r="H9555" s="19"/>
    </row>
    <row r="9556">
      <c r="A9556" s="9"/>
      <c r="B9556" s="15"/>
      <c r="C9556" s="9">
        <f>IFERROR(__xludf.DUMMYFUNCTION("""COMPUTED_VALUE"""),44696.9483390509)</f>
        <v>44696.94834</v>
      </c>
      <c r="D9556" s="15">
        <f>IFERROR(__xludf.DUMMYFUNCTION("""COMPUTED_VALUE"""),1.097)</f>
        <v>1.097</v>
      </c>
      <c r="E9556" s="16">
        <f>IFERROR(__xludf.DUMMYFUNCTION("""COMPUTED_VALUE"""),66.0)</f>
        <v>66</v>
      </c>
      <c r="F9556" s="19" t="str">
        <f>IFERROR(__xludf.DUMMYFUNCTION("""COMPUTED_VALUE"""),"BLACK")</f>
        <v>BLACK</v>
      </c>
      <c r="G9556" s="20" t="str">
        <f>IFERROR(__xludf.DUMMYFUNCTION("""COMPUTED_VALUE"""),"Uncle Sams Cider (5/13/2022)")</f>
        <v>Uncle Sams Cider (5/13/2022)</v>
      </c>
      <c r="H9556" s="19"/>
    </row>
    <row r="9557">
      <c r="A9557" s="9"/>
      <c r="B9557" s="15"/>
      <c r="C9557" s="9">
        <f>IFERROR(__xludf.DUMMYFUNCTION("""COMPUTED_VALUE"""),44696.9379172453)</f>
        <v>44696.93792</v>
      </c>
      <c r="D9557" s="15">
        <f>IFERROR(__xludf.DUMMYFUNCTION("""COMPUTED_VALUE"""),1.098)</f>
        <v>1.098</v>
      </c>
      <c r="E9557" s="16">
        <f>IFERROR(__xludf.DUMMYFUNCTION("""COMPUTED_VALUE"""),66.0)</f>
        <v>66</v>
      </c>
      <c r="F9557" s="19" t="str">
        <f>IFERROR(__xludf.DUMMYFUNCTION("""COMPUTED_VALUE"""),"BLACK")</f>
        <v>BLACK</v>
      </c>
      <c r="G9557" s="20" t="str">
        <f>IFERROR(__xludf.DUMMYFUNCTION("""COMPUTED_VALUE"""),"Uncle Sams Cider (5/13/2022)")</f>
        <v>Uncle Sams Cider (5/13/2022)</v>
      </c>
      <c r="H9557" s="19"/>
    </row>
    <row r="9558">
      <c r="A9558" s="9"/>
      <c r="B9558" s="15"/>
      <c r="C9558" s="9">
        <f>IFERROR(__xludf.DUMMYFUNCTION("""COMPUTED_VALUE"""),44696.9274950347)</f>
        <v>44696.9275</v>
      </c>
      <c r="D9558" s="15">
        <f>IFERROR(__xludf.DUMMYFUNCTION("""COMPUTED_VALUE"""),1.098)</f>
        <v>1.098</v>
      </c>
      <c r="E9558" s="16">
        <f>IFERROR(__xludf.DUMMYFUNCTION("""COMPUTED_VALUE"""),66.0)</f>
        <v>66</v>
      </c>
      <c r="F9558" s="19" t="str">
        <f>IFERROR(__xludf.DUMMYFUNCTION("""COMPUTED_VALUE"""),"BLACK")</f>
        <v>BLACK</v>
      </c>
      <c r="G9558" s="20" t="str">
        <f>IFERROR(__xludf.DUMMYFUNCTION("""COMPUTED_VALUE"""),"Uncle Sams Cider (5/13/2022)")</f>
        <v>Uncle Sams Cider (5/13/2022)</v>
      </c>
      <c r="H9558" s="19"/>
    </row>
    <row r="9559">
      <c r="A9559" s="9"/>
      <c r="B9559" s="15"/>
      <c r="C9559" s="9">
        <f>IFERROR(__xludf.DUMMYFUNCTION("""COMPUTED_VALUE"""),44696.9170725578)</f>
        <v>44696.91707</v>
      </c>
      <c r="D9559" s="15">
        <f>IFERROR(__xludf.DUMMYFUNCTION("""COMPUTED_VALUE"""),1.098)</f>
        <v>1.098</v>
      </c>
      <c r="E9559" s="16">
        <f>IFERROR(__xludf.DUMMYFUNCTION("""COMPUTED_VALUE"""),65.0)</f>
        <v>65</v>
      </c>
      <c r="F9559" s="19" t="str">
        <f>IFERROR(__xludf.DUMMYFUNCTION("""COMPUTED_VALUE"""),"BLACK")</f>
        <v>BLACK</v>
      </c>
      <c r="G9559" s="20" t="str">
        <f>IFERROR(__xludf.DUMMYFUNCTION("""COMPUTED_VALUE"""),"Uncle Sams Cider (5/13/2022)")</f>
        <v>Uncle Sams Cider (5/13/2022)</v>
      </c>
      <c r="H9559" s="19"/>
    </row>
    <row r="9560">
      <c r="A9560" s="9"/>
      <c r="B9560" s="15"/>
      <c r="C9560" s="9">
        <f>IFERROR(__xludf.DUMMYFUNCTION("""COMPUTED_VALUE"""),44696.9066413426)</f>
        <v>44696.90664</v>
      </c>
      <c r="D9560" s="15">
        <f>IFERROR(__xludf.DUMMYFUNCTION("""COMPUTED_VALUE"""),1.098)</f>
        <v>1.098</v>
      </c>
      <c r="E9560" s="16">
        <f>IFERROR(__xludf.DUMMYFUNCTION("""COMPUTED_VALUE"""),65.0)</f>
        <v>65</v>
      </c>
      <c r="F9560" s="19" t="str">
        <f>IFERROR(__xludf.DUMMYFUNCTION("""COMPUTED_VALUE"""),"BLACK")</f>
        <v>BLACK</v>
      </c>
      <c r="G9560" s="20" t="str">
        <f>IFERROR(__xludf.DUMMYFUNCTION("""COMPUTED_VALUE"""),"Uncle Sams Cider (5/13/2022)")</f>
        <v>Uncle Sams Cider (5/13/2022)</v>
      </c>
      <c r="H9560" s="19"/>
    </row>
    <row r="9561">
      <c r="A9561" s="9"/>
      <c r="B9561" s="15"/>
      <c r="C9561" s="9">
        <f>IFERROR(__xludf.DUMMYFUNCTION("""COMPUTED_VALUE"""),44696.8962088888)</f>
        <v>44696.89621</v>
      </c>
      <c r="D9561" s="15">
        <f>IFERROR(__xludf.DUMMYFUNCTION("""COMPUTED_VALUE"""),1.099)</f>
        <v>1.099</v>
      </c>
      <c r="E9561" s="16">
        <f>IFERROR(__xludf.DUMMYFUNCTION("""COMPUTED_VALUE"""),65.0)</f>
        <v>65</v>
      </c>
      <c r="F9561" s="19" t="str">
        <f>IFERROR(__xludf.DUMMYFUNCTION("""COMPUTED_VALUE"""),"BLACK")</f>
        <v>BLACK</v>
      </c>
      <c r="G9561" s="20" t="str">
        <f>IFERROR(__xludf.DUMMYFUNCTION("""COMPUTED_VALUE"""),"Uncle Sams Cider (5/13/2022)")</f>
        <v>Uncle Sams Cider (5/13/2022)</v>
      </c>
      <c r="H9561" s="19"/>
    </row>
    <row r="9562">
      <c r="A9562" s="9"/>
      <c r="B9562" s="15"/>
      <c r="C9562" s="9">
        <f>IFERROR(__xludf.DUMMYFUNCTION("""COMPUTED_VALUE"""),44696.885788993)</f>
        <v>44696.88579</v>
      </c>
      <c r="D9562" s="15">
        <f>IFERROR(__xludf.DUMMYFUNCTION("""COMPUTED_VALUE"""),1.099)</f>
        <v>1.099</v>
      </c>
      <c r="E9562" s="16">
        <f>IFERROR(__xludf.DUMMYFUNCTION("""COMPUTED_VALUE"""),65.0)</f>
        <v>65</v>
      </c>
      <c r="F9562" s="19" t="str">
        <f>IFERROR(__xludf.DUMMYFUNCTION("""COMPUTED_VALUE"""),"BLACK")</f>
        <v>BLACK</v>
      </c>
      <c r="G9562" s="20" t="str">
        <f>IFERROR(__xludf.DUMMYFUNCTION("""COMPUTED_VALUE"""),"Uncle Sams Cider (5/13/2022)")</f>
        <v>Uncle Sams Cider (5/13/2022)</v>
      </c>
      <c r="H9562" s="19"/>
    </row>
    <row r="9563">
      <c r="A9563" s="9"/>
      <c r="B9563" s="15"/>
      <c r="C9563" s="9">
        <f>IFERROR(__xludf.DUMMYFUNCTION("""COMPUTED_VALUE"""),44696.8753685995)</f>
        <v>44696.87537</v>
      </c>
      <c r="D9563" s="15">
        <f>IFERROR(__xludf.DUMMYFUNCTION("""COMPUTED_VALUE"""),1.099)</f>
        <v>1.099</v>
      </c>
      <c r="E9563" s="16">
        <f>IFERROR(__xludf.DUMMYFUNCTION("""COMPUTED_VALUE"""),64.0)</f>
        <v>64</v>
      </c>
      <c r="F9563" s="19" t="str">
        <f>IFERROR(__xludf.DUMMYFUNCTION("""COMPUTED_VALUE"""),"BLACK")</f>
        <v>BLACK</v>
      </c>
      <c r="G9563" s="20" t="str">
        <f>IFERROR(__xludf.DUMMYFUNCTION("""COMPUTED_VALUE"""),"Uncle Sams Cider (5/13/2022)")</f>
        <v>Uncle Sams Cider (5/13/2022)</v>
      </c>
      <c r="H9563" s="19"/>
    </row>
    <row r="9564">
      <c r="A9564" s="9"/>
      <c r="B9564" s="15"/>
      <c r="C9564" s="9">
        <f>IFERROR(__xludf.DUMMYFUNCTION("""COMPUTED_VALUE"""),44696.864946956)</f>
        <v>44696.86495</v>
      </c>
      <c r="D9564" s="15">
        <f>IFERROR(__xludf.DUMMYFUNCTION("""COMPUTED_VALUE"""),1.099)</f>
        <v>1.099</v>
      </c>
      <c r="E9564" s="16">
        <f>IFERROR(__xludf.DUMMYFUNCTION("""COMPUTED_VALUE"""),64.0)</f>
        <v>64</v>
      </c>
      <c r="F9564" s="19" t="str">
        <f>IFERROR(__xludf.DUMMYFUNCTION("""COMPUTED_VALUE"""),"BLACK")</f>
        <v>BLACK</v>
      </c>
      <c r="G9564" s="20" t="str">
        <f>IFERROR(__xludf.DUMMYFUNCTION("""COMPUTED_VALUE"""),"Uncle Sams Cider (5/13/2022)")</f>
        <v>Uncle Sams Cider (5/13/2022)</v>
      </c>
      <c r="H9564" s="19"/>
    </row>
    <row r="9565">
      <c r="A9565" s="9"/>
      <c r="B9565" s="15"/>
      <c r="C9565" s="9">
        <f>IFERROR(__xludf.DUMMYFUNCTION("""COMPUTED_VALUE"""),44696.8545249537)</f>
        <v>44696.85452</v>
      </c>
      <c r="D9565" s="15">
        <f>IFERROR(__xludf.DUMMYFUNCTION("""COMPUTED_VALUE"""),1.099)</f>
        <v>1.099</v>
      </c>
      <c r="E9565" s="16">
        <f>IFERROR(__xludf.DUMMYFUNCTION("""COMPUTED_VALUE"""),66.0)</f>
        <v>66</v>
      </c>
      <c r="F9565" s="19" t="str">
        <f>IFERROR(__xludf.DUMMYFUNCTION("""COMPUTED_VALUE"""),"BLACK")</f>
        <v>BLACK</v>
      </c>
      <c r="G9565" s="20" t="str">
        <f>IFERROR(__xludf.DUMMYFUNCTION("""COMPUTED_VALUE"""),"Uncle Sams Cider (5/13/2022)")</f>
        <v>Uncle Sams Cider (5/13/2022)</v>
      </c>
      <c r="H9565" s="19"/>
    </row>
    <row r="9566">
      <c r="A9566" s="9"/>
      <c r="B9566" s="15"/>
      <c r="C9566" s="9">
        <f>IFERROR(__xludf.DUMMYFUNCTION("""COMPUTED_VALUE"""),44696.8441039583)</f>
        <v>44696.8441</v>
      </c>
      <c r="D9566" s="15">
        <f>IFERROR(__xludf.DUMMYFUNCTION("""COMPUTED_VALUE"""),1.099)</f>
        <v>1.099</v>
      </c>
      <c r="E9566" s="16">
        <f>IFERROR(__xludf.DUMMYFUNCTION("""COMPUTED_VALUE"""),68.0)</f>
        <v>68</v>
      </c>
      <c r="F9566" s="19" t="str">
        <f>IFERROR(__xludf.DUMMYFUNCTION("""COMPUTED_VALUE"""),"BLACK")</f>
        <v>BLACK</v>
      </c>
      <c r="G9566" s="20" t="str">
        <f>IFERROR(__xludf.DUMMYFUNCTION("""COMPUTED_VALUE"""),"Uncle Sams Cider (5/13/2022)")</f>
        <v>Uncle Sams Cider (5/13/2022)</v>
      </c>
      <c r="H9566" s="19"/>
    </row>
    <row r="9567">
      <c r="A9567" s="9"/>
      <c r="B9567" s="15"/>
      <c r="C9567" s="9">
        <f>IFERROR(__xludf.DUMMYFUNCTION("""COMPUTED_VALUE"""),44696.8336838541)</f>
        <v>44696.83368</v>
      </c>
      <c r="D9567" s="15">
        <f>IFERROR(__xludf.DUMMYFUNCTION("""COMPUTED_VALUE"""),1.099)</f>
        <v>1.099</v>
      </c>
      <c r="E9567" s="16">
        <f>IFERROR(__xludf.DUMMYFUNCTION("""COMPUTED_VALUE"""),69.0)</f>
        <v>69</v>
      </c>
      <c r="F9567" s="19" t="str">
        <f>IFERROR(__xludf.DUMMYFUNCTION("""COMPUTED_VALUE"""),"BLACK")</f>
        <v>BLACK</v>
      </c>
      <c r="G9567" s="20" t="str">
        <f>IFERROR(__xludf.DUMMYFUNCTION("""COMPUTED_VALUE"""),"Uncle Sams Cider (5/13/2022)")</f>
        <v>Uncle Sams Cider (5/13/2022)</v>
      </c>
      <c r="H9567" s="19"/>
    </row>
    <row r="9568">
      <c r="A9568" s="9"/>
      <c r="B9568" s="15"/>
      <c r="C9568" s="9">
        <f>IFERROR(__xludf.DUMMYFUNCTION("""COMPUTED_VALUE"""),44696.8232517013)</f>
        <v>44696.82325</v>
      </c>
      <c r="D9568" s="15">
        <f>IFERROR(__xludf.DUMMYFUNCTION("""COMPUTED_VALUE"""),1.099)</f>
        <v>1.099</v>
      </c>
      <c r="E9568" s="16">
        <f>IFERROR(__xludf.DUMMYFUNCTION("""COMPUTED_VALUE"""),70.0)</f>
        <v>70</v>
      </c>
      <c r="F9568" s="19" t="str">
        <f>IFERROR(__xludf.DUMMYFUNCTION("""COMPUTED_VALUE"""),"BLACK")</f>
        <v>BLACK</v>
      </c>
      <c r="G9568" s="20" t="str">
        <f>IFERROR(__xludf.DUMMYFUNCTION("""COMPUTED_VALUE"""),"Uncle Sams Cider (5/13/2022)")</f>
        <v>Uncle Sams Cider (5/13/2022)</v>
      </c>
      <c r="H9568" s="19"/>
    </row>
    <row r="9569">
      <c r="A9569" s="9"/>
      <c r="B9569" s="15"/>
      <c r="C9569" s="9">
        <f>IFERROR(__xludf.DUMMYFUNCTION("""COMPUTED_VALUE"""),44696.8128072569)</f>
        <v>44696.81281</v>
      </c>
      <c r="D9569" s="15">
        <f>IFERROR(__xludf.DUMMYFUNCTION("""COMPUTED_VALUE"""),1.099)</f>
        <v>1.099</v>
      </c>
      <c r="E9569" s="16">
        <f>IFERROR(__xludf.DUMMYFUNCTION("""COMPUTED_VALUE"""),69.0)</f>
        <v>69</v>
      </c>
      <c r="F9569" s="19" t="str">
        <f>IFERROR(__xludf.DUMMYFUNCTION("""COMPUTED_VALUE"""),"BLACK")</f>
        <v>BLACK</v>
      </c>
      <c r="G9569" s="20" t="str">
        <f>IFERROR(__xludf.DUMMYFUNCTION("""COMPUTED_VALUE"""),"Uncle Sams Cider (5/13/2022)")</f>
        <v>Uncle Sams Cider (5/13/2022)</v>
      </c>
      <c r="H9569" s="19"/>
    </row>
    <row r="9570">
      <c r="A9570" s="9"/>
      <c r="B9570" s="15"/>
      <c r="C9570" s="9">
        <f>IFERROR(__xludf.DUMMYFUNCTION("""COMPUTED_VALUE"""),44696.8023856944)</f>
        <v>44696.80239</v>
      </c>
      <c r="D9570" s="15">
        <f>IFERROR(__xludf.DUMMYFUNCTION("""COMPUTED_VALUE"""),1.1)</f>
        <v>1.1</v>
      </c>
      <c r="E9570" s="16">
        <f>IFERROR(__xludf.DUMMYFUNCTION("""COMPUTED_VALUE"""),69.0)</f>
        <v>69</v>
      </c>
      <c r="F9570" s="19" t="str">
        <f>IFERROR(__xludf.DUMMYFUNCTION("""COMPUTED_VALUE"""),"BLACK")</f>
        <v>BLACK</v>
      </c>
      <c r="G9570" s="20" t="str">
        <f>IFERROR(__xludf.DUMMYFUNCTION("""COMPUTED_VALUE"""),"Uncle Sams Cider (5/13/2022)")</f>
        <v>Uncle Sams Cider (5/13/2022)</v>
      </c>
      <c r="H9570" s="19"/>
    </row>
    <row r="9571">
      <c r="A9571" s="9"/>
      <c r="B9571" s="15"/>
      <c r="C9571" s="9">
        <f>IFERROR(__xludf.DUMMYFUNCTION("""COMPUTED_VALUE"""),44696.7919654398)</f>
        <v>44696.79197</v>
      </c>
      <c r="D9571" s="15">
        <f>IFERROR(__xludf.DUMMYFUNCTION("""COMPUTED_VALUE"""),1.1)</f>
        <v>1.1</v>
      </c>
      <c r="E9571" s="16">
        <f>IFERROR(__xludf.DUMMYFUNCTION("""COMPUTED_VALUE"""),69.0)</f>
        <v>69</v>
      </c>
      <c r="F9571" s="19" t="str">
        <f>IFERROR(__xludf.DUMMYFUNCTION("""COMPUTED_VALUE"""),"BLACK")</f>
        <v>BLACK</v>
      </c>
      <c r="G9571" s="20" t="str">
        <f>IFERROR(__xludf.DUMMYFUNCTION("""COMPUTED_VALUE"""),"Uncle Sams Cider (5/13/2022)")</f>
        <v>Uncle Sams Cider (5/13/2022)</v>
      </c>
      <c r="H9571" s="19"/>
    </row>
    <row r="9572">
      <c r="A9572" s="9"/>
      <c r="B9572" s="15"/>
      <c r="C9572" s="9">
        <f>IFERROR(__xludf.DUMMYFUNCTION("""COMPUTED_VALUE"""),44696.7815461111)</f>
        <v>44696.78155</v>
      </c>
      <c r="D9572" s="15">
        <f>IFERROR(__xludf.DUMMYFUNCTION("""COMPUTED_VALUE"""),1.1)</f>
        <v>1.1</v>
      </c>
      <c r="E9572" s="16">
        <f>IFERROR(__xludf.DUMMYFUNCTION("""COMPUTED_VALUE"""),69.0)</f>
        <v>69</v>
      </c>
      <c r="F9572" s="19" t="str">
        <f>IFERROR(__xludf.DUMMYFUNCTION("""COMPUTED_VALUE"""),"BLACK")</f>
        <v>BLACK</v>
      </c>
      <c r="G9572" s="20" t="str">
        <f>IFERROR(__xludf.DUMMYFUNCTION("""COMPUTED_VALUE"""),"Uncle Sams Cider (5/13/2022)")</f>
        <v>Uncle Sams Cider (5/13/2022)</v>
      </c>
      <c r="H9572" s="19"/>
    </row>
    <row r="9573">
      <c r="A9573" s="9"/>
      <c r="B9573" s="15"/>
      <c r="C9573" s="9">
        <f>IFERROR(__xludf.DUMMYFUNCTION("""COMPUTED_VALUE"""),44696.7711242129)</f>
        <v>44696.77112</v>
      </c>
      <c r="D9573" s="15">
        <f>IFERROR(__xludf.DUMMYFUNCTION("""COMPUTED_VALUE"""),1.1)</f>
        <v>1.1</v>
      </c>
      <c r="E9573" s="16">
        <f>IFERROR(__xludf.DUMMYFUNCTION("""COMPUTED_VALUE"""),69.0)</f>
        <v>69</v>
      </c>
      <c r="F9573" s="19" t="str">
        <f>IFERROR(__xludf.DUMMYFUNCTION("""COMPUTED_VALUE"""),"BLACK")</f>
        <v>BLACK</v>
      </c>
      <c r="G9573" s="20" t="str">
        <f>IFERROR(__xludf.DUMMYFUNCTION("""COMPUTED_VALUE"""),"Uncle Sams Cider (5/13/2022)")</f>
        <v>Uncle Sams Cider (5/13/2022)</v>
      </c>
      <c r="H9573" s="19"/>
    </row>
    <row r="9574">
      <c r="A9574" s="9"/>
      <c r="B9574" s="15"/>
      <c r="C9574" s="9">
        <f>IFERROR(__xludf.DUMMYFUNCTION("""COMPUTED_VALUE"""),44696.7607036574)</f>
        <v>44696.7607</v>
      </c>
      <c r="D9574" s="15">
        <f>IFERROR(__xludf.DUMMYFUNCTION("""COMPUTED_VALUE"""),1.1)</f>
        <v>1.1</v>
      </c>
      <c r="E9574" s="16">
        <f>IFERROR(__xludf.DUMMYFUNCTION("""COMPUTED_VALUE"""),69.0)</f>
        <v>69</v>
      </c>
      <c r="F9574" s="19" t="str">
        <f>IFERROR(__xludf.DUMMYFUNCTION("""COMPUTED_VALUE"""),"BLACK")</f>
        <v>BLACK</v>
      </c>
      <c r="G9574" s="20" t="str">
        <f>IFERROR(__xludf.DUMMYFUNCTION("""COMPUTED_VALUE"""),"Uncle Sams Cider (5/13/2022)")</f>
        <v>Uncle Sams Cider (5/13/2022)</v>
      </c>
      <c r="H9574" s="19"/>
    </row>
    <row r="9575">
      <c r="A9575" s="9"/>
      <c r="B9575" s="15"/>
      <c r="C9575" s="9">
        <f>IFERROR(__xludf.DUMMYFUNCTION("""COMPUTED_VALUE"""),44696.7502834838)</f>
        <v>44696.75028</v>
      </c>
      <c r="D9575" s="15">
        <f>IFERROR(__xludf.DUMMYFUNCTION("""COMPUTED_VALUE"""),1.1)</f>
        <v>1.1</v>
      </c>
      <c r="E9575" s="16">
        <f>IFERROR(__xludf.DUMMYFUNCTION("""COMPUTED_VALUE"""),69.0)</f>
        <v>69</v>
      </c>
      <c r="F9575" s="19" t="str">
        <f>IFERROR(__xludf.DUMMYFUNCTION("""COMPUTED_VALUE"""),"BLACK")</f>
        <v>BLACK</v>
      </c>
      <c r="G9575" s="20" t="str">
        <f>IFERROR(__xludf.DUMMYFUNCTION("""COMPUTED_VALUE"""),"Uncle Sams Cider (5/13/2022)")</f>
        <v>Uncle Sams Cider (5/13/2022)</v>
      </c>
      <c r="H9575" s="19"/>
    </row>
    <row r="9576">
      <c r="A9576" s="9"/>
      <c r="B9576" s="15"/>
      <c r="C9576" s="9">
        <f>IFERROR(__xludf.DUMMYFUNCTION("""COMPUTED_VALUE"""),44696.7398495717)</f>
        <v>44696.73985</v>
      </c>
      <c r="D9576" s="15">
        <f>IFERROR(__xludf.DUMMYFUNCTION("""COMPUTED_VALUE"""),1.1)</f>
        <v>1.1</v>
      </c>
      <c r="E9576" s="16">
        <f>IFERROR(__xludf.DUMMYFUNCTION("""COMPUTED_VALUE"""),69.0)</f>
        <v>69</v>
      </c>
      <c r="F9576" s="19" t="str">
        <f>IFERROR(__xludf.DUMMYFUNCTION("""COMPUTED_VALUE"""),"BLACK")</f>
        <v>BLACK</v>
      </c>
      <c r="G9576" s="20" t="str">
        <f>IFERROR(__xludf.DUMMYFUNCTION("""COMPUTED_VALUE"""),"Uncle Sams Cider (5/13/2022)")</f>
        <v>Uncle Sams Cider (5/13/2022)</v>
      </c>
      <c r="H9576" s="19"/>
    </row>
    <row r="9577">
      <c r="A9577" s="9"/>
      <c r="B9577" s="15"/>
      <c r="C9577" s="9">
        <f>IFERROR(__xludf.DUMMYFUNCTION("""COMPUTED_VALUE"""),44696.729425324)</f>
        <v>44696.72943</v>
      </c>
      <c r="D9577" s="15">
        <f>IFERROR(__xludf.DUMMYFUNCTION("""COMPUTED_VALUE"""),1.101)</f>
        <v>1.101</v>
      </c>
      <c r="E9577" s="16">
        <f>IFERROR(__xludf.DUMMYFUNCTION("""COMPUTED_VALUE"""),69.0)</f>
        <v>69</v>
      </c>
      <c r="F9577" s="19" t="str">
        <f>IFERROR(__xludf.DUMMYFUNCTION("""COMPUTED_VALUE"""),"BLACK")</f>
        <v>BLACK</v>
      </c>
      <c r="G9577" s="20" t="str">
        <f>IFERROR(__xludf.DUMMYFUNCTION("""COMPUTED_VALUE"""),"Uncle Sams Cider (5/13/2022)")</f>
        <v>Uncle Sams Cider (5/13/2022)</v>
      </c>
      <c r="H9577" s="19"/>
    </row>
    <row r="9578">
      <c r="A9578" s="9"/>
      <c r="B9578" s="15"/>
      <c r="C9578" s="9">
        <f>IFERROR(__xludf.DUMMYFUNCTION("""COMPUTED_VALUE"""),44696.7190051967)</f>
        <v>44696.71901</v>
      </c>
      <c r="D9578" s="15">
        <f>IFERROR(__xludf.DUMMYFUNCTION("""COMPUTED_VALUE"""),1.1)</f>
        <v>1.1</v>
      </c>
      <c r="E9578" s="16">
        <f>IFERROR(__xludf.DUMMYFUNCTION("""COMPUTED_VALUE"""),69.0)</f>
        <v>69</v>
      </c>
      <c r="F9578" s="19" t="str">
        <f>IFERROR(__xludf.DUMMYFUNCTION("""COMPUTED_VALUE"""),"BLACK")</f>
        <v>BLACK</v>
      </c>
      <c r="G9578" s="20" t="str">
        <f>IFERROR(__xludf.DUMMYFUNCTION("""COMPUTED_VALUE"""),"Uncle Sams Cider (5/13/2022)")</f>
        <v>Uncle Sams Cider (5/13/2022)</v>
      </c>
      <c r="H9578" s="19"/>
    </row>
    <row r="9579">
      <c r="A9579" s="9"/>
      <c r="B9579" s="15"/>
      <c r="C9579" s="9">
        <f>IFERROR(__xludf.DUMMYFUNCTION("""COMPUTED_VALUE"""),44696.7085848148)</f>
        <v>44696.70858</v>
      </c>
      <c r="D9579" s="15">
        <f>IFERROR(__xludf.DUMMYFUNCTION("""COMPUTED_VALUE"""),1.101)</f>
        <v>1.101</v>
      </c>
      <c r="E9579" s="16">
        <f>IFERROR(__xludf.DUMMYFUNCTION("""COMPUTED_VALUE"""),69.0)</f>
        <v>69</v>
      </c>
      <c r="F9579" s="19" t="str">
        <f>IFERROR(__xludf.DUMMYFUNCTION("""COMPUTED_VALUE"""),"BLACK")</f>
        <v>BLACK</v>
      </c>
      <c r="G9579" s="20" t="str">
        <f>IFERROR(__xludf.DUMMYFUNCTION("""COMPUTED_VALUE"""),"Uncle Sams Cider (5/13/2022)")</f>
        <v>Uncle Sams Cider (5/13/2022)</v>
      </c>
      <c r="H9579" s="19"/>
    </row>
    <row r="9580">
      <c r="A9580" s="9"/>
      <c r="B9580" s="15"/>
      <c r="C9580" s="9">
        <f>IFERROR(__xludf.DUMMYFUNCTION("""COMPUTED_VALUE"""),44696.6981389699)</f>
        <v>44696.69814</v>
      </c>
      <c r="D9580" s="15">
        <f>IFERROR(__xludf.DUMMYFUNCTION("""COMPUTED_VALUE"""),1.101)</f>
        <v>1.101</v>
      </c>
      <c r="E9580" s="16">
        <f>IFERROR(__xludf.DUMMYFUNCTION("""COMPUTED_VALUE"""),69.0)</f>
        <v>69</v>
      </c>
      <c r="F9580" s="19" t="str">
        <f>IFERROR(__xludf.DUMMYFUNCTION("""COMPUTED_VALUE"""),"BLACK")</f>
        <v>BLACK</v>
      </c>
      <c r="G9580" s="20" t="str">
        <f>IFERROR(__xludf.DUMMYFUNCTION("""COMPUTED_VALUE"""),"Uncle Sams Cider (5/13/2022)")</f>
        <v>Uncle Sams Cider (5/13/2022)</v>
      </c>
      <c r="H9580" s="19"/>
    </row>
    <row r="9581">
      <c r="A9581" s="9"/>
      <c r="B9581" s="15"/>
      <c r="C9581" s="9">
        <f>IFERROR(__xludf.DUMMYFUNCTION("""COMPUTED_VALUE"""),44696.687717662)</f>
        <v>44696.68772</v>
      </c>
      <c r="D9581" s="15">
        <f>IFERROR(__xludf.DUMMYFUNCTION("""COMPUTED_VALUE"""),1.101)</f>
        <v>1.101</v>
      </c>
      <c r="E9581" s="16">
        <f>IFERROR(__xludf.DUMMYFUNCTION("""COMPUTED_VALUE"""),69.0)</f>
        <v>69</v>
      </c>
      <c r="F9581" s="19" t="str">
        <f>IFERROR(__xludf.DUMMYFUNCTION("""COMPUTED_VALUE"""),"BLACK")</f>
        <v>BLACK</v>
      </c>
      <c r="G9581" s="20" t="str">
        <f>IFERROR(__xludf.DUMMYFUNCTION("""COMPUTED_VALUE"""),"Uncle Sams Cider (5/13/2022)")</f>
        <v>Uncle Sams Cider (5/13/2022)</v>
      </c>
      <c r="H9581" s="19"/>
    </row>
    <row r="9582">
      <c r="A9582" s="9"/>
      <c r="B9582" s="15"/>
      <c r="C9582" s="9">
        <f>IFERROR(__xludf.DUMMYFUNCTION("""COMPUTED_VALUE"""),44696.6772961342)</f>
        <v>44696.6773</v>
      </c>
      <c r="D9582" s="15">
        <f>IFERROR(__xludf.DUMMYFUNCTION("""COMPUTED_VALUE"""),1.101)</f>
        <v>1.101</v>
      </c>
      <c r="E9582" s="16">
        <f>IFERROR(__xludf.DUMMYFUNCTION("""COMPUTED_VALUE"""),69.0)</f>
        <v>69</v>
      </c>
      <c r="F9582" s="19" t="str">
        <f>IFERROR(__xludf.DUMMYFUNCTION("""COMPUTED_VALUE"""),"BLACK")</f>
        <v>BLACK</v>
      </c>
      <c r="G9582" s="20" t="str">
        <f>IFERROR(__xludf.DUMMYFUNCTION("""COMPUTED_VALUE"""),"Uncle Sams Cider (5/13/2022)")</f>
        <v>Uncle Sams Cider (5/13/2022)</v>
      </c>
      <c r="H9582" s="19"/>
    </row>
    <row r="9583">
      <c r="A9583" s="9"/>
      <c r="B9583" s="15"/>
      <c r="C9583" s="9">
        <f>IFERROR(__xludf.DUMMYFUNCTION("""COMPUTED_VALUE"""),44696.6668758101)</f>
        <v>44696.66688</v>
      </c>
      <c r="D9583" s="15">
        <f>IFERROR(__xludf.DUMMYFUNCTION("""COMPUTED_VALUE"""),1.102)</f>
        <v>1.102</v>
      </c>
      <c r="E9583" s="16">
        <f>IFERROR(__xludf.DUMMYFUNCTION("""COMPUTED_VALUE"""),69.0)</f>
        <v>69</v>
      </c>
      <c r="F9583" s="19" t="str">
        <f>IFERROR(__xludf.DUMMYFUNCTION("""COMPUTED_VALUE"""),"BLACK")</f>
        <v>BLACK</v>
      </c>
      <c r="G9583" s="20" t="str">
        <f>IFERROR(__xludf.DUMMYFUNCTION("""COMPUTED_VALUE"""),"Uncle Sams Cider (5/13/2022)")</f>
        <v>Uncle Sams Cider (5/13/2022)</v>
      </c>
      <c r="H9583" s="19"/>
    </row>
    <row r="9584">
      <c r="A9584" s="9"/>
      <c r="B9584" s="15"/>
      <c r="C9584" s="9">
        <f>IFERROR(__xludf.DUMMYFUNCTION("""COMPUTED_VALUE"""),44696.6564534375)</f>
        <v>44696.65645</v>
      </c>
      <c r="D9584" s="15">
        <f>IFERROR(__xludf.DUMMYFUNCTION("""COMPUTED_VALUE"""),1.101)</f>
        <v>1.101</v>
      </c>
      <c r="E9584" s="16">
        <f>IFERROR(__xludf.DUMMYFUNCTION("""COMPUTED_VALUE"""),69.0)</f>
        <v>69</v>
      </c>
      <c r="F9584" s="19" t="str">
        <f>IFERROR(__xludf.DUMMYFUNCTION("""COMPUTED_VALUE"""),"BLACK")</f>
        <v>BLACK</v>
      </c>
      <c r="G9584" s="20" t="str">
        <f>IFERROR(__xludf.DUMMYFUNCTION("""COMPUTED_VALUE"""),"Uncle Sams Cider (5/13/2022)")</f>
        <v>Uncle Sams Cider (5/13/2022)</v>
      </c>
      <c r="H9584" s="19"/>
    </row>
    <row r="9585">
      <c r="A9585" s="9"/>
      <c r="B9585" s="15"/>
      <c r="C9585" s="9">
        <f>IFERROR(__xludf.DUMMYFUNCTION("""COMPUTED_VALUE"""),44696.6460203935)</f>
        <v>44696.64602</v>
      </c>
      <c r="D9585" s="15">
        <f>IFERROR(__xludf.DUMMYFUNCTION("""COMPUTED_VALUE"""),1.102)</f>
        <v>1.102</v>
      </c>
      <c r="E9585" s="16">
        <f>IFERROR(__xludf.DUMMYFUNCTION("""COMPUTED_VALUE"""),68.0)</f>
        <v>68</v>
      </c>
      <c r="F9585" s="19" t="str">
        <f>IFERROR(__xludf.DUMMYFUNCTION("""COMPUTED_VALUE"""),"BLACK")</f>
        <v>BLACK</v>
      </c>
      <c r="G9585" s="20" t="str">
        <f>IFERROR(__xludf.DUMMYFUNCTION("""COMPUTED_VALUE"""),"Uncle Sams Cider (5/13/2022)")</f>
        <v>Uncle Sams Cider (5/13/2022)</v>
      </c>
      <c r="H9585" s="19"/>
    </row>
    <row r="9586">
      <c r="A9586" s="9"/>
      <c r="B9586" s="15"/>
      <c r="C9586" s="9">
        <f>IFERROR(__xludf.DUMMYFUNCTION("""COMPUTED_VALUE"""),44696.6355977893)</f>
        <v>44696.6356</v>
      </c>
      <c r="D9586" s="15">
        <f>IFERROR(__xludf.DUMMYFUNCTION("""COMPUTED_VALUE"""),1.102)</f>
        <v>1.102</v>
      </c>
      <c r="E9586" s="16">
        <f>IFERROR(__xludf.DUMMYFUNCTION("""COMPUTED_VALUE"""),68.0)</f>
        <v>68</v>
      </c>
      <c r="F9586" s="19" t="str">
        <f>IFERROR(__xludf.DUMMYFUNCTION("""COMPUTED_VALUE"""),"BLACK")</f>
        <v>BLACK</v>
      </c>
      <c r="G9586" s="20" t="str">
        <f>IFERROR(__xludf.DUMMYFUNCTION("""COMPUTED_VALUE"""),"Uncle Sams Cider (5/13/2022)")</f>
        <v>Uncle Sams Cider (5/13/2022)</v>
      </c>
      <c r="H9586" s="19"/>
    </row>
    <row r="9587">
      <c r="A9587" s="9"/>
      <c r="B9587" s="15"/>
      <c r="C9587" s="9">
        <f>IFERROR(__xludf.DUMMYFUNCTION("""COMPUTED_VALUE"""),44696.6251767824)</f>
        <v>44696.62518</v>
      </c>
      <c r="D9587" s="15">
        <f>IFERROR(__xludf.DUMMYFUNCTION("""COMPUTED_VALUE"""),1.103)</f>
        <v>1.103</v>
      </c>
      <c r="E9587" s="16">
        <f>IFERROR(__xludf.DUMMYFUNCTION("""COMPUTED_VALUE"""),68.0)</f>
        <v>68</v>
      </c>
      <c r="F9587" s="19" t="str">
        <f>IFERROR(__xludf.DUMMYFUNCTION("""COMPUTED_VALUE"""),"BLACK")</f>
        <v>BLACK</v>
      </c>
      <c r="G9587" s="20" t="str">
        <f>IFERROR(__xludf.DUMMYFUNCTION("""COMPUTED_VALUE"""),"Uncle Sams Cider (5/13/2022)")</f>
        <v>Uncle Sams Cider (5/13/2022)</v>
      </c>
      <c r="H9587" s="19"/>
    </row>
    <row r="9588">
      <c r="A9588" s="9"/>
      <c r="B9588" s="15"/>
      <c r="C9588" s="9">
        <f>IFERROR(__xludf.DUMMYFUNCTION("""COMPUTED_VALUE"""),44696.6147539467)</f>
        <v>44696.61475</v>
      </c>
      <c r="D9588" s="15">
        <f>IFERROR(__xludf.DUMMYFUNCTION("""COMPUTED_VALUE"""),1.102)</f>
        <v>1.102</v>
      </c>
      <c r="E9588" s="16">
        <f>IFERROR(__xludf.DUMMYFUNCTION("""COMPUTED_VALUE"""),68.0)</f>
        <v>68</v>
      </c>
      <c r="F9588" s="19" t="str">
        <f>IFERROR(__xludf.DUMMYFUNCTION("""COMPUTED_VALUE"""),"BLACK")</f>
        <v>BLACK</v>
      </c>
      <c r="G9588" s="20" t="str">
        <f>IFERROR(__xludf.DUMMYFUNCTION("""COMPUTED_VALUE"""),"Uncle Sams Cider (5/13/2022)")</f>
        <v>Uncle Sams Cider (5/13/2022)</v>
      </c>
      <c r="H9588" s="19"/>
    </row>
    <row r="9589">
      <c r="A9589" s="9"/>
      <c r="B9589" s="15"/>
      <c r="C9589" s="9">
        <f>IFERROR(__xludf.DUMMYFUNCTION("""COMPUTED_VALUE"""),44696.6043321412)</f>
        <v>44696.60433</v>
      </c>
      <c r="D9589" s="15">
        <f>IFERROR(__xludf.DUMMYFUNCTION("""COMPUTED_VALUE"""),1.102)</f>
        <v>1.102</v>
      </c>
      <c r="E9589" s="16">
        <f>IFERROR(__xludf.DUMMYFUNCTION("""COMPUTED_VALUE"""),68.0)</f>
        <v>68</v>
      </c>
      <c r="F9589" s="19" t="str">
        <f>IFERROR(__xludf.DUMMYFUNCTION("""COMPUTED_VALUE"""),"BLACK")</f>
        <v>BLACK</v>
      </c>
      <c r="G9589" s="20" t="str">
        <f>IFERROR(__xludf.DUMMYFUNCTION("""COMPUTED_VALUE"""),"Uncle Sams Cider (5/13/2022)")</f>
        <v>Uncle Sams Cider (5/13/2022)</v>
      </c>
      <c r="H9589" s="19"/>
    </row>
    <row r="9590">
      <c r="A9590" s="9"/>
      <c r="B9590" s="15"/>
      <c r="C9590" s="9">
        <f>IFERROR(__xludf.DUMMYFUNCTION("""COMPUTED_VALUE"""),44696.5939112037)</f>
        <v>44696.59391</v>
      </c>
      <c r="D9590" s="15">
        <f>IFERROR(__xludf.DUMMYFUNCTION("""COMPUTED_VALUE"""),1.103)</f>
        <v>1.103</v>
      </c>
      <c r="E9590" s="16">
        <f>IFERROR(__xludf.DUMMYFUNCTION("""COMPUTED_VALUE"""),68.0)</f>
        <v>68</v>
      </c>
      <c r="F9590" s="19" t="str">
        <f>IFERROR(__xludf.DUMMYFUNCTION("""COMPUTED_VALUE"""),"BLACK")</f>
        <v>BLACK</v>
      </c>
      <c r="G9590" s="20" t="str">
        <f>IFERROR(__xludf.DUMMYFUNCTION("""COMPUTED_VALUE"""),"Uncle Sams Cider (5/13/2022)")</f>
        <v>Uncle Sams Cider (5/13/2022)</v>
      </c>
      <c r="H9590" s="19"/>
    </row>
    <row r="9591">
      <c r="A9591" s="9"/>
      <c r="B9591" s="15"/>
      <c r="C9591" s="9">
        <f>IFERROR(__xludf.DUMMYFUNCTION("""COMPUTED_VALUE"""),44696.5834787731)</f>
        <v>44696.58348</v>
      </c>
      <c r="D9591" s="15">
        <f>IFERROR(__xludf.DUMMYFUNCTION("""COMPUTED_VALUE"""),1.102)</f>
        <v>1.102</v>
      </c>
      <c r="E9591" s="16">
        <f>IFERROR(__xludf.DUMMYFUNCTION("""COMPUTED_VALUE"""),68.0)</f>
        <v>68</v>
      </c>
      <c r="F9591" s="19" t="str">
        <f>IFERROR(__xludf.DUMMYFUNCTION("""COMPUTED_VALUE"""),"BLACK")</f>
        <v>BLACK</v>
      </c>
      <c r="G9591" s="20" t="str">
        <f>IFERROR(__xludf.DUMMYFUNCTION("""COMPUTED_VALUE"""),"Uncle Sams Cider (5/13/2022)")</f>
        <v>Uncle Sams Cider (5/13/2022)</v>
      </c>
      <c r="H9591" s="19"/>
    </row>
    <row r="9592">
      <c r="A9592" s="9"/>
      <c r="B9592" s="15"/>
      <c r="C9592" s="9">
        <f>IFERROR(__xludf.DUMMYFUNCTION("""COMPUTED_VALUE"""),44696.5730564814)</f>
        <v>44696.57306</v>
      </c>
      <c r="D9592" s="15">
        <f>IFERROR(__xludf.DUMMYFUNCTION("""COMPUTED_VALUE"""),1.102)</f>
        <v>1.102</v>
      </c>
      <c r="E9592" s="16">
        <f>IFERROR(__xludf.DUMMYFUNCTION("""COMPUTED_VALUE"""),68.0)</f>
        <v>68</v>
      </c>
      <c r="F9592" s="19" t="str">
        <f>IFERROR(__xludf.DUMMYFUNCTION("""COMPUTED_VALUE"""),"BLACK")</f>
        <v>BLACK</v>
      </c>
      <c r="G9592" s="20" t="str">
        <f>IFERROR(__xludf.DUMMYFUNCTION("""COMPUTED_VALUE"""),"Uncle Sams Cider (5/13/2022)")</f>
        <v>Uncle Sams Cider (5/13/2022)</v>
      </c>
      <c r="H9592" s="19"/>
    </row>
    <row r="9593">
      <c r="A9593" s="9"/>
      <c r="B9593" s="15"/>
      <c r="C9593" s="9">
        <f>IFERROR(__xludf.DUMMYFUNCTION("""COMPUTED_VALUE"""),44696.5626351157)</f>
        <v>44696.56264</v>
      </c>
      <c r="D9593" s="15">
        <f>IFERROR(__xludf.DUMMYFUNCTION("""COMPUTED_VALUE"""),1.103)</f>
        <v>1.103</v>
      </c>
      <c r="E9593" s="16">
        <f>IFERROR(__xludf.DUMMYFUNCTION("""COMPUTED_VALUE"""),68.0)</f>
        <v>68</v>
      </c>
      <c r="F9593" s="19" t="str">
        <f>IFERROR(__xludf.DUMMYFUNCTION("""COMPUTED_VALUE"""),"BLACK")</f>
        <v>BLACK</v>
      </c>
      <c r="G9593" s="20" t="str">
        <f>IFERROR(__xludf.DUMMYFUNCTION("""COMPUTED_VALUE"""),"Uncle Sams Cider (5/13/2022)")</f>
        <v>Uncle Sams Cider (5/13/2022)</v>
      </c>
      <c r="H9593" s="19"/>
    </row>
    <row r="9594">
      <c r="A9594" s="9"/>
      <c r="B9594" s="15"/>
      <c r="C9594" s="9">
        <f>IFERROR(__xludf.DUMMYFUNCTION("""COMPUTED_VALUE"""),44696.5522127546)</f>
        <v>44696.55221</v>
      </c>
      <c r="D9594" s="15">
        <f>IFERROR(__xludf.DUMMYFUNCTION("""COMPUTED_VALUE"""),1.103)</f>
        <v>1.103</v>
      </c>
      <c r="E9594" s="16">
        <f>IFERROR(__xludf.DUMMYFUNCTION("""COMPUTED_VALUE"""),68.0)</f>
        <v>68</v>
      </c>
      <c r="F9594" s="19" t="str">
        <f>IFERROR(__xludf.DUMMYFUNCTION("""COMPUTED_VALUE"""),"BLACK")</f>
        <v>BLACK</v>
      </c>
      <c r="G9594" s="20" t="str">
        <f>IFERROR(__xludf.DUMMYFUNCTION("""COMPUTED_VALUE"""),"Uncle Sams Cider (5/13/2022)")</f>
        <v>Uncle Sams Cider (5/13/2022)</v>
      </c>
      <c r="H9594" s="19"/>
    </row>
    <row r="9595">
      <c r="A9595" s="9"/>
      <c r="B9595" s="15"/>
      <c r="C9595" s="9">
        <f>IFERROR(__xludf.DUMMYFUNCTION("""COMPUTED_VALUE"""),44696.5417793055)</f>
        <v>44696.54178</v>
      </c>
      <c r="D9595" s="15">
        <f>IFERROR(__xludf.DUMMYFUNCTION("""COMPUTED_VALUE"""),1.103)</f>
        <v>1.103</v>
      </c>
      <c r="E9595" s="16">
        <f>IFERROR(__xludf.DUMMYFUNCTION("""COMPUTED_VALUE"""),68.0)</f>
        <v>68</v>
      </c>
      <c r="F9595" s="19" t="str">
        <f>IFERROR(__xludf.DUMMYFUNCTION("""COMPUTED_VALUE"""),"BLACK")</f>
        <v>BLACK</v>
      </c>
      <c r="G9595" s="20" t="str">
        <f>IFERROR(__xludf.DUMMYFUNCTION("""COMPUTED_VALUE"""),"Uncle Sams Cider (5/13/2022)")</f>
        <v>Uncle Sams Cider (5/13/2022)</v>
      </c>
      <c r="H9595" s="19"/>
    </row>
    <row r="9596">
      <c r="A9596" s="9"/>
      <c r="B9596" s="15"/>
      <c r="C9596" s="9">
        <f>IFERROR(__xludf.DUMMYFUNCTION("""COMPUTED_VALUE"""),44696.5313564583)</f>
        <v>44696.53136</v>
      </c>
      <c r="D9596" s="15">
        <f>IFERROR(__xludf.DUMMYFUNCTION("""COMPUTED_VALUE"""),1.103)</f>
        <v>1.103</v>
      </c>
      <c r="E9596" s="16">
        <f>IFERROR(__xludf.DUMMYFUNCTION("""COMPUTED_VALUE"""),68.0)</f>
        <v>68</v>
      </c>
      <c r="F9596" s="19" t="str">
        <f>IFERROR(__xludf.DUMMYFUNCTION("""COMPUTED_VALUE"""),"BLACK")</f>
        <v>BLACK</v>
      </c>
      <c r="G9596" s="20" t="str">
        <f>IFERROR(__xludf.DUMMYFUNCTION("""COMPUTED_VALUE"""),"Uncle Sams Cider (5/13/2022)")</f>
        <v>Uncle Sams Cider (5/13/2022)</v>
      </c>
      <c r="H9596" s="19"/>
    </row>
    <row r="9597">
      <c r="A9597" s="9"/>
      <c r="B9597" s="15"/>
      <c r="C9597" s="9">
        <f>IFERROR(__xludf.DUMMYFUNCTION("""COMPUTED_VALUE"""),44696.5209331134)</f>
        <v>44696.52093</v>
      </c>
      <c r="D9597" s="15">
        <f>IFERROR(__xludf.DUMMYFUNCTION("""COMPUTED_VALUE"""),1.103)</f>
        <v>1.103</v>
      </c>
      <c r="E9597" s="16">
        <f>IFERROR(__xludf.DUMMYFUNCTION("""COMPUTED_VALUE"""),68.0)</f>
        <v>68</v>
      </c>
      <c r="F9597" s="19" t="str">
        <f>IFERROR(__xludf.DUMMYFUNCTION("""COMPUTED_VALUE"""),"BLACK")</f>
        <v>BLACK</v>
      </c>
      <c r="G9597" s="20" t="str">
        <f>IFERROR(__xludf.DUMMYFUNCTION("""COMPUTED_VALUE"""),"Uncle Sams Cider (5/13/2022)")</f>
        <v>Uncle Sams Cider (5/13/2022)</v>
      </c>
      <c r="H9597" s="19"/>
    </row>
    <row r="9598">
      <c r="A9598" s="9"/>
      <c r="B9598" s="15"/>
      <c r="C9598" s="9">
        <f>IFERROR(__xludf.DUMMYFUNCTION("""COMPUTED_VALUE"""),44696.5105108217)</f>
        <v>44696.51051</v>
      </c>
      <c r="D9598" s="15">
        <f>IFERROR(__xludf.DUMMYFUNCTION("""COMPUTED_VALUE"""),1.103)</f>
        <v>1.103</v>
      </c>
      <c r="E9598" s="16">
        <f>IFERROR(__xludf.DUMMYFUNCTION("""COMPUTED_VALUE"""),68.0)</f>
        <v>68</v>
      </c>
      <c r="F9598" s="19" t="str">
        <f>IFERROR(__xludf.DUMMYFUNCTION("""COMPUTED_VALUE"""),"BLACK")</f>
        <v>BLACK</v>
      </c>
      <c r="G9598" s="20" t="str">
        <f>IFERROR(__xludf.DUMMYFUNCTION("""COMPUTED_VALUE"""),"Uncle Sams Cider (5/13/2022)")</f>
        <v>Uncle Sams Cider (5/13/2022)</v>
      </c>
      <c r="H9598" s="19"/>
    </row>
    <row r="9599">
      <c r="A9599" s="9"/>
      <c r="B9599" s="15"/>
      <c r="C9599" s="9">
        <f>IFERROR(__xludf.DUMMYFUNCTION("""COMPUTED_VALUE"""),44696.5000912963)</f>
        <v>44696.50009</v>
      </c>
      <c r="D9599" s="15">
        <f>IFERROR(__xludf.DUMMYFUNCTION("""COMPUTED_VALUE"""),1.103)</f>
        <v>1.103</v>
      </c>
      <c r="E9599" s="16">
        <f>IFERROR(__xludf.DUMMYFUNCTION("""COMPUTED_VALUE"""),68.0)</f>
        <v>68</v>
      </c>
      <c r="F9599" s="19" t="str">
        <f>IFERROR(__xludf.DUMMYFUNCTION("""COMPUTED_VALUE"""),"BLACK")</f>
        <v>BLACK</v>
      </c>
      <c r="G9599" s="20" t="str">
        <f>IFERROR(__xludf.DUMMYFUNCTION("""COMPUTED_VALUE"""),"Uncle Sams Cider (5/13/2022)")</f>
        <v>Uncle Sams Cider (5/13/2022)</v>
      </c>
      <c r="H9599" s="19"/>
    </row>
    <row r="9600">
      <c r="A9600" s="9"/>
      <c r="B9600" s="15"/>
      <c r="C9600" s="9">
        <f>IFERROR(__xludf.DUMMYFUNCTION("""COMPUTED_VALUE"""),44696.4896683912)</f>
        <v>44696.48967</v>
      </c>
      <c r="D9600" s="15">
        <f>IFERROR(__xludf.DUMMYFUNCTION("""COMPUTED_VALUE"""),1.104)</f>
        <v>1.104</v>
      </c>
      <c r="E9600" s="16">
        <f>IFERROR(__xludf.DUMMYFUNCTION("""COMPUTED_VALUE"""),68.0)</f>
        <v>68</v>
      </c>
      <c r="F9600" s="19" t="str">
        <f>IFERROR(__xludf.DUMMYFUNCTION("""COMPUTED_VALUE"""),"BLACK")</f>
        <v>BLACK</v>
      </c>
      <c r="G9600" s="20" t="str">
        <f>IFERROR(__xludf.DUMMYFUNCTION("""COMPUTED_VALUE"""),"Uncle Sams Cider (5/13/2022)")</f>
        <v>Uncle Sams Cider (5/13/2022)</v>
      </c>
      <c r="H9600" s="19"/>
    </row>
    <row r="9601">
      <c r="A9601" s="9"/>
      <c r="B9601" s="15"/>
      <c r="C9601" s="9">
        <f>IFERROR(__xludf.DUMMYFUNCTION("""COMPUTED_VALUE"""),44696.4792364351)</f>
        <v>44696.47924</v>
      </c>
      <c r="D9601" s="15">
        <f>IFERROR(__xludf.DUMMYFUNCTION("""COMPUTED_VALUE"""),1.104)</f>
        <v>1.104</v>
      </c>
      <c r="E9601" s="16">
        <f>IFERROR(__xludf.DUMMYFUNCTION("""COMPUTED_VALUE"""),68.0)</f>
        <v>68</v>
      </c>
      <c r="F9601" s="19" t="str">
        <f>IFERROR(__xludf.DUMMYFUNCTION("""COMPUTED_VALUE"""),"BLACK")</f>
        <v>BLACK</v>
      </c>
      <c r="G9601" s="20" t="str">
        <f>IFERROR(__xludf.DUMMYFUNCTION("""COMPUTED_VALUE"""),"Uncle Sams Cider (5/13/2022)")</f>
        <v>Uncle Sams Cider (5/13/2022)</v>
      </c>
      <c r="H9601" s="19"/>
    </row>
    <row r="9602">
      <c r="A9602" s="9"/>
      <c r="B9602" s="15"/>
      <c r="C9602" s="9">
        <f>IFERROR(__xludf.DUMMYFUNCTION("""COMPUTED_VALUE"""),44696.4688155555)</f>
        <v>44696.46882</v>
      </c>
      <c r="D9602" s="15">
        <f>IFERROR(__xludf.DUMMYFUNCTION("""COMPUTED_VALUE"""),1.104)</f>
        <v>1.104</v>
      </c>
      <c r="E9602" s="16">
        <f>IFERROR(__xludf.DUMMYFUNCTION("""COMPUTED_VALUE"""),68.0)</f>
        <v>68</v>
      </c>
      <c r="F9602" s="19" t="str">
        <f>IFERROR(__xludf.DUMMYFUNCTION("""COMPUTED_VALUE"""),"BLACK")</f>
        <v>BLACK</v>
      </c>
      <c r="G9602" s="20" t="str">
        <f>IFERROR(__xludf.DUMMYFUNCTION("""COMPUTED_VALUE"""),"Uncle Sams Cider (5/13/2022)")</f>
        <v>Uncle Sams Cider (5/13/2022)</v>
      </c>
      <c r="H9602" s="19"/>
    </row>
    <row r="9603">
      <c r="A9603" s="9"/>
      <c r="B9603" s="15"/>
      <c r="C9603" s="9">
        <f>IFERROR(__xludf.DUMMYFUNCTION("""COMPUTED_VALUE"""),44696.4583921296)</f>
        <v>44696.45839</v>
      </c>
      <c r="D9603" s="15">
        <f>IFERROR(__xludf.DUMMYFUNCTION("""COMPUTED_VALUE"""),1.104)</f>
        <v>1.104</v>
      </c>
      <c r="E9603" s="16">
        <f>IFERROR(__xludf.DUMMYFUNCTION("""COMPUTED_VALUE"""),68.0)</f>
        <v>68</v>
      </c>
      <c r="F9603" s="19" t="str">
        <f>IFERROR(__xludf.DUMMYFUNCTION("""COMPUTED_VALUE"""),"BLACK")</f>
        <v>BLACK</v>
      </c>
      <c r="G9603" s="20" t="str">
        <f>IFERROR(__xludf.DUMMYFUNCTION("""COMPUTED_VALUE"""),"Uncle Sams Cider (5/13/2022)")</f>
        <v>Uncle Sams Cider (5/13/2022)</v>
      </c>
      <c r="H9603" s="19"/>
    </row>
    <row r="9604">
      <c r="A9604" s="9"/>
      <c r="B9604" s="15"/>
      <c r="C9604" s="9">
        <f>IFERROR(__xludf.DUMMYFUNCTION("""COMPUTED_VALUE"""),44696.4479720833)</f>
        <v>44696.44797</v>
      </c>
      <c r="D9604" s="15">
        <f>IFERROR(__xludf.DUMMYFUNCTION("""COMPUTED_VALUE"""),1.104)</f>
        <v>1.104</v>
      </c>
      <c r="E9604" s="16">
        <f>IFERROR(__xludf.DUMMYFUNCTION("""COMPUTED_VALUE"""),68.0)</f>
        <v>68</v>
      </c>
      <c r="F9604" s="19" t="str">
        <f>IFERROR(__xludf.DUMMYFUNCTION("""COMPUTED_VALUE"""),"BLACK")</f>
        <v>BLACK</v>
      </c>
      <c r="G9604" s="20" t="str">
        <f>IFERROR(__xludf.DUMMYFUNCTION("""COMPUTED_VALUE"""),"Uncle Sams Cider (5/13/2022)")</f>
        <v>Uncle Sams Cider (5/13/2022)</v>
      </c>
      <c r="H9604" s="19"/>
    </row>
    <row r="9605">
      <c r="A9605" s="9"/>
      <c r="B9605" s="15"/>
      <c r="C9605" s="9">
        <f>IFERROR(__xludf.DUMMYFUNCTION("""COMPUTED_VALUE"""),44696.4375517361)</f>
        <v>44696.43755</v>
      </c>
      <c r="D9605" s="15">
        <f>IFERROR(__xludf.DUMMYFUNCTION("""COMPUTED_VALUE"""),1.104)</f>
        <v>1.104</v>
      </c>
      <c r="E9605" s="16">
        <f>IFERROR(__xludf.DUMMYFUNCTION("""COMPUTED_VALUE"""),67.0)</f>
        <v>67</v>
      </c>
      <c r="F9605" s="19" t="str">
        <f>IFERROR(__xludf.DUMMYFUNCTION("""COMPUTED_VALUE"""),"BLACK")</f>
        <v>BLACK</v>
      </c>
      <c r="G9605" s="20" t="str">
        <f>IFERROR(__xludf.DUMMYFUNCTION("""COMPUTED_VALUE"""),"Uncle Sams Cider (5/13/2022)")</f>
        <v>Uncle Sams Cider (5/13/2022)</v>
      </c>
      <c r="H9605" s="19"/>
    </row>
    <row r="9606">
      <c r="A9606" s="9"/>
      <c r="B9606" s="15"/>
      <c r="C9606" s="9">
        <f>IFERROR(__xludf.DUMMYFUNCTION("""COMPUTED_VALUE"""),44696.4271200578)</f>
        <v>44696.42712</v>
      </c>
      <c r="D9606" s="15">
        <f>IFERROR(__xludf.DUMMYFUNCTION("""COMPUTED_VALUE"""),1.104)</f>
        <v>1.104</v>
      </c>
      <c r="E9606" s="16">
        <f>IFERROR(__xludf.DUMMYFUNCTION("""COMPUTED_VALUE"""),67.0)</f>
        <v>67</v>
      </c>
      <c r="F9606" s="19" t="str">
        <f>IFERROR(__xludf.DUMMYFUNCTION("""COMPUTED_VALUE"""),"BLACK")</f>
        <v>BLACK</v>
      </c>
      <c r="G9606" s="20" t="str">
        <f>IFERROR(__xludf.DUMMYFUNCTION("""COMPUTED_VALUE"""),"Uncle Sams Cider (5/13/2022)")</f>
        <v>Uncle Sams Cider (5/13/2022)</v>
      </c>
      <c r="H9606" s="19"/>
    </row>
    <row r="9607">
      <c r="A9607" s="9"/>
      <c r="B9607" s="15"/>
      <c r="C9607" s="9">
        <f>IFERROR(__xludf.DUMMYFUNCTION("""COMPUTED_VALUE"""),44696.4166993287)</f>
        <v>44696.4167</v>
      </c>
      <c r="D9607" s="15">
        <f>IFERROR(__xludf.DUMMYFUNCTION("""COMPUTED_VALUE"""),1.104)</f>
        <v>1.104</v>
      </c>
      <c r="E9607" s="16">
        <f>IFERROR(__xludf.DUMMYFUNCTION("""COMPUTED_VALUE"""),67.0)</f>
        <v>67</v>
      </c>
      <c r="F9607" s="19" t="str">
        <f>IFERROR(__xludf.DUMMYFUNCTION("""COMPUTED_VALUE"""),"BLACK")</f>
        <v>BLACK</v>
      </c>
      <c r="G9607" s="20" t="str">
        <f>IFERROR(__xludf.DUMMYFUNCTION("""COMPUTED_VALUE"""),"Uncle Sams Cider (5/13/2022)")</f>
        <v>Uncle Sams Cider (5/13/2022)</v>
      </c>
      <c r="H9607" s="19"/>
    </row>
    <row r="9608">
      <c r="A9608" s="9"/>
      <c r="B9608" s="15"/>
      <c r="C9608" s="9">
        <f>IFERROR(__xludf.DUMMYFUNCTION("""COMPUTED_VALUE"""),44696.4062666782)</f>
        <v>44696.40627</v>
      </c>
      <c r="D9608" s="15">
        <f>IFERROR(__xludf.DUMMYFUNCTION("""COMPUTED_VALUE"""),1.104)</f>
        <v>1.104</v>
      </c>
      <c r="E9608" s="16">
        <f>IFERROR(__xludf.DUMMYFUNCTION("""COMPUTED_VALUE"""),67.0)</f>
        <v>67</v>
      </c>
      <c r="F9608" s="19" t="str">
        <f>IFERROR(__xludf.DUMMYFUNCTION("""COMPUTED_VALUE"""),"BLACK")</f>
        <v>BLACK</v>
      </c>
      <c r="G9608" s="20" t="str">
        <f>IFERROR(__xludf.DUMMYFUNCTION("""COMPUTED_VALUE"""),"Uncle Sams Cider (5/13/2022)")</f>
        <v>Uncle Sams Cider (5/13/2022)</v>
      </c>
      <c r="H9608" s="19"/>
    </row>
    <row r="9609">
      <c r="A9609" s="9"/>
      <c r="B9609" s="15"/>
      <c r="C9609" s="9">
        <f>IFERROR(__xludf.DUMMYFUNCTION("""COMPUTED_VALUE"""),44696.3958461689)</f>
        <v>44696.39585</v>
      </c>
      <c r="D9609" s="15">
        <f>IFERROR(__xludf.DUMMYFUNCTION("""COMPUTED_VALUE"""),1.104)</f>
        <v>1.104</v>
      </c>
      <c r="E9609" s="16">
        <f>IFERROR(__xludf.DUMMYFUNCTION("""COMPUTED_VALUE"""),67.0)</f>
        <v>67</v>
      </c>
      <c r="F9609" s="19" t="str">
        <f>IFERROR(__xludf.DUMMYFUNCTION("""COMPUTED_VALUE"""),"BLACK")</f>
        <v>BLACK</v>
      </c>
      <c r="G9609" s="20" t="str">
        <f>IFERROR(__xludf.DUMMYFUNCTION("""COMPUTED_VALUE"""),"Uncle Sams Cider (5/13/2022)")</f>
        <v>Uncle Sams Cider (5/13/2022)</v>
      </c>
      <c r="H9609" s="19"/>
    </row>
    <row r="9610">
      <c r="A9610" s="9"/>
      <c r="B9610" s="15"/>
      <c r="C9610" s="9">
        <f>IFERROR(__xludf.DUMMYFUNCTION("""COMPUTED_VALUE"""),44696.3854240972)</f>
        <v>44696.38542</v>
      </c>
      <c r="D9610" s="15">
        <f>IFERROR(__xludf.DUMMYFUNCTION("""COMPUTED_VALUE"""),1.104)</f>
        <v>1.104</v>
      </c>
      <c r="E9610" s="16">
        <f>IFERROR(__xludf.DUMMYFUNCTION("""COMPUTED_VALUE"""),67.0)</f>
        <v>67</v>
      </c>
      <c r="F9610" s="19" t="str">
        <f>IFERROR(__xludf.DUMMYFUNCTION("""COMPUTED_VALUE"""),"BLACK")</f>
        <v>BLACK</v>
      </c>
      <c r="G9610" s="20" t="str">
        <f>IFERROR(__xludf.DUMMYFUNCTION("""COMPUTED_VALUE"""),"Uncle Sams Cider (5/13/2022)")</f>
        <v>Uncle Sams Cider (5/13/2022)</v>
      </c>
      <c r="H9610" s="19"/>
    </row>
    <row r="9611">
      <c r="A9611" s="9"/>
      <c r="B9611" s="15"/>
      <c r="C9611" s="9">
        <f>IFERROR(__xludf.DUMMYFUNCTION("""COMPUTED_VALUE"""),44696.3750035532)</f>
        <v>44696.375</v>
      </c>
      <c r="D9611" s="15">
        <f>IFERROR(__xludf.DUMMYFUNCTION("""COMPUTED_VALUE"""),1.104)</f>
        <v>1.104</v>
      </c>
      <c r="E9611" s="16">
        <f>IFERROR(__xludf.DUMMYFUNCTION("""COMPUTED_VALUE"""),67.0)</f>
        <v>67</v>
      </c>
      <c r="F9611" s="19" t="str">
        <f>IFERROR(__xludf.DUMMYFUNCTION("""COMPUTED_VALUE"""),"BLACK")</f>
        <v>BLACK</v>
      </c>
      <c r="G9611" s="20" t="str">
        <f>IFERROR(__xludf.DUMMYFUNCTION("""COMPUTED_VALUE"""),"Uncle Sams Cider (5/13/2022)")</f>
        <v>Uncle Sams Cider (5/13/2022)</v>
      </c>
      <c r="H9611" s="19"/>
    </row>
    <row r="9612">
      <c r="A9612" s="9"/>
      <c r="B9612" s="15"/>
      <c r="C9612" s="9">
        <f>IFERROR(__xludf.DUMMYFUNCTION("""COMPUTED_VALUE"""),44696.3645810301)</f>
        <v>44696.36458</v>
      </c>
      <c r="D9612" s="15">
        <f>IFERROR(__xludf.DUMMYFUNCTION("""COMPUTED_VALUE"""),1.105)</f>
        <v>1.105</v>
      </c>
      <c r="E9612" s="16">
        <f>IFERROR(__xludf.DUMMYFUNCTION("""COMPUTED_VALUE"""),67.0)</f>
        <v>67</v>
      </c>
      <c r="F9612" s="19" t="str">
        <f>IFERROR(__xludf.DUMMYFUNCTION("""COMPUTED_VALUE"""),"BLACK")</f>
        <v>BLACK</v>
      </c>
      <c r="G9612" s="20" t="str">
        <f>IFERROR(__xludf.DUMMYFUNCTION("""COMPUTED_VALUE"""),"Uncle Sams Cider (5/13/2022)")</f>
        <v>Uncle Sams Cider (5/13/2022)</v>
      </c>
      <c r="H9612" s="19"/>
    </row>
    <row r="9613">
      <c r="A9613" s="9"/>
      <c r="B9613" s="15"/>
      <c r="C9613" s="9">
        <f>IFERROR(__xludf.DUMMYFUNCTION("""COMPUTED_VALUE"""),44696.3541601967)</f>
        <v>44696.35416</v>
      </c>
      <c r="D9613" s="15">
        <f>IFERROR(__xludf.DUMMYFUNCTION("""COMPUTED_VALUE"""),1.104)</f>
        <v>1.104</v>
      </c>
      <c r="E9613" s="16">
        <f>IFERROR(__xludf.DUMMYFUNCTION("""COMPUTED_VALUE"""),67.0)</f>
        <v>67</v>
      </c>
      <c r="F9613" s="19" t="str">
        <f>IFERROR(__xludf.DUMMYFUNCTION("""COMPUTED_VALUE"""),"BLACK")</f>
        <v>BLACK</v>
      </c>
      <c r="G9613" s="20" t="str">
        <f>IFERROR(__xludf.DUMMYFUNCTION("""COMPUTED_VALUE"""),"Uncle Sams Cider (5/13/2022)")</f>
        <v>Uncle Sams Cider (5/13/2022)</v>
      </c>
      <c r="H9613" s="19"/>
    </row>
    <row r="9614">
      <c r="A9614" s="9"/>
      <c r="B9614" s="15"/>
      <c r="C9614" s="9">
        <f>IFERROR(__xludf.DUMMYFUNCTION("""COMPUTED_VALUE"""),44696.3437389814)</f>
        <v>44696.34374</v>
      </c>
      <c r="D9614" s="15">
        <f>IFERROR(__xludf.DUMMYFUNCTION("""COMPUTED_VALUE"""),1.104)</f>
        <v>1.104</v>
      </c>
      <c r="E9614" s="16">
        <f>IFERROR(__xludf.DUMMYFUNCTION("""COMPUTED_VALUE"""),67.0)</f>
        <v>67</v>
      </c>
      <c r="F9614" s="19" t="str">
        <f>IFERROR(__xludf.DUMMYFUNCTION("""COMPUTED_VALUE"""),"BLACK")</f>
        <v>BLACK</v>
      </c>
      <c r="G9614" s="20" t="str">
        <f>IFERROR(__xludf.DUMMYFUNCTION("""COMPUTED_VALUE"""),"Uncle Sams Cider (5/13/2022)")</f>
        <v>Uncle Sams Cider (5/13/2022)</v>
      </c>
      <c r="H9614" s="19"/>
    </row>
    <row r="9615">
      <c r="A9615" s="9"/>
      <c r="B9615" s="15"/>
      <c r="C9615" s="9">
        <f>IFERROR(__xludf.DUMMYFUNCTION("""COMPUTED_VALUE"""),44696.3333179629)</f>
        <v>44696.33332</v>
      </c>
      <c r="D9615" s="15">
        <f>IFERROR(__xludf.DUMMYFUNCTION("""COMPUTED_VALUE"""),1.105)</f>
        <v>1.105</v>
      </c>
      <c r="E9615" s="16">
        <f>IFERROR(__xludf.DUMMYFUNCTION("""COMPUTED_VALUE"""),67.0)</f>
        <v>67</v>
      </c>
      <c r="F9615" s="19" t="str">
        <f>IFERROR(__xludf.DUMMYFUNCTION("""COMPUTED_VALUE"""),"BLACK")</f>
        <v>BLACK</v>
      </c>
      <c r="G9615" s="20" t="str">
        <f>IFERROR(__xludf.DUMMYFUNCTION("""COMPUTED_VALUE"""),"Uncle Sams Cider (5/13/2022)")</f>
        <v>Uncle Sams Cider (5/13/2022)</v>
      </c>
      <c r="H9615" s="19"/>
    </row>
    <row r="9616">
      <c r="A9616" s="9"/>
      <c r="B9616" s="15"/>
      <c r="C9616" s="9">
        <f>IFERROR(__xludf.DUMMYFUNCTION("""COMPUTED_VALUE"""),44696.3228941087)</f>
        <v>44696.32289</v>
      </c>
      <c r="D9616" s="15">
        <f>IFERROR(__xludf.DUMMYFUNCTION("""COMPUTED_VALUE"""),1.105)</f>
        <v>1.105</v>
      </c>
      <c r="E9616" s="16">
        <f>IFERROR(__xludf.DUMMYFUNCTION("""COMPUTED_VALUE"""),67.0)</f>
        <v>67</v>
      </c>
      <c r="F9616" s="19" t="str">
        <f>IFERROR(__xludf.DUMMYFUNCTION("""COMPUTED_VALUE"""),"BLACK")</f>
        <v>BLACK</v>
      </c>
      <c r="G9616" s="20" t="str">
        <f>IFERROR(__xludf.DUMMYFUNCTION("""COMPUTED_VALUE"""),"Uncle Sams Cider (5/13/2022)")</f>
        <v>Uncle Sams Cider (5/13/2022)</v>
      </c>
      <c r="H9616" s="19"/>
    </row>
    <row r="9617">
      <c r="A9617" s="9"/>
      <c r="B9617" s="15"/>
      <c r="C9617" s="9">
        <f>IFERROR(__xludf.DUMMYFUNCTION("""COMPUTED_VALUE"""),44696.3124738078)</f>
        <v>44696.31247</v>
      </c>
      <c r="D9617" s="15">
        <f>IFERROR(__xludf.DUMMYFUNCTION("""COMPUTED_VALUE"""),1.105)</f>
        <v>1.105</v>
      </c>
      <c r="E9617" s="16">
        <f>IFERROR(__xludf.DUMMYFUNCTION("""COMPUTED_VALUE"""),67.0)</f>
        <v>67</v>
      </c>
      <c r="F9617" s="19" t="str">
        <f>IFERROR(__xludf.DUMMYFUNCTION("""COMPUTED_VALUE"""),"BLACK")</f>
        <v>BLACK</v>
      </c>
      <c r="G9617" s="20" t="str">
        <f>IFERROR(__xludf.DUMMYFUNCTION("""COMPUTED_VALUE"""),"Uncle Sams Cider (5/13/2022)")</f>
        <v>Uncle Sams Cider (5/13/2022)</v>
      </c>
      <c r="H9617" s="19"/>
    </row>
    <row r="9618">
      <c r="A9618" s="9"/>
      <c r="B9618" s="15"/>
      <c r="C9618" s="9">
        <f>IFERROR(__xludf.DUMMYFUNCTION("""COMPUTED_VALUE"""),44696.3020535069)</f>
        <v>44696.30205</v>
      </c>
      <c r="D9618" s="15">
        <f>IFERROR(__xludf.DUMMYFUNCTION("""COMPUTED_VALUE"""),1.105)</f>
        <v>1.105</v>
      </c>
      <c r="E9618" s="16">
        <f>IFERROR(__xludf.DUMMYFUNCTION("""COMPUTED_VALUE"""),67.0)</f>
        <v>67</v>
      </c>
      <c r="F9618" s="19" t="str">
        <f>IFERROR(__xludf.DUMMYFUNCTION("""COMPUTED_VALUE"""),"BLACK")</f>
        <v>BLACK</v>
      </c>
      <c r="G9618" s="20" t="str">
        <f>IFERROR(__xludf.DUMMYFUNCTION("""COMPUTED_VALUE"""),"Uncle Sams Cider (5/13/2022)")</f>
        <v>Uncle Sams Cider (5/13/2022)</v>
      </c>
      <c r="H9618" s="19"/>
    </row>
    <row r="9619">
      <c r="A9619" s="9"/>
      <c r="B9619" s="15"/>
      <c r="C9619" s="9">
        <f>IFERROR(__xludf.DUMMYFUNCTION("""COMPUTED_VALUE"""),44696.2916327083)</f>
        <v>44696.29163</v>
      </c>
      <c r="D9619" s="15">
        <f>IFERROR(__xludf.DUMMYFUNCTION("""COMPUTED_VALUE"""),1.105)</f>
        <v>1.105</v>
      </c>
      <c r="E9619" s="16">
        <f>IFERROR(__xludf.DUMMYFUNCTION("""COMPUTED_VALUE"""),67.0)</f>
        <v>67</v>
      </c>
      <c r="F9619" s="19" t="str">
        <f>IFERROR(__xludf.DUMMYFUNCTION("""COMPUTED_VALUE"""),"BLACK")</f>
        <v>BLACK</v>
      </c>
      <c r="G9619" s="20" t="str">
        <f>IFERROR(__xludf.DUMMYFUNCTION("""COMPUTED_VALUE"""),"Uncle Sams Cider (5/13/2022)")</f>
        <v>Uncle Sams Cider (5/13/2022)</v>
      </c>
      <c r="H9619" s="19"/>
    </row>
    <row r="9620">
      <c r="A9620" s="9"/>
      <c r="B9620" s="15"/>
      <c r="C9620" s="9">
        <f>IFERROR(__xludf.DUMMYFUNCTION("""COMPUTED_VALUE"""),44696.2812111342)</f>
        <v>44696.28121</v>
      </c>
      <c r="D9620" s="15">
        <f>IFERROR(__xludf.DUMMYFUNCTION("""COMPUTED_VALUE"""),1.105)</f>
        <v>1.105</v>
      </c>
      <c r="E9620" s="16">
        <f>IFERROR(__xludf.DUMMYFUNCTION("""COMPUTED_VALUE"""),67.0)</f>
        <v>67</v>
      </c>
      <c r="F9620" s="19" t="str">
        <f>IFERROR(__xludf.DUMMYFUNCTION("""COMPUTED_VALUE"""),"BLACK")</f>
        <v>BLACK</v>
      </c>
      <c r="G9620" s="20" t="str">
        <f>IFERROR(__xludf.DUMMYFUNCTION("""COMPUTED_VALUE"""),"Uncle Sams Cider (5/13/2022)")</f>
        <v>Uncle Sams Cider (5/13/2022)</v>
      </c>
      <c r="H9620" s="19"/>
    </row>
    <row r="9621">
      <c r="A9621" s="9"/>
      <c r="B9621" s="15"/>
      <c r="C9621" s="9">
        <f>IFERROR(__xludf.DUMMYFUNCTION("""COMPUTED_VALUE"""),44696.2707663541)</f>
        <v>44696.27077</v>
      </c>
      <c r="D9621" s="15">
        <f>IFERROR(__xludf.DUMMYFUNCTION("""COMPUTED_VALUE"""),1.105)</f>
        <v>1.105</v>
      </c>
      <c r="E9621" s="16">
        <f>IFERROR(__xludf.DUMMYFUNCTION("""COMPUTED_VALUE"""),67.0)</f>
        <v>67</v>
      </c>
      <c r="F9621" s="19" t="str">
        <f>IFERROR(__xludf.DUMMYFUNCTION("""COMPUTED_VALUE"""),"BLACK")</f>
        <v>BLACK</v>
      </c>
      <c r="G9621" s="20" t="str">
        <f>IFERROR(__xludf.DUMMYFUNCTION("""COMPUTED_VALUE"""),"Uncle Sams Cider (5/13/2022)")</f>
        <v>Uncle Sams Cider (5/13/2022)</v>
      </c>
      <c r="H9621" s="19"/>
    </row>
    <row r="9622">
      <c r="A9622" s="9"/>
      <c r="B9622" s="15"/>
      <c r="C9622" s="9">
        <f>IFERROR(__xludf.DUMMYFUNCTION("""COMPUTED_VALUE"""),44696.2603435185)</f>
        <v>44696.26034</v>
      </c>
      <c r="D9622" s="15">
        <f>IFERROR(__xludf.DUMMYFUNCTION("""COMPUTED_VALUE"""),1.105)</f>
        <v>1.105</v>
      </c>
      <c r="E9622" s="16">
        <f>IFERROR(__xludf.DUMMYFUNCTION("""COMPUTED_VALUE"""),67.0)</f>
        <v>67</v>
      </c>
      <c r="F9622" s="19" t="str">
        <f>IFERROR(__xludf.DUMMYFUNCTION("""COMPUTED_VALUE"""),"BLACK")</f>
        <v>BLACK</v>
      </c>
      <c r="G9622" s="20" t="str">
        <f>IFERROR(__xludf.DUMMYFUNCTION("""COMPUTED_VALUE"""),"Uncle Sams Cider (5/13/2022)")</f>
        <v>Uncle Sams Cider (5/13/2022)</v>
      </c>
      <c r="H9622" s="19"/>
    </row>
    <row r="9623">
      <c r="A9623" s="9"/>
      <c r="B9623" s="15"/>
      <c r="C9623" s="9">
        <f>IFERROR(__xludf.DUMMYFUNCTION("""COMPUTED_VALUE"""),44696.2499123379)</f>
        <v>44696.24991</v>
      </c>
      <c r="D9623" s="15">
        <f>IFERROR(__xludf.DUMMYFUNCTION("""COMPUTED_VALUE"""),1.106)</f>
        <v>1.106</v>
      </c>
      <c r="E9623" s="16">
        <f>IFERROR(__xludf.DUMMYFUNCTION("""COMPUTED_VALUE"""),66.0)</f>
        <v>66</v>
      </c>
      <c r="F9623" s="19" t="str">
        <f>IFERROR(__xludf.DUMMYFUNCTION("""COMPUTED_VALUE"""),"BLACK")</f>
        <v>BLACK</v>
      </c>
      <c r="G9623" s="20" t="str">
        <f>IFERROR(__xludf.DUMMYFUNCTION("""COMPUTED_VALUE"""),"Uncle Sams Cider (5/13/2022)")</f>
        <v>Uncle Sams Cider (5/13/2022)</v>
      </c>
      <c r="H9623" s="19"/>
    </row>
    <row r="9624">
      <c r="A9624" s="9"/>
      <c r="B9624" s="15"/>
      <c r="C9624" s="9">
        <f>IFERROR(__xludf.DUMMYFUNCTION("""COMPUTED_VALUE"""),44696.2394907291)</f>
        <v>44696.23949</v>
      </c>
      <c r="D9624" s="15">
        <f>IFERROR(__xludf.DUMMYFUNCTION("""COMPUTED_VALUE"""),1.106)</f>
        <v>1.106</v>
      </c>
      <c r="E9624" s="16">
        <f>IFERROR(__xludf.DUMMYFUNCTION("""COMPUTED_VALUE"""),67.0)</f>
        <v>67</v>
      </c>
      <c r="F9624" s="19" t="str">
        <f>IFERROR(__xludf.DUMMYFUNCTION("""COMPUTED_VALUE"""),"BLACK")</f>
        <v>BLACK</v>
      </c>
      <c r="G9624" s="20" t="str">
        <f>IFERROR(__xludf.DUMMYFUNCTION("""COMPUTED_VALUE"""),"Uncle Sams Cider (5/13/2022)")</f>
        <v>Uncle Sams Cider (5/13/2022)</v>
      </c>
      <c r="H9624" s="19"/>
    </row>
    <row r="9625">
      <c r="A9625" s="9"/>
      <c r="B9625" s="15"/>
      <c r="C9625" s="9">
        <f>IFERROR(__xludf.DUMMYFUNCTION("""COMPUTED_VALUE"""),44696.2290684027)</f>
        <v>44696.22907</v>
      </c>
      <c r="D9625" s="15">
        <f>IFERROR(__xludf.DUMMYFUNCTION("""COMPUTED_VALUE"""),1.106)</f>
        <v>1.106</v>
      </c>
      <c r="E9625" s="16">
        <f>IFERROR(__xludf.DUMMYFUNCTION("""COMPUTED_VALUE"""),66.0)</f>
        <v>66</v>
      </c>
      <c r="F9625" s="19" t="str">
        <f>IFERROR(__xludf.DUMMYFUNCTION("""COMPUTED_VALUE"""),"BLACK")</f>
        <v>BLACK</v>
      </c>
      <c r="G9625" s="20" t="str">
        <f>IFERROR(__xludf.DUMMYFUNCTION("""COMPUTED_VALUE"""),"Uncle Sams Cider (5/13/2022)")</f>
        <v>Uncle Sams Cider (5/13/2022)</v>
      </c>
      <c r="H9625" s="19"/>
    </row>
    <row r="9626">
      <c r="A9626" s="9"/>
      <c r="B9626" s="15"/>
      <c r="C9626" s="9">
        <f>IFERROR(__xludf.DUMMYFUNCTION("""COMPUTED_VALUE"""),44696.2186348379)</f>
        <v>44696.21863</v>
      </c>
      <c r="D9626" s="15">
        <f>IFERROR(__xludf.DUMMYFUNCTION("""COMPUTED_VALUE"""),1.106)</f>
        <v>1.106</v>
      </c>
      <c r="E9626" s="16">
        <f>IFERROR(__xludf.DUMMYFUNCTION("""COMPUTED_VALUE"""),66.0)</f>
        <v>66</v>
      </c>
      <c r="F9626" s="19" t="str">
        <f>IFERROR(__xludf.DUMMYFUNCTION("""COMPUTED_VALUE"""),"BLACK")</f>
        <v>BLACK</v>
      </c>
      <c r="G9626" s="20" t="str">
        <f>IFERROR(__xludf.DUMMYFUNCTION("""COMPUTED_VALUE"""),"Uncle Sams Cider (5/13/2022)")</f>
        <v>Uncle Sams Cider (5/13/2022)</v>
      </c>
      <c r="H9626" s="19"/>
    </row>
    <row r="9627">
      <c r="A9627" s="9"/>
      <c r="B9627" s="15"/>
      <c r="C9627" s="9">
        <f>IFERROR(__xludf.DUMMYFUNCTION("""COMPUTED_VALUE"""),44696.2082021759)</f>
        <v>44696.2082</v>
      </c>
      <c r="D9627" s="15">
        <f>IFERROR(__xludf.DUMMYFUNCTION("""COMPUTED_VALUE"""),1.105)</f>
        <v>1.105</v>
      </c>
      <c r="E9627" s="16">
        <f>IFERROR(__xludf.DUMMYFUNCTION("""COMPUTED_VALUE"""),66.0)</f>
        <v>66</v>
      </c>
      <c r="F9627" s="19" t="str">
        <f>IFERROR(__xludf.DUMMYFUNCTION("""COMPUTED_VALUE"""),"BLACK")</f>
        <v>BLACK</v>
      </c>
      <c r="G9627" s="20" t="str">
        <f>IFERROR(__xludf.DUMMYFUNCTION("""COMPUTED_VALUE"""),"Uncle Sams Cider (5/13/2022)")</f>
        <v>Uncle Sams Cider (5/13/2022)</v>
      </c>
      <c r="H9627" s="19"/>
    </row>
    <row r="9628">
      <c r="A9628" s="9"/>
      <c r="B9628" s="15"/>
      <c r="C9628" s="9">
        <f>IFERROR(__xludf.DUMMYFUNCTION("""COMPUTED_VALUE"""),44696.197780081)</f>
        <v>44696.19778</v>
      </c>
      <c r="D9628" s="15">
        <f>IFERROR(__xludf.DUMMYFUNCTION("""COMPUTED_VALUE"""),1.106)</f>
        <v>1.106</v>
      </c>
      <c r="E9628" s="16">
        <f>IFERROR(__xludf.DUMMYFUNCTION("""COMPUTED_VALUE"""),66.0)</f>
        <v>66</v>
      </c>
      <c r="F9628" s="19" t="str">
        <f>IFERROR(__xludf.DUMMYFUNCTION("""COMPUTED_VALUE"""),"BLACK")</f>
        <v>BLACK</v>
      </c>
      <c r="G9628" s="20" t="str">
        <f>IFERROR(__xludf.DUMMYFUNCTION("""COMPUTED_VALUE"""),"Uncle Sams Cider (5/13/2022)")</f>
        <v>Uncle Sams Cider (5/13/2022)</v>
      </c>
      <c r="H9628" s="19"/>
    </row>
    <row r="9629">
      <c r="A9629" s="9"/>
      <c r="B9629" s="15"/>
      <c r="C9629" s="9">
        <f>IFERROR(__xludf.DUMMYFUNCTION("""COMPUTED_VALUE"""),44696.187359375)</f>
        <v>44696.18736</v>
      </c>
      <c r="D9629" s="15">
        <f>IFERROR(__xludf.DUMMYFUNCTION("""COMPUTED_VALUE"""),1.106)</f>
        <v>1.106</v>
      </c>
      <c r="E9629" s="16">
        <f>IFERROR(__xludf.DUMMYFUNCTION("""COMPUTED_VALUE"""),66.0)</f>
        <v>66</v>
      </c>
      <c r="F9629" s="19" t="str">
        <f>IFERROR(__xludf.DUMMYFUNCTION("""COMPUTED_VALUE"""),"BLACK")</f>
        <v>BLACK</v>
      </c>
      <c r="G9629" s="20" t="str">
        <f>IFERROR(__xludf.DUMMYFUNCTION("""COMPUTED_VALUE"""),"Uncle Sams Cider (5/13/2022)")</f>
        <v>Uncle Sams Cider (5/13/2022)</v>
      </c>
      <c r="H9629" s="19"/>
    </row>
    <row r="9630">
      <c r="A9630" s="9"/>
      <c r="B9630" s="15"/>
      <c r="C9630" s="9">
        <f>IFERROR(__xludf.DUMMYFUNCTION("""COMPUTED_VALUE"""),44696.1769368402)</f>
        <v>44696.17694</v>
      </c>
      <c r="D9630" s="15">
        <f>IFERROR(__xludf.DUMMYFUNCTION("""COMPUTED_VALUE"""),1.106)</f>
        <v>1.106</v>
      </c>
      <c r="E9630" s="16">
        <f>IFERROR(__xludf.DUMMYFUNCTION("""COMPUTED_VALUE"""),66.0)</f>
        <v>66</v>
      </c>
      <c r="F9630" s="19" t="str">
        <f>IFERROR(__xludf.DUMMYFUNCTION("""COMPUTED_VALUE"""),"BLACK")</f>
        <v>BLACK</v>
      </c>
      <c r="G9630" s="20" t="str">
        <f>IFERROR(__xludf.DUMMYFUNCTION("""COMPUTED_VALUE"""),"Uncle Sams Cider (5/13/2022)")</f>
        <v>Uncle Sams Cider (5/13/2022)</v>
      </c>
      <c r="H9630" s="19"/>
    </row>
    <row r="9631">
      <c r="A9631" s="9"/>
      <c r="B9631" s="15"/>
      <c r="C9631" s="9">
        <f>IFERROR(__xludf.DUMMYFUNCTION("""COMPUTED_VALUE"""),44696.1665151157)</f>
        <v>44696.16652</v>
      </c>
      <c r="D9631" s="15">
        <f>IFERROR(__xludf.DUMMYFUNCTION("""COMPUTED_VALUE"""),1.106)</f>
        <v>1.106</v>
      </c>
      <c r="E9631" s="16">
        <f>IFERROR(__xludf.DUMMYFUNCTION("""COMPUTED_VALUE"""),66.0)</f>
        <v>66</v>
      </c>
      <c r="F9631" s="19" t="str">
        <f>IFERROR(__xludf.DUMMYFUNCTION("""COMPUTED_VALUE"""),"BLACK")</f>
        <v>BLACK</v>
      </c>
      <c r="G9631" s="20" t="str">
        <f>IFERROR(__xludf.DUMMYFUNCTION("""COMPUTED_VALUE"""),"Uncle Sams Cider (5/13/2022)")</f>
        <v>Uncle Sams Cider (5/13/2022)</v>
      </c>
      <c r="H9631" s="19"/>
    </row>
    <row r="9632">
      <c r="A9632" s="9"/>
      <c r="B9632" s="15"/>
      <c r="C9632" s="9">
        <f>IFERROR(__xludf.DUMMYFUNCTION("""COMPUTED_VALUE"""),44696.1560948726)</f>
        <v>44696.15609</v>
      </c>
      <c r="D9632" s="15">
        <f>IFERROR(__xludf.DUMMYFUNCTION("""COMPUTED_VALUE"""),1.106)</f>
        <v>1.106</v>
      </c>
      <c r="E9632" s="16">
        <f>IFERROR(__xludf.DUMMYFUNCTION("""COMPUTED_VALUE"""),66.0)</f>
        <v>66</v>
      </c>
      <c r="F9632" s="19" t="str">
        <f>IFERROR(__xludf.DUMMYFUNCTION("""COMPUTED_VALUE"""),"BLACK")</f>
        <v>BLACK</v>
      </c>
      <c r="G9632" s="20" t="str">
        <f>IFERROR(__xludf.DUMMYFUNCTION("""COMPUTED_VALUE"""),"Uncle Sams Cider (5/13/2022)")</f>
        <v>Uncle Sams Cider (5/13/2022)</v>
      </c>
      <c r="H9632" s="19"/>
    </row>
    <row r="9633">
      <c r="A9633" s="9"/>
      <c r="B9633" s="15"/>
      <c r="C9633" s="9">
        <f>IFERROR(__xludf.DUMMYFUNCTION("""COMPUTED_VALUE"""),44696.145673449)</f>
        <v>44696.14567</v>
      </c>
      <c r="D9633" s="15">
        <f>IFERROR(__xludf.DUMMYFUNCTION("""COMPUTED_VALUE"""),1.106)</f>
        <v>1.106</v>
      </c>
      <c r="E9633" s="16">
        <f>IFERROR(__xludf.DUMMYFUNCTION("""COMPUTED_VALUE"""),66.0)</f>
        <v>66</v>
      </c>
      <c r="F9633" s="19" t="str">
        <f>IFERROR(__xludf.DUMMYFUNCTION("""COMPUTED_VALUE"""),"BLACK")</f>
        <v>BLACK</v>
      </c>
      <c r="G9633" s="20" t="str">
        <f>IFERROR(__xludf.DUMMYFUNCTION("""COMPUTED_VALUE"""),"Uncle Sams Cider (5/13/2022)")</f>
        <v>Uncle Sams Cider (5/13/2022)</v>
      </c>
      <c r="H9633" s="19"/>
    </row>
    <row r="9634">
      <c r="A9634" s="9"/>
      <c r="B9634" s="15"/>
      <c r="C9634" s="9">
        <f>IFERROR(__xludf.DUMMYFUNCTION("""COMPUTED_VALUE"""),44696.1352386226)</f>
        <v>44696.13524</v>
      </c>
      <c r="D9634" s="15">
        <f>IFERROR(__xludf.DUMMYFUNCTION("""COMPUTED_VALUE"""),1.106)</f>
        <v>1.106</v>
      </c>
      <c r="E9634" s="16">
        <f>IFERROR(__xludf.DUMMYFUNCTION("""COMPUTED_VALUE"""),66.0)</f>
        <v>66</v>
      </c>
      <c r="F9634" s="19" t="str">
        <f>IFERROR(__xludf.DUMMYFUNCTION("""COMPUTED_VALUE"""),"BLACK")</f>
        <v>BLACK</v>
      </c>
      <c r="G9634" s="20" t="str">
        <f>IFERROR(__xludf.DUMMYFUNCTION("""COMPUTED_VALUE"""),"Uncle Sams Cider (5/13/2022)")</f>
        <v>Uncle Sams Cider (5/13/2022)</v>
      </c>
      <c r="H9634" s="19"/>
    </row>
    <row r="9635">
      <c r="A9635" s="9"/>
      <c r="B9635" s="15"/>
      <c r="C9635" s="9">
        <f>IFERROR(__xludf.DUMMYFUNCTION("""COMPUTED_VALUE"""),44696.1248045949)</f>
        <v>44696.1248</v>
      </c>
      <c r="D9635" s="15">
        <f>IFERROR(__xludf.DUMMYFUNCTION("""COMPUTED_VALUE"""),1.106)</f>
        <v>1.106</v>
      </c>
      <c r="E9635" s="16">
        <f>IFERROR(__xludf.DUMMYFUNCTION("""COMPUTED_VALUE"""),66.0)</f>
        <v>66</v>
      </c>
      <c r="F9635" s="19" t="str">
        <f>IFERROR(__xludf.DUMMYFUNCTION("""COMPUTED_VALUE"""),"BLACK")</f>
        <v>BLACK</v>
      </c>
      <c r="G9635" s="20" t="str">
        <f>IFERROR(__xludf.DUMMYFUNCTION("""COMPUTED_VALUE"""),"Uncle Sams Cider (5/13/2022)")</f>
        <v>Uncle Sams Cider (5/13/2022)</v>
      </c>
      <c r="H9635" s="19"/>
    </row>
    <row r="9636">
      <c r="A9636" s="9"/>
      <c r="B9636" s="15"/>
      <c r="C9636" s="9">
        <f>IFERROR(__xludf.DUMMYFUNCTION("""COMPUTED_VALUE"""),44696.1143829398)</f>
        <v>44696.11438</v>
      </c>
      <c r="D9636" s="15">
        <f>IFERROR(__xludf.DUMMYFUNCTION("""COMPUTED_VALUE"""),1.106)</f>
        <v>1.106</v>
      </c>
      <c r="E9636" s="16">
        <f>IFERROR(__xludf.DUMMYFUNCTION("""COMPUTED_VALUE"""),66.0)</f>
        <v>66</v>
      </c>
      <c r="F9636" s="19" t="str">
        <f>IFERROR(__xludf.DUMMYFUNCTION("""COMPUTED_VALUE"""),"BLACK")</f>
        <v>BLACK</v>
      </c>
      <c r="G9636" s="20" t="str">
        <f>IFERROR(__xludf.DUMMYFUNCTION("""COMPUTED_VALUE"""),"Uncle Sams Cider (5/13/2022)")</f>
        <v>Uncle Sams Cider (5/13/2022)</v>
      </c>
      <c r="H9636" s="19"/>
    </row>
    <row r="9637">
      <c r="A9637" s="9"/>
      <c r="B9637" s="15"/>
      <c r="C9637" s="9">
        <f>IFERROR(__xludf.DUMMYFUNCTION("""COMPUTED_VALUE"""),44696.1039395949)</f>
        <v>44696.10394</v>
      </c>
      <c r="D9637" s="15">
        <f>IFERROR(__xludf.DUMMYFUNCTION("""COMPUTED_VALUE"""),1.106)</f>
        <v>1.106</v>
      </c>
      <c r="E9637" s="16">
        <f>IFERROR(__xludf.DUMMYFUNCTION("""COMPUTED_VALUE"""),66.0)</f>
        <v>66</v>
      </c>
      <c r="F9637" s="19" t="str">
        <f>IFERROR(__xludf.DUMMYFUNCTION("""COMPUTED_VALUE"""),"BLACK")</f>
        <v>BLACK</v>
      </c>
      <c r="G9637" s="20" t="str">
        <f>IFERROR(__xludf.DUMMYFUNCTION("""COMPUTED_VALUE"""),"Uncle Sams Cider (5/13/2022)")</f>
        <v>Uncle Sams Cider (5/13/2022)</v>
      </c>
      <c r="H9637" s="19"/>
    </row>
    <row r="9638">
      <c r="A9638" s="9"/>
      <c r="B9638" s="15"/>
      <c r="C9638" s="9">
        <f>IFERROR(__xludf.DUMMYFUNCTION("""COMPUTED_VALUE"""),44696.0935195601)</f>
        <v>44696.09352</v>
      </c>
      <c r="D9638" s="15">
        <f>IFERROR(__xludf.DUMMYFUNCTION("""COMPUTED_VALUE"""),1.106)</f>
        <v>1.106</v>
      </c>
      <c r="E9638" s="16">
        <f>IFERROR(__xludf.DUMMYFUNCTION("""COMPUTED_VALUE"""),66.0)</f>
        <v>66</v>
      </c>
      <c r="F9638" s="19" t="str">
        <f>IFERROR(__xludf.DUMMYFUNCTION("""COMPUTED_VALUE"""),"BLACK")</f>
        <v>BLACK</v>
      </c>
      <c r="G9638" s="20" t="str">
        <f>IFERROR(__xludf.DUMMYFUNCTION("""COMPUTED_VALUE"""),"Uncle Sams Cider (5/13/2022)")</f>
        <v>Uncle Sams Cider (5/13/2022)</v>
      </c>
      <c r="H9638" s="19"/>
    </row>
    <row r="9639">
      <c r="A9639" s="9"/>
      <c r="B9639" s="15"/>
      <c r="C9639" s="9">
        <f>IFERROR(__xludf.DUMMYFUNCTION("""COMPUTED_VALUE"""),44696.0830997916)</f>
        <v>44696.0831</v>
      </c>
      <c r="D9639" s="15">
        <f>IFERROR(__xludf.DUMMYFUNCTION("""COMPUTED_VALUE"""),1.106)</f>
        <v>1.106</v>
      </c>
      <c r="E9639" s="16">
        <f>IFERROR(__xludf.DUMMYFUNCTION("""COMPUTED_VALUE"""),66.0)</f>
        <v>66</v>
      </c>
      <c r="F9639" s="19" t="str">
        <f>IFERROR(__xludf.DUMMYFUNCTION("""COMPUTED_VALUE"""),"BLACK")</f>
        <v>BLACK</v>
      </c>
      <c r="G9639" s="20" t="str">
        <f>IFERROR(__xludf.DUMMYFUNCTION("""COMPUTED_VALUE"""),"Uncle Sams Cider (5/13/2022)")</f>
        <v>Uncle Sams Cider (5/13/2022)</v>
      </c>
      <c r="H9639" s="19"/>
    </row>
    <row r="9640">
      <c r="A9640" s="9"/>
      <c r="B9640" s="15"/>
      <c r="C9640" s="9">
        <f>IFERROR(__xludf.DUMMYFUNCTION("""COMPUTED_VALUE"""),44696.0726793171)</f>
        <v>44696.07268</v>
      </c>
      <c r="D9640" s="15">
        <f>IFERROR(__xludf.DUMMYFUNCTION("""COMPUTED_VALUE"""),1.106)</f>
        <v>1.106</v>
      </c>
      <c r="E9640" s="16">
        <f>IFERROR(__xludf.DUMMYFUNCTION("""COMPUTED_VALUE"""),66.0)</f>
        <v>66</v>
      </c>
      <c r="F9640" s="19" t="str">
        <f>IFERROR(__xludf.DUMMYFUNCTION("""COMPUTED_VALUE"""),"BLACK")</f>
        <v>BLACK</v>
      </c>
      <c r="G9640" s="20" t="str">
        <f>IFERROR(__xludf.DUMMYFUNCTION("""COMPUTED_VALUE"""),"Uncle Sams Cider (5/13/2022)")</f>
        <v>Uncle Sams Cider (5/13/2022)</v>
      </c>
      <c r="H9640" s="19"/>
    </row>
    <row r="9641">
      <c r="A9641" s="9"/>
      <c r="B9641" s="15"/>
      <c r="C9641" s="9">
        <f>IFERROR(__xludf.DUMMYFUNCTION("""COMPUTED_VALUE"""),44696.0622462615)</f>
        <v>44696.06225</v>
      </c>
      <c r="D9641" s="15">
        <f>IFERROR(__xludf.DUMMYFUNCTION("""COMPUTED_VALUE"""),1.106)</f>
        <v>1.106</v>
      </c>
      <c r="E9641" s="16">
        <f>IFERROR(__xludf.DUMMYFUNCTION("""COMPUTED_VALUE"""),66.0)</f>
        <v>66</v>
      </c>
      <c r="F9641" s="19" t="str">
        <f>IFERROR(__xludf.DUMMYFUNCTION("""COMPUTED_VALUE"""),"BLACK")</f>
        <v>BLACK</v>
      </c>
      <c r="G9641" s="20" t="str">
        <f>IFERROR(__xludf.DUMMYFUNCTION("""COMPUTED_VALUE"""),"Uncle Sams Cider (5/13/2022)")</f>
        <v>Uncle Sams Cider (5/13/2022)</v>
      </c>
      <c r="H9641" s="19"/>
    </row>
    <row r="9642">
      <c r="A9642" s="9"/>
      <c r="B9642" s="15"/>
      <c r="C9642" s="9">
        <f>IFERROR(__xludf.DUMMYFUNCTION("""COMPUTED_VALUE"""),44696.0518235763)</f>
        <v>44696.05182</v>
      </c>
      <c r="D9642" s="15">
        <f>IFERROR(__xludf.DUMMYFUNCTION("""COMPUTED_VALUE"""),1.106)</f>
        <v>1.106</v>
      </c>
      <c r="E9642" s="16">
        <f>IFERROR(__xludf.DUMMYFUNCTION("""COMPUTED_VALUE"""),66.0)</f>
        <v>66</v>
      </c>
      <c r="F9642" s="19" t="str">
        <f>IFERROR(__xludf.DUMMYFUNCTION("""COMPUTED_VALUE"""),"BLACK")</f>
        <v>BLACK</v>
      </c>
      <c r="G9642" s="20" t="str">
        <f>IFERROR(__xludf.DUMMYFUNCTION("""COMPUTED_VALUE"""),"Uncle Sams Cider (5/13/2022)")</f>
        <v>Uncle Sams Cider (5/13/2022)</v>
      </c>
      <c r="H9642" s="19"/>
    </row>
    <row r="9643">
      <c r="A9643" s="9"/>
      <c r="B9643" s="15"/>
      <c r="C9643" s="9">
        <f>IFERROR(__xludf.DUMMYFUNCTION("""COMPUTED_VALUE"""),44696.0414016203)</f>
        <v>44696.0414</v>
      </c>
      <c r="D9643" s="15">
        <f>IFERROR(__xludf.DUMMYFUNCTION("""COMPUTED_VALUE"""),1.106)</f>
        <v>1.106</v>
      </c>
      <c r="E9643" s="16">
        <f>IFERROR(__xludf.DUMMYFUNCTION("""COMPUTED_VALUE"""),66.0)</f>
        <v>66</v>
      </c>
      <c r="F9643" s="19" t="str">
        <f>IFERROR(__xludf.DUMMYFUNCTION("""COMPUTED_VALUE"""),"BLACK")</f>
        <v>BLACK</v>
      </c>
      <c r="G9643" s="20" t="str">
        <f>IFERROR(__xludf.DUMMYFUNCTION("""COMPUTED_VALUE"""),"Uncle Sams Cider (5/13/2022)")</f>
        <v>Uncle Sams Cider (5/13/2022)</v>
      </c>
      <c r="H9643" s="19"/>
    </row>
    <row r="9644">
      <c r="A9644" s="9"/>
      <c r="B9644" s="15"/>
      <c r="C9644" s="9">
        <f>IFERROR(__xludf.DUMMYFUNCTION("""COMPUTED_VALUE"""),44696.030981956)</f>
        <v>44696.03098</v>
      </c>
      <c r="D9644" s="15">
        <f>IFERROR(__xludf.DUMMYFUNCTION("""COMPUTED_VALUE"""),1.106)</f>
        <v>1.106</v>
      </c>
      <c r="E9644" s="16">
        <f>IFERROR(__xludf.DUMMYFUNCTION("""COMPUTED_VALUE"""),66.0)</f>
        <v>66</v>
      </c>
      <c r="F9644" s="19" t="str">
        <f>IFERROR(__xludf.DUMMYFUNCTION("""COMPUTED_VALUE"""),"BLACK")</f>
        <v>BLACK</v>
      </c>
      <c r="G9644" s="20" t="str">
        <f>IFERROR(__xludf.DUMMYFUNCTION("""COMPUTED_VALUE"""),"Uncle Sams Cider (5/13/2022)")</f>
        <v>Uncle Sams Cider (5/13/2022)</v>
      </c>
      <c r="H9644" s="19"/>
    </row>
    <row r="9645">
      <c r="A9645" s="9"/>
      <c r="B9645" s="15"/>
      <c r="C9645" s="9">
        <f>IFERROR(__xludf.DUMMYFUNCTION("""COMPUTED_VALUE"""),44696.0205603703)</f>
        <v>44696.02056</v>
      </c>
      <c r="D9645" s="15">
        <f>IFERROR(__xludf.DUMMYFUNCTION("""COMPUTED_VALUE"""),1.106)</f>
        <v>1.106</v>
      </c>
      <c r="E9645" s="16">
        <f>IFERROR(__xludf.DUMMYFUNCTION("""COMPUTED_VALUE"""),66.0)</f>
        <v>66</v>
      </c>
      <c r="F9645" s="19" t="str">
        <f>IFERROR(__xludf.DUMMYFUNCTION("""COMPUTED_VALUE"""),"BLACK")</f>
        <v>BLACK</v>
      </c>
      <c r="G9645" s="20" t="str">
        <f>IFERROR(__xludf.DUMMYFUNCTION("""COMPUTED_VALUE"""),"Uncle Sams Cider (5/13/2022)")</f>
        <v>Uncle Sams Cider (5/13/2022)</v>
      </c>
      <c r="H9645" s="19"/>
    </row>
    <row r="9646">
      <c r="A9646" s="9"/>
      <c r="B9646" s="15"/>
      <c r="C9646" s="9">
        <f>IFERROR(__xludf.DUMMYFUNCTION("""COMPUTED_VALUE"""),44696.0101390625)</f>
        <v>44696.01014</v>
      </c>
      <c r="D9646" s="15">
        <f>IFERROR(__xludf.DUMMYFUNCTION("""COMPUTED_VALUE"""),1.106)</f>
        <v>1.106</v>
      </c>
      <c r="E9646" s="16">
        <f>IFERROR(__xludf.DUMMYFUNCTION("""COMPUTED_VALUE"""),66.0)</f>
        <v>66</v>
      </c>
      <c r="F9646" s="19" t="str">
        <f>IFERROR(__xludf.DUMMYFUNCTION("""COMPUTED_VALUE"""),"BLACK")</f>
        <v>BLACK</v>
      </c>
      <c r="G9646" s="20" t="str">
        <f>IFERROR(__xludf.DUMMYFUNCTION("""COMPUTED_VALUE"""),"Uncle Sams Cider (5/13/2022)")</f>
        <v>Uncle Sams Cider (5/13/2022)</v>
      </c>
      <c r="H9646" s="19"/>
    </row>
    <row r="9647">
      <c r="A9647" s="9"/>
      <c r="B9647" s="15"/>
      <c r="C9647" s="9">
        <f>IFERROR(__xludf.DUMMYFUNCTION("""COMPUTED_VALUE"""),44695.9996823842)</f>
        <v>44695.99968</v>
      </c>
      <c r="D9647" s="15">
        <f>IFERROR(__xludf.DUMMYFUNCTION("""COMPUTED_VALUE"""),1.106)</f>
        <v>1.106</v>
      </c>
      <c r="E9647" s="16">
        <f>IFERROR(__xludf.DUMMYFUNCTION("""COMPUTED_VALUE"""),65.0)</f>
        <v>65</v>
      </c>
      <c r="F9647" s="19" t="str">
        <f>IFERROR(__xludf.DUMMYFUNCTION("""COMPUTED_VALUE"""),"BLACK")</f>
        <v>BLACK</v>
      </c>
      <c r="G9647" s="20" t="str">
        <f>IFERROR(__xludf.DUMMYFUNCTION("""COMPUTED_VALUE"""),"Uncle Sams Cider (5/13/2022)")</f>
        <v>Uncle Sams Cider (5/13/2022)</v>
      </c>
      <c r="H9647" s="19"/>
    </row>
    <row r="9648">
      <c r="A9648" s="9"/>
      <c r="B9648" s="15"/>
      <c r="C9648" s="9">
        <f>IFERROR(__xludf.DUMMYFUNCTION("""COMPUTED_VALUE"""),44695.9892491088)</f>
        <v>44695.98925</v>
      </c>
      <c r="D9648" s="15">
        <f>IFERROR(__xludf.DUMMYFUNCTION("""COMPUTED_VALUE"""),1.106)</f>
        <v>1.106</v>
      </c>
      <c r="E9648" s="16">
        <f>IFERROR(__xludf.DUMMYFUNCTION("""COMPUTED_VALUE"""),65.0)</f>
        <v>65</v>
      </c>
      <c r="F9648" s="19" t="str">
        <f>IFERROR(__xludf.DUMMYFUNCTION("""COMPUTED_VALUE"""),"BLACK")</f>
        <v>BLACK</v>
      </c>
      <c r="G9648" s="20" t="str">
        <f>IFERROR(__xludf.DUMMYFUNCTION("""COMPUTED_VALUE"""),"Uncle Sams Cider (5/13/2022)")</f>
        <v>Uncle Sams Cider (5/13/2022)</v>
      </c>
      <c r="H9648" s="19"/>
    </row>
    <row r="9649">
      <c r="A9649" s="9"/>
      <c r="B9649" s="15"/>
      <c r="C9649" s="9">
        <f>IFERROR(__xludf.DUMMYFUNCTION("""COMPUTED_VALUE"""),44695.9788176273)</f>
        <v>44695.97882</v>
      </c>
      <c r="D9649" s="15">
        <f>IFERROR(__xludf.DUMMYFUNCTION("""COMPUTED_VALUE"""),1.106)</f>
        <v>1.106</v>
      </c>
      <c r="E9649" s="16">
        <f>IFERROR(__xludf.DUMMYFUNCTION("""COMPUTED_VALUE"""),65.0)</f>
        <v>65</v>
      </c>
      <c r="F9649" s="19" t="str">
        <f>IFERROR(__xludf.DUMMYFUNCTION("""COMPUTED_VALUE"""),"BLACK")</f>
        <v>BLACK</v>
      </c>
      <c r="G9649" s="20" t="str">
        <f>IFERROR(__xludf.DUMMYFUNCTION("""COMPUTED_VALUE"""),"Uncle Sams Cider (5/13/2022)")</f>
        <v>Uncle Sams Cider (5/13/2022)</v>
      </c>
      <c r="H9649" s="19"/>
    </row>
    <row r="9650">
      <c r="A9650" s="9"/>
      <c r="B9650" s="15"/>
      <c r="C9650" s="9">
        <f>IFERROR(__xludf.DUMMYFUNCTION("""COMPUTED_VALUE"""),44695.9683962962)</f>
        <v>44695.9684</v>
      </c>
      <c r="D9650" s="15">
        <f>IFERROR(__xludf.DUMMYFUNCTION("""COMPUTED_VALUE"""),1.106)</f>
        <v>1.106</v>
      </c>
      <c r="E9650" s="16">
        <f>IFERROR(__xludf.DUMMYFUNCTION("""COMPUTED_VALUE"""),65.0)</f>
        <v>65</v>
      </c>
      <c r="F9650" s="19" t="str">
        <f>IFERROR(__xludf.DUMMYFUNCTION("""COMPUTED_VALUE"""),"BLACK")</f>
        <v>BLACK</v>
      </c>
      <c r="G9650" s="20" t="str">
        <f>IFERROR(__xludf.DUMMYFUNCTION("""COMPUTED_VALUE"""),"Uncle Sams Cider (5/13/2022)")</f>
        <v>Uncle Sams Cider (5/13/2022)</v>
      </c>
      <c r="H9650" s="19"/>
    </row>
    <row r="9651">
      <c r="A9651" s="9"/>
      <c r="B9651" s="15"/>
      <c r="C9651" s="9">
        <f>IFERROR(__xludf.DUMMYFUNCTION("""COMPUTED_VALUE"""),44695.9579759722)</f>
        <v>44695.95798</v>
      </c>
      <c r="D9651" s="15">
        <f>IFERROR(__xludf.DUMMYFUNCTION("""COMPUTED_VALUE"""),1.106)</f>
        <v>1.106</v>
      </c>
      <c r="E9651" s="16">
        <f>IFERROR(__xludf.DUMMYFUNCTION("""COMPUTED_VALUE"""),65.0)</f>
        <v>65</v>
      </c>
      <c r="F9651" s="19" t="str">
        <f>IFERROR(__xludf.DUMMYFUNCTION("""COMPUTED_VALUE"""),"BLACK")</f>
        <v>BLACK</v>
      </c>
      <c r="G9651" s="20" t="str">
        <f>IFERROR(__xludf.DUMMYFUNCTION("""COMPUTED_VALUE"""),"Uncle Sams Cider (5/13/2022)")</f>
        <v>Uncle Sams Cider (5/13/2022)</v>
      </c>
      <c r="H9651" s="19"/>
    </row>
    <row r="9652">
      <c r="A9652" s="9"/>
      <c r="B9652" s="15"/>
      <c r="C9652" s="9">
        <f>IFERROR(__xludf.DUMMYFUNCTION("""COMPUTED_VALUE"""),44695.9475549884)</f>
        <v>44695.94755</v>
      </c>
      <c r="D9652" s="15">
        <f>IFERROR(__xludf.DUMMYFUNCTION("""COMPUTED_VALUE"""),1.106)</f>
        <v>1.106</v>
      </c>
      <c r="E9652" s="16">
        <f>IFERROR(__xludf.DUMMYFUNCTION("""COMPUTED_VALUE"""),65.0)</f>
        <v>65</v>
      </c>
      <c r="F9652" s="19" t="str">
        <f>IFERROR(__xludf.DUMMYFUNCTION("""COMPUTED_VALUE"""),"BLACK")</f>
        <v>BLACK</v>
      </c>
      <c r="G9652" s="20" t="str">
        <f>IFERROR(__xludf.DUMMYFUNCTION("""COMPUTED_VALUE"""),"Uncle Sams Cider (5/13/2022)")</f>
        <v>Uncle Sams Cider (5/13/2022)</v>
      </c>
      <c r="H9652" s="19"/>
    </row>
    <row r="9653">
      <c r="A9653" s="9"/>
      <c r="B9653" s="15"/>
      <c r="C9653" s="9">
        <f>IFERROR(__xludf.DUMMYFUNCTION("""COMPUTED_VALUE"""),44695.9371312152)</f>
        <v>44695.93713</v>
      </c>
      <c r="D9653" s="15">
        <f>IFERROR(__xludf.DUMMYFUNCTION("""COMPUTED_VALUE"""),1.106)</f>
        <v>1.106</v>
      </c>
      <c r="E9653" s="16">
        <f>IFERROR(__xludf.DUMMYFUNCTION("""COMPUTED_VALUE"""),65.0)</f>
        <v>65</v>
      </c>
      <c r="F9653" s="19" t="str">
        <f>IFERROR(__xludf.DUMMYFUNCTION("""COMPUTED_VALUE"""),"BLACK")</f>
        <v>BLACK</v>
      </c>
      <c r="G9653" s="20" t="str">
        <f>IFERROR(__xludf.DUMMYFUNCTION("""COMPUTED_VALUE"""),"Uncle Sams Cider (5/13/2022)")</f>
        <v>Uncle Sams Cider (5/13/2022)</v>
      </c>
      <c r="H9653" s="19"/>
    </row>
    <row r="9654">
      <c r="A9654" s="9"/>
      <c r="B9654" s="15"/>
      <c r="C9654" s="9">
        <f>IFERROR(__xludf.DUMMYFUNCTION("""COMPUTED_VALUE"""),44695.9266985301)</f>
        <v>44695.9267</v>
      </c>
      <c r="D9654" s="15">
        <f>IFERROR(__xludf.DUMMYFUNCTION("""COMPUTED_VALUE"""),1.106)</f>
        <v>1.106</v>
      </c>
      <c r="E9654" s="16">
        <f>IFERROR(__xludf.DUMMYFUNCTION("""COMPUTED_VALUE"""),65.0)</f>
        <v>65</v>
      </c>
      <c r="F9654" s="19" t="str">
        <f>IFERROR(__xludf.DUMMYFUNCTION("""COMPUTED_VALUE"""),"BLACK")</f>
        <v>BLACK</v>
      </c>
      <c r="G9654" s="20" t="str">
        <f>IFERROR(__xludf.DUMMYFUNCTION("""COMPUTED_VALUE"""),"Uncle Sams Cider (5/13/2022)")</f>
        <v>Uncle Sams Cider (5/13/2022)</v>
      </c>
      <c r="H9654" s="19"/>
    </row>
    <row r="9655">
      <c r="A9655" s="9"/>
      <c r="B9655" s="15"/>
      <c r="C9655" s="9">
        <f>IFERROR(__xludf.DUMMYFUNCTION("""COMPUTED_VALUE"""),44695.9162772453)</f>
        <v>44695.91628</v>
      </c>
      <c r="D9655" s="15">
        <f>IFERROR(__xludf.DUMMYFUNCTION("""COMPUTED_VALUE"""),1.106)</f>
        <v>1.106</v>
      </c>
      <c r="E9655" s="16">
        <f>IFERROR(__xludf.DUMMYFUNCTION("""COMPUTED_VALUE"""),65.0)</f>
        <v>65</v>
      </c>
      <c r="F9655" s="19" t="str">
        <f>IFERROR(__xludf.DUMMYFUNCTION("""COMPUTED_VALUE"""),"BLACK")</f>
        <v>BLACK</v>
      </c>
      <c r="G9655" s="20" t="str">
        <f>IFERROR(__xludf.DUMMYFUNCTION("""COMPUTED_VALUE"""),"Uncle Sams Cider (5/13/2022)")</f>
        <v>Uncle Sams Cider (5/13/2022)</v>
      </c>
      <c r="H9655" s="19"/>
    </row>
    <row r="9656">
      <c r="A9656" s="9"/>
      <c r="B9656" s="15"/>
      <c r="C9656" s="9">
        <f>IFERROR(__xludf.DUMMYFUNCTION("""COMPUTED_VALUE"""),44695.9058564236)</f>
        <v>44695.90586</v>
      </c>
      <c r="D9656" s="15">
        <f>IFERROR(__xludf.DUMMYFUNCTION("""COMPUTED_VALUE"""),1.106)</f>
        <v>1.106</v>
      </c>
      <c r="E9656" s="16">
        <f>IFERROR(__xludf.DUMMYFUNCTION("""COMPUTED_VALUE"""),65.0)</f>
        <v>65</v>
      </c>
      <c r="F9656" s="19" t="str">
        <f>IFERROR(__xludf.DUMMYFUNCTION("""COMPUTED_VALUE"""),"BLACK")</f>
        <v>BLACK</v>
      </c>
      <c r="G9656" s="20" t="str">
        <f>IFERROR(__xludf.DUMMYFUNCTION("""COMPUTED_VALUE"""),"Uncle Sams Cider (5/13/2022)")</f>
        <v>Uncle Sams Cider (5/13/2022)</v>
      </c>
      <c r="H9656" s="19"/>
    </row>
    <row r="9657">
      <c r="A9657" s="9"/>
      <c r="B9657" s="15"/>
      <c r="C9657" s="9">
        <f>IFERROR(__xludf.DUMMYFUNCTION("""COMPUTED_VALUE"""),44695.8954116898)</f>
        <v>44695.89541</v>
      </c>
      <c r="D9657" s="15">
        <f>IFERROR(__xludf.DUMMYFUNCTION("""COMPUTED_VALUE"""),1.106)</f>
        <v>1.106</v>
      </c>
      <c r="E9657" s="16">
        <f>IFERROR(__xludf.DUMMYFUNCTION("""COMPUTED_VALUE"""),65.0)</f>
        <v>65</v>
      </c>
      <c r="F9657" s="19" t="str">
        <f>IFERROR(__xludf.DUMMYFUNCTION("""COMPUTED_VALUE"""),"BLACK")</f>
        <v>BLACK</v>
      </c>
      <c r="G9657" s="20" t="str">
        <f>IFERROR(__xludf.DUMMYFUNCTION("""COMPUTED_VALUE"""),"Uncle Sams Cider (5/13/2022)")</f>
        <v>Uncle Sams Cider (5/13/2022)</v>
      </c>
      <c r="H9657" s="19"/>
    </row>
    <row r="9658">
      <c r="A9658" s="9"/>
      <c r="B9658" s="15"/>
      <c r="C9658" s="9">
        <f>IFERROR(__xludf.DUMMYFUNCTION("""COMPUTED_VALUE"""),44695.8849907754)</f>
        <v>44695.88499</v>
      </c>
      <c r="D9658" s="15">
        <f>IFERROR(__xludf.DUMMYFUNCTION("""COMPUTED_VALUE"""),1.106)</f>
        <v>1.106</v>
      </c>
      <c r="E9658" s="16">
        <f>IFERROR(__xludf.DUMMYFUNCTION("""COMPUTED_VALUE"""),65.0)</f>
        <v>65</v>
      </c>
      <c r="F9658" s="19" t="str">
        <f>IFERROR(__xludf.DUMMYFUNCTION("""COMPUTED_VALUE"""),"BLACK")</f>
        <v>BLACK</v>
      </c>
      <c r="G9658" s="20" t="str">
        <f>IFERROR(__xludf.DUMMYFUNCTION("""COMPUTED_VALUE"""),"Uncle Sams Cider (5/13/2022)")</f>
        <v>Uncle Sams Cider (5/13/2022)</v>
      </c>
      <c r="H9658" s="19"/>
    </row>
    <row r="9659">
      <c r="A9659" s="9"/>
      <c r="B9659" s="15"/>
      <c r="C9659" s="9">
        <f>IFERROR(__xludf.DUMMYFUNCTION("""COMPUTED_VALUE"""),44695.8745695601)</f>
        <v>44695.87457</v>
      </c>
      <c r="D9659" s="15">
        <f>IFERROR(__xludf.DUMMYFUNCTION("""COMPUTED_VALUE"""),1.106)</f>
        <v>1.106</v>
      </c>
      <c r="E9659" s="16">
        <f>IFERROR(__xludf.DUMMYFUNCTION("""COMPUTED_VALUE"""),65.0)</f>
        <v>65</v>
      </c>
      <c r="F9659" s="19" t="str">
        <f>IFERROR(__xludf.DUMMYFUNCTION("""COMPUTED_VALUE"""),"BLACK")</f>
        <v>BLACK</v>
      </c>
      <c r="G9659" s="20" t="str">
        <f>IFERROR(__xludf.DUMMYFUNCTION("""COMPUTED_VALUE"""),"Uncle Sams Cider (5/13/2022)")</f>
        <v>Uncle Sams Cider (5/13/2022)</v>
      </c>
      <c r="H9659" s="19"/>
    </row>
    <row r="9660">
      <c r="A9660" s="9"/>
      <c r="B9660" s="15"/>
      <c r="C9660" s="9">
        <f>IFERROR(__xludf.DUMMYFUNCTION("""COMPUTED_VALUE"""),44695.8641480208)</f>
        <v>44695.86415</v>
      </c>
      <c r="D9660" s="15">
        <f>IFERROR(__xludf.DUMMYFUNCTION("""COMPUTED_VALUE"""),1.106)</f>
        <v>1.106</v>
      </c>
      <c r="E9660" s="16">
        <f>IFERROR(__xludf.DUMMYFUNCTION("""COMPUTED_VALUE"""),65.0)</f>
        <v>65</v>
      </c>
      <c r="F9660" s="19" t="str">
        <f>IFERROR(__xludf.DUMMYFUNCTION("""COMPUTED_VALUE"""),"BLACK")</f>
        <v>BLACK</v>
      </c>
      <c r="G9660" s="20" t="str">
        <f>IFERROR(__xludf.DUMMYFUNCTION("""COMPUTED_VALUE"""),"Uncle Sams Cider (5/13/2022)")</f>
        <v>Uncle Sams Cider (5/13/2022)</v>
      </c>
      <c r="H9660" s="19"/>
    </row>
    <row r="9661">
      <c r="A9661" s="9"/>
      <c r="B9661" s="15"/>
      <c r="C9661" s="9">
        <f>IFERROR(__xludf.DUMMYFUNCTION("""COMPUTED_VALUE"""),44695.8537259953)</f>
        <v>44695.85373</v>
      </c>
      <c r="D9661" s="15">
        <f>IFERROR(__xludf.DUMMYFUNCTION("""COMPUTED_VALUE"""),1.106)</f>
        <v>1.106</v>
      </c>
      <c r="E9661" s="16">
        <f>IFERROR(__xludf.DUMMYFUNCTION("""COMPUTED_VALUE"""),65.0)</f>
        <v>65</v>
      </c>
      <c r="F9661" s="19" t="str">
        <f>IFERROR(__xludf.DUMMYFUNCTION("""COMPUTED_VALUE"""),"BLACK")</f>
        <v>BLACK</v>
      </c>
      <c r="G9661" s="20" t="str">
        <f>IFERROR(__xludf.DUMMYFUNCTION("""COMPUTED_VALUE"""),"Uncle Sams Cider (5/13/2022)")</f>
        <v>Uncle Sams Cider (5/13/2022)</v>
      </c>
      <c r="H9661" s="19"/>
    </row>
    <row r="9662">
      <c r="A9662" s="9"/>
      <c r="B9662" s="15"/>
      <c r="C9662" s="9">
        <f>IFERROR(__xludf.DUMMYFUNCTION("""COMPUTED_VALUE"""),44695.8433048842)</f>
        <v>44695.8433</v>
      </c>
      <c r="D9662" s="15">
        <f>IFERROR(__xludf.DUMMYFUNCTION("""COMPUTED_VALUE"""),1.106)</f>
        <v>1.106</v>
      </c>
      <c r="E9662" s="16">
        <f>IFERROR(__xludf.DUMMYFUNCTION("""COMPUTED_VALUE"""),65.0)</f>
        <v>65</v>
      </c>
      <c r="F9662" s="19" t="str">
        <f>IFERROR(__xludf.DUMMYFUNCTION("""COMPUTED_VALUE"""),"BLACK")</f>
        <v>BLACK</v>
      </c>
      <c r="G9662" s="20" t="str">
        <f>IFERROR(__xludf.DUMMYFUNCTION("""COMPUTED_VALUE"""),"Uncle Sams Cider (5/13/2022)")</f>
        <v>Uncle Sams Cider (5/13/2022)</v>
      </c>
      <c r="H9662" s="19"/>
    </row>
    <row r="9663">
      <c r="A9663" s="9"/>
      <c r="B9663" s="15"/>
      <c r="C9663" s="9">
        <f>IFERROR(__xludf.DUMMYFUNCTION("""COMPUTED_VALUE"""),44695.8328849768)</f>
        <v>44695.83288</v>
      </c>
      <c r="D9663" s="15">
        <f>IFERROR(__xludf.DUMMYFUNCTION("""COMPUTED_VALUE"""),1.106)</f>
        <v>1.106</v>
      </c>
      <c r="E9663" s="16">
        <f>IFERROR(__xludf.DUMMYFUNCTION("""COMPUTED_VALUE"""),65.0)</f>
        <v>65</v>
      </c>
      <c r="F9663" s="19" t="str">
        <f>IFERROR(__xludf.DUMMYFUNCTION("""COMPUTED_VALUE"""),"BLACK")</f>
        <v>BLACK</v>
      </c>
      <c r="G9663" s="20" t="str">
        <f>IFERROR(__xludf.DUMMYFUNCTION("""COMPUTED_VALUE"""),"Uncle Sams Cider (5/13/2022)")</f>
        <v>Uncle Sams Cider (5/13/2022)</v>
      </c>
      <c r="H9663" s="19"/>
    </row>
    <row r="9664">
      <c r="A9664" s="9"/>
      <c r="B9664" s="15"/>
      <c r="C9664" s="9">
        <f>IFERROR(__xludf.DUMMYFUNCTION("""COMPUTED_VALUE"""),44695.822464618)</f>
        <v>44695.82246</v>
      </c>
      <c r="D9664" s="15">
        <f>IFERROR(__xludf.DUMMYFUNCTION("""COMPUTED_VALUE"""),1.106)</f>
        <v>1.106</v>
      </c>
      <c r="E9664" s="16">
        <f>IFERROR(__xludf.DUMMYFUNCTION("""COMPUTED_VALUE"""),65.0)</f>
        <v>65</v>
      </c>
      <c r="F9664" s="19" t="str">
        <f>IFERROR(__xludf.DUMMYFUNCTION("""COMPUTED_VALUE"""),"BLACK")</f>
        <v>BLACK</v>
      </c>
      <c r="G9664" s="20" t="str">
        <f>IFERROR(__xludf.DUMMYFUNCTION("""COMPUTED_VALUE"""),"Uncle Sams Cider (5/13/2022)")</f>
        <v>Uncle Sams Cider (5/13/2022)</v>
      </c>
      <c r="H9664" s="19"/>
    </row>
    <row r="9665">
      <c r="A9665" s="9"/>
      <c r="B9665" s="15"/>
      <c r="C9665" s="9">
        <f>IFERROR(__xludf.DUMMYFUNCTION("""COMPUTED_VALUE"""),44695.8120324537)</f>
        <v>44695.81203</v>
      </c>
      <c r="D9665" s="15">
        <f>IFERROR(__xludf.DUMMYFUNCTION("""COMPUTED_VALUE"""),1.107)</f>
        <v>1.107</v>
      </c>
      <c r="E9665" s="16">
        <f>IFERROR(__xludf.DUMMYFUNCTION("""COMPUTED_VALUE"""),65.0)</f>
        <v>65</v>
      </c>
      <c r="F9665" s="19" t="str">
        <f>IFERROR(__xludf.DUMMYFUNCTION("""COMPUTED_VALUE"""),"BLACK")</f>
        <v>BLACK</v>
      </c>
      <c r="G9665" s="20" t="str">
        <f>IFERROR(__xludf.DUMMYFUNCTION("""COMPUTED_VALUE"""),"Uncle Sams Cider (5/13/2022)")</f>
        <v>Uncle Sams Cider (5/13/2022)</v>
      </c>
      <c r="H9665" s="19"/>
    </row>
    <row r="9666">
      <c r="A9666" s="9"/>
      <c r="B9666" s="15"/>
      <c r="C9666" s="9">
        <f>IFERROR(__xludf.DUMMYFUNCTION("""COMPUTED_VALUE"""),44695.8016118287)</f>
        <v>44695.80161</v>
      </c>
      <c r="D9666" s="15">
        <f>IFERROR(__xludf.DUMMYFUNCTION("""COMPUTED_VALUE"""),1.107)</f>
        <v>1.107</v>
      </c>
      <c r="E9666" s="16">
        <f>IFERROR(__xludf.DUMMYFUNCTION("""COMPUTED_VALUE"""),65.0)</f>
        <v>65</v>
      </c>
      <c r="F9666" s="19" t="str">
        <f>IFERROR(__xludf.DUMMYFUNCTION("""COMPUTED_VALUE"""),"BLACK")</f>
        <v>BLACK</v>
      </c>
      <c r="G9666" s="20" t="str">
        <f>IFERROR(__xludf.DUMMYFUNCTION("""COMPUTED_VALUE"""),"Uncle Sams Cider (5/13/2022)")</f>
        <v>Uncle Sams Cider (5/13/2022)</v>
      </c>
      <c r="H9666" s="19"/>
    </row>
    <row r="9667">
      <c r="A9667" s="9"/>
      <c r="B9667" s="15"/>
      <c r="C9667" s="9">
        <f>IFERROR(__xludf.DUMMYFUNCTION("""COMPUTED_VALUE"""),44695.7911905092)</f>
        <v>44695.79119</v>
      </c>
      <c r="D9667" s="15">
        <f>IFERROR(__xludf.DUMMYFUNCTION("""COMPUTED_VALUE"""),1.106)</f>
        <v>1.106</v>
      </c>
      <c r="E9667" s="16">
        <f>IFERROR(__xludf.DUMMYFUNCTION("""COMPUTED_VALUE"""),65.0)</f>
        <v>65</v>
      </c>
      <c r="F9667" s="19" t="str">
        <f>IFERROR(__xludf.DUMMYFUNCTION("""COMPUTED_VALUE"""),"BLACK")</f>
        <v>BLACK</v>
      </c>
      <c r="G9667" s="20" t="str">
        <f>IFERROR(__xludf.DUMMYFUNCTION("""COMPUTED_VALUE"""),"Uncle Sams Cider (5/13/2022)")</f>
        <v>Uncle Sams Cider (5/13/2022)</v>
      </c>
      <c r="H9667" s="19"/>
    </row>
    <row r="9668">
      <c r="A9668" s="9"/>
      <c r="B9668" s="15"/>
      <c r="C9668" s="9">
        <f>IFERROR(__xludf.DUMMYFUNCTION("""COMPUTED_VALUE"""),44695.7807696527)</f>
        <v>44695.78077</v>
      </c>
      <c r="D9668" s="15">
        <f>IFERROR(__xludf.DUMMYFUNCTION("""COMPUTED_VALUE"""),1.106)</f>
        <v>1.106</v>
      </c>
      <c r="E9668" s="16">
        <f>IFERROR(__xludf.DUMMYFUNCTION("""COMPUTED_VALUE"""),65.0)</f>
        <v>65</v>
      </c>
      <c r="F9668" s="19" t="str">
        <f>IFERROR(__xludf.DUMMYFUNCTION("""COMPUTED_VALUE"""),"BLACK")</f>
        <v>BLACK</v>
      </c>
      <c r="G9668" s="20" t="str">
        <f>IFERROR(__xludf.DUMMYFUNCTION("""COMPUTED_VALUE"""),"Uncle Sams Cider (5/13/2022)")</f>
        <v>Uncle Sams Cider (5/13/2022)</v>
      </c>
      <c r="H9668" s="19"/>
    </row>
    <row r="9669">
      <c r="A9669" s="9"/>
      <c r="B9669" s="15"/>
      <c r="C9669" s="9">
        <f>IFERROR(__xludf.DUMMYFUNCTION("""COMPUTED_VALUE"""),44695.7703493518)</f>
        <v>44695.77035</v>
      </c>
      <c r="D9669" s="15">
        <f>IFERROR(__xludf.DUMMYFUNCTION("""COMPUTED_VALUE"""),1.106)</f>
        <v>1.106</v>
      </c>
      <c r="E9669" s="16">
        <f>IFERROR(__xludf.DUMMYFUNCTION("""COMPUTED_VALUE"""),65.0)</f>
        <v>65</v>
      </c>
      <c r="F9669" s="19" t="str">
        <f>IFERROR(__xludf.DUMMYFUNCTION("""COMPUTED_VALUE"""),"BLACK")</f>
        <v>BLACK</v>
      </c>
      <c r="G9669" s="20" t="str">
        <f>IFERROR(__xludf.DUMMYFUNCTION("""COMPUTED_VALUE"""),"Uncle Sams Cider (5/13/2022)")</f>
        <v>Uncle Sams Cider (5/13/2022)</v>
      </c>
      <c r="H9669" s="19"/>
    </row>
    <row r="9670">
      <c r="A9670" s="9"/>
      <c r="B9670" s="15"/>
      <c r="C9670" s="9">
        <f>IFERROR(__xludf.DUMMYFUNCTION("""COMPUTED_VALUE"""),44695.7599293865)</f>
        <v>44695.75993</v>
      </c>
      <c r="D9670" s="15">
        <f>IFERROR(__xludf.DUMMYFUNCTION("""COMPUTED_VALUE"""),1.106)</f>
        <v>1.106</v>
      </c>
      <c r="E9670" s="16">
        <f>IFERROR(__xludf.DUMMYFUNCTION("""COMPUTED_VALUE"""),65.0)</f>
        <v>65</v>
      </c>
      <c r="F9670" s="19" t="str">
        <f>IFERROR(__xludf.DUMMYFUNCTION("""COMPUTED_VALUE"""),"BLACK")</f>
        <v>BLACK</v>
      </c>
      <c r="G9670" s="20" t="str">
        <f>IFERROR(__xludf.DUMMYFUNCTION("""COMPUTED_VALUE"""),"Uncle Sams Cider (5/13/2022)")</f>
        <v>Uncle Sams Cider (5/13/2022)</v>
      </c>
      <c r="H9670" s="19"/>
    </row>
    <row r="9671">
      <c r="A9671" s="9"/>
      <c r="B9671" s="15"/>
      <c r="C9671" s="9">
        <f>IFERROR(__xludf.DUMMYFUNCTION("""COMPUTED_VALUE"""),44695.7495078356)</f>
        <v>44695.74951</v>
      </c>
      <c r="D9671" s="15">
        <f>IFERROR(__xludf.DUMMYFUNCTION("""COMPUTED_VALUE"""),1.106)</f>
        <v>1.106</v>
      </c>
      <c r="E9671" s="16">
        <f>IFERROR(__xludf.DUMMYFUNCTION("""COMPUTED_VALUE"""),65.0)</f>
        <v>65</v>
      </c>
      <c r="F9671" s="19" t="str">
        <f>IFERROR(__xludf.DUMMYFUNCTION("""COMPUTED_VALUE"""),"BLACK")</f>
        <v>BLACK</v>
      </c>
      <c r="G9671" s="20" t="str">
        <f>IFERROR(__xludf.DUMMYFUNCTION("""COMPUTED_VALUE"""),"Uncle Sams Cider (5/13/2022)")</f>
        <v>Uncle Sams Cider (5/13/2022)</v>
      </c>
      <c r="H9671" s="19"/>
    </row>
    <row r="9672">
      <c r="A9672" s="9"/>
      <c r="B9672" s="15"/>
      <c r="C9672" s="9">
        <f>IFERROR(__xludf.DUMMYFUNCTION("""COMPUTED_VALUE"""),44695.7390871412)</f>
        <v>44695.73909</v>
      </c>
      <c r="D9672" s="15">
        <f>IFERROR(__xludf.DUMMYFUNCTION("""COMPUTED_VALUE"""),1.107)</f>
        <v>1.107</v>
      </c>
      <c r="E9672" s="16">
        <f>IFERROR(__xludf.DUMMYFUNCTION("""COMPUTED_VALUE"""),65.0)</f>
        <v>65</v>
      </c>
      <c r="F9672" s="19" t="str">
        <f>IFERROR(__xludf.DUMMYFUNCTION("""COMPUTED_VALUE"""),"BLACK")</f>
        <v>BLACK</v>
      </c>
      <c r="G9672" s="20" t="str">
        <f>IFERROR(__xludf.DUMMYFUNCTION("""COMPUTED_VALUE"""),"Uncle Sams Cider (5/13/2022)")</f>
        <v>Uncle Sams Cider (5/13/2022)</v>
      </c>
      <c r="H9672" s="19"/>
    </row>
    <row r="9673">
      <c r="A9673" s="9"/>
      <c r="B9673" s="15"/>
      <c r="C9673" s="9">
        <f>IFERROR(__xludf.DUMMYFUNCTION("""COMPUTED_VALUE"""),44695.7286675231)</f>
        <v>44695.72867</v>
      </c>
      <c r="D9673" s="15">
        <f>IFERROR(__xludf.DUMMYFUNCTION("""COMPUTED_VALUE"""),1.107)</f>
        <v>1.107</v>
      </c>
      <c r="E9673" s="16">
        <f>IFERROR(__xludf.DUMMYFUNCTION("""COMPUTED_VALUE"""),64.0)</f>
        <v>64</v>
      </c>
      <c r="F9673" s="19" t="str">
        <f>IFERROR(__xludf.DUMMYFUNCTION("""COMPUTED_VALUE"""),"BLACK")</f>
        <v>BLACK</v>
      </c>
      <c r="G9673" s="20" t="str">
        <f>IFERROR(__xludf.DUMMYFUNCTION("""COMPUTED_VALUE"""),"Uncle Sams Cider (5/13/2022)")</f>
        <v>Uncle Sams Cider (5/13/2022)</v>
      </c>
      <c r="H9673" s="19"/>
    </row>
    <row r="9674">
      <c r="A9674" s="9"/>
      <c r="B9674" s="15"/>
      <c r="C9674" s="9">
        <f>IFERROR(__xludf.DUMMYFUNCTION("""COMPUTED_VALUE"""),44695.7182462384)</f>
        <v>44695.71825</v>
      </c>
      <c r="D9674" s="15">
        <f>IFERROR(__xludf.DUMMYFUNCTION("""COMPUTED_VALUE"""),1.107)</f>
        <v>1.107</v>
      </c>
      <c r="E9674" s="16">
        <f>IFERROR(__xludf.DUMMYFUNCTION("""COMPUTED_VALUE"""),64.0)</f>
        <v>64</v>
      </c>
      <c r="F9674" s="19" t="str">
        <f>IFERROR(__xludf.DUMMYFUNCTION("""COMPUTED_VALUE"""),"BLACK")</f>
        <v>BLACK</v>
      </c>
      <c r="G9674" s="20" t="str">
        <f>IFERROR(__xludf.DUMMYFUNCTION("""COMPUTED_VALUE"""),"Uncle Sams Cider (5/13/2022)")</f>
        <v>Uncle Sams Cider (5/13/2022)</v>
      </c>
      <c r="H9674" s="19"/>
    </row>
    <row r="9675">
      <c r="A9675" s="9"/>
      <c r="B9675" s="15"/>
      <c r="C9675" s="9">
        <f>IFERROR(__xludf.DUMMYFUNCTION("""COMPUTED_VALUE"""),44695.707824375)</f>
        <v>44695.70782</v>
      </c>
      <c r="D9675" s="15">
        <f>IFERROR(__xludf.DUMMYFUNCTION("""COMPUTED_VALUE"""),1.107)</f>
        <v>1.107</v>
      </c>
      <c r="E9675" s="16">
        <f>IFERROR(__xludf.DUMMYFUNCTION("""COMPUTED_VALUE"""),64.0)</f>
        <v>64</v>
      </c>
      <c r="F9675" s="19" t="str">
        <f>IFERROR(__xludf.DUMMYFUNCTION("""COMPUTED_VALUE"""),"BLACK")</f>
        <v>BLACK</v>
      </c>
      <c r="G9675" s="20" t="str">
        <f>IFERROR(__xludf.DUMMYFUNCTION("""COMPUTED_VALUE"""),"Uncle Sams Cider (5/13/2022)")</f>
        <v>Uncle Sams Cider (5/13/2022)</v>
      </c>
      <c r="H9675" s="19"/>
    </row>
    <row r="9676">
      <c r="A9676" s="9"/>
      <c r="B9676" s="15"/>
      <c r="C9676" s="9">
        <f>IFERROR(__xludf.DUMMYFUNCTION("""COMPUTED_VALUE"""),44695.6973820023)</f>
        <v>44695.69738</v>
      </c>
      <c r="D9676" s="15">
        <f>IFERROR(__xludf.DUMMYFUNCTION("""COMPUTED_VALUE"""),1.107)</f>
        <v>1.107</v>
      </c>
      <c r="E9676" s="16">
        <f>IFERROR(__xludf.DUMMYFUNCTION("""COMPUTED_VALUE"""),64.0)</f>
        <v>64</v>
      </c>
      <c r="F9676" s="19" t="str">
        <f>IFERROR(__xludf.DUMMYFUNCTION("""COMPUTED_VALUE"""),"BLACK")</f>
        <v>BLACK</v>
      </c>
      <c r="G9676" s="20" t="str">
        <f>IFERROR(__xludf.DUMMYFUNCTION("""COMPUTED_VALUE"""),"Uncle Sams Cider (5/13/2022)")</f>
        <v>Uncle Sams Cider (5/13/2022)</v>
      </c>
      <c r="H9676" s="19"/>
    </row>
    <row r="9677">
      <c r="A9677" s="9"/>
      <c r="B9677" s="15"/>
      <c r="C9677" s="9">
        <f>IFERROR(__xludf.DUMMYFUNCTION("""COMPUTED_VALUE"""),44695.6869617708)</f>
        <v>44695.68696</v>
      </c>
      <c r="D9677" s="15">
        <f>IFERROR(__xludf.DUMMYFUNCTION("""COMPUTED_VALUE"""),1.108)</f>
        <v>1.108</v>
      </c>
      <c r="E9677" s="16">
        <f>IFERROR(__xludf.DUMMYFUNCTION("""COMPUTED_VALUE"""),65.0)</f>
        <v>65</v>
      </c>
      <c r="F9677" s="19" t="str">
        <f>IFERROR(__xludf.DUMMYFUNCTION("""COMPUTED_VALUE"""),"BLACK")</f>
        <v>BLACK</v>
      </c>
      <c r="G9677" s="20" t="str">
        <f>IFERROR(__xludf.DUMMYFUNCTION("""COMPUTED_VALUE"""),"Uncle Sams Cider (5/13/2022)")</f>
        <v>Uncle Sams Cider (5/13/2022)</v>
      </c>
      <c r="H9677" s="19"/>
    </row>
    <row r="9678">
      <c r="A9678" s="9"/>
      <c r="B9678" s="15"/>
      <c r="C9678" s="9">
        <f>IFERROR(__xludf.DUMMYFUNCTION("""COMPUTED_VALUE"""),44695.6765289699)</f>
        <v>44695.67653</v>
      </c>
      <c r="D9678" s="15">
        <f>IFERROR(__xludf.DUMMYFUNCTION("""COMPUTED_VALUE"""),1.108)</f>
        <v>1.108</v>
      </c>
      <c r="E9678" s="16">
        <f>IFERROR(__xludf.DUMMYFUNCTION("""COMPUTED_VALUE"""),65.0)</f>
        <v>65</v>
      </c>
      <c r="F9678" s="19" t="str">
        <f>IFERROR(__xludf.DUMMYFUNCTION("""COMPUTED_VALUE"""),"BLACK")</f>
        <v>BLACK</v>
      </c>
      <c r="G9678" s="20" t="str">
        <f>IFERROR(__xludf.DUMMYFUNCTION("""COMPUTED_VALUE"""),"Uncle Sams Cider (5/13/2022)")</f>
        <v>Uncle Sams Cider (5/13/2022)</v>
      </c>
      <c r="H9678" s="19"/>
    </row>
    <row r="9679">
      <c r="A9679" s="9"/>
      <c r="B9679" s="15"/>
      <c r="C9679" s="9">
        <f>IFERROR(__xludf.DUMMYFUNCTION("""COMPUTED_VALUE"""),44695.666106493)</f>
        <v>44695.66611</v>
      </c>
      <c r="D9679" s="15">
        <f>IFERROR(__xludf.DUMMYFUNCTION("""COMPUTED_VALUE"""),1.108)</f>
        <v>1.108</v>
      </c>
      <c r="E9679" s="16">
        <f>IFERROR(__xludf.DUMMYFUNCTION("""COMPUTED_VALUE"""),65.0)</f>
        <v>65</v>
      </c>
      <c r="F9679" s="19" t="str">
        <f>IFERROR(__xludf.DUMMYFUNCTION("""COMPUTED_VALUE"""),"BLACK")</f>
        <v>BLACK</v>
      </c>
      <c r="G9679" s="20" t="str">
        <f>IFERROR(__xludf.DUMMYFUNCTION("""COMPUTED_VALUE"""),"Uncle Sams Cider (5/13/2022)")</f>
        <v>Uncle Sams Cider (5/13/2022)</v>
      </c>
      <c r="H9679" s="19"/>
    </row>
    <row r="9680">
      <c r="A9680" s="9"/>
      <c r="B9680" s="15"/>
      <c r="C9680" s="9">
        <f>IFERROR(__xludf.DUMMYFUNCTION("""COMPUTED_VALUE"""),44695.6556734838)</f>
        <v>44695.65567</v>
      </c>
      <c r="D9680" s="15">
        <f>IFERROR(__xludf.DUMMYFUNCTION("""COMPUTED_VALUE"""),1.108)</f>
        <v>1.108</v>
      </c>
      <c r="E9680" s="16">
        <f>IFERROR(__xludf.DUMMYFUNCTION("""COMPUTED_VALUE"""),65.0)</f>
        <v>65</v>
      </c>
      <c r="F9680" s="19" t="str">
        <f>IFERROR(__xludf.DUMMYFUNCTION("""COMPUTED_VALUE"""),"BLACK")</f>
        <v>BLACK</v>
      </c>
      <c r="G9680" s="20" t="str">
        <f>IFERROR(__xludf.DUMMYFUNCTION("""COMPUTED_VALUE"""),"Uncle Sams Cider (5/13/2022)")</f>
        <v>Uncle Sams Cider (5/13/2022)</v>
      </c>
      <c r="H9680" s="19"/>
    </row>
    <row r="9681">
      <c r="A9681" s="9"/>
      <c r="B9681" s="15"/>
      <c r="C9681" s="9">
        <f>IFERROR(__xludf.DUMMYFUNCTION("""COMPUTED_VALUE"""),44695.6452528703)</f>
        <v>44695.64525</v>
      </c>
      <c r="D9681" s="15">
        <f>IFERROR(__xludf.DUMMYFUNCTION("""COMPUTED_VALUE"""),1.108)</f>
        <v>1.108</v>
      </c>
      <c r="E9681" s="16">
        <f>IFERROR(__xludf.DUMMYFUNCTION("""COMPUTED_VALUE"""),65.0)</f>
        <v>65</v>
      </c>
      <c r="F9681" s="19" t="str">
        <f>IFERROR(__xludf.DUMMYFUNCTION("""COMPUTED_VALUE"""),"BLACK")</f>
        <v>BLACK</v>
      </c>
      <c r="G9681" s="20" t="str">
        <f>IFERROR(__xludf.DUMMYFUNCTION("""COMPUTED_VALUE"""),"Uncle Sams Cider (5/13/2022)")</f>
        <v>Uncle Sams Cider (5/13/2022)</v>
      </c>
      <c r="H9681" s="19"/>
    </row>
    <row r="9682">
      <c r="A9682" s="9"/>
      <c r="B9682" s="15"/>
      <c r="C9682" s="9">
        <f>IFERROR(__xludf.DUMMYFUNCTION("""COMPUTED_VALUE"""),44695.6348298958)</f>
        <v>44695.63483</v>
      </c>
      <c r="D9682" s="15">
        <f>IFERROR(__xludf.DUMMYFUNCTION("""COMPUTED_VALUE"""),1.107)</f>
        <v>1.107</v>
      </c>
      <c r="E9682" s="16">
        <f>IFERROR(__xludf.DUMMYFUNCTION("""COMPUTED_VALUE"""),65.0)</f>
        <v>65</v>
      </c>
      <c r="F9682" s="19" t="str">
        <f>IFERROR(__xludf.DUMMYFUNCTION("""COMPUTED_VALUE"""),"BLACK")</f>
        <v>BLACK</v>
      </c>
      <c r="G9682" s="20" t="str">
        <f>IFERROR(__xludf.DUMMYFUNCTION("""COMPUTED_VALUE"""),"Uncle Sams Cider (5/13/2022)")</f>
        <v>Uncle Sams Cider (5/13/2022)</v>
      </c>
      <c r="H9682" s="19"/>
    </row>
    <row r="9683">
      <c r="A9683" s="9"/>
      <c r="B9683" s="15"/>
      <c r="C9683" s="9">
        <f>IFERROR(__xludf.DUMMYFUNCTION("""COMPUTED_VALUE"""),44695.624409456)</f>
        <v>44695.62441</v>
      </c>
      <c r="D9683" s="15">
        <f>IFERROR(__xludf.DUMMYFUNCTION("""COMPUTED_VALUE"""),1.107)</f>
        <v>1.107</v>
      </c>
      <c r="E9683" s="16">
        <f>IFERROR(__xludf.DUMMYFUNCTION("""COMPUTED_VALUE"""),65.0)</f>
        <v>65</v>
      </c>
      <c r="F9683" s="19" t="str">
        <f>IFERROR(__xludf.DUMMYFUNCTION("""COMPUTED_VALUE"""),"BLACK")</f>
        <v>BLACK</v>
      </c>
      <c r="G9683" s="20" t="str">
        <f>IFERROR(__xludf.DUMMYFUNCTION("""COMPUTED_VALUE"""),"Uncle Sams Cider (5/13/2022)")</f>
        <v>Uncle Sams Cider (5/13/2022)</v>
      </c>
      <c r="H9683" s="19"/>
    </row>
    <row r="9684">
      <c r="A9684" s="9"/>
      <c r="B9684" s="15"/>
      <c r="C9684" s="9">
        <f>IFERROR(__xludf.DUMMYFUNCTION("""COMPUTED_VALUE"""),44695.6139879745)</f>
        <v>44695.61399</v>
      </c>
      <c r="D9684" s="15">
        <f>IFERROR(__xludf.DUMMYFUNCTION("""COMPUTED_VALUE"""),1.107)</f>
        <v>1.107</v>
      </c>
      <c r="E9684" s="16">
        <f>IFERROR(__xludf.DUMMYFUNCTION("""COMPUTED_VALUE"""),65.0)</f>
        <v>65</v>
      </c>
      <c r="F9684" s="19" t="str">
        <f>IFERROR(__xludf.DUMMYFUNCTION("""COMPUTED_VALUE"""),"BLACK")</f>
        <v>BLACK</v>
      </c>
      <c r="G9684" s="20" t="str">
        <f>IFERROR(__xludf.DUMMYFUNCTION("""COMPUTED_VALUE"""),"Uncle Sams Cider (5/13/2022)")</f>
        <v>Uncle Sams Cider (5/13/2022)</v>
      </c>
      <c r="H9684" s="19"/>
    </row>
    <row r="9685">
      <c r="A9685" s="9"/>
      <c r="B9685" s="15"/>
      <c r="C9685" s="9">
        <f>IFERROR(__xludf.DUMMYFUNCTION("""COMPUTED_VALUE"""),44695.603565706)</f>
        <v>44695.60357</v>
      </c>
      <c r="D9685" s="15">
        <f>IFERROR(__xludf.DUMMYFUNCTION("""COMPUTED_VALUE"""),1.107)</f>
        <v>1.107</v>
      </c>
      <c r="E9685" s="16">
        <f>IFERROR(__xludf.DUMMYFUNCTION("""COMPUTED_VALUE"""),65.0)</f>
        <v>65</v>
      </c>
      <c r="F9685" s="19" t="str">
        <f>IFERROR(__xludf.DUMMYFUNCTION("""COMPUTED_VALUE"""),"BLACK")</f>
        <v>BLACK</v>
      </c>
      <c r="G9685" s="20" t="str">
        <f>IFERROR(__xludf.DUMMYFUNCTION("""COMPUTED_VALUE"""),"Uncle Sams Cider (5/13/2022)")</f>
        <v>Uncle Sams Cider (5/13/2022)</v>
      </c>
      <c r="H9685" s="19"/>
    </row>
    <row r="9686">
      <c r="A9686" s="9"/>
      <c r="B9686" s="15"/>
      <c r="C9686" s="9">
        <f>IFERROR(__xludf.DUMMYFUNCTION("""COMPUTED_VALUE"""),44695.5931436342)</f>
        <v>44695.59314</v>
      </c>
      <c r="D9686" s="15">
        <f>IFERROR(__xludf.DUMMYFUNCTION("""COMPUTED_VALUE"""),1.107)</f>
        <v>1.107</v>
      </c>
      <c r="E9686" s="16">
        <f>IFERROR(__xludf.DUMMYFUNCTION("""COMPUTED_VALUE"""),65.0)</f>
        <v>65</v>
      </c>
      <c r="F9686" s="19" t="str">
        <f>IFERROR(__xludf.DUMMYFUNCTION("""COMPUTED_VALUE"""),"BLACK")</f>
        <v>BLACK</v>
      </c>
      <c r="G9686" s="20" t="str">
        <f>IFERROR(__xludf.DUMMYFUNCTION("""COMPUTED_VALUE"""),"Uncle Sams Cider (5/13/2022)")</f>
        <v>Uncle Sams Cider (5/13/2022)</v>
      </c>
      <c r="H9686" s="19"/>
    </row>
    <row r="9687">
      <c r="A9687" s="9"/>
      <c r="B9687" s="15"/>
      <c r="C9687" s="9">
        <f>IFERROR(__xludf.DUMMYFUNCTION("""COMPUTED_VALUE"""),44695.5827006481)</f>
        <v>44695.5827</v>
      </c>
      <c r="D9687" s="15">
        <f>IFERROR(__xludf.DUMMYFUNCTION("""COMPUTED_VALUE"""),1.107)</f>
        <v>1.107</v>
      </c>
      <c r="E9687" s="16">
        <f>IFERROR(__xludf.DUMMYFUNCTION("""COMPUTED_VALUE"""),65.0)</f>
        <v>65</v>
      </c>
      <c r="F9687" s="19" t="str">
        <f>IFERROR(__xludf.DUMMYFUNCTION("""COMPUTED_VALUE"""),"BLACK")</f>
        <v>BLACK</v>
      </c>
      <c r="G9687" s="20" t="str">
        <f>IFERROR(__xludf.DUMMYFUNCTION("""COMPUTED_VALUE"""),"Uncle Sams Cider (5/13/2022)")</f>
        <v>Uncle Sams Cider (5/13/2022)</v>
      </c>
      <c r="H9687" s="19"/>
    </row>
    <row r="9688">
      <c r="A9688" s="9"/>
      <c r="B9688" s="15"/>
      <c r="C9688" s="9">
        <f>IFERROR(__xludf.DUMMYFUNCTION("""COMPUTED_VALUE"""),44695.5722792824)</f>
        <v>44695.57228</v>
      </c>
      <c r="D9688" s="15">
        <f>IFERROR(__xludf.DUMMYFUNCTION("""COMPUTED_VALUE"""),1.107)</f>
        <v>1.107</v>
      </c>
      <c r="E9688" s="16">
        <f>IFERROR(__xludf.DUMMYFUNCTION("""COMPUTED_VALUE"""),65.0)</f>
        <v>65</v>
      </c>
      <c r="F9688" s="19" t="str">
        <f>IFERROR(__xludf.DUMMYFUNCTION("""COMPUTED_VALUE"""),"BLACK")</f>
        <v>BLACK</v>
      </c>
      <c r="G9688" s="20" t="str">
        <f>IFERROR(__xludf.DUMMYFUNCTION("""COMPUTED_VALUE"""),"Uncle Sams Cider (5/13/2022)")</f>
        <v>Uncle Sams Cider (5/13/2022)</v>
      </c>
      <c r="H9688" s="19"/>
    </row>
    <row r="9689">
      <c r="A9689" s="9"/>
      <c r="B9689" s="15"/>
      <c r="C9689" s="9">
        <f>IFERROR(__xludf.DUMMYFUNCTION("""COMPUTED_VALUE"""),44695.5618463078)</f>
        <v>44695.56185</v>
      </c>
      <c r="D9689" s="15">
        <f>IFERROR(__xludf.DUMMYFUNCTION("""COMPUTED_VALUE"""),1.107)</f>
        <v>1.107</v>
      </c>
      <c r="E9689" s="16">
        <f>IFERROR(__xludf.DUMMYFUNCTION("""COMPUTED_VALUE"""),65.0)</f>
        <v>65</v>
      </c>
      <c r="F9689" s="19" t="str">
        <f>IFERROR(__xludf.DUMMYFUNCTION("""COMPUTED_VALUE"""),"BLACK")</f>
        <v>BLACK</v>
      </c>
      <c r="G9689" s="20" t="str">
        <f>IFERROR(__xludf.DUMMYFUNCTION("""COMPUTED_VALUE"""),"Uncle Sams Cider (5/13/2022)")</f>
        <v>Uncle Sams Cider (5/13/2022)</v>
      </c>
      <c r="H9689" s="19"/>
    </row>
    <row r="9690">
      <c r="A9690" s="9"/>
      <c r="B9690" s="15"/>
      <c r="C9690" s="9">
        <f>IFERROR(__xludf.DUMMYFUNCTION("""COMPUTED_VALUE"""),44695.5514251851)</f>
        <v>44695.55143</v>
      </c>
      <c r="D9690" s="15">
        <f>IFERROR(__xludf.DUMMYFUNCTION("""COMPUTED_VALUE"""),1.107)</f>
        <v>1.107</v>
      </c>
      <c r="E9690" s="16">
        <f>IFERROR(__xludf.DUMMYFUNCTION("""COMPUTED_VALUE"""),65.0)</f>
        <v>65</v>
      </c>
      <c r="F9690" s="19" t="str">
        <f>IFERROR(__xludf.DUMMYFUNCTION("""COMPUTED_VALUE"""),"BLACK")</f>
        <v>BLACK</v>
      </c>
      <c r="G9690" s="20" t="str">
        <f>IFERROR(__xludf.DUMMYFUNCTION("""COMPUTED_VALUE"""),"Uncle Sams Cider (5/13/2022)")</f>
        <v>Uncle Sams Cider (5/13/2022)</v>
      </c>
      <c r="H9690" s="19"/>
    </row>
    <row r="9691">
      <c r="A9691" s="9"/>
      <c r="B9691" s="15"/>
      <c r="C9691" s="9">
        <f>IFERROR(__xludf.DUMMYFUNCTION("""COMPUTED_VALUE"""),44695.541004074)</f>
        <v>44695.541</v>
      </c>
      <c r="D9691" s="15">
        <f>IFERROR(__xludf.DUMMYFUNCTION("""COMPUTED_VALUE"""),1.107)</f>
        <v>1.107</v>
      </c>
      <c r="E9691" s="16">
        <f>IFERROR(__xludf.DUMMYFUNCTION("""COMPUTED_VALUE"""),65.0)</f>
        <v>65</v>
      </c>
      <c r="F9691" s="19" t="str">
        <f>IFERROR(__xludf.DUMMYFUNCTION("""COMPUTED_VALUE"""),"BLACK")</f>
        <v>BLACK</v>
      </c>
      <c r="G9691" s="20" t="str">
        <f>IFERROR(__xludf.DUMMYFUNCTION("""COMPUTED_VALUE"""),"Uncle Sams Cider (5/13/2022)")</f>
        <v>Uncle Sams Cider (5/13/2022)</v>
      </c>
      <c r="H9691" s="19"/>
    </row>
    <row r="9692">
      <c r="A9692" s="9"/>
      <c r="B9692" s="15"/>
      <c r="C9692" s="9">
        <f>IFERROR(__xludf.DUMMYFUNCTION("""COMPUTED_VALUE"""),44695.530582662)</f>
        <v>44695.53058</v>
      </c>
      <c r="D9692" s="15">
        <f>IFERROR(__xludf.DUMMYFUNCTION("""COMPUTED_VALUE"""),1.107)</f>
        <v>1.107</v>
      </c>
      <c r="E9692" s="16">
        <f>IFERROR(__xludf.DUMMYFUNCTION("""COMPUTED_VALUE"""),65.0)</f>
        <v>65</v>
      </c>
      <c r="F9692" s="19" t="str">
        <f>IFERROR(__xludf.DUMMYFUNCTION("""COMPUTED_VALUE"""),"BLACK")</f>
        <v>BLACK</v>
      </c>
      <c r="G9692" s="20" t="str">
        <f>IFERROR(__xludf.DUMMYFUNCTION("""COMPUTED_VALUE"""),"Uncle Sams Cider (5/13/2022)")</f>
        <v>Uncle Sams Cider (5/13/2022)</v>
      </c>
      <c r="H9692" s="19"/>
    </row>
    <row r="9693">
      <c r="A9693" s="9"/>
      <c r="B9693" s="15"/>
      <c r="C9693" s="9">
        <f>IFERROR(__xludf.DUMMYFUNCTION("""COMPUTED_VALUE"""),44695.5201601273)</f>
        <v>44695.52016</v>
      </c>
      <c r="D9693" s="15">
        <f>IFERROR(__xludf.DUMMYFUNCTION("""COMPUTED_VALUE"""),1.107)</f>
        <v>1.107</v>
      </c>
      <c r="E9693" s="16">
        <f>IFERROR(__xludf.DUMMYFUNCTION("""COMPUTED_VALUE"""),65.0)</f>
        <v>65</v>
      </c>
      <c r="F9693" s="19" t="str">
        <f>IFERROR(__xludf.DUMMYFUNCTION("""COMPUTED_VALUE"""),"BLACK")</f>
        <v>BLACK</v>
      </c>
      <c r="G9693" s="20" t="str">
        <f>IFERROR(__xludf.DUMMYFUNCTION("""COMPUTED_VALUE"""),"Uncle Sams Cider (5/13/2022)")</f>
        <v>Uncle Sams Cider (5/13/2022)</v>
      </c>
      <c r="H9693" s="19"/>
    </row>
    <row r="9694">
      <c r="A9694" s="9"/>
      <c r="B9694" s="15"/>
      <c r="C9694" s="9">
        <f>IFERROR(__xludf.DUMMYFUNCTION("""COMPUTED_VALUE"""),44695.509738993)</f>
        <v>44695.50974</v>
      </c>
      <c r="D9694" s="15">
        <f>IFERROR(__xludf.DUMMYFUNCTION("""COMPUTED_VALUE"""),1.107)</f>
        <v>1.107</v>
      </c>
      <c r="E9694" s="16">
        <f>IFERROR(__xludf.DUMMYFUNCTION("""COMPUTED_VALUE"""),65.0)</f>
        <v>65</v>
      </c>
      <c r="F9694" s="19" t="str">
        <f>IFERROR(__xludf.DUMMYFUNCTION("""COMPUTED_VALUE"""),"BLACK")</f>
        <v>BLACK</v>
      </c>
      <c r="G9694" s="20" t="str">
        <f>IFERROR(__xludf.DUMMYFUNCTION("""COMPUTED_VALUE"""),"Uncle Sams Cider (5/13/2022)")</f>
        <v>Uncle Sams Cider (5/13/2022)</v>
      </c>
      <c r="H9694" s="19"/>
    </row>
    <row r="9695">
      <c r="A9695" s="9"/>
      <c r="B9695" s="15"/>
      <c r="C9695" s="9">
        <f>IFERROR(__xludf.DUMMYFUNCTION("""COMPUTED_VALUE"""),44695.499318206)</f>
        <v>44695.49932</v>
      </c>
      <c r="D9695" s="15">
        <f>IFERROR(__xludf.DUMMYFUNCTION("""COMPUTED_VALUE"""),1.107)</f>
        <v>1.107</v>
      </c>
      <c r="E9695" s="16">
        <f>IFERROR(__xludf.DUMMYFUNCTION("""COMPUTED_VALUE"""),65.0)</f>
        <v>65</v>
      </c>
      <c r="F9695" s="19" t="str">
        <f>IFERROR(__xludf.DUMMYFUNCTION("""COMPUTED_VALUE"""),"BLACK")</f>
        <v>BLACK</v>
      </c>
      <c r="G9695" s="20" t="str">
        <f>IFERROR(__xludf.DUMMYFUNCTION("""COMPUTED_VALUE"""),"Uncle Sams Cider (5/13/2022)")</f>
        <v>Uncle Sams Cider (5/13/2022)</v>
      </c>
      <c r="H9695" s="19"/>
    </row>
    <row r="9696">
      <c r="A9696" s="9"/>
      <c r="B9696" s="15"/>
      <c r="C9696" s="9">
        <f>IFERROR(__xludf.DUMMYFUNCTION("""COMPUTED_VALUE"""),44695.488897581)</f>
        <v>44695.4889</v>
      </c>
      <c r="D9696" s="15">
        <f>IFERROR(__xludf.DUMMYFUNCTION("""COMPUTED_VALUE"""),1.107)</f>
        <v>1.107</v>
      </c>
      <c r="E9696" s="16">
        <f>IFERROR(__xludf.DUMMYFUNCTION("""COMPUTED_VALUE"""),65.0)</f>
        <v>65</v>
      </c>
      <c r="F9696" s="19" t="str">
        <f>IFERROR(__xludf.DUMMYFUNCTION("""COMPUTED_VALUE"""),"BLACK")</f>
        <v>BLACK</v>
      </c>
      <c r="G9696" s="20" t="str">
        <f>IFERROR(__xludf.DUMMYFUNCTION("""COMPUTED_VALUE"""),"Uncle Sams Cider (5/13/2022)")</f>
        <v>Uncle Sams Cider (5/13/2022)</v>
      </c>
      <c r="H9696" s="19"/>
    </row>
    <row r="9697">
      <c r="A9697" s="9"/>
      <c r="B9697" s="15"/>
      <c r="C9697" s="9">
        <f>IFERROR(__xludf.DUMMYFUNCTION("""COMPUTED_VALUE"""),44695.4784766319)</f>
        <v>44695.47848</v>
      </c>
      <c r="D9697" s="15">
        <f>IFERROR(__xludf.DUMMYFUNCTION("""COMPUTED_VALUE"""),1.107)</f>
        <v>1.107</v>
      </c>
      <c r="E9697" s="16">
        <f>IFERROR(__xludf.DUMMYFUNCTION("""COMPUTED_VALUE"""),65.0)</f>
        <v>65</v>
      </c>
      <c r="F9697" s="19" t="str">
        <f>IFERROR(__xludf.DUMMYFUNCTION("""COMPUTED_VALUE"""),"BLACK")</f>
        <v>BLACK</v>
      </c>
      <c r="G9697" s="20" t="str">
        <f>IFERROR(__xludf.DUMMYFUNCTION("""COMPUTED_VALUE"""),"Uncle Sams Cider (5/13/2022)")</f>
        <v>Uncle Sams Cider (5/13/2022)</v>
      </c>
      <c r="H9697" s="19"/>
    </row>
    <row r="9698">
      <c r="A9698" s="9"/>
      <c r="B9698" s="15"/>
      <c r="C9698" s="9">
        <f>IFERROR(__xludf.DUMMYFUNCTION("""COMPUTED_VALUE"""),44695.4680433564)</f>
        <v>44695.46804</v>
      </c>
      <c r="D9698" s="15">
        <f>IFERROR(__xludf.DUMMYFUNCTION("""COMPUTED_VALUE"""),1.107)</f>
        <v>1.107</v>
      </c>
      <c r="E9698" s="16">
        <f>IFERROR(__xludf.DUMMYFUNCTION("""COMPUTED_VALUE"""),64.0)</f>
        <v>64</v>
      </c>
      <c r="F9698" s="19" t="str">
        <f>IFERROR(__xludf.DUMMYFUNCTION("""COMPUTED_VALUE"""),"BLACK")</f>
        <v>BLACK</v>
      </c>
      <c r="G9698" s="20" t="str">
        <f>IFERROR(__xludf.DUMMYFUNCTION("""COMPUTED_VALUE"""),"Uncle Sams Cider (5/13/2022)")</f>
        <v>Uncle Sams Cider (5/13/2022)</v>
      </c>
      <c r="H9698" s="19"/>
    </row>
    <row r="9699">
      <c r="A9699" s="9"/>
      <c r="B9699" s="15"/>
      <c r="C9699" s="9">
        <f>IFERROR(__xludf.DUMMYFUNCTION("""COMPUTED_VALUE"""),44695.457621574)</f>
        <v>44695.45762</v>
      </c>
      <c r="D9699" s="15">
        <f>IFERROR(__xludf.DUMMYFUNCTION("""COMPUTED_VALUE"""),1.107)</f>
        <v>1.107</v>
      </c>
      <c r="E9699" s="16">
        <f>IFERROR(__xludf.DUMMYFUNCTION("""COMPUTED_VALUE"""),64.0)</f>
        <v>64</v>
      </c>
      <c r="F9699" s="19" t="str">
        <f>IFERROR(__xludf.DUMMYFUNCTION("""COMPUTED_VALUE"""),"BLACK")</f>
        <v>BLACK</v>
      </c>
      <c r="G9699" s="20" t="str">
        <f>IFERROR(__xludf.DUMMYFUNCTION("""COMPUTED_VALUE"""),"Uncle Sams Cider (5/13/2022)")</f>
        <v>Uncle Sams Cider (5/13/2022)</v>
      </c>
      <c r="H9699" s="19"/>
    </row>
    <row r="9700">
      <c r="A9700" s="9"/>
      <c r="B9700" s="15"/>
      <c r="C9700" s="9">
        <f>IFERROR(__xludf.DUMMYFUNCTION("""COMPUTED_VALUE"""),44695.4472006365)</f>
        <v>44695.4472</v>
      </c>
      <c r="D9700" s="15">
        <f>IFERROR(__xludf.DUMMYFUNCTION("""COMPUTED_VALUE"""),1.107)</f>
        <v>1.107</v>
      </c>
      <c r="E9700" s="16">
        <f>IFERROR(__xludf.DUMMYFUNCTION("""COMPUTED_VALUE"""),65.0)</f>
        <v>65</v>
      </c>
      <c r="F9700" s="19" t="str">
        <f>IFERROR(__xludf.DUMMYFUNCTION("""COMPUTED_VALUE"""),"BLACK")</f>
        <v>BLACK</v>
      </c>
      <c r="G9700" s="20" t="str">
        <f>IFERROR(__xludf.DUMMYFUNCTION("""COMPUTED_VALUE"""),"Uncle Sams Cider (5/13/2022)")</f>
        <v>Uncle Sams Cider (5/13/2022)</v>
      </c>
      <c r="H9700" s="19"/>
    </row>
    <row r="9701">
      <c r="A9701" s="9"/>
      <c r="B9701" s="15"/>
      <c r="C9701" s="9">
        <f>IFERROR(__xludf.DUMMYFUNCTION("""COMPUTED_VALUE"""),44695.4367776273)</f>
        <v>44695.43678</v>
      </c>
      <c r="D9701" s="15">
        <f>IFERROR(__xludf.DUMMYFUNCTION("""COMPUTED_VALUE"""),1.107)</f>
        <v>1.107</v>
      </c>
      <c r="E9701" s="16">
        <f>IFERROR(__xludf.DUMMYFUNCTION("""COMPUTED_VALUE"""),65.0)</f>
        <v>65</v>
      </c>
      <c r="F9701" s="19" t="str">
        <f>IFERROR(__xludf.DUMMYFUNCTION("""COMPUTED_VALUE"""),"BLACK")</f>
        <v>BLACK</v>
      </c>
      <c r="G9701" s="20" t="str">
        <f>IFERROR(__xludf.DUMMYFUNCTION("""COMPUTED_VALUE"""),"Uncle Sams Cider (5/13/2022)")</f>
        <v>Uncle Sams Cider (5/13/2022)</v>
      </c>
      <c r="H9701" s="19"/>
    </row>
    <row r="9702">
      <c r="A9702" s="9"/>
      <c r="B9702" s="15"/>
      <c r="C9702" s="9">
        <f>IFERROR(__xludf.DUMMYFUNCTION("""COMPUTED_VALUE"""),44695.4263559838)</f>
        <v>44695.42636</v>
      </c>
      <c r="D9702" s="15">
        <f>IFERROR(__xludf.DUMMYFUNCTION("""COMPUTED_VALUE"""),1.107)</f>
        <v>1.107</v>
      </c>
      <c r="E9702" s="16">
        <f>IFERROR(__xludf.DUMMYFUNCTION("""COMPUTED_VALUE"""),65.0)</f>
        <v>65</v>
      </c>
      <c r="F9702" s="19" t="str">
        <f>IFERROR(__xludf.DUMMYFUNCTION("""COMPUTED_VALUE"""),"BLACK")</f>
        <v>BLACK</v>
      </c>
      <c r="G9702" s="20" t="str">
        <f>IFERROR(__xludf.DUMMYFUNCTION("""COMPUTED_VALUE"""),"Uncle Sams Cider (5/13/2022)")</f>
        <v>Uncle Sams Cider (5/13/2022)</v>
      </c>
      <c r="H9702" s="19"/>
    </row>
    <row r="9703">
      <c r="A9703" s="9"/>
      <c r="B9703" s="15"/>
      <c r="C9703" s="9">
        <f>IFERROR(__xludf.DUMMYFUNCTION("""COMPUTED_VALUE"""),44695.4159343981)</f>
        <v>44695.41593</v>
      </c>
      <c r="D9703" s="15">
        <f>IFERROR(__xludf.DUMMYFUNCTION("""COMPUTED_VALUE"""),1.107)</f>
        <v>1.107</v>
      </c>
      <c r="E9703" s="16">
        <f>IFERROR(__xludf.DUMMYFUNCTION("""COMPUTED_VALUE"""),64.0)</f>
        <v>64</v>
      </c>
      <c r="F9703" s="19" t="str">
        <f>IFERROR(__xludf.DUMMYFUNCTION("""COMPUTED_VALUE"""),"BLACK")</f>
        <v>BLACK</v>
      </c>
      <c r="G9703" s="20" t="str">
        <f>IFERROR(__xludf.DUMMYFUNCTION("""COMPUTED_VALUE"""),"Uncle Sams Cider (5/13/2022)")</f>
        <v>Uncle Sams Cider (5/13/2022)</v>
      </c>
      <c r="H9703" s="19"/>
    </row>
    <row r="9704">
      <c r="A9704" s="9"/>
      <c r="B9704" s="15"/>
      <c r="C9704" s="9">
        <f>IFERROR(__xludf.DUMMYFUNCTION("""COMPUTED_VALUE"""),44695.4055015046)</f>
        <v>44695.4055</v>
      </c>
      <c r="D9704" s="15">
        <f>IFERROR(__xludf.DUMMYFUNCTION("""COMPUTED_VALUE"""),1.107)</f>
        <v>1.107</v>
      </c>
      <c r="E9704" s="16">
        <f>IFERROR(__xludf.DUMMYFUNCTION("""COMPUTED_VALUE"""),65.0)</f>
        <v>65</v>
      </c>
      <c r="F9704" s="19" t="str">
        <f>IFERROR(__xludf.DUMMYFUNCTION("""COMPUTED_VALUE"""),"BLACK")</f>
        <v>BLACK</v>
      </c>
      <c r="G9704" s="20" t="str">
        <f>IFERROR(__xludf.DUMMYFUNCTION("""COMPUTED_VALUE"""),"Uncle Sams Cider (5/13/2022)")</f>
        <v>Uncle Sams Cider (5/13/2022)</v>
      </c>
      <c r="H9704" s="19"/>
    </row>
    <row r="9705">
      <c r="A9705" s="9"/>
      <c r="B9705" s="15"/>
      <c r="C9705" s="9">
        <f>IFERROR(__xludf.DUMMYFUNCTION("""COMPUTED_VALUE"""),44695.3950810879)</f>
        <v>44695.39508</v>
      </c>
      <c r="D9705" s="15">
        <f>IFERROR(__xludf.DUMMYFUNCTION("""COMPUTED_VALUE"""),1.107)</f>
        <v>1.107</v>
      </c>
      <c r="E9705" s="16">
        <f>IFERROR(__xludf.DUMMYFUNCTION("""COMPUTED_VALUE"""),65.0)</f>
        <v>65</v>
      </c>
      <c r="F9705" s="19" t="str">
        <f>IFERROR(__xludf.DUMMYFUNCTION("""COMPUTED_VALUE"""),"BLACK")</f>
        <v>BLACK</v>
      </c>
      <c r="G9705" s="20" t="str">
        <f>IFERROR(__xludf.DUMMYFUNCTION("""COMPUTED_VALUE"""),"Uncle Sams Cider (5/13/2022)")</f>
        <v>Uncle Sams Cider (5/13/2022)</v>
      </c>
      <c r="H9705" s="19"/>
    </row>
    <row r="9706">
      <c r="A9706" s="9"/>
      <c r="B9706" s="15"/>
      <c r="C9706" s="9">
        <f>IFERROR(__xludf.DUMMYFUNCTION("""COMPUTED_VALUE"""),44695.3846598611)</f>
        <v>44695.38466</v>
      </c>
      <c r="D9706" s="15">
        <f>IFERROR(__xludf.DUMMYFUNCTION("""COMPUTED_VALUE"""),1.107)</f>
        <v>1.107</v>
      </c>
      <c r="E9706" s="16">
        <f>IFERROR(__xludf.DUMMYFUNCTION("""COMPUTED_VALUE"""),65.0)</f>
        <v>65</v>
      </c>
      <c r="F9706" s="19" t="str">
        <f>IFERROR(__xludf.DUMMYFUNCTION("""COMPUTED_VALUE"""),"BLACK")</f>
        <v>BLACK</v>
      </c>
      <c r="G9706" s="20" t="str">
        <f>IFERROR(__xludf.DUMMYFUNCTION("""COMPUTED_VALUE"""),"Uncle Sams Cider (5/13/2022)")</f>
        <v>Uncle Sams Cider (5/13/2022)</v>
      </c>
      <c r="H9706" s="19"/>
    </row>
    <row r="9707">
      <c r="A9707" s="9"/>
      <c r="B9707" s="15"/>
      <c r="C9707" s="9">
        <f>IFERROR(__xludf.DUMMYFUNCTION("""COMPUTED_VALUE"""),44695.3742260995)</f>
        <v>44695.37423</v>
      </c>
      <c r="D9707" s="15">
        <f>IFERROR(__xludf.DUMMYFUNCTION("""COMPUTED_VALUE"""),1.107)</f>
        <v>1.107</v>
      </c>
      <c r="E9707" s="16">
        <f>IFERROR(__xludf.DUMMYFUNCTION("""COMPUTED_VALUE"""),65.0)</f>
        <v>65</v>
      </c>
      <c r="F9707" s="19" t="str">
        <f>IFERROR(__xludf.DUMMYFUNCTION("""COMPUTED_VALUE"""),"BLACK")</f>
        <v>BLACK</v>
      </c>
      <c r="G9707" s="20" t="str">
        <f>IFERROR(__xludf.DUMMYFUNCTION("""COMPUTED_VALUE"""),"Uncle Sams Cider (5/13/2022)")</f>
        <v>Uncle Sams Cider (5/13/2022)</v>
      </c>
      <c r="H9707" s="19"/>
    </row>
    <row r="9708">
      <c r="A9708" s="9"/>
      <c r="B9708" s="15"/>
      <c r="C9708" s="9">
        <f>IFERROR(__xludf.DUMMYFUNCTION("""COMPUTED_VALUE"""),44695.3638061921)</f>
        <v>44695.36381</v>
      </c>
      <c r="D9708" s="15">
        <f>IFERROR(__xludf.DUMMYFUNCTION("""COMPUTED_VALUE"""),1.107)</f>
        <v>1.107</v>
      </c>
      <c r="E9708" s="16">
        <f>IFERROR(__xludf.DUMMYFUNCTION("""COMPUTED_VALUE"""),65.0)</f>
        <v>65</v>
      </c>
      <c r="F9708" s="19" t="str">
        <f>IFERROR(__xludf.DUMMYFUNCTION("""COMPUTED_VALUE"""),"BLACK")</f>
        <v>BLACK</v>
      </c>
      <c r="G9708" s="20" t="str">
        <f>IFERROR(__xludf.DUMMYFUNCTION("""COMPUTED_VALUE"""),"Uncle Sams Cider (5/13/2022)")</f>
        <v>Uncle Sams Cider (5/13/2022)</v>
      </c>
      <c r="H9708" s="19"/>
    </row>
    <row r="9709">
      <c r="A9709" s="9"/>
      <c r="B9709" s="15"/>
      <c r="C9709" s="9">
        <f>IFERROR(__xludf.DUMMYFUNCTION("""COMPUTED_VALUE"""),44695.3533865856)</f>
        <v>44695.35339</v>
      </c>
      <c r="D9709" s="15">
        <f>IFERROR(__xludf.DUMMYFUNCTION("""COMPUTED_VALUE"""),1.107)</f>
        <v>1.107</v>
      </c>
      <c r="E9709" s="16">
        <f>IFERROR(__xludf.DUMMYFUNCTION("""COMPUTED_VALUE"""),65.0)</f>
        <v>65</v>
      </c>
      <c r="F9709" s="19" t="str">
        <f>IFERROR(__xludf.DUMMYFUNCTION("""COMPUTED_VALUE"""),"BLACK")</f>
        <v>BLACK</v>
      </c>
      <c r="G9709" s="20" t="str">
        <f>IFERROR(__xludf.DUMMYFUNCTION("""COMPUTED_VALUE"""),"Uncle Sams Cider (5/13/2022)")</f>
        <v>Uncle Sams Cider (5/13/2022)</v>
      </c>
      <c r="H9709" s="19"/>
    </row>
    <row r="9710">
      <c r="A9710" s="9"/>
      <c r="B9710" s="15"/>
      <c r="C9710" s="9">
        <f>IFERROR(__xludf.DUMMYFUNCTION("""COMPUTED_VALUE"""),44695.3429673032)</f>
        <v>44695.34297</v>
      </c>
      <c r="D9710" s="15">
        <f>IFERROR(__xludf.DUMMYFUNCTION("""COMPUTED_VALUE"""),1.107)</f>
        <v>1.107</v>
      </c>
      <c r="E9710" s="16">
        <f>IFERROR(__xludf.DUMMYFUNCTION("""COMPUTED_VALUE"""),64.0)</f>
        <v>64</v>
      </c>
      <c r="F9710" s="19" t="str">
        <f>IFERROR(__xludf.DUMMYFUNCTION("""COMPUTED_VALUE"""),"BLACK")</f>
        <v>BLACK</v>
      </c>
      <c r="G9710" s="20" t="str">
        <f>IFERROR(__xludf.DUMMYFUNCTION("""COMPUTED_VALUE"""),"Uncle Sams Cider (5/13/2022)")</f>
        <v>Uncle Sams Cider (5/13/2022)</v>
      </c>
      <c r="H9710" s="19"/>
    </row>
    <row r="9711">
      <c r="A9711" s="9"/>
      <c r="B9711" s="15"/>
      <c r="C9711" s="9">
        <f>IFERROR(__xludf.DUMMYFUNCTION("""COMPUTED_VALUE"""),44695.3325440856)</f>
        <v>44695.33254</v>
      </c>
      <c r="D9711" s="15">
        <f>IFERROR(__xludf.DUMMYFUNCTION("""COMPUTED_VALUE"""),1.107)</f>
        <v>1.107</v>
      </c>
      <c r="E9711" s="16">
        <f>IFERROR(__xludf.DUMMYFUNCTION("""COMPUTED_VALUE"""),65.0)</f>
        <v>65</v>
      </c>
      <c r="F9711" s="19" t="str">
        <f>IFERROR(__xludf.DUMMYFUNCTION("""COMPUTED_VALUE"""),"BLACK")</f>
        <v>BLACK</v>
      </c>
      <c r="G9711" s="20" t="str">
        <f>IFERROR(__xludf.DUMMYFUNCTION("""COMPUTED_VALUE"""),"Uncle Sams Cider (5/13/2022)")</f>
        <v>Uncle Sams Cider (5/13/2022)</v>
      </c>
      <c r="H9711" s="19"/>
    </row>
    <row r="9712">
      <c r="A9712" s="9"/>
      <c r="B9712" s="15"/>
      <c r="C9712" s="9">
        <f>IFERROR(__xludf.DUMMYFUNCTION("""COMPUTED_VALUE"""),44695.3221248263)</f>
        <v>44695.32212</v>
      </c>
      <c r="D9712" s="15">
        <f>IFERROR(__xludf.DUMMYFUNCTION("""COMPUTED_VALUE"""),1.107)</f>
        <v>1.107</v>
      </c>
      <c r="E9712" s="16">
        <f>IFERROR(__xludf.DUMMYFUNCTION("""COMPUTED_VALUE"""),65.0)</f>
        <v>65</v>
      </c>
      <c r="F9712" s="19" t="str">
        <f>IFERROR(__xludf.DUMMYFUNCTION("""COMPUTED_VALUE"""),"BLACK")</f>
        <v>BLACK</v>
      </c>
      <c r="G9712" s="20" t="str">
        <f>IFERROR(__xludf.DUMMYFUNCTION("""COMPUTED_VALUE"""),"Uncle Sams Cider (5/13/2022)")</f>
        <v>Uncle Sams Cider (5/13/2022)</v>
      </c>
      <c r="H9712" s="19"/>
    </row>
    <row r="9713">
      <c r="A9713" s="9"/>
      <c r="B9713" s="15"/>
      <c r="C9713" s="9">
        <f>IFERROR(__xludf.DUMMYFUNCTION("""COMPUTED_VALUE"""),44695.3117048032)</f>
        <v>44695.3117</v>
      </c>
      <c r="D9713" s="15">
        <f>IFERROR(__xludf.DUMMYFUNCTION("""COMPUTED_VALUE"""),1.107)</f>
        <v>1.107</v>
      </c>
      <c r="E9713" s="16">
        <f>IFERROR(__xludf.DUMMYFUNCTION("""COMPUTED_VALUE"""),65.0)</f>
        <v>65</v>
      </c>
      <c r="F9713" s="19" t="str">
        <f>IFERROR(__xludf.DUMMYFUNCTION("""COMPUTED_VALUE"""),"BLACK")</f>
        <v>BLACK</v>
      </c>
      <c r="G9713" s="20" t="str">
        <f>IFERROR(__xludf.DUMMYFUNCTION("""COMPUTED_VALUE"""),"Uncle Sams Cider (5/13/2022)")</f>
        <v>Uncle Sams Cider (5/13/2022)</v>
      </c>
      <c r="H9713" s="19"/>
    </row>
    <row r="9714">
      <c r="A9714" s="9"/>
      <c r="B9714" s="15"/>
      <c r="C9714" s="9">
        <f>IFERROR(__xludf.DUMMYFUNCTION("""COMPUTED_VALUE"""),44695.3012853588)</f>
        <v>44695.30129</v>
      </c>
      <c r="D9714" s="15">
        <f>IFERROR(__xludf.DUMMYFUNCTION("""COMPUTED_VALUE"""),1.107)</f>
        <v>1.107</v>
      </c>
      <c r="E9714" s="16">
        <f>IFERROR(__xludf.DUMMYFUNCTION("""COMPUTED_VALUE"""),65.0)</f>
        <v>65</v>
      </c>
      <c r="F9714" s="19" t="str">
        <f>IFERROR(__xludf.DUMMYFUNCTION("""COMPUTED_VALUE"""),"BLACK")</f>
        <v>BLACK</v>
      </c>
      <c r="G9714" s="20" t="str">
        <f>IFERROR(__xludf.DUMMYFUNCTION("""COMPUTED_VALUE"""),"Uncle Sams Cider (5/13/2022)")</f>
        <v>Uncle Sams Cider (5/13/2022)</v>
      </c>
      <c r="H9714" s="19"/>
    </row>
    <row r="9715">
      <c r="A9715" s="9"/>
      <c r="B9715" s="15"/>
      <c r="C9715" s="9">
        <f>IFERROR(__xludf.DUMMYFUNCTION("""COMPUTED_VALUE"""),44695.2908633449)</f>
        <v>44695.29086</v>
      </c>
      <c r="D9715" s="15">
        <f>IFERROR(__xludf.DUMMYFUNCTION("""COMPUTED_VALUE"""),1.107)</f>
        <v>1.107</v>
      </c>
      <c r="E9715" s="16">
        <f>IFERROR(__xludf.DUMMYFUNCTION("""COMPUTED_VALUE"""),65.0)</f>
        <v>65</v>
      </c>
      <c r="F9715" s="19" t="str">
        <f>IFERROR(__xludf.DUMMYFUNCTION("""COMPUTED_VALUE"""),"BLACK")</f>
        <v>BLACK</v>
      </c>
      <c r="G9715" s="20" t="str">
        <f>IFERROR(__xludf.DUMMYFUNCTION("""COMPUTED_VALUE"""),"Uncle Sams Cider (5/13/2022)")</f>
        <v>Uncle Sams Cider (5/13/2022)</v>
      </c>
      <c r="H9715" s="19"/>
    </row>
    <row r="9716">
      <c r="A9716" s="9"/>
      <c r="B9716" s="15"/>
      <c r="C9716" s="9">
        <f>IFERROR(__xludf.DUMMYFUNCTION("""COMPUTED_VALUE"""),44695.2804416666)</f>
        <v>44695.28044</v>
      </c>
      <c r="D9716" s="15">
        <f>IFERROR(__xludf.DUMMYFUNCTION("""COMPUTED_VALUE"""),1.107)</f>
        <v>1.107</v>
      </c>
      <c r="E9716" s="16">
        <f>IFERROR(__xludf.DUMMYFUNCTION("""COMPUTED_VALUE"""),65.0)</f>
        <v>65</v>
      </c>
      <c r="F9716" s="19" t="str">
        <f>IFERROR(__xludf.DUMMYFUNCTION("""COMPUTED_VALUE"""),"BLACK")</f>
        <v>BLACK</v>
      </c>
      <c r="G9716" s="20" t="str">
        <f>IFERROR(__xludf.DUMMYFUNCTION("""COMPUTED_VALUE"""),"Uncle Sams Cider (5/13/2022)")</f>
        <v>Uncle Sams Cider (5/13/2022)</v>
      </c>
      <c r="H9716" s="19"/>
    </row>
    <row r="9717">
      <c r="A9717" s="9"/>
      <c r="B9717" s="15"/>
      <c r="C9717" s="9">
        <f>IFERROR(__xludf.DUMMYFUNCTION("""COMPUTED_VALUE"""),44695.2700215046)</f>
        <v>44695.27002</v>
      </c>
      <c r="D9717" s="15">
        <f>IFERROR(__xludf.DUMMYFUNCTION("""COMPUTED_VALUE"""),1.107)</f>
        <v>1.107</v>
      </c>
      <c r="E9717" s="16">
        <f>IFERROR(__xludf.DUMMYFUNCTION("""COMPUTED_VALUE"""),65.0)</f>
        <v>65</v>
      </c>
      <c r="F9717" s="19" t="str">
        <f>IFERROR(__xludf.DUMMYFUNCTION("""COMPUTED_VALUE"""),"BLACK")</f>
        <v>BLACK</v>
      </c>
      <c r="G9717" s="20" t="str">
        <f>IFERROR(__xludf.DUMMYFUNCTION("""COMPUTED_VALUE"""),"Uncle Sams Cider (5/13/2022)")</f>
        <v>Uncle Sams Cider (5/13/2022)</v>
      </c>
      <c r="H9717" s="19"/>
    </row>
    <row r="9718">
      <c r="A9718" s="9"/>
      <c r="B9718" s="15"/>
      <c r="C9718" s="9">
        <f>IFERROR(__xludf.DUMMYFUNCTION("""COMPUTED_VALUE"""),44695.2595881481)</f>
        <v>44695.25959</v>
      </c>
      <c r="D9718" s="15">
        <f>IFERROR(__xludf.DUMMYFUNCTION("""COMPUTED_VALUE"""),1.107)</f>
        <v>1.107</v>
      </c>
      <c r="E9718" s="16">
        <f>IFERROR(__xludf.DUMMYFUNCTION("""COMPUTED_VALUE"""),65.0)</f>
        <v>65</v>
      </c>
      <c r="F9718" s="19" t="str">
        <f>IFERROR(__xludf.DUMMYFUNCTION("""COMPUTED_VALUE"""),"BLACK")</f>
        <v>BLACK</v>
      </c>
      <c r="G9718" s="20" t="str">
        <f>IFERROR(__xludf.DUMMYFUNCTION("""COMPUTED_VALUE"""),"Uncle Sams Cider (5/13/2022)")</f>
        <v>Uncle Sams Cider (5/13/2022)</v>
      </c>
      <c r="H9718" s="19"/>
    </row>
    <row r="9719">
      <c r="A9719" s="9"/>
      <c r="B9719" s="15"/>
      <c r="C9719" s="9">
        <f>IFERROR(__xludf.DUMMYFUNCTION("""COMPUTED_VALUE"""),44695.2491676851)</f>
        <v>44695.24917</v>
      </c>
      <c r="D9719" s="15">
        <f>IFERROR(__xludf.DUMMYFUNCTION("""COMPUTED_VALUE"""),1.107)</f>
        <v>1.107</v>
      </c>
      <c r="E9719" s="16">
        <f>IFERROR(__xludf.DUMMYFUNCTION("""COMPUTED_VALUE"""),65.0)</f>
        <v>65</v>
      </c>
      <c r="F9719" s="19" t="str">
        <f>IFERROR(__xludf.DUMMYFUNCTION("""COMPUTED_VALUE"""),"BLACK")</f>
        <v>BLACK</v>
      </c>
      <c r="G9719" s="20" t="str">
        <f>IFERROR(__xludf.DUMMYFUNCTION("""COMPUTED_VALUE"""),"Uncle Sams Cider (5/13/2022)")</f>
        <v>Uncle Sams Cider (5/13/2022)</v>
      </c>
      <c r="H9719" s="19"/>
    </row>
    <row r="9720">
      <c r="A9720" s="9"/>
      <c r="B9720" s="15"/>
      <c r="C9720" s="9">
        <f>IFERROR(__xludf.DUMMYFUNCTION("""COMPUTED_VALUE"""),44695.238747581)</f>
        <v>44695.23875</v>
      </c>
      <c r="D9720" s="15">
        <f>IFERROR(__xludf.DUMMYFUNCTION("""COMPUTED_VALUE"""),1.107)</f>
        <v>1.107</v>
      </c>
      <c r="E9720" s="16">
        <f>IFERROR(__xludf.DUMMYFUNCTION("""COMPUTED_VALUE"""),65.0)</f>
        <v>65</v>
      </c>
      <c r="F9720" s="19" t="str">
        <f>IFERROR(__xludf.DUMMYFUNCTION("""COMPUTED_VALUE"""),"BLACK")</f>
        <v>BLACK</v>
      </c>
      <c r="G9720" s="20" t="str">
        <f>IFERROR(__xludf.DUMMYFUNCTION("""COMPUTED_VALUE"""),"Uncle Sams Cider (5/13/2022)")</f>
        <v>Uncle Sams Cider (5/13/2022)</v>
      </c>
      <c r="H9720" s="19"/>
    </row>
    <row r="9721">
      <c r="A9721" s="9"/>
      <c r="B9721" s="15"/>
      <c r="C9721" s="9">
        <f>IFERROR(__xludf.DUMMYFUNCTION("""COMPUTED_VALUE"""),44695.2283262268)</f>
        <v>44695.22833</v>
      </c>
      <c r="D9721" s="15">
        <f>IFERROR(__xludf.DUMMYFUNCTION("""COMPUTED_VALUE"""),1.108)</f>
        <v>1.108</v>
      </c>
      <c r="E9721" s="16">
        <f>IFERROR(__xludf.DUMMYFUNCTION("""COMPUTED_VALUE"""),65.0)</f>
        <v>65</v>
      </c>
      <c r="F9721" s="19" t="str">
        <f>IFERROR(__xludf.DUMMYFUNCTION("""COMPUTED_VALUE"""),"BLACK")</f>
        <v>BLACK</v>
      </c>
      <c r="G9721" s="20" t="str">
        <f>IFERROR(__xludf.DUMMYFUNCTION("""COMPUTED_VALUE"""),"Uncle Sams Cider (5/13/2022)")</f>
        <v>Uncle Sams Cider (5/13/2022)</v>
      </c>
      <c r="H9721" s="19"/>
    </row>
    <row r="9722">
      <c r="A9722" s="9"/>
      <c r="B9722" s="15"/>
      <c r="C9722" s="9">
        <f>IFERROR(__xludf.DUMMYFUNCTION("""COMPUTED_VALUE"""),44695.2179039467)</f>
        <v>44695.2179</v>
      </c>
      <c r="D9722" s="15">
        <f>IFERROR(__xludf.DUMMYFUNCTION("""COMPUTED_VALUE"""),1.108)</f>
        <v>1.108</v>
      </c>
      <c r="E9722" s="16">
        <f>IFERROR(__xludf.DUMMYFUNCTION("""COMPUTED_VALUE"""),65.0)</f>
        <v>65</v>
      </c>
      <c r="F9722" s="19" t="str">
        <f>IFERROR(__xludf.DUMMYFUNCTION("""COMPUTED_VALUE"""),"BLACK")</f>
        <v>BLACK</v>
      </c>
      <c r="G9722" s="20" t="str">
        <f>IFERROR(__xludf.DUMMYFUNCTION("""COMPUTED_VALUE"""),"Uncle Sams Cider (5/13/2022)")</f>
        <v>Uncle Sams Cider (5/13/2022)</v>
      </c>
      <c r="H9722" s="19"/>
    </row>
    <row r="9723">
      <c r="A9723" s="9"/>
      <c r="B9723" s="15"/>
      <c r="C9723" s="9">
        <f>IFERROR(__xludf.DUMMYFUNCTION("""COMPUTED_VALUE"""),44695.2074704051)</f>
        <v>44695.20747</v>
      </c>
      <c r="D9723" s="15">
        <f>IFERROR(__xludf.DUMMYFUNCTION("""COMPUTED_VALUE"""),1.108)</f>
        <v>1.108</v>
      </c>
      <c r="E9723" s="16">
        <f>IFERROR(__xludf.DUMMYFUNCTION("""COMPUTED_VALUE"""),65.0)</f>
        <v>65</v>
      </c>
      <c r="F9723" s="19" t="str">
        <f>IFERROR(__xludf.DUMMYFUNCTION("""COMPUTED_VALUE"""),"BLACK")</f>
        <v>BLACK</v>
      </c>
      <c r="G9723" s="20" t="str">
        <f>IFERROR(__xludf.DUMMYFUNCTION("""COMPUTED_VALUE"""),"Uncle Sams Cider (5/13/2022)")</f>
        <v>Uncle Sams Cider (5/13/2022)</v>
      </c>
      <c r="H9723" s="19"/>
    </row>
    <row r="9724">
      <c r="A9724" s="9"/>
      <c r="B9724" s="15"/>
      <c r="C9724" s="9">
        <f>IFERROR(__xludf.DUMMYFUNCTION("""COMPUTED_VALUE"""),44695.1970479976)</f>
        <v>44695.19705</v>
      </c>
      <c r="D9724" s="15">
        <f>IFERROR(__xludf.DUMMYFUNCTION("""COMPUTED_VALUE"""),1.107)</f>
        <v>1.107</v>
      </c>
      <c r="E9724" s="16">
        <f>IFERROR(__xludf.DUMMYFUNCTION("""COMPUTED_VALUE"""),65.0)</f>
        <v>65</v>
      </c>
      <c r="F9724" s="19" t="str">
        <f>IFERROR(__xludf.DUMMYFUNCTION("""COMPUTED_VALUE"""),"BLACK")</f>
        <v>BLACK</v>
      </c>
      <c r="G9724" s="20" t="str">
        <f>IFERROR(__xludf.DUMMYFUNCTION("""COMPUTED_VALUE"""),"Uncle Sams Cider (5/13/2022)")</f>
        <v>Uncle Sams Cider (5/13/2022)</v>
      </c>
      <c r="H9724" s="19"/>
    </row>
    <row r="9725">
      <c r="A9725" s="9"/>
      <c r="B9725" s="15"/>
      <c r="C9725" s="9">
        <f>IFERROR(__xludf.DUMMYFUNCTION("""COMPUTED_VALUE"""),44695.1866267013)</f>
        <v>44695.18663</v>
      </c>
      <c r="D9725" s="15">
        <f>IFERROR(__xludf.DUMMYFUNCTION("""COMPUTED_VALUE"""),1.108)</f>
        <v>1.108</v>
      </c>
      <c r="E9725" s="16">
        <f>IFERROR(__xludf.DUMMYFUNCTION("""COMPUTED_VALUE"""),65.0)</f>
        <v>65</v>
      </c>
      <c r="F9725" s="19" t="str">
        <f>IFERROR(__xludf.DUMMYFUNCTION("""COMPUTED_VALUE"""),"BLACK")</f>
        <v>BLACK</v>
      </c>
      <c r="G9725" s="20" t="str">
        <f>IFERROR(__xludf.DUMMYFUNCTION("""COMPUTED_VALUE"""),"Uncle Sams Cider (5/13/2022)")</f>
        <v>Uncle Sams Cider (5/13/2022)</v>
      </c>
      <c r="H9725" s="19"/>
    </row>
    <row r="9726">
      <c r="A9726" s="9"/>
      <c r="B9726" s="15"/>
      <c r="C9726" s="9">
        <f>IFERROR(__xludf.DUMMYFUNCTION("""COMPUTED_VALUE"""),44695.1762048611)</f>
        <v>44695.1762</v>
      </c>
      <c r="D9726" s="15">
        <f>IFERROR(__xludf.DUMMYFUNCTION("""COMPUTED_VALUE"""),1.108)</f>
        <v>1.108</v>
      </c>
      <c r="E9726" s="16">
        <f>IFERROR(__xludf.DUMMYFUNCTION("""COMPUTED_VALUE"""),65.0)</f>
        <v>65</v>
      </c>
      <c r="F9726" s="19" t="str">
        <f>IFERROR(__xludf.DUMMYFUNCTION("""COMPUTED_VALUE"""),"BLACK")</f>
        <v>BLACK</v>
      </c>
      <c r="G9726" s="20" t="str">
        <f>IFERROR(__xludf.DUMMYFUNCTION("""COMPUTED_VALUE"""),"Uncle Sams Cider (5/13/2022)")</f>
        <v>Uncle Sams Cider (5/13/2022)</v>
      </c>
      <c r="H9726" s="19"/>
    </row>
    <row r="9727">
      <c r="A9727" s="9"/>
      <c r="B9727" s="15"/>
      <c r="C9727" s="9">
        <f>IFERROR(__xludf.DUMMYFUNCTION("""COMPUTED_VALUE"""),44695.1657830208)</f>
        <v>44695.16578</v>
      </c>
      <c r="D9727" s="15">
        <f>IFERROR(__xludf.DUMMYFUNCTION("""COMPUTED_VALUE"""),1.108)</f>
        <v>1.108</v>
      </c>
      <c r="E9727" s="16">
        <f>IFERROR(__xludf.DUMMYFUNCTION("""COMPUTED_VALUE"""),65.0)</f>
        <v>65</v>
      </c>
      <c r="F9727" s="19" t="str">
        <f>IFERROR(__xludf.DUMMYFUNCTION("""COMPUTED_VALUE"""),"BLACK")</f>
        <v>BLACK</v>
      </c>
      <c r="G9727" s="20" t="str">
        <f>IFERROR(__xludf.DUMMYFUNCTION("""COMPUTED_VALUE"""),"Uncle Sams Cider (5/13/2022)")</f>
        <v>Uncle Sams Cider (5/13/2022)</v>
      </c>
      <c r="H9727" s="19"/>
    </row>
    <row r="9728">
      <c r="A9728" s="9"/>
      <c r="B9728" s="15"/>
      <c r="C9728" s="9">
        <f>IFERROR(__xludf.DUMMYFUNCTION("""COMPUTED_VALUE"""),44695.155362037)</f>
        <v>44695.15536</v>
      </c>
      <c r="D9728" s="15">
        <f>IFERROR(__xludf.DUMMYFUNCTION("""COMPUTED_VALUE"""),1.108)</f>
        <v>1.108</v>
      </c>
      <c r="E9728" s="16">
        <f>IFERROR(__xludf.DUMMYFUNCTION("""COMPUTED_VALUE"""),65.0)</f>
        <v>65</v>
      </c>
      <c r="F9728" s="19" t="str">
        <f>IFERROR(__xludf.DUMMYFUNCTION("""COMPUTED_VALUE"""),"BLACK")</f>
        <v>BLACK</v>
      </c>
      <c r="G9728" s="20" t="str">
        <f>IFERROR(__xludf.DUMMYFUNCTION("""COMPUTED_VALUE"""),"Uncle Sams Cider (5/13/2022)")</f>
        <v>Uncle Sams Cider (5/13/2022)</v>
      </c>
      <c r="H9728" s="19"/>
    </row>
    <row r="9729">
      <c r="A9729" s="9"/>
      <c r="B9729" s="15"/>
      <c r="C9729" s="9">
        <f>IFERROR(__xludf.DUMMYFUNCTION("""COMPUTED_VALUE"""),44695.1449406944)</f>
        <v>44695.14494</v>
      </c>
      <c r="D9729" s="15">
        <f>IFERROR(__xludf.DUMMYFUNCTION("""COMPUTED_VALUE"""),1.108)</f>
        <v>1.108</v>
      </c>
      <c r="E9729" s="16">
        <f>IFERROR(__xludf.DUMMYFUNCTION("""COMPUTED_VALUE"""),65.0)</f>
        <v>65</v>
      </c>
      <c r="F9729" s="19" t="str">
        <f>IFERROR(__xludf.DUMMYFUNCTION("""COMPUTED_VALUE"""),"BLACK")</f>
        <v>BLACK</v>
      </c>
      <c r="G9729" s="20" t="str">
        <f>IFERROR(__xludf.DUMMYFUNCTION("""COMPUTED_VALUE"""),"Uncle Sams Cider (5/13/2022)")</f>
        <v>Uncle Sams Cider (5/13/2022)</v>
      </c>
      <c r="H9729" s="19"/>
    </row>
    <row r="9730">
      <c r="A9730" s="9"/>
      <c r="B9730" s="15"/>
      <c r="C9730" s="9">
        <f>IFERROR(__xludf.DUMMYFUNCTION("""COMPUTED_VALUE"""),44695.1345071296)</f>
        <v>44695.13451</v>
      </c>
      <c r="D9730" s="15">
        <f>IFERROR(__xludf.DUMMYFUNCTION("""COMPUTED_VALUE"""),1.108)</f>
        <v>1.108</v>
      </c>
      <c r="E9730" s="16">
        <f>IFERROR(__xludf.DUMMYFUNCTION("""COMPUTED_VALUE"""),65.0)</f>
        <v>65</v>
      </c>
      <c r="F9730" s="19" t="str">
        <f>IFERROR(__xludf.DUMMYFUNCTION("""COMPUTED_VALUE"""),"BLACK")</f>
        <v>BLACK</v>
      </c>
      <c r="G9730" s="20" t="str">
        <f>IFERROR(__xludf.DUMMYFUNCTION("""COMPUTED_VALUE"""),"Uncle Sams Cider (5/13/2022)")</f>
        <v>Uncle Sams Cider (5/13/2022)</v>
      </c>
      <c r="H9730" s="19"/>
    </row>
    <row r="9731">
      <c r="A9731" s="9"/>
      <c r="B9731" s="15"/>
      <c r="C9731" s="9">
        <f>IFERROR(__xludf.DUMMYFUNCTION("""COMPUTED_VALUE"""),44695.1240859722)</f>
        <v>44695.12409</v>
      </c>
      <c r="D9731" s="15">
        <f>IFERROR(__xludf.DUMMYFUNCTION("""COMPUTED_VALUE"""),1.108)</f>
        <v>1.108</v>
      </c>
      <c r="E9731" s="16">
        <f>IFERROR(__xludf.DUMMYFUNCTION("""COMPUTED_VALUE"""),65.0)</f>
        <v>65</v>
      </c>
      <c r="F9731" s="19" t="str">
        <f>IFERROR(__xludf.DUMMYFUNCTION("""COMPUTED_VALUE"""),"BLACK")</f>
        <v>BLACK</v>
      </c>
      <c r="G9731" s="20" t="str">
        <f>IFERROR(__xludf.DUMMYFUNCTION("""COMPUTED_VALUE"""),"Uncle Sams Cider (5/13/2022)")</f>
        <v>Uncle Sams Cider (5/13/2022)</v>
      </c>
      <c r="H9731" s="19"/>
    </row>
    <row r="9732">
      <c r="A9732" s="9"/>
      <c r="B9732" s="15"/>
      <c r="C9732" s="9">
        <f>IFERROR(__xludf.DUMMYFUNCTION("""COMPUTED_VALUE"""),44695.1136539583)</f>
        <v>44695.11365</v>
      </c>
      <c r="D9732" s="15">
        <f>IFERROR(__xludf.DUMMYFUNCTION("""COMPUTED_VALUE"""),1.108)</f>
        <v>1.108</v>
      </c>
      <c r="E9732" s="16">
        <f>IFERROR(__xludf.DUMMYFUNCTION("""COMPUTED_VALUE"""),65.0)</f>
        <v>65</v>
      </c>
      <c r="F9732" s="19" t="str">
        <f>IFERROR(__xludf.DUMMYFUNCTION("""COMPUTED_VALUE"""),"BLACK")</f>
        <v>BLACK</v>
      </c>
      <c r="G9732" s="20" t="str">
        <f>IFERROR(__xludf.DUMMYFUNCTION("""COMPUTED_VALUE"""),"Uncle Sams Cider (5/13/2022)")</f>
        <v>Uncle Sams Cider (5/13/2022)</v>
      </c>
      <c r="H9732" s="19"/>
    </row>
    <row r="9733">
      <c r="A9733" s="9"/>
      <c r="B9733" s="15"/>
      <c r="C9733" s="9">
        <f>IFERROR(__xludf.DUMMYFUNCTION("""COMPUTED_VALUE"""),44695.1031754861)</f>
        <v>44695.10318</v>
      </c>
      <c r="D9733" s="15">
        <f>IFERROR(__xludf.DUMMYFUNCTION("""COMPUTED_VALUE"""),1.108)</f>
        <v>1.108</v>
      </c>
      <c r="E9733" s="16">
        <f>IFERROR(__xludf.DUMMYFUNCTION("""COMPUTED_VALUE"""),65.0)</f>
        <v>65</v>
      </c>
      <c r="F9733" s="19" t="str">
        <f>IFERROR(__xludf.DUMMYFUNCTION("""COMPUTED_VALUE"""),"BLACK")</f>
        <v>BLACK</v>
      </c>
      <c r="G9733" s="20" t="str">
        <f>IFERROR(__xludf.DUMMYFUNCTION("""COMPUTED_VALUE"""),"Uncle Sams Cider (5/13/2022)")</f>
        <v>Uncle Sams Cider (5/13/2022)</v>
      </c>
      <c r="H9733" s="19"/>
    </row>
    <row r="9734">
      <c r="A9734" s="9"/>
      <c r="B9734" s="15"/>
      <c r="C9734" s="9">
        <f>IFERROR(__xludf.DUMMYFUNCTION("""COMPUTED_VALUE"""),44695.0927552546)</f>
        <v>44695.09276</v>
      </c>
      <c r="D9734" s="15">
        <f>IFERROR(__xludf.DUMMYFUNCTION("""COMPUTED_VALUE"""),1.108)</f>
        <v>1.108</v>
      </c>
      <c r="E9734" s="16">
        <f>IFERROR(__xludf.DUMMYFUNCTION("""COMPUTED_VALUE"""),65.0)</f>
        <v>65</v>
      </c>
      <c r="F9734" s="19" t="str">
        <f>IFERROR(__xludf.DUMMYFUNCTION("""COMPUTED_VALUE"""),"BLACK")</f>
        <v>BLACK</v>
      </c>
      <c r="G9734" s="20" t="str">
        <f>IFERROR(__xludf.DUMMYFUNCTION("""COMPUTED_VALUE"""),"Uncle Sams Cider (5/13/2022)")</f>
        <v>Uncle Sams Cider (5/13/2022)</v>
      </c>
      <c r="H9734" s="19"/>
    </row>
    <row r="9735">
      <c r="A9735" s="9"/>
      <c r="B9735" s="15"/>
      <c r="C9735" s="9">
        <f>IFERROR(__xludf.DUMMYFUNCTION("""COMPUTED_VALUE"""),44695.0823336458)</f>
        <v>44695.08233</v>
      </c>
      <c r="D9735" s="15">
        <f>IFERROR(__xludf.DUMMYFUNCTION("""COMPUTED_VALUE"""),1.108)</f>
        <v>1.108</v>
      </c>
      <c r="E9735" s="16">
        <f>IFERROR(__xludf.DUMMYFUNCTION("""COMPUTED_VALUE"""),65.0)</f>
        <v>65</v>
      </c>
      <c r="F9735" s="19" t="str">
        <f>IFERROR(__xludf.DUMMYFUNCTION("""COMPUTED_VALUE"""),"BLACK")</f>
        <v>BLACK</v>
      </c>
      <c r="G9735" s="20" t="str">
        <f>IFERROR(__xludf.DUMMYFUNCTION("""COMPUTED_VALUE"""),"Uncle Sams Cider (5/13/2022)")</f>
        <v>Uncle Sams Cider (5/13/2022)</v>
      </c>
      <c r="H9735" s="19"/>
    </row>
    <row r="9736">
      <c r="A9736" s="9"/>
      <c r="B9736" s="15"/>
      <c r="C9736" s="9">
        <f>IFERROR(__xludf.DUMMYFUNCTION("""COMPUTED_VALUE"""),44695.0719012152)</f>
        <v>44695.0719</v>
      </c>
      <c r="D9736" s="15">
        <f>IFERROR(__xludf.DUMMYFUNCTION("""COMPUTED_VALUE"""),1.108)</f>
        <v>1.108</v>
      </c>
      <c r="E9736" s="16">
        <f>IFERROR(__xludf.DUMMYFUNCTION("""COMPUTED_VALUE"""),65.0)</f>
        <v>65</v>
      </c>
      <c r="F9736" s="19" t="str">
        <f>IFERROR(__xludf.DUMMYFUNCTION("""COMPUTED_VALUE"""),"BLACK")</f>
        <v>BLACK</v>
      </c>
      <c r="G9736" s="20" t="str">
        <f>IFERROR(__xludf.DUMMYFUNCTION("""COMPUTED_VALUE"""),"Uncle Sams Cider (5/13/2022)")</f>
        <v>Uncle Sams Cider (5/13/2022)</v>
      </c>
      <c r="H9736" s="19"/>
    </row>
    <row r="9737">
      <c r="A9737" s="9"/>
      <c r="B9737" s="15"/>
      <c r="C9737" s="9">
        <f>IFERROR(__xludf.DUMMYFUNCTION("""COMPUTED_VALUE"""),44695.0614792245)</f>
        <v>44695.06148</v>
      </c>
      <c r="D9737" s="15">
        <f>IFERROR(__xludf.DUMMYFUNCTION("""COMPUTED_VALUE"""),1.108)</f>
        <v>1.108</v>
      </c>
      <c r="E9737" s="16">
        <f>IFERROR(__xludf.DUMMYFUNCTION("""COMPUTED_VALUE"""),65.0)</f>
        <v>65</v>
      </c>
      <c r="F9737" s="19" t="str">
        <f>IFERROR(__xludf.DUMMYFUNCTION("""COMPUTED_VALUE"""),"BLACK")</f>
        <v>BLACK</v>
      </c>
      <c r="G9737" s="20" t="str">
        <f>IFERROR(__xludf.DUMMYFUNCTION("""COMPUTED_VALUE"""),"Uncle Sams Cider (5/13/2022)")</f>
        <v>Uncle Sams Cider (5/13/2022)</v>
      </c>
      <c r="H9737" s="19"/>
    </row>
    <row r="9738">
      <c r="A9738" s="9"/>
      <c r="B9738" s="15"/>
      <c r="C9738" s="9">
        <f>IFERROR(__xludf.DUMMYFUNCTION("""COMPUTED_VALUE"""),44695.0510567592)</f>
        <v>44695.05106</v>
      </c>
      <c r="D9738" s="15">
        <f>IFERROR(__xludf.DUMMYFUNCTION("""COMPUTED_VALUE"""),1.108)</f>
        <v>1.108</v>
      </c>
      <c r="E9738" s="16">
        <f>IFERROR(__xludf.DUMMYFUNCTION("""COMPUTED_VALUE"""),65.0)</f>
        <v>65</v>
      </c>
      <c r="F9738" s="19" t="str">
        <f>IFERROR(__xludf.DUMMYFUNCTION("""COMPUTED_VALUE"""),"BLACK")</f>
        <v>BLACK</v>
      </c>
      <c r="G9738" s="20" t="str">
        <f>IFERROR(__xludf.DUMMYFUNCTION("""COMPUTED_VALUE"""),"Uncle Sams Cider (5/13/2022)")</f>
        <v>Uncle Sams Cider (5/13/2022)</v>
      </c>
      <c r="H9738" s="19"/>
    </row>
    <row r="9739">
      <c r="A9739" s="9"/>
      <c r="B9739" s="15"/>
      <c r="C9739" s="9">
        <f>IFERROR(__xludf.DUMMYFUNCTION("""COMPUTED_VALUE"""),44695.0406342013)</f>
        <v>44695.04063</v>
      </c>
      <c r="D9739" s="15">
        <f>IFERROR(__xludf.DUMMYFUNCTION("""COMPUTED_VALUE"""),1.108)</f>
        <v>1.108</v>
      </c>
      <c r="E9739" s="16">
        <f>IFERROR(__xludf.DUMMYFUNCTION("""COMPUTED_VALUE"""),64.0)</f>
        <v>64</v>
      </c>
      <c r="F9739" s="19" t="str">
        <f>IFERROR(__xludf.DUMMYFUNCTION("""COMPUTED_VALUE"""),"BLACK")</f>
        <v>BLACK</v>
      </c>
      <c r="G9739" s="20" t="str">
        <f>IFERROR(__xludf.DUMMYFUNCTION("""COMPUTED_VALUE"""),"Uncle Sams Cider (5/13/2022)")</f>
        <v>Uncle Sams Cider (5/13/2022)</v>
      </c>
      <c r="H9739" s="19"/>
    </row>
    <row r="9740">
      <c r="A9740" s="9"/>
      <c r="B9740" s="15"/>
      <c r="C9740" s="9">
        <f>IFERROR(__xludf.DUMMYFUNCTION("""COMPUTED_VALUE"""),44695.0301999652)</f>
        <v>44695.0302</v>
      </c>
      <c r="D9740" s="15">
        <f>IFERROR(__xludf.DUMMYFUNCTION("""COMPUTED_VALUE"""),1.108)</f>
        <v>1.108</v>
      </c>
      <c r="E9740" s="16">
        <f>IFERROR(__xludf.DUMMYFUNCTION("""COMPUTED_VALUE"""),64.0)</f>
        <v>64</v>
      </c>
      <c r="F9740" s="19" t="str">
        <f>IFERROR(__xludf.DUMMYFUNCTION("""COMPUTED_VALUE"""),"BLACK")</f>
        <v>BLACK</v>
      </c>
      <c r="G9740" s="20" t="str">
        <f>IFERROR(__xludf.DUMMYFUNCTION("""COMPUTED_VALUE"""),"Uncle Sams Cider (5/13/2022)")</f>
        <v>Uncle Sams Cider (5/13/2022)</v>
      </c>
      <c r="H9740" s="19"/>
    </row>
    <row r="9741">
      <c r="A9741" s="9"/>
      <c r="B9741" s="15"/>
      <c r="C9741" s="9">
        <f>IFERROR(__xludf.DUMMYFUNCTION("""COMPUTED_VALUE"""),44695.0197795717)</f>
        <v>44695.01978</v>
      </c>
      <c r="D9741" s="15">
        <f>IFERROR(__xludf.DUMMYFUNCTION("""COMPUTED_VALUE"""),1.108)</f>
        <v>1.108</v>
      </c>
      <c r="E9741" s="16">
        <f>IFERROR(__xludf.DUMMYFUNCTION("""COMPUTED_VALUE"""),64.0)</f>
        <v>64</v>
      </c>
      <c r="F9741" s="19" t="str">
        <f>IFERROR(__xludf.DUMMYFUNCTION("""COMPUTED_VALUE"""),"BLACK")</f>
        <v>BLACK</v>
      </c>
      <c r="G9741" s="20" t="str">
        <f>IFERROR(__xludf.DUMMYFUNCTION("""COMPUTED_VALUE"""),"Uncle Sams Cider (5/13/2022)")</f>
        <v>Uncle Sams Cider (5/13/2022)</v>
      </c>
      <c r="H9741" s="19"/>
    </row>
    <row r="9742">
      <c r="A9742" s="9"/>
      <c r="B9742" s="15"/>
      <c r="C9742" s="9">
        <f>IFERROR(__xludf.DUMMYFUNCTION("""COMPUTED_VALUE"""),44695.0093574305)</f>
        <v>44695.00936</v>
      </c>
      <c r="D9742" s="15">
        <f>IFERROR(__xludf.DUMMYFUNCTION("""COMPUTED_VALUE"""),1.108)</f>
        <v>1.108</v>
      </c>
      <c r="E9742" s="16">
        <f>IFERROR(__xludf.DUMMYFUNCTION("""COMPUTED_VALUE"""),63.0)</f>
        <v>63</v>
      </c>
      <c r="F9742" s="19" t="str">
        <f>IFERROR(__xludf.DUMMYFUNCTION("""COMPUTED_VALUE"""),"BLACK")</f>
        <v>BLACK</v>
      </c>
      <c r="G9742" s="20" t="str">
        <f>IFERROR(__xludf.DUMMYFUNCTION("""COMPUTED_VALUE"""),"Uncle Sams Cider (5/13/2022)")</f>
        <v>Uncle Sams Cider (5/13/2022)</v>
      </c>
      <c r="H9742" s="19"/>
    </row>
    <row r="9743">
      <c r="A9743" s="9"/>
      <c r="B9743" s="15"/>
      <c r="C9743" s="9">
        <f>IFERROR(__xludf.DUMMYFUNCTION("""COMPUTED_VALUE"""),44694.9989367361)</f>
        <v>44694.99894</v>
      </c>
      <c r="D9743" s="15">
        <f>IFERROR(__xludf.DUMMYFUNCTION("""COMPUTED_VALUE"""),1.108)</f>
        <v>1.108</v>
      </c>
      <c r="E9743" s="16">
        <f>IFERROR(__xludf.DUMMYFUNCTION("""COMPUTED_VALUE"""),63.0)</f>
        <v>63</v>
      </c>
      <c r="F9743" s="19" t="str">
        <f>IFERROR(__xludf.DUMMYFUNCTION("""COMPUTED_VALUE"""),"BLACK")</f>
        <v>BLACK</v>
      </c>
      <c r="G9743" s="20" t="str">
        <f>IFERROR(__xludf.DUMMYFUNCTION("""COMPUTED_VALUE"""),"Uncle Sams Cider (5/13/2022)")</f>
        <v>Uncle Sams Cider (5/13/2022)</v>
      </c>
      <c r="H9743" s="19"/>
    </row>
    <row r="9744">
      <c r="A9744" s="9"/>
      <c r="B9744" s="15"/>
      <c r="C9744" s="9">
        <f>IFERROR(__xludf.DUMMYFUNCTION("""COMPUTED_VALUE"""),44694.9885140625)</f>
        <v>44694.98851</v>
      </c>
      <c r="D9744" s="15">
        <f>IFERROR(__xludf.DUMMYFUNCTION("""COMPUTED_VALUE"""),1.108)</f>
        <v>1.108</v>
      </c>
      <c r="E9744" s="16">
        <f>IFERROR(__xludf.DUMMYFUNCTION("""COMPUTED_VALUE"""),64.0)</f>
        <v>64</v>
      </c>
      <c r="F9744" s="19" t="str">
        <f>IFERROR(__xludf.DUMMYFUNCTION("""COMPUTED_VALUE"""),"BLACK")</f>
        <v>BLACK</v>
      </c>
      <c r="G9744" s="20" t="str">
        <f>IFERROR(__xludf.DUMMYFUNCTION("""COMPUTED_VALUE"""),"Uncle Sams Cider (5/13/2022)")</f>
        <v>Uncle Sams Cider (5/13/2022)</v>
      </c>
      <c r="H9744" s="19"/>
    </row>
    <row r="9745">
      <c r="A9745" s="9"/>
      <c r="B9745" s="15"/>
      <c r="C9745" s="9">
        <f>IFERROR(__xludf.DUMMYFUNCTION("""COMPUTED_VALUE"""),44694.9780913194)</f>
        <v>44694.97809</v>
      </c>
      <c r="D9745" s="15">
        <f>IFERROR(__xludf.DUMMYFUNCTION("""COMPUTED_VALUE"""),1.107)</f>
        <v>1.107</v>
      </c>
      <c r="E9745" s="16">
        <f>IFERROR(__xludf.DUMMYFUNCTION("""COMPUTED_VALUE"""),65.0)</f>
        <v>65</v>
      </c>
      <c r="F9745" s="19" t="str">
        <f>IFERROR(__xludf.DUMMYFUNCTION("""COMPUTED_VALUE"""),"BLACK")</f>
        <v>BLACK</v>
      </c>
      <c r="G9745" s="20" t="str">
        <f>IFERROR(__xludf.DUMMYFUNCTION("""COMPUTED_VALUE"""),"Uncle Sams Cider (5/13/2022)")</f>
        <v>Uncle Sams Cider (5/13/2022)</v>
      </c>
      <c r="H9745" s="19"/>
    </row>
    <row r="9746">
      <c r="A9746" s="9"/>
      <c r="B9746" s="15"/>
      <c r="C9746" s="9">
        <f>IFERROR(__xludf.DUMMYFUNCTION("""COMPUTED_VALUE"""),44694.9676696412)</f>
        <v>44694.96767</v>
      </c>
      <c r="D9746" s="15">
        <f>IFERROR(__xludf.DUMMYFUNCTION("""COMPUTED_VALUE"""),1.107)</f>
        <v>1.107</v>
      </c>
      <c r="E9746" s="16">
        <f>IFERROR(__xludf.DUMMYFUNCTION("""COMPUTED_VALUE"""),66.0)</f>
        <v>66</v>
      </c>
      <c r="F9746" s="19" t="str">
        <f>IFERROR(__xludf.DUMMYFUNCTION("""COMPUTED_VALUE"""),"BLACK")</f>
        <v>BLACK</v>
      </c>
      <c r="G9746" s="20" t="str">
        <f>IFERROR(__xludf.DUMMYFUNCTION("""COMPUTED_VALUE"""),"Uncle Sams Cider (5/13/2022)")</f>
        <v>Uncle Sams Cider (5/13/2022)</v>
      </c>
      <c r="H9746" s="19"/>
    </row>
    <row r="9747">
      <c r="A9747" s="9"/>
      <c r="B9747" s="15"/>
      <c r="C9747" s="9">
        <f>IFERROR(__xludf.DUMMYFUNCTION("""COMPUTED_VALUE"""),44694.9572491088)</f>
        <v>44694.95725</v>
      </c>
      <c r="D9747" s="15">
        <f>IFERROR(__xludf.DUMMYFUNCTION("""COMPUTED_VALUE"""),1.108)</f>
        <v>1.108</v>
      </c>
      <c r="E9747" s="16">
        <f>IFERROR(__xludf.DUMMYFUNCTION("""COMPUTED_VALUE"""),68.0)</f>
        <v>68</v>
      </c>
      <c r="F9747" s="19" t="str">
        <f>IFERROR(__xludf.DUMMYFUNCTION("""COMPUTED_VALUE"""),"BLACK")</f>
        <v>BLACK</v>
      </c>
      <c r="G9747" s="20" t="str">
        <f>IFERROR(__xludf.DUMMYFUNCTION("""COMPUTED_VALUE"""),"Uncle Sams Cider (5/13/2022)")</f>
        <v>Uncle Sams Cider (5/13/2022)</v>
      </c>
      <c r="H9747" s="19"/>
    </row>
    <row r="9748">
      <c r="A9748" s="9"/>
      <c r="B9748" s="15"/>
      <c r="C9748" s="9">
        <f>IFERROR(__xludf.DUMMYFUNCTION("""COMPUTED_VALUE"""),44694.9468287384)</f>
        <v>44694.94683</v>
      </c>
      <c r="D9748" s="15">
        <f>IFERROR(__xludf.DUMMYFUNCTION("""COMPUTED_VALUE"""),1.107)</f>
        <v>1.107</v>
      </c>
      <c r="E9748" s="16">
        <f>IFERROR(__xludf.DUMMYFUNCTION("""COMPUTED_VALUE"""),69.0)</f>
        <v>69</v>
      </c>
      <c r="F9748" s="19" t="str">
        <f>IFERROR(__xludf.DUMMYFUNCTION("""COMPUTED_VALUE"""),"BLACK")</f>
        <v>BLACK</v>
      </c>
      <c r="G9748" s="20" t="str">
        <f>IFERROR(__xludf.DUMMYFUNCTION("""COMPUTED_VALUE"""),"Uncle Sams Cider (5/13/2022)")</f>
        <v>Uncle Sams Cider (5/13/2022)</v>
      </c>
      <c r="H9748" s="19"/>
    </row>
    <row r="9749">
      <c r="A9749" s="9"/>
      <c r="B9749" s="15"/>
      <c r="C9749" s="9">
        <f>IFERROR(__xludf.DUMMYFUNCTION("""COMPUTED_VALUE"""),44694.9364090277)</f>
        <v>44694.93641</v>
      </c>
      <c r="D9749" s="15">
        <f>IFERROR(__xludf.DUMMYFUNCTION("""COMPUTED_VALUE"""),1.107)</f>
        <v>1.107</v>
      </c>
      <c r="E9749" s="16">
        <f>IFERROR(__xludf.DUMMYFUNCTION("""COMPUTED_VALUE"""),70.0)</f>
        <v>70</v>
      </c>
      <c r="F9749" s="19" t="str">
        <f>IFERROR(__xludf.DUMMYFUNCTION("""COMPUTED_VALUE"""),"BLACK")</f>
        <v>BLACK</v>
      </c>
      <c r="G9749" s="20" t="str">
        <f>IFERROR(__xludf.DUMMYFUNCTION("""COMPUTED_VALUE"""),"Uncle Sams Cider (5/13/2022)")</f>
        <v>Uncle Sams Cider (5/13/2022)</v>
      </c>
      <c r="H9749" s="19"/>
    </row>
    <row r="9750">
      <c r="A9750" s="9"/>
      <c r="B9750" s="15"/>
      <c r="C9750" s="9">
        <f>IFERROR(__xludf.DUMMYFUNCTION("""COMPUTED_VALUE"""),44694.925986875)</f>
        <v>44694.92599</v>
      </c>
      <c r="D9750" s="15">
        <f>IFERROR(__xludf.DUMMYFUNCTION("""COMPUTED_VALUE"""),1.107)</f>
        <v>1.107</v>
      </c>
      <c r="E9750" s="16">
        <f>IFERROR(__xludf.DUMMYFUNCTION("""COMPUTED_VALUE"""),71.0)</f>
        <v>71</v>
      </c>
      <c r="F9750" s="19" t="str">
        <f>IFERROR(__xludf.DUMMYFUNCTION("""COMPUTED_VALUE"""),"BLACK")</f>
        <v>BLACK</v>
      </c>
      <c r="G9750" s="20" t="str">
        <f>IFERROR(__xludf.DUMMYFUNCTION("""COMPUTED_VALUE"""),"Uncle Sams Cider (5/13/2022)")</f>
        <v>Uncle Sams Cider (5/13/2022)</v>
      </c>
      <c r="H9750" s="19"/>
    </row>
    <row r="9751">
      <c r="A9751" s="9"/>
      <c r="B9751" s="15"/>
      <c r="C9751" s="9">
        <f>IFERROR(__xludf.DUMMYFUNCTION("""COMPUTED_VALUE"""),44694.9155649768)</f>
        <v>44694.91556</v>
      </c>
      <c r="D9751" s="15">
        <f>IFERROR(__xludf.DUMMYFUNCTION("""COMPUTED_VALUE"""),1.107)</f>
        <v>1.107</v>
      </c>
      <c r="E9751" s="16">
        <f>IFERROR(__xludf.DUMMYFUNCTION("""COMPUTED_VALUE"""),73.0)</f>
        <v>73</v>
      </c>
      <c r="F9751" s="19" t="str">
        <f>IFERROR(__xludf.DUMMYFUNCTION("""COMPUTED_VALUE"""),"BLACK")</f>
        <v>BLACK</v>
      </c>
      <c r="G9751" s="20" t="str">
        <f>IFERROR(__xludf.DUMMYFUNCTION("""COMPUTED_VALUE"""),"Uncle Sams Cider (5/13/2022)")</f>
        <v>Uncle Sams Cider (5/13/2022)</v>
      </c>
      <c r="H9751" s="19"/>
    </row>
    <row r="9752">
      <c r="A9752" s="9"/>
      <c r="B9752" s="15"/>
      <c r="C9752" s="9">
        <f>IFERROR(__xludf.DUMMYFUNCTION("""COMPUTED_VALUE"""),44694.9051430787)</f>
        <v>44694.90514</v>
      </c>
      <c r="D9752" s="15">
        <f>IFERROR(__xludf.DUMMYFUNCTION("""COMPUTED_VALUE"""),1.106)</f>
        <v>1.106</v>
      </c>
      <c r="E9752" s="16">
        <f>IFERROR(__xludf.DUMMYFUNCTION("""COMPUTED_VALUE"""),75.0)</f>
        <v>75</v>
      </c>
      <c r="F9752" s="19" t="str">
        <f>IFERROR(__xludf.DUMMYFUNCTION("""COMPUTED_VALUE"""),"BLACK")</f>
        <v>BLACK</v>
      </c>
      <c r="G9752" s="20" t="str">
        <f>IFERROR(__xludf.DUMMYFUNCTION("""COMPUTED_VALUE"""),"Uncle Sams Cider (5/13/2022)")</f>
        <v>Uncle Sams Cider (5/13/2022)</v>
      </c>
      <c r="H9752" s="19"/>
    </row>
    <row r="9753">
      <c r="A9753" s="9"/>
      <c r="B9753" s="15"/>
      <c r="C9753" s="9">
        <f>IFERROR(__xludf.DUMMYFUNCTION("""COMPUTED_VALUE"""),44694.9049105092)</f>
        <v>44694.90491</v>
      </c>
      <c r="D9753" s="15">
        <f>IFERROR(__xludf.DUMMYFUNCTION("""COMPUTED_VALUE"""),1.106)</f>
        <v>1.106</v>
      </c>
      <c r="E9753" s="16">
        <f>IFERROR(__xludf.DUMMYFUNCTION("""COMPUTED_VALUE"""),75.0)</f>
        <v>75</v>
      </c>
      <c r="F9753" s="19" t="str">
        <f>IFERROR(__xludf.DUMMYFUNCTION("""COMPUTED_VALUE"""),"BLACK")</f>
        <v>BLACK</v>
      </c>
      <c r="G9753" s="20" t="str">
        <f>IFERROR(__xludf.DUMMYFUNCTION("""COMPUTED_VALUE"""),"Uncle Sams Cider (5/13/2022)")</f>
        <v>Uncle Sams Cider (5/13/2022)</v>
      </c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A22">
      <formula1>"Standard Method ABV:,Alternate Method ABV:,UK HMRC Method ABV:,Wine Method ABV:"</formula1>
    </dataValidation>
    <dataValidation type="list" allowBlank="1" sqref="B4">
      <formula1>"all,last 3 days,last 2 days,last 1 day,last .5 days"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25"/>
    <col customWidth="1" min="3" max="3" width="4.88"/>
    <col customWidth="1" min="4" max="4" width="5.25"/>
    <col customWidth="1" min="5" max="5" width="7.88"/>
    <col customWidth="1" min="6" max="6" width="15.88"/>
    <col customWidth="1" min="7" max="7" width="17.25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44694.7800541551</v>
      </c>
      <c r="B2" s="50">
        <v>44694.9049105092</v>
      </c>
      <c r="C2" s="51">
        <v>1.106</v>
      </c>
      <c r="D2" s="51">
        <v>75.0</v>
      </c>
      <c r="E2" s="52" t="s">
        <v>25</v>
      </c>
      <c r="F2" s="52" t="s">
        <v>26</v>
      </c>
      <c r="G2" s="53"/>
    </row>
    <row r="3">
      <c r="A3" s="49">
        <v>44694.78015907407</v>
      </c>
      <c r="B3" s="50">
        <v>44694.9051430787</v>
      </c>
      <c r="C3" s="51">
        <v>1.106</v>
      </c>
      <c r="D3" s="51">
        <v>75.0</v>
      </c>
      <c r="E3" s="52" t="s">
        <v>25</v>
      </c>
      <c r="F3" s="52" t="s">
        <v>26</v>
      </c>
      <c r="G3" s="53"/>
    </row>
    <row r="4">
      <c r="A4" s="49">
        <v>44694.790593321755</v>
      </c>
      <c r="B4" s="50">
        <v>44694.9155649768</v>
      </c>
      <c r="C4" s="51">
        <v>1.107</v>
      </c>
      <c r="D4" s="51">
        <v>73.0</v>
      </c>
      <c r="E4" s="52" t="s">
        <v>25</v>
      </c>
      <c r="F4" s="52" t="s">
        <v>26</v>
      </c>
      <c r="G4" s="53"/>
    </row>
    <row r="5">
      <c r="A5" s="49">
        <v>44694.80101164352</v>
      </c>
      <c r="B5" s="50">
        <v>44694.925986875</v>
      </c>
      <c r="C5" s="51">
        <v>1.107</v>
      </c>
      <c r="D5" s="51">
        <v>71.0</v>
      </c>
      <c r="E5" s="52" t="s">
        <v>25</v>
      </c>
      <c r="F5" s="52" t="s">
        <v>26</v>
      </c>
      <c r="G5" s="53"/>
    </row>
    <row r="6">
      <c r="A6" s="49">
        <v>44694.81144091435</v>
      </c>
      <c r="B6" s="50">
        <v>44694.9364090277</v>
      </c>
      <c r="C6" s="51">
        <v>1.107</v>
      </c>
      <c r="D6" s="51">
        <v>70.0</v>
      </c>
      <c r="E6" s="52" t="s">
        <v>25</v>
      </c>
      <c r="F6" s="52" t="s">
        <v>26</v>
      </c>
      <c r="G6" s="53"/>
    </row>
    <row r="7">
      <c r="A7" s="49">
        <v>44694.8218584375</v>
      </c>
      <c r="B7" s="50">
        <v>44694.9468287384</v>
      </c>
      <c r="C7" s="51">
        <v>1.107</v>
      </c>
      <c r="D7" s="51">
        <v>69.0</v>
      </c>
      <c r="E7" s="52" t="s">
        <v>25</v>
      </c>
      <c r="F7" s="52" t="s">
        <v>26</v>
      </c>
      <c r="G7" s="53"/>
    </row>
    <row r="8">
      <c r="A8" s="49">
        <v>44694.832276817135</v>
      </c>
      <c r="B8" s="50">
        <v>44694.9572491088</v>
      </c>
      <c r="C8" s="51">
        <v>1.108</v>
      </c>
      <c r="D8" s="51">
        <v>68.0</v>
      </c>
      <c r="E8" s="52" t="s">
        <v>25</v>
      </c>
      <c r="F8" s="52" t="s">
        <v>26</v>
      </c>
      <c r="G8" s="53"/>
    </row>
    <row r="9">
      <c r="A9" s="49">
        <v>44694.842692997685</v>
      </c>
      <c r="B9" s="50">
        <v>44694.9676696412</v>
      </c>
      <c r="C9" s="51">
        <v>1.107</v>
      </c>
      <c r="D9" s="51">
        <v>66.0</v>
      </c>
      <c r="E9" s="52" t="s">
        <v>25</v>
      </c>
      <c r="F9" s="52" t="s">
        <v>26</v>
      </c>
      <c r="G9" s="53"/>
    </row>
    <row r="10">
      <c r="A10" s="49">
        <v>44694.85310796296</v>
      </c>
      <c r="B10" s="50">
        <v>44694.9780913194</v>
      </c>
      <c r="C10" s="51">
        <v>1.107</v>
      </c>
      <c r="D10" s="51">
        <v>65.0</v>
      </c>
      <c r="E10" s="52" t="s">
        <v>25</v>
      </c>
      <c r="F10" s="52" t="s">
        <v>26</v>
      </c>
      <c r="G10" s="53"/>
    </row>
    <row r="11">
      <c r="A11" s="49">
        <v>44694.863544328706</v>
      </c>
      <c r="B11" s="50">
        <v>44694.9885140625</v>
      </c>
      <c r="C11" s="51">
        <v>1.108</v>
      </c>
      <c r="D11" s="51">
        <v>64.0</v>
      </c>
      <c r="E11" s="52" t="s">
        <v>25</v>
      </c>
      <c r="F11" s="52" t="s">
        <v>26</v>
      </c>
      <c r="G11" s="53"/>
    </row>
    <row r="12">
      <c r="A12" s="49">
        <v>44694.87396576389</v>
      </c>
      <c r="B12" s="50">
        <v>44694.9989367361</v>
      </c>
      <c r="C12" s="51">
        <v>1.108</v>
      </c>
      <c r="D12" s="51">
        <v>63.0</v>
      </c>
      <c r="E12" s="52" t="s">
        <v>25</v>
      </c>
      <c r="F12" s="52" t="s">
        <v>26</v>
      </c>
      <c r="G12" s="53"/>
    </row>
    <row r="13">
      <c r="A13" s="49">
        <v>44694.884374710644</v>
      </c>
      <c r="B13" s="50">
        <v>44695.0093574305</v>
      </c>
      <c r="C13" s="51">
        <v>1.108</v>
      </c>
      <c r="D13" s="51">
        <v>63.0</v>
      </c>
      <c r="E13" s="52" t="s">
        <v>25</v>
      </c>
      <c r="F13" s="52" t="s">
        <v>26</v>
      </c>
      <c r="G13" s="53"/>
    </row>
    <row r="14">
      <c r="A14" s="49">
        <v>44694.894809375</v>
      </c>
      <c r="B14" s="50">
        <v>44695.0197795717</v>
      </c>
      <c r="C14" s="51">
        <v>1.108</v>
      </c>
      <c r="D14" s="51">
        <v>64.0</v>
      </c>
      <c r="E14" s="52" t="s">
        <v>25</v>
      </c>
      <c r="F14" s="52" t="s">
        <v>26</v>
      </c>
      <c r="G14" s="53"/>
    </row>
    <row r="15">
      <c r="A15" s="49">
        <v>44694.90521652778</v>
      </c>
      <c r="B15" s="50">
        <v>44695.0301999652</v>
      </c>
      <c r="C15" s="51">
        <v>1.108</v>
      </c>
      <c r="D15" s="51">
        <v>64.0</v>
      </c>
      <c r="E15" s="52" t="s">
        <v>25</v>
      </c>
      <c r="F15" s="52" t="s">
        <v>26</v>
      </c>
      <c r="G15" s="53"/>
    </row>
    <row r="16">
      <c r="A16" s="49">
        <v>44694.91566303241</v>
      </c>
      <c r="B16" s="50">
        <v>44695.0406342013</v>
      </c>
      <c r="C16" s="51">
        <v>1.108</v>
      </c>
      <c r="D16" s="51">
        <v>64.0</v>
      </c>
      <c r="E16" s="52" t="s">
        <v>25</v>
      </c>
      <c r="F16" s="52" t="s">
        <v>26</v>
      </c>
      <c r="G16" s="53"/>
    </row>
    <row r="17">
      <c r="A17" s="49">
        <v>44694.92607607639</v>
      </c>
      <c r="B17" s="50">
        <v>44695.0510567592</v>
      </c>
      <c r="C17" s="51">
        <v>1.108</v>
      </c>
      <c r="D17" s="51">
        <v>65.0</v>
      </c>
      <c r="E17" s="52" t="s">
        <v>25</v>
      </c>
      <c r="F17" s="52" t="s">
        <v>26</v>
      </c>
      <c r="G17" s="53"/>
    </row>
    <row r="18">
      <c r="A18" s="49">
        <v>44694.93650930555</v>
      </c>
      <c r="B18" s="50">
        <v>44695.0614792245</v>
      </c>
      <c r="C18" s="51">
        <v>1.108</v>
      </c>
      <c r="D18" s="51">
        <v>65.0</v>
      </c>
      <c r="E18" s="52" t="s">
        <v>25</v>
      </c>
      <c r="F18" s="52" t="s">
        <v>26</v>
      </c>
      <c r="G18" s="53"/>
    </row>
    <row r="19">
      <c r="A19" s="49">
        <v>44694.94692927084</v>
      </c>
      <c r="B19" s="50">
        <v>44695.0719012152</v>
      </c>
      <c r="C19" s="51">
        <v>1.108</v>
      </c>
      <c r="D19" s="51">
        <v>65.0</v>
      </c>
      <c r="E19" s="52" t="s">
        <v>25</v>
      </c>
      <c r="F19" s="52" t="s">
        <v>26</v>
      </c>
      <c r="G19" s="53"/>
    </row>
    <row r="20">
      <c r="A20" s="49">
        <v>44694.95736476852</v>
      </c>
      <c r="B20" s="50">
        <v>44695.0823336458</v>
      </c>
      <c r="C20" s="51">
        <v>1.108</v>
      </c>
      <c r="D20" s="51">
        <v>65.0</v>
      </c>
      <c r="E20" s="52" t="s">
        <v>25</v>
      </c>
      <c r="F20" s="52" t="s">
        <v>26</v>
      </c>
      <c r="G20" s="53"/>
    </row>
    <row r="21">
      <c r="A21" s="49">
        <v>44694.96777752315</v>
      </c>
      <c r="B21" s="50">
        <v>44695.0927552546</v>
      </c>
      <c r="C21" s="51">
        <v>1.108</v>
      </c>
      <c r="D21" s="51">
        <v>65.0</v>
      </c>
      <c r="E21" s="52" t="s">
        <v>25</v>
      </c>
      <c r="F21" s="52" t="s">
        <v>26</v>
      </c>
      <c r="G21" s="53"/>
    </row>
    <row r="22">
      <c r="A22" s="49">
        <v>44694.978190636575</v>
      </c>
      <c r="B22" s="50">
        <v>44695.1031754861</v>
      </c>
      <c r="C22" s="51">
        <v>1.108</v>
      </c>
      <c r="D22" s="51">
        <v>65.0</v>
      </c>
      <c r="E22" s="52" t="s">
        <v>25</v>
      </c>
      <c r="F22" s="52" t="s">
        <v>26</v>
      </c>
      <c r="G22" s="53"/>
    </row>
    <row r="23">
      <c r="A23" s="49">
        <v>44694.98868412037</v>
      </c>
      <c r="B23" s="50">
        <v>44695.1136539583</v>
      </c>
      <c r="C23" s="51">
        <v>1.108</v>
      </c>
      <c r="D23" s="51">
        <v>65.0</v>
      </c>
      <c r="E23" s="52" t="s">
        <v>25</v>
      </c>
      <c r="F23" s="52" t="s">
        <v>26</v>
      </c>
      <c r="G23" s="53"/>
    </row>
    <row r="24">
      <c r="A24" s="49">
        <v>44694.99911606481</v>
      </c>
      <c r="B24" s="50">
        <v>44695.1240859722</v>
      </c>
      <c r="C24" s="51">
        <v>1.108</v>
      </c>
      <c r="D24" s="51">
        <v>65.0</v>
      </c>
      <c r="E24" s="52" t="s">
        <v>25</v>
      </c>
      <c r="F24" s="52" t="s">
        <v>26</v>
      </c>
      <c r="G24" s="53"/>
    </row>
    <row r="25">
      <c r="A25" s="49">
        <v>44695.00953459491</v>
      </c>
      <c r="B25" s="50">
        <v>44695.1345071296</v>
      </c>
      <c r="C25" s="51">
        <v>1.108</v>
      </c>
      <c r="D25" s="51">
        <v>65.0</v>
      </c>
      <c r="E25" s="52" t="s">
        <v>25</v>
      </c>
      <c r="F25" s="52" t="s">
        <v>26</v>
      </c>
      <c r="G25" s="53"/>
    </row>
    <row r="26">
      <c r="A26" s="49">
        <v>44695.01996388889</v>
      </c>
      <c r="B26" s="50">
        <v>44695.1449406944</v>
      </c>
      <c r="C26" s="51">
        <v>1.108</v>
      </c>
      <c r="D26" s="51">
        <v>65.0</v>
      </c>
      <c r="E26" s="52" t="s">
        <v>25</v>
      </c>
      <c r="F26" s="52" t="s">
        <v>26</v>
      </c>
      <c r="G26" s="53"/>
    </row>
    <row r="27">
      <c r="A27" s="49">
        <v>44695.030387430554</v>
      </c>
      <c r="B27" s="50">
        <v>44695.155362037</v>
      </c>
      <c r="C27" s="51">
        <v>1.108</v>
      </c>
      <c r="D27" s="51">
        <v>65.0</v>
      </c>
      <c r="E27" s="52" t="s">
        <v>25</v>
      </c>
      <c r="F27" s="52" t="s">
        <v>26</v>
      </c>
      <c r="G27" s="53"/>
    </row>
    <row r="28">
      <c r="A28" s="49">
        <v>44695.04080744213</v>
      </c>
      <c r="B28" s="50">
        <v>44695.1657830208</v>
      </c>
      <c r="C28" s="51">
        <v>1.108</v>
      </c>
      <c r="D28" s="51">
        <v>65.0</v>
      </c>
      <c r="E28" s="52" t="s">
        <v>25</v>
      </c>
      <c r="F28" s="52" t="s">
        <v>26</v>
      </c>
      <c r="G28" s="53"/>
    </row>
    <row r="29">
      <c r="A29" s="49">
        <v>44695.0512366551</v>
      </c>
      <c r="B29" s="50">
        <v>44695.1762048611</v>
      </c>
      <c r="C29" s="51">
        <v>1.108</v>
      </c>
      <c r="D29" s="51">
        <v>65.0</v>
      </c>
      <c r="E29" s="52" t="s">
        <v>25</v>
      </c>
      <c r="F29" s="52" t="s">
        <v>26</v>
      </c>
      <c r="G29" s="53"/>
    </row>
    <row r="30">
      <c r="A30" s="49">
        <v>44695.06165079861</v>
      </c>
      <c r="B30" s="50">
        <v>44695.1866267013</v>
      </c>
      <c r="C30" s="51">
        <v>1.108</v>
      </c>
      <c r="D30" s="51">
        <v>65.0</v>
      </c>
      <c r="E30" s="52" t="s">
        <v>25</v>
      </c>
      <c r="F30" s="52" t="s">
        <v>26</v>
      </c>
      <c r="G30" s="53"/>
    </row>
    <row r="31">
      <c r="A31" s="49">
        <v>44695.072086354165</v>
      </c>
      <c r="B31" s="50">
        <v>44695.1970479976</v>
      </c>
      <c r="C31" s="51">
        <v>1.107</v>
      </c>
      <c r="D31" s="51">
        <v>65.0</v>
      </c>
      <c r="E31" s="52" t="s">
        <v>25</v>
      </c>
      <c r="F31" s="52" t="s">
        <v>26</v>
      </c>
      <c r="G31" s="53"/>
    </row>
    <row r="32">
      <c r="A32" s="49">
        <v>44695.082496620365</v>
      </c>
      <c r="B32" s="50">
        <v>44695.2074704051</v>
      </c>
      <c r="C32" s="51">
        <v>1.108</v>
      </c>
      <c r="D32" s="51">
        <v>65.0</v>
      </c>
      <c r="E32" s="52" t="s">
        <v>25</v>
      </c>
      <c r="F32" s="52" t="s">
        <v>26</v>
      </c>
      <c r="G32" s="53"/>
    </row>
    <row r="33">
      <c r="A33" s="49">
        <v>44695.092921076386</v>
      </c>
      <c r="B33" s="50">
        <v>44695.2179039467</v>
      </c>
      <c r="C33" s="51">
        <v>1.108</v>
      </c>
      <c r="D33" s="51">
        <v>65.0</v>
      </c>
      <c r="E33" s="52" t="s">
        <v>25</v>
      </c>
      <c r="F33" s="52" t="s">
        <v>26</v>
      </c>
      <c r="G33" s="53"/>
    </row>
    <row r="34">
      <c r="A34" s="49">
        <v>44695.10335696759</v>
      </c>
      <c r="B34" s="50">
        <v>44695.2283262268</v>
      </c>
      <c r="C34" s="51">
        <v>1.108</v>
      </c>
      <c r="D34" s="51">
        <v>65.0</v>
      </c>
      <c r="E34" s="52" t="s">
        <v>25</v>
      </c>
      <c r="F34" s="52" t="s">
        <v>26</v>
      </c>
      <c r="G34" s="53"/>
    </row>
    <row r="35">
      <c r="A35" s="49">
        <v>44695.113773391204</v>
      </c>
      <c r="B35" s="50">
        <v>44695.238747581</v>
      </c>
      <c r="C35" s="51">
        <v>1.107</v>
      </c>
      <c r="D35" s="51">
        <v>65.0</v>
      </c>
      <c r="E35" s="52" t="s">
        <v>25</v>
      </c>
      <c r="F35" s="52" t="s">
        <v>26</v>
      </c>
      <c r="G35" s="53"/>
    </row>
    <row r="36">
      <c r="A36" s="49">
        <v>44695.12419033565</v>
      </c>
      <c r="B36" s="50">
        <v>44695.2491676851</v>
      </c>
      <c r="C36" s="51">
        <v>1.107</v>
      </c>
      <c r="D36" s="51">
        <v>65.0</v>
      </c>
      <c r="E36" s="52" t="s">
        <v>25</v>
      </c>
      <c r="F36" s="52" t="s">
        <v>26</v>
      </c>
      <c r="G36" s="53"/>
    </row>
    <row r="37">
      <c r="A37" s="49">
        <v>44695.13462445602</v>
      </c>
      <c r="B37" s="50">
        <v>44695.2595881481</v>
      </c>
      <c r="C37" s="51">
        <v>1.107</v>
      </c>
      <c r="D37" s="51">
        <v>65.0</v>
      </c>
      <c r="E37" s="52" t="s">
        <v>25</v>
      </c>
      <c r="F37" s="52" t="s">
        <v>26</v>
      </c>
      <c r="G37" s="53"/>
    </row>
    <row r="38">
      <c r="A38" s="49">
        <v>44695.14504633102</v>
      </c>
      <c r="B38" s="50">
        <v>44695.2700215046</v>
      </c>
      <c r="C38" s="51">
        <v>1.107</v>
      </c>
      <c r="D38" s="51">
        <v>65.0</v>
      </c>
      <c r="E38" s="52" t="s">
        <v>25</v>
      </c>
      <c r="F38" s="52" t="s">
        <v>26</v>
      </c>
      <c r="G38" s="53"/>
    </row>
    <row r="39">
      <c r="A39" s="49">
        <v>44695.15546484954</v>
      </c>
      <c r="B39" s="50">
        <v>44695.2804416666</v>
      </c>
      <c r="C39" s="51">
        <v>1.107</v>
      </c>
      <c r="D39" s="51">
        <v>65.0</v>
      </c>
      <c r="E39" s="52" t="s">
        <v>25</v>
      </c>
      <c r="F39" s="52" t="s">
        <v>26</v>
      </c>
      <c r="G39" s="53"/>
    </row>
    <row r="40">
      <c r="A40" s="49">
        <v>44695.16589040509</v>
      </c>
      <c r="B40" s="50">
        <v>44695.2908633449</v>
      </c>
      <c r="C40" s="51">
        <v>1.107</v>
      </c>
      <c r="D40" s="51">
        <v>65.0</v>
      </c>
      <c r="E40" s="52" t="s">
        <v>25</v>
      </c>
      <c r="F40" s="52" t="s">
        <v>26</v>
      </c>
      <c r="G40" s="53"/>
    </row>
    <row r="41">
      <c r="A41" s="49">
        <v>44695.17631228009</v>
      </c>
      <c r="B41" s="50">
        <v>44695.3012853588</v>
      </c>
      <c r="C41" s="51">
        <v>1.107</v>
      </c>
      <c r="D41" s="51">
        <v>65.0</v>
      </c>
      <c r="E41" s="52" t="s">
        <v>25</v>
      </c>
      <c r="F41" s="52" t="s">
        <v>26</v>
      </c>
      <c r="G41" s="53"/>
    </row>
    <row r="42">
      <c r="A42" s="49">
        <v>44695.18672943287</v>
      </c>
      <c r="B42" s="50">
        <v>44695.3117048032</v>
      </c>
      <c r="C42" s="51">
        <v>1.107</v>
      </c>
      <c r="D42" s="51">
        <v>65.0</v>
      </c>
      <c r="E42" s="52" t="s">
        <v>25</v>
      </c>
      <c r="F42" s="52" t="s">
        <v>26</v>
      </c>
      <c r="G42" s="53"/>
    </row>
    <row r="43">
      <c r="A43" s="49">
        <v>44695.19714671296</v>
      </c>
      <c r="B43" s="50">
        <v>44695.3221248263</v>
      </c>
      <c r="C43" s="51">
        <v>1.107</v>
      </c>
      <c r="D43" s="51">
        <v>65.0</v>
      </c>
      <c r="E43" s="52" t="s">
        <v>25</v>
      </c>
      <c r="F43" s="52" t="s">
        <v>26</v>
      </c>
      <c r="G43" s="53"/>
    </row>
    <row r="44">
      <c r="A44" s="49">
        <v>44695.20756928241</v>
      </c>
      <c r="B44" s="50">
        <v>44695.3325440856</v>
      </c>
      <c r="C44" s="51">
        <v>1.107</v>
      </c>
      <c r="D44" s="51">
        <v>65.0</v>
      </c>
      <c r="E44" s="52" t="s">
        <v>25</v>
      </c>
      <c r="F44" s="52" t="s">
        <v>26</v>
      </c>
      <c r="G44" s="53"/>
    </row>
    <row r="45">
      <c r="A45" s="49">
        <v>44695.21799262732</v>
      </c>
      <c r="B45" s="50">
        <v>44695.3429673032</v>
      </c>
      <c r="C45" s="51">
        <v>1.107</v>
      </c>
      <c r="D45" s="51">
        <v>64.0</v>
      </c>
      <c r="E45" s="52" t="s">
        <v>25</v>
      </c>
      <c r="F45" s="52" t="s">
        <v>26</v>
      </c>
      <c r="G45" s="53"/>
    </row>
    <row r="46">
      <c r="A46" s="49">
        <v>44695.22840364583</v>
      </c>
      <c r="B46" s="50">
        <v>44695.3533865856</v>
      </c>
      <c r="C46" s="51">
        <v>1.107</v>
      </c>
      <c r="D46" s="51">
        <v>65.0</v>
      </c>
      <c r="E46" s="52" t="s">
        <v>25</v>
      </c>
      <c r="F46" s="52" t="s">
        <v>26</v>
      </c>
      <c r="G46" s="53"/>
    </row>
    <row r="47">
      <c r="A47" s="49">
        <v>44695.238833055555</v>
      </c>
      <c r="B47" s="50">
        <v>44695.3638061921</v>
      </c>
      <c r="C47" s="51">
        <v>1.107</v>
      </c>
      <c r="D47" s="51">
        <v>65.0</v>
      </c>
      <c r="E47" s="52" t="s">
        <v>25</v>
      </c>
      <c r="F47" s="52" t="s">
        <v>26</v>
      </c>
      <c r="G47" s="53"/>
    </row>
    <row r="48">
      <c r="A48" s="49">
        <v>44695.249253726855</v>
      </c>
      <c r="B48" s="50">
        <v>44695.3742260995</v>
      </c>
      <c r="C48" s="51">
        <v>1.107</v>
      </c>
      <c r="D48" s="51">
        <v>65.0</v>
      </c>
      <c r="E48" s="52" t="s">
        <v>25</v>
      </c>
      <c r="F48" s="52" t="s">
        <v>26</v>
      </c>
      <c r="G48" s="53"/>
    </row>
    <row r="49">
      <c r="A49" s="49">
        <v>44695.25967775463</v>
      </c>
      <c r="B49" s="50">
        <v>44695.3846598611</v>
      </c>
      <c r="C49" s="51">
        <v>1.107</v>
      </c>
      <c r="D49" s="51">
        <v>65.0</v>
      </c>
      <c r="E49" s="52" t="s">
        <v>25</v>
      </c>
      <c r="F49" s="52" t="s">
        <v>26</v>
      </c>
      <c r="G49" s="53"/>
    </row>
    <row r="50">
      <c r="A50" s="49">
        <v>44695.27011113426</v>
      </c>
      <c r="B50" s="50">
        <v>44695.3950810879</v>
      </c>
      <c r="C50" s="51">
        <v>1.107</v>
      </c>
      <c r="D50" s="51">
        <v>65.0</v>
      </c>
      <c r="E50" s="52" t="s">
        <v>25</v>
      </c>
      <c r="F50" s="52" t="s">
        <v>26</v>
      </c>
      <c r="G50" s="53"/>
    </row>
    <row r="51">
      <c r="A51" s="49">
        <v>44695.28052678241</v>
      </c>
      <c r="B51" s="50">
        <v>44695.4055015046</v>
      </c>
      <c r="C51" s="51">
        <v>1.107</v>
      </c>
      <c r="D51" s="51">
        <v>65.0</v>
      </c>
      <c r="E51" s="52" t="s">
        <v>25</v>
      </c>
      <c r="F51" s="52" t="s">
        <v>26</v>
      </c>
      <c r="G51" s="53"/>
    </row>
    <row r="52">
      <c r="A52" s="49">
        <v>44695.29095784722</v>
      </c>
      <c r="B52" s="50">
        <v>44695.4159343981</v>
      </c>
      <c r="C52" s="51">
        <v>1.107</v>
      </c>
      <c r="D52" s="51">
        <v>64.0</v>
      </c>
      <c r="E52" s="52" t="s">
        <v>25</v>
      </c>
      <c r="F52" s="52" t="s">
        <v>26</v>
      </c>
      <c r="G52" s="53"/>
    </row>
    <row r="53">
      <c r="A53" s="49">
        <v>44695.30138153935</v>
      </c>
      <c r="B53" s="50">
        <v>44695.4263559838</v>
      </c>
      <c r="C53" s="51">
        <v>1.107</v>
      </c>
      <c r="D53" s="51">
        <v>65.0</v>
      </c>
      <c r="E53" s="52" t="s">
        <v>25</v>
      </c>
      <c r="F53" s="52" t="s">
        <v>26</v>
      </c>
      <c r="G53" s="53"/>
    </row>
    <row r="54">
      <c r="A54" s="49">
        <v>44695.3118053588</v>
      </c>
      <c r="B54" s="50">
        <v>44695.4367776273</v>
      </c>
      <c r="C54" s="51">
        <v>1.107</v>
      </c>
      <c r="D54" s="51">
        <v>65.0</v>
      </c>
      <c r="E54" s="52" t="s">
        <v>25</v>
      </c>
      <c r="F54" s="52" t="s">
        <v>26</v>
      </c>
      <c r="G54" s="53"/>
    </row>
    <row r="55">
      <c r="A55" s="49">
        <v>44695.32222210648</v>
      </c>
      <c r="B55" s="50">
        <v>44695.4472006365</v>
      </c>
      <c r="C55" s="51">
        <v>1.107</v>
      </c>
      <c r="D55" s="51">
        <v>65.0</v>
      </c>
      <c r="E55" s="52" t="s">
        <v>25</v>
      </c>
      <c r="F55" s="52" t="s">
        <v>26</v>
      </c>
      <c r="G55" s="53"/>
    </row>
    <row r="56">
      <c r="A56" s="49">
        <v>44695.332641562505</v>
      </c>
      <c r="B56" s="50">
        <v>44695.457621574</v>
      </c>
      <c r="C56" s="51">
        <v>1.107</v>
      </c>
      <c r="D56" s="51">
        <v>64.0</v>
      </c>
      <c r="E56" s="52" t="s">
        <v>25</v>
      </c>
      <c r="F56" s="52" t="s">
        <v>26</v>
      </c>
      <c r="G56" s="53"/>
    </row>
    <row r="57">
      <c r="A57" s="49">
        <v>44695.343078171296</v>
      </c>
      <c r="B57" s="50">
        <v>44695.4680433564</v>
      </c>
      <c r="C57" s="51">
        <v>1.107</v>
      </c>
      <c r="D57" s="51">
        <v>64.0</v>
      </c>
      <c r="E57" s="52" t="s">
        <v>25</v>
      </c>
      <c r="F57" s="52" t="s">
        <v>26</v>
      </c>
      <c r="G57" s="53"/>
    </row>
    <row r="58">
      <c r="A58" s="49">
        <v>44695.3535100463</v>
      </c>
      <c r="B58" s="50">
        <v>44695.4784766319</v>
      </c>
      <c r="C58" s="51">
        <v>1.107</v>
      </c>
      <c r="D58" s="51">
        <v>65.0</v>
      </c>
      <c r="E58" s="52" t="s">
        <v>25</v>
      </c>
      <c r="F58" s="52" t="s">
        <v>26</v>
      </c>
      <c r="G58" s="53"/>
    </row>
    <row r="59">
      <c r="A59" s="49">
        <v>44695.36392307871</v>
      </c>
      <c r="B59" s="50">
        <v>44695.488897581</v>
      </c>
      <c r="C59" s="51">
        <v>1.107</v>
      </c>
      <c r="D59" s="51">
        <v>65.0</v>
      </c>
      <c r="E59" s="52" t="s">
        <v>25</v>
      </c>
      <c r="F59" s="52" t="s">
        <v>26</v>
      </c>
      <c r="G59" s="53"/>
    </row>
    <row r="60">
      <c r="A60" s="49">
        <v>44695.37434138889</v>
      </c>
      <c r="B60" s="50">
        <v>44695.499318206</v>
      </c>
      <c r="C60" s="51">
        <v>1.107</v>
      </c>
      <c r="D60" s="51">
        <v>65.0</v>
      </c>
      <c r="E60" s="52" t="s">
        <v>25</v>
      </c>
      <c r="F60" s="52" t="s">
        <v>26</v>
      </c>
      <c r="G60" s="53"/>
    </row>
    <row r="61">
      <c r="A61" s="49">
        <v>44695.38477229167</v>
      </c>
      <c r="B61" s="50">
        <v>44695.509738993</v>
      </c>
      <c r="C61" s="51">
        <v>1.107</v>
      </c>
      <c r="D61" s="51">
        <v>65.0</v>
      </c>
      <c r="E61" s="52" t="s">
        <v>25</v>
      </c>
      <c r="F61" s="52" t="s">
        <v>26</v>
      </c>
      <c r="G61" s="53"/>
    </row>
    <row r="62">
      <c r="A62" s="49">
        <v>44695.39518752314</v>
      </c>
      <c r="B62" s="50">
        <v>44695.5201601273</v>
      </c>
      <c r="C62" s="51">
        <v>1.107</v>
      </c>
      <c r="D62" s="51">
        <v>65.0</v>
      </c>
      <c r="E62" s="52" t="s">
        <v>25</v>
      </c>
      <c r="F62" s="52" t="s">
        <v>26</v>
      </c>
      <c r="G62" s="53"/>
    </row>
    <row r="63">
      <c r="A63" s="49">
        <v>44695.40560059028</v>
      </c>
      <c r="B63" s="50">
        <v>44695.530582662</v>
      </c>
      <c r="C63" s="51">
        <v>1.107</v>
      </c>
      <c r="D63" s="51">
        <v>65.0</v>
      </c>
      <c r="E63" s="52" t="s">
        <v>25</v>
      </c>
      <c r="F63" s="52" t="s">
        <v>26</v>
      </c>
      <c r="G63" s="53"/>
    </row>
    <row r="64">
      <c r="A64" s="49">
        <v>44695.416032685185</v>
      </c>
      <c r="B64" s="50">
        <v>44695.541004074</v>
      </c>
      <c r="C64" s="51">
        <v>1.107</v>
      </c>
      <c r="D64" s="51">
        <v>65.0</v>
      </c>
      <c r="E64" s="52" t="s">
        <v>25</v>
      </c>
      <c r="F64" s="52" t="s">
        <v>26</v>
      </c>
      <c r="G64" s="53"/>
    </row>
    <row r="65">
      <c r="A65" s="49">
        <v>44695.42644876157</v>
      </c>
      <c r="B65" s="50">
        <v>44695.5514251851</v>
      </c>
      <c r="C65" s="51">
        <v>1.107</v>
      </c>
      <c r="D65" s="51">
        <v>65.0</v>
      </c>
      <c r="E65" s="52" t="s">
        <v>25</v>
      </c>
      <c r="F65" s="52" t="s">
        <v>26</v>
      </c>
      <c r="G65" s="53"/>
    </row>
    <row r="66">
      <c r="A66" s="49">
        <v>44695.436870509264</v>
      </c>
      <c r="B66" s="50">
        <v>44695.5618463078</v>
      </c>
      <c r="C66" s="51">
        <v>1.107</v>
      </c>
      <c r="D66" s="51">
        <v>65.0</v>
      </c>
      <c r="E66" s="52" t="s">
        <v>25</v>
      </c>
      <c r="F66" s="52" t="s">
        <v>26</v>
      </c>
      <c r="G66" s="53"/>
    </row>
    <row r="67">
      <c r="A67" s="49">
        <v>44695.44729642361</v>
      </c>
      <c r="B67" s="50">
        <v>44695.5722792824</v>
      </c>
      <c r="C67" s="51">
        <v>1.107</v>
      </c>
      <c r="D67" s="51">
        <v>65.0</v>
      </c>
      <c r="E67" s="52" t="s">
        <v>25</v>
      </c>
      <c r="F67" s="52" t="s">
        <v>26</v>
      </c>
      <c r="G67" s="53"/>
    </row>
    <row r="68">
      <c r="A68" s="49">
        <v>44695.457730243055</v>
      </c>
      <c r="B68" s="50">
        <v>44695.5827006481</v>
      </c>
      <c r="C68" s="51">
        <v>1.107</v>
      </c>
      <c r="D68" s="51">
        <v>65.0</v>
      </c>
      <c r="E68" s="52" t="s">
        <v>25</v>
      </c>
      <c r="F68" s="52" t="s">
        <v>26</v>
      </c>
      <c r="G68" s="53"/>
    </row>
    <row r="69">
      <c r="A69" s="49">
        <v>44695.468173773144</v>
      </c>
      <c r="B69" s="50">
        <v>44695.5931436342</v>
      </c>
      <c r="C69" s="51">
        <v>1.107</v>
      </c>
      <c r="D69" s="51">
        <v>65.0</v>
      </c>
      <c r="E69" s="52" t="s">
        <v>25</v>
      </c>
      <c r="F69" s="52" t="s">
        <v>26</v>
      </c>
      <c r="G69" s="53"/>
    </row>
    <row r="70">
      <c r="A70" s="49">
        <v>44695.47859048611</v>
      </c>
      <c r="B70" s="50">
        <v>44695.603565706</v>
      </c>
      <c r="C70" s="51">
        <v>1.107</v>
      </c>
      <c r="D70" s="51">
        <v>65.0</v>
      </c>
      <c r="E70" s="52" t="s">
        <v>25</v>
      </c>
      <c r="F70" s="52" t="s">
        <v>26</v>
      </c>
      <c r="G70" s="53"/>
    </row>
    <row r="71">
      <c r="A71" s="49">
        <v>44695.489017824075</v>
      </c>
      <c r="B71" s="50">
        <v>44695.6139879745</v>
      </c>
      <c r="C71" s="51">
        <v>1.107</v>
      </c>
      <c r="D71" s="51">
        <v>65.0</v>
      </c>
      <c r="E71" s="52" t="s">
        <v>25</v>
      </c>
      <c r="F71" s="52" t="s">
        <v>26</v>
      </c>
      <c r="G71" s="53"/>
    </row>
    <row r="72">
      <c r="A72" s="49">
        <v>44695.49943927083</v>
      </c>
      <c r="B72" s="50">
        <v>44695.624409456</v>
      </c>
      <c r="C72" s="51">
        <v>1.107</v>
      </c>
      <c r="D72" s="51">
        <v>65.0</v>
      </c>
      <c r="E72" s="52" t="s">
        <v>25</v>
      </c>
      <c r="F72" s="52" t="s">
        <v>26</v>
      </c>
      <c r="G72" s="53"/>
    </row>
    <row r="73">
      <c r="A73" s="49">
        <v>44695.50985685185</v>
      </c>
      <c r="B73" s="50">
        <v>44695.6348298958</v>
      </c>
      <c r="C73" s="51">
        <v>1.107</v>
      </c>
      <c r="D73" s="51">
        <v>65.0</v>
      </c>
      <c r="E73" s="52" t="s">
        <v>25</v>
      </c>
      <c r="F73" s="52" t="s">
        <v>26</v>
      </c>
      <c r="G73" s="53"/>
    </row>
    <row r="74">
      <c r="A74" s="49">
        <v>44695.52027138889</v>
      </c>
      <c r="B74" s="50">
        <v>44695.6452528703</v>
      </c>
      <c r="C74" s="51">
        <v>1.108</v>
      </c>
      <c r="D74" s="51">
        <v>65.0</v>
      </c>
      <c r="E74" s="52" t="s">
        <v>25</v>
      </c>
      <c r="F74" s="52" t="s">
        <v>26</v>
      </c>
      <c r="G74" s="53"/>
    </row>
    <row r="75">
      <c r="A75" s="49">
        <v>44695.53069601852</v>
      </c>
      <c r="B75" s="50">
        <v>44695.6556734838</v>
      </c>
      <c r="C75" s="51">
        <v>1.108</v>
      </c>
      <c r="D75" s="51">
        <v>65.0</v>
      </c>
      <c r="E75" s="52" t="s">
        <v>25</v>
      </c>
      <c r="F75" s="52" t="s">
        <v>26</v>
      </c>
      <c r="G75" s="53"/>
    </row>
    <row r="76">
      <c r="A76" s="49">
        <v>44695.54113591435</v>
      </c>
      <c r="B76" s="50">
        <v>44695.666106493</v>
      </c>
      <c r="C76" s="51">
        <v>1.108</v>
      </c>
      <c r="D76" s="51">
        <v>65.0</v>
      </c>
      <c r="E76" s="52" t="s">
        <v>25</v>
      </c>
      <c r="F76" s="52" t="s">
        <v>26</v>
      </c>
      <c r="G76" s="53"/>
    </row>
    <row r="77">
      <c r="A77" s="49">
        <v>44695.55155179398</v>
      </c>
      <c r="B77" s="50">
        <v>44695.6765289699</v>
      </c>
      <c r="C77" s="51">
        <v>1.108</v>
      </c>
      <c r="D77" s="51">
        <v>65.0</v>
      </c>
      <c r="E77" s="52" t="s">
        <v>25</v>
      </c>
      <c r="F77" s="52" t="s">
        <v>26</v>
      </c>
      <c r="G77" s="53"/>
    </row>
    <row r="78">
      <c r="A78" s="49">
        <v>44695.561985312495</v>
      </c>
      <c r="B78" s="50">
        <v>44695.6869617708</v>
      </c>
      <c r="C78" s="51">
        <v>1.108</v>
      </c>
      <c r="D78" s="51">
        <v>65.0</v>
      </c>
      <c r="E78" s="52" t="s">
        <v>25</v>
      </c>
      <c r="F78" s="52" t="s">
        <v>26</v>
      </c>
      <c r="G78" s="53"/>
    </row>
    <row r="79">
      <c r="A79" s="49">
        <v>44695.5724071875</v>
      </c>
      <c r="B79" s="50">
        <v>44695.6973820023</v>
      </c>
      <c r="C79" s="51">
        <v>1.107</v>
      </c>
      <c r="D79" s="51">
        <v>64.0</v>
      </c>
      <c r="E79" s="52" t="s">
        <v>25</v>
      </c>
      <c r="F79" s="52" t="s">
        <v>26</v>
      </c>
      <c r="G79" s="53"/>
    </row>
    <row r="80">
      <c r="A80" s="49">
        <v>44695.58284537037</v>
      </c>
      <c r="B80" s="50">
        <v>44695.707824375</v>
      </c>
      <c r="C80" s="51">
        <v>1.107</v>
      </c>
      <c r="D80" s="51">
        <v>64.0</v>
      </c>
      <c r="E80" s="52" t="s">
        <v>25</v>
      </c>
      <c r="F80" s="52" t="s">
        <v>26</v>
      </c>
      <c r="G80" s="53"/>
    </row>
    <row r="81">
      <c r="A81" s="49">
        <v>44695.593275231484</v>
      </c>
      <c r="B81" s="50">
        <v>44695.7182462384</v>
      </c>
      <c r="C81" s="51">
        <v>1.107</v>
      </c>
      <c r="D81" s="51">
        <v>64.0</v>
      </c>
      <c r="E81" s="52" t="s">
        <v>25</v>
      </c>
      <c r="F81" s="52" t="s">
        <v>26</v>
      </c>
      <c r="G81" s="53"/>
    </row>
    <row r="82">
      <c r="A82" s="49">
        <v>44695.60369422454</v>
      </c>
      <c r="B82" s="50">
        <v>44695.7286675231</v>
      </c>
      <c r="C82" s="51">
        <v>1.107</v>
      </c>
      <c r="D82" s="51">
        <v>64.0</v>
      </c>
      <c r="E82" s="52" t="s">
        <v>25</v>
      </c>
      <c r="F82" s="52" t="s">
        <v>26</v>
      </c>
      <c r="G82" s="53"/>
    </row>
    <row r="83">
      <c r="A83" s="49">
        <v>44695.61410888888</v>
      </c>
      <c r="B83" s="50">
        <v>44695.7390871412</v>
      </c>
      <c r="C83" s="51">
        <v>1.107</v>
      </c>
      <c r="D83" s="51">
        <v>65.0</v>
      </c>
      <c r="E83" s="52" t="s">
        <v>25</v>
      </c>
      <c r="F83" s="52" t="s">
        <v>26</v>
      </c>
      <c r="G83" s="53"/>
    </row>
    <row r="84">
      <c r="A84" s="49">
        <v>44695.62452886574</v>
      </c>
      <c r="B84" s="50">
        <v>44695.7495078356</v>
      </c>
      <c r="C84" s="51">
        <v>1.106</v>
      </c>
      <c r="D84" s="51">
        <v>65.0</v>
      </c>
      <c r="E84" s="52" t="s">
        <v>25</v>
      </c>
      <c r="F84" s="52" t="s">
        <v>26</v>
      </c>
      <c r="G84" s="53"/>
    </row>
    <row r="85">
      <c r="A85" s="49">
        <v>44695.634957268514</v>
      </c>
      <c r="B85" s="50">
        <v>44695.7599293865</v>
      </c>
      <c r="C85" s="51">
        <v>1.106</v>
      </c>
      <c r="D85" s="51">
        <v>65.0</v>
      </c>
      <c r="E85" s="52" t="s">
        <v>25</v>
      </c>
      <c r="F85" s="52" t="s">
        <v>26</v>
      </c>
      <c r="G85" s="53"/>
    </row>
    <row r="86">
      <c r="A86" s="49">
        <v>44695.64537751157</v>
      </c>
      <c r="B86" s="50">
        <v>44695.7703493518</v>
      </c>
      <c r="C86" s="51">
        <v>1.106</v>
      </c>
      <c r="D86" s="51">
        <v>65.0</v>
      </c>
      <c r="E86" s="52" t="s">
        <v>25</v>
      </c>
      <c r="F86" s="52" t="s">
        <v>26</v>
      </c>
      <c r="G86" s="53"/>
    </row>
    <row r="87">
      <c r="A87" s="49">
        <v>44695.6557993287</v>
      </c>
      <c r="B87" s="50">
        <v>44695.7807696527</v>
      </c>
      <c r="C87" s="51">
        <v>1.106</v>
      </c>
      <c r="D87" s="51">
        <v>65.0</v>
      </c>
      <c r="E87" s="52" t="s">
        <v>25</v>
      </c>
      <c r="F87" s="52" t="s">
        <v>26</v>
      </c>
      <c r="G87" s="53"/>
    </row>
    <row r="88">
      <c r="A88" s="49">
        <v>44695.66621821759</v>
      </c>
      <c r="B88" s="50">
        <v>44695.7911905092</v>
      </c>
      <c r="C88" s="51">
        <v>1.106</v>
      </c>
      <c r="D88" s="51">
        <v>65.0</v>
      </c>
      <c r="E88" s="52" t="s">
        <v>25</v>
      </c>
      <c r="F88" s="52" t="s">
        <v>26</v>
      </c>
      <c r="G88" s="53"/>
    </row>
    <row r="89">
      <c r="A89" s="49">
        <v>44695.67664114584</v>
      </c>
      <c r="B89" s="50">
        <v>44695.8016118287</v>
      </c>
      <c r="C89" s="51">
        <v>1.107</v>
      </c>
      <c r="D89" s="51">
        <v>65.0</v>
      </c>
      <c r="E89" s="52" t="s">
        <v>25</v>
      </c>
      <c r="F89" s="52" t="s">
        <v>26</v>
      </c>
      <c r="G89" s="53"/>
    </row>
    <row r="90">
      <c r="A90" s="49">
        <v>44695.68705515046</v>
      </c>
      <c r="B90" s="50">
        <v>44695.8120324537</v>
      </c>
      <c r="C90" s="51">
        <v>1.107</v>
      </c>
      <c r="D90" s="51">
        <v>65.0</v>
      </c>
      <c r="E90" s="52" t="s">
        <v>25</v>
      </c>
      <c r="F90" s="52" t="s">
        <v>26</v>
      </c>
      <c r="G90" s="53"/>
    </row>
    <row r="91">
      <c r="A91" s="49">
        <v>44695.69749384259</v>
      </c>
      <c r="B91" s="50">
        <v>44695.822464618</v>
      </c>
      <c r="C91" s="51">
        <v>1.106</v>
      </c>
      <c r="D91" s="51">
        <v>65.0</v>
      </c>
      <c r="E91" s="52" t="s">
        <v>25</v>
      </c>
      <c r="F91" s="52" t="s">
        <v>26</v>
      </c>
      <c r="G91" s="53"/>
    </row>
    <row r="92">
      <c r="A92" s="49">
        <v>44695.70791652778</v>
      </c>
      <c r="B92" s="50">
        <v>44695.8328849768</v>
      </c>
      <c r="C92" s="51">
        <v>1.106</v>
      </c>
      <c r="D92" s="51">
        <v>65.0</v>
      </c>
      <c r="E92" s="52" t="s">
        <v>25</v>
      </c>
      <c r="F92" s="52" t="s">
        <v>26</v>
      </c>
      <c r="G92" s="53"/>
    </row>
    <row r="93">
      <c r="A93" s="49">
        <v>44695.71833260417</v>
      </c>
      <c r="B93" s="50">
        <v>44695.8433048842</v>
      </c>
      <c r="C93" s="51">
        <v>1.106</v>
      </c>
      <c r="D93" s="51">
        <v>65.0</v>
      </c>
      <c r="E93" s="52" t="s">
        <v>25</v>
      </c>
      <c r="F93" s="52" t="s">
        <v>26</v>
      </c>
      <c r="G93" s="53"/>
    </row>
    <row r="94">
      <c r="A94" s="49">
        <v>44695.72875041667</v>
      </c>
      <c r="B94" s="50">
        <v>44695.8537259953</v>
      </c>
      <c r="C94" s="51">
        <v>1.106</v>
      </c>
      <c r="D94" s="51">
        <v>65.0</v>
      </c>
      <c r="E94" s="52" t="s">
        <v>25</v>
      </c>
      <c r="F94" s="52" t="s">
        <v>26</v>
      </c>
      <c r="G94" s="53"/>
    </row>
    <row r="95">
      <c r="A95" s="49">
        <v>44695.739173124995</v>
      </c>
      <c r="B95" s="50">
        <v>44695.8641480208</v>
      </c>
      <c r="C95" s="51">
        <v>1.106</v>
      </c>
      <c r="D95" s="51">
        <v>65.0</v>
      </c>
      <c r="E95" s="52" t="s">
        <v>25</v>
      </c>
      <c r="F95" s="52" t="s">
        <v>26</v>
      </c>
      <c r="G95" s="53"/>
    </row>
    <row r="96">
      <c r="A96" s="49">
        <v>44695.749593298606</v>
      </c>
      <c r="B96" s="50">
        <v>44695.8745695601</v>
      </c>
      <c r="C96" s="51">
        <v>1.106</v>
      </c>
      <c r="D96" s="51">
        <v>65.0</v>
      </c>
      <c r="E96" s="52" t="s">
        <v>25</v>
      </c>
      <c r="F96" s="52" t="s">
        <v>26</v>
      </c>
      <c r="G96" s="53"/>
    </row>
    <row r="97">
      <c r="A97" s="49">
        <v>44695.7600075</v>
      </c>
      <c r="B97" s="50">
        <v>44695.8849907754</v>
      </c>
      <c r="C97" s="51">
        <v>1.106</v>
      </c>
      <c r="D97" s="51">
        <v>65.0</v>
      </c>
      <c r="E97" s="52" t="s">
        <v>25</v>
      </c>
      <c r="F97" s="52" t="s">
        <v>26</v>
      </c>
      <c r="G97" s="53"/>
    </row>
    <row r="98">
      <c r="A98" s="49">
        <v>44695.77044049768</v>
      </c>
      <c r="B98" s="50">
        <v>44695.8954116898</v>
      </c>
      <c r="C98" s="51">
        <v>1.106</v>
      </c>
      <c r="D98" s="51">
        <v>65.0</v>
      </c>
      <c r="E98" s="52" t="s">
        <v>25</v>
      </c>
      <c r="F98" s="52" t="s">
        <v>26</v>
      </c>
      <c r="G98" s="53"/>
    </row>
    <row r="99">
      <c r="A99" s="49">
        <v>44695.78088364583</v>
      </c>
      <c r="B99" s="50">
        <v>44695.9058564236</v>
      </c>
      <c r="C99" s="51">
        <v>1.106</v>
      </c>
      <c r="D99" s="51">
        <v>65.0</v>
      </c>
      <c r="E99" s="52" t="s">
        <v>25</v>
      </c>
      <c r="F99" s="52" t="s">
        <v>26</v>
      </c>
      <c r="G99" s="53"/>
    </row>
    <row r="100">
      <c r="A100" s="49">
        <v>44695.79130056713</v>
      </c>
      <c r="B100" s="50">
        <v>44695.9162772453</v>
      </c>
      <c r="C100" s="51">
        <v>1.106</v>
      </c>
      <c r="D100" s="51">
        <v>65.0</v>
      </c>
      <c r="E100" s="52" t="s">
        <v>25</v>
      </c>
      <c r="F100" s="52" t="s">
        <v>26</v>
      </c>
      <c r="G100" s="53"/>
    </row>
    <row r="101">
      <c r="A101" s="49">
        <v>44695.80172625</v>
      </c>
      <c r="B101" s="50">
        <v>44695.9266985301</v>
      </c>
      <c r="C101" s="51">
        <v>1.106</v>
      </c>
      <c r="D101" s="51">
        <v>65.0</v>
      </c>
      <c r="E101" s="52" t="s">
        <v>25</v>
      </c>
      <c r="F101" s="52" t="s">
        <v>26</v>
      </c>
      <c r="G101" s="53"/>
    </row>
    <row r="102">
      <c r="A102" s="49">
        <v>44695.81216023148</v>
      </c>
      <c r="B102" s="50">
        <v>44695.9371312152</v>
      </c>
      <c r="C102" s="51">
        <v>1.106</v>
      </c>
      <c r="D102" s="51">
        <v>65.0</v>
      </c>
      <c r="E102" s="52" t="s">
        <v>25</v>
      </c>
      <c r="F102" s="52" t="s">
        <v>26</v>
      </c>
      <c r="G102" s="53"/>
    </row>
    <row r="103">
      <c r="A103" s="49">
        <v>44695.82257605324</v>
      </c>
      <c r="B103" s="50">
        <v>44695.9475549884</v>
      </c>
      <c r="C103" s="51">
        <v>1.106</v>
      </c>
      <c r="D103" s="51">
        <v>65.0</v>
      </c>
      <c r="E103" s="52" t="s">
        <v>25</v>
      </c>
      <c r="F103" s="52" t="s">
        <v>26</v>
      </c>
      <c r="G103" s="53"/>
    </row>
    <row r="104">
      <c r="A104" s="49">
        <v>44695.833003935186</v>
      </c>
      <c r="B104" s="50">
        <v>44695.9579759722</v>
      </c>
      <c r="C104" s="51">
        <v>1.106</v>
      </c>
      <c r="D104" s="51">
        <v>65.0</v>
      </c>
      <c r="E104" s="52" t="s">
        <v>25</v>
      </c>
      <c r="F104" s="52" t="s">
        <v>26</v>
      </c>
      <c r="G104" s="53"/>
    </row>
    <row r="105">
      <c r="A105" s="49">
        <v>44695.84342016204</v>
      </c>
      <c r="B105" s="50">
        <v>44695.9683962962</v>
      </c>
      <c r="C105" s="51">
        <v>1.106</v>
      </c>
      <c r="D105" s="51">
        <v>65.0</v>
      </c>
      <c r="E105" s="52" t="s">
        <v>25</v>
      </c>
      <c r="F105" s="52" t="s">
        <v>26</v>
      </c>
      <c r="G105" s="53"/>
    </row>
    <row r="106">
      <c r="A106" s="49">
        <v>44695.8538487037</v>
      </c>
      <c r="B106" s="50">
        <v>44695.9788176273</v>
      </c>
      <c r="C106" s="51">
        <v>1.106</v>
      </c>
      <c r="D106" s="51">
        <v>65.0</v>
      </c>
      <c r="E106" s="52" t="s">
        <v>25</v>
      </c>
      <c r="F106" s="52" t="s">
        <v>26</v>
      </c>
      <c r="G106" s="53"/>
    </row>
    <row r="107">
      <c r="A107" s="49">
        <v>44695.86427788195</v>
      </c>
      <c r="B107" s="50">
        <v>44695.9892491088</v>
      </c>
      <c r="C107" s="51">
        <v>1.106</v>
      </c>
      <c r="D107" s="51">
        <v>65.0</v>
      </c>
      <c r="E107" s="52" t="s">
        <v>25</v>
      </c>
      <c r="F107" s="52" t="s">
        <v>26</v>
      </c>
      <c r="G107" s="53"/>
    </row>
    <row r="108">
      <c r="A108" s="49">
        <v>44695.874712060184</v>
      </c>
      <c r="B108" s="50">
        <v>44695.9996823842</v>
      </c>
      <c r="C108" s="51">
        <v>1.106</v>
      </c>
      <c r="D108" s="51">
        <v>65.0</v>
      </c>
      <c r="E108" s="52" t="s">
        <v>25</v>
      </c>
      <c r="F108" s="52" t="s">
        <v>26</v>
      </c>
      <c r="G108" s="53"/>
    </row>
    <row r="109">
      <c r="A109" s="49">
        <v>44695.88516297453</v>
      </c>
      <c r="B109" s="50">
        <v>44696.0101390625</v>
      </c>
      <c r="C109" s="51">
        <v>1.106</v>
      </c>
      <c r="D109" s="51">
        <v>66.0</v>
      </c>
      <c r="E109" s="52" t="s">
        <v>25</v>
      </c>
      <c r="F109" s="52" t="s">
        <v>26</v>
      </c>
      <c r="G109" s="53"/>
    </row>
    <row r="110">
      <c r="A110" s="49">
        <v>44695.89559296296</v>
      </c>
      <c r="B110" s="50">
        <v>44696.0205603703</v>
      </c>
      <c r="C110" s="51">
        <v>1.106</v>
      </c>
      <c r="D110" s="51">
        <v>66.0</v>
      </c>
      <c r="E110" s="52" t="s">
        <v>25</v>
      </c>
      <c r="F110" s="52" t="s">
        <v>26</v>
      </c>
      <c r="G110" s="53"/>
    </row>
    <row r="111">
      <c r="A111" s="49">
        <v>44695.90601144676</v>
      </c>
      <c r="B111" s="50">
        <v>44696.030981956</v>
      </c>
      <c r="C111" s="51">
        <v>1.106</v>
      </c>
      <c r="D111" s="51">
        <v>66.0</v>
      </c>
      <c r="E111" s="52" t="s">
        <v>25</v>
      </c>
      <c r="F111" s="52" t="s">
        <v>26</v>
      </c>
      <c r="G111" s="53"/>
    </row>
    <row r="112">
      <c r="A112" s="49">
        <v>44695.916424537034</v>
      </c>
      <c r="B112" s="50">
        <v>44696.0414016203</v>
      </c>
      <c r="C112" s="51">
        <v>1.106</v>
      </c>
      <c r="D112" s="51">
        <v>66.0</v>
      </c>
      <c r="E112" s="52" t="s">
        <v>25</v>
      </c>
      <c r="F112" s="52" t="s">
        <v>26</v>
      </c>
      <c r="G112" s="53"/>
    </row>
    <row r="113">
      <c r="A113" s="49">
        <v>44695.92685229167</v>
      </c>
      <c r="B113" s="50">
        <v>44696.0518235763</v>
      </c>
      <c r="C113" s="51">
        <v>1.106</v>
      </c>
      <c r="D113" s="51">
        <v>66.0</v>
      </c>
      <c r="E113" s="52" t="s">
        <v>25</v>
      </c>
      <c r="F113" s="52" t="s">
        <v>26</v>
      </c>
      <c r="G113" s="53"/>
    </row>
    <row r="114">
      <c r="A114" s="49">
        <v>44695.93726872685</v>
      </c>
      <c r="B114" s="50">
        <v>44696.0622462615</v>
      </c>
      <c r="C114" s="51">
        <v>1.106</v>
      </c>
      <c r="D114" s="51">
        <v>66.0</v>
      </c>
      <c r="E114" s="52" t="s">
        <v>25</v>
      </c>
      <c r="F114" s="52" t="s">
        <v>26</v>
      </c>
      <c r="G114" s="53"/>
    </row>
    <row r="115">
      <c r="A115" s="49">
        <v>44695.9476989699</v>
      </c>
      <c r="B115" s="50">
        <v>44696.0726793171</v>
      </c>
      <c r="C115" s="51">
        <v>1.106</v>
      </c>
      <c r="D115" s="51">
        <v>66.0</v>
      </c>
      <c r="E115" s="52" t="s">
        <v>25</v>
      </c>
      <c r="F115" s="52" t="s">
        <v>26</v>
      </c>
      <c r="G115" s="53"/>
    </row>
    <row r="116">
      <c r="A116" s="49">
        <v>44695.958119849536</v>
      </c>
      <c r="B116" s="50">
        <v>44696.0830997916</v>
      </c>
      <c r="C116" s="51">
        <v>1.106</v>
      </c>
      <c r="D116" s="51">
        <v>66.0</v>
      </c>
      <c r="E116" s="52" t="s">
        <v>25</v>
      </c>
      <c r="F116" s="52" t="s">
        <v>26</v>
      </c>
      <c r="G116" s="53"/>
    </row>
    <row r="117">
      <c r="A117" s="49">
        <v>44695.96854739584</v>
      </c>
      <c r="B117" s="50">
        <v>44696.0935195601</v>
      </c>
      <c r="C117" s="51">
        <v>1.106</v>
      </c>
      <c r="D117" s="51">
        <v>66.0</v>
      </c>
      <c r="E117" s="52" t="s">
        <v>25</v>
      </c>
      <c r="F117" s="52" t="s">
        <v>26</v>
      </c>
      <c r="G117" s="53"/>
    </row>
    <row r="118">
      <c r="A118" s="49">
        <v>44695.978966724535</v>
      </c>
      <c r="B118" s="50">
        <v>44696.1039395949</v>
      </c>
      <c r="C118" s="51">
        <v>1.106</v>
      </c>
      <c r="D118" s="51">
        <v>66.0</v>
      </c>
      <c r="E118" s="52" t="s">
        <v>25</v>
      </c>
      <c r="F118" s="52" t="s">
        <v>26</v>
      </c>
      <c r="G118" s="53"/>
    </row>
    <row r="119">
      <c r="A119" s="49">
        <v>44695.98941018518</v>
      </c>
      <c r="B119" s="50">
        <v>44696.1143829398</v>
      </c>
      <c r="C119" s="51">
        <v>1.106</v>
      </c>
      <c r="D119" s="51">
        <v>66.0</v>
      </c>
      <c r="E119" s="52" t="s">
        <v>25</v>
      </c>
      <c r="F119" s="52" t="s">
        <v>26</v>
      </c>
      <c r="G119" s="53"/>
    </row>
    <row r="120">
      <c r="A120" s="49">
        <v>44695.99982590278</v>
      </c>
      <c r="B120" s="50">
        <v>44696.1248045949</v>
      </c>
      <c r="C120" s="51">
        <v>1.106</v>
      </c>
      <c r="D120" s="51">
        <v>66.0</v>
      </c>
      <c r="E120" s="52" t="s">
        <v>25</v>
      </c>
      <c r="F120" s="52" t="s">
        <v>26</v>
      </c>
      <c r="G120" s="53"/>
    </row>
    <row r="121">
      <c r="A121" s="49">
        <v>44696.01026679398</v>
      </c>
      <c r="B121" s="50">
        <v>44696.1352386226</v>
      </c>
      <c r="C121" s="51">
        <v>1.106</v>
      </c>
      <c r="D121" s="51">
        <v>66.0</v>
      </c>
      <c r="E121" s="52" t="s">
        <v>25</v>
      </c>
      <c r="F121" s="52" t="s">
        <v>26</v>
      </c>
      <c r="G121" s="53"/>
    </row>
    <row r="122">
      <c r="A122" s="49">
        <v>44696.02069982639</v>
      </c>
      <c r="B122" s="50">
        <v>44696.145673449</v>
      </c>
      <c r="C122" s="51">
        <v>1.106</v>
      </c>
      <c r="D122" s="51">
        <v>66.0</v>
      </c>
      <c r="E122" s="52" t="s">
        <v>25</v>
      </c>
      <c r="F122" s="52" t="s">
        <v>26</v>
      </c>
      <c r="G122" s="53"/>
    </row>
    <row r="123">
      <c r="A123" s="49">
        <v>44696.0311181713</v>
      </c>
      <c r="B123" s="50">
        <v>44696.1560948726</v>
      </c>
      <c r="C123" s="51">
        <v>1.106</v>
      </c>
      <c r="D123" s="51">
        <v>66.0</v>
      </c>
      <c r="E123" s="52" t="s">
        <v>25</v>
      </c>
      <c r="F123" s="52" t="s">
        <v>26</v>
      </c>
      <c r="G123" s="53"/>
    </row>
    <row r="124">
      <c r="A124" s="49">
        <v>44696.04153605324</v>
      </c>
      <c r="B124" s="50">
        <v>44696.1665151157</v>
      </c>
      <c r="C124" s="51">
        <v>1.106</v>
      </c>
      <c r="D124" s="51">
        <v>66.0</v>
      </c>
      <c r="E124" s="52" t="s">
        <v>25</v>
      </c>
      <c r="F124" s="52" t="s">
        <v>26</v>
      </c>
      <c r="G124" s="53"/>
    </row>
    <row r="125">
      <c r="A125" s="49">
        <v>44696.05196303241</v>
      </c>
      <c r="B125" s="50">
        <v>44696.1769368402</v>
      </c>
      <c r="C125" s="51">
        <v>1.106</v>
      </c>
      <c r="D125" s="51">
        <v>66.0</v>
      </c>
      <c r="E125" s="52" t="s">
        <v>25</v>
      </c>
      <c r="F125" s="52" t="s">
        <v>26</v>
      </c>
      <c r="G125" s="53"/>
    </row>
    <row r="126">
      <c r="A126" s="49">
        <v>44696.06238458333</v>
      </c>
      <c r="B126" s="50">
        <v>44696.187359375</v>
      </c>
      <c r="C126" s="51">
        <v>1.106</v>
      </c>
      <c r="D126" s="51">
        <v>66.0</v>
      </c>
      <c r="E126" s="52" t="s">
        <v>25</v>
      </c>
      <c r="F126" s="52" t="s">
        <v>26</v>
      </c>
      <c r="G126" s="53"/>
    </row>
    <row r="127">
      <c r="A127" s="49">
        <v>44696.0728039699</v>
      </c>
      <c r="B127" s="50">
        <v>44696.197780081</v>
      </c>
      <c r="C127" s="51">
        <v>1.106</v>
      </c>
      <c r="D127" s="51">
        <v>66.0</v>
      </c>
      <c r="E127" s="52" t="s">
        <v>25</v>
      </c>
      <c r="F127" s="52" t="s">
        <v>26</v>
      </c>
      <c r="G127" s="53"/>
    </row>
    <row r="128">
      <c r="A128" s="49">
        <v>44696.08322851852</v>
      </c>
      <c r="B128" s="50">
        <v>44696.2082021759</v>
      </c>
      <c r="C128" s="51">
        <v>1.105</v>
      </c>
      <c r="D128" s="51">
        <v>66.0</v>
      </c>
      <c r="E128" s="52" t="s">
        <v>25</v>
      </c>
      <c r="F128" s="52" t="s">
        <v>26</v>
      </c>
      <c r="G128" s="53"/>
    </row>
    <row r="129">
      <c r="A129" s="49">
        <v>44696.093655069446</v>
      </c>
      <c r="B129" s="50">
        <v>44696.2186348379</v>
      </c>
      <c r="C129" s="51">
        <v>1.106</v>
      </c>
      <c r="D129" s="51">
        <v>66.0</v>
      </c>
      <c r="E129" s="52" t="s">
        <v>25</v>
      </c>
      <c r="F129" s="52" t="s">
        <v>26</v>
      </c>
      <c r="G129" s="53"/>
    </row>
    <row r="130">
      <c r="A130" s="49">
        <v>44696.10409807871</v>
      </c>
      <c r="B130" s="50">
        <v>44696.2290684027</v>
      </c>
      <c r="C130" s="51">
        <v>1.106</v>
      </c>
      <c r="D130" s="51">
        <v>66.0</v>
      </c>
      <c r="E130" s="52" t="s">
        <v>25</v>
      </c>
      <c r="F130" s="52" t="s">
        <v>26</v>
      </c>
      <c r="G130" s="53"/>
    </row>
    <row r="131">
      <c r="A131" s="49">
        <v>44696.11451277778</v>
      </c>
      <c r="B131" s="50">
        <v>44696.2394907291</v>
      </c>
      <c r="C131" s="51">
        <v>1.106</v>
      </c>
      <c r="D131" s="51">
        <v>67.0</v>
      </c>
      <c r="E131" s="52" t="s">
        <v>25</v>
      </c>
      <c r="F131" s="52" t="s">
        <v>26</v>
      </c>
      <c r="G131" s="53"/>
    </row>
    <row r="132">
      <c r="A132" s="49">
        <v>44696.12492703703</v>
      </c>
      <c r="B132" s="50">
        <v>44696.2499123379</v>
      </c>
      <c r="C132" s="51">
        <v>1.106</v>
      </c>
      <c r="D132" s="51">
        <v>66.0</v>
      </c>
      <c r="E132" s="52" t="s">
        <v>25</v>
      </c>
      <c r="F132" s="52" t="s">
        <v>26</v>
      </c>
      <c r="G132" s="53"/>
    </row>
    <row r="133">
      <c r="A133" s="49">
        <v>44696.13537076389</v>
      </c>
      <c r="B133" s="50">
        <v>44696.2603435185</v>
      </c>
      <c r="C133" s="51">
        <v>1.105</v>
      </c>
      <c r="D133" s="51">
        <v>67.0</v>
      </c>
      <c r="E133" s="52" t="s">
        <v>25</v>
      </c>
      <c r="F133" s="52" t="s">
        <v>26</v>
      </c>
      <c r="G133" s="53"/>
    </row>
    <row r="134">
      <c r="A134" s="49">
        <v>44696.14578878472</v>
      </c>
      <c r="B134" s="50">
        <v>44696.2707663541</v>
      </c>
      <c r="C134" s="51">
        <v>1.105</v>
      </c>
      <c r="D134" s="51">
        <v>67.0</v>
      </c>
      <c r="E134" s="52" t="s">
        <v>25</v>
      </c>
      <c r="F134" s="52" t="s">
        <v>26</v>
      </c>
      <c r="G134" s="53"/>
    </row>
    <row r="135">
      <c r="A135" s="49">
        <v>44696.15624283565</v>
      </c>
      <c r="B135" s="50">
        <v>44696.2812111342</v>
      </c>
      <c r="C135" s="51">
        <v>1.105</v>
      </c>
      <c r="D135" s="51">
        <v>67.0</v>
      </c>
      <c r="E135" s="52" t="s">
        <v>25</v>
      </c>
      <c r="F135" s="52" t="s">
        <v>26</v>
      </c>
      <c r="G135" s="53"/>
    </row>
    <row r="136">
      <c r="A136" s="49">
        <v>44696.16666206019</v>
      </c>
      <c r="B136" s="50">
        <v>44696.2916327083</v>
      </c>
      <c r="C136" s="51">
        <v>1.105</v>
      </c>
      <c r="D136" s="51">
        <v>67.0</v>
      </c>
      <c r="E136" s="52" t="s">
        <v>25</v>
      </c>
      <c r="F136" s="52" t="s">
        <v>26</v>
      </c>
      <c r="G136" s="53"/>
    </row>
    <row r="137">
      <c r="A137" s="49">
        <v>44696.17708204861</v>
      </c>
      <c r="B137" s="50">
        <v>44696.3020535069</v>
      </c>
      <c r="C137" s="51">
        <v>1.105</v>
      </c>
      <c r="D137" s="51">
        <v>67.0</v>
      </c>
      <c r="E137" s="52" t="s">
        <v>25</v>
      </c>
      <c r="F137" s="52" t="s">
        <v>26</v>
      </c>
      <c r="G137" s="53"/>
    </row>
    <row r="138">
      <c r="A138" s="49">
        <v>44696.187497349536</v>
      </c>
      <c r="B138" s="50">
        <v>44696.3124738078</v>
      </c>
      <c r="C138" s="51">
        <v>1.105</v>
      </c>
      <c r="D138" s="51">
        <v>67.0</v>
      </c>
      <c r="E138" s="52" t="s">
        <v>25</v>
      </c>
      <c r="F138" s="52" t="s">
        <v>26</v>
      </c>
      <c r="G138" s="53"/>
    </row>
    <row r="139">
      <c r="A139" s="49">
        <v>44696.19792202546</v>
      </c>
      <c r="B139" s="50">
        <v>44696.3228941087</v>
      </c>
      <c r="C139" s="51">
        <v>1.105</v>
      </c>
      <c r="D139" s="51">
        <v>67.0</v>
      </c>
      <c r="E139" s="52" t="s">
        <v>25</v>
      </c>
      <c r="F139" s="52" t="s">
        <v>26</v>
      </c>
      <c r="G139" s="53"/>
    </row>
    <row r="140">
      <c r="A140" s="49">
        <v>44696.20834037037</v>
      </c>
      <c r="B140" s="50">
        <v>44696.3333179629</v>
      </c>
      <c r="C140" s="51">
        <v>1.105</v>
      </c>
      <c r="D140" s="51">
        <v>67.0</v>
      </c>
      <c r="E140" s="52" t="s">
        <v>25</v>
      </c>
      <c r="F140" s="52" t="s">
        <v>26</v>
      </c>
      <c r="G140" s="53"/>
    </row>
    <row r="141">
      <c r="A141" s="49">
        <v>44696.218769548606</v>
      </c>
      <c r="B141" s="50">
        <v>44696.3437389814</v>
      </c>
      <c r="C141" s="51">
        <v>1.104</v>
      </c>
      <c r="D141" s="51">
        <v>67.0</v>
      </c>
      <c r="E141" s="52" t="s">
        <v>25</v>
      </c>
      <c r="F141" s="52" t="s">
        <v>26</v>
      </c>
      <c r="G141" s="53"/>
    </row>
    <row r="142">
      <c r="A142" s="49">
        <v>44696.22918892361</v>
      </c>
      <c r="B142" s="50">
        <v>44696.3541601967</v>
      </c>
      <c r="C142" s="51">
        <v>1.104</v>
      </c>
      <c r="D142" s="51">
        <v>67.0</v>
      </c>
      <c r="E142" s="52" t="s">
        <v>25</v>
      </c>
      <c r="F142" s="52" t="s">
        <v>26</v>
      </c>
      <c r="G142" s="53"/>
    </row>
    <row r="143">
      <c r="A143" s="49">
        <v>44696.23961484953</v>
      </c>
      <c r="B143" s="50">
        <v>44696.3645810301</v>
      </c>
      <c r="C143" s="51">
        <v>1.105</v>
      </c>
      <c r="D143" s="51">
        <v>67.0</v>
      </c>
      <c r="E143" s="52" t="s">
        <v>25</v>
      </c>
      <c r="F143" s="52" t="s">
        <v>26</v>
      </c>
      <c r="G143" s="53"/>
    </row>
    <row r="144">
      <c r="A144" s="49">
        <v>44696.25002435185</v>
      </c>
      <c r="B144" s="50">
        <v>44696.3750035532</v>
      </c>
      <c r="C144" s="51">
        <v>1.104</v>
      </c>
      <c r="D144" s="51">
        <v>67.0</v>
      </c>
      <c r="E144" s="52" t="s">
        <v>25</v>
      </c>
      <c r="F144" s="52" t="s">
        <v>26</v>
      </c>
      <c r="G144" s="53"/>
    </row>
    <row r="145">
      <c r="A145" s="49">
        <v>44696.26045253473</v>
      </c>
      <c r="B145" s="50">
        <v>44696.3854240972</v>
      </c>
      <c r="C145" s="51">
        <v>1.104</v>
      </c>
      <c r="D145" s="51">
        <v>67.0</v>
      </c>
      <c r="E145" s="52" t="s">
        <v>25</v>
      </c>
      <c r="F145" s="52" t="s">
        <v>26</v>
      </c>
      <c r="G145" s="53"/>
    </row>
    <row r="146">
      <c r="A146" s="49">
        <v>44696.270876180555</v>
      </c>
      <c r="B146" s="50">
        <v>44696.3958461689</v>
      </c>
      <c r="C146" s="51">
        <v>1.104</v>
      </c>
      <c r="D146" s="51">
        <v>67.0</v>
      </c>
      <c r="E146" s="52" t="s">
        <v>25</v>
      </c>
      <c r="F146" s="52" t="s">
        <v>26</v>
      </c>
      <c r="G146" s="53"/>
    </row>
    <row r="147">
      <c r="A147" s="49">
        <v>44696.2812924537</v>
      </c>
      <c r="B147" s="50">
        <v>44696.4062666782</v>
      </c>
      <c r="C147" s="51">
        <v>1.104</v>
      </c>
      <c r="D147" s="51">
        <v>67.0</v>
      </c>
      <c r="E147" s="52" t="s">
        <v>25</v>
      </c>
      <c r="F147" s="52" t="s">
        <v>26</v>
      </c>
      <c r="G147" s="53"/>
    </row>
    <row r="148">
      <c r="A148" s="49">
        <v>44696.29172054398</v>
      </c>
      <c r="B148" s="50">
        <v>44696.4166993287</v>
      </c>
      <c r="C148" s="51">
        <v>1.104</v>
      </c>
      <c r="D148" s="51">
        <v>67.0</v>
      </c>
      <c r="E148" s="52" t="s">
        <v>25</v>
      </c>
      <c r="F148" s="52" t="s">
        <v>26</v>
      </c>
      <c r="G148" s="53"/>
    </row>
    <row r="149">
      <c r="A149" s="49">
        <v>44696.302155405094</v>
      </c>
      <c r="B149" s="50">
        <v>44696.4271200578</v>
      </c>
      <c r="C149" s="51">
        <v>1.104</v>
      </c>
      <c r="D149" s="51">
        <v>67.0</v>
      </c>
      <c r="E149" s="52" t="s">
        <v>25</v>
      </c>
      <c r="F149" s="52" t="s">
        <v>26</v>
      </c>
      <c r="G149" s="53"/>
    </row>
    <row r="150">
      <c r="A150" s="49">
        <v>44696.31258133102</v>
      </c>
      <c r="B150" s="50">
        <v>44696.4375517361</v>
      </c>
      <c r="C150" s="51">
        <v>1.104</v>
      </c>
      <c r="D150" s="51">
        <v>67.0</v>
      </c>
      <c r="E150" s="52" t="s">
        <v>25</v>
      </c>
      <c r="F150" s="52" t="s">
        <v>26</v>
      </c>
      <c r="G150" s="53"/>
    </row>
    <row r="151">
      <c r="A151" s="49">
        <v>44696.323002881945</v>
      </c>
      <c r="B151" s="50">
        <v>44696.4479720833</v>
      </c>
      <c r="C151" s="51">
        <v>1.104</v>
      </c>
      <c r="D151" s="51">
        <v>68.0</v>
      </c>
      <c r="E151" s="52" t="s">
        <v>25</v>
      </c>
      <c r="F151" s="52" t="s">
        <v>26</v>
      </c>
      <c r="G151" s="53"/>
    </row>
    <row r="152">
      <c r="A152" s="49">
        <v>44696.333420104165</v>
      </c>
      <c r="B152" s="50">
        <v>44696.4583921296</v>
      </c>
      <c r="C152" s="51">
        <v>1.104</v>
      </c>
      <c r="D152" s="51">
        <v>68.0</v>
      </c>
      <c r="E152" s="52" t="s">
        <v>25</v>
      </c>
      <c r="F152" s="52" t="s">
        <v>26</v>
      </c>
      <c r="G152" s="53"/>
    </row>
    <row r="153">
      <c r="A153" s="49">
        <v>44696.34384642361</v>
      </c>
      <c r="B153" s="50">
        <v>44696.4688155555</v>
      </c>
      <c r="C153" s="51">
        <v>1.104</v>
      </c>
      <c r="D153" s="51">
        <v>68.0</v>
      </c>
      <c r="E153" s="52" t="s">
        <v>25</v>
      </c>
      <c r="F153" s="52" t="s">
        <v>26</v>
      </c>
      <c r="G153" s="53"/>
    </row>
    <row r="154">
      <c r="A154" s="49">
        <v>44696.35426587963</v>
      </c>
      <c r="B154" s="50">
        <v>44696.4792364351</v>
      </c>
      <c r="C154" s="51">
        <v>1.104</v>
      </c>
      <c r="D154" s="51">
        <v>68.0</v>
      </c>
      <c r="E154" s="52" t="s">
        <v>25</v>
      </c>
      <c r="F154" s="52" t="s">
        <v>26</v>
      </c>
      <c r="G154" s="53"/>
    </row>
    <row r="155">
      <c r="A155" s="49">
        <v>44696.364696770834</v>
      </c>
      <c r="B155" s="50">
        <v>44696.4896683912</v>
      </c>
      <c r="C155" s="51">
        <v>1.104</v>
      </c>
      <c r="D155" s="51">
        <v>68.0</v>
      </c>
      <c r="E155" s="52" t="s">
        <v>25</v>
      </c>
      <c r="F155" s="52" t="s">
        <v>26</v>
      </c>
      <c r="G155" s="53"/>
    </row>
    <row r="156">
      <c r="A156" s="49">
        <v>44696.37511987268</v>
      </c>
      <c r="B156" s="50">
        <v>44696.5000912963</v>
      </c>
      <c r="C156" s="51">
        <v>1.103</v>
      </c>
      <c r="D156" s="51">
        <v>68.0</v>
      </c>
      <c r="E156" s="52" t="s">
        <v>25</v>
      </c>
      <c r="F156" s="52" t="s">
        <v>26</v>
      </c>
      <c r="G156" s="53"/>
    </row>
    <row r="157">
      <c r="A157" s="49">
        <v>44696.385532500004</v>
      </c>
      <c r="B157" s="50">
        <v>44696.5105108217</v>
      </c>
      <c r="C157" s="51">
        <v>1.103</v>
      </c>
      <c r="D157" s="51">
        <v>68.0</v>
      </c>
      <c r="E157" s="52" t="s">
        <v>25</v>
      </c>
      <c r="F157" s="52" t="s">
        <v>26</v>
      </c>
      <c r="G157" s="53"/>
    </row>
    <row r="158">
      <c r="A158" s="49">
        <v>44696.39596306713</v>
      </c>
      <c r="B158" s="50">
        <v>44696.5209331134</v>
      </c>
      <c r="C158" s="51">
        <v>1.103</v>
      </c>
      <c r="D158" s="51">
        <v>68.0</v>
      </c>
      <c r="E158" s="52" t="s">
        <v>25</v>
      </c>
      <c r="F158" s="52" t="s">
        <v>26</v>
      </c>
      <c r="G158" s="53"/>
    </row>
    <row r="159">
      <c r="A159" s="49">
        <v>44696.406381504625</v>
      </c>
      <c r="B159" s="50">
        <v>44696.5313564583</v>
      </c>
      <c r="C159" s="51">
        <v>1.103</v>
      </c>
      <c r="D159" s="51">
        <v>68.0</v>
      </c>
      <c r="E159" s="52" t="s">
        <v>25</v>
      </c>
      <c r="F159" s="52" t="s">
        <v>26</v>
      </c>
      <c r="G159" s="53"/>
    </row>
    <row r="160">
      <c r="A160" s="49">
        <v>44696.41679761574</v>
      </c>
      <c r="B160" s="50">
        <v>44696.5417793055</v>
      </c>
      <c r="C160" s="51">
        <v>1.103</v>
      </c>
      <c r="D160" s="51">
        <v>68.0</v>
      </c>
      <c r="E160" s="52" t="s">
        <v>25</v>
      </c>
      <c r="F160" s="52" t="s">
        <v>26</v>
      </c>
      <c r="G160" s="53"/>
    </row>
    <row r="161">
      <c r="A161" s="49">
        <v>44696.42724230324</v>
      </c>
      <c r="B161" s="50">
        <v>44696.5522127546</v>
      </c>
      <c r="C161" s="51">
        <v>1.103</v>
      </c>
      <c r="D161" s="51">
        <v>68.0</v>
      </c>
      <c r="E161" s="52" t="s">
        <v>25</v>
      </c>
      <c r="F161" s="52" t="s">
        <v>26</v>
      </c>
      <c r="G161" s="53"/>
    </row>
    <row r="162">
      <c r="A162" s="49">
        <v>44696.437663599536</v>
      </c>
      <c r="B162" s="50">
        <v>44696.5626351157</v>
      </c>
      <c r="C162" s="51">
        <v>1.103</v>
      </c>
      <c r="D162" s="51">
        <v>68.0</v>
      </c>
      <c r="E162" s="52" t="s">
        <v>25</v>
      </c>
      <c r="F162" s="52" t="s">
        <v>26</v>
      </c>
      <c r="G162" s="53"/>
    </row>
    <row r="163">
      <c r="A163" s="49">
        <v>44696.448076886576</v>
      </c>
      <c r="B163" s="50">
        <v>44696.5730564814</v>
      </c>
      <c r="C163" s="51">
        <v>1.102</v>
      </c>
      <c r="D163" s="51">
        <v>68.0</v>
      </c>
      <c r="E163" s="52" t="s">
        <v>25</v>
      </c>
      <c r="F163" s="52" t="s">
        <v>26</v>
      </c>
      <c r="G163" s="53"/>
    </row>
    <row r="164">
      <c r="A164" s="49">
        <v>44696.45849700231</v>
      </c>
      <c r="B164" s="50">
        <v>44696.5834787731</v>
      </c>
      <c r="C164" s="51">
        <v>1.102</v>
      </c>
      <c r="D164" s="51">
        <v>68.0</v>
      </c>
      <c r="E164" s="52" t="s">
        <v>25</v>
      </c>
      <c r="F164" s="52" t="s">
        <v>26</v>
      </c>
      <c r="G164" s="53"/>
    </row>
    <row r="165">
      <c r="A165" s="49">
        <v>44696.468932916665</v>
      </c>
      <c r="B165" s="50">
        <v>44696.5939112037</v>
      </c>
      <c r="C165" s="51">
        <v>1.103</v>
      </c>
      <c r="D165" s="51">
        <v>68.0</v>
      </c>
      <c r="E165" s="52" t="s">
        <v>25</v>
      </c>
      <c r="F165" s="52" t="s">
        <v>26</v>
      </c>
      <c r="G165" s="53"/>
    </row>
    <row r="166">
      <c r="A166" s="49">
        <v>44696.47936305555</v>
      </c>
      <c r="B166" s="50">
        <v>44696.6043321412</v>
      </c>
      <c r="C166" s="51">
        <v>1.102</v>
      </c>
      <c r="D166" s="51">
        <v>68.0</v>
      </c>
      <c r="E166" s="52" t="s">
        <v>25</v>
      </c>
      <c r="F166" s="52" t="s">
        <v>26</v>
      </c>
      <c r="G166" s="53"/>
    </row>
    <row r="167">
      <c r="A167" s="49">
        <v>44696.48978270833</v>
      </c>
      <c r="B167" s="50">
        <v>44696.6147539467</v>
      </c>
      <c r="C167" s="51">
        <v>1.102</v>
      </c>
      <c r="D167" s="51">
        <v>68.0</v>
      </c>
      <c r="E167" s="52" t="s">
        <v>25</v>
      </c>
      <c r="F167" s="52" t="s">
        <v>26</v>
      </c>
      <c r="G167" s="53"/>
    </row>
    <row r="168">
      <c r="A168" s="49">
        <v>44696.50019980324</v>
      </c>
      <c r="B168" s="50">
        <v>44696.6251767824</v>
      </c>
      <c r="C168" s="51">
        <v>1.103</v>
      </c>
      <c r="D168" s="51">
        <v>68.0</v>
      </c>
      <c r="E168" s="52" t="s">
        <v>25</v>
      </c>
      <c r="F168" s="52" t="s">
        <v>26</v>
      </c>
      <c r="G168" s="53"/>
    </row>
    <row r="169">
      <c r="A169" s="49">
        <v>44696.51061842593</v>
      </c>
      <c r="B169" s="50">
        <v>44696.6355977893</v>
      </c>
      <c r="C169" s="51">
        <v>1.102</v>
      </c>
      <c r="D169" s="51">
        <v>68.0</v>
      </c>
      <c r="E169" s="52" t="s">
        <v>25</v>
      </c>
      <c r="F169" s="52" t="s">
        <v>26</v>
      </c>
      <c r="G169" s="53"/>
    </row>
    <row r="170">
      <c r="A170" s="49">
        <v>44696.521051689815</v>
      </c>
      <c r="B170" s="50">
        <v>44696.6460203935</v>
      </c>
      <c r="C170" s="51">
        <v>1.102</v>
      </c>
      <c r="D170" s="51">
        <v>68.0</v>
      </c>
      <c r="E170" s="52" t="s">
        <v>25</v>
      </c>
      <c r="F170" s="52" t="s">
        <v>26</v>
      </c>
      <c r="G170" s="53"/>
    </row>
    <row r="171">
      <c r="A171" s="49">
        <v>44696.53148193287</v>
      </c>
      <c r="B171" s="50">
        <v>44696.6564534375</v>
      </c>
      <c r="C171" s="51">
        <v>1.101</v>
      </c>
      <c r="D171" s="51">
        <v>69.0</v>
      </c>
      <c r="E171" s="52" t="s">
        <v>25</v>
      </c>
      <c r="F171" s="52" t="s">
        <v>26</v>
      </c>
      <c r="G171" s="53"/>
    </row>
    <row r="172">
      <c r="A172" s="49">
        <v>44696.54189744213</v>
      </c>
      <c r="B172" s="50">
        <v>44696.6668758101</v>
      </c>
      <c r="C172" s="51">
        <v>1.102</v>
      </c>
      <c r="D172" s="51">
        <v>69.0</v>
      </c>
      <c r="E172" s="52" t="s">
        <v>25</v>
      </c>
      <c r="F172" s="52" t="s">
        <v>26</v>
      </c>
      <c r="G172" s="53"/>
    </row>
    <row r="173">
      <c r="A173" s="49">
        <v>44696.552333831016</v>
      </c>
      <c r="B173" s="50">
        <v>44696.6772961342</v>
      </c>
      <c r="C173" s="51">
        <v>1.101</v>
      </c>
      <c r="D173" s="51">
        <v>69.0</v>
      </c>
      <c r="E173" s="52" t="s">
        <v>25</v>
      </c>
      <c r="F173" s="52" t="s">
        <v>26</v>
      </c>
      <c r="G173" s="53"/>
    </row>
    <row r="174">
      <c r="A174" s="49">
        <v>44696.56274620371</v>
      </c>
      <c r="B174" s="50">
        <v>44696.687717662</v>
      </c>
      <c r="C174" s="51">
        <v>1.101</v>
      </c>
      <c r="D174" s="51">
        <v>69.0</v>
      </c>
      <c r="E174" s="52" t="s">
        <v>25</v>
      </c>
      <c r="F174" s="52" t="s">
        <v>26</v>
      </c>
      <c r="G174" s="53"/>
    </row>
    <row r="175">
      <c r="A175" s="49">
        <v>44696.57316280092</v>
      </c>
      <c r="B175" s="50">
        <v>44696.6981389699</v>
      </c>
      <c r="C175" s="51">
        <v>1.101</v>
      </c>
      <c r="D175" s="51">
        <v>69.0</v>
      </c>
      <c r="E175" s="52" t="s">
        <v>25</v>
      </c>
      <c r="F175" s="52" t="s">
        <v>26</v>
      </c>
      <c r="G175" s="53"/>
    </row>
    <row r="176">
      <c r="A176" s="49">
        <v>44696.58361967593</v>
      </c>
      <c r="B176" s="50">
        <v>44696.7085848148</v>
      </c>
      <c r="C176" s="51">
        <v>1.101</v>
      </c>
      <c r="D176" s="51">
        <v>69.0</v>
      </c>
      <c r="E176" s="52" t="s">
        <v>25</v>
      </c>
      <c r="F176" s="52" t="s">
        <v>26</v>
      </c>
      <c r="G176" s="53"/>
    </row>
    <row r="177">
      <c r="A177" s="49">
        <v>44696.59402263889</v>
      </c>
      <c r="B177" s="50">
        <v>44696.7190051967</v>
      </c>
      <c r="C177" s="51">
        <v>1.1</v>
      </c>
      <c r="D177" s="51">
        <v>69.0</v>
      </c>
      <c r="E177" s="52" t="s">
        <v>25</v>
      </c>
      <c r="F177" s="52" t="s">
        <v>26</v>
      </c>
      <c r="G177" s="53"/>
    </row>
    <row r="178">
      <c r="A178" s="49">
        <v>44696.60445704861</v>
      </c>
      <c r="B178" s="50">
        <v>44696.729425324</v>
      </c>
      <c r="C178" s="51">
        <v>1.101</v>
      </c>
      <c r="D178" s="51">
        <v>69.0</v>
      </c>
      <c r="E178" s="52" t="s">
        <v>25</v>
      </c>
      <c r="F178" s="52" t="s">
        <v>26</v>
      </c>
      <c r="G178" s="53"/>
    </row>
    <row r="179">
      <c r="A179" s="49">
        <v>44696.61487524306</v>
      </c>
      <c r="B179" s="50">
        <v>44696.7398495717</v>
      </c>
      <c r="C179" s="51">
        <v>1.1</v>
      </c>
      <c r="D179" s="51">
        <v>69.0</v>
      </c>
      <c r="E179" s="52" t="s">
        <v>25</v>
      </c>
      <c r="F179" s="52" t="s">
        <v>26</v>
      </c>
      <c r="G179" s="53"/>
    </row>
    <row r="180">
      <c r="A180" s="49">
        <v>44696.62531322917</v>
      </c>
      <c r="B180" s="50">
        <v>44696.7502834838</v>
      </c>
      <c r="C180" s="51">
        <v>1.1</v>
      </c>
      <c r="D180" s="51">
        <v>69.0</v>
      </c>
      <c r="E180" s="52" t="s">
        <v>25</v>
      </c>
      <c r="F180" s="52" t="s">
        <v>26</v>
      </c>
      <c r="G180" s="53"/>
    </row>
    <row r="181">
      <c r="A181" s="49">
        <v>44696.635732662035</v>
      </c>
      <c r="B181" s="50">
        <v>44696.7607036574</v>
      </c>
      <c r="C181" s="51">
        <v>1.1</v>
      </c>
      <c r="D181" s="51">
        <v>69.0</v>
      </c>
      <c r="E181" s="52" t="s">
        <v>25</v>
      </c>
      <c r="F181" s="52" t="s">
        <v>26</v>
      </c>
      <c r="G181" s="53"/>
    </row>
    <row r="182">
      <c r="A182" s="49">
        <v>44696.64615581019</v>
      </c>
      <c r="B182" s="50">
        <v>44696.7711242129</v>
      </c>
      <c r="C182" s="51">
        <v>1.1</v>
      </c>
      <c r="D182" s="51">
        <v>69.0</v>
      </c>
      <c r="E182" s="52" t="s">
        <v>25</v>
      </c>
      <c r="F182" s="52" t="s">
        <v>26</v>
      </c>
      <c r="G182" s="53"/>
    </row>
    <row r="183">
      <c r="A183" s="49">
        <v>44696.6565778588</v>
      </c>
      <c r="B183" s="50">
        <v>44696.7815461111</v>
      </c>
      <c r="C183" s="51">
        <v>1.1</v>
      </c>
      <c r="D183" s="51">
        <v>69.0</v>
      </c>
      <c r="E183" s="52" t="s">
        <v>25</v>
      </c>
      <c r="F183" s="52" t="s">
        <v>26</v>
      </c>
      <c r="G183" s="53"/>
    </row>
    <row r="184">
      <c r="A184" s="49">
        <v>44696.6669937963</v>
      </c>
      <c r="B184" s="50">
        <v>44696.7919654398</v>
      </c>
      <c r="C184" s="51">
        <v>1.1</v>
      </c>
      <c r="D184" s="51">
        <v>69.0</v>
      </c>
      <c r="E184" s="52" t="s">
        <v>25</v>
      </c>
      <c r="F184" s="52" t="s">
        <v>26</v>
      </c>
      <c r="G184" s="53"/>
    </row>
    <row r="185">
      <c r="A185" s="49">
        <v>44696.67741576389</v>
      </c>
      <c r="B185" s="50">
        <v>44696.8023856944</v>
      </c>
      <c r="C185" s="51">
        <v>1.1</v>
      </c>
      <c r="D185" s="51">
        <v>69.0</v>
      </c>
      <c r="E185" s="52" t="s">
        <v>25</v>
      </c>
      <c r="F185" s="52" t="s">
        <v>26</v>
      </c>
      <c r="G185" s="53"/>
    </row>
    <row r="186">
      <c r="A186" s="49">
        <v>44696.687832407406</v>
      </c>
      <c r="B186" s="50">
        <v>44696.8128072569</v>
      </c>
      <c r="C186" s="51">
        <v>1.099</v>
      </c>
      <c r="D186" s="51">
        <v>69.0</v>
      </c>
      <c r="E186" s="52" t="s">
        <v>25</v>
      </c>
      <c r="F186" s="52" t="s">
        <v>26</v>
      </c>
      <c r="G186" s="53"/>
    </row>
    <row r="187">
      <c r="A187" s="49">
        <v>44696.69827528935</v>
      </c>
      <c r="B187" s="50">
        <v>44696.8232517013</v>
      </c>
      <c r="C187" s="51">
        <v>1.099</v>
      </c>
      <c r="D187" s="51">
        <v>70.0</v>
      </c>
      <c r="E187" s="52" t="s">
        <v>25</v>
      </c>
      <c r="F187" s="52" t="s">
        <v>26</v>
      </c>
      <c r="G187" s="53"/>
    </row>
    <row r="188">
      <c r="A188" s="49">
        <v>44696.70870516203</v>
      </c>
      <c r="B188" s="50">
        <v>44696.8336838541</v>
      </c>
      <c r="C188" s="51">
        <v>1.099</v>
      </c>
      <c r="D188" s="51">
        <v>69.0</v>
      </c>
      <c r="E188" s="52" t="s">
        <v>25</v>
      </c>
      <c r="F188" s="52" t="s">
        <v>26</v>
      </c>
      <c r="G188" s="53"/>
    </row>
    <row r="189">
      <c r="A189" s="49">
        <v>44696.71913509259</v>
      </c>
      <c r="B189" s="50">
        <v>44696.8441039583</v>
      </c>
      <c r="C189" s="51">
        <v>1.099</v>
      </c>
      <c r="D189" s="51">
        <v>68.0</v>
      </c>
      <c r="E189" s="52" t="s">
        <v>25</v>
      </c>
      <c r="F189" s="52" t="s">
        <v>26</v>
      </c>
      <c r="G189" s="53"/>
    </row>
    <row r="190">
      <c r="A190" s="49">
        <v>44696.72955459491</v>
      </c>
      <c r="B190" s="50">
        <v>44696.8545249537</v>
      </c>
      <c r="C190" s="51">
        <v>1.099</v>
      </c>
      <c r="D190" s="51">
        <v>66.0</v>
      </c>
      <c r="E190" s="52" t="s">
        <v>25</v>
      </c>
      <c r="F190" s="52" t="s">
        <v>26</v>
      </c>
      <c r="G190" s="53"/>
    </row>
    <row r="191">
      <c r="A191" s="49">
        <v>44696.739974930555</v>
      </c>
      <c r="B191" s="50">
        <v>44696.864946956</v>
      </c>
      <c r="C191" s="51">
        <v>1.099</v>
      </c>
      <c r="D191" s="51">
        <v>64.0</v>
      </c>
      <c r="E191" s="52" t="s">
        <v>25</v>
      </c>
      <c r="F191" s="52" t="s">
        <v>26</v>
      </c>
      <c r="G191" s="53"/>
    </row>
    <row r="192">
      <c r="A192" s="49">
        <v>44696.750397916665</v>
      </c>
      <c r="B192" s="50">
        <v>44696.8753685995</v>
      </c>
      <c r="C192" s="51">
        <v>1.099</v>
      </c>
      <c r="D192" s="51">
        <v>64.0</v>
      </c>
      <c r="E192" s="52" t="s">
        <v>25</v>
      </c>
      <c r="F192" s="52" t="s">
        <v>26</v>
      </c>
      <c r="G192" s="53"/>
    </row>
    <row r="193">
      <c r="A193" s="49">
        <v>44696.76081180555</v>
      </c>
      <c r="B193" s="50">
        <v>44696.885788993</v>
      </c>
      <c r="C193" s="51">
        <v>1.099</v>
      </c>
      <c r="D193" s="51">
        <v>65.0</v>
      </c>
      <c r="E193" s="52" t="s">
        <v>25</v>
      </c>
      <c r="F193" s="52" t="s">
        <v>26</v>
      </c>
      <c r="G193" s="53"/>
    </row>
    <row r="194">
      <c r="A194" s="49">
        <v>44696.771235231485</v>
      </c>
      <c r="B194" s="50">
        <v>44696.8962088888</v>
      </c>
      <c r="C194" s="51">
        <v>1.099</v>
      </c>
      <c r="D194" s="51">
        <v>65.0</v>
      </c>
      <c r="E194" s="52" t="s">
        <v>25</v>
      </c>
      <c r="F194" s="52" t="s">
        <v>26</v>
      </c>
      <c r="G194" s="53"/>
    </row>
    <row r="195">
      <c r="A195" s="49">
        <v>44696.78166653935</v>
      </c>
      <c r="B195" s="50">
        <v>44696.9066413426</v>
      </c>
      <c r="C195" s="51">
        <v>1.098</v>
      </c>
      <c r="D195" s="51">
        <v>65.0</v>
      </c>
      <c r="E195" s="52" t="s">
        <v>25</v>
      </c>
      <c r="F195" s="52" t="s">
        <v>26</v>
      </c>
      <c r="G195" s="53"/>
    </row>
    <row r="196">
      <c r="A196" s="49">
        <v>44696.792095972225</v>
      </c>
      <c r="B196" s="50">
        <v>44696.9170725578</v>
      </c>
      <c r="C196" s="51">
        <v>1.098</v>
      </c>
      <c r="D196" s="51">
        <v>65.0</v>
      </c>
      <c r="E196" s="52" t="s">
        <v>25</v>
      </c>
      <c r="F196" s="52" t="s">
        <v>26</v>
      </c>
      <c r="G196" s="53"/>
    </row>
    <row r="197">
      <c r="A197" s="49">
        <v>44696.8025141088</v>
      </c>
      <c r="B197" s="50">
        <v>44696.9274950347</v>
      </c>
      <c r="C197" s="51">
        <v>1.098</v>
      </c>
      <c r="D197" s="51">
        <v>66.0</v>
      </c>
      <c r="E197" s="52" t="s">
        <v>25</v>
      </c>
      <c r="F197" s="52" t="s">
        <v>26</v>
      </c>
      <c r="G197" s="53"/>
    </row>
    <row r="198">
      <c r="A198" s="49">
        <v>44696.81294809028</v>
      </c>
      <c r="B198" s="50">
        <v>44696.9379172453</v>
      </c>
      <c r="C198" s="51">
        <v>1.098</v>
      </c>
      <c r="D198" s="51">
        <v>66.0</v>
      </c>
      <c r="E198" s="52" t="s">
        <v>25</v>
      </c>
      <c r="F198" s="52" t="s">
        <v>26</v>
      </c>
      <c r="G198" s="53"/>
    </row>
    <row r="199">
      <c r="A199" s="49">
        <v>44696.82336274306</v>
      </c>
      <c r="B199" s="50">
        <v>44696.9483390509</v>
      </c>
      <c r="C199" s="51">
        <v>1.097</v>
      </c>
      <c r="D199" s="51">
        <v>66.0</v>
      </c>
      <c r="E199" s="52" t="s">
        <v>25</v>
      </c>
      <c r="F199" s="52" t="s">
        <v>26</v>
      </c>
      <c r="G199" s="53"/>
    </row>
    <row r="200">
      <c r="A200" s="49">
        <v>44696.833792199075</v>
      </c>
      <c r="B200" s="50">
        <v>44696.9587600925</v>
      </c>
      <c r="C200" s="51">
        <v>1.098</v>
      </c>
      <c r="D200" s="51">
        <v>66.0</v>
      </c>
      <c r="E200" s="52" t="s">
        <v>25</v>
      </c>
      <c r="F200" s="52" t="s">
        <v>26</v>
      </c>
      <c r="G200" s="53"/>
    </row>
    <row r="201">
      <c r="A201" s="49">
        <v>44696.84422403935</v>
      </c>
      <c r="B201" s="50">
        <v>44696.9691921759</v>
      </c>
      <c r="C201" s="51">
        <v>1.097</v>
      </c>
      <c r="D201" s="51">
        <v>66.0</v>
      </c>
      <c r="E201" s="52" t="s">
        <v>25</v>
      </c>
      <c r="F201" s="52" t="s">
        <v>26</v>
      </c>
      <c r="G201" s="53"/>
    </row>
    <row r="202">
      <c r="A202" s="49">
        <v>44696.85463811342</v>
      </c>
      <c r="B202" s="50">
        <v>44696.9796130902</v>
      </c>
      <c r="C202" s="51">
        <v>1.097</v>
      </c>
      <c r="D202" s="51">
        <v>66.0</v>
      </c>
      <c r="E202" s="52" t="s">
        <v>25</v>
      </c>
      <c r="F202" s="52" t="s">
        <v>26</v>
      </c>
      <c r="G202" s="53"/>
    </row>
    <row r="203">
      <c r="A203" s="49">
        <v>44696.8650546412</v>
      </c>
      <c r="B203" s="50">
        <v>44696.9900342013</v>
      </c>
      <c r="C203" s="51">
        <v>1.097</v>
      </c>
      <c r="D203" s="51">
        <v>66.0</v>
      </c>
      <c r="E203" s="52" t="s">
        <v>25</v>
      </c>
      <c r="F203" s="52" t="s">
        <v>26</v>
      </c>
      <c r="G203" s="53"/>
    </row>
    <row r="204">
      <c r="A204" s="49">
        <v>44696.875494629625</v>
      </c>
      <c r="B204" s="50">
        <v>44697.0004686342</v>
      </c>
      <c r="C204" s="51">
        <v>1.097</v>
      </c>
      <c r="D204" s="51">
        <v>66.0</v>
      </c>
      <c r="E204" s="52" t="s">
        <v>25</v>
      </c>
      <c r="F204" s="52" t="s">
        <v>26</v>
      </c>
      <c r="G204" s="53"/>
    </row>
    <row r="205">
      <c r="A205" s="49">
        <v>44696.88590795139</v>
      </c>
      <c r="B205" s="50">
        <v>44697.0108916319</v>
      </c>
      <c r="C205" s="51">
        <v>1.097</v>
      </c>
      <c r="D205" s="51">
        <v>66.0</v>
      </c>
      <c r="E205" s="52" t="s">
        <v>25</v>
      </c>
      <c r="F205" s="52" t="s">
        <v>26</v>
      </c>
      <c r="G205" s="53"/>
    </row>
    <row r="206">
      <c r="A206" s="49">
        <v>44696.89634041667</v>
      </c>
      <c r="B206" s="50">
        <v>44697.0213142245</v>
      </c>
      <c r="C206" s="51">
        <v>1.097</v>
      </c>
      <c r="D206" s="51">
        <v>66.0</v>
      </c>
      <c r="E206" s="52" t="s">
        <v>25</v>
      </c>
      <c r="F206" s="52" t="s">
        <v>26</v>
      </c>
      <c r="G206" s="53"/>
    </row>
    <row r="207">
      <c r="A207" s="49">
        <v>44696.90676003472</v>
      </c>
      <c r="B207" s="50">
        <v>44697.0317341088</v>
      </c>
      <c r="C207" s="51">
        <v>1.097</v>
      </c>
      <c r="D207" s="51">
        <v>66.0</v>
      </c>
      <c r="E207" s="52" t="s">
        <v>25</v>
      </c>
      <c r="F207" s="52" t="s">
        <v>26</v>
      </c>
      <c r="G207" s="53"/>
    </row>
    <row r="208">
      <c r="A208" s="49">
        <v>44696.9171775463</v>
      </c>
      <c r="B208" s="50">
        <v>44697.0421547222</v>
      </c>
      <c r="C208" s="51">
        <v>1.096</v>
      </c>
      <c r="D208" s="51">
        <v>66.0</v>
      </c>
      <c r="E208" s="52" t="s">
        <v>25</v>
      </c>
      <c r="F208" s="52" t="s">
        <v>26</v>
      </c>
      <c r="G208" s="53"/>
    </row>
    <row r="209">
      <c r="A209" s="49">
        <v>44696.92759348379</v>
      </c>
      <c r="B209" s="50">
        <v>44697.0525747106</v>
      </c>
      <c r="C209" s="51">
        <v>1.096</v>
      </c>
      <c r="D209" s="51">
        <v>67.0</v>
      </c>
      <c r="E209" s="52" t="s">
        <v>25</v>
      </c>
      <c r="F209" s="52" t="s">
        <v>26</v>
      </c>
      <c r="G209" s="53"/>
    </row>
    <row r="210">
      <c r="A210" s="49">
        <v>44696.93803533565</v>
      </c>
      <c r="B210" s="50">
        <v>44697.0630076504</v>
      </c>
      <c r="C210" s="51">
        <v>1.097</v>
      </c>
      <c r="D210" s="51">
        <v>67.0</v>
      </c>
      <c r="E210" s="52" t="s">
        <v>25</v>
      </c>
      <c r="F210" s="52" t="s">
        <v>26</v>
      </c>
      <c r="G210" s="53"/>
    </row>
    <row r="211">
      <c r="A211" s="49">
        <v>44696.94845626157</v>
      </c>
      <c r="B211" s="50">
        <v>44697.0734284027</v>
      </c>
      <c r="C211" s="51">
        <v>1.096</v>
      </c>
      <c r="D211" s="51">
        <v>67.0</v>
      </c>
      <c r="E211" s="52" t="s">
        <v>25</v>
      </c>
      <c r="F211" s="52" t="s">
        <v>26</v>
      </c>
      <c r="G211" s="53"/>
    </row>
    <row r="212">
      <c r="A212" s="49">
        <v>44696.95888128472</v>
      </c>
      <c r="B212" s="50">
        <v>44697.0838484375</v>
      </c>
      <c r="C212" s="51">
        <v>1.096</v>
      </c>
      <c r="D212" s="51">
        <v>67.0</v>
      </c>
      <c r="E212" s="52" t="s">
        <v>25</v>
      </c>
      <c r="F212" s="52" t="s">
        <v>26</v>
      </c>
      <c r="G212" s="53"/>
    </row>
    <row r="213">
      <c r="A213" s="49">
        <v>44696.96929144676</v>
      </c>
      <c r="B213" s="50">
        <v>44697.0942695138</v>
      </c>
      <c r="C213" s="51">
        <v>1.096</v>
      </c>
      <c r="D213" s="51">
        <v>67.0</v>
      </c>
      <c r="E213" s="52" t="s">
        <v>25</v>
      </c>
      <c r="F213" s="52" t="s">
        <v>26</v>
      </c>
      <c r="G213" s="53"/>
    </row>
    <row r="214">
      <c r="A214" s="49">
        <v>44696.97973146991</v>
      </c>
      <c r="B214" s="50">
        <v>44697.104690162</v>
      </c>
      <c r="C214" s="51">
        <v>1.096</v>
      </c>
      <c r="D214" s="51">
        <v>67.0</v>
      </c>
      <c r="E214" s="52" t="s">
        <v>25</v>
      </c>
      <c r="F214" s="52" t="s">
        <v>26</v>
      </c>
      <c r="G214" s="53"/>
    </row>
    <row r="215">
      <c r="A215" s="49">
        <v>44696.99013663194</v>
      </c>
      <c r="B215" s="50">
        <v>44697.1151114583</v>
      </c>
      <c r="C215" s="51">
        <v>1.096</v>
      </c>
      <c r="D215" s="51">
        <v>67.0</v>
      </c>
      <c r="E215" s="52" t="s">
        <v>25</v>
      </c>
      <c r="F215" s="52" t="s">
        <v>26</v>
      </c>
      <c r="G215" s="53"/>
    </row>
    <row r="216">
      <c r="A216" s="49">
        <v>44697.00055513889</v>
      </c>
      <c r="B216" s="50">
        <v>44697.1255332986</v>
      </c>
      <c r="C216" s="51">
        <v>1.096</v>
      </c>
      <c r="D216" s="51">
        <v>67.0</v>
      </c>
      <c r="E216" s="52" t="s">
        <v>25</v>
      </c>
      <c r="F216" s="52" t="s">
        <v>26</v>
      </c>
      <c r="G216" s="53"/>
    </row>
    <row r="217">
      <c r="A217" s="49">
        <v>44697.010986284724</v>
      </c>
      <c r="B217" s="50">
        <v>44697.1359645486</v>
      </c>
      <c r="C217" s="51">
        <v>1.096</v>
      </c>
      <c r="D217" s="51">
        <v>67.0</v>
      </c>
      <c r="E217" s="52" t="s">
        <v>25</v>
      </c>
      <c r="F217" s="52" t="s">
        <v>26</v>
      </c>
      <c r="G217" s="53"/>
    </row>
    <row r="218">
      <c r="A218" s="49">
        <v>44697.021414166666</v>
      </c>
      <c r="B218" s="50">
        <v>44697.146385868</v>
      </c>
      <c r="C218" s="51">
        <v>1.095</v>
      </c>
      <c r="D218" s="51">
        <v>67.0</v>
      </c>
      <c r="E218" s="52" t="s">
        <v>25</v>
      </c>
      <c r="F218" s="52" t="s">
        <v>26</v>
      </c>
      <c r="G218" s="53"/>
    </row>
    <row r="219">
      <c r="A219" s="49">
        <v>44697.03184513889</v>
      </c>
      <c r="B219" s="50">
        <v>44697.1568181018</v>
      </c>
      <c r="C219" s="51">
        <v>1.095</v>
      </c>
      <c r="D219" s="51">
        <v>67.0</v>
      </c>
      <c r="E219" s="52" t="s">
        <v>25</v>
      </c>
      <c r="F219" s="52" t="s">
        <v>26</v>
      </c>
      <c r="G219" s="53"/>
    </row>
    <row r="220">
      <c r="A220" s="49">
        <v>44697.04227039352</v>
      </c>
      <c r="B220" s="50">
        <v>44697.1672389004</v>
      </c>
      <c r="C220" s="51">
        <v>1.095</v>
      </c>
      <c r="D220" s="51">
        <v>67.0</v>
      </c>
      <c r="E220" s="52" t="s">
        <v>25</v>
      </c>
      <c r="F220" s="52" t="s">
        <v>26</v>
      </c>
      <c r="G220" s="53"/>
    </row>
    <row r="221">
      <c r="A221" s="49">
        <v>44697.052682951384</v>
      </c>
      <c r="B221" s="50">
        <v>44697.1776595949</v>
      </c>
      <c r="C221" s="51">
        <v>1.095</v>
      </c>
      <c r="D221" s="51">
        <v>67.0</v>
      </c>
      <c r="E221" s="52" t="s">
        <v>25</v>
      </c>
      <c r="F221" s="52" t="s">
        <v>26</v>
      </c>
      <c r="G221" s="53"/>
    </row>
    <row r="222">
      <c r="A222" s="49">
        <v>44697.06311454861</v>
      </c>
      <c r="B222" s="50">
        <v>44697.1880923726</v>
      </c>
      <c r="C222" s="51">
        <v>1.095</v>
      </c>
      <c r="D222" s="51">
        <v>67.0</v>
      </c>
      <c r="E222" s="52" t="s">
        <v>25</v>
      </c>
      <c r="F222" s="52" t="s">
        <v>26</v>
      </c>
      <c r="G222" s="53"/>
    </row>
    <row r="223">
      <c r="A223" s="49">
        <v>44697.07354090278</v>
      </c>
      <c r="B223" s="50">
        <v>44697.198513287</v>
      </c>
      <c r="C223" s="51">
        <v>1.095</v>
      </c>
      <c r="D223" s="51">
        <v>67.0</v>
      </c>
      <c r="E223" s="52" t="s">
        <v>25</v>
      </c>
      <c r="F223" s="52" t="s">
        <v>26</v>
      </c>
      <c r="G223" s="53"/>
    </row>
    <row r="224">
      <c r="A224" s="49">
        <v>44697.08396524306</v>
      </c>
      <c r="B224" s="50">
        <v>44697.2089345717</v>
      </c>
      <c r="C224" s="51">
        <v>1.095</v>
      </c>
      <c r="D224" s="51">
        <v>68.0</v>
      </c>
      <c r="E224" s="52" t="s">
        <v>25</v>
      </c>
      <c r="F224" s="52" t="s">
        <v>26</v>
      </c>
      <c r="G224" s="53"/>
    </row>
    <row r="225">
      <c r="A225" s="49">
        <v>44697.094389826394</v>
      </c>
      <c r="B225" s="50">
        <v>44697.2193557291</v>
      </c>
      <c r="C225" s="51">
        <v>1.095</v>
      </c>
      <c r="D225" s="51">
        <v>68.0</v>
      </c>
      <c r="E225" s="52" t="s">
        <v>25</v>
      </c>
      <c r="F225" s="52" t="s">
        <v>26</v>
      </c>
      <c r="G225" s="53"/>
    </row>
    <row r="226">
      <c r="A226" s="49">
        <v>44697.104873310185</v>
      </c>
      <c r="B226" s="50">
        <v>44697.2297882407</v>
      </c>
      <c r="C226" s="51">
        <v>1.095</v>
      </c>
      <c r="D226" s="51">
        <v>68.0</v>
      </c>
      <c r="E226" s="52" t="s">
        <v>25</v>
      </c>
      <c r="F226" s="52" t="s">
        <v>26</v>
      </c>
      <c r="G226" s="53"/>
    </row>
    <row r="227">
      <c r="A227" s="49">
        <v>44697.11523730324</v>
      </c>
      <c r="B227" s="50">
        <v>44697.2402093055</v>
      </c>
      <c r="C227" s="51">
        <v>1.094</v>
      </c>
      <c r="D227" s="51">
        <v>68.0</v>
      </c>
      <c r="E227" s="52" t="s">
        <v>25</v>
      </c>
      <c r="F227" s="52" t="s">
        <v>26</v>
      </c>
      <c r="G227" s="53"/>
    </row>
    <row r="228">
      <c r="A228" s="49">
        <v>44697.12566144676</v>
      </c>
      <c r="B228" s="50">
        <v>44697.2506316898</v>
      </c>
      <c r="C228" s="51">
        <v>1.094</v>
      </c>
      <c r="D228" s="51">
        <v>68.0</v>
      </c>
      <c r="E228" s="52" t="s">
        <v>25</v>
      </c>
      <c r="F228" s="52" t="s">
        <v>26</v>
      </c>
      <c r="G228" s="53"/>
    </row>
    <row r="229">
      <c r="A229" s="49">
        <v>44697.13609966435</v>
      </c>
      <c r="B229" s="50">
        <v>44697.2610647801</v>
      </c>
      <c r="C229" s="51">
        <v>1.094</v>
      </c>
      <c r="D229" s="51">
        <v>68.0</v>
      </c>
      <c r="E229" s="52" t="s">
        <v>25</v>
      </c>
      <c r="F229" s="52" t="s">
        <v>26</v>
      </c>
      <c r="G229" s="53"/>
    </row>
    <row r="230">
      <c r="A230" s="49">
        <v>44697.146515381944</v>
      </c>
      <c r="B230" s="50">
        <v>44697.271487037</v>
      </c>
      <c r="C230" s="51">
        <v>1.094</v>
      </c>
      <c r="D230" s="51">
        <v>68.0</v>
      </c>
      <c r="E230" s="52" t="s">
        <v>25</v>
      </c>
      <c r="F230" s="52" t="s">
        <v>26</v>
      </c>
      <c r="G230" s="53"/>
    </row>
    <row r="231">
      <c r="A231" s="49">
        <v>44697.15693439815</v>
      </c>
      <c r="B231" s="50">
        <v>44697.2819082638</v>
      </c>
      <c r="C231" s="51">
        <v>1.094</v>
      </c>
      <c r="D231" s="51">
        <v>68.0</v>
      </c>
      <c r="E231" s="52" t="s">
        <v>25</v>
      </c>
      <c r="F231" s="52" t="s">
        <v>26</v>
      </c>
      <c r="G231" s="53"/>
    </row>
    <row r="232">
      <c r="A232" s="49">
        <v>44697.16737922454</v>
      </c>
      <c r="B232" s="50">
        <v>44697.2923428588</v>
      </c>
      <c r="C232" s="51">
        <v>1.094</v>
      </c>
      <c r="D232" s="51">
        <v>68.0</v>
      </c>
      <c r="E232" s="52" t="s">
        <v>25</v>
      </c>
      <c r="F232" s="52" t="s">
        <v>26</v>
      </c>
      <c r="G232" s="53"/>
    </row>
    <row r="233">
      <c r="A233" s="49">
        <v>44697.177805694446</v>
      </c>
      <c r="B233" s="50">
        <v>44697.3027659722</v>
      </c>
      <c r="C233" s="51">
        <v>1.094</v>
      </c>
      <c r="D233" s="51">
        <v>68.0</v>
      </c>
      <c r="E233" s="52" t="s">
        <v>25</v>
      </c>
      <c r="F233" s="52" t="s">
        <v>26</v>
      </c>
      <c r="G233" s="53"/>
    </row>
    <row r="234">
      <c r="A234" s="49">
        <v>44697.188218854164</v>
      </c>
      <c r="B234" s="50">
        <v>44697.3131872453</v>
      </c>
      <c r="C234" s="51">
        <v>1.094</v>
      </c>
      <c r="D234" s="51">
        <v>68.0</v>
      </c>
      <c r="E234" s="52" t="s">
        <v>25</v>
      </c>
      <c r="F234" s="52" t="s">
        <v>26</v>
      </c>
      <c r="G234" s="53"/>
    </row>
    <row r="235">
      <c r="A235" s="49">
        <v>44697.198640497685</v>
      </c>
      <c r="B235" s="50">
        <v>44697.3236066319</v>
      </c>
      <c r="C235" s="51">
        <v>1.094</v>
      </c>
      <c r="D235" s="51">
        <v>68.0</v>
      </c>
      <c r="E235" s="52" t="s">
        <v>25</v>
      </c>
      <c r="F235" s="52" t="s">
        <v>26</v>
      </c>
      <c r="G235" s="53"/>
    </row>
    <row r="236">
      <c r="A236" s="49">
        <v>44697.20904618056</v>
      </c>
      <c r="B236" s="50">
        <v>44697.3340270254</v>
      </c>
      <c r="C236" s="51">
        <v>1.094</v>
      </c>
      <c r="D236" s="51">
        <v>68.0</v>
      </c>
      <c r="E236" s="52" t="s">
        <v>25</v>
      </c>
      <c r="F236" s="52" t="s">
        <v>26</v>
      </c>
      <c r="G236" s="53"/>
    </row>
    <row r="237">
      <c r="A237" s="49">
        <v>44697.21948818287</v>
      </c>
      <c r="B237" s="50">
        <v>44697.344449537</v>
      </c>
      <c r="C237" s="51">
        <v>1.093</v>
      </c>
      <c r="D237" s="51">
        <v>68.0</v>
      </c>
      <c r="E237" s="52" t="s">
        <v>25</v>
      </c>
      <c r="F237" s="52" t="s">
        <v>26</v>
      </c>
      <c r="G237" s="53"/>
    </row>
    <row r="238">
      <c r="A238" s="49">
        <v>44697.229938449076</v>
      </c>
      <c r="B238" s="50">
        <v>44697.354903831</v>
      </c>
      <c r="C238" s="51">
        <v>1.093</v>
      </c>
      <c r="D238" s="51">
        <v>68.0</v>
      </c>
      <c r="E238" s="52" t="s">
        <v>25</v>
      </c>
      <c r="F238" s="52" t="s">
        <v>26</v>
      </c>
      <c r="G238" s="53"/>
    </row>
    <row r="239">
      <c r="A239" s="49">
        <v>44697.240378449074</v>
      </c>
      <c r="B239" s="50">
        <v>44697.3653238657</v>
      </c>
      <c r="C239" s="51">
        <v>1.093</v>
      </c>
      <c r="D239" s="51">
        <v>68.0</v>
      </c>
      <c r="E239" s="52" t="s">
        <v>25</v>
      </c>
      <c r="F239" s="52" t="s">
        <v>26</v>
      </c>
      <c r="G239" s="53"/>
    </row>
    <row r="240">
      <c r="A240" s="49">
        <v>44697.250790185186</v>
      </c>
      <c r="B240" s="50">
        <v>44697.375746493</v>
      </c>
      <c r="C240" s="51">
        <v>1.093</v>
      </c>
      <c r="D240" s="51">
        <v>69.0</v>
      </c>
      <c r="E240" s="52" t="s">
        <v>25</v>
      </c>
      <c r="F240" s="52" t="s">
        <v>26</v>
      </c>
      <c r="G240" s="53"/>
    </row>
    <row r="241">
      <c r="A241" s="49">
        <v>44697.26123449074</v>
      </c>
      <c r="B241" s="50">
        <v>44697.3861914236</v>
      </c>
      <c r="C241" s="51">
        <v>1.093</v>
      </c>
      <c r="D241" s="51">
        <v>69.0</v>
      </c>
      <c r="E241" s="52" t="s">
        <v>25</v>
      </c>
      <c r="F241" s="52" t="s">
        <v>26</v>
      </c>
      <c r="G241" s="53"/>
    </row>
    <row r="242">
      <c r="A242" s="49">
        <v>44697.27169922454</v>
      </c>
      <c r="B242" s="50">
        <v>44697.3966363889</v>
      </c>
      <c r="C242" s="51">
        <v>1.093</v>
      </c>
      <c r="D242" s="51">
        <v>69.0</v>
      </c>
      <c r="E242" s="52" t="s">
        <v>25</v>
      </c>
      <c r="F242" s="52" t="s">
        <v>26</v>
      </c>
      <c r="G242" s="53"/>
    </row>
    <row r="243">
      <c r="A243" s="49">
        <v>44697.28399140046</v>
      </c>
      <c r="B243" s="50">
        <v>44697.4070585185</v>
      </c>
      <c r="C243" s="51">
        <v>1.093</v>
      </c>
      <c r="D243" s="51">
        <v>69.0</v>
      </c>
      <c r="E243" s="52" t="s">
        <v>25</v>
      </c>
      <c r="F243" s="52" t="s">
        <v>26</v>
      </c>
      <c r="G243" s="53"/>
    </row>
    <row r="244">
      <c r="A244" s="49">
        <v>44697.29251773148</v>
      </c>
      <c r="B244" s="50">
        <v>44697.4174792013</v>
      </c>
      <c r="C244" s="51">
        <v>1.093</v>
      </c>
      <c r="D244" s="51">
        <v>69.0</v>
      </c>
      <c r="E244" s="52" t="s">
        <v>25</v>
      </c>
      <c r="F244" s="52" t="s">
        <v>26</v>
      </c>
      <c r="G244" s="53"/>
    </row>
    <row r="245">
      <c r="A245" s="49">
        <v>44697.30304996528</v>
      </c>
      <c r="B245" s="50">
        <v>44697.4279224537</v>
      </c>
      <c r="C245" s="51">
        <v>1.093</v>
      </c>
      <c r="D245" s="51">
        <v>69.0</v>
      </c>
      <c r="E245" s="52" t="s">
        <v>25</v>
      </c>
      <c r="F245" s="52" t="s">
        <v>26</v>
      </c>
      <c r="G245" s="53"/>
    </row>
    <row r="246">
      <c r="A246" s="49">
        <v>44697.31341644676</v>
      </c>
      <c r="B246" s="50">
        <v>44697.4383415162</v>
      </c>
      <c r="C246" s="51">
        <v>1.093</v>
      </c>
      <c r="D246" s="51">
        <v>69.0</v>
      </c>
      <c r="E246" s="52" t="s">
        <v>25</v>
      </c>
      <c r="F246" s="52" t="s">
        <v>26</v>
      </c>
      <c r="G246" s="53"/>
    </row>
    <row r="247">
      <c r="A247" s="49">
        <v>44697.32380482639</v>
      </c>
      <c r="B247" s="50">
        <v>44697.4487631828</v>
      </c>
      <c r="C247" s="51">
        <v>1.092</v>
      </c>
      <c r="D247" s="51">
        <v>69.0</v>
      </c>
      <c r="E247" s="52" t="s">
        <v>25</v>
      </c>
      <c r="F247" s="52" t="s">
        <v>26</v>
      </c>
      <c r="G247" s="53"/>
    </row>
    <row r="248">
      <c r="A248" s="49">
        <v>44697.3342559375</v>
      </c>
      <c r="B248" s="50">
        <v>44697.4591837037</v>
      </c>
      <c r="C248" s="51">
        <v>1.092</v>
      </c>
      <c r="D248" s="51">
        <v>69.0</v>
      </c>
      <c r="E248" s="52" t="s">
        <v>25</v>
      </c>
      <c r="F248" s="52" t="s">
        <v>26</v>
      </c>
      <c r="G248" s="53"/>
    </row>
    <row r="249">
      <c r="A249" s="49">
        <v>44697.344633368055</v>
      </c>
      <c r="B249" s="50">
        <v>44697.4696046064</v>
      </c>
      <c r="C249" s="51">
        <v>1.092</v>
      </c>
      <c r="D249" s="51">
        <v>69.0</v>
      </c>
      <c r="E249" s="52" t="s">
        <v>25</v>
      </c>
      <c r="F249" s="52" t="s">
        <v>26</v>
      </c>
      <c r="G249" s="53"/>
    </row>
    <row r="250">
      <c r="A250" s="49">
        <v>44697.35507903935</v>
      </c>
      <c r="B250" s="50">
        <v>44697.4800227893</v>
      </c>
      <c r="C250" s="51">
        <v>1.092</v>
      </c>
      <c r="D250" s="51">
        <v>69.0</v>
      </c>
      <c r="E250" s="52" t="s">
        <v>25</v>
      </c>
      <c r="F250" s="52" t="s">
        <v>26</v>
      </c>
      <c r="G250" s="53"/>
    </row>
    <row r="251">
      <c r="A251" s="49">
        <v>44697.36549457176</v>
      </c>
      <c r="B251" s="50">
        <v>44697.4904573032</v>
      </c>
      <c r="C251" s="51">
        <v>1.092</v>
      </c>
      <c r="D251" s="51">
        <v>69.0</v>
      </c>
      <c r="E251" s="52" t="s">
        <v>25</v>
      </c>
      <c r="F251" s="52" t="s">
        <v>26</v>
      </c>
      <c r="G251" s="53"/>
    </row>
    <row r="252">
      <c r="A252" s="49">
        <v>44697.375961701386</v>
      </c>
      <c r="B252" s="50">
        <v>44697.5009255092</v>
      </c>
      <c r="C252" s="51">
        <v>1.092</v>
      </c>
      <c r="D252" s="51">
        <v>69.0</v>
      </c>
      <c r="E252" s="52" t="s">
        <v>25</v>
      </c>
      <c r="F252" s="52" t="s">
        <v>26</v>
      </c>
      <c r="G252" s="53"/>
    </row>
    <row r="253">
      <c r="A253" s="49">
        <v>44697.38637140046</v>
      </c>
      <c r="B253" s="50">
        <v>44697.5113468518</v>
      </c>
      <c r="C253" s="51">
        <v>1.092</v>
      </c>
      <c r="D253" s="51">
        <v>69.0</v>
      </c>
      <c r="E253" s="52" t="s">
        <v>25</v>
      </c>
      <c r="F253" s="52" t="s">
        <v>26</v>
      </c>
      <c r="G253" s="53"/>
    </row>
    <row r="254">
      <c r="A254" s="49">
        <v>44697.3967963426</v>
      </c>
      <c r="B254" s="50">
        <v>44697.5217685069</v>
      </c>
      <c r="C254" s="51">
        <v>1.092</v>
      </c>
      <c r="D254" s="51">
        <v>69.0</v>
      </c>
      <c r="E254" s="52" t="s">
        <v>25</v>
      </c>
      <c r="F254" s="52" t="s">
        <v>26</v>
      </c>
      <c r="G254" s="53"/>
    </row>
    <row r="255">
      <c r="A255" s="49">
        <v>44697.407215405095</v>
      </c>
      <c r="B255" s="50">
        <v>44697.5321908796</v>
      </c>
      <c r="C255" s="51">
        <v>1.092</v>
      </c>
      <c r="D255" s="51">
        <v>69.0</v>
      </c>
      <c r="E255" s="52" t="s">
        <v>25</v>
      </c>
      <c r="F255" s="52" t="s">
        <v>26</v>
      </c>
      <c r="G255" s="53"/>
    </row>
    <row r="256">
      <c r="A256" s="49">
        <v>44697.417651296295</v>
      </c>
      <c r="B256" s="50">
        <v>44697.5426234143</v>
      </c>
      <c r="C256" s="51">
        <v>1.092</v>
      </c>
      <c r="D256" s="51">
        <v>69.0</v>
      </c>
      <c r="E256" s="52" t="s">
        <v>25</v>
      </c>
      <c r="F256" s="52" t="s">
        <v>26</v>
      </c>
      <c r="G256" s="53"/>
    </row>
    <row r="257">
      <c r="A257" s="49">
        <v>44697.428110520836</v>
      </c>
      <c r="B257" s="50">
        <v>44697.5530676388</v>
      </c>
      <c r="C257" s="51">
        <v>1.091</v>
      </c>
      <c r="D257" s="51">
        <v>69.0</v>
      </c>
      <c r="E257" s="52" t="s">
        <v>25</v>
      </c>
      <c r="F257" s="52" t="s">
        <v>26</v>
      </c>
      <c r="G257" s="53"/>
    </row>
    <row r="258">
      <c r="A258" s="49">
        <v>44697.438540393516</v>
      </c>
      <c r="B258" s="50">
        <v>44697.5635122338</v>
      </c>
      <c r="C258" s="51">
        <v>1.091</v>
      </c>
      <c r="D258" s="51">
        <v>69.0</v>
      </c>
      <c r="E258" s="52" t="s">
        <v>25</v>
      </c>
      <c r="F258" s="52" t="s">
        <v>26</v>
      </c>
      <c r="G258" s="53"/>
    </row>
    <row r="259">
      <c r="A259" s="49">
        <v>44697.44898490741</v>
      </c>
      <c r="B259" s="50">
        <v>44697.5739349305</v>
      </c>
      <c r="C259" s="51">
        <v>1.091</v>
      </c>
      <c r="D259" s="51">
        <v>69.0</v>
      </c>
      <c r="E259" s="52" t="s">
        <v>25</v>
      </c>
      <c r="F259" s="52" t="s">
        <v>26</v>
      </c>
      <c r="G259" s="53"/>
    </row>
    <row r="260">
      <c r="A260" s="49">
        <v>44697.459391296296</v>
      </c>
      <c r="B260" s="50">
        <v>44697.5843560532</v>
      </c>
      <c r="C260" s="51">
        <v>1.091</v>
      </c>
      <c r="D260" s="51">
        <v>70.0</v>
      </c>
      <c r="E260" s="52" t="s">
        <v>25</v>
      </c>
      <c r="F260" s="52" t="s">
        <v>26</v>
      </c>
      <c r="G260" s="53"/>
    </row>
    <row r="261">
      <c r="A261" s="49">
        <v>44697.46980494213</v>
      </c>
      <c r="B261" s="50">
        <v>44697.5947768171</v>
      </c>
      <c r="C261" s="51">
        <v>1.091</v>
      </c>
      <c r="D261" s="51">
        <v>70.0</v>
      </c>
      <c r="E261" s="52" t="s">
        <v>25</v>
      </c>
      <c r="F261" s="52" t="s">
        <v>26</v>
      </c>
      <c r="G261" s="53"/>
    </row>
    <row r="262">
      <c r="A262" s="49">
        <v>44697.480250243054</v>
      </c>
      <c r="B262" s="50">
        <v>44697.6052220833</v>
      </c>
      <c r="C262" s="51">
        <v>1.09</v>
      </c>
      <c r="D262" s="51">
        <v>69.0</v>
      </c>
      <c r="E262" s="52" t="s">
        <v>25</v>
      </c>
      <c r="F262" s="52" t="s">
        <v>26</v>
      </c>
      <c r="G262" s="53"/>
    </row>
    <row r="263">
      <c r="A263" s="49">
        <v>44697.49067789352</v>
      </c>
      <c r="B263" s="50">
        <v>44697.6156451851</v>
      </c>
      <c r="C263" s="51">
        <v>1.091</v>
      </c>
      <c r="D263" s="51">
        <v>67.0</v>
      </c>
      <c r="E263" s="52" t="s">
        <v>25</v>
      </c>
      <c r="F263" s="52" t="s">
        <v>26</v>
      </c>
      <c r="G263" s="53"/>
    </row>
    <row r="264">
      <c r="A264" s="49">
        <v>44697.501112638885</v>
      </c>
      <c r="B264" s="50">
        <v>44697.6260770601</v>
      </c>
      <c r="C264" s="51">
        <v>1.091</v>
      </c>
      <c r="D264" s="51">
        <v>65.0</v>
      </c>
      <c r="E264" s="52" t="s">
        <v>25</v>
      </c>
      <c r="F264" s="52" t="s">
        <v>26</v>
      </c>
      <c r="G264" s="53"/>
    </row>
    <row r="265">
      <c r="A265" s="49">
        <v>44697.511538182865</v>
      </c>
      <c r="B265" s="50">
        <v>44697.6364981365</v>
      </c>
      <c r="C265" s="51">
        <v>1.091</v>
      </c>
      <c r="D265" s="51">
        <v>64.0</v>
      </c>
      <c r="E265" s="52" t="s">
        <v>25</v>
      </c>
      <c r="F265" s="52" t="s">
        <v>26</v>
      </c>
      <c r="G265" s="53"/>
    </row>
    <row r="266">
      <c r="A266" s="49">
        <v>44697.52195171296</v>
      </c>
      <c r="B266" s="50">
        <v>44697.6469197916</v>
      </c>
      <c r="C266" s="51">
        <v>1.09</v>
      </c>
      <c r="D266" s="51">
        <v>65.0</v>
      </c>
      <c r="E266" s="52" t="s">
        <v>25</v>
      </c>
      <c r="F266" s="52" t="s">
        <v>26</v>
      </c>
      <c r="G266" s="53"/>
    </row>
    <row r="267">
      <c r="A267" s="49">
        <v>44697.5323712963</v>
      </c>
      <c r="B267" s="50">
        <v>44697.6573410301</v>
      </c>
      <c r="C267" s="51">
        <v>1.09</v>
      </c>
      <c r="D267" s="51">
        <v>65.0</v>
      </c>
      <c r="E267" s="52" t="s">
        <v>25</v>
      </c>
      <c r="F267" s="52" t="s">
        <v>26</v>
      </c>
      <c r="G267" s="53"/>
    </row>
    <row r="268">
      <c r="A268" s="49">
        <v>44697.5427922338</v>
      </c>
      <c r="B268" s="50">
        <v>44697.66776125</v>
      </c>
      <c r="C268" s="51">
        <v>1.09</v>
      </c>
      <c r="D268" s="51">
        <v>65.0</v>
      </c>
      <c r="E268" s="52" t="s">
        <v>25</v>
      </c>
      <c r="F268" s="52" t="s">
        <v>26</v>
      </c>
      <c r="G268" s="53"/>
    </row>
    <row r="269">
      <c r="A269" s="49">
        <v>44697.55321327546</v>
      </c>
      <c r="B269" s="50">
        <v>44697.6781811111</v>
      </c>
      <c r="C269" s="51">
        <v>1.09</v>
      </c>
      <c r="D269" s="51">
        <v>65.0</v>
      </c>
      <c r="E269" s="52" t="s">
        <v>25</v>
      </c>
      <c r="F269" s="52" t="s">
        <v>26</v>
      </c>
      <c r="G269" s="53"/>
    </row>
    <row r="270">
      <c r="A270" s="49">
        <v>44697.56364366898</v>
      </c>
      <c r="B270" s="50">
        <v>44697.68861375</v>
      </c>
      <c r="C270" s="51">
        <v>1.09</v>
      </c>
      <c r="D270" s="51">
        <v>66.0</v>
      </c>
      <c r="E270" s="52" t="s">
        <v>25</v>
      </c>
      <c r="F270" s="52" t="s">
        <v>26</v>
      </c>
      <c r="G270" s="53"/>
    </row>
    <row r="271">
      <c r="A271" s="49">
        <v>44697.57406842592</v>
      </c>
      <c r="B271" s="50">
        <v>44697.699033912</v>
      </c>
      <c r="C271" s="51">
        <v>1.09</v>
      </c>
      <c r="D271" s="51">
        <v>66.0</v>
      </c>
      <c r="E271" s="52" t="s">
        <v>25</v>
      </c>
      <c r="F271" s="52" t="s">
        <v>26</v>
      </c>
      <c r="G271" s="53"/>
    </row>
    <row r="272">
      <c r="A272" s="49">
        <v>44697.58448828704</v>
      </c>
      <c r="B272" s="50">
        <v>44697.7094551504</v>
      </c>
      <c r="C272" s="51">
        <v>1.09</v>
      </c>
      <c r="D272" s="51">
        <v>66.0</v>
      </c>
      <c r="E272" s="52" t="s">
        <v>25</v>
      </c>
      <c r="F272" s="52" t="s">
        <v>26</v>
      </c>
      <c r="G272" s="53"/>
    </row>
    <row r="273">
      <c r="A273" s="49">
        <v>44697.594916064816</v>
      </c>
      <c r="B273" s="50">
        <v>44697.7198886111</v>
      </c>
      <c r="C273" s="51">
        <v>1.09</v>
      </c>
      <c r="D273" s="51">
        <v>66.0</v>
      </c>
      <c r="E273" s="52" t="s">
        <v>25</v>
      </c>
      <c r="F273" s="52" t="s">
        <v>26</v>
      </c>
      <c r="G273" s="53"/>
    </row>
    <row r="274">
      <c r="A274" s="49">
        <v>44697.605333125</v>
      </c>
      <c r="B274" s="50">
        <v>44697.7303093171</v>
      </c>
      <c r="C274" s="51">
        <v>1.09</v>
      </c>
      <c r="D274" s="51">
        <v>66.0</v>
      </c>
      <c r="E274" s="52" t="s">
        <v>25</v>
      </c>
      <c r="F274" s="52" t="s">
        <v>26</v>
      </c>
      <c r="G274" s="53"/>
    </row>
    <row r="275">
      <c r="A275" s="49">
        <v>44697.61578515046</v>
      </c>
      <c r="B275" s="50">
        <v>44697.7407546643</v>
      </c>
      <c r="C275" s="51">
        <v>1.09</v>
      </c>
      <c r="D275" s="51">
        <v>66.0</v>
      </c>
      <c r="E275" s="52" t="s">
        <v>25</v>
      </c>
      <c r="F275" s="52" t="s">
        <v>26</v>
      </c>
      <c r="G275" s="53"/>
    </row>
    <row r="276">
      <c r="A276" s="49">
        <v>44697.62619851852</v>
      </c>
      <c r="B276" s="50">
        <v>44697.7511752893</v>
      </c>
      <c r="C276" s="51">
        <v>1.09</v>
      </c>
      <c r="D276" s="51">
        <v>66.0</v>
      </c>
      <c r="E276" s="52" t="s">
        <v>25</v>
      </c>
      <c r="F276" s="52" t="s">
        <v>26</v>
      </c>
      <c r="G276" s="53"/>
    </row>
    <row r="277">
      <c r="A277" s="49">
        <v>44697.63662888889</v>
      </c>
      <c r="B277" s="50">
        <v>44697.76159875</v>
      </c>
      <c r="C277" s="51">
        <v>1.09</v>
      </c>
      <c r="D277" s="51">
        <v>66.0</v>
      </c>
      <c r="E277" s="52" t="s">
        <v>25</v>
      </c>
      <c r="F277" s="52" t="s">
        <v>26</v>
      </c>
      <c r="G277" s="53"/>
    </row>
    <row r="278">
      <c r="A278" s="49">
        <v>44697.647061157404</v>
      </c>
      <c r="B278" s="50">
        <v>44697.7720306481</v>
      </c>
      <c r="C278" s="51">
        <v>1.09</v>
      </c>
      <c r="D278" s="51">
        <v>66.0</v>
      </c>
      <c r="E278" s="52" t="s">
        <v>25</v>
      </c>
      <c r="F278" s="52" t="s">
        <v>26</v>
      </c>
      <c r="G278" s="53"/>
    </row>
    <row r="279">
      <c r="A279" s="49">
        <v>44697.65748028935</v>
      </c>
      <c r="B279" s="50">
        <v>44697.7824519791</v>
      </c>
      <c r="C279" s="51">
        <v>1.09</v>
      </c>
      <c r="D279" s="51">
        <v>66.0</v>
      </c>
      <c r="E279" s="52" t="s">
        <v>25</v>
      </c>
      <c r="F279" s="52" t="s">
        <v>26</v>
      </c>
      <c r="G279" s="53"/>
    </row>
    <row r="280">
      <c r="A280" s="49">
        <v>44697.66791474537</v>
      </c>
      <c r="B280" s="50">
        <v>44697.7928854745</v>
      </c>
      <c r="C280" s="51">
        <v>1.089</v>
      </c>
      <c r="D280" s="51">
        <v>66.0</v>
      </c>
      <c r="E280" s="52" t="s">
        <v>25</v>
      </c>
      <c r="F280" s="52" t="s">
        <v>26</v>
      </c>
      <c r="G280" s="53"/>
    </row>
    <row r="281">
      <c r="A281" s="49">
        <v>44697.67833274306</v>
      </c>
      <c r="B281" s="50">
        <v>44697.8033048726</v>
      </c>
      <c r="C281" s="51">
        <v>1.089</v>
      </c>
      <c r="D281" s="51">
        <v>66.0</v>
      </c>
      <c r="E281" s="52" t="s">
        <v>25</v>
      </c>
      <c r="F281" s="52" t="s">
        <v>26</v>
      </c>
      <c r="G281" s="53"/>
    </row>
    <row r="282">
      <c r="A282" s="49">
        <v>44697.688771493056</v>
      </c>
      <c r="B282" s="50">
        <v>44697.8137260995</v>
      </c>
      <c r="C282" s="51">
        <v>1.089</v>
      </c>
      <c r="D282" s="51">
        <v>66.0</v>
      </c>
      <c r="E282" s="52" t="s">
        <v>25</v>
      </c>
      <c r="F282" s="52" t="s">
        <v>26</v>
      </c>
      <c r="G282" s="53"/>
    </row>
    <row r="283">
      <c r="A283" s="49">
        <v>44697.699176168986</v>
      </c>
      <c r="B283" s="50">
        <v>44697.824148993</v>
      </c>
      <c r="C283" s="51">
        <v>1.089</v>
      </c>
      <c r="D283" s="51">
        <v>66.0</v>
      </c>
      <c r="E283" s="52" t="s">
        <v>25</v>
      </c>
      <c r="F283" s="52" t="s">
        <v>26</v>
      </c>
      <c r="G283" s="53"/>
    </row>
    <row r="284">
      <c r="A284" s="49">
        <v>44697.70960608796</v>
      </c>
      <c r="B284" s="50">
        <v>44697.8345821412</v>
      </c>
      <c r="C284" s="51">
        <v>1.089</v>
      </c>
      <c r="D284" s="51">
        <v>66.0</v>
      </c>
      <c r="E284" s="52" t="s">
        <v>25</v>
      </c>
      <c r="F284" s="52" t="s">
        <v>26</v>
      </c>
      <c r="G284" s="53"/>
    </row>
    <row r="285">
      <c r="A285" s="49">
        <v>44697.720043611116</v>
      </c>
      <c r="B285" s="50">
        <v>44697.8450151157</v>
      </c>
      <c r="C285" s="51">
        <v>1.089</v>
      </c>
      <c r="D285" s="51">
        <v>66.0</v>
      </c>
      <c r="E285" s="52" t="s">
        <v>25</v>
      </c>
      <c r="F285" s="52" t="s">
        <v>26</v>
      </c>
      <c r="G285" s="53"/>
    </row>
    <row r="286">
      <c r="A286" s="49">
        <v>44697.73046443287</v>
      </c>
      <c r="B286" s="50">
        <v>44697.8554361689</v>
      </c>
      <c r="C286" s="51">
        <v>1.089</v>
      </c>
      <c r="D286" s="51">
        <v>67.0</v>
      </c>
      <c r="E286" s="52" t="s">
        <v>25</v>
      </c>
      <c r="F286" s="52" t="s">
        <v>26</v>
      </c>
      <c r="G286" s="53"/>
    </row>
    <row r="287">
      <c r="A287" s="49">
        <v>44697.740881157406</v>
      </c>
      <c r="B287" s="50">
        <v>44697.8658579166</v>
      </c>
      <c r="C287" s="51">
        <v>1.089</v>
      </c>
      <c r="D287" s="51">
        <v>67.0</v>
      </c>
      <c r="E287" s="52" t="s">
        <v>25</v>
      </c>
      <c r="F287" s="52" t="s">
        <v>26</v>
      </c>
      <c r="G287" s="53"/>
    </row>
    <row r="288">
      <c r="A288" s="49">
        <v>44697.75132743055</v>
      </c>
      <c r="B288" s="50">
        <v>44697.8762911458</v>
      </c>
      <c r="C288" s="51">
        <v>1.089</v>
      </c>
      <c r="D288" s="51">
        <v>67.0</v>
      </c>
      <c r="E288" s="52" t="s">
        <v>25</v>
      </c>
      <c r="F288" s="52" t="s">
        <v>26</v>
      </c>
      <c r="G288" s="53"/>
    </row>
    <row r="289">
      <c r="A289" s="49">
        <v>44697.76174418982</v>
      </c>
      <c r="B289" s="50">
        <v>44697.8867118634</v>
      </c>
      <c r="C289" s="51">
        <v>1.089</v>
      </c>
      <c r="D289" s="51">
        <v>67.0</v>
      </c>
      <c r="E289" s="52" t="s">
        <v>25</v>
      </c>
      <c r="F289" s="52" t="s">
        <v>26</v>
      </c>
      <c r="G289" s="53"/>
    </row>
    <row r="290">
      <c r="A290" s="49">
        <v>44697.77217766204</v>
      </c>
      <c r="B290" s="50">
        <v>44697.8971448958</v>
      </c>
      <c r="C290" s="51">
        <v>1.088</v>
      </c>
      <c r="D290" s="51">
        <v>67.0</v>
      </c>
      <c r="E290" s="52" t="s">
        <v>25</v>
      </c>
      <c r="F290" s="52" t="s">
        <v>26</v>
      </c>
      <c r="G290" s="53"/>
    </row>
    <row r="291">
      <c r="A291" s="49">
        <v>44697.78259824074</v>
      </c>
      <c r="B291" s="50">
        <v>44697.9075679166</v>
      </c>
      <c r="C291" s="51">
        <v>1.089</v>
      </c>
      <c r="D291" s="51">
        <v>67.0</v>
      </c>
      <c r="E291" s="52" t="s">
        <v>25</v>
      </c>
      <c r="F291" s="52" t="s">
        <v>26</v>
      </c>
      <c r="G291" s="53"/>
    </row>
    <row r="292">
      <c r="A292" s="49">
        <v>44697.79303208333</v>
      </c>
      <c r="B292" s="50">
        <v>44697.9180004282</v>
      </c>
      <c r="C292" s="51">
        <v>1.088</v>
      </c>
      <c r="D292" s="51">
        <v>67.0</v>
      </c>
      <c r="E292" s="52" t="s">
        <v>25</v>
      </c>
      <c r="F292" s="52" t="s">
        <v>26</v>
      </c>
      <c r="G292" s="53"/>
    </row>
    <row r="293">
      <c r="A293" s="49">
        <v>44697.80345194445</v>
      </c>
      <c r="B293" s="50">
        <v>44697.9284199189</v>
      </c>
      <c r="C293" s="51">
        <v>1.088</v>
      </c>
      <c r="D293" s="51">
        <v>67.0</v>
      </c>
      <c r="E293" s="52" t="s">
        <v>25</v>
      </c>
      <c r="F293" s="52" t="s">
        <v>26</v>
      </c>
      <c r="G293" s="53"/>
    </row>
    <row r="294">
      <c r="A294" s="49">
        <v>44697.813871192135</v>
      </c>
      <c r="B294" s="50">
        <v>44697.9388436921</v>
      </c>
      <c r="C294" s="51">
        <v>1.088</v>
      </c>
      <c r="D294" s="51">
        <v>67.0</v>
      </c>
      <c r="E294" s="52" t="s">
        <v>25</v>
      </c>
      <c r="F294" s="52" t="s">
        <v>26</v>
      </c>
      <c r="G294" s="53"/>
    </row>
    <row r="295">
      <c r="A295" s="49">
        <v>44697.82429554398</v>
      </c>
      <c r="B295" s="50">
        <v>44697.9492657523</v>
      </c>
      <c r="C295" s="51">
        <v>1.088</v>
      </c>
      <c r="D295" s="51">
        <v>67.0</v>
      </c>
      <c r="E295" s="52" t="s">
        <v>25</v>
      </c>
      <c r="F295" s="52" t="s">
        <v>26</v>
      </c>
      <c r="G295" s="53"/>
    </row>
    <row r="296">
      <c r="A296" s="49">
        <v>44697.83476133102</v>
      </c>
      <c r="B296" s="50">
        <v>44697.959733368</v>
      </c>
      <c r="C296" s="51">
        <v>1.088</v>
      </c>
      <c r="D296" s="51">
        <v>67.0</v>
      </c>
      <c r="E296" s="52" t="s">
        <v>25</v>
      </c>
      <c r="F296" s="52" t="s">
        <v>26</v>
      </c>
      <c r="G296" s="53"/>
    </row>
    <row r="297">
      <c r="A297" s="49">
        <v>44697.84517489583</v>
      </c>
      <c r="B297" s="50">
        <v>44697.9701540277</v>
      </c>
      <c r="C297" s="51">
        <v>1.087</v>
      </c>
      <c r="D297" s="51">
        <v>67.0</v>
      </c>
      <c r="E297" s="52" t="s">
        <v>25</v>
      </c>
      <c r="F297" s="52" t="s">
        <v>26</v>
      </c>
      <c r="G297" s="53"/>
    </row>
    <row r="298">
      <c r="A298" s="49">
        <v>44697.85559841435</v>
      </c>
      <c r="B298" s="50">
        <v>44697.9805750578</v>
      </c>
      <c r="C298" s="51">
        <v>1.087</v>
      </c>
      <c r="D298" s="51">
        <v>67.0</v>
      </c>
      <c r="E298" s="52" t="s">
        <v>25</v>
      </c>
      <c r="F298" s="52" t="s">
        <v>26</v>
      </c>
      <c r="G298" s="53"/>
    </row>
    <row r="299">
      <c r="A299" s="49">
        <v>44697.86607159722</v>
      </c>
      <c r="B299" s="50">
        <v>44697.991040081</v>
      </c>
      <c r="C299" s="51">
        <v>1.088</v>
      </c>
      <c r="D299" s="51">
        <v>67.0</v>
      </c>
      <c r="E299" s="52" t="s">
        <v>25</v>
      </c>
      <c r="F299" s="52" t="s">
        <v>26</v>
      </c>
      <c r="G299" s="53"/>
    </row>
    <row r="300">
      <c r="A300" s="49">
        <v>44697.87649043981</v>
      </c>
      <c r="B300" s="50">
        <v>44698.0014621759</v>
      </c>
      <c r="C300" s="51">
        <v>1.087</v>
      </c>
      <c r="D300" s="51">
        <v>67.0</v>
      </c>
      <c r="E300" s="52" t="s">
        <v>25</v>
      </c>
      <c r="F300" s="52" t="s">
        <v>26</v>
      </c>
      <c r="G300" s="53"/>
    </row>
    <row r="301">
      <c r="A301" s="49">
        <v>44697.88692491898</v>
      </c>
      <c r="B301" s="50">
        <v>44698.0118962615</v>
      </c>
      <c r="C301" s="51">
        <v>1.087</v>
      </c>
      <c r="D301" s="51">
        <v>67.0</v>
      </c>
      <c r="E301" s="52" t="s">
        <v>25</v>
      </c>
      <c r="F301" s="52" t="s">
        <v>26</v>
      </c>
      <c r="G301" s="53"/>
    </row>
    <row r="302">
      <c r="A302" s="49">
        <v>44697.90783957176</v>
      </c>
      <c r="B302" s="50">
        <v>44698.0328093865</v>
      </c>
      <c r="C302" s="51">
        <v>1.087</v>
      </c>
      <c r="D302" s="51">
        <v>67.0</v>
      </c>
      <c r="E302" s="52" t="s">
        <v>25</v>
      </c>
      <c r="F302" s="52" t="s">
        <v>26</v>
      </c>
      <c r="G302" s="53"/>
    </row>
    <row r="303">
      <c r="A303" s="49">
        <v>44697.91825993056</v>
      </c>
      <c r="B303" s="50">
        <v>44698.0432307175</v>
      </c>
      <c r="C303" s="51">
        <v>1.087</v>
      </c>
      <c r="D303" s="51">
        <v>68.0</v>
      </c>
      <c r="E303" s="52" t="s">
        <v>25</v>
      </c>
      <c r="F303" s="52" t="s">
        <v>26</v>
      </c>
      <c r="G303" s="53"/>
    </row>
    <row r="304">
      <c r="A304" s="49">
        <v>44697.92871039352</v>
      </c>
      <c r="B304" s="50">
        <v>44698.0536869213</v>
      </c>
      <c r="C304" s="51">
        <v>1.087</v>
      </c>
      <c r="D304" s="51">
        <v>68.0</v>
      </c>
      <c r="E304" s="52" t="s">
        <v>25</v>
      </c>
      <c r="F304" s="52" t="s">
        <v>26</v>
      </c>
      <c r="G304" s="53"/>
    </row>
    <row r="305">
      <c r="A305" s="49">
        <v>44697.939145729164</v>
      </c>
      <c r="B305" s="50">
        <v>44698.0641080208</v>
      </c>
      <c r="C305" s="51">
        <v>1.086</v>
      </c>
      <c r="D305" s="51">
        <v>68.0</v>
      </c>
      <c r="E305" s="52" t="s">
        <v>25</v>
      </c>
      <c r="F305" s="52" t="s">
        <v>26</v>
      </c>
      <c r="G305" s="53"/>
    </row>
    <row r="306">
      <c r="A306" s="49">
        <v>44697.94955751157</v>
      </c>
      <c r="B306" s="50">
        <v>44698.0745291898</v>
      </c>
      <c r="C306" s="51">
        <v>1.086</v>
      </c>
      <c r="D306" s="51">
        <v>68.0</v>
      </c>
      <c r="E306" s="52" t="s">
        <v>25</v>
      </c>
      <c r="F306" s="52" t="s">
        <v>26</v>
      </c>
      <c r="G306" s="53"/>
    </row>
    <row r="307">
      <c r="A307" s="49">
        <v>44697.96000229167</v>
      </c>
      <c r="B307" s="50">
        <v>44698.0849730092</v>
      </c>
      <c r="C307" s="51">
        <v>1.086</v>
      </c>
      <c r="D307" s="51">
        <v>68.0</v>
      </c>
      <c r="E307" s="52" t="s">
        <v>25</v>
      </c>
      <c r="F307" s="52" t="s">
        <v>26</v>
      </c>
      <c r="G307" s="53"/>
    </row>
    <row r="308">
      <c r="A308" s="49">
        <v>44697.97042189815</v>
      </c>
      <c r="B308" s="50">
        <v>44698.0953924884</v>
      </c>
      <c r="C308" s="51">
        <v>1.086</v>
      </c>
      <c r="D308" s="51">
        <v>68.0</v>
      </c>
      <c r="E308" s="52" t="s">
        <v>25</v>
      </c>
      <c r="F308" s="52" t="s">
        <v>26</v>
      </c>
      <c r="G308" s="53"/>
    </row>
    <row r="309">
      <c r="A309" s="49">
        <v>44697.98084766204</v>
      </c>
      <c r="B309" s="50">
        <v>44698.1058134143</v>
      </c>
      <c r="C309" s="51">
        <v>1.086</v>
      </c>
      <c r="D309" s="51">
        <v>68.0</v>
      </c>
      <c r="E309" s="52" t="s">
        <v>25</v>
      </c>
      <c r="F309" s="52" t="s">
        <v>26</v>
      </c>
      <c r="G309" s="53"/>
    </row>
    <row r="310">
      <c r="A310" s="49">
        <v>44697.9913121412</v>
      </c>
      <c r="B310" s="50">
        <v>44698.1162793171</v>
      </c>
      <c r="C310" s="51">
        <v>1.086</v>
      </c>
      <c r="D310" s="51">
        <v>68.0</v>
      </c>
      <c r="E310" s="52" t="s">
        <v>25</v>
      </c>
      <c r="F310" s="52" t="s">
        <v>26</v>
      </c>
      <c r="G310" s="53"/>
    </row>
    <row r="311">
      <c r="A311" s="49">
        <v>44698.00174211805</v>
      </c>
      <c r="B311" s="50">
        <v>44698.1267115972</v>
      </c>
      <c r="C311" s="51">
        <v>1.086</v>
      </c>
      <c r="D311" s="51">
        <v>68.0</v>
      </c>
      <c r="E311" s="52" t="s">
        <v>25</v>
      </c>
      <c r="F311" s="52" t="s">
        <v>26</v>
      </c>
      <c r="G311" s="53"/>
    </row>
    <row r="312">
      <c r="A312" s="49">
        <v>44698.01218155093</v>
      </c>
      <c r="B312" s="50">
        <v>44698.137145405</v>
      </c>
      <c r="C312" s="51">
        <v>1.086</v>
      </c>
      <c r="D312" s="51">
        <v>68.0</v>
      </c>
      <c r="E312" s="52" t="s">
        <v>25</v>
      </c>
      <c r="F312" s="52" t="s">
        <v>26</v>
      </c>
      <c r="G312" s="53"/>
    </row>
    <row r="313">
      <c r="A313" s="49">
        <v>44698.02259128472</v>
      </c>
      <c r="B313" s="50">
        <v>44698.147567118</v>
      </c>
      <c r="C313" s="51">
        <v>1.086</v>
      </c>
      <c r="D313" s="51">
        <v>68.0</v>
      </c>
      <c r="E313" s="52" t="s">
        <v>25</v>
      </c>
      <c r="F313" s="52" t="s">
        <v>26</v>
      </c>
      <c r="G313" s="53"/>
    </row>
    <row r="314">
      <c r="A314" s="49">
        <v>44698.03305824074</v>
      </c>
      <c r="B314" s="50">
        <v>44698.1580241898</v>
      </c>
      <c r="C314" s="51">
        <v>1.086</v>
      </c>
      <c r="D314" s="51">
        <v>68.0</v>
      </c>
      <c r="E314" s="52" t="s">
        <v>25</v>
      </c>
      <c r="F314" s="52" t="s">
        <v>26</v>
      </c>
      <c r="G314" s="53"/>
    </row>
    <row r="315">
      <c r="A315" s="49">
        <v>44698.043482002315</v>
      </c>
      <c r="B315" s="50">
        <v>44698.1684446875</v>
      </c>
      <c r="C315" s="51">
        <v>1.086</v>
      </c>
      <c r="D315" s="51">
        <v>68.0</v>
      </c>
      <c r="E315" s="52" t="s">
        <v>25</v>
      </c>
      <c r="F315" s="52" t="s">
        <v>26</v>
      </c>
      <c r="G315" s="53"/>
    </row>
    <row r="316">
      <c r="A316" s="49">
        <v>44698.0538940625</v>
      </c>
      <c r="B316" s="50">
        <v>44698.1788637847</v>
      </c>
      <c r="C316" s="51">
        <v>1.085</v>
      </c>
      <c r="D316" s="51">
        <v>68.0</v>
      </c>
      <c r="E316" s="52" t="s">
        <v>25</v>
      </c>
      <c r="F316" s="52" t="s">
        <v>26</v>
      </c>
      <c r="G316" s="53"/>
    </row>
    <row r="317">
      <c r="A317" s="49">
        <v>44698.06431980324</v>
      </c>
      <c r="B317" s="50">
        <v>44698.1892847453</v>
      </c>
      <c r="C317" s="51">
        <v>1.085</v>
      </c>
      <c r="D317" s="51">
        <v>68.0</v>
      </c>
      <c r="E317" s="52" t="s">
        <v>25</v>
      </c>
      <c r="F317" s="52" t="s">
        <v>26</v>
      </c>
      <c r="G317" s="53"/>
    </row>
    <row r="318">
      <c r="A318" s="49">
        <v>44698.07473571759</v>
      </c>
      <c r="B318" s="50">
        <v>44698.1997064814</v>
      </c>
      <c r="C318" s="51">
        <v>1.085</v>
      </c>
      <c r="D318" s="51">
        <v>68.0</v>
      </c>
      <c r="E318" s="52" t="s">
        <v>25</v>
      </c>
      <c r="F318" s="52" t="s">
        <v>26</v>
      </c>
      <c r="G318" s="53"/>
    </row>
    <row r="319">
      <c r="A319" s="49">
        <v>44698.08515400463</v>
      </c>
      <c r="B319" s="50">
        <v>44698.2101267592</v>
      </c>
      <c r="C319" s="51">
        <v>1.085</v>
      </c>
      <c r="D319" s="51">
        <v>68.0</v>
      </c>
      <c r="E319" s="52" t="s">
        <v>25</v>
      </c>
      <c r="F319" s="52" t="s">
        <v>26</v>
      </c>
      <c r="G319" s="53"/>
    </row>
    <row r="320">
      <c r="A320" s="49">
        <v>44698.09557604167</v>
      </c>
      <c r="B320" s="50">
        <v>44698.2205468287</v>
      </c>
      <c r="C320" s="51">
        <v>1.085</v>
      </c>
      <c r="D320" s="51">
        <v>68.0</v>
      </c>
      <c r="E320" s="52" t="s">
        <v>25</v>
      </c>
      <c r="F320" s="52" t="s">
        <v>26</v>
      </c>
      <c r="G320" s="53"/>
    </row>
    <row r="321">
      <c r="A321" s="49">
        <v>44698.10599685185</v>
      </c>
      <c r="B321" s="50">
        <v>44698.2309683796</v>
      </c>
      <c r="C321" s="51">
        <v>1.085</v>
      </c>
      <c r="D321" s="51">
        <v>68.0</v>
      </c>
      <c r="E321" s="52" t="s">
        <v>25</v>
      </c>
      <c r="F321" s="52" t="s">
        <v>26</v>
      </c>
      <c r="G321" s="53"/>
    </row>
    <row r="322">
      <c r="A322" s="49">
        <v>44698.116410243056</v>
      </c>
      <c r="B322" s="50">
        <v>44698.2413889583</v>
      </c>
      <c r="C322" s="51">
        <v>1.085</v>
      </c>
      <c r="D322" s="51">
        <v>68.0</v>
      </c>
      <c r="E322" s="52" t="s">
        <v>25</v>
      </c>
      <c r="F322" s="52" t="s">
        <v>26</v>
      </c>
      <c r="G322" s="53"/>
    </row>
    <row r="323">
      <c r="A323" s="49">
        <v>44698.1268468287</v>
      </c>
      <c r="B323" s="50">
        <v>44698.2518106828</v>
      </c>
      <c r="C323" s="51">
        <v>1.085</v>
      </c>
      <c r="D323" s="51">
        <v>69.0</v>
      </c>
      <c r="E323" s="52" t="s">
        <v>25</v>
      </c>
      <c r="F323" s="52" t="s">
        <v>26</v>
      </c>
      <c r="G323" s="53"/>
    </row>
    <row r="324">
      <c r="A324" s="49">
        <v>44698.13726488426</v>
      </c>
      <c r="B324" s="50">
        <v>44698.2622327083</v>
      </c>
      <c r="C324" s="51">
        <v>1.084</v>
      </c>
      <c r="D324" s="51">
        <v>69.0</v>
      </c>
      <c r="E324" s="52" t="s">
        <v>25</v>
      </c>
      <c r="F324" s="52" t="s">
        <v>26</v>
      </c>
      <c r="G324" s="53"/>
    </row>
    <row r="325">
      <c r="A325" s="49">
        <v>44698.14770427083</v>
      </c>
      <c r="B325" s="50">
        <v>44698.2726645139</v>
      </c>
      <c r="C325" s="51">
        <v>1.084</v>
      </c>
      <c r="D325" s="51">
        <v>69.0</v>
      </c>
      <c r="E325" s="52" t="s">
        <v>25</v>
      </c>
      <c r="F325" s="52" t="s">
        <v>26</v>
      </c>
      <c r="G325" s="53"/>
    </row>
    <row r="326">
      <c r="A326" s="49">
        <v>44698.15813627315</v>
      </c>
      <c r="B326" s="50">
        <v>44698.2831087731</v>
      </c>
      <c r="C326" s="51">
        <v>1.084</v>
      </c>
      <c r="D326" s="51">
        <v>69.0</v>
      </c>
      <c r="E326" s="52" t="s">
        <v>25</v>
      </c>
      <c r="F326" s="52" t="s">
        <v>26</v>
      </c>
      <c r="G326" s="53"/>
    </row>
    <row r="327">
      <c r="A327" s="49">
        <v>44698.168557349534</v>
      </c>
      <c r="B327" s="50">
        <v>44698.2935299305</v>
      </c>
      <c r="C327" s="51">
        <v>1.084</v>
      </c>
      <c r="D327" s="51">
        <v>69.0</v>
      </c>
      <c r="E327" s="52" t="s">
        <v>25</v>
      </c>
      <c r="F327" s="52" t="s">
        <v>26</v>
      </c>
      <c r="G327" s="53"/>
    </row>
    <row r="328">
      <c r="A328" s="49">
        <v>44698.17900949074</v>
      </c>
      <c r="B328" s="50">
        <v>44698.3039757986</v>
      </c>
      <c r="C328" s="51">
        <v>1.084</v>
      </c>
      <c r="D328" s="51">
        <v>69.0</v>
      </c>
      <c r="E328" s="52" t="s">
        <v>25</v>
      </c>
      <c r="F328" s="52" t="s">
        <v>26</v>
      </c>
      <c r="G328" s="53"/>
    </row>
    <row r="329">
      <c r="A329" s="49">
        <v>44698.18943134259</v>
      </c>
      <c r="B329" s="50">
        <v>44698.314396574</v>
      </c>
      <c r="C329" s="51">
        <v>1.084</v>
      </c>
      <c r="D329" s="51">
        <v>69.0</v>
      </c>
      <c r="E329" s="52" t="s">
        <v>25</v>
      </c>
      <c r="F329" s="52" t="s">
        <v>26</v>
      </c>
      <c r="G329" s="53"/>
    </row>
    <row r="330">
      <c r="A330" s="49">
        <v>44698.19985261574</v>
      </c>
      <c r="B330" s="50">
        <v>44698.3248166666</v>
      </c>
      <c r="C330" s="51">
        <v>1.084</v>
      </c>
      <c r="D330" s="51">
        <v>69.0</v>
      </c>
      <c r="E330" s="52" t="s">
        <v>25</v>
      </c>
      <c r="F330" s="52" t="s">
        <v>26</v>
      </c>
      <c r="G330" s="53"/>
    </row>
    <row r="331">
      <c r="A331" s="49">
        <v>44698.21027967593</v>
      </c>
      <c r="B331" s="50">
        <v>44698.3352499189</v>
      </c>
      <c r="C331" s="51">
        <v>1.084</v>
      </c>
      <c r="D331" s="51">
        <v>69.0</v>
      </c>
      <c r="E331" s="52" t="s">
        <v>25</v>
      </c>
      <c r="F331" s="52" t="s">
        <v>26</v>
      </c>
      <c r="G331" s="53"/>
    </row>
    <row r="332">
      <c r="A332" s="49">
        <v>44698.22071030093</v>
      </c>
      <c r="B332" s="50">
        <v>44698.3456823263</v>
      </c>
      <c r="C332" s="51">
        <v>1.083</v>
      </c>
      <c r="D332" s="51">
        <v>69.0</v>
      </c>
      <c r="E332" s="52" t="s">
        <v>25</v>
      </c>
      <c r="F332" s="52" t="s">
        <v>26</v>
      </c>
      <c r="G332" s="53"/>
    </row>
    <row r="333">
      <c r="A333" s="49">
        <v>44698.23112981481</v>
      </c>
      <c r="B333" s="50">
        <v>44698.3561023032</v>
      </c>
      <c r="C333" s="51">
        <v>1.083</v>
      </c>
      <c r="D333" s="51">
        <v>69.0</v>
      </c>
      <c r="E333" s="52" t="s">
        <v>25</v>
      </c>
      <c r="F333" s="52" t="s">
        <v>26</v>
      </c>
      <c r="G333" s="53"/>
    </row>
    <row r="334">
      <c r="A334" s="49">
        <v>44698.24158819445</v>
      </c>
      <c r="B334" s="50">
        <v>44698.3665353819</v>
      </c>
      <c r="C334" s="51">
        <v>1.084</v>
      </c>
      <c r="D334" s="51">
        <v>69.0</v>
      </c>
      <c r="E334" s="52" t="s">
        <v>25</v>
      </c>
      <c r="F334" s="52" t="s">
        <v>26</v>
      </c>
      <c r="G334" s="53"/>
    </row>
    <row r="335">
      <c r="A335" s="49">
        <v>44698.25198511574</v>
      </c>
      <c r="B335" s="50">
        <v>44698.3769562847</v>
      </c>
      <c r="C335" s="51">
        <v>1.083</v>
      </c>
      <c r="D335" s="51">
        <v>69.0</v>
      </c>
      <c r="E335" s="52" t="s">
        <v>25</v>
      </c>
      <c r="F335" s="52" t="s">
        <v>26</v>
      </c>
      <c r="G335" s="53"/>
    </row>
    <row r="336">
      <c r="A336" s="49">
        <v>44698.26240097222</v>
      </c>
      <c r="B336" s="50">
        <v>44698.3873769328</v>
      </c>
      <c r="C336" s="51">
        <v>1.084</v>
      </c>
      <c r="D336" s="51">
        <v>69.0</v>
      </c>
      <c r="E336" s="52" t="s">
        <v>25</v>
      </c>
      <c r="F336" s="52" t="s">
        <v>26</v>
      </c>
      <c r="G336" s="53"/>
    </row>
    <row r="337">
      <c r="A337" s="49">
        <v>44698.27281712963</v>
      </c>
      <c r="B337" s="50">
        <v>44698.3977989814</v>
      </c>
      <c r="C337" s="51">
        <v>1.083</v>
      </c>
      <c r="D337" s="51">
        <v>69.0</v>
      </c>
      <c r="E337" s="52" t="s">
        <v>25</v>
      </c>
      <c r="F337" s="52" t="s">
        <v>26</v>
      </c>
      <c r="G337" s="53"/>
    </row>
    <row r="338">
      <c r="A338" s="49">
        <v>44698.2832490625</v>
      </c>
      <c r="B338" s="50">
        <v>44698.4082185069</v>
      </c>
      <c r="C338" s="51">
        <v>1.083</v>
      </c>
      <c r="D338" s="51">
        <v>69.0</v>
      </c>
      <c r="E338" s="52" t="s">
        <v>25</v>
      </c>
      <c r="F338" s="52" t="s">
        <v>26</v>
      </c>
      <c r="G338" s="53"/>
    </row>
    <row r="339">
      <c r="A339" s="49">
        <v>44698.29368495371</v>
      </c>
      <c r="B339" s="50">
        <v>44698.4186625</v>
      </c>
      <c r="C339" s="51">
        <v>1.083</v>
      </c>
      <c r="D339" s="51">
        <v>69.0</v>
      </c>
      <c r="E339" s="52" t="s">
        <v>25</v>
      </c>
      <c r="F339" s="52" t="s">
        <v>26</v>
      </c>
      <c r="G339" s="53"/>
    </row>
    <row r="340">
      <c r="A340" s="49">
        <v>44698.30411643519</v>
      </c>
      <c r="B340" s="50">
        <v>44698.4290846759</v>
      </c>
      <c r="C340" s="51">
        <v>1.083</v>
      </c>
      <c r="D340" s="51">
        <v>69.0</v>
      </c>
      <c r="E340" s="52" t="s">
        <v>25</v>
      </c>
      <c r="F340" s="52" t="s">
        <v>26</v>
      </c>
      <c r="G340" s="53"/>
    </row>
    <row r="341">
      <c r="A341" s="49">
        <v>44698.31454119213</v>
      </c>
      <c r="B341" s="50">
        <v>44698.4395058333</v>
      </c>
      <c r="C341" s="51">
        <v>1.083</v>
      </c>
      <c r="D341" s="51">
        <v>69.0</v>
      </c>
      <c r="E341" s="52" t="s">
        <v>25</v>
      </c>
      <c r="F341" s="52" t="s">
        <v>26</v>
      </c>
      <c r="G341" s="53"/>
    </row>
    <row r="342">
      <c r="A342" s="49">
        <v>44698.32495083333</v>
      </c>
      <c r="B342" s="50">
        <v>44698.4499287268</v>
      </c>
      <c r="C342" s="51">
        <v>1.083</v>
      </c>
      <c r="D342" s="51">
        <v>69.0</v>
      </c>
      <c r="E342" s="52" t="s">
        <v>25</v>
      </c>
      <c r="F342" s="52" t="s">
        <v>26</v>
      </c>
      <c r="G342" s="53"/>
    </row>
    <row r="343">
      <c r="A343" s="49">
        <v>44698.33558377315</v>
      </c>
      <c r="B343" s="50">
        <v>44698.4603616319</v>
      </c>
      <c r="C343" s="51">
        <v>1.083</v>
      </c>
      <c r="D343" s="51">
        <v>69.0</v>
      </c>
      <c r="E343" s="52" t="s">
        <v>25</v>
      </c>
      <c r="F343" s="52" t="s">
        <v>26</v>
      </c>
      <c r="G343" s="53"/>
    </row>
    <row r="344">
      <c r="A344" s="49">
        <v>44698.34580471065</v>
      </c>
      <c r="B344" s="50">
        <v>44698.4707832407</v>
      </c>
      <c r="C344" s="51">
        <v>1.083</v>
      </c>
      <c r="D344" s="51">
        <v>69.0</v>
      </c>
      <c r="E344" s="52" t="s">
        <v>25</v>
      </c>
      <c r="F344" s="52" t="s">
        <v>26</v>
      </c>
      <c r="G344" s="53"/>
    </row>
    <row r="345">
      <c r="A345" s="49">
        <v>44698.3562393287</v>
      </c>
      <c r="B345" s="50">
        <v>44698.4812149768</v>
      </c>
      <c r="C345" s="51">
        <v>1.082</v>
      </c>
      <c r="D345" s="51">
        <v>70.0</v>
      </c>
      <c r="E345" s="52" t="s">
        <v>25</v>
      </c>
      <c r="F345" s="52" t="s">
        <v>26</v>
      </c>
      <c r="G345" s="53"/>
    </row>
    <row r="346">
      <c r="A346" s="49">
        <v>44698.36667701389</v>
      </c>
      <c r="B346" s="50">
        <v>44698.4916476273</v>
      </c>
      <c r="C346" s="51">
        <v>1.082</v>
      </c>
      <c r="D346" s="51">
        <v>70.0</v>
      </c>
      <c r="E346" s="52" t="s">
        <v>25</v>
      </c>
      <c r="F346" s="52" t="s">
        <v>26</v>
      </c>
      <c r="G346" s="53"/>
    </row>
    <row r="347">
      <c r="A347" s="49">
        <v>44698.37709525463</v>
      </c>
      <c r="B347" s="50">
        <v>44698.502068125</v>
      </c>
      <c r="C347" s="51">
        <v>1.082</v>
      </c>
      <c r="D347" s="51">
        <v>70.0</v>
      </c>
      <c r="E347" s="52" t="s">
        <v>25</v>
      </c>
      <c r="F347" s="52" t="s">
        <v>26</v>
      </c>
      <c r="G347" s="53"/>
    </row>
    <row r="348">
      <c r="A348" s="49">
        <v>44698.38752721065</v>
      </c>
      <c r="B348" s="50">
        <v>44698.5125018865</v>
      </c>
      <c r="C348" s="51">
        <v>1.082</v>
      </c>
      <c r="D348" s="51">
        <v>69.0</v>
      </c>
      <c r="E348" s="52" t="s">
        <v>25</v>
      </c>
      <c r="F348" s="52" t="s">
        <v>26</v>
      </c>
      <c r="G348" s="53"/>
    </row>
    <row r="349">
      <c r="A349" s="49">
        <v>44698.39794401621</v>
      </c>
      <c r="B349" s="50">
        <v>44698.5229243634</v>
      </c>
      <c r="C349" s="51">
        <v>1.082</v>
      </c>
      <c r="D349" s="51">
        <v>68.0</v>
      </c>
      <c r="E349" s="52" t="s">
        <v>25</v>
      </c>
      <c r="F349" s="52" t="s">
        <v>26</v>
      </c>
      <c r="G349" s="53"/>
    </row>
    <row r="350">
      <c r="A350" s="49">
        <v>44698.40837795139</v>
      </c>
      <c r="B350" s="50">
        <v>44698.5333456713</v>
      </c>
      <c r="C350" s="51">
        <v>1.082</v>
      </c>
      <c r="D350" s="51">
        <v>66.0</v>
      </c>
      <c r="E350" s="52" t="s">
        <v>25</v>
      </c>
      <c r="F350" s="52" t="s">
        <v>26</v>
      </c>
      <c r="G350" s="53"/>
    </row>
    <row r="351">
      <c r="A351" s="49">
        <v>44698.41880675926</v>
      </c>
      <c r="B351" s="50">
        <v>44698.5437784375</v>
      </c>
      <c r="C351" s="51">
        <v>1.082</v>
      </c>
      <c r="D351" s="51">
        <v>65.0</v>
      </c>
      <c r="E351" s="52" t="s">
        <v>25</v>
      </c>
      <c r="F351" s="52" t="s">
        <v>26</v>
      </c>
      <c r="G351" s="53"/>
    </row>
    <row r="352">
      <c r="A352" s="49">
        <v>44698.429228657405</v>
      </c>
      <c r="B352" s="50">
        <v>44698.5541987615</v>
      </c>
      <c r="C352" s="51">
        <v>1.082</v>
      </c>
      <c r="D352" s="51">
        <v>65.0</v>
      </c>
      <c r="E352" s="52" t="s">
        <v>25</v>
      </c>
      <c r="F352" s="52" t="s">
        <v>26</v>
      </c>
      <c r="G352" s="53"/>
    </row>
    <row r="353">
      <c r="A353" s="49">
        <v>44698.43964054398</v>
      </c>
      <c r="B353" s="50">
        <v>44698.5646177777</v>
      </c>
      <c r="C353" s="51">
        <v>1.082</v>
      </c>
      <c r="D353" s="51">
        <v>65.0</v>
      </c>
      <c r="E353" s="52" t="s">
        <v>25</v>
      </c>
      <c r="F353" s="52" t="s">
        <v>26</v>
      </c>
      <c r="G353" s="53"/>
    </row>
    <row r="354">
      <c r="A354" s="49">
        <v>44698.45007908565</v>
      </c>
      <c r="B354" s="50">
        <v>44698.5750503935</v>
      </c>
      <c r="C354" s="51">
        <v>1.082</v>
      </c>
      <c r="D354" s="51">
        <v>65.0</v>
      </c>
      <c r="E354" s="52" t="s">
        <v>25</v>
      </c>
      <c r="F354" s="52" t="s">
        <v>26</v>
      </c>
      <c r="G354" s="53"/>
    </row>
    <row r="355">
      <c r="A355" s="49">
        <v>44698.46050706018</v>
      </c>
      <c r="B355" s="50">
        <v>44698.5854710416</v>
      </c>
      <c r="C355" s="51">
        <v>1.082</v>
      </c>
      <c r="D355" s="51">
        <v>65.0</v>
      </c>
      <c r="E355" s="52" t="s">
        <v>25</v>
      </c>
      <c r="F355" s="52" t="s">
        <v>26</v>
      </c>
      <c r="G355" s="53"/>
    </row>
    <row r="356">
      <c r="A356" s="49">
        <v>44698.470947662034</v>
      </c>
      <c r="B356" s="50">
        <v>44698.5959151388</v>
      </c>
      <c r="C356" s="51">
        <v>1.082</v>
      </c>
      <c r="D356" s="51">
        <v>65.0</v>
      </c>
      <c r="E356" s="52" t="s">
        <v>25</v>
      </c>
      <c r="F356" s="52" t="s">
        <v>26</v>
      </c>
      <c r="G356" s="53"/>
    </row>
    <row r="357">
      <c r="A357" s="49">
        <v>44698.48136128472</v>
      </c>
      <c r="B357" s="50">
        <v>44698.6063350347</v>
      </c>
      <c r="C357" s="51">
        <v>1.082</v>
      </c>
      <c r="D357" s="51">
        <v>65.0</v>
      </c>
      <c r="E357" s="52" t="s">
        <v>25</v>
      </c>
      <c r="F357" s="52" t="s">
        <v>26</v>
      </c>
      <c r="G357" s="53"/>
    </row>
    <row r="358">
      <c r="A358" s="49">
        <v>44698.49178394676</v>
      </c>
      <c r="B358" s="50">
        <v>44698.6167553935</v>
      </c>
      <c r="C358" s="51">
        <v>1.081</v>
      </c>
      <c r="D358" s="51">
        <v>65.0</v>
      </c>
      <c r="E358" s="52" t="s">
        <v>25</v>
      </c>
      <c r="F358" s="52" t="s">
        <v>26</v>
      </c>
      <c r="G358" s="53"/>
    </row>
    <row r="359">
      <c r="A359" s="49">
        <v>44698.50221368056</v>
      </c>
      <c r="B359" s="50">
        <v>44698.627188449</v>
      </c>
      <c r="C359" s="51">
        <v>1.081</v>
      </c>
      <c r="D359" s="51">
        <v>66.0</v>
      </c>
      <c r="E359" s="52" t="s">
        <v>25</v>
      </c>
      <c r="F359" s="52" t="s">
        <v>26</v>
      </c>
      <c r="G359" s="53"/>
    </row>
    <row r="360">
      <c r="A360" s="49">
        <v>44698.51263199074</v>
      </c>
      <c r="B360" s="50">
        <v>44698.6376087963</v>
      </c>
      <c r="C360" s="51">
        <v>1.081</v>
      </c>
      <c r="D360" s="51">
        <v>66.0</v>
      </c>
      <c r="E360" s="52" t="s">
        <v>25</v>
      </c>
      <c r="F360" s="52" t="s">
        <v>26</v>
      </c>
      <c r="G360" s="53"/>
    </row>
    <row r="361">
      <c r="A361" s="49">
        <v>44698.523077986116</v>
      </c>
      <c r="B361" s="50">
        <v>44698.6480537384</v>
      </c>
      <c r="C361" s="51">
        <v>1.081</v>
      </c>
      <c r="D361" s="51">
        <v>66.0</v>
      </c>
      <c r="E361" s="52" t="s">
        <v>25</v>
      </c>
      <c r="F361" s="52" t="s">
        <v>26</v>
      </c>
      <c r="G361" s="53"/>
    </row>
    <row r="362">
      <c r="A362" s="49">
        <v>44698.53349430556</v>
      </c>
      <c r="B362" s="50">
        <v>44698.6584745138</v>
      </c>
      <c r="C362" s="51">
        <v>1.081</v>
      </c>
      <c r="D362" s="51">
        <v>66.0</v>
      </c>
      <c r="E362" s="52" t="s">
        <v>25</v>
      </c>
      <c r="F362" s="52" t="s">
        <v>26</v>
      </c>
      <c r="G362" s="53"/>
    </row>
    <row r="363">
      <c r="A363" s="49">
        <v>44698.54392548611</v>
      </c>
      <c r="B363" s="50">
        <v>44698.6688944097</v>
      </c>
      <c r="C363" s="51">
        <v>1.081</v>
      </c>
      <c r="D363" s="51">
        <v>66.0</v>
      </c>
      <c r="E363" s="52" t="s">
        <v>25</v>
      </c>
      <c r="F363" s="52" t="s">
        <v>26</v>
      </c>
      <c r="G363" s="53"/>
    </row>
    <row r="364">
      <c r="A364" s="49">
        <v>44698.55435342593</v>
      </c>
      <c r="B364" s="50">
        <v>44698.6793264004</v>
      </c>
      <c r="C364" s="51">
        <v>1.081</v>
      </c>
      <c r="D364" s="51">
        <v>66.0</v>
      </c>
      <c r="E364" s="52" t="s">
        <v>25</v>
      </c>
      <c r="F364" s="52" t="s">
        <v>26</v>
      </c>
      <c r="G364" s="53"/>
    </row>
    <row r="365">
      <c r="A365" s="49">
        <v>44698.56479118056</v>
      </c>
      <c r="B365" s="50">
        <v>44698.689758125</v>
      </c>
      <c r="C365" s="51">
        <v>1.081</v>
      </c>
      <c r="D365" s="51">
        <v>66.0</v>
      </c>
      <c r="E365" s="52" t="s">
        <v>25</v>
      </c>
      <c r="F365" s="52" t="s">
        <v>26</v>
      </c>
      <c r="G365" s="53"/>
    </row>
    <row r="366">
      <c r="A366" s="49">
        <v>44698.575205138884</v>
      </c>
      <c r="B366" s="50">
        <v>44698.7001787037</v>
      </c>
      <c r="C366" s="51">
        <v>1.081</v>
      </c>
      <c r="D366" s="51">
        <v>66.0</v>
      </c>
      <c r="E366" s="52" t="s">
        <v>25</v>
      </c>
      <c r="F366" s="52" t="s">
        <v>26</v>
      </c>
      <c r="G366" s="53"/>
    </row>
    <row r="367">
      <c r="A367" s="49">
        <v>44698.58563782407</v>
      </c>
      <c r="B367" s="50">
        <v>44698.7106141087</v>
      </c>
      <c r="C367" s="51">
        <v>1.081</v>
      </c>
      <c r="D367" s="51">
        <v>66.0</v>
      </c>
      <c r="E367" s="52" t="s">
        <v>25</v>
      </c>
      <c r="F367" s="52" t="s">
        <v>26</v>
      </c>
      <c r="G367" s="53"/>
    </row>
    <row r="368">
      <c r="A368" s="49">
        <v>44698.596052395835</v>
      </c>
      <c r="B368" s="50">
        <v>44698.7210353125</v>
      </c>
      <c r="C368" s="51">
        <v>1.08</v>
      </c>
      <c r="D368" s="51">
        <v>66.0</v>
      </c>
      <c r="E368" s="52" t="s">
        <v>25</v>
      </c>
      <c r="F368" s="52" t="s">
        <v>26</v>
      </c>
      <c r="G368" s="53"/>
    </row>
    <row r="369">
      <c r="A369" s="49">
        <v>44698.60647885417</v>
      </c>
      <c r="B369" s="50">
        <v>44698.7314551273</v>
      </c>
      <c r="C369" s="51">
        <v>1.08</v>
      </c>
      <c r="D369" s="51">
        <v>66.0</v>
      </c>
      <c r="E369" s="52" t="s">
        <v>25</v>
      </c>
      <c r="F369" s="52" t="s">
        <v>26</v>
      </c>
      <c r="G369" s="53"/>
    </row>
    <row r="370">
      <c r="A370" s="49">
        <v>44698.616920162036</v>
      </c>
      <c r="B370" s="50">
        <v>44698.7419008912</v>
      </c>
      <c r="C370" s="51">
        <v>1.08</v>
      </c>
      <c r="D370" s="51">
        <v>66.0</v>
      </c>
      <c r="E370" s="52" t="s">
        <v>25</v>
      </c>
      <c r="F370" s="52" t="s">
        <v>26</v>
      </c>
      <c r="G370" s="53"/>
    </row>
    <row r="371">
      <c r="A371" s="49">
        <v>44698.627350752315</v>
      </c>
      <c r="B371" s="50">
        <v>44698.7523233564</v>
      </c>
      <c r="C371" s="51">
        <v>1.08</v>
      </c>
      <c r="D371" s="51">
        <v>66.0</v>
      </c>
      <c r="E371" s="52" t="s">
        <v>25</v>
      </c>
      <c r="F371" s="52" t="s">
        <v>26</v>
      </c>
      <c r="G371" s="53"/>
    </row>
    <row r="372">
      <c r="A372" s="49">
        <v>44698.63780864583</v>
      </c>
      <c r="B372" s="50">
        <v>44698.7627804398</v>
      </c>
      <c r="C372" s="51">
        <v>1.08</v>
      </c>
      <c r="D372" s="51">
        <v>66.0</v>
      </c>
      <c r="E372" s="52" t="s">
        <v>25</v>
      </c>
      <c r="F372" s="52" t="s">
        <v>26</v>
      </c>
      <c r="G372" s="53"/>
    </row>
    <row r="373">
      <c r="A373" s="49">
        <v>44698.6482355787</v>
      </c>
      <c r="B373" s="50">
        <v>44698.7732018287</v>
      </c>
      <c r="C373" s="51">
        <v>1.08</v>
      </c>
      <c r="D373" s="51">
        <v>66.0</v>
      </c>
      <c r="E373" s="52" t="s">
        <v>25</v>
      </c>
      <c r="F373" s="52" t="s">
        <v>26</v>
      </c>
      <c r="G373" s="53"/>
    </row>
    <row r="374">
      <c r="A374" s="49">
        <v>44698.65865305555</v>
      </c>
      <c r="B374" s="50">
        <v>44698.7836209722</v>
      </c>
      <c r="C374" s="51">
        <v>1.08</v>
      </c>
      <c r="D374" s="51">
        <v>66.0</v>
      </c>
      <c r="E374" s="52" t="s">
        <v>25</v>
      </c>
      <c r="F374" s="52" t="s">
        <v>26</v>
      </c>
      <c r="G374" s="53"/>
    </row>
    <row r="375">
      <c r="A375" s="49">
        <v>44698.66908203704</v>
      </c>
      <c r="B375" s="50">
        <v>44698.7940553472</v>
      </c>
      <c r="C375" s="51">
        <v>1.08</v>
      </c>
      <c r="D375" s="51">
        <v>66.0</v>
      </c>
      <c r="E375" s="52" t="s">
        <v>25</v>
      </c>
      <c r="F375" s="52" t="s">
        <v>26</v>
      </c>
      <c r="G375" s="53"/>
    </row>
    <row r="376">
      <c r="A376" s="49">
        <v>44698.67950775463</v>
      </c>
      <c r="B376" s="50">
        <v>44698.8044869328</v>
      </c>
      <c r="C376" s="51">
        <v>1.08</v>
      </c>
      <c r="D376" s="51">
        <v>66.0</v>
      </c>
      <c r="E376" s="52" t="s">
        <v>25</v>
      </c>
      <c r="F376" s="52" t="s">
        <v>26</v>
      </c>
      <c r="G376" s="53"/>
    </row>
    <row r="377">
      <c r="A377" s="49">
        <v>44698.68995078704</v>
      </c>
      <c r="B377" s="50">
        <v>44698.8149098032</v>
      </c>
      <c r="C377" s="51">
        <v>1.079</v>
      </c>
      <c r="D377" s="51">
        <v>66.0</v>
      </c>
      <c r="E377" s="52" t="s">
        <v>25</v>
      </c>
      <c r="F377" s="52" t="s">
        <v>26</v>
      </c>
      <c r="G377" s="53"/>
    </row>
    <row r="378">
      <c r="A378" s="49">
        <v>44698.70035969907</v>
      </c>
      <c r="B378" s="50">
        <v>44698.825329537</v>
      </c>
      <c r="C378" s="51">
        <v>1.079</v>
      </c>
      <c r="D378" s="51">
        <v>67.0</v>
      </c>
      <c r="E378" s="52" t="s">
        <v>25</v>
      </c>
      <c r="F378" s="52" t="s">
        <v>26</v>
      </c>
      <c r="G378" s="53"/>
    </row>
    <row r="379">
      <c r="A379" s="49">
        <v>44698.710778981476</v>
      </c>
      <c r="B379" s="50">
        <v>44698.8357528588</v>
      </c>
      <c r="C379" s="51">
        <v>1.079</v>
      </c>
      <c r="D379" s="51">
        <v>67.0</v>
      </c>
      <c r="E379" s="52" t="s">
        <v>25</v>
      </c>
      <c r="F379" s="52" t="s">
        <v>26</v>
      </c>
      <c r="G379" s="53"/>
    </row>
    <row r="380">
      <c r="A380" s="49">
        <v>44698.72119627315</v>
      </c>
      <c r="B380" s="50">
        <v>44698.8461743518</v>
      </c>
      <c r="C380" s="51">
        <v>1.079</v>
      </c>
      <c r="D380" s="51">
        <v>67.0</v>
      </c>
      <c r="E380" s="52" t="s">
        <v>25</v>
      </c>
      <c r="F380" s="52" t="s">
        <v>26</v>
      </c>
      <c r="G380" s="53"/>
    </row>
    <row r="381">
      <c r="A381" s="49">
        <v>44698.731627256944</v>
      </c>
      <c r="B381" s="50">
        <v>44698.8565954745</v>
      </c>
      <c r="C381" s="51">
        <v>1.079</v>
      </c>
      <c r="D381" s="51">
        <v>67.0</v>
      </c>
      <c r="E381" s="52" t="s">
        <v>25</v>
      </c>
      <c r="F381" s="52" t="s">
        <v>26</v>
      </c>
      <c r="G381" s="53"/>
    </row>
    <row r="382">
      <c r="A382" s="49">
        <v>44698.742060034725</v>
      </c>
      <c r="B382" s="50">
        <v>44698.8670284375</v>
      </c>
      <c r="C382" s="51">
        <v>1.079</v>
      </c>
      <c r="D382" s="51">
        <v>67.0</v>
      </c>
      <c r="E382" s="52" t="s">
        <v>25</v>
      </c>
      <c r="F382" s="52" t="s">
        <v>26</v>
      </c>
      <c r="G382" s="53"/>
    </row>
    <row r="383">
      <c r="A383" s="49">
        <v>44698.7524797338</v>
      </c>
      <c r="B383" s="50">
        <v>44698.8774501851</v>
      </c>
      <c r="C383" s="51">
        <v>1.079</v>
      </c>
      <c r="D383" s="51">
        <v>67.0</v>
      </c>
      <c r="E383" s="52" t="s">
        <v>25</v>
      </c>
      <c r="F383" s="52" t="s">
        <v>26</v>
      </c>
      <c r="G383" s="53"/>
    </row>
    <row r="384">
      <c r="A384" s="49">
        <v>44698.762902268514</v>
      </c>
      <c r="B384" s="50">
        <v>44698.8878715509</v>
      </c>
      <c r="C384" s="51">
        <v>1.079</v>
      </c>
      <c r="D384" s="51">
        <v>67.0</v>
      </c>
      <c r="E384" s="52" t="s">
        <v>25</v>
      </c>
      <c r="F384" s="52" t="s">
        <v>26</v>
      </c>
      <c r="G384" s="53"/>
    </row>
    <row r="385">
      <c r="A385" s="49">
        <v>44698.773321493056</v>
      </c>
      <c r="B385" s="50">
        <v>44698.898291412</v>
      </c>
      <c r="C385" s="51">
        <v>1.079</v>
      </c>
      <c r="D385" s="51">
        <v>67.0</v>
      </c>
      <c r="E385" s="52" t="s">
        <v>25</v>
      </c>
      <c r="F385" s="52" t="s">
        <v>26</v>
      </c>
      <c r="G385" s="53"/>
    </row>
    <row r="386">
      <c r="A386" s="49">
        <v>44698.78374284723</v>
      </c>
      <c r="B386" s="50">
        <v>44698.9087128356</v>
      </c>
      <c r="C386" s="51">
        <v>1.078</v>
      </c>
      <c r="D386" s="51">
        <v>67.0</v>
      </c>
      <c r="E386" s="52" t="s">
        <v>25</v>
      </c>
      <c r="F386" s="52" t="s">
        <v>26</v>
      </c>
      <c r="G386" s="53"/>
    </row>
    <row r="387">
      <c r="A387" s="49">
        <v>44698.79415931713</v>
      </c>
      <c r="B387" s="50">
        <v>44698.919132824</v>
      </c>
      <c r="C387" s="51">
        <v>1.079</v>
      </c>
      <c r="D387" s="51">
        <v>67.0</v>
      </c>
      <c r="E387" s="52" t="s">
        <v>25</v>
      </c>
      <c r="F387" s="52" t="s">
        <v>26</v>
      </c>
      <c r="G387" s="53"/>
    </row>
    <row r="388">
      <c r="A388" s="49">
        <v>44698.80458380787</v>
      </c>
      <c r="B388" s="50">
        <v>44698.9295541203</v>
      </c>
      <c r="C388" s="51">
        <v>1.079</v>
      </c>
      <c r="D388" s="51">
        <v>67.0</v>
      </c>
      <c r="E388" s="52" t="s">
        <v>25</v>
      </c>
      <c r="F388" s="52" t="s">
        <v>26</v>
      </c>
      <c r="G388" s="53"/>
    </row>
    <row r="389">
      <c r="A389" s="49">
        <v>44698.815010509265</v>
      </c>
      <c r="B389" s="50">
        <v>44698.9399763888</v>
      </c>
      <c r="C389" s="51">
        <v>1.079</v>
      </c>
      <c r="D389" s="51">
        <v>67.0</v>
      </c>
      <c r="E389" s="52" t="s">
        <v>25</v>
      </c>
      <c r="F389" s="52" t="s">
        <v>26</v>
      </c>
      <c r="G389" s="53"/>
    </row>
    <row r="390">
      <c r="A390" s="49">
        <v>44698.825437314816</v>
      </c>
      <c r="B390" s="50">
        <v>44698.9504104976</v>
      </c>
      <c r="C390" s="51">
        <v>1.078</v>
      </c>
      <c r="D390" s="51">
        <v>67.0</v>
      </c>
      <c r="E390" s="52" t="s">
        <v>25</v>
      </c>
      <c r="F390" s="52" t="s">
        <v>26</v>
      </c>
      <c r="G390" s="53"/>
    </row>
    <row r="391">
      <c r="A391" s="49">
        <v>44698.83586771991</v>
      </c>
      <c r="B391" s="50">
        <v>44698.9608438426</v>
      </c>
      <c r="C391" s="51">
        <v>1.079</v>
      </c>
      <c r="D391" s="51">
        <v>67.0</v>
      </c>
      <c r="E391" s="52" t="s">
        <v>25</v>
      </c>
      <c r="F391" s="52" t="s">
        <v>26</v>
      </c>
      <c r="G391" s="53"/>
    </row>
    <row r="392">
      <c r="A392" s="49">
        <v>44698.84630189815</v>
      </c>
      <c r="B392" s="50">
        <v>44698.9712649421</v>
      </c>
      <c r="C392" s="51">
        <v>1.078</v>
      </c>
      <c r="D392" s="51">
        <v>67.0</v>
      </c>
      <c r="E392" s="52" t="s">
        <v>25</v>
      </c>
      <c r="F392" s="52" t="s">
        <v>26</v>
      </c>
      <c r="G392" s="53"/>
    </row>
    <row r="393">
      <c r="A393" s="49">
        <v>44698.85671478009</v>
      </c>
      <c r="B393" s="50">
        <v>44698.9816861921</v>
      </c>
      <c r="C393" s="51">
        <v>1.078</v>
      </c>
      <c r="D393" s="51">
        <v>67.0</v>
      </c>
      <c r="E393" s="52" t="s">
        <v>25</v>
      </c>
      <c r="F393" s="52" t="s">
        <v>26</v>
      </c>
      <c r="G393" s="53"/>
    </row>
    <row r="394">
      <c r="A394" s="49">
        <v>44698.86713533565</v>
      </c>
      <c r="B394" s="50">
        <v>44698.9921070833</v>
      </c>
      <c r="C394" s="51">
        <v>1.078</v>
      </c>
      <c r="D394" s="51">
        <v>67.0</v>
      </c>
      <c r="E394" s="52" t="s">
        <v>25</v>
      </c>
      <c r="F394" s="52" t="s">
        <v>26</v>
      </c>
      <c r="G394" s="53"/>
    </row>
    <row r="395">
      <c r="A395" s="49">
        <v>44698.87755042824</v>
      </c>
      <c r="B395" s="50">
        <v>44699.0025286921</v>
      </c>
      <c r="C395" s="51">
        <v>1.078</v>
      </c>
      <c r="D395" s="51">
        <v>67.0</v>
      </c>
      <c r="E395" s="52" t="s">
        <v>25</v>
      </c>
      <c r="F395" s="52" t="s">
        <v>26</v>
      </c>
      <c r="G395" s="53"/>
    </row>
    <row r="396">
      <c r="A396" s="49">
        <v>44698.887983622684</v>
      </c>
      <c r="B396" s="50">
        <v>44699.0129479745</v>
      </c>
      <c r="C396" s="51">
        <v>1.078</v>
      </c>
      <c r="D396" s="51">
        <v>67.0</v>
      </c>
      <c r="E396" s="52" t="s">
        <v>25</v>
      </c>
      <c r="F396" s="52" t="s">
        <v>26</v>
      </c>
      <c r="G396" s="53"/>
    </row>
    <row r="397">
      <c r="A397" s="49">
        <v>44698.898397488425</v>
      </c>
      <c r="B397" s="50">
        <v>44699.0233698611</v>
      </c>
      <c r="C397" s="51">
        <v>1.078</v>
      </c>
      <c r="D397" s="51">
        <v>67.0</v>
      </c>
      <c r="E397" s="52" t="s">
        <v>25</v>
      </c>
      <c r="F397" s="52" t="s">
        <v>26</v>
      </c>
      <c r="G397" s="53"/>
    </row>
    <row r="398">
      <c r="A398" s="49">
        <v>44698.90882394676</v>
      </c>
      <c r="B398" s="50">
        <v>44699.0337908796</v>
      </c>
      <c r="C398" s="51">
        <v>1.078</v>
      </c>
      <c r="D398" s="51">
        <v>68.0</v>
      </c>
      <c r="E398" s="52" t="s">
        <v>25</v>
      </c>
      <c r="F398" s="52" t="s">
        <v>26</v>
      </c>
      <c r="G398" s="53"/>
    </row>
    <row r="399">
      <c r="A399" s="49">
        <v>44698.91924548611</v>
      </c>
      <c r="B399" s="50">
        <v>44699.0442116203</v>
      </c>
      <c r="C399" s="51">
        <v>1.078</v>
      </c>
      <c r="D399" s="51">
        <v>67.0</v>
      </c>
      <c r="E399" s="52" t="s">
        <v>25</v>
      </c>
      <c r="F399" s="52" t="s">
        <v>26</v>
      </c>
      <c r="G399" s="53"/>
    </row>
    <row r="400">
      <c r="A400" s="49">
        <v>44698.92969010417</v>
      </c>
      <c r="B400" s="50">
        <v>44699.05465603</v>
      </c>
      <c r="C400" s="51">
        <v>1.077</v>
      </c>
      <c r="D400" s="51">
        <v>68.0</v>
      </c>
      <c r="E400" s="52" t="s">
        <v>25</v>
      </c>
      <c r="F400" s="52" t="s">
        <v>26</v>
      </c>
      <c r="G400" s="53"/>
    </row>
    <row r="401">
      <c r="A401" s="49">
        <v>44698.94011696759</v>
      </c>
      <c r="B401" s="50">
        <v>44699.0650883564</v>
      </c>
      <c r="C401" s="51">
        <v>1.077</v>
      </c>
      <c r="D401" s="51">
        <v>68.0</v>
      </c>
      <c r="E401" s="52" t="s">
        <v>25</v>
      </c>
      <c r="F401" s="52" t="s">
        <v>26</v>
      </c>
      <c r="G401" s="53"/>
    </row>
    <row r="402">
      <c r="A402" s="49">
        <v>44698.950533333336</v>
      </c>
      <c r="B402" s="50">
        <v>44699.0755093287</v>
      </c>
      <c r="C402" s="51">
        <v>1.077</v>
      </c>
      <c r="D402" s="51">
        <v>68.0</v>
      </c>
      <c r="E402" s="52" t="s">
        <v>25</v>
      </c>
      <c r="F402" s="52" t="s">
        <v>26</v>
      </c>
      <c r="G402" s="53"/>
    </row>
    <row r="403">
      <c r="A403" s="49">
        <v>44698.96097543981</v>
      </c>
      <c r="B403" s="50">
        <v>44699.0859426273</v>
      </c>
      <c r="C403" s="51">
        <v>1.077</v>
      </c>
      <c r="D403" s="51">
        <v>68.0</v>
      </c>
      <c r="E403" s="52" t="s">
        <v>25</v>
      </c>
      <c r="F403" s="52" t="s">
        <v>26</v>
      </c>
      <c r="G403" s="53"/>
    </row>
    <row r="404">
      <c r="A404" s="49">
        <v>44698.971397002315</v>
      </c>
      <c r="B404" s="50">
        <v>44699.0963636689</v>
      </c>
      <c r="C404" s="51">
        <v>1.077</v>
      </c>
      <c r="D404" s="51">
        <v>68.0</v>
      </c>
      <c r="E404" s="52" t="s">
        <v>25</v>
      </c>
      <c r="F404" s="52" t="s">
        <v>26</v>
      </c>
      <c r="G404" s="53"/>
    </row>
    <row r="405">
      <c r="A405" s="49">
        <v>44698.98182635417</v>
      </c>
      <c r="B405" s="50">
        <v>44699.1067846296</v>
      </c>
      <c r="C405" s="51">
        <v>1.077</v>
      </c>
      <c r="D405" s="51">
        <v>68.0</v>
      </c>
      <c r="E405" s="52" t="s">
        <v>25</v>
      </c>
      <c r="F405" s="52" t="s">
        <v>26</v>
      </c>
      <c r="G405" s="53"/>
    </row>
    <row r="406">
      <c r="A406" s="49">
        <v>44698.99225134259</v>
      </c>
      <c r="B406" s="50">
        <v>44699.1172181134</v>
      </c>
      <c r="C406" s="51">
        <v>1.077</v>
      </c>
      <c r="D406" s="51">
        <v>68.0</v>
      </c>
      <c r="E406" s="52" t="s">
        <v>25</v>
      </c>
      <c r="F406" s="52" t="s">
        <v>26</v>
      </c>
      <c r="G406" s="53"/>
    </row>
    <row r="407">
      <c r="A407" s="49">
        <v>44699.00268619213</v>
      </c>
      <c r="B407" s="50">
        <v>44699.1276499189</v>
      </c>
      <c r="C407" s="51">
        <v>1.077</v>
      </c>
      <c r="D407" s="51">
        <v>68.0</v>
      </c>
      <c r="E407" s="52" t="s">
        <v>25</v>
      </c>
      <c r="F407" s="52" t="s">
        <v>26</v>
      </c>
      <c r="G407" s="53"/>
    </row>
    <row r="408">
      <c r="A408" s="49">
        <v>44699.01310190972</v>
      </c>
      <c r="B408" s="50">
        <v>44699.1380708564</v>
      </c>
      <c r="C408" s="51">
        <v>1.077</v>
      </c>
      <c r="D408" s="51">
        <v>68.0</v>
      </c>
      <c r="E408" s="52" t="s">
        <v>25</v>
      </c>
      <c r="F408" s="52" t="s">
        <v>26</v>
      </c>
      <c r="G408" s="53"/>
    </row>
    <row r="409">
      <c r="A409" s="49">
        <v>44699.02351679398</v>
      </c>
      <c r="B409" s="50">
        <v>44699.1484919675</v>
      </c>
      <c r="C409" s="51">
        <v>1.077</v>
      </c>
      <c r="D409" s="51">
        <v>68.0</v>
      </c>
      <c r="E409" s="52" t="s">
        <v>25</v>
      </c>
      <c r="F409" s="52" t="s">
        <v>26</v>
      </c>
      <c r="G409" s="53"/>
    </row>
    <row r="410">
      <c r="A410" s="49">
        <v>44699.03394050926</v>
      </c>
      <c r="B410" s="50">
        <v>44699.1589129976</v>
      </c>
      <c r="C410" s="51">
        <v>1.077</v>
      </c>
      <c r="D410" s="51">
        <v>68.0</v>
      </c>
      <c r="E410" s="52" t="s">
        <v>25</v>
      </c>
      <c r="F410" s="52" t="s">
        <v>26</v>
      </c>
      <c r="G410" s="53"/>
    </row>
    <row r="411">
      <c r="A411" s="49">
        <v>44699.044363657405</v>
      </c>
      <c r="B411" s="50">
        <v>44699.169335243</v>
      </c>
      <c r="C411" s="51">
        <v>1.076</v>
      </c>
      <c r="D411" s="51">
        <v>68.0</v>
      </c>
      <c r="E411" s="52" t="s">
        <v>25</v>
      </c>
      <c r="F411" s="52" t="s">
        <v>26</v>
      </c>
      <c r="G411" s="53"/>
    </row>
    <row r="412">
      <c r="A412" s="49">
        <v>44699.054780046295</v>
      </c>
      <c r="B412" s="50">
        <v>44699.1797570138</v>
      </c>
      <c r="C412" s="51">
        <v>1.077</v>
      </c>
      <c r="D412" s="51">
        <v>68.0</v>
      </c>
      <c r="E412" s="52" t="s">
        <v>25</v>
      </c>
      <c r="F412" s="52" t="s">
        <v>26</v>
      </c>
      <c r="G412" s="53"/>
    </row>
    <row r="413">
      <c r="A413" s="49">
        <v>44699.06522866898</v>
      </c>
      <c r="B413" s="50">
        <v>44699.1901772916</v>
      </c>
      <c r="C413" s="51">
        <v>1.076</v>
      </c>
      <c r="D413" s="51">
        <v>68.0</v>
      </c>
      <c r="E413" s="52" t="s">
        <v>25</v>
      </c>
      <c r="F413" s="52" t="s">
        <v>26</v>
      </c>
      <c r="G413" s="53"/>
    </row>
    <row r="414">
      <c r="A414" s="49">
        <v>44699.075638993054</v>
      </c>
      <c r="B414" s="50">
        <v>44699.2005987615</v>
      </c>
      <c r="C414" s="51">
        <v>1.076</v>
      </c>
      <c r="D414" s="51">
        <v>68.0</v>
      </c>
      <c r="E414" s="52" t="s">
        <v>25</v>
      </c>
      <c r="F414" s="52" t="s">
        <v>26</v>
      </c>
      <c r="G414" s="53"/>
    </row>
    <row r="415">
      <c r="A415" s="49">
        <v>44699.086047766206</v>
      </c>
      <c r="B415" s="50">
        <v>44699.211018993</v>
      </c>
      <c r="C415" s="51">
        <v>1.076</v>
      </c>
      <c r="D415" s="51">
        <v>68.0</v>
      </c>
      <c r="E415" s="52" t="s">
        <v>25</v>
      </c>
      <c r="F415" s="52" t="s">
        <v>26</v>
      </c>
      <c r="G415" s="53"/>
    </row>
    <row r="416">
      <c r="A416" s="49">
        <v>44699.09648008102</v>
      </c>
      <c r="B416" s="50">
        <v>44699.221450625</v>
      </c>
      <c r="C416" s="51">
        <v>1.076</v>
      </c>
      <c r="D416" s="51">
        <v>68.0</v>
      </c>
      <c r="E416" s="52" t="s">
        <v>25</v>
      </c>
      <c r="F416" s="52" t="s">
        <v>26</v>
      </c>
      <c r="G416" s="53"/>
    </row>
    <row r="417">
      <c r="A417" s="49">
        <v>44699.10689805556</v>
      </c>
      <c r="B417" s="50">
        <v>44699.2318707986</v>
      </c>
      <c r="C417" s="51">
        <v>1.076</v>
      </c>
      <c r="D417" s="51">
        <v>68.0</v>
      </c>
      <c r="E417" s="52" t="s">
        <v>25</v>
      </c>
      <c r="F417" s="52" t="s">
        <v>26</v>
      </c>
      <c r="G417" s="53"/>
    </row>
    <row r="418">
      <c r="A418" s="49">
        <v>44699.117346307874</v>
      </c>
      <c r="B418" s="50">
        <v>44699.2423032754</v>
      </c>
      <c r="C418" s="51">
        <v>1.075</v>
      </c>
      <c r="D418" s="51">
        <v>68.0</v>
      </c>
      <c r="E418" s="52" t="s">
        <v>25</v>
      </c>
      <c r="F418" s="52" t="s">
        <v>26</v>
      </c>
      <c r="G418" s="53"/>
    </row>
    <row r="419">
      <c r="A419" s="49">
        <v>44699.12775864583</v>
      </c>
      <c r="B419" s="50">
        <v>44699.2527371412</v>
      </c>
      <c r="C419" s="51">
        <v>1.076</v>
      </c>
      <c r="D419" s="51">
        <v>68.0</v>
      </c>
      <c r="E419" s="52" t="s">
        <v>25</v>
      </c>
      <c r="F419" s="52" t="s">
        <v>26</v>
      </c>
      <c r="G419" s="53"/>
    </row>
    <row r="420">
      <c r="A420" s="49">
        <v>44699.13819222222</v>
      </c>
      <c r="B420" s="50">
        <v>44699.2631573842</v>
      </c>
      <c r="C420" s="51">
        <v>1.075</v>
      </c>
      <c r="D420" s="51">
        <v>68.0</v>
      </c>
      <c r="E420" s="52" t="s">
        <v>25</v>
      </c>
      <c r="F420" s="52" t="s">
        <v>26</v>
      </c>
      <c r="G420" s="53"/>
    </row>
    <row r="421">
      <c r="A421" s="49">
        <v>44699.14861012732</v>
      </c>
      <c r="B421" s="50">
        <v>44699.2735773263</v>
      </c>
      <c r="C421" s="51">
        <v>1.075</v>
      </c>
      <c r="D421" s="51">
        <v>69.0</v>
      </c>
      <c r="E421" s="52" t="s">
        <v>25</v>
      </c>
      <c r="F421" s="52" t="s">
        <v>26</v>
      </c>
      <c r="G421" s="53"/>
    </row>
    <row r="422">
      <c r="A422" s="49">
        <v>44699.159030625</v>
      </c>
      <c r="B422" s="50">
        <v>44699.2839981944</v>
      </c>
      <c r="C422" s="51">
        <v>1.075</v>
      </c>
      <c r="D422" s="51">
        <v>69.0</v>
      </c>
      <c r="E422" s="52" t="s">
        <v>25</v>
      </c>
      <c r="F422" s="52" t="s">
        <v>26</v>
      </c>
      <c r="G422" s="53"/>
    </row>
    <row r="423">
      <c r="A423" s="49">
        <v>44699.16944916667</v>
      </c>
      <c r="B423" s="50">
        <v>44699.2944202083</v>
      </c>
      <c r="C423" s="51">
        <v>1.075</v>
      </c>
      <c r="D423" s="51">
        <v>69.0</v>
      </c>
      <c r="E423" s="52" t="s">
        <v>25</v>
      </c>
      <c r="F423" s="52" t="s">
        <v>26</v>
      </c>
      <c r="G423" s="53"/>
    </row>
    <row r="424">
      <c r="A424" s="49">
        <v>44699.17986560185</v>
      </c>
      <c r="B424" s="50">
        <v>44699.3048412731</v>
      </c>
      <c r="C424" s="51">
        <v>1.075</v>
      </c>
      <c r="D424" s="51">
        <v>69.0</v>
      </c>
      <c r="E424" s="52" t="s">
        <v>25</v>
      </c>
      <c r="F424" s="52" t="s">
        <v>26</v>
      </c>
      <c r="G424" s="53"/>
    </row>
    <row r="425">
      <c r="A425" s="49">
        <v>44699.19030072917</v>
      </c>
      <c r="B425" s="50">
        <v>44699.3152738773</v>
      </c>
      <c r="C425" s="51">
        <v>1.075</v>
      </c>
      <c r="D425" s="51">
        <v>69.0</v>
      </c>
      <c r="E425" s="52" t="s">
        <v>25</v>
      </c>
      <c r="F425" s="52" t="s">
        <v>26</v>
      </c>
      <c r="G425" s="53"/>
    </row>
    <row r="426">
      <c r="A426" s="49">
        <v>44699.20072032408</v>
      </c>
      <c r="B426" s="50">
        <v>44699.3256951736</v>
      </c>
      <c r="C426" s="51">
        <v>1.075</v>
      </c>
      <c r="D426" s="51">
        <v>69.0</v>
      </c>
      <c r="E426" s="52" t="s">
        <v>25</v>
      </c>
      <c r="F426" s="52" t="s">
        <v>26</v>
      </c>
      <c r="G426" s="53"/>
    </row>
    <row r="427">
      <c r="A427" s="49">
        <v>44699.21114759259</v>
      </c>
      <c r="B427" s="50">
        <v>44699.3361165856</v>
      </c>
      <c r="C427" s="51">
        <v>1.075</v>
      </c>
      <c r="D427" s="51">
        <v>69.0</v>
      </c>
      <c r="E427" s="52" t="s">
        <v>25</v>
      </c>
      <c r="F427" s="52" t="s">
        <v>26</v>
      </c>
      <c r="G427" s="53"/>
    </row>
    <row r="428">
      <c r="A428" s="49">
        <v>44699.22156549769</v>
      </c>
      <c r="B428" s="50">
        <v>44699.3465370254</v>
      </c>
      <c r="C428" s="51">
        <v>1.074</v>
      </c>
      <c r="D428" s="51">
        <v>69.0</v>
      </c>
      <c r="E428" s="52" t="s">
        <v>25</v>
      </c>
      <c r="F428" s="52" t="s">
        <v>26</v>
      </c>
      <c r="G428" s="53"/>
    </row>
    <row r="429">
      <c r="A429" s="49">
        <v>44699.232009687505</v>
      </c>
      <c r="B429" s="50">
        <v>44699.3569823958</v>
      </c>
      <c r="C429" s="51">
        <v>1.075</v>
      </c>
      <c r="D429" s="51">
        <v>69.0</v>
      </c>
      <c r="E429" s="52" t="s">
        <v>25</v>
      </c>
      <c r="F429" s="52" t="s">
        <v>26</v>
      </c>
      <c r="G429" s="53"/>
    </row>
    <row r="430">
      <c r="A430" s="49">
        <v>44699.24243586806</v>
      </c>
      <c r="B430" s="50">
        <v>44699.3674034027</v>
      </c>
      <c r="C430" s="51">
        <v>1.074</v>
      </c>
      <c r="D430" s="51">
        <v>69.0</v>
      </c>
      <c r="E430" s="52" t="s">
        <v>25</v>
      </c>
      <c r="F430" s="52" t="s">
        <v>26</v>
      </c>
      <c r="G430" s="53"/>
    </row>
    <row r="431">
      <c r="A431" s="49">
        <v>44699.25285048611</v>
      </c>
      <c r="B431" s="50">
        <v>44699.3778241898</v>
      </c>
      <c r="C431" s="51">
        <v>1.074</v>
      </c>
      <c r="D431" s="51">
        <v>69.0</v>
      </c>
      <c r="E431" s="52" t="s">
        <v>25</v>
      </c>
      <c r="F431" s="52" t="s">
        <v>26</v>
      </c>
      <c r="G431" s="53"/>
    </row>
    <row r="432">
      <c r="A432" s="49">
        <v>44699.26328543981</v>
      </c>
      <c r="B432" s="50">
        <v>44699.3882576736</v>
      </c>
      <c r="C432" s="51">
        <v>1.074</v>
      </c>
      <c r="D432" s="51">
        <v>69.0</v>
      </c>
      <c r="E432" s="52" t="s">
        <v>25</v>
      </c>
      <c r="F432" s="52" t="s">
        <v>26</v>
      </c>
      <c r="G432" s="53"/>
    </row>
    <row r="433">
      <c r="A433" s="49">
        <v>44699.27370533565</v>
      </c>
      <c r="B433" s="50">
        <v>44699.3986783101</v>
      </c>
      <c r="C433" s="51">
        <v>1.074</v>
      </c>
      <c r="D433" s="51">
        <v>69.0</v>
      </c>
      <c r="E433" s="52" t="s">
        <v>25</v>
      </c>
      <c r="F433" s="52" t="s">
        <v>26</v>
      </c>
      <c r="G433" s="53"/>
    </row>
    <row r="434">
      <c r="A434" s="49">
        <v>44699.28415056713</v>
      </c>
      <c r="B434" s="50">
        <v>44699.4091218865</v>
      </c>
      <c r="C434" s="51">
        <v>1.074</v>
      </c>
      <c r="D434" s="51">
        <v>69.0</v>
      </c>
      <c r="E434" s="52" t="s">
        <v>25</v>
      </c>
      <c r="F434" s="52" t="s">
        <v>26</v>
      </c>
      <c r="G434" s="53"/>
    </row>
    <row r="435">
      <c r="A435" s="49">
        <v>44699.294572557876</v>
      </c>
      <c r="B435" s="50">
        <v>44699.4195434143</v>
      </c>
      <c r="C435" s="51">
        <v>1.074</v>
      </c>
      <c r="D435" s="51">
        <v>69.0</v>
      </c>
      <c r="E435" s="52" t="s">
        <v>25</v>
      </c>
      <c r="F435" s="52" t="s">
        <v>26</v>
      </c>
      <c r="G435" s="53"/>
    </row>
    <row r="436">
      <c r="A436" s="49">
        <v>44699.30499517361</v>
      </c>
      <c r="B436" s="50">
        <v>44699.4299663541</v>
      </c>
      <c r="C436" s="51">
        <v>1.074</v>
      </c>
      <c r="D436" s="51">
        <v>69.0</v>
      </c>
      <c r="E436" s="52" t="s">
        <v>25</v>
      </c>
      <c r="F436" s="52" t="s">
        <v>26</v>
      </c>
      <c r="G436" s="53"/>
    </row>
    <row r="437">
      <c r="A437" s="49">
        <v>44699.31542637732</v>
      </c>
      <c r="B437" s="50">
        <v>44699.4404090856</v>
      </c>
      <c r="C437" s="51">
        <v>1.074</v>
      </c>
      <c r="D437" s="51">
        <v>69.0</v>
      </c>
      <c r="E437" s="52" t="s">
        <v>25</v>
      </c>
      <c r="F437" s="52" t="s">
        <v>26</v>
      </c>
      <c r="G437" s="53"/>
    </row>
    <row r="438">
      <c r="A438" s="49">
        <v>44699.325869050925</v>
      </c>
      <c r="B438" s="50">
        <v>44699.4508417592</v>
      </c>
      <c r="C438" s="51">
        <v>1.073</v>
      </c>
      <c r="D438" s="51">
        <v>69.0</v>
      </c>
      <c r="E438" s="52" t="s">
        <v>25</v>
      </c>
      <c r="F438" s="52" t="s">
        <v>26</v>
      </c>
      <c r="G438" s="53"/>
    </row>
    <row r="439">
      <c r="A439" s="49">
        <v>44699.336302372685</v>
      </c>
      <c r="B439" s="50">
        <v>44699.4612741898</v>
      </c>
      <c r="C439" s="51">
        <v>1.073</v>
      </c>
      <c r="D439" s="51">
        <v>69.0</v>
      </c>
      <c r="E439" s="52" t="s">
        <v>25</v>
      </c>
      <c r="F439" s="52" t="s">
        <v>26</v>
      </c>
      <c r="G439" s="53"/>
    </row>
    <row r="440">
      <c r="A440" s="49">
        <v>44699.34672644676</v>
      </c>
      <c r="B440" s="50">
        <v>44699.4716953703</v>
      </c>
      <c r="C440" s="51">
        <v>1.073</v>
      </c>
      <c r="D440" s="51">
        <v>69.0</v>
      </c>
      <c r="E440" s="52" t="s">
        <v>25</v>
      </c>
      <c r="F440" s="52" t="s">
        <v>26</v>
      </c>
      <c r="G440" s="53"/>
    </row>
    <row r="441">
      <c r="A441" s="49">
        <v>44699.35716678241</v>
      </c>
      <c r="B441" s="50">
        <v>44699.4821403125</v>
      </c>
      <c r="C441" s="51">
        <v>1.073</v>
      </c>
      <c r="D441" s="51">
        <v>69.0</v>
      </c>
      <c r="E441" s="52" t="s">
        <v>25</v>
      </c>
      <c r="F441" s="52" t="s">
        <v>26</v>
      </c>
      <c r="G441" s="53"/>
    </row>
    <row r="442">
      <c r="A442" s="49">
        <v>44699.3675921875</v>
      </c>
      <c r="B442" s="50">
        <v>44699.4925612152</v>
      </c>
      <c r="C442" s="51">
        <v>1.073</v>
      </c>
      <c r="D442" s="51">
        <v>69.0</v>
      </c>
      <c r="E442" s="52" t="s">
        <v>25</v>
      </c>
      <c r="F442" s="52" t="s">
        <v>26</v>
      </c>
      <c r="G442" s="53"/>
    </row>
    <row r="443">
      <c r="A443" s="49">
        <v>44699.378018159725</v>
      </c>
      <c r="B443" s="50">
        <v>44699.5029942939</v>
      </c>
      <c r="C443" s="51">
        <v>1.073</v>
      </c>
      <c r="D443" s="51">
        <v>69.0</v>
      </c>
      <c r="E443" s="52" t="s">
        <v>25</v>
      </c>
      <c r="F443" s="52" t="s">
        <v>26</v>
      </c>
      <c r="G443" s="53"/>
    </row>
    <row r="444">
      <c r="A444" s="49">
        <v>44699.38844621528</v>
      </c>
      <c r="B444" s="50">
        <v>44699.5134262268</v>
      </c>
      <c r="C444" s="51">
        <v>1.073</v>
      </c>
      <c r="D444" s="51">
        <v>69.0</v>
      </c>
      <c r="E444" s="52" t="s">
        <v>25</v>
      </c>
      <c r="F444" s="52" t="s">
        <v>26</v>
      </c>
      <c r="G444" s="53"/>
    </row>
    <row r="445">
      <c r="A445" s="49">
        <v>44699.39887440972</v>
      </c>
      <c r="B445" s="50">
        <v>44699.5238471064</v>
      </c>
      <c r="C445" s="51">
        <v>1.073</v>
      </c>
      <c r="D445" s="51">
        <v>70.0</v>
      </c>
      <c r="E445" s="52" t="s">
        <v>25</v>
      </c>
      <c r="F445" s="52" t="s">
        <v>26</v>
      </c>
      <c r="G445" s="53"/>
    </row>
    <row r="446">
      <c r="A446" s="49">
        <v>44699.40929592593</v>
      </c>
      <c r="B446" s="50">
        <v>44699.5342684838</v>
      </c>
      <c r="C446" s="51">
        <v>1.073</v>
      </c>
      <c r="D446" s="51">
        <v>69.0</v>
      </c>
      <c r="E446" s="52" t="s">
        <v>25</v>
      </c>
      <c r="F446" s="52" t="s">
        <v>26</v>
      </c>
      <c r="G446" s="53"/>
    </row>
    <row r="447">
      <c r="A447" s="49">
        <v>44699.419729155095</v>
      </c>
      <c r="B447" s="50">
        <v>44699.5447007407</v>
      </c>
      <c r="C447" s="51">
        <v>1.073</v>
      </c>
      <c r="D447" s="51">
        <v>69.0</v>
      </c>
      <c r="E447" s="52" t="s">
        <v>25</v>
      </c>
      <c r="F447" s="52" t="s">
        <v>26</v>
      </c>
      <c r="G447" s="53"/>
    </row>
    <row r="448">
      <c r="A448" s="49">
        <v>44699.43014982639</v>
      </c>
      <c r="B448" s="50">
        <v>44699.5551213078</v>
      </c>
      <c r="C448" s="51">
        <v>1.072</v>
      </c>
      <c r="D448" s="51">
        <v>70.0</v>
      </c>
      <c r="E448" s="52" t="s">
        <v>25</v>
      </c>
      <c r="F448" s="52" t="s">
        <v>26</v>
      </c>
      <c r="G448" s="53"/>
    </row>
    <row r="449">
      <c r="A449" s="49">
        <v>44699.44058163195</v>
      </c>
      <c r="B449" s="50">
        <v>44699.5655544791</v>
      </c>
      <c r="C449" s="51">
        <v>1.072</v>
      </c>
      <c r="D449" s="51">
        <v>70.0</v>
      </c>
      <c r="E449" s="52" t="s">
        <v>25</v>
      </c>
      <c r="F449" s="52" t="s">
        <v>26</v>
      </c>
      <c r="G449" s="53"/>
    </row>
    <row r="450">
      <c r="A450" s="49">
        <v>44699.451001712965</v>
      </c>
      <c r="B450" s="50">
        <v>44699.5759750231</v>
      </c>
      <c r="C450" s="51">
        <v>1.072</v>
      </c>
      <c r="D450" s="51">
        <v>70.0</v>
      </c>
      <c r="E450" s="52" t="s">
        <v>25</v>
      </c>
      <c r="F450" s="52" t="s">
        <v>26</v>
      </c>
      <c r="G450" s="53"/>
    </row>
    <row r="451">
      <c r="A451" s="49">
        <v>44699.46142399305</v>
      </c>
      <c r="B451" s="50">
        <v>44699.5863946296</v>
      </c>
      <c r="C451" s="51">
        <v>1.072</v>
      </c>
      <c r="D451" s="51">
        <v>70.0</v>
      </c>
      <c r="E451" s="52" t="s">
        <v>25</v>
      </c>
      <c r="F451" s="52" t="s">
        <v>26</v>
      </c>
      <c r="G451" s="53"/>
    </row>
    <row r="452">
      <c r="A452" s="49">
        <v>44699.47184315972</v>
      </c>
      <c r="B452" s="50">
        <v>44699.5968161226</v>
      </c>
      <c r="C452" s="51">
        <v>1.072</v>
      </c>
      <c r="D452" s="51">
        <v>69.0</v>
      </c>
      <c r="E452" s="52" t="s">
        <v>25</v>
      </c>
      <c r="F452" s="52" t="s">
        <v>26</v>
      </c>
      <c r="G452" s="53"/>
    </row>
    <row r="453">
      <c r="A453" s="49">
        <v>44699.48228571759</v>
      </c>
      <c r="B453" s="50">
        <v>44699.6072593981</v>
      </c>
      <c r="C453" s="51">
        <v>1.072</v>
      </c>
      <c r="D453" s="51">
        <v>67.0</v>
      </c>
      <c r="E453" s="52" t="s">
        <v>25</v>
      </c>
      <c r="F453" s="52" t="s">
        <v>26</v>
      </c>
      <c r="G453" s="53"/>
    </row>
    <row r="454">
      <c r="A454" s="49">
        <v>44699.49270923611</v>
      </c>
      <c r="B454" s="50">
        <v>44699.6176796643</v>
      </c>
      <c r="C454" s="51">
        <v>1.072</v>
      </c>
      <c r="D454" s="51">
        <v>66.0</v>
      </c>
      <c r="E454" s="52" t="s">
        <v>25</v>
      </c>
      <c r="F454" s="52" t="s">
        <v>26</v>
      </c>
      <c r="G454" s="53"/>
    </row>
    <row r="455">
      <c r="A455" s="49">
        <v>44699.50312678241</v>
      </c>
      <c r="B455" s="50">
        <v>44699.6280989236</v>
      </c>
      <c r="C455" s="51">
        <v>1.072</v>
      </c>
      <c r="D455" s="51">
        <v>65.0</v>
      </c>
      <c r="E455" s="52" t="s">
        <v>25</v>
      </c>
      <c r="F455" s="52" t="s">
        <v>26</v>
      </c>
      <c r="G455" s="53"/>
    </row>
    <row r="456">
      <c r="A456" s="49">
        <v>44699.51354237269</v>
      </c>
      <c r="B456" s="50">
        <v>44699.6385207754</v>
      </c>
      <c r="C456" s="51">
        <v>1.072</v>
      </c>
      <c r="D456" s="51">
        <v>65.0</v>
      </c>
      <c r="E456" s="52" t="s">
        <v>25</v>
      </c>
      <c r="F456" s="52" t="s">
        <v>26</v>
      </c>
      <c r="G456" s="53"/>
    </row>
    <row r="457">
      <c r="A457" s="49">
        <v>44699.52397177083</v>
      </c>
      <c r="B457" s="50">
        <v>44699.6489410764</v>
      </c>
      <c r="C457" s="51">
        <v>1.071</v>
      </c>
      <c r="D457" s="51">
        <v>65.0</v>
      </c>
      <c r="E457" s="52" t="s">
        <v>25</v>
      </c>
      <c r="F457" s="52" t="s">
        <v>26</v>
      </c>
      <c r="G457" s="53"/>
    </row>
    <row r="458">
      <c r="A458" s="49">
        <v>44699.534399247685</v>
      </c>
      <c r="B458" s="50">
        <v>44699.6593727199</v>
      </c>
      <c r="C458" s="51">
        <v>1.072</v>
      </c>
      <c r="D458" s="51">
        <v>65.0</v>
      </c>
      <c r="E458" s="52" t="s">
        <v>25</v>
      </c>
      <c r="F458" s="52" t="s">
        <v>26</v>
      </c>
      <c r="G458" s="53"/>
    </row>
    <row r="459">
      <c r="A459" s="49">
        <v>44699.54482912037</v>
      </c>
      <c r="B459" s="50">
        <v>44699.6698047801</v>
      </c>
      <c r="C459" s="51">
        <v>1.071</v>
      </c>
      <c r="D459" s="51">
        <v>65.0</v>
      </c>
      <c r="E459" s="52" t="s">
        <v>25</v>
      </c>
      <c r="F459" s="52" t="s">
        <v>26</v>
      </c>
      <c r="G459" s="53"/>
    </row>
    <row r="460">
      <c r="A460" s="49">
        <v>44699.555247847224</v>
      </c>
      <c r="B460" s="50">
        <v>44699.6802260648</v>
      </c>
      <c r="C460" s="51">
        <v>1.071</v>
      </c>
      <c r="D460" s="51">
        <v>65.0</v>
      </c>
      <c r="E460" s="52" t="s">
        <v>25</v>
      </c>
      <c r="F460" s="52" t="s">
        <v>26</v>
      </c>
      <c r="G460" s="53"/>
    </row>
    <row r="461">
      <c r="A461" s="49">
        <v>44699.565684085646</v>
      </c>
      <c r="B461" s="50">
        <v>44699.6906474189</v>
      </c>
      <c r="C461" s="51">
        <v>1.071</v>
      </c>
      <c r="D461" s="51">
        <v>65.0</v>
      </c>
      <c r="E461" s="52" t="s">
        <v>25</v>
      </c>
      <c r="F461" s="52" t="s">
        <v>26</v>
      </c>
      <c r="G461" s="53"/>
    </row>
    <row r="462">
      <c r="A462" s="49">
        <v>44699.57609577547</v>
      </c>
      <c r="B462" s="50">
        <v>44699.7010671412</v>
      </c>
      <c r="C462" s="51">
        <v>1.071</v>
      </c>
      <c r="D462" s="51">
        <v>65.0</v>
      </c>
      <c r="E462" s="52" t="s">
        <v>25</v>
      </c>
      <c r="F462" s="52" t="s">
        <v>26</v>
      </c>
      <c r="G462" s="53"/>
    </row>
    <row r="463">
      <c r="A463" s="49">
        <v>44699.58651371528</v>
      </c>
      <c r="B463" s="50">
        <v>44699.7114878125</v>
      </c>
      <c r="C463" s="51">
        <v>1.071</v>
      </c>
      <c r="D463" s="51">
        <v>65.0</v>
      </c>
      <c r="E463" s="52" t="s">
        <v>25</v>
      </c>
      <c r="F463" s="52" t="s">
        <v>26</v>
      </c>
      <c r="G463" s="53"/>
    </row>
    <row r="464">
      <c r="A464" s="49">
        <v>44699.59694643518</v>
      </c>
      <c r="B464" s="50">
        <v>44699.7219225115</v>
      </c>
      <c r="C464" s="51">
        <v>1.071</v>
      </c>
      <c r="D464" s="51">
        <v>65.0</v>
      </c>
      <c r="E464" s="52" t="s">
        <v>25</v>
      </c>
      <c r="F464" s="52" t="s">
        <v>26</v>
      </c>
      <c r="G464" s="53"/>
    </row>
    <row r="465">
      <c r="A465" s="49">
        <v>44699.607366400465</v>
      </c>
      <c r="B465" s="50">
        <v>44699.7323439236</v>
      </c>
      <c r="C465" s="51">
        <v>1.071</v>
      </c>
      <c r="D465" s="51">
        <v>66.0</v>
      </c>
      <c r="E465" s="52" t="s">
        <v>25</v>
      </c>
      <c r="F465" s="52" t="s">
        <v>26</v>
      </c>
      <c r="G465" s="53"/>
    </row>
    <row r="466">
      <c r="A466" s="49">
        <v>44699.61780440972</v>
      </c>
      <c r="B466" s="50">
        <v>44699.7427757638</v>
      </c>
      <c r="C466" s="51">
        <v>1.071</v>
      </c>
      <c r="D466" s="51">
        <v>66.0</v>
      </c>
      <c r="E466" s="52" t="s">
        <v>25</v>
      </c>
      <c r="F466" s="52" t="s">
        <v>26</v>
      </c>
      <c r="G466" s="53"/>
    </row>
    <row r="467">
      <c r="A467" s="49">
        <v>44699.628211724536</v>
      </c>
      <c r="B467" s="50">
        <v>44699.7531971412</v>
      </c>
      <c r="C467" s="51">
        <v>1.071</v>
      </c>
      <c r="D467" s="51">
        <v>66.0</v>
      </c>
      <c r="E467" s="52" t="s">
        <v>25</v>
      </c>
      <c r="F467" s="52" t="s">
        <v>26</v>
      </c>
      <c r="G467" s="53"/>
    </row>
    <row r="468">
      <c r="A468" s="49">
        <v>44699.63863420139</v>
      </c>
      <c r="B468" s="50">
        <v>44699.7636174537</v>
      </c>
      <c r="C468" s="51">
        <v>1.071</v>
      </c>
      <c r="D468" s="51">
        <v>66.0</v>
      </c>
      <c r="E468" s="52" t="s">
        <v>25</v>
      </c>
      <c r="F468" s="52" t="s">
        <v>26</v>
      </c>
      <c r="G468" s="53"/>
    </row>
    <row r="469">
      <c r="A469" s="49">
        <v>44699.6490541088</v>
      </c>
      <c r="B469" s="50">
        <v>44699.7740374537</v>
      </c>
      <c r="C469" s="51">
        <v>1.071</v>
      </c>
      <c r="D469" s="51">
        <v>66.0</v>
      </c>
      <c r="E469" s="52" t="s">
        <v>25</v>
      </c>
      <c r="F469" s="52" t="s">
        <v>26</v>
      </c>
      <c r="G469" s="53"/>
    </row>
    <row r="470">
      <c r="A470" s="49">
        <v>44699.65948743056</v>
      </c>
      <c r="B470" s="50">
        <v>44699.7844606828</v>
      </c>
      <c r="C470" s="51">
        <v>1.07</v>
      </c>
      <c r="D470" s="51">
        <v>66.0</v>
      </c>
      <c r="E470" s="52" t="s">
        <v>25</v>
      </c>
      <c r="F470" s="52" t="s">
        <v>26</v>
      </c>
      <c r="G470" s="53"/>
    </row>
    <row r="471">
      <c r="A471" s="49">
        <v>44699.669929282405</v>
      </c>
      <c r="B471" s="50">
        <v>44699.7949036458</v>
      </c>
      <c r="C471" s="51">
        <v>1.07</v>
      </c>
      <c r="D471" s="51">
        <v>66.0</v>
      </c>
      <c r="E471" s="52" t="s">
        <v>25</v>
      </c>
      <c r="F471" s="52" t="s">
        <v>26</v>
      </c>
      <c r="G471" s="53"/>
    </row>
    <row r="472">
      <c r="A472" s="49">
        <v>44699.680360451384</v>
      </c>
      <c r="B472" s="50">
        <v>44699.8053355555</v>
      </c>
      <c r="C472" s="51">
        <v>1.07</v>
      </c>
      <c r="D472" s="51">
        <v>66.0</v>
      </c>
      <c r="E472" s="52" t="s">
        <v>25</v>
      </c>
      <c r="F472" s="52" t="s">
        <v>26</v>
      </c>
      <c r="G472" s="53"/>
    </row>
    <row r="473">
      <c r="A473" s="49">
        <v>44699.690782164354</v>
      </c>
      <c r="B473" s="50">
        <v>44699.8157566782</v>
      </c>
      <c r="C473" s="51">
        <v>1.07</v>
      </c>
      <c r="D473" s="51">
        <v>66.0</v>
      </c>
      <c r="E473" s="52" t="s">
        <v>25</v>
      </c>
      <c r="F473" s="52" t="s">
        <v>26</v>
      </c>
      <c r="G473" s="53"/>
    </row>
    <row r="474">
      <c r="A474" s="49">
        <v>44699.70121322917</v>
      </c>
      <c r="B474" s="50">
        <v>44699.826190787</v>
      </c>
      <c r="C474" s="51">
        <v>1.07</v>
      </c>
      <c r="D474" s="51">
        <v>66.0</v>
      </c>
      <c r="E474" s="52" t="s">
        <v>25</v>
      </c>
      <c r="F474" s="52" t="s">
        <v>26</v>
      </c>
      <c r="G474" s="53"/>
    </row>
    <row r="475">
      <c r="A475" s="49">
        <v>44699.71165034722</v>
      </c>
      <c r="B475" s="50">
        <v>44699.8366238194</v>
      </c>
      <c r="C475" s="51">
        <v>1.07</v>
      </c>
      <c r="D475" s="51">
        <v>66.0</v>
      </c>
      <c r="E475" s="52" t="s">
        <v>25</v>
      </c>
      <c r="F475" s="52" t="s">
        <v>26</v>
      </c>
      <c r="G475" s="53"/>
    </row>
    <row r="476">
      <c r="A476" s="49">
        <v>44699.72206306713</v>
      </c>
      <c r="B476" s="50">
        <v>44699.8470432291</v>
      </c>
      <c r="C476" s="51">
        <v>1.07</v>
      </c>
      <c r="D476" s="51">
        <v>66.0</v>
      </c>
      <c r="E476" s="52" t="s">
        <v>25</v>
      </c>
      <c r="F476" s="52" t="s">
        <v>26</v>
      </c>
      <c r="G476" s="53"/>
    </row>
    <row r="477">
      <c r="A477" s="49">
        <v>44699.732509803245</v>
      </c>
      <c r="B477" s="50">
        <v>44699.8574648264</v>
      </c>
      <c r="C477" s="51">
        <v>1.07</v>
      </c>
      <c r="D477" s="51">
        <v>66.0</v>
      </c>
      <c r="E477" s="52" t="s">
        <v>25</v>
      </c>
      <c r="F477" s="52" t="s">
        <v>26</v>
      </c>
      <c r="G477" s="53"/>
    </row>
    <row r="478">
      <c r="A478" s="49">
        <v>44699.74291645833</v>
      </c>
      <c r="B478" s="50">
        <v>44699.8678865509</v>
      </c>
      <c r="C478" s="51">
        <v>1.07</v>
      </c>
      <c r="D478" s="51">
        <v>66.0</v>
      </c>
      <c r="E478" s="52" t="s">
        <v>25</v>
      </c>
      <c r="F478" s="52" t="s">
        <v>26</v>
      </c>
      <c r="G478" s="53"/>
    </row>
    <row r="479">
      <c r="A479" s="49">
        <v>44699.753329837964</v>
      </c>
      <c r="B479" s="50">
        <v>44699.8783094676</v>
      </c>
      <c r="C479" s="51">
        <v>1.07</v>
      </c>
      <c r="D479" s="51">
        <v>66.0</v>
      </c>
      <c r="E479" s="52" t="s">
        <v>25</v>
      </c>
      <c r="F479" s="52" t="s">
        <v>26</v>
      </c>
      <c r="G479" s="53"/>
    </row>
    <row r="480">
      <c r="A480" s="49">
        <v>44699.76378519676</v>
      </c>
      <c r="B480" s="50">
        <v>44699.8887647338</v>
      </c>
      <c r="C480" s="51">
        <v>1.07</v>
      </c>
      <c r="D480" s="51">
        <v>66.0</v>
      </c>
      <c r="E480" s="52" t="s">
        <v>25</v>
      </c>
      <c r="F480" s="52" t="s">
        <v>26</v>
      </c>
      <c r="G480" s="53"/>
    </row>
    <row r="481">
      <c r="A481" s="49">
        <v>44699.77419956018</v>
      </c>
      <c r="B481" s="50">
        <v>44699.899185</v>
      </c>
      <c r="C481" s="51">
        <v>1.07</v>
      </c>
      <c r="D481" s="51">
        <v>66.0</v>
      </c>
      <c r="E481" s="52" t="s">
        <v>25</v>
      </c>
      <c r="F481" s="52" t="s">
        <v>26</v>
      </c>
      <c r="G481" s="53"/>
    </row>
    <row r="482">
      <c r="A482" s="49">
        <v>44699.784634375</v>
      </c>
      <c r="B482" s="50">
        <v>44699.909607037</v>
      </c>
      <c r="C482" s="51">
        <v>1.069</v>
      </c>
      <c r="D482" s="51">
        <v>66.0</v>
      </c>
      <c r="E482" s="52" t="s">
        <v>25</v>
      </c>
      <c r="F482" s="52" t="s">
        <v>26</v>
      </c>
      <c r="G482" s="53"/>
    </row>
    <row r="483">
      <c r="A483" s="49">
        <v>44699.7950546412</v>
      </c>
      <c r="B483" s="50">
        <v>44699.9200297916</v>
      </c>
      <c r="C483" s="51">
        <v>1.069</v>
      </c>
      <c r="D483" s="51">
        <v>66.0</v>
      </c>
      <c r="E483" s="52" t="s">
        <v>25</v>
      </c>
      <c r="F483" s="52" t="s">
        <v>26</v>
      </c>
      <c r="G483" s="53"/>
    </row>
    <row r="484">
      <c r="A484" s="49">
        <v>44699.80548289352</v>
      </c>
      <c r="B484" s="50">
        <v>44699.930451331</v>
      </c>
      <c r="C484" s="51">
        <v>1.069</v>
      </c>
      <c r="D484" s="51">
        <v>66.0</v>
      </c>
      <c r="E484" s="52" t="s">
        <v>25</v>
      </c>
      <c r="F484" s="52" t="s">
        <v>26</v>
      </c>
      <c r="G484" s="53"/>
    </row>
    <row r="485">
      <c r="A485" s="49">
        <v>44699.81589533565</v>
      </c>
      <c r="B485" s="50">
        <v>44699.9408731597</v>
      </c>
      <c r="C485" s="51">
        <v>1.069</v>
      </c>
      <c r="D485" s="51">
        <v>66.0</v>
      </c>
      <c r="E485" s="52" t="s">
        <v>25</v>
      </c>
      <c r="F485" s="52" t="s">
        <v>26</v>
      </c>
      <c r="G485" s="53"/>
    </row>
    <row r="486">
      <c r="A486" s="49">
        <v>44699.826313935184</v>
      </c>
      <c r="B486" s="50">
        <v>44699.9512926504</v>
      </c>
      <c r="C486" s="51">
        <v>1.069</v>
      </c>
      <c r="D486" s="51">
        <v>66.0</v>
      </c>
      <c r="E486" s="52" t="s">
        <v>25</v>
      </c>
      <c r="F486" s="52" t="s">
        <v>26</v>
      </c>
      <c r="G486" s="53"/>
    </row>
    <row r="487">
      <c r="A487" s="49">
        <v>44699.83674105324</v>
      </c>
      <c r="B487" s="50">
        <v>44699.9617143402</v>
      </c>
      <c r="C487" s="51">
        <v>1.069</v>
      </c>
      <c r="D487" s="51">
        <v>67.0</v>
      </c>
      <c r="E487" s="52" t="s">
        <v>25</v>
      </c>
      <c r="F487" s="52" t="s">
        <v>26</v>
      </c>
      <c r="G487" s="53"/>
    </row>
    <row r="488">
      <c r="A488" s="49">
        <v>44699.84716055555</v>
      </c>
      <c r="B488" s="50">
        <v>44699.9721340856</v>
      </c>
      <c r="C488" s="51">
        <v>1.069</v>
      </c>
      <c r="D488" s="51">
        <v>67.0</v>
      </c>
      <c r="E488" s="52" t="s">
        <v>25</v>
      </c>
      <c r="F488" s="52" t="s">
        <v>26</v>
      </c>
      <c r="G488" s="53"/>
    </row>
    <row r="489">
      <c r="A489" s="49">
        <v>44699.857590127314</v>
      </c>
      <c r="B489" s="50">
        <v>44699.9825661921</v>
      </c>
      <c r="C489" s="51">
        <v>1.069</v>
      </c>
      <c r="D489" s="51">
        <v>67.0</v>
      </c>
      <c r="E489" s="52" t="s">
        <v>25</v>
      </c>
      <c r="F489" s="52" t="s">
        <v>26</v>
      </c>
      <c r="G489" s="53"/>
    </row>
    <row r="490">
      <c r="A490" s="49">
        <v>44699.868048668985</v>
      </c>
      <c r="B490" s="50">
        <v>44699.9929987384</v>
      </c>
      <c r="C490" s="51">
        <v>1.069</v>
      </c>
      <c r="D490" s="51">
        <v>67.0</v>
      </c>
      <c r="E490" s="52" t="s">
        <v>25</v>
      </c>
      <c r="F490" s="52" t="s">
        <v>26</v>
      </c>
      <c r="G490" s="53"/>
    </row>
    <row r="491">
      <c r="A491" s="49">
        <v>44699.87844615741</v>
      </c>
      <c r="B491" s="50">
        <v>44700.0034199884</v>
      </c>
      <c r="C491" s="51">
        <v>1.069</v>
      </c>
      <c r="D491" s="51">
        <v>67.0</v>
      </c>
      <c r="E491" s="52" t="s">
        <v>25</v>
      </c>
      <c r="F491" s="52" t="s">
        <v>26</v>
      </c>
      <c r="G491" s="53"/>
    </row>
    <row r="492">
      <c r="A492" s="49">
        <v>44699.888884224536</v>
      </c>
      <c r="B492" s="50">
        <v>44700.0138525</v>
      </c>
      <c r="C492" s="51">
        <v>1.069</v>
      </c>
      <c r="D492" s="51">
        <v>67.0</v>
      </c>
      <c r="E492" s="52" t="s">
        <v>25</v>
      </c>
      <c r="F492" s="52" t="s">
        <v>26</v>
      </c>
      <c r="G492" s="53"/>
    </row>
    <row r="493">
      <c r="A493" s="49">
        <v>44699.899293842594</v>
      </c>
      <c r="B493" s="50">
        <v>44700.0242730555</v>
      </c>
      <c r="C493" s="51">
        <v>1.068</v>
      </c>
      <c r="D493" s="51">
        <v>67.0</v>
      </c>
      <c r="E493" s="52" t="s">
        <v>25</v>
      </c>
      <c r="F493" s="52" t="s">
        <v>26</v>
      </c>
      <c r="G493" s="53"/>
    </row>
    <row r="494">
      <c r="A494" s="49">
        <v>44699.909724467594</v>
      </c>
      <c r="B494" s="50">
        <v>44700.0347063888</v>
      </c>
      <c r="C494" s="51">
        <v>1.068</v>
      </c>
      <c r="D494" s="51">
        <v>67.0</v>
      </c>
      <c r="E494" s="52" t="s">
        <v>25</v>
      </c>
      <c r="F494" s="52" t="s">
        <v>26</v>
      </c>
      <c r="G494" s="53"/>
    </row>
    <row r="495">
      <c r="A495" s="49">
        <v>44699.920165972224</v>
      </c>
      <c r="B495" s="50">
        <v>44700.0451408217</v>
      </c>
      <c r="C495" s="51">
        <v>1.068</v>
      </c>
      <c r="D495" s="51">
        <v>67.0</v>
      </c>
      <c r="E495" s="52" t="s">
        <v>25</v>
      </c>
      <c r="F495" s="52" t="s">
        <v>26</v>
      </c>
      <c r="G495" s="53"/>
    </row>
    <row r="496">
      <c r="A496" s="49">
        <v>44699.93058726852</v>
      </c>
      <c r="B496" s="50">
        <v>44700.0555615162</v>
      </c>
      <c r="C496" s="51">
        <v>1.068</v>
      </c>
      <c r="D496" s="51">
        <v>67.0</v>
      </c>
      <c r="E496" s="52" t="s">
        <v>25</v>
      </c>
      <c r="F496" s="52" t="s">
        <v>26</v>
      </c>
      <c r="G496" s="53"/>
    </row>
    <row r="497">
      <c r="A497" s="49">
        <v>44699.94100320602</v>
      </c>
      <c r="B497" s="50">
        <v>44700.0659824884</v>
      </c>
      <c r="C497" s="51">
        <v>1.068</v>
      </c>
      <c r="D497" s="51">
        <v>67.0</v>
      </c>
      <c r="E497" s="52" t="s">
        <v>25</v>
      </c>
      <c r="F497" s="52" t="s">
        <v>26</v>
      </c>
      <c r="G497" s="53"/>
    </row>
    <row r="498">
      <c r="A498" s="49">
        <v>44699.95143149306</v>
      </c>
      <c r="B498" s="50">
        <v>44700.0764035532</v>
      </c>
      <c r="C498" s="51">
        <v>1.068</v>
      </c>
      <c r="D498" s="51">
        <v>67.0</v>
      </c>
      <c r="E498" s="52" t="s">
        <v>25</v>
      </c>
      <c r="F498" s="52" t="s">
        <v>26</v>
      </c>
      <c r="G498" s="53"/>
    </row>
    <row r="499">
      <c r="A499" s="49">
        <v>44699.96186678241</v>
      </c>
      <c r="B499" s="50">
        <v>44700.0868384027</v>
      </c>
      <c r="C499" s="51">
        <v>1.068</v>
      </c>
      <c r="D499" s="51">
        <v>67.0</v>
      </c>
      <c r="E499" s="52" t="s">
        <v>25</v>
      </c>
      <c r="F499" s="52" t="s">
        <v>26</v>
      </c>
      <c r="G499" s="53"/>
    </row>
    <row r="500">
      <c r="A500" s="49">
        <v>44699.97229618055</v>
      </c>
      <c r="B500" s="50">
        <v>44700.0972724768</v>
      </c>
      <c r="C500" s="51">
        <v>1.068</v>
      </c>
      <c r="D500" s="51">
        <v>67.0</v>
      </c>
      <c r="E500" s="52" t="s">
        <v>25</v>
      </c>
      <c r="F500" s="52" t="s">
        <v>26</v>
      </c>
      <c r="G500" s="53"/>
    </row>
    <row r="501">
      <c r="A501" s="49">
        <v>44699.98271952546</v>
      </c>
      <c r="B501" s="50">
        <v>44700.1076943634</v>
      </c>
      <c r="C501" s="51">
        <v>1.068</v>
      </c>
      <c r="D501" s="51">
        <v>67.0</v>
      </c>
      <c r="E501" s="52" t="s">
        <v>25</v>
      </c>
      <c r="F501" s="52" t="s">
        <v>26</v>
      </c>
      <c r="G501" s="53"/>
    </row>
    <row r="502">
      <c r="A502" s="49">
        <v>44699.99314061343</v>
      </c>
      <c r="B502" s="50">
        <v>44700.1181164351</v>
      </c>
      <c r="C502" s="51">
        <v>1.068</v>
      </c>
      <c r="D502" s="51">
        <v>67.0</v>
      </c>
      <c r="E502" s="52" t="s">
        <v>25</v>
      </c>
      <c r="F502" s="52" t="s">
        <v>26</v>
      </c>
      <c r="G502" s="53"/>
    </row>
    <row r="503">
      <c r="A503" s="49">
        <v>44700.00356321759</v>
      </c>
      <c r="B503" s="50">
        <v>44700.128538912</v>
      </c>
      <c r="C503" s="51">
        <v>1.067</v>
      </c>
      <c r="D503" s="51">
        <v>67.0</v>
      </c>
      <c r="E503" s="52" t="s">
        <v>25</v>
      </c>
      <c r="F503" s="52" t="s">
        <v>26</v>
      </c>
      <c r="G503" s="53"/>
    </row>
    <row r="504">
      <c r="A504" s="49">
        <v>44700.01399063657</v>
      </c>
      <c r="B504" s="50">
        <v>44700.1389725578</v>
      </c>
      <c r="C504" s="51">
        <v>1.067</v>
      </c>
      <c r="D504" s="51">
        <v>67.0</v>
      </c>
      <c r="E504" s="52" t="s">
        <v>25</v>
      </c>
      <c r="F504" s="52" t="s">
        <v>26</v>
      </c>
      <c r="G504" s="53"/>
    </row>
    <row r="505">
      <c r="A505" s="49">
        <v>44700.02445162037</v>
      </c>
      <c r="B505" s="50">
        <v>44700.1493935069</v>
      </c>
      <c r="C505" s="51">
        <v>1.067</v>
      </c>
      <c r="D505" s="51">
        <v>67.0</v>
      </c>
      <c r="E505" s="52" t="s">
        <v>25</v>
      </c>
      <c r="F505" s="52" t="s">
        <v>26</v>
      </c>
      <c r="G505" s="53"/>
    </row>
    <row r="506">
      <c r="A506" s="49">
        <v>44700.03484317129</v>
      </c>
      <c r="B506" s="50">
        <v>44700.159814618</v>
      </c>
      <c r="C506" s="51">
        <v>1.067</v>
      </c>
      <c r="D506" s="51">
        <v>67.0</v>
      </c>
      <c r="E506" s="52" t="s">
        <v>25</v>
      </c>
      <c r="F506" s="52" t="s">
        <v>26</v>
      </c>
      <c r="G506" s="53"/>
    </row>
    <row r="507">
      <c r="A507" s="49">
        <v>44700.04526157407</v>
      </c>
      <c r="B507" s="50">
        <v>44700.1702343865</v>
      </c>
      <c r="C507" s="51">
        <v>1.067</v>
      </c>
      <c r="D507" s="51">
        <v>67.0</v>
      </c>
      <c r="E507" s="52" t="s">
        <v>25</v>
      </c>
      <c r="F507" s="52" t="s">
        <v>26</v>
      </c>
      <c r="G507" s="53"/>
    </row>
    <row r="508">
      <c r="A508" s="49">
        <v>44700.055742048615</v>
      </c>
      <c r="B508" s="50">
        <v>44700.180715</v>
      </c>
      <c r="C508" s="51">
        <v>1.067</v>
      </c>
      <c r="D508" s="51">
        <v>67.0</v>
      </c>
      <c r="E508" s="52" t="s">
        <v>25</v>
      </c>
      <c r="F508" s="52" t="s">
        <v>26</v>
      </c>
      <c r="G508" s="53"/>
    </row>
    <row r="509">
      <c r="A509" s="49">
        <v>44700.06623252315</v>
      </c>
      <c r="B509" s="50">
        <v>44700.1911453356</v>
      </c>
      <c r="C509" s="51">
        <v>1.067</v>
      </c>
      <c r="D509" s="51">
        <v>67.0</v>
      </c>
      <c r="E509" s="52" t="s">
        <v>25</v>
      </c>
      <c r="F509" s="52" t="s">
        <v>26</v>
      </c>
      <c r="G509" s="53"/>
    </row>
    <row r="510">
      <c r="A510" s="49">
        <v>44700.076591006946</v>
      </c>
      <c r="B510" s="50">
        <v>44700.201567743</v>
      </c>
      <c r="C510" s="51">
        <v>1.067</v>
      </c>
      <c r="D510" s="51">
        <v>67.0</v>
      </c>
      <c r="E510" s="52" t="s">
        <v>25</v>
      </c>
      <c r="F510" s="52" t="s">
        <v>26</v>
      </c>
      <c r="G510" s="53"/>
    </row>
    <row r="511">
      <c r="A511" s="49">
        <v>44700.087010868054</v>
      </c>
      <c r="B511" s="50">
        <v>44700.2119886574</v>
      </c>
      <c r="C511" s="51">
        <v>1.067</v>
      </c>
      <c r="D511" s="51">
        <v>67.0</v>
      </c>
      <c r="E511" s="52" t="s">
        <v>25</v>
      </c>
      <c r="F511" s="52" t="s">
        <v>26</v>
      </c>
      <c r="G511" s="53"/>
    </row>
    <row r="512">
      <c r="A512" s="49">
        <v>44700.09743108797</v>
      </c>
      <c r="B512" s="50">
        <v>44700.2224109027</v>
      </c>
      <c r="C512" s="51">
        <v>1.067</v>
      </c>
      <c r="D512" s="51">
        <v>67.0</v>
      </c>
      <c r="E512" s="52" t="s">
        <v>25</v>
      </c>
      <c r="F512" s="52" t="s">
        <v>26</v>
      </c>
      <c r="G512" s="53"/>
    </row>
    <row r="513">
      <c r="A513" s="49">
        <v>44700.10785140046</v>
      </c>
      <c r="B513" s="50">
        <v>44700.2328311111</v>
      </c>
      <c r="C513" s="51">
        <v>1.067</v>
      </c>
      <c r="D513" s="51">
        <v>67.0</v>
      </c>
      <c r="E513" s="52" t="s">
        <v>25</v>
      </c>
      <c r="F513" s="52" t="s">
        <v>26</v>
      </c>
      <c r="G513" s="53"/>
    </row>
    <row r="514">
      <c r="A514" s="49">
        <v>44700.118293900465</v>
      </c>
      <c r="B514" s="50">
        <v>44700.2432512268</v>
      </c>
      <c r="C514" s="51">
        <v>1.066</v>
      </c>
      <c r="D514" s="51">
        <v>67.0</v>
      </c>
      <c r="E514" s="52" t="s">
        <v>25</v>
      </c>
      <c r="F514" s="52" t="s">
        <v>26</v>
      </c>
      <c r="G514" s="53"/>
    </row>
    <row r="515">
      <c r="A515" s="49">
        <v>44700.12870806713</v>
      </c>
      <c r="B515" s="50">
        <v>44700.2536722222</v>
      </c>
      <c r="C515" s="51">
        <v>1.066</v>
      </c>
      <c r="D515" s="51">
        <v>68.0</v>
      </c>
      <c r="E515" s="52" t="s">
        <v>25</v>
      </c>
      <c r="F515" s="52" t="s">
        <v>26</v>
      </c>
      <c r="G515" s="53"/>
    </row>
    <row r="516">
      <c r="A516" s="49">
        <v>44700.139129131945</v>
      </c>
      <c r="B516" s="50">
        <v>44700.264105868</v>
      </c>
      <c r="C516" s="51">
        <v>1.066</v>
      </c>
      <c r="D516" s="51">
        <v>68.0</v>
      </c>
      <c r="E516" s="52" t="s">
        <v>25</v>
      </c>
      <c r="F516" s="52" t="s">
        <v>26</v>
      </c>
      <c r="G516" s="53"/>
    </row>
    <row r="517">
      <c r="A517" s="49">
        <v>44700.14958228009</v>
      </c>
      <c r="B517" s="50">
        <v>44700.2745609375</v>
      </c>
      <c r="C517" s="51">
        <v>1.066</v>
      </c>
      <c r="D517" s="51">
        <v>68.0</v>
      </c>
      <c r="E517" s="52" t="s">
        <v>25</v>
      </c>
      <c r="F517" s="52" t="s">
        <v>26</v>
      </c>
      <c r="G517" s="53"/>
    </row>
    <row r="518">
      <c r="A518" s="49">
        <v>44700.16000240741</v>
      </c>
      <c r="B518" s="50">
        <v>44700.2849822106</v>
      </c>
      <c r="C518" s="51">
        <v>1.066</v>
      </c>
      <c r="D518" s="51">
        <v>68.0</v>
      </c>
      <c r="E518" s="52" t="s">
        <v>25</v>
      </c>
      <c r="F518" s="52" t="s">
        <v>26</v>
      </c>
      <c r="G518" s="53"/>
    </row>
    <row r="519">
      <c r="A519" s="49">
        <v>44700.170437187495</v>
      </c>
      <c r="B519" s="50">
        <v>44700.2954154861</v>
      </c>
      <c r="C519" s="51">
        <v>1.066</v>
      </c>
      <c r="D519" s="51">
        <v>68.0</v>
      </c>
      <c r="E519" s="52" t="s">
        <v>25</v>
      </c>
      <c r="F519" s="52" t="s">
        <v>26</v>
      </c>
      <c r="G519" s="53"/>
    </row>
    <row r="520">
      <c r="A520" s="49">
        <v>44700.1808527199</v>
      </c>
      <c r="B520" s="50">
        <v>44700.3058373263</v>
      </c>
      <c r="C520" s="51">
        <v>1.066</v>
      </c>
      <c r="D520" s="51">
        <v>68.0</v>
      </c>
      <c r="E520" s="52" t="s">
        <v>25</v>
      </c>
      <c r="F520" s="52" t="s">
        <v>26</v>
      </c>
      <c r="G520" s="53"/>
    </row>
    <row r="521">
      <c r="A521" s="49">
        <v>44700.191331435184</v>
      </c>
      <c r="B521" s="50">
        <v>44700.3162927546</v>
      </c>
      <c r="C521" s="51">
        <v>1.066</v>
      </c>
      <c r="D521" s="51">
        <v>68.0</v>
      </c>
      <c r="E521" s="52" t="s">
        <v>25</v>
      </c>
      <c r="F521" s="52" t="s">
        <v>26</v>
      </c>
      <c r="G521" s="53"/>
    </row>
    <row r="522">
      <c r="A522" s="49">
        <v>44700.201751712964</v>
      </c>
      <c r="B522" s="50">
        <v>44700.326712662</v>
      </c>
      <c r="C522" s="51">
        <v>1.066</v>
      </c>
      <c r="D522" s="51">
        <v>68.0</v>
      </c>
      <c r="E522" s="52" t="s">
        <v>25</v>
      </c>
      <c r="F522" s="52" t="s">
        <v>26</v>
      </c>
      <c r="G522" s="53"/>
    </row>
    <row r="523">
      <c r="A523" s="49">
        <v>44700.212159664356</v>
      </c>
      <c r="B523" s="50">
        <v>44700.3371348148</v>
      </c>
      <c r="C523" s="51">
        <v>1.066</v>
      </c>
      <c r="D523" s="51">
        <v>68.0</v>
      </c>
      <c r="E523" s="52" t="s">
        <v>25</v>
      </c>
      <c r="F523" s="52" t="s">
        <v>26</v>
      </c>
      <c r="G523" s="53"/>
    </row>
    <row r="524">
      <c r="A524" s="49">
        <v>44700.22262488426</v>
      </c>
      <c r="B524" s="50">
        <v>44700.3475673032</v>
      </c>
      <c r="C524" s="51">
        <v>1.066</v>
      </c>
      <c r="D524" s="51">
        <v>68.0</v>
      </c>
      <c r="E524" s="52" t="s">
        <v>25</v>
      </c>
      <c r="F524" s="52" t="s">
        <v>26</v>
      </c>
      <c r="G524" s="53"/>
    </row>
    <row r="525">
      <c r="A525" s="49">
        <v>44700.23303538194</v>
      </c>
      <c r="B525" s="50">
        <v>44700.3580117939</v>
      </c>
      <c r="C525" s="51">
        <v>1.065</v>
      </c>
      <c r="D525" s="51">
        <v>68.0</v>
      </c>
      <c r="E525" s="52" t="s">
        <v>25</v>
      </c>
      <c r="F525" s="52" t="s">
        <v>26</v>
      </c>
      <c r="G525" s="53"/>
    </row>
    <row r="526">
      <c r="A526" s="49">
        <v>44700.243454282405</v>
      </c>
      <c r="B526" s="50">
        <v>44700.3684337037</v>
      </c>
      <c r="C526" s="51">
        <v>1.065</v>
      </c>
      <c r="D526" s="51">
        <v>68.0</v>
      </c>
      <c r="E526" s="52" t="s">
        <v>25</v>
      </c>
      <c r="F526" s="52" t="s">
        <v>26</v>
      </c>
      <c r="G526" s="53"/>
    </row>
    <row r="527">
      <c r="A527" s="49">
        <v>44700.25387678241</v>
      </c>
      <c r="B527" s="50">
        <v>44700.3788541319</v>
      </c>
      <c r="C527" s="51">
        <v>1.065</v>
      </c>
      <c r="D527" s="51">
        <v>68.0</v>
      </c>
      <c r="E527" s="52" t="s">
        <v>25</v>
      </c>
      <c r="F527" s="52" t="s">
        <v>26</v>
      </c>
      <c r="G527" s="53"/>
    </row>
    <row r="528">
      <c r="A528" s="49">
        <v>44700.26431092592</v>
      </c>
      <c r="B528" s="50">
        <v>44700.3892769675</v>
      </c>
      <c r="C528" s="51">
        <v>1.065</v>
      </c>
      <c r="D528" s="51">
        <v>68.0</v>
      </c>
      <c r="E528" s="52" t="s">
        <v>25</v>
      </c>
      <c r="F528" s="52" t="s">
        <v>26</v>
      </c>
      <c r="G528" s="53"/>
    </row>
    <row r="529">
      <c r="A529" s="49">
        <v>44700.27473134259</v>
      </c>
      <c r="B529" s="50">
        <v>44700.3996984722</v>
      </c>
      <c r="C529" s="51">
        <v>1.065</v>
      </c>
      <c r="D529" s="51">
        <v>68.0</v>
      </c>
      <c r="E529" s="52" t="s">
        <v>25</v>
      </c>
      <c r="F529" s="52" t="s">
        <v>26</v>
      </c>
      <c r="G529" s="53"/>
    </row>
    <row r="530">
      <c r="A530" s="49">
        <v>44700.28514150463</v>
      </c>
      <c r="B530" s="50">
        <v>44700.4101202083</v>
      </c>
      <c r="C530" s="51">
        <v>1.065</v>
      </c>
      <c r="D530" s="51">
        <v>68.0</v>
      </c>
      <c r="E530" s="52" t="s">
        <v>25</v>
      </c>
      <c r="F530" s="52" t="s">
        <v>26</v>
      </c>
      <c r="G530" s="53"/>
    </row>
    <row r="531">
      <c r="A531" s="49">
        <v>44700.29556684028</v>
      </c>
      <c r="B531" s="50">
        <v>44700.4205420833</v>
      </c>
      <c r="C531" s="51">
        <v>1.065</v>
      </c>
      <c r="D531" s="51">
        <v>68.0</v>
      </c>
      <c r="E531" s="52" t="s">
        <v>25</v>
      </c>
      <c r="F531" s="52" t="s">
        <v>26</v>
      </c>
      <c r="G531" s="53"/>
    </row>
    <row r="532">
      <c r="A532" s="49">
        <v>44700.31641486111</v>
      </c>
      <c r="B532" s="50">
        <v>44700.4413848032</v>
      </c>
      <c r="C532" s="51">
        <v>1.065</v>
      </c>
      <c r="D532" s="51">
        <v>68.0</v>
      </c>
      <c r="E532" s="52" t="s">
        <v>25</v>
      </c>
      <c r="F532" s="52" t="s">
        <v>26</v>
      </c>
      <c r="G532" s="53"/>
    </row>
    <row r="533">
      <c r="A533" s="49">
        <v>44700.32683547454</v>
      </c>
      <c r="B533" s="50">
        <v>44700.4518065856</v>
      </c>
      <c r="C533" s="51">
        <v>1.065</v>
      </c>
      <c r="D533" s="51">
        <v>68.0</v>
      </c>
      <c r="E533" s="52" t="s">
        <v>25</v>
      </c>
      <c r="F533" s="52" t="s">
        <v>26</v>
      </c>
      <c r="G533" s="53"/>
    </row>
    <row r="534">
      <c r="A534" s="49">
        <v>44700.33725516204</v>
      </c>
      <c r="B534" s="50">
        <v>44700.4622379398</v>
      </c>
      <c r="C534" s="51">
        <v>1.065</v>
      </c>
      <c r="D534" s="51">
        <v>68.0</v>
      </c>
      <c r="E534" s="52" t="s">
        <v>25</v>
      </c>
      <c r="F534" s="52" t="s">
        <v>26</v>
      </c>
      <c r="G534" s="53"/>
    </row>
    <row r="535">
      <c r="A535" s="49">
        <v>44700.347686712965</v>
      </c>
      <c r="B535" s="50">
        <v>44700.4726593634</v>
      </c>
      <c r="C535" s="51">
        <v>1.065</v>
      </c>
      <c r="D535" s="51">
        <v>68.0</v>
      </c>
      <c r="E535" s="52" t="s">
        <v>25</v>
      </c>
      <c r="F535" s="52" t="s">
        <v>26</v>
      </c>
      <c r="G535" s="53"/>
    </row>
    <row r="536">
      <c r="A536" s="49">
        <v>44700.35814107639</v>
      </c>
      <c r="B536" s="50">
        <v>44700.4830823611</v>
      </c>
      <c r="C536" s="51">
        <v>1.065</v>
      </c>
      <c r="D536" s="51">
        <v>68.0</v>
      </c>
      <c r="E536" s="52" t="s">
        <v>25</v>
      </c>
      <c r="F536" s="52" t="s">
        <v>26</v>
      </c>
      <c r="G536" s="53"/>
    </row>
    <row r="537">
      <c r="A537" s="49">
        <v>44700.36852604167</v>
      </c>
      <c r="B537" s="50">
        <v>44700.4935042245</v>
      </c>
      <c r="C537" s="51">
        <v>1.065</v>
      </c>
      <c r="D537" s="51">
        <v>68.0</v>
      </c>
      <c r="E537" s="52" t="s">
        <v>25</v>
      </c>
      <c r="F537" s="52" t="s">
        <v>26</v>
      </c>
      <c r="G537" s="53"/>
    </row>
    <row r="538">
      <c r="A538" s="49">
        <v>44700.37897634259</v>
      </c>
      <c r="B538" s="50">
        <v>44700.5039347453</v>
      </c>
      <c r="C538" s="51">
        <v>1.064</v>
      </c>
      <c r="D538" s="51">
        <v>68.0</v>
      </c>
      <c r="E538" s="52" t="s">
        <v>25</v>
      </c>
      <c r="F538" s="52" t="s">
        <v>26</v>
      </c>
      <c r="G538" s="53"/>
    </row>
    <row r="539">
      <c r="A539" s="49">
        <v>44700.38939439815</v>
      </c>
      <c r="B539" s="50">
        <v>44700.5143680787</v>
      </c>
      <c r="C539" s="51">
        <v>1.064</v>
      </c>
      <c r="D539" s="51">
        <v>68.0</v>
      </c>
      <c r="E539" s="52" t="s">
        <v>25</v>
      </c>
      <c r="F539" s="52" t="s">
        <v>26</v>
      </c>
      <c r="G539" s="53"/>
    </row>
    <row r="540">
      <c r="A540" s="49">
        <v>44700.399836516204</v>
      </c>
      <c r="B540" s="50">
        <v>44700.5248142476</v>
      </c>
      <c r="C540" s="51">
        <v>1.064</v>
      </c>
      <c r="D540" s="51">
        <v>68.0</v>
      </c>
      <c r="E540" s="52" t="s">
        <v>25</v>
      </c>
      <c r="F540" s="52" t="s">
        <v>26</v>
      </c>
      <c r="G540" s="53"/>
    </row>
    <row r="541">
      <c r="A541" s="49">
        <v>44700.41025748843</v>
      </c>
      <c r="B541" s="50">
        <v>44700.5352363773</v>
      </c>
      <c r="C541" s="51">
        <v>1.064</v>
      </c>
      <c r="D541" s="51">
        <v>68.0</v>
      </c>
      <c r="E541" s="52" t="s">
        <v>25</v>
      </c>
      <c r="F541" s="52" t="s">
        <v>26</v>
      </c>
      <c r="G541" s="53"/>
    </row>
    <row r="542">
      <c r="A542" s="49">
        <v>44700.42072311342</v>
      </c>
      <c r="B542" s="50">
        <v>44700.5456807175</v>
      </c>
      <c r="C542" s="51">
        <v>1.064</v>
      </c>
      <c r="D542" s="51">
        <v>68.0</v>
      </c>
      <c r="E542" s="52" t="s">
        <v>25</v>
      </c>
      <c r="F542" s="52" t="s">
        <v>26</v>
      </c>
      <c r="G542" s="53"/>
    </row>
    <row r="543">
      <c r="A543" s="49">
        <v>44700.4311317824</v>
      </c>
      <c r="B543" s="50">
        <v>44700.5560988541</v>
      </c>
      <c r="C543" s="51">
        <v>1.064</v>
      </c>
      <c r="D543" s="51">
        <v>68.0</v>
      </c>
      <c r="E543" s="52" t="s">
        <v>25</v>
      </c>
      <c r="F543" s="52" t="s">
        <v>26</v>
      </c>
      <c r="G543" s="53"/>
    </row>
    <row r="544">
      <c r="A544" s="49">
        <v>44700.44155069445</v>
      </c>
      <c r="B544" s="50">
        <v>44700.566522199</v>
      </c>
      <c r="C544" s="51">
        <v>1.063</v>
      </c>
      <c r="D544" s="51">
        <v>69.0</v>
      </c>
      <c r="E544" s="52" t="s">
        <v>25</v>
      </c>
      <c r="F544" s="52" t="s">
        <v>26</v>
      </c>
      <c r="G544" s="53"/>
    </row>
    <row r="545">
      <c r="A545" s="49">
        <v>44700.45197135417</v>
      </c>
      <c r="B545" s="50">
        <v>44700.5769437615</v>
      </c>
      <c r="C545" s="51">
        <v>1.064</v>
      </c>
      <c r="D545" s="51">
        <v>69.0</v>
      </c>
      <c r="E545" s="52" t="s">
        <v>25</v>
      </c>
      <c r="F545" s="52" t="s">
        <v>26</v>
      </c>
      <c r="G545" s="53"/>
    </row>
    <row r="546">
      <c r="A546" s="49">
        <v>44700.46238008102</v>
      </c>
      <c r="B546" s="50">
        <v>44700.5873638194</v>
      </c>
      <c r="C546" s="51">
        <v>1.064</v>
      </c>
      <c r="D546" s="51">
        <v>69.0</v>
      </c>
      <c r="E546" s="52" t="s">
        <v>25</v>
      </c>
      <c r="F546" s="52" t="s">
        <v>26</v>
      </c>
      <c r="G546" s="53"/>
    </row>
    <row r="547">
      <c r="A547" s="49">
        <v>44700.47281103009</v>
      </c>
      <c r="B547" s="50">
        <v>44700.5977851388</v>
      </c>
      <c r="C547" s="51">
        <v>1.063</v>
      </c>
      <c r="D547" s="51">
        <v>69.0</v>
      </c>
      <c r="E547" s="52" t="s">
        <v>25</v>
      </c>
      <c r="F547" s="52" t="s">
        <v>26</v>
      </c>
      <c r="G547" s="53"/>
    </row>
    <row r="548">
      <c r="A548" s="49">
        <v>44700.4832446875</v>
      </c>
      <c r="B548" s="50">
        <v>44700.6082080671</v>
      </c>
      <c r="C548" s="51">
        <v>1.063</v>
      </c>
      <c r="D548" s="51">
        <v>69.0</v>
      </c>
      <c r="E548" s="52" t="s">
        <v>25</v>
      </c>
      <c r="F548" s="52" t="s">
        <v>26</v>
      </c>
      <c r="G548" s="53"/>
    </row>
    <row r="549">
      <c r="A549" s="49">
        <v>44700.4936571875</v>
      </c>
      <c r="B549" s="50">
        <v>44700.6186308796</v>
      </c>
      <c r="C549" s="51">
        <v>1.063</v>
      </c>
      <c r="D549" s="51">
        <v>69.0</v>
      </c>
      <c r="E549" s="52" t="s">
        <v>25</v>
      </c>
      <c r="F549" s="52" t="s">
        <v>26</v>
      </c>
      <c r="G549" s="53"/>
    </row>
    <row r="550">
      <c r="A550" s="49">
        <v>44700.50408283564</v>
      </c>
      <c r="B550" s="50">
        <v>44700.6290529166</v>
      </c>
      <c r="C550" s="51">
        <v>1.063</v>
      </c>
      <c r="D550" s="51">
        <v>69.0</v>
      </c>
      <c r="E550" s="52" t="s">
        <v>25</v>
      </c>
      <c r="F550" s="52" t="s">
        <v>26</v>
      </c>
      <c r="G550" s="53"/>
    </row>
    <row r="551">
      <c r="A551" s="49">
        <v>44700.51449607639</v>
      </c>
      <c r="B551" s="50">
        <v>44700.639472118</v>
      </c>
      <c r="C551" s="51">
        <v>1.063</v>
      </c>
      <c r="D551" s="51">
        <v>69.0</v>
      </c>
      <c r="E551" s="52" t="s">
        <v>25</v>
      </c>
      <c r="F551" s="52" t="s">
        <v>26</v>
      </c>
      <c r="G551" s="53"/>
    </row>
    <row r="552">
      <c r="A552" s="49">
        <v>44700.52492091435</v>
      </c>
      <c r="B552" s="50">
        <v>44700.6498952893</v>
      </c>
      <c r="C552" s="51">
        <v>1.063</v>
      </c>
      <c r="D552" s="51">
        <v>69.0</v>
      </c>
      <c r="E552" s="52" t="s">
        <v>25</v>
      </c>
      <c r="F552" s="52" t="s">
        <v>26</v>
      </c>
      <c r="G552" s="53"/>
    </row>
    <row r="553">
      <c r="A553" s="49">
        <v>44700.53536711806</v>
      </c>
      <c r="B553" s="50">
        <v>44700.6603160879</v>
      </c>
      <c r="C553" s="51">
        <v>1.063</v>
      </c>
      <c r="D553" s="51">
        <v>69.0</v>
      </c>
      <c r="E553" s="52" t="s">
        <v>25</v>
      </c>
      <c r="F553" s="52" t="s">
        <v>26</v>
      </c>
      <c r="G553" s="53"/>
    </row>
    <row r="554">
      <c r="A554" s="49">
        <v>44700.54576116898</v>
      </c>
      <c r="B554" s="50">
        <v>44700.6707361342</v>
      </c>
      <c r="C554" s="51">
        <v>1.063</v>
      </c>
      <c r="D554" s="51">
        <v>69.0</v>
      </c>
      <c r="E554" s="52" t="s">
        <v>25</v>
      </c>
      <c r="F554" s="52" t="s">
        <v>26</v>
      </c>
      <c r="G554" s="53"/>
    </row>
    <row r="555">
      <c r="A555" s="49">
        <v>44700.55617925926</v>
      </c>
      <c r="B555" s="50">
        <v>44700.681156331</v>
      </c>
      <c r="C555" s="51">
        <v>1.063</v>
      </c>
      <c r="D555" s="51">
        <v>69.0</v>
      </c>
      <c r="E555" s="52" t="s">
        <v>25</v>
      </c>
      <c r="F555" s="52" t="s">
        <v>26</v>
      </c>
      <c r="G555" s="53"/>
    </row>
    <row r="556">
      <c r="A556" s="49">
        <v>44700.566596805555</v>
      </c>
      <c r="B556" s="50">
        <v>44700.6915782754</v>
      </c>
      <c r="C556" s="51">
        <v>1.063</v>
      </c>
      <c r="D556" s="51">
        <v>69.0</v>
      </c>
      <c r="E556" s="52" t="s">
        <v>25</v>
      </c>
      <c r="F556" s="52" t="s">
        <v>26</v>
      </c>
      <c r="G556" s="53"/>
    </row>
    <row r="557">
      <c r="A557" s="49">
        <v>44700.577020462966</v>
      </c>
      <c r="B557" s="50">
        <v>44700.7019988078</v>
      </c>
      <c r="C557" s="51">
        <v>1.062</v>
      </c>
      <c r="D557" s="51">
        <v>69.0</v>
      </c>
      <c r="E557" s="52" t="s">
        <v>25</v>
      </c>
      <c r="F557" s="52" t="s">
        <v>26</v>
      </c>
      <c r="G557" s="53"/>
    </row>
    <row r="558">
      <c r="A558" s="49">
        <v>44700.5874609375</v>
      </c>
      <c r="B558" s="50">
        <v>44700.7124435995</v>
      </c>
      <c r="C558" s="51">
        <v>1.062</v>
      </c>
      <c r="D558" s="51">
        <v>69.0</v>
      </c>
      <c r="E558" s="52" t="s">
        <v>25</v>
      </c>
      <c r="F558" s="52" t="s">
        <v>26</v>
      </c>
      <c r="G558" s="53"/>
    </row>
    <row r="559">
      <c r="A559" s="49">
        <v>44700.59791152777</v>
      </c>
      <c r="B559" s="50">
        <v>44700.7228764699</v>
      </c>
      <c r="C559" s="51">
        <v>1.062</v>
      </c>
      <c r="D559" s="51">
        <v>69.0</v>
      </c>
      <c r="E559" s="52" t="s">
        <v>25</v>
      </c>
      <c r="F559" s="52" t="s">
        <v>26</v>
      </c>
      <c r="G559" s="53"/>
    </row>
    <row r="560">
      <c r="A560" s="49">
        <v>44700.608312627315</v>
      </c>
      <c r="B560" s="50">
        <v>44700.7332969097</v>
      </c>
      <c r="C560" s="51">
        <v>1.062</v>
      </c>
      <c r="D560" s="51">
        <v>69.0</v>
      </c>
      <c r="E560" s="52" t="s">
        <v>25</v>
      </c>
      <c r="F560" s="52" t="s">
        <v>26</v>
      </c>
      <c r="G560" s="53"/>
    </row>
    <row r="561">
      <c r="A561" s="49">
        <v>44700.618744618056</v>
      </c>
      <c r="B561" s="50">
        <v>44700.7437190046</v>
      </c>
      <c r="C561" s="51">
        <v>1.062</v>
      </c>
      <c r="D561" s="51">
        <v>69.0</v>
      </c>
      <c r="E561" s="52" t="s">
        <v>25</v>
      </c>
      <c r="F561" s="52" t="s">
        <v>26</v>
      </c>
      <c r="G561" s="53"/>
    </row>
    <row r="562">
      <c r="A562" s="49">
        <v>44700.62916938658</v>
      </c>
      <c r="B562" s="50">
        <v>44700.7541403588</v>
      </c>
      <c r="C562" s="51">
        <v>1.062</v>
      </c>
      <c r="D562" s="51">
        <v>69.0</v>
      </c>
      <c r="E562" s="52" t="s">
        <v>25</v>
      </c>
      <c r="F562" s="52" t="s">
        <v>26</v>
      </c>
      <c r="G562" s="53"/>
    </row>
    <row r="563">
      <c r="A563" s="49">
        <v>44700.63958603009</v>
      </c>
      <c r="B563" s="50">
        <v>44700.764560949</v>
      </c>
      <c r="C563" s="51">
        <v>1.062</v>
      </c>
      <c r="D563" s="51">
        <v>69.0</v>
      </c>
      <c r="E563" s="52" t="s">
        <v>25</v>
      </c>
      <c r="F563" s="52" t="s">
        <v>26</v>
      </c>
      <c r="G563" s="53"/>
    </row>
    <row r="564">
      <c r="A564" s="49">
        <v>44700.65000443287</v>
      </c>
      <c r="B564" s="50">
        <v>44700.7749792824</v>
      </c>
      <c r="C564" s="51">
        <v>1.062</v>
      </c>
      <c r="D564" s="51">
        <v>69.0</v>
      </c>
      <c r="E564" s="52" t="s">
        <v>25</v>
      </c>
      <c r="F564" s="52" t="s">
        <v>26</v>
      </c>
      <c r="G564" s="53"/>
    </row>
    <row r="565">
      <c r="A565" s="49">
        <v>44700.66043717593</v>
      </c>
      <c r="B565" s="50">
        <v>44700.7854132639</v>
      </c>
      <c r="C565" s="51">
        <v>1.062</v>
      </c>
      <c r="D565" s="51">
        <v>69.0</v>
      </c>
      <c r="E565" s="52" t="s">
        <v>25</v>
      </c>
      <c r="F565" s="52" t="s">
        <v>26</v>
      </c>
      <c r="G565" s="53"/>
    </row>
    <row r="566">
      <c r="A566" s="49">
        <v>44700.67085568287</v>
      </c>
      <c r="B566" s="50">
        <v>44700.7958347685</v>
      </c>
      <c r="C566" s="51">
        <v>1.062</v>
      </c>
      <c r="D566" s="51">
        <v>69.0</v>
      </c>
      <c r="E566" s="52" t="s">
        <v>25</v>
      </c>
      <c r="F566" s="52" t="s">
        <v>26</v>
      </c>
      <c r="G566" s="53"/>
    </row>
    <row r="567">
      <c r="A567" s="49">
        <v>44700.68127165509</v>
      </c>
      <c r="B567" s="50">
        <v>44700.8062562962</v>
      </c>
      <c r="C567" s="51">
        <v>1.062</v>
      </c>
      <c r="D567" s="51">
        <v>69.0</v>
      </c>
      <c r="E567" s="52" t="s">
        <v>25</v>
      </c>
      <c r="F567" s="52" t="s">
        <v>26</v>
      </c>
      <c r="G567" s="53"/>
    </row>
    <row r="568">
      <c r="A568" s="49">
        <v>44700.691709756946</v>
      </c>
      <c r="B568" s="50">
        <v>44700.8166872916</v>
      </c>
      <c r="C568" s="51">
        <v>1.061</v>
      </c>
      <c r="D568" s="51">
        <v>69.0</v>
      </c>
      <c r="E568" s="52" t="s">
        <v>25</v>
      </c>
      <c r="F568" s="52" t="s">
        <v>26</v>
      </c>
      <c r="G568" s="53"/>
    </row>
    <row r="569">
      <c r="A569" s="49">
        <v>44700.702137546294</v>
      </c>
      <c r="B569" s="50">
        <v>44700.8271089351</v>
      </c>
      <c r="C569" s="51">
        <v>1.061</v>
      </c>
      <c r="D569" s="51">
        <v>69.0</v>
      </c>
      <c r="E569" s="52" t="s">
        <v>25</v>
      </c>
      <c r="F569" s="52" t="s">
        <v>26</v>
      </c>
      <c r="G569" s="53"/>
    </row>
    <row r="570">
      <c r="A570" s="49">
        <v>44700.71255484954</v>
      </c>
      <c r="B570" s="50">
        <v>44700.8375306481</v>
      </c>
      <c r="C570" s="51">
        <v>1.061</v>
      </c>
      <c r="D570" s="51">
        <v>69.0</v>
      </c>
      <c r="E570" s="52" t="s">
        <v>25</v>
      </c>
      <c r="F570" s="52" t="s">
        <v>26</v>
      </c>
      <c r="G570" s="53"/>
    </row>
    <row r="571">
      <c r="A571" s="49">
        <v>44700.722995856486</v>
      </c>
      <c r="B571" s="50">
        <v>44700.8479638426</v>
      </c>
      <c r="C571" s="51">
        <v>1.061</v>
      </c>
      <c r="D571" s="51">
        <v>69.0</v>
      </c>
      <c r="E571" s="52" t="s">
        <v>25</v>
      </c>
      <c r="F571" s="52" t="s">
        <v>26</v>
      </c>
      <c r="G571" s="53"/>
    </row>
    <row r="572">
      <c r="A572" s="49">
        <v>44700.733413912036</v>
      </c>
      <c r="B572" s="50">
        <v>44700.858385</v>
      </c>
      <c r="C572" s="51">
        <v>1.061</v>
      </c>
      <c r="D572" s="51">
        <v>69.0</v>
      </c>
      <c r="E572" s="52" t="s">
        <v>25</v>
      </c>
      <c r="F572" s="52" t="s">
        <v>26</v>
      </c>
      <c r="G572" s="53"/>
    </row>
    <row r="573">
      <c r="A573" s="49">
        <v>44700.743842766205</v>
      </c>
      <c r="B573" s="50">
        <v>44700.8688173148</v>
      </c>
      <c r="C573" s="51">
        <v>1.061</v>
      </c>
      <c r="D573" s="51">
        <v>69.0</v>
      </c>
      <c r="E573" s="52" t="s">
        <v>25</v>
      </c>
      <c r="F573" s="52" t="s">
        <v>26</v>
      </c>
      <c r="G573" s="53"/>
    </row>
    <row r="574">
      <c r="A574" s="49">
        <v>44700.75427502315</v>
      </c>
      <c r="B574" s="50">
        <v>44700.8792497222</v>
      </c>
      <c r="C574" s="51">
        <v>1.061</v>
      </c>
      <c r="D574" s="51">
        <v>69.0</v>
      </c>
      <c r="E574" s="52" t="s">
        <v>25</v>
      </c>
      <c r="F574" s="52" t="s">
        <v>26</v>
      </c>
      <c r="G574" s="53"/>
    </row>
    <row r="575">
      <c r="A575" s="49">
        <v>44700.764728888884</v>
      </c>
      <c r="B575" s="50">
        <v>44700.8896942476</v>
      </c>
      <c r="C575" s="51">
        <v>1.061</v>
      </c>
      <c r="D575" s="51">
        <v>69.0</v>
      </c>
      <c r="E575" s="52" t="s">
        <v>25</v>
      </c>
      <c r="F575" s="52" t="s">
        <v>26</v>
      </c>
      <c r="G575" s="53"/>
    </row>
    <row r="576">
      <c r="A576" s="49">
        <v>44700.775137453704</v>
      </c>
      <c r="B576" s="50">
        <v>44700.9001171412</v>
      </c>
      <c r="C576" s="51">
        <v>1.061</v>
      </c>
      <c r="D576" s="51">
        <v>70.0</v>
      </c>
      <c r="E576" s="52" t="s">
        <v>25</v>
      </c>
      <c r="F576" s="52" t="s">
        <v>26</v>
      </c>
      <c r="G576" s="53"/>
    </row>
    <row r="577">
      <c r="A577" s="49">
        <v>44700.78556142361</v>
      </c>
      <c r="B577" s="50">
        <v>44700.9105372453</v>
      </c>
      <c r="C577" s="51">
        <v>1.061</v>
      </c>
      <c r="D577" s="51">
        <v>70.0</v>
      </c>
      <c r="E577" s="52" t="s">
        <v>25</v>
      </c>
      <c r="F577" s="52" t="s">
        <v>26</v>
      </c>
      <c r="G577" s="53"/>
    </row>
    <row r="578">
      <c r="A578" s="49">
        <v>44700.795986157405</v>
      </c>
      <c r="B578" s="50">
        <v>44700.9209587963</v>
      </c>
      <c r="C578" s="51">
        <v>1.061</v>
      </c>
      <c r="D578" s="51">
        <v>70.0</v>
      </c>
      <c r="E578" s="52" t="s">
        <v>25</v>
      </c>
      <c r="F578" s="52" t="s">
        <v>26</v>
      </c>
      <c r="G578" s="53"/>
    </row>
    <row r="579">
      <c r="A579" s="49">
        <v>44700.806405428244</v>
      </c>
      <c r="B579" s="50">
        <v>44700.9313822222</v>
      </c>
      <c r="C579" s="51">
        <v>1.061</v>
      </c>
      <c r="D579" s="51">
        <v>70.0</v>
      </c>
      <c r="E579" s="52" t="s">
        <v>25</v>
      </c>
      <c r="F579" s="52" t="s">
        <v>26</v>
      </c>
      <c r="G579" s="53"/>
    </row>
    <row r="580">
      <c r="A580" s="49">
        <v>44700.81682903935</v>
      </c>
      <c r="B580" s="50">
        <v>44700.9418042361</v>
      </c>
      <c r="C580" s="51">
        <v>1.06</v>
      </c>
      <c r="D580" s="51">
        <v>70.0</v>
      </c>
      <c r="E580" s="52" t="s">
        <v>25</v>
      </c>
      <c r="F580" s="52" t="s">
        <v>26</v>
      </c>
      <c r="G580" s="53"/>
    </row>
    <row r="581">
      <c r="A581" s="49">
        <v>44700.82724748843</v>
      </c>
      <c r="B581" s="50">
        <v>44700.952226331</v>
      </c>
      <c r="C581" s="51">
        <v>1.06</v>
      </c>
      <c r="D581" s="51">
        <v>69.0</v>
      </c>
      <c r="E581" s="52" t="s">
        <v>25</v>
      </c>
      <c r="F581" s="52" t="s">
        <v>26</v>
      </c>
      <c r="G581" s="53"/>
    </row>
    <row r="582">
      <c r="A582" s="49">
        <v>44700.83767414352</v>
      </c>
      <c r="B582" s="50">
        <v>44700.9626462963</v>
      </c>
      <c r="C582" s="51">
        <v>1.06</v>
      </c>
      <c r="D582" s="51">
        <v>68.0</v>
      </c>
      <c r="E582" s="52" t="s">
        <v>25</v>
      </c>
      <c r="F582" s="52" t="s">
        <v>26</v>
      </c>
      <c r="G582" s="53"/>
    </row>
    <row r="583">
      <c r="A583" s="49">
        <v>44700.84811871528</v>
      </c>
      <c r="B583" s="50">
        <v>44700.9730908564</v>
      </c>
      <c r="C583" s="51">
        <v>1.06</v>
      </c>
      <c r="D583" s="51">
        <v>66.0</v>
      </c>
      <c r="E583" s="52" t="s">
        <v>25</v>
      </c>
      <c r="F583" s="52" t="s">
        <v>26</v>
      </c>
      <c r="G583" s="53"/>
    </row>
    <row r="584">
      <c r="A584" s="49">
        <v>44700.8585365162</v>
      </c>
      <c r="B584" s="50">
        <v>44700.9835104861</v>
      </c>
      <c r="C584" s="51">
        <v>1.06</v>
      </c>
      <c r="D584" s="51">
        <v>66.0</v>
      </c>
      <c r="E584" s="52" t="s">
        <v>25</v>
      </c>
      <c r="F584" s="52" t="s">
        <v>26</v>
      </c>
      <c r="G584" s="53"/>
    </row>
    <row r="585">
      <c r="A585" s="49">
        <v>44700.86897625</v>
      </c>
      <c r="B585" s="50">
        <v>44700.9939311458</v>
      </c>
      <c r="C585" s="51">
        <v>1.06</v>
      </c>
      <c r="D585" s="51">
        <v>66.0</v>
      </c>
      <c r="E585" s="52" t="s">
        <v>25</v>
      </c>
      <c r="F585" s="52" t="s">
        <v>26</v>
      </c>
      <c r="G585" s="53"/>
    </row>
    <row r="586">
      <c r="A586" s="49">
        <v>44700.87938766203</v>
      </c>
      <c r="B586" s="50">
        <v>44701.0043636342</v>
      </c>
      <c r="C586" s="51">
        <v>1.06</v>
      </c>
      <c r="D586" s="51">
        <v>66.0</v>
      </c>
      <c r="E586" s="52" t="s">
        <v>25</v>
      </c>
      <c r="F586" s="52" t="s">
        <v>26</v>
      </c>
      <c r="G586" s="53"/>
    </row>
    <row r="587">
      <c r="A587" s="49">
        <v>44700.88982679398</v>
      </c>
      <c r="B587" s="50">
        <v>44701.0147975925</v>
      </c>
      <c r="C587" s="51">
        <v>1.06</v>
      </c>
      <c r="D587" s="51">
        <v>66.0</v>
      </c>
      <c r="E587" s="52" t="s">
        <v>25</v>
      </c>
      <c r="F587" s="52" t="s">
        <v>26</v>
      </c>
      <c r="G587" s="53"/>
    </row>
    <row r="588">
      <c r="A588" s="49">
        <v>44700.90023413194</v>
      </c>
      <c r="B588" s="50">
        <v>44701.0252170486</v>
      </c>
      <c r="C588" s="51">
        <v>1.06</v>
      </c>
      <c r="D588" s="51">
        <v>65.0</v>
      </c>
      <c r="E588" s="52" t="s">
        <v>25</v>
      </c>
      <c r="F588" s="52" t="s">
        <v>26</v>
      </c>
      <c r="G588" s="53"/>
    </row>
    <row r="589">
      <c r="A589" s="49">
        <v>44700.91066863426</v>
      </c>
      <c r="B589" s="50">
        <v>44701.0356483564</v>
      </c>
      <c r="C589" s="51">
        <v>1.06</v>
      </c>
      <c r="D589" s="51">
        <v>66.0</v>
      </c>
      <c r="E589" s="52" t="s">
        <v>25</v>
      </c>
      <c r="F589" s="52" t="s">
        <v>26</v>
      </c>
      <c r="G589" s="53"/>
    </row>
    <row r="590">
      <c r="A590" s="49">
        <v>44700.9210991088</v>
      </c>
      <c r="B590" s="50">
        <v>44701.0460703587</v>
      </c>
      <c r="C590" s="51">
        <v>1.06</v>
      </c>
      <c r="D590" s="51">
        <v>65.0</v>
      </c>
      <c r="E590" s="52" t="s">
        <v>25</v>
      </c>
      <c r="F590" s="52" t="s">
        <v>26</v>
      </c>
      <c r="G590" s="53"/>
    </row>
    <row r="591">
      <c r="A591" s="49">
        <v>44700.93151541667</v>
      </c>
      <c r="B591" s="50">
        <v>44701.056491956</v>
      </c>
      <c r="C591" s="51">
        <v>1.06</v>
      </c>
      <c r="D591" s="51">
        <v>65.0</v>
      </c>
      <c r="E591" s="52" t="s">
        <v>25</v>
      </c>
      <c r="F591" s="52" t="s">
        <v>26</v>
      </c>
      <c r="G591" s="53"/>
    </row>
    <row r="592">
      <c r="A592" s="49">
        <v>44700.941974016205</v>
      </c>
      <c r="B592" s="50">
        <v>44701.0669471875</v>
      </c>
      <c r="C592" s="51">
        <v>1.059</v>
      </c>
      <c r="D592" s="51">
        <v>66.0</v>
      </c>
      <c r="E592" s="52" t="s">
        <v>25</v>
      </c>
      <c r="F592" s="52" t="s">
        <v>26</v>
      </c>
      <c r="G592" s="53"/>
    </row>
    <row r="593">
      <c r="A593" s="49">
        <v>44700.95239810185</v>
      </c>
      <c r="B593" s="50">
        <v>44701.0773689814</v>
      </c>
      <c r="C593" s="51">
        <v>1.06</v>
      </c>
      <c r="D593" s="51">
        <v>66.0</v>
      </c>
      <c r="E593" s="52" t="s">
        <v>25</v>
      </c>
      <c r="F593" s="52" t="s">
        <v>26</v>
      </c>
      <c r="G593" s="53"/>
    </row>
    <row r="594">
      <c r="A594" s="49">
        <v>44700.96281439815</v>
      </c>
      <c r="B594" s="50">
        <v>44701.0877908912</v>
      </c>
      <c r="C594" s="51">
        <v>1.059</v>
      </c>
      <c r="D594" s="51">
        <v>66.0</v>
      </c>
      <c r="E594" s="52" t="s">
        <v>25</v>
      </c>
      <c r="F594" s="52" t="s">
        <v>26</v>
      </c>
      <c r="G594" s="53"/>
    </row>
    <row r="595">
      <c r="A595" s="49">
        <v>44700.97323510417</v>
      </c>
      <c r="B595" s="50">
        <v>44701.0982120717</v>
      </c>
      <c r="C595" s="51">
        <v>1.059</v>
      </c>
      <c r="D595" s="51">
        <v>66.0</v>
      </c>
      <c r="E595" s="52" t="s">
        <v>25</v>
      </c>
      <c r="F595" s="52" t="s">
        <v>26</v>
      </c>
      <c r="G595" s="53"/>
    </row>
    <row r="596">
      <c r="A596" s="49">
        <v>44700.983666238426</v>
      </c>
      <c r="B596" s="50">
        <v>44701.1086442708</v>
      </c>
      <c r="C596" s="51">
        <v>1.06</v>
      </c>
      <c r="D596" s="51">
        <v>66.0</v>
      </c>
      <c r="E596" s="52" t="s">
        <v>25</v>
      </c>
      <c r="F596" s="52" t="s">
        <v>26</v>
      </c>
      <c r="G596" s="53"/>
    </row>
    <row r="597">
      <c r="A597" s="49">
        <v>44700.99408697917</v>
      </c>
      <c r="B597" s="50">
        <v>44701.1190642592</v>
      </c>
      <c r="C597" s="51">
        <v>1.059</v>
      </c>
      <c r="D597" s="51">
        <v>66.0</v>
      </c>
      <c r="E597" s="52" t="s">
        <v>25</v>
      </c>
      <c r="F597" s="52" t="s">
        <v>26</v>
      </c>
      <c r="G597" s="53"/>
    </row>
    <row r="598">
      <c r="A598" s="49">
        <v>44701.004526122684</v>
      </c>
      <c r="B598" s="50">
        <v>44701.129498287</v>
      </c>
      <c r="C598" s="51">
        <v>1.059</v>
      </c>
      <c r="D598" s="51">
        <v>66.0</v>
      </c>
      <c r="E598" s="52" t="s">
        <v>25</v>
      </c>
      <c r="F598" s="52" t="s">
        <v>26</v>
      </c>
      <c r="G598" s="53"/>
    </row>
    <row r="599">
      <c r="A599" s="49">
        <v>44701.01495282407</v>
      </c>
      <c r="B599" s="50">
        <v>44701.1399199421</v>
      </c>
      <c r="C599" s="51">
        <v>1.059</v>
      </c>
      <c r="D599" s="51">
        <v>66.0</v>
      </c>
      <c r="E599" s="52" t="s">
        <v>25</v>
      </c>
      <c r="F599" s="52" t="s">
        <v>26</v>
      </c>
      <c r="G599" s="53"/>
    </row>
    <row r="600">
      <c r="A600" s="49">
        <v>44701.02536645833</v>
      </c>
      <c r="B600" s="50">
        <v>44701.1503410185</v>
      </c>
      <c r="C600" s="51">
        <v>1.059</v>
      </c>
      <c r="D600" s="51">
        <v>66.0</v>
      </c>
      <c r="E600" s="52" t="s">
        <v>25</v>
      </c>
      <c r="F600" s="52" t="s">
        <v>26</v>
      </c>
      <c r="G600" s="53"/>
    </row>
    <row r="601">
      <c r="A601" s="49">
        <v>44701.03581179398</v>
      </c>
      <c r="B601" s="50">
        <v>44701.160784537</v>
      </c>
      <c r="C601" s="51">
        <v>1.059</v>
      </c>
      <c r="D601" s="51">
        <v>66.0</v>
      </c>
      <c r="E601" s="52" t="s">
        <v>25</v>
      </c>
      <c r="F601" s="52" t="s">
        <v>26</v>
      </c>
      <c r="G601" s="53"/>
    </row>
    <row r="602">
      <c r="A602" s="49">
        <v>44701.046236724535</v>
      </c>
      <c r="B602" s="50">
        <v>44701.1712064351</v>
      </c>
      <c r="C602" s="51">
        <v>1.059</v>
      </c>
      <c r="D602" s="51">
        <v>66.0</v>
      </c>
      <c r="E602" s="52" t="s">
        <v>25</v>
      </c>
      <c r="F602" s="52" t="s">
        <v>26</v>
      </c>
      <c r="G602" s="53"/>
    </row>
    <row r="603">
      <c r="A603" s="49">
        <v>44701.05665229166</v>
      </c>
      <c r="B603" s="50">
        <v>44701.1816291551</v>
      </c>
      <c r="C603" s="51">
        <v>1.059</v>
      </c>
      <c r="D603" s="51">
        <v>66.0</v>
      </c>
      <c r="E603" s="52" t="s">
        <v>25</v>
      </c>
      <c r="F603" s="52" t="s">
        <v>26</v>
      </c>
      <c r="G603" s="53"/>
    </row>
    <row r="604">
      <c r="A604" s="49">
        <v>44701.067066840274</v>
      </c>
      <c r="B604" s="50">
        <v>44701.1920500578</v>
      </c>
      <c r="C604" s="51">
        <v>1.059</v>
      </c>
      <c r="D604" s="51">
        <v>66.0</v>
      </c>
      <c r="E604" s="52" t="s">
        <v>25</v>
      </c>
      <c r="F604" s="52" t="s">
        <v>26</v>
      </c>
      <c r="G604" s="53"/>
    </row>
    <row r="605">
      <c r="A605" s="49">
        <v>44701.07750381944</v>
      </c>
      <c r="B605" s="50">
        <v>44701.2024725694</v>
      </c>
      <c r="C605" s="51">
        <v>1.059</v>
      </c>
      <c r="D605" s="51">
        <v>66.0</v>
      </c>
      <c r="E605" s="52" t="s">
        <v>25</v>
      </c>
      <c r="F605" s="52" t="s">
        <v>26</v>
      </c>
      <c r="G605" s="53"/>
    </row>
    <row r="606">
      <c r="A606" s="49">
        <v>44701.08791740741</v>
      </c>
      <c r="B606" s="50">
        <v>44701.2128942708</v>
      </c>
      <c r="C606" s="51">
        <v>1.058</v>
      </c>
      <c r="D606" s="51">
        <v>66.0</v>
      </c>
      <c r="E606" s="52" t="s">
        <v>25</v>
      </c>
      <c r="F606" s="52" t="s">
        <v>26</v>
      </c>
      <c r="G606" s="53"/>
    </row>
    <row r="607">
      <c r="A607" s="49">
        <v>44701.09833907407</v>
      </c>
      <c r="B607" s="50">
        <v>44701.2233152199</v>
      </c>
      <c r="C607" s="51">
        <v>1.059</v>
      </c>
      <c r="D607" s="51">
        <v>66.0</v>
      </c>
      <c r="E607" s="52" t="s">
        <v>25</v>
      </c>
      <c r="F607" s="52" t="s">
        <v>26</v>
      </c>
      <c r="G607" s="53"/>
    </row>
    <row r="608">
      <c r="A608" s="49">
        <v>44701.10875861111</v>
      </c>
      <c r="B608" s="50">
        <v>44701.2337356134</v>
      </c>
      <c r="C608" s="51">
        <v>1.059</v>
      </c>
      <c r="D608" s="51">
        <v>66.0</v>
      </c>
      <c r="E608" s="52" t="s">
        <v>25</v>
      </c>
      <c r="F608" s="52" t="s">
        <v>26</v>
      </c>
      <c r="G608" s="53"/>
    </row>
    <row r="609">
      <c r="A609" s="49">
        <v>44701.119179016205</v>
      </c>
      <c r="B609" s="50">
        <v>44701.244155162</v>
      </c>
      <c r="C609" s="51">
        <v>1.058</v>
      </c>
      <c r="D609" s="51">
        <v>66.0</v>
      </c>
      <c r="E609" s="52" t="s">
        <v>25</v>
      </c>
      <c r="F609" s="52" t="s">
        <v>26</v>
      </c>
      <c r="G609" s="53"/>
    </row>
    <row r="610">
      <c r="A610" s="49">
        <v>44701.1295991088</v>
      </c>
      <c r="B610" s="50">
        <v>44701.2545757407</v>
      </c>
      <c r="C610" s="51">
        <v>1.058</v>
      </c>
      <c r="D610" s="51">
        <v>66.0</v>
      </c>
      <c r="E610" s="52" t="s">
        <v>25</v>
      </c>
      <c r="F610" s="52" t="s">
        <v>26</v>
      </c>
      <c r="G610" s="53"/>
    </row>
    <row r="611">
      <c r="A611" s="49">
        <v>44701.14003895833</v>
      </c>
      <c r="B611" s="50">
        <v>44701.2649958101</v>
      </c>
      <c r="C611" s="51">
        <v>1.058</v>
      </c>
      <c r="D611" s="51">
        <v>66.0</v>
      </c>
      <c r="E611" s="52" t="s">
        <v>25</v>
      </c>
      <c r="F611" s="52" t="s">
        <v>26</v>
      </c>
      <c r="G611" s="53"/>
    </row>
    <row r="612">
      <c r="A612" s="49">
        <v>44701.150451319445</v>
      </c>
      <c r="B612" s="50">
        <v>44701.2754284837</v>
      </c>
      <c r="C612" s="51">
        <v>1.058</v>
      </c>
      <c r="D612" s="51">
        <v>66.0</v>
      </c>
      <c r="E612" s="52" t="s">
        <v>25</v>
      </c>
      <c r="F612" s="52" t="s">
        <v>26</v>
      </c>
      <c r="G612" s="53"/>
    </row>
    <row r="613">
      <c r="A613" s="49">
        <v>44701.160890115745</v>
      </c>
      <c r="B613" s="50">
        <v>44701.2858598958</v>
      </c>
      <c r="C613" s="51">
        <v>1.058</v>
      </c>
      <c r="D613" s="51">
        <v>66.0</v>
      </c>
      <c r="E613" s="52" t="s">
        <v>25</v>
      </c>
      <c r="F613" s="52" t="s">
        <v>26</v>
      </c>
      <c r="G613" s="53"/>
    </row>
    <row r="614">
      <c r="A614" s="49">
        <v>44701.17130883102</v>
      </c>
      <c r="B614" s="50">
        <v>44701.2962804398</v>
      </c>
      <c r="C614" s="51">
        <v>1.058</v>
      </c>
      <c r="D614" s="51">
        <v>66.0</v>
      </c>
      <c r="E614" s="52" t="s">
        <v>25</v>
      </c>
      <c r="F614" s="52" t="s">
        <v>26</v>
      </c>
      <c r="G614" s="53"/>
    </row>
    <row r="615">
      <c r="A615" s="49">
        <v>44701.18172975694</v>
      </c>
      <c r="B615" s="50">
        <v>44701.3067028819</v>
      </c>
      <c r="C615" s="51">
        <v>1.057</v>
      </c>
      <c r="D615" s="51">
        <v>66.0</v>
      </c>
      <c r="E615" s="52" t="s">
        <v>25</v>
      </c>
      <c r="F615" s="52" t="s">
        <v>26</v>
      </c>
      <c r="G615" s="53"/>
    </row>
    <row r="616">
      <c r="A616" s="49">
        <v>44701.19214453704</v>
      </c>
      <c r="B616" s="50">
        <v>44701.3171249074</v>
      </c>
      <c r="C616" s="51">
        <v>1.058</v>
      </c>
      <c r="D616" s="51">
        <v>66.0</v>
      </c>
      <c r="E616" s="52" t="s">
        <v>25</v>
      </c>
      <c r="F616" s="52" t="s">
        <v>26</v>
      </c>
      <c r="G616" s="53"/>
    </row>
    <row r="617">
      <c r="A617" s="49">
        <v>44701.20257480324</v>
      </c>
      <c r="B617" s="50">
        <v>44701.3275465509</v>
      </c>
      <c r="C617" s="51">
        <v>1.057</v>
      </c>
      <c r="D617" s="51">
        <v>66.0</v>
      </c>
      <c r="E617" s="52" t="s">
        <v>25</v>
      </c>
      <c r="F617" s="52" t="s">
        <v>26</v>
      </c>
      <c r="G617" s="53"/>
    </row>
    <row r="618">
      <c r="A618" s="49">
        <v>44701.21299706018</v>
      </c>
      <c r="B618" s="50">
        <v>44701.3379661458</v>
      </c>
      <c r="C618" s="51">
        <v>1.057</v>
      </c>
      <c r="D618" s="51">
        <v>67.0</v>
      </c>
      <c r="E618" s="52" t="s">
        <v>25</v>
      </c>
      <c r="F618" s="52" t="s">
        <v>26</v>
      </c>
      <c r="G618" s="53"/>
    </row>
    <row r="619">
      <c r="A619" s="49">
        <v>44701.22341305556</v>
      </c>
      <c r="B619" s="50">
        <v>44701.3483863773</v>
      </c>
      <c r="C619" s="51">
        <v>1.057</v>
      </c>
      <c r="D619" s="51">
        <v>67.0</v>
      </c>
      <c r="E619" s="52" t="s">
        <v>25</v>
      </c>
      <c r="F619" s="52" t="s">
        <v>26</v>
      </c>
      <c r="G619" s="53"/>
    </row>
    <row r="620">
      <c r="A620" s="49">
        <v>44701.23384123843</v>
      </c>
      <c r="B620" s="50">
        <v>44701.3588077777</v>
      </c>
      <c r="C620" s="51">
        <v>1.057</v>
      </c>
      <c r="D620" s="51">
        <v>67.0</v>
      </c>
      <c r="E620" s="52" t="s">
        <v>25</v>
      </c>
      <c r="F620" s="52" t="s">
        <v>26</v>
      </c>
      <c r="G620" s="53"/>
    </row>
    <row r="621">
      <c r="A621" s="49">
        <v>44701.24425614583</v>
      </c>
      <c r="B621" s="50">
        <v>44701.3692285301</v>
      </c>
      <c r="C621" s="51">
        <v>1.057</v>
      </c>
      <c r="D621" s="51">
        <v>67.0</v>
      </c>
      <c r="E621" s="52" t="s">
        <v>25</v>
      </c>
      <c r="F621" s="52" t="s">
        <v>26</v>
      </c>
      <c r="G621" s="53"/>
    </row>
    <row r="622">
      <c r="A622" s="49">
        <v>44701.254666458335</v>
      </c>
      <c r="B622" s="50">
        <v>44701.3796495138</v>
      </c>
      <c r="C622" s="51">
        <v>1.057</v>
      </c>
      <c r="D622" s="51">
        <v>67.0</v>
      </c>
      <c r="E622" s="52" t="s">
        <v>25</v>
      </c>
      <c r="F622" s="52" t="s">
        <v>26</v>
      </c>
      <c r="G622" s="53"/>
    </row>
    <row r="623">
      <c r="A623" s="49">
        <v>44701.265107245374</v>
      </c>
      <c r="B623" s="50">
        <v>44701.3900848032</v>
      </c>
      <c r="C623" s="51">
        <v>1.057</v>
      </c>
      <c r="D623" s="51">
        <v>67.0</v>
      </c>
      <c r="E623" s="52" t="s">
        <v>25</v>
      </c>
      <c r="F623" s="52" t="s">
        <v>26</v>
      </c>
      <c r="G623" s="53"/>
    </row>
    <row r="624">
      <c r="A624" s="49">
        <v>44701.275530960644</v>
      </c>
      <c r="B624" s="50">
        <v>44701.4005058333</v>
      </c>
      <c r="C624" s="51">
        <v>1.057</v>
      </c>
      <c r="D624" s="51">
        <v>67.0</v>
      </c>
      <c r="E624" s="52" t="s">
        <v>25</v>
      </c>
      <c r="F624" s="52" t="s">
        <v>26</v>
      </c>
      <c r="G624" s="53"/>
    </row>
    <row r="625">
      <c r="A625" s="49">
        <v>44701.28594940972</v>
      </c>
      <c r="B625" s="50">
        <v>44701.4109283449</v>
      </c>
      <c r="C625" s="51">
        <v>1.057</v>
      </c>
      <c r="D625" s="51">
        <v>67.0</v>
      </c>
      <c r="E625" s="52" t="s">
        <v>25</v>
      </c>
      <c r="F625" s="52" t="s">
        <v>26</v>
      </c>
      <c r="G625" s="53"/>
    </row>
    <row r="626">
      <c r="A626" s="49">
        <v>44701.29638111111</v>
      </c>
      <c r="B626" s="50">
        <v>44701.4213606365</v>
      </c>
      <c r="C626" s="51">
        <v>1.057</v>
      </c>
      <c r="D626" s="51">
        <v>67.0</v>
      </c>
      <c r="E626" s="52" t="s">
        <v>25</v>
      </c>
      <c r="F626" s="52" t="s">
        <v>26</v>
      </c>
      <c r="G626" s="53"/>
    </row>
    <row r="627">
      <c r="A627" s="49">
        <v>44701.30680040509</v>
      </c>
      <c r="B627" s="50">
        <v>44701.431780162</v>
      </c>
      <c r="C627" s="51">
        <v>1.057</v>
      </c>
      <c r="D627" s="51">
        <v>67.0</v>
      </c>
      <c r="E627" s="52" t="s">
        <v>25</v>
      </c>
      <c r="F627" s="52" t="s">
        <v>26</v>
      </c>
      <c r="G627" s="53"/>
    </row>
    <row r="628">
      <c r="A628" s="49">
        <v>44701.31722225694</v>
      </c>
      <c r="B628" s="50">
        <v>44701.4422010532</v>
      </c>
      <c r="C628" s="51">
        <v>1.057</v>
      </c>
      <c r="D628" s="51">
        <v>67.0</v>
      </c>
      <c r="E628" s="52" t="s">
        <v>25</v>
      </c>
      <c r="F628" s="52" t="s">
        <v>26</v>
      </c>
      <c r="G628" s="53"/>
    </row>
    <row r="629">
      <c r="A629" s="49">
        <v>44701.32764092593</v>
      </c>
      <c r="B629" s="50">
        <v>44701.4526219676</v>
      </c>
      <c r="C629" s="51">
        <v>1.056</v>
      </c>
      <c r="D629" s="51">
        <v>67.0</v>
      </c>
      <c r="E629" s="52" t="s">
        <v>25</v>
      </c>
      <c r="F629" s="52" t="s">
        <v>26</v>
      </c>
      <c r="G629" s="53"/>
    </row>
    <row r="630">
      <c r="A630" s="49">
        <v>44701.338105601855</v>
      </c>
      <c r="B630" s="50">
        <v>44701.4630792476</v>
      </c>
      <c r="C630" s="51">
        <v>1.056</v>
      </c>
      <c r="D630" s="51">
        <v>67.0</v>
      </c>
      <c r="E630" s="52" t="s">
        <v>25</v>
      </c>
      <c r="F630" s="52" t="s">
        <v>26</v>
      </c>
      <c r="G630" s="53"/>
    </row>
    <row r="631">
      <c r="A631" s="49">
        <v>44701.34852407407</v>
      </c>
      <c r="B631" s="50">
        <v>44701.4734990046</v>
      </c>
      <c r="C631" s="51">
        <v>1.056</v>
      </c>
      <c r="D631" s="51">
        <v>67.0</v>
      </c>
      <c r="E631" s="52" t="s">
        <v>25</v>
      </c>
      <c r="F631" s="52" t="s">
        <v>26</v>
      </c>
      <c r="G631" s="53"/>
    </row>
    <row r="632">
      <c r="A632" s="49">
        <v>44701.3589565625</v>
      </c>
      <c r="B632" s="50">
        <v>44701.483931956</v>
      </c>
      <c r="C632" s="51">
        <v>1.056</v>
      </c>
      <c r="D632" s="51">
        <v>67.0</v>
      </c>
      <c r="E632" s="52" t="s">
        <v>25</v>
      </c>
      <c r="F632" s="52" t="s">
        <v>26</v>
      </c>
      <c r="G632" s="53"/>
    </row>
    <row r="633">
      <c r="A633" s="49">
        <v>44701.36937707176</v>
      </c>
      <c r="B633" s="50">
        <v>44701.4943523726</v>
      </c>
      <c r="C633" s="51">
        <v>1.056</v>
      </c>
      <c r="D633" s="51">
        <v>67.0</v>
      </c>
      <c r="E633" s="52" t="s">
        <v>25</v>
      </c>
      <c r="F633" s="52" t="s">
        <v>26</v>
      </c>
      <c r="G633" s="53"/>
    </row>
    <row r="634">
      <c r="A634" s="49">
        <v>44701.3798062037</v>
      </c>
      <c r="B634" s="50">
        <v>44701.5047853935</v>
      </c>
      <c r="C634" s="51">
        <v>1.056</v>
      </c>
      <c r="D634" s="51">
        <v>67.0</v>
      </c>
      <c r="E634" s="52" t="s">
        <v>25</v>
      </c>
      <c r="F634" s="52" t="s">
        <v>26</v>
      </c>
      <c r="G634" s="53"/>
    </row>
    <row r="635">
      <c r="A635" s="49">
        <v>44701.39022327546</v>
      </c>
      <c r="B635" s="50">
        <v>44701.5152064351</v>
      </c>
      <c r="C635" s="51">
        <v>1.056</v>
      </c>
      <c r="D635" s="51">
        <v>67.0</v>
      </c>
      <c r="E635" s="52" t="s">
        <v>25</v>
      </c>
      <c r="F635" s="52" t="s">
        <v>26</v>
      </c>
      <c r="G635" s="53"/>
    </row>
    <row r="636">
      <c r="A636" s="49">
        <v>44701.40064443287</v>
      </c>
      <c r="B636" s="50">
        <v>44701.5256280787</v>
      </c>
      <c r="C636" s="51">
        <v>1.056</v>
      </c>
      <c r="D636" s="51">
        <v>67.0</v>
      </c>
      <c r="E636" s="52" t="s">
        <v>25</v>
      </c>
      <c r="F636" s="52" t="s">
        <v>26</v>
      </c>
      <c r="G636" s="53"/>
    </row>
    <row r="637">
      <c r="A637" s="49">
        <v>44701.41107613426</v>
      </c>
      <c r="B637" s="50">
        <v>44701.5360495833</v>
      </c>
      <c r="C637" s="51">
        <v>1.056</v>
      </c>
      <c r="D637" s="51">
        <v>67.0</v>
      </c>
      <c r="E637" s="52" t="s">
        <v>25</v>
      </c>
      <c r="F637" s="52" t="s">
        <v>26</v>
      </c>
      <c r="G637" s="53"/>
    </row>
    <row r="638">
      <c r="A638" s="49">
        <v>44701.4215660301</v>
      </c>
      <c r="B638" s="50">
        <v>44701.5465406828</v>
      </c>
      <c r="C638" s="51">
        <v>1.056</v>
      </c>
      <c r="D638" s="51">
        <v>67.0</v>
      </c>
      <c r="E638" s="52" t="s">
        <v>25</v>
      </c>
      <c r="F638" s="52" t="s">
        <v>26</v>
      </c>
      <c r="G638" s="53"/>
    </row>
    <row r="639">
      <c r="A639" s="49">
        <v>44701.43198700232</v>
      </c>
      <c r="B639" s="50">
        <v>44701.5569620254</v>
      </c>
      <c r="C639" s="51">
        <v>1.056</v>
      </c>
      <c r="D639" s="51">
        <v>67.0</v>
      </c>
      <c r="E639" s="52" t="s">
        <v>25</v>
      </c>
      <c r="F639" s="52" t="s">
        <v>26</v>
      </c>
      <c r="G639" s="53"/>
    </row>
    <row r="640">
      <c r="A640" s="49">
        <v>44701.442403877314</v>
      </c>
      <c r="B640" s="50">
        <v>44701.5673830439</v>
      </c>
      <c r="C640" s="51">
        <v>1.056</v>
      </c>
      <c r="D640" s="51">
        <v>67.0</v>
      </c>
      <c r="E640" s="52" t="s">
        <v>25</v>
      </c>
      <c r="F640" s="52" t="s">
        <v>26</v>
      </c>
      <c r="G640" s="53"/>
    </row>
    <row r="641">
      <c r="A641" s="49">
        <v>44701.45282697916</v>
      </c>
      <c r="B641" s="50">
        <v>44701.5778021527</v>
      </c>
      <c r="C641" s="51">
        <v>1.056</v>
      </c>
      <c r="D641" s="51">
        <v>67.0</v>
      </c>
      <c r="E641" s="52" t="s">
        <v>25</v>
      </c>
      <c r="F641" s="52" t="s">
        <v>26</v>
      </c>
      <c r="G641" s="53"/>
    </row>
    <row r="642">
      <c r="A642" s="49">
        <v>44701.46325689815</v>
      </c>
      <c r="B642" s="50">
        <v>44701.5882360648</v>
      </c>
      <c r="C642" s="51">
        <v>1.056</v>
      </c>
      <c r="D642" s="51">
        <v>67.0</v>
      </c>
      <c r="E642" s="52" t="s">
        <v>25</v>
      </c>
      <c r="F642" s="52" t="s">
        <v>26</v>
      </c>
      <c r="G642" s="53"/>
    </row>
    <row r="643">
      <c r="A643" s="49">
        <v>44701.47367702547</v>
      </c>
      <c r="B643" s="50">
        <v>44701.5986583564</v>
      </c>
      <c r="C643" s="51">
        <v>1.055</v>
      </c>
      <c r="D643" s="51">
        <v>67.0</v>
      </c>
      <c r="E643" s="52" t="s">
        <v>25</v>
      </c>
      <c r="F643" s="52" t="s">
        <v>26</v>
      </c>
      <c r="G643" s="53"/>
    </row>
    <row r="644">
      <c r="A644" s="49">
        <v>44701.48411607639</v>
      </c>
      <c r="B644" s="50">
        <v>44701.6090905555</v>
      </c>
      <c r="C644" s="51">
        <v>1.055</v>
      </c>
      <c r="D644" s="51">
        <v>67.0</v>
      </c>
      <c r="E644" s="52" t="s">
        <v>25</v>
      </c>
      <c r="F644" s="52" t="s">
        <v>26</v>
      </c>
      <c r="G644" s="53"/>
    </row>
    <row r="645">
      <c r="A645" s="49">
        <v>44701.49453640047</v>
      </c>
      <c r="B645" s="50">
        <v>44701.6195109722</v>
      </c>
      <c r="C645" s="51">
        <v>1.055</v>
      </c>
      <c r="D645" s="51">
        <v>67.0</v>
      </c>
      <c r="E645" s="52" t="s">
        <v>25</v>
      </c>
      <c r="F645" s="52" t="s">
        <v>26</v>
      </c>
      <c r="G645" s="53"/>
    </row>
    <row r="646">
      <c r="A646" s="49">
        <v>44701.50494642361</v>
      </c>
      <c r="B646" s="50">
        <v>44701.629930868</v>
      </c>
      <c r="C646" s="51">
        <v>1.055</v>
      </c>
      <c r="D646" s="51">
        <v>67.0</v>
      </c>
      <c r="E646" s="52" t="s">
        <v>25</v>
      </c>
      <c r="F646" s="52" t="s">
        <v>26</v>
      </c>
      <c r="G646" s="53"/>
    </row>
    <row r="647">
      <c r="A647" s="49">
        <v>44701.515392326386</v>
      </c>
      <c r="B647" s="50">
        <v>44701.6403632291</v>
      </c>
      <c r="C647" s="51">
        <v>1.055</v>
      </c>
      <c r="D647" s="51">
        <v>67.0</v>
      </c>
      <c r="E647" s="52" t="s">
        <v>25</v>
      </c>
      <c r="F647" s="52" t="s">
        <v>26</v>
      </c>
      <c r="G647" s="53"/>
    </row>
    <row r="648">
      <c r="A648" s="49">
        <v>44701.525811747684</v>
      </c>
      <c r="B648" s="50">
        <v>44701.6507839351</v>
      </c>
      <c r="C648" s="51">
        <v>1.055</v>
      </c>
      <c r="D648" s="51">
        <v>67.0</v>
      </c>
      <c r="E648" s="52" t="s">
        <v>25</v>
      </c>
      <c r="F648" s="52" t="s">
        <v>26</v>
      </c>
      <c r="G648" s="53"/>
    </row>
    <row r="649">
      <c r="A649" s="49">
        <v>44701.536277210645</v>
      </c>
      <c r="B649" s="50">
        <v>44701.6612516088</v>
      </c>
      <c r="C649" s="51">
        <v>1.055</v>
      </c>
      <c r="D649" s="51">
        <v>67.0</v>
      </c>
      <c r="E649" s="52" t="s">
        <v>25</v>
      </c>
      <c r="F649" s="52" t="s">
        <v>26</v>
      </c>
      <c r="G649" s="53"/>
    </row>
    <row r="650">
      <c r="A650" s="49">
        <v>44701.5466962963</v>
      </c>
      <c r="B650" s="50">
        <v>44701.6716735879</v>
      </c>
      <c r="C650" s="51">
        <v>1.055</v>
      </c>
      <c r="D650" s="51">
        <v>68.0</v>
      </c>
      <c r="E650" s="52" t="s">
        <v>25</v>
      </c>
      <c r="F650" s="52" t="s">
        <v>26</v>
      </c>
      <c r="G650" s="53"/>
    </row>
    <row r="651">
      <c r="A651" s="49">
        <v>44701.5571278125</v>
      </c>
      <c r="B651" s="50">
        <v>44701.6821072106</v>
      </c>
      <c r="C651" s="51">
        <v>1.055</v>
      </c>
      <c r="D651" s="51">
        <v>68.0</v>
      </c>
      <c r="E651" s="52" t="s">
        <v>25</v>
      </c>
      <c r="F651" s="52" t="s">
        <v>26</v>
      </c>
      <c r="G651" s="53"/>
    </row>
    <row r="652">
      <c r="A652" s="49">
        <v>44701.567542916666</v>
      </c>
      <c r="B652" s="50">
        <v>44701.6925275578</v>
      </c>
      <c r="C652" s="51">
        <v>1.055</v>
      </c>
      <c r="D652" s="51">
        <v>68.0</v>
      </c>
      <c r="E652" s="52" t="s">
        <v>25</v>
      </c>
      <c r="F652" s="52" t="s">
        <v>26</v>
      </c>
      <c r="G652" s="53"/>
    </row>
    <row r="653">
      <c r="A653" s="49">
        <v>44701.577976053246</v>
      </c>
      <c r="B653" s="50">
        <v>44701.7029498958</v>
      </c>
      <c r="C653" s="51">
        <v>1.055</v>
      </c>
      <c r="D653" s="51">
        <v>68.0</v>
      </c>
      <c r="E653" s="52" t="s">
        <v>25</v>
      </c>
      <c r="F653" s="52" t="s">
        <v>26</v>
      </c>
      <c r="G653" s="53"/>
    </row>
    <row r="654">
      <c r="A654" s="49">
        <v>44701.58842078704</v>
      </c>
      <c r="B654" s="50">
        <v>44701.7133937152</v>
      </c>
      <c r="C654" s="51">
        <v>1.055</v>
      </c>
      <c r="D654" s="51">
        <v>68.0</v>
      </c>
      <c r="E654" s="52" t="s">
        <v>25</v>
      </c>
      <c r="F654" s="52" t="s">
        <v>26</v>
      </c>
      <c r="G654" s="53"/>
    </row>
    <row r="655">
      <c r="A655" s="49">
        <v>44701.59884126157</v>
      </c>
      <c r="B655" s="50">
        <v>44701.7238164699</v>
      </c>
      <c r="C655" s="51">
        <v>1.055</v>
      </c>
      <c r="D655" s="51">
        <v>68.0</v>
      </c>
      <c r="E655" s="52" t="s">
        <v>25</v>
      </c>
      <c r="F655" s="52" t="s">
        <v>26</v>
      </c>
      <c r="G655" s="53"/>
    </row>
    <row r="656">
      <c r="A656" s="49">
        <v>44701.60926474537</v>
      </c>
      <c r="B656" s="50">
        <v>44701.7342381713</v>
      </c>
      <c r="C656" s="51">
        <v>1.055</v>
      </c>
      <c r="D656" s="51">
        <v>68.0</v>
      </c>
      <c r="E656" s="52" t="s">
        <v>25</v>
      </c>
      <c r="F656" s="52" t="s">
        <v>26</v>
      </c>
      <c r="G656" s="53"/>
    </row>
    <row r="657">
      <c r="A657" s="49">
        <v>44701.61968321759</v>
      </c>
      <c r="B657" s="50">
        <v>44701.7446592476</v>
      </c>
      <c r="C657" s="51">
        <v>1.055</v>
      </c>
      <c r="D657" s="51">
        <v>68.0</v>
      </c>
      <c r="E657" s="52" t="s">
        <v>25</v>
      </c>
      <c r="F657" s="52" t="s">
        <v>26</v>
      </c>
      <c r="G657" s="53"/>
    </row>
    <row r="658">
      <c r="A658" s="49">
        <v>44701.63010744213</v>
      </c>
      <c r="B658" s="50">
        <v>44701.7550812847</v>
      </c>
      <c r="C658" s="51">
        <v>1.054</v>
      </c>
      <c r="D658" s="51">
        <v>68.0</v>
      </c>
      <c r="E658" s="52" t="s">
        <v>25</v>
      </c>
      <c r="F658" s="52" t="s">
        <v>26</v>
      </c>
      <c r="G658" s="53"/>
    </row>
    <row r="659">
      <c r="A659" s="49">
        <v>44701.64052427083</v>
      </c>
      <c r="B659" s="50">
        <v>44701.7655024537</v>
      </c>
      <c r="C659" s="51">
        <v>1.055</v>
      </c>
      <c r="D659" s="51">
        <v>68.0</v>
      </c>
      <c r="E659" s="52" t="s">
        <v>25</v>
      </c>
      <c r="F659" s="52" t="s">
        <v>26</v>
      </c>
      <c r="G659" s="53"/>
    </row>
    <row r="660">
      <c r="A660" s="49">
        <v>44701.650974895834</v>
      </c>
      <c r="B660" s="50">
        <v>44701.7759482523</v>
      </c>
      <c r="C660" s="51">
        <v>1.054</v>
      </c>
      <c r="D660" s="51">
        <v>68.0</v>
      </c>
      <c r="E660" s="52" t="s">
        <v>25</v>
      </c>
      <c r="F660" s="52" t="s">
        <v>26</v>
      </c>
      <c r="G660" s="53"/>
    </row>
    <row r="661">
      <c r="A661" s="49">
        <v>44701.66139542824</v>
      </c>
      <c r="B661" s="50">
        <v>44701.7863689236</v>
      </c>
      <c r="C661" s="51">
        <v>1.054</v>
      </c>
      <c r="D661" s="51">
        <v>68.0</v>
      </c>
      <c r="E661" s="52" t="s">
        <v>25</v>
      </c>
      <c r="F661" s="52" t="s">
        <v>26</v>
      </c>
      <c r="G661" s="53"/>
    </row>
    <row r="662">
      <c r="A662" s="49">
        <v>44701.671816608796</v>
      </c>
      <c r="B662" s="50">
        <v>44701.7967921527</v>
      </c>
      <c r="C662" s="51">
        <v>1.054</v>
      </c>
      <c r="D662" s="51">
        <v>68.0</v>
      </c>
      <c r="E662" s="52" t="s">
        <v>25</v>
      </c>
      <c r="F662" s="52" t="s">
        <v>26</v>
      </c>
      <c r="G662" s="53"/>
    </row>
    <row r="663">
      <c r="A663" s="49">
        <v>44701.68223262731</v>
      </c>
      <c r="B663" s="50">
        <v>44701.8072129861</v>
      </c>
      <c r="C663" s="51">
        <v>1.054</v>
      </c>
      <c r="D663" s="51">
        <v>68.0</v>
      </c>
      <c r="E663" s="52" t="s">
        <v>25</v>
      </c>
      <c r="F663" s="52" t="s">
        <v>26</v>
      </c>
      <c r="G663" s="53"/>
    </row>
    <row r="664">
      <c r="A664" s="49">
        <v>44701.69265295139</v>
      </c>
      <c r="B664" s="50">
        <v>44701.8176340162</v>
      </c>
      <c r="C664" s="51">
        <v>1.054</v>
      </c>
      <c r="D664" s="51">
        <v>68.0</v>
      </c>
      <c r="E664" s="52" t="s">
        <v>25</v>
      </c>
      <c r="F664" s="52" t="s">
        <v>26</v>
      </c>
      <c r="G664" s="53"/>
    </row>
    <row r="665">
      <c r="A665" s="49">
        <v>44701.70308197917</v>
      </c>
      <c r="B665" s="50">
        <v>44701.8280553819</v>
      </c>
      <c r="C665" s="51">
        <v>1.054</v>
      </c>
      <c r="D665" s="51">
        <v>68.0</v>
      </c>
      <c r="E665" s="52" t="s">
        <v>25</v>
      </c>
      <c r="F665" s="52" t="s">
        <v>26</v>
      </c>
      <c r="G665" s="53"/>
    </row>
    <row r="666">
      <c r="A666" s="49">
        <v>44701.71351929398</v>
      </c>
      <c r="B666" s="50">
        <v>44701.8384903935</v>
      </c>
      <c r="C666" s="51">
        <v>1.054</v>
      </c>
      <c r="D666" s="51">
        <v>68.0</v>
      </c>
      <c r="E666" s="52" t="s">
        <v>25</v>
      </c>
      <c r="F666" s="52" t="s">
        <v>26</v>
      </c>
      <c r="G666" s="53"/>
    </row>
    <row r="667">
      <c r="A667" s="49">
        <v>44701.72393471065</v>
      </c>
      <c r="B667" s="50">
        <v>44701.8489124421</v>
      </c>
      <c r="C667" s="51">
        <v>1.054</v>
      </c>
      <c r="D667" s="51">
        <v>68.0</v>
      </c>
      <c r="E667" s="52" t="s">
        <v>25</v>
      </c>
      <c r="F667" s="52" t="s">
        <v>26</v>
      </c>
      <c r="G667" s="53"/>
    </row>
    <row r="668">
      <c r="A668" s="49">
        <v>44701.734362442134</v>
      </c>
      <c r="B668" s="50">
        <v>44701.8593455671</v>
      </c>
      <c r="C668" s="51">
        <v>1.054</v>
      </c>
      <c r="D668" s="51">
        <v>68.0</v>
      </c>
      <c r="E668" s="52" t="s">
        <v>25</v>
      </c>
      <c r="F668" s="52" t="s">
        <v>26</v>
      </c>
      <c r="G668" s="53"/>
    </row>
    <row r="669">
      <c r="A669" s="49">
        <v>44701.74479611111</v>
      </c>
      <c r="B669" s="50">
        <v>44701.8697676504</v>
      </c>
      <c r="C669" s="51">
        <v>1.054</v>
      </c>
      <c r="D669" s="51">
        <v>68.0</v>
      </c>
      <c r="E669" s="52" t="s">
        <v>25</v>
      </c>
      <c r="F669" s="52" t="s">
        <v>26</v>
      </c>
      <c r="G669" s="53"/>
    </row>
    <row r="670">
      <c r="A670" s="49">
        <v>44701.75522091435</v>
      </c>
      <c r="B670" s="50">
        <v>44701.8801872916</v>
      </c>
      <c r="C670" s="51">
        <v>1.054</v>
      </c>
      <c r="D670" s="51">
        <v>68.0</v>
      </c>
      <c r="E670" s="52" t="s">
        <v>25</v>
      </c>
      <c r="F670" s="52" t="s">
        <v>26</v>
      </c>
      <c r="G670" s="53"/>
    </row>
    <row r="671">
      <c r="A671" s="49">
        <v>44701.765636076394</v>
      </c>
      <c r="B671" s="50">
        <v>44701.8906087037</v>
      </c>
      <c r="C671" s="51">
        <v>1.053</v>
      </c>
      <c r="D671" s="51">
        <v>68.0</v>
      </c>
      <c r="E671" s="52" t="s">
        <v>25</v>
      </c>
      <c r="F671" s="52" t="s">
        <v>26</v>
      </c>
      <c r="G671" s="53"/>
    </row>
    <row r="672">
      <c r="A672" s="49">
        <v>44701.776059247684</v>
      </c>
      <c r="B672" s="50">
        <v>44701.9010292708</v>
      </c>
      <c r="C672" s="51">
        <v>1.054</v>
      </c>
      <c r="D672" s="51">
        <v>68.0</v>
      </c>
      <c r="E672" s="52" t="s">
        <v>25</v>
      </c>
      <c r="F672" s="52" t="s">
        <v>26</v>
      </c>
      <c r="G672" s="53"/>
    </row>
    <row r="673">
      <c r="A673" s="49">
        <v>44701.786467777776</v>
      </c>
      <c r="B673" s="50">
        <v>44701.9114494328</v>
      </c>
      <c r="C673" s="51">
        <v>1.053</v>
      </c>
      <c r="D673" s="51">
        <v>68.0</v>
      </c>
      <c r="E673" s="52" t="s">
        <v>25</v>
      </c>
      <c r="F673" s="52" t="s">
        <v>26</v>
      </c>
      <c r="G673" s="53"/>
    </row>
    <row r="674">
      <c r="A674" s="49">
        <v>44701.79691070602</v>
      </c>
      <c r="B674" s="50">
        <v>44701.921883287</v>
      </c>
      <c r="C674" s="51">
        <v>1.053</v>
      </c>
      <c r="D674" s="51">
        <v>68.0</v>
      </c>
      <c r="E674" s="52" t="s">
        <v>25</v>
      </c>
      <c r="F674" s="52" t="s">
        <v>26</v>
      </c>
      <c r="G674" s="53"/>
    </row>
    <row r="675">
      <c r="A675" s="49">
        <v>44701.80733614584</v>
      </c>
      <c r="B675" s="50">
        <v>44701.9323055324</v>
      </c>
      <c r="C675" s="51">
        <v>1.053</v>
      </c>
      <c r="D675" s="51">
        <v>68.0</v>
      </c>
      <c r="E675" s="52" t="s">
        <v>25</v>
      </c>
      <c r="F675" s="52" t="s">
        <v>26</v>
      </c>
      <c r="G675" s="53"/>
    </row>
    <row r="676">
      <c r="A676" s="49">
        <v>44701.81776503472</v>
      </c>
      <c r="B676" s="50">
        <v>44701.9427402083</v>
      </c>
      <c r="C676" s="51">
        <v>1.053</v>
      </c>
      <c r="D676" s="51">
        <v>68.0</v>
      </c>
      <c r="E676" s="52" t="s">
        <v>25</v>
      </c>
      <c r="F676" s="52" t="s">
        <v>26</v>
      </c>
      <c r="G676" s="53"/>
    </row>
    <row r="677">
      <c r="A677" s="49">
        <v>44701.828193912035</v>
      </c>
      <c r="B677" s="50">
        <v>44701.9531616666</v>
      </c>
      <c r="C677" s="51">
        <v>1.053</v>
      </c>
      <c r="D677" s="51">
        <v>68.0</v>
      </c>
      <c r="E677" s="52" t="s">
        <v>25</v>
      </c>
      <c r="F677" s="52" t="s">
        <v>26</v>
      </c>
      <c r="G677" s="53"/>
    </row>
    <row r="678">
      <c r="A678" s="49">
        <v>44701.83860181713</v>
      </c>
      <c r="B678" s="50">
        <v>44701.9635819676</v>
      </c>
      <c r="C678" s="51">
        <v>1.053</v>
      </c>
      <c r="D678" s="51">
        <v>68.0</v>
      </c>
      <c r="E678" s="52" t="s">
        <v>25</v>
      </c>
      <c r="F678" s="52" t="s">
        <v>26</v>
      </c>
      <c r="G678" s="53"/>
    </row>
    <row r="679">
      <c r="A679" s="49">
        <v>44701.849079120366</v>
      </c>
      <c r="B679" s="50">
        <v>44701.9740500347</v>
      </c>
      <c r="C679" s="51">
        <v>1.053</v>
      </c>
      <c r="D679" s="51">
        <v>68.0</v>
      </c>
      <c r="E679" s="52" t="s">
        <v>25</v>
      </c>
      <c r="F679" s="52" t="s">
        <v>26</v>
      </c>
      <c r="G679" s="53"/>
    </row>
    <row r="680">
      <c r="A680" s="49">
        <v>44701.85950111111</v>
      </c>
      <c r="B680" s="50">
        <v>44701.9844714583</v>
      </c>
      <c r="C680" s="51">
        <v>1.053</v>
      </c>
      <c r="D680" s="51">
        <v>69.0</v>
      </c>
      <c r="E680" s="52" t="s">
        <v>25</v>
      </c>
      <c r="F680" s="52" t="s">
        <v>26</v>
      </c>
      <c r="G680" s="53"/>
    </row>
    <row r="681">
      <c r="A681" s="49">
        <v>44701.86992141204</v>
      </c>
      <c r="B681" s="50">
        <v>44701.9948931018</v>
      </c>
      <c r="C681" s="51">
        <v>1.053</v>
      </c>
      <c r="D681" s="51">
        <v>69.0</v>
      </c>
      <c r="E681" s="52" t="s">
        <v>25</v>
      </c>
      <c r="F681" s="52" t="s">
        <v>26</v>
      </c>
      <c r="G681" s="53"/>
    </row>
    <row r="682">
      <c r="A682" s="49">
        <v>44701.880344942125</v>
      </c>
      <c r="B682" s="50">
        <v>44702.0053165046</v>
      </c>
      <c r="C682" s="51">
        <v>1.053</v>
      </c>
      <c r="D682" s="51">
        <v>69.0</v>
      </c>
      <c r="E682" s="52" t="s">
        <v>25</v>
      </c>
      <c r="F682" s="52" t="s">
        <v>26</v>
      </c>
      <c r="G682" s="53"/>
    </row>
    <row r="683">
      <c r="A683" s="49">
        <v>44701.89076260416</v>
      </c>
      <c r="B683" s="50">
        <v>44702.0157376504</v>
      </c>
      <c r="C683" s="51">
        <v>1.053</v>
      </c>
      <c r="D683" s="51">
        <v>69.0</v>
      </c>
      <c r="E683" s="52" t="s">
        <v>25</v>
      </c>
      <c r="F683" s="52" t="s">
        <v>26</v>
      </c>
      <c r="G683" s="53"/>
    </row>
    <row r="684">
      <c r="A684" s="49">
        <v>44701.901197314815</v>
      </c>
      <c r="B684" s="50">
        <v>44702.0261703819</v>
      </c>
      <c r="C684" s="51">
        <v>1.052</v>
      </c>
      <c r="D684" s="51">
        <v>69.0</v>
      </c>
      <c r="E684" s="52" t="s">
        <v>25</v>
      </c>
      <c r="F684" s="52" t="s">
        <v>26</v>
      </c>
      <c r="G684" s="53"/>
    </row>
    <row r="685">
      <c r="A685" s="49">
        <v>44701.911628472226</v>
      </c>
      <c r="B685" s="50">
        <v>44702.0366023842</v>
      </c>
      <c r="C685" s="51">
        <v>1.052</v>
      </c>
      <c r="D685" s="51">
        <v>69.0</v>
      </c>
      <c r="E685" s="52" t="s">
        <v>25</v>
      </c>
      <c r="F685" s="52" t="s">
        <v>26</v>
      </c>
      <c r="G685" s="53"/>
    </row>
    <row r="686">
      <c r="A686" s="49">
        <v>44701.92205170139</v>
      </c>
      <c r="B686" s="50">
        <v>44702.0470237384</v>
      </c>
      <c r="C686" s="51">
        <v>1.052</v>
      </c>
      <c r="D686" s="51">
        <v>69.0</v>
      </c>
      <c r="E686" s="52" t="s">
        <v>25</v>
      </c>
      <c r="F686" s="52" t="s">
        <v>26</v>
      </c>
      <c r="G686" s="53"/>
    </row>
    <row r="687">
      <c r="A687" s="49">
        <v>44701.9324746875</v>
      </c>
      <c r="B687" s="50">
        <v>44702.0574460995</v>
      </c>
      <c r="C687" s="51">
        <v>1.052</v>
      </c>
      <c r="D687" s="51">
        <v>69.0</v>
      </c>
      <c r="E687" s="52" t="s">
        <v>25</v>
      </c>
      <c r="F687" s="52" t="s">
        <v>26</v>
      </c>
      <c r="G687" s="53"/>
    </row>
    <row r="688">
      <c r="A688" s="49">
        <v>44701.94289759259</v>
      </c>
      <c r="B688" s="50">
        <v>44702.0678682407</v>
      </c>
      <c r="C688" s="51">
        <v>1.052</v>
      </c>
      <c r="D688" s="51">
        <v>69.0</v>
      </c>
      <c r="E688" s="52" t="s">
        <v>25</v>
      </c>
      <c r="F688" s="52" t="s">
        <v>26</v>
      </c>
      <c r="G688" s="53"/>
    </row>
    <row r="689">
      <c r="A689" s="49">
        <v>44701.9533178125</v>
      </c>
      <c r="B689" s="50">
        <v>44702.0782884259</v>
      </c>
      <c r="C689" s="51">
        <v>1.052</v>
      </c>
      <c r="D689" s="51">
        <v>69.0</v>
      </c>
      <c r="E689" s="52" t="s">
        <v>25</v>
      </c>
      <c r="F689" s="52" t="s">
        <v>26</v>
      </c>
      <c r="G689" s="53"/>
    </row>
    <row r="690">
      <c r="A690" s="49">
        <v>44701.963734861114</v>
      </c>
      <c r="B690" s="50">
        <v>44702.0887105555</v>
      </c>
      <c r="C690" s="51">
        <v>1.052</v>
      </c>
      <c r="D690" s="51">
        <v>69.0</v>
      </c>
      <c r="E690" s="52" t="s">
        <v>25</v>
      </c>
      <c r="F690" s="52" t="s">
        <v>26</v>
      </c>
      <c r="G690" s="53"/>
    </row>
    <row r="691">
      <c r="A691" s="49">
        <v>44701.974154745374</v>
      </c>
      <c r="B691" s="50">
        <v>44702.0991309606</v>
      </c>
      <c r="C691" s="51">
        <v>1.052</v>
      </c>
      <c r="D691" s="51">
        <v>69.0</v>
      </c>
      <c r="E691" s="52" t="s">
        <v>25</v>
      </c>
      <c r="F691" s="52" t="s">
        <v>26</v>
      </c>
      <c r="G691" s="53"/>
    </row>
    <row r="692">
      <c r="A692" s="49">
        <v>44701.984574918984</v>
      </c>
      <c r="B692" s="50">
        <v>44702.1095514236</v>
      </c>
      <c r="C692" s="51">
        <v>1.052</v>
      </c>
      <c r="D692" s="51">
        <v>69.0</v>
      </c>
      <c r="E692" s="52" t="s">
        <v>25</v>
      </c>
      <c r="F692" s="52" t="s">
        <v>26</v>
      </c>
      <c r="G692" s="53"/>
    </row>
    <row r="693">
      <c r="A693" s="49">
        <v>44701.99499086806</v>
      </c>
      <c r="B693" s="50">
        <v>44702.1199736574</v>
      </c>
      <c r="C693" s="51">
        <v>1.052</v>
      </c>
      <c r="D693" s="51">
        <v>69.0</v>
      </c>
      <c r="E693" s="52" t="s">
        <v>25</v>
      </c>
      <c r="F693" s="52" t="s">
        <v>26</v>
      </c>
      <c r="G693" s="53"/>
    </row>
    <row r="694">
      <c r="A694" s="49">
        <v>44702.00544005787</v>
      </c>
      <c r="B694" s="50">
        <v>44702.1304094328</v>
      </c>
      <c r="C694" s="51">
        <v>1.052</v>
      </c>
      <c r="D694" s="51">
        <v>69.0</v>
      </c>
      <c r="E694" s="52" t="s">
        <v>25</v>
      </c>
      <c r="F694" s="52" t="s">
        <v>26</v>
      </c>
      <c r="G694" s="53"/>
    </row>
    <row r="695">
      <c r="A695" s="49">
        <v>44702.015865520836</v>
      </c>
      <c r="B695" s="50">
        <v>44702.1408429629</v>
      </c>
      <c r="C695" s="51">
        <v>1.052</v>
      </c>
      <c r="D695" s="51">
        <v>69.0</v>
      </c>
      <c r="E695" s="52" t="s">
        <v>25</v>
      </c>
      <c r="F695" s="52" t="s">
        <v>26</v>
      </c>
      <c r="G695" s="53"/>
    </row>
    <row r="696">
      <c r="A696" s="49">
        <v>44702.0262896875</v>
      </c>
      <c r="B696" s="50">
        <v>44702.151264375</v>
      </c>
      <c r="C696" s="51">
        <v>1.052</v>
      </c>
      <c r="D696" s="51">
        <v>69.0</v>
      </c>
      <c r="E696" s="52" t="s">
        <v>25</v>
      </c>
      <c r="F696" s="52" t="s">
        <v>26</v>
      </c>
      <c r="G696" s="53"/>
    </row>
    <row r="697">
      <c r="A697" s="49">
        <v>44702.03670702546</v>
      </c>
      <c r="B697" s="50">
        <v>44702.1616848842</v>
      </c>
      <c r="C697" s="51">
        <v>1.052</v>
      </c>
      <c r="D697" s="51">
        <v>69.0</v>
      </c>
      <c r="E697" s="52" t="s">
        <v>25</v>
      </c>
      <c r="F697" s="52" t="s">
        <v>26</v>
      </c>
      <c r="G697" s="53"/>
    </row>
    <row r="698">
      <c r="A698" s="49">
        <v>44702.04712618055</v>
      </c>
      <c r="B698" s="50">
        <v>44702.1721048148</v>
      </c>
      <c r="C698" s="51">
        <v>1.052</v>
      </c>
      <c r="D698" s="51">
        <v>69.0</v>
      </c>
      <c r="E698" s="52" t="s">
        <v>25</v>
      </c>
      <c r="F698" s="52" t="s">
        <v>26</v>
      </c>
      <c r="G698" s="53"/>
    </row>
    <row r="699">
      <c r="A699" s="49">
        <v>44702.05755863426</v>
      </c>
      <c r="B699" s="50">
        <v>44702.1825382754</v>
      </c>
      <c r="C699" s="51">
        <v>1.051</v>
      </c>
      <c r="D699" s="51">
        <v>69.0</v>
      </c>
      <c r="E699" s="52" t="s">
        <v>25</v>
      </c>
      <c r="F699" s="52" t="s">
        <v>26</v>
      </c>
      <c r="G699" s="53"/>
    </row>
    <row r="700">
      <c r="A700" s="49">
        <v>44702.06799015046</v>
      </c>
      <c r="B700" s="50">
        <v>44702.1929599652</v>
      </c>
      <c r="C700" s="51">
        <v>1.051</v>
      </c>
      <c r="D700" s="51">
        <v>69.0</v>
      </c>
      <c r="E700" s="52" t="s">
        <v>25</v>
      </c>
      <c r="F700" s="52" t="s">
        <v>26</v>
      </c>
      <c r="G700" s="53"/>
    </row>
    <row r="701">
      <c r="A701" s="49">
        <v>44702.07841120371</v>
      </c>
      <c r="B701" s="50">
        <v>44702.2033818981</v>
      </c>
      <c r="C701" s="51">
        <v>1.051</v>
      </c>
      <c r="D701" s="51">
        <v>69.0</v>
      </c>
      <c r="E701" s="52" t="s">
        <v>25</v>
      </c>
      <c r="F701" s="52" t="s">
        <v>26</v>
      </c>
      <c r="G701" s="53"/>
    </row>
    <row r="702">
      <c r="A702" s="49">
        <v>44702.08883119213</v>
      </c>
      <c r="B702" s="50">
        <v>44702.2138034722</v>
      </c>
      <c r="C702" s="51">
        <v>1.051</v>
      </c>
      <c r="D702" s="51">
        <v>69.0</v>
      </c>
      <c r="E702" s="52" t="s">
        <v>25</v>
      </c>
      <c r="F702" s="52" t="s">
        <v>26</v>
      </c>
      <c r="G702" s="53"/>
    </row>
    <row r="703">
      <c r="A703" s="49">
        <v>44702.09927335648</v>
      </c>
      <c r="B703" s="50">
        <v>44702.2242484027</v>
      </c>
      <c r="C703" s="51">
        <v>1.051</v>
      </c>
      <c r="D703" s="51">
        <v>69.0</v>
      </c>
      <c r="E703" s="52" t="s">
        <v>25</v>
      </c>
      <c r="F703" s="52" t="s">
        <v>26</v>
      </c>
      <c r="G703" s="53"/>
    </row>
    <row r="704">
      <c r="A704" s="49">
        <v>44702.109691481484</v>
      </c>
      <c r="B704" s="50">
        <v>44702.234669699</v>
      </c>
      <c r="C704" s="51">
        <v>1.051</v>
      </c>
      <c r="D704" s="51">
        <v>69.0</v>
      </c>
      <c r="E704" s="52" t="s">
        <v>25</v>
      </c>
      <c r="F704" s="52" t="s">
        <v>26</v>
      </c>
      <c r="G704" s="53"/>
    </row>
    <row r="705">
      <c r="A705" s="49">
        <v>44702.12012545139</v>
      </c>
      <c r="B705" s="50">
        <v>44702.2451005324</v>
      </c>
      <c r="C705" s="51">
        <v>1.051</v>
      </c>
      <c r="D705" s="51">
        <v>69.0</v>
      </c>
      <c r="E705" s="52" t="s">
        <v>25</v>
      </c>
      <c r="F705" s="52" t="s">
        <v>26</v>
      </c>
      <c r="G705" s="53"/>
    </row>
    <row r="706">
      <c r="A706" s="49">
        <v>44702.130546631946</v>
      </c>
      <c r="B706" s="50">
        <v>44702.2555205324</v>
      </c>
      <c r="C706" s="51">
        <v>1.051</v>
      </c>
      <c r="D706" s="51">
        <v>69.0</v>
      </c>
      <c r="E706" s="52" t="s">
        <v>25</v>
      </c>
      <c r="F706" s="52" t="s">
        <v>26</v>
      </c>
      <c r="G706" s="53"/>
    </row>
    <row r="707">
      <c r="A707" s="49">
        <v>44702.14097289352</v>
      </c>
      <c r="B707" s="50">
        <v>44702.2659534259</v>
      </c>
      <c r="C707" s="51">
        <v>1.051</v>
      </c>
      <c r="D707" s="51">
        <v>69.0</v>
      </c>
      <c r="E707" s="52" t="s">
        <v>25</v>
      </c>
      <c r="F707" s="52" t="s">
        <v>26</v>
      </c>
      <c r="G707" s="53"/>
    </row>
    <row r="708">
      <c r="A708" s="49">
        <v>44702.15139483796</v>
      </c>
      <c r="B708" s="50">
        <v>44702.2763739467</v>
      </c>
      <c r="C708" s="51">
        <v>1.051</v>
      </c>
      <c r="D708" s="51">
        <v>69.0</v>
      </c>
      <c r="E708" s="52" t="s">
        <v>25</v>
      </c>
      <c r="F708" s="52" t="s">
        <v>26</v>
      </c>
      <c r="G708" s="53"/>
    </row>
    <row r="709">
      <c r="A709" s="49">
        <v>44702.16183027778</v>
      </c>
      <c r="B709" s="50">
        <v>44702.2868067824</v>
      </c>
      <c r="C709" s="51">
        <v>1.051</v>
      </c>
      <c r="D709" s="51">
        <v>69.0</v>
      </c>
      <c r="E709" s="52" t="s">
        <v>25</v>
      </c>
      <c r="F709" s="52" t="s">
        <v>26</v>
      </c>
      <c r="G709" s="53"/>
    </row>
    <row r="710">
      <c r="A710" s="49">
        <v>44702.17226203704</v>
      </c>
      <c r="B710" s="50">
        <v>44702.2972385416</v>
      </c>
      <c r="C710" s="51">
        <v>1.05</v>
      </c>
      <c r="D710" s="51">
        <v>69.0</v>
      </c>
      <c r="E710" s="52" t="s">
        <v>25</v>
      </c>
      <c r="F710" s="52" t="s">
        <v>26</v>
      </c>
      <c r="G710" s="53"/>
    </row>
    <row r="711">
      <c r="A711" s="49">
        <v>44702.182682743056</v>
      </c>
      <c r="B711" s="50">
        <v>44702.3076604513</v>
      </c>
      <c r="C711" s="51">
        <v>1.05</v>
      </c>
      <c r="D711" s="51">
        <v>70.0</v>
      </c>
      <c r="E711" s="52" t="s">
        <v>25</v>
      </c>
      <c r="F711" s="52" t="s">
        <v>26</v>
      </c>
      <c r="G711" s="53"/>
    </row>
    <row r="712">
      <c r="A712" s="49">
        <v>44702.19314239583</v>
      </c>
      <c r="B712" s="50">
        <v>44702.3181148032</v>
      </c>
      <c r="C712" s="51">
        <v>1.05</v>
      </c>
      <c r="D712" s="51">
        <v>70.0</v>
      </c>
      <c r="E712" s="52" t="s">
        <v>25</v>
      </c>
      <c r="F712" s="52" t="s">
        <v>26</v>
      </c>
      <c r="G712" s="53"/>
    </row>
    <row r="713">
      <c r="A713" s="49">
        <v>44702.20357033565</v>
      </c>
      <c r="B713" s="50">
        <v>44702.3285479398</v>
      </c>
      <c r="C713" s="51">
        <v>1.05</v>
      </c>
      <c r="D713" s="51">
        <v>69.0</v>
      </c>
      <c r="E713" s="52" t="s">
        <v>25</v>
      </c>
      <c r="F713" s="52" t="s">
        <v>26</v>
      </c>
      <c r="G713" s="53"/>
    </row>
    <row r="714">
      <c r="A714" s="49">
        <v>44702.21400396991</v>
      </c>
      <c r="B714" s="50">
        <v>44702.338980625</v>
      </c>
      <c r="C714" s="51">
        <v>1.05</v>
      </c>
      <c r="D714" s="51">
        <v>70.0</v>
      </c>
      <c r="E714" s="52" t="s">
        <v>25</v>
      </c>
      <c r="F714" s="52" t="s">
        <v>26</v>
      </c>
      <c r="G714" s="53"/>
    </row>
    <row r="715">
      <c r="A715" s="49">
        <v>44702.22442021991</v>
      </c>
      <c r="B715" s="50">
        <v>44702.3494010069</v>
      </c>
      <c r="C715" s="51">
        <v>1.05</v>
      </c>
      <c r="D715" s="51">
        <v>70.0</v>
      </c>
      <c r="E715" s="52" t="s">
        <v>25</v>
      </c>
      <c r="F715" s="52" t="s">
        <v>26</v>
      </c>
      <c r="G715" s="53"/>
    </row>
    <row r="716">
      <c r="A716" s="49">
        <v>44702.2348408449</v>
      </c>
      <c r="B716" s="50">
        <v>44702.3598215972</v>
      </c>
      <c r="C716" s="51">
        <v>1.05</v>
      </c>
      <c r="D716" s="51">
        <v>70.0</v>
      </c>
      <c r="E716" s="52" t="s">
        <v>25</v>
      </c>
      <c r="F716" s="52" t="s">
        <v>26</v>
      </c>
      <c r="G716" s="53"/>
    </row>
    <row r="717">
      <c r="A717" s="49">
        <v>44702.245269328705</v>
      </c>
      <c r="B717" s="50">
        <v>44702.3702414814</v>
      </c>
      <c r="C717" s="51">
        <v>1.05</v>
      </c>
      <c r="D717" s="51">
        <v>70.0</v>
      </c>
      <c r="E717" s="52" t="s">
        <v>25</v>
      </c>
      <c r="F717" s="52" t="s">
        <v>26</v>
      </c>
      <c r="G717" s="53"/>
    </row>
    <row r="718">
      <c r="A718" s="49">
        <v>44702.25568943287</v>
      </c>
      <c r="B718" s="50">
        <v>44702.3806623263</v>
      </c>
      <c r="C718" s="51">
        <v>1.05</v>
      </c>
      <c r="D718" s="51">
        <v>70.0</v>
      </c>
      <c r="E718" s="52" t="s">
        <v>25</v>
      </c>
      <c r="F718" s="52" t="s">
        <v>26</v>
      </c>
      <c r="G718" s="53"/>
    </row>
    <row r="719">
      <c r="A719" s="49">
        <v>44702.26611921296</v>
      </c>
      <c r="B719" s="50">
        <v>44702.3910953935</v>
      </c>
      <c r="C719" s="51">
        <v>1.05</v>
      </c>
      <c r="D719" s="51">
        <v>69.0</v>
      </c>
      <c r="E719" s="52" t="s">
        <v>25</v>
      </c>
      <c r="F719" s="52" t="s">
        <v>26</v>
      </c>
      <c r="G719" s="53"/>
    </row>
    <row r="720">
      <c r="A720" s="49">
        <v>44702.27654506944</v>
      </c>
      <c r="B720" s="50">
        <v>44702.4015171296</v>
      </c>
      <c r="C720" s="51">
        <v>1.05</v>
      </c>
      <c r="D720" s="51">
        <v>67.0</v>
      </c>
      <c r="E720" s="52" t="s">
        <v>25</v>
      </c>
      <c r="F720" s="52" t="s">
        <v>26</v>
      </c>
      <c r="G720" s="53"/>
    </row>
    <row r="721">
      <c r="A721" s="49">
        <v>44702.286967962966</v>
      </c>
      <c r="B721" s="50">
        <v>44702.411938206</v>
      </c>
      <c r="C721" s="51">
        <v>1.05</v>
      </c>
      <c r="D721" s="51">
        <v>66.0</v>
      </c>
      <c r="E721" s="52" t="s">
        <v>25</v>
      </c>
      <c r="F721" s="52" t="s">
        <v>26</v>
      </c>
      <c r="G721" s="53"/>
    </row>
    <row r="722">
      <c r="A722" s="49">
        <v>44702.2973880787</v>
      </c>
      <c r="B722" s="50">
        <v>44702.4223588078</v>
      </c>
      <c r="C722" s="51">
        <v>1.05</v>
      </c>
      <c r="D722" s="51">
        <v>66.0</v>
      </c>
      <c r="E722" s="52" t="s">
        <v>25</v>
      </c>
      <c r="F722" s="52" t="s">
        <v>26</v>
      </c>
      <c r="G722" s="53"/>
    </row>
    <row r="723">
      <c r="A723" s="49">
        <v>44702.307807060184</v>
      </c>
      <c r="B723" s="50">
        <v>44702.4327798263</v>
      </c>
      <c r="C723" s="51">
        <v>1.05</v>
      </c>
      <c r="D723" s="51">
        <v>66.0</v>
      </c>
      <c r="E723" s="52" t="s">
        <v>25</v>
      </c>
      <c r="F723" s="52" t="s">
        <v>26</v>
      </c>
      <c r="G723" s="53"/>
    </row>
    <row r="724">
      <c r="A724" s="49">
        <v>44702.3182328125</v>
      </c>
      <c r="B724" s="50">
        <v>44702.443211655</v>
      </c>
      <c r="C724" s="51">
        <v>1.05</v>
      </c>
      <c r="D724" s="51">
        <v>66.0</v>
      </c>
      <c r="E724" s="52" t="s">
        <v>25</v>
      </c>
      <c r="F724" s="52" t="s">
        <v>26</v>
      </c>
      <c r="G724" s="53"/>
    </row>
    <row r="725">
      <c r="A725" s="49">
        <v>44702.32865974537</v>
      </c>
      <c r="B725" s="50">
        <v>44702.4536343287</v>
      </c>
      <c r="C725" s="51">
        <v>1.05</v>
      </c>
      <c r="D725" s="51">
        <v>66.0</v>
      </c>
      <c r="E725" s="52" t="s">
        <v>25</v>
      </c>
      <c r="F725" s="52" t="s">
        <v>26</v>
      </c>
      <c r="G725" s="53"/>
    </row>
    <row r="726">
      <c r="A726" s="49">
        <v>44702.33908333333</v>
      </c>
      <c r="B726" s="50">
        <v>44702.4640551736</v>
      </c>
      <c r="C726" s="51">
        <v>1.05</v>
      </c>
      <c r="D726" s="51">
        <v>66.0</v>
      </c>
      <c r="E726" s="52" t="s">
        <v>25</v>
      </c>
      <c r="F726" s="52" t="s">
        <v>26</v>
      </c>
      <c r="G726" s="53"/>
    </row>
    <row r="727">
      <c r="A727" s="49">
        <v>44702.34950473379</v>
      </c>
      <c r="B727" s="50">
        <v>44702.4744760416</v>
      </c>
      <c r="C727" s="51">
        <v>1.05</v>
      </c>
      <c r="D727" s="51">
        <v>66.0</v>
      </c>
      <c r="E727" s="52" t="s">
        <v>25</v>
      </c>
      <c r="F727" s="52" t="s">
        <v>26</v>
      </c>
      <c r="G727" s="53"/>
    </row>
    <row r="728">
      <c r="A728" s="49">
        <v>44702.35992554398</v>
      </c>
      <c r="B728" s="50">
        <v>44702.4848976851</v>
      </c>
      <c r="C728" s="51">
        <v>1.049</v>
      </c>
      <c r="D728" s="51">
        <v>66.0</v>
      </c>
      <c r="E728" s="52" t="s">
        <v>25</v>
      </c>
      <c r="F728" s="52" t="s">
        <v>26</v>
      </c>
      <c r="G728" s="53"/>
    </row>
    <row r="729">
      <c r="A729" s="49">
        <v>44702.370344016206</v>
      </c>
      <c r="B729" s="50">
        <v>44702.4953175462</v>
      </c>
      <c r="C729" s="51">
        <v>1.05</v>
      </c>
      <c r="D729" s="51">
        <v>66.0</v>
      </c>
      <c r="E729" s="52" t="s">
        <v>25</v>
      </c>
      <c r="F729" s="52" t="s">
        <v>26</v>
      </c>
      <c r="G729" s="53"/>
    </row>
    <row r="730">
      <c r="A730" s="49">
        <v>44702.38076707176</v>
      </c>
      <c r="B730" s="50">
        <v>44702.5057394328</v>
      </c>
      <c r="C730" s="51">
        <v>1.049</v>
      </c>
      <c r="D730" s="51">
        <v>66.0</v>
      </c>
      <c r="E730" s="52" t="s">
        <v>25</v>
      </c>
      <c r="F730" s="52" t="s">
        <v>26</v>
      </c>
      <c r="G730" s="53"/>
    </row>
    <row r="731">
      <c r="A731" s="49">
        <v>44702.39119197917</v>
      </c>
      <c r="B731" s="50">
        <v>44702.5161610879</v>
      </c>
      <c r="C731" s="51">
        <v>1.05</v>
      </c>
      <c r="D731" s="51">
        <v>66.0</v>
      </c>
      <c r="E731" s="52" t="s">
        <v>25</v>
      </c>
      <c r="F731" s="52" t="s">
        <v>26</v>
      </c>
      <c r="G731" s="53"/>
    </row>
    <row r="732">
      <c r="A732" s="49">
        <v>44702.401607141204</v>
      </c>
      <c r="B732" s="50">
        <v>44702.5265820717</v>
      </c>
      <c r="C732" s="51">
        <v>1.049</v>
      </c>
      <c r="D732" s="51">
        <v>66.0</v>
      </c>
      <c r="E732" s="52" t="s">
        <v>25</v>
      </c>
      <c r="F732" s="52" t="s">
        <v>26</v>
      </c>
      <c r="G732" s="53"/>
    </row>
    <row r="733">
      <c r="A733" s="49">
        <v>44702.41202929398</v>
      </c>
      <c r="B733" s="50">
        <v>44702.5370005902</v>
      </c>
      <c r="C733" s="51">
        <v>1.049</v>
      </c>
      <c r="D733" s="51">
        <v>66.0</v>
      </c>
      <c r="E733" s="52" t="s">
        <v>25</v>
      </c>
      <c r="F733" s="52" t="s">
        <v>26</v>
      </c>
      <c r="G733" s="53"/>
    </row>
    <row r="734">
      <c r="A734" s="49">
        <v>44702.422450011574</v>
      </c>
      <c r="B734" s="50">
        <v>44702.5474228819</v>
      </c>
      <c r="C734" s="51">
        <v>1.049</v>
      </c>
      <c r="D734" s="51">
        <v>66.0</v>
      </c>
      <c r="E734" s="52" t="s">
        <v>25</v>
      </c>
      <c r="F734" s="52" t="s">
        <v>26</v>
      </c>
      <c r="G734" s="53"/>
    </row>
    <row r="735">
      <c r="A735" s="49">
        <v>44702.4328689699</v>
      </c>
      <c r="B735" s="50">
        <v>44702.5578413888</v>
      </c>
      <c r="C735" s="51">
        <v>1.049</v>
      </c>
      <c r="D735" s="51">
        <v>66.0</v>
      </c>
      <c r="E735" s="52" t="s">
        <v>25</v>
      </c>
      <c r="F735" s="52" t="s">
        <v>26</v>
      </c>
      <c r="G735" s="53"/>
    </row>
    <row r="736">
      <c r="A736" s="49">
        <v>44702.44329149305</v>
      </c>
      <c r="B736" s="50">
        <v>44702.5682634027</v>
      </c>
      <c r="C736" s="51">
        <v>1.049</v>
      </c>
      <c r="D736" s="51">
        <v>66.0</v>
      </c>
      <c r="E736" s="52" t="s">
        <v>25</v>
      </c>
      <c r="F736" s="52" t="s">
        <v>26</v>
      </c>
      <c r="G736" s="53"/>
    </row>
    <row r="737">
      <c r="A737" s="49">
        <v>44702.453711168986</v>
      </c>
      <c r="B737" s="50">
        <v>44702.5786830208</v>
      </c>
      <c r="C737" s="51">
        <v>1.049</v>
      </c>
      <c r="D737" s="51">
        <v>66.0</v>
      </c>
      <c r="E737" s="52" t="s">
        <v>25</v>
      </c>
      <c r="F737" s="52" t="s">
        <v>26</v>
      </c>
      <c r="G737" s="53"/>
    </row>
    <row r="738">
      <c r="A738" s="49">
        <v>44702.46413371528</v>
      </c>
      <c r="B738" s="50">
        <v>44702.5891050694</v>
      </c>
      <c r="C738" s="51">
        <v>1.049</v>
      </c>
      <c r="D738" s="51">
        <v>66.0</v>
      </c>
      <c r="E738" s="52" t="s">
        <v>25</v>
      </c>
      <c r="F738" s="52" t="s">
        <v>26</v>
      </c>
      <c r="G738" s="53"/>
    </row>
    <row r="739">
      <c r="A739" s="49">
        <v>44702.474549328705</v>
      </c>
      <c r="B739" s="50">
        <v>44702.5995270254</v>
      </c>
      <c r="C739" s="51">
        <v>1.049</v>
      </c>
      <c r="D739" s="51">
        <v>66.0</v>
      </c>
      <c r="E739" s="52" t="s">
        <v>25</v>
      </c>
      <c r="F739" s="52" t="s">
        <v>26</v>
      </c>
      <c r="G739" s="53"/>
    </row>
    <row r="740">
      <c r="A740" s="49">
        <v>44702.48497564815</v>
      </c>
      <c r="B740" s="50">
        <v>44702.6099453009</v>
      </c>
      <c r="C740" s="51">
        <v>1.049</v>
      </c>
      <c r="D740" s="51">
        <v>66.0</v>
      </c>
      <c r="E740" s="52" t="s">
        <v>25</v>
      </c>
      <c r="F740" s="52" t="s">
        <v>26</v>
      </c>
      <c r="G740" s="53"/>
    </row>
    <row r="741">
      <c r="A741" s="49">
        <v>44702.49539699074</v>
      </c>
      <c r="B741" s="50">
        <v>44702.6203649189</v>
      </c>
      <c r="C741" s="51">
        <v>1.049</v>
      </c>
      <c r="D741" s="51">
        <v>66.0</v>
      </c>
      <c r="E741" s="52" t="s">
        <v>25</v>
      </c>
      <c r="F741" s="52" t="s">
        <v>26</v>
      </c>
      <c r="G741" s="53"/>
    </row>
    <row r="742">
      <c r="A742" s="49">
        <v>44702.50583318287</v>
      </c>
      <c r="B742" s="50">
        <v>44702.6308092361</v>
      </c>
      <c r="C742" s="51">
        <v>1.049</v>
      </c>
      <c r="D742" s="51">
        <v>66.0</v>
      </c>
      <c r="E742" s="52" t="s">
        <v>25</v>
      </c>
      <c r="F742" s="52" t="s">
        <v>26</v>
      </c>
      <c r="G742" s="53"/>
    </row>
    <row r="743">
      <c r="A743" s="49">
        <v>44702.51625731481</v>
      </c>
      <c r="B743" s="50">
        <v>44702.6412279514</v>
      </c>
      <c r="C743" s="51">
        <v>1.049</v>
      </c>
      <c r="D743" s="51">
        <v>66.0</v>
      </c>
      <c r="E743" s="52" t="s">
        <v>25</v>
      </c>
      <c r="F743" s="52" t="s">
        <v>26</v>
      </c>
      <c r="G743" s="53"/>
    </row>
    <row r="744">
      <c r="A744" s="49">
        <v>44702.5266806713</v>
      </c>
      <c r="B744" s="50">
        <v>44702.6516498263</v>
      </c>
      <c r="C744" s="51">
        <v>1.049</v>
      </c>
      <c r="D744" s="51">
        <v>66.0</v>
      </c>
      <c r="E744" s="52" t="s">
        <v>25</v>
      </c>
      <c r="F744" s="52" t="s">
        <v>26</v>
      </c>
      <c r="G744" s="53"/>
    </row>
    <row r="745">
      <c r="A745" s="49">
        <v>44702.53708947917</v>
      </c>
      <c r="B745" s="50">
        <v>44702.662071412</v>
      </c>
      <c r="C745" s="51">
        <v>1.049</v>
      </c>
      <c r="D745" s="51">
        <v>66.0</v>
      </c>
      <c r="E745" s="52" t="s">
        <v>25</v>
      </c>
      <c r="F745" s="52" t="s">
        <v>26</v>
      </c>
      <c r="G745" s="53"/>
    </row>
    <row r="746">
      <c r="A746" s="49">
        <v>44702.54753592593</v>
      </c>
      <c r="B746" s="50">
        <v>44702.6725053703</v>
      </c>
      <c r="C746" s="51">
        <v>1.049</v>
      </c>
      <c r="D746" s="51">
        <v>66.0</v>
      </c>
      <c r="E746" s="52" t="s">
        <v>25</v>
      </c>
      <c r="F746" s="52" t="s">
        <v>26</v>
      </c>
      <c r="G746" s="53"/>
    </row>
    <row r="747">
      <c r="A747" s="49">
        <v>44702.55795700231</v>
      </c>
      <c r="B747" s="50">
        <v>44702.6829275925</v>
      </c>
      <c r="C747" s="51">
        <v>1.049</v>
      </c>
      <c r="D747" s="51">
        <v>66.0</v>
      </c>
      <c r="E747" s="52" t="s">
        <v>25</v>
      </c>
      <c r="F747" s="52" t="s">
        <v>26</v>
      </c>
      <c r="G747" s="53"/>
    </row>
    <row r="748">
      <c r="A748" s="49">
        <v>44702.56838106482</v>
      </c>
      <c r="B748" s="50">
        <v>44702.6933500231</v>
      </c>
      <c r="C748" s="51">
        <v>1.049</v>
      </c>
      <c r="D748" s="51">
        <v>66.0</v>
      </c>
      <c r="E748" s="52" t="s">
        <v>25</v>
      </c>
      <c r="F748" s="52" t="s">
        <v>26</v>
      </c>
      <c r="G748" s="53"/>
    </row>
    <row r="749">
      <c r="A749" s="49">
        <v>44702.578800682866</v>
      </c>
      <c r="B749" s="50">
        <v>44702.7037718055</v>
      </c>
      <c r="C749" s="51">
        <v>1.049</v>
      </c>
      <c r="D749" s="51">
        <v>66.0</v>
      </c>
      <c r="E749" s="52" t="s">
        <v>25</v>
      </c>
      <c r="F749" s="52" t="s">
        <v>26</v>
      </c>
      <c r="G749" s="53"/>
    </row>
    <row r="750">
      <c r="A750" s="49">
        <v>44702.58922409722</v>
      </c>
      <c r="B750" s="50">
        <v>44702.7141944675</v>
      </c>
      <c r="C750" s="51">
        <v>1.048</v>
      </c>
      <c r="D750" s="51">
        <v>66.0</v>
      </c>
      <c r="E750" s="52" t="s">
        <v>25</v>
      </c>
      <c r="F750" s="52" t="s">
        <v>26</v>
      </c>
      <c r="G750" s="53"/>
    </row>
    <row r="751">
      <c r="A751" s="49">
        <v>44702.59963974537</v>
      </c>
      <c r="B751" s="50">
        <v>44702.7246151157</v>
      </c>
      <c r="C751" s="51">
        <v>1.048</v>
      </c>
      <c r="D751" s="51">
        <v>66.0</v>
      </c>
      <c r="E751" s="52" t="s">
        <v>25</v>
      </c>
      <c r="F751" s="52" t="s">
        <v>26</v>
      </c>
      <c r="G751" s="53"/>
    </row>
    <row r="752">
      <c r="A752" s="49">
        <v>44702.61006178241</v>
      </c>
      <c r="B752" s="50">
        <v>44702.7350355902</v>
      </c>
      <c r="C752" s="51">
        <v>1.049</v>
      </c>
      <c r="D752" s="51">
        <v>66.0</v>
      </c>
      <c r="E752" s="52" t="s">
        <v>25</v>
      </c>
      <c r="F752" s="52" t="s">
        <v>26</v>
      </c>
      <c r="G752" s="53"/>
    </row>
    <row r="753">
      <c r="A753" s="49">
        <v>44702.620481157406</v>
      </c>
      <c r="B753" s="50">
        <v>44702.7454579745</v>
      </c>
      <c r="C753" s="51">
        <v>1.048</v>
      </c>
      <c r="D753" s="51">
        <v>66.0</v>
      </c>
      <c r="E753" s="52" t="s">
        <v>25</v>
      </c>
      <c r="F753" s="52" t="s">
        <v>26</v>
      </c>
      <c r="G753" s="53"/>
    </row>
    <row r="754">
      <c r="A754" s="49">
        <v>44702.63090451389</v>
      </c>
      <c r="B754" s="50">
        <v>44702.7558776736</v>
      </c>
      <c r="C754" s="51">
        <v>1.048</v>
      </c>
      <c r="D754" s="51">
        <v>66.0</v>
      </c>
      <c r="E754" s="52" t="s">
        <v>25</v>
      </c>
      <c r="F754" s="52" t="s">
        <v>26</v>
      </c>
      <c r="G754" s="53"/>
    </row>
    <row r="755">
      <c r="A755" s="49">
        <v>44702.641338807865</v>
      </c>
      <c r="B755" s="50">
        <v>44702.7663091319</v>
      </c>
      <c r="C755" s="51">
        <v>1.048</v>
      </c>
      <c r="D755" s="51">
        <v>67.0</v>
      </c>
      <c r="E755" s="52" t="s">
        <v>25</v>
      </c>
      <c r="F755" s="52" t="s">
        <v>26</v>
      </c>
      <c r="G755" s="53"/>
    </row>
    <row r="756">
      <c r="A756" s="49">
        <v>44702.6517584838</v>
      </c>
      <c r="B756" s="50">
        <v>44702.7767306597</v>
      </c>
      <c r="C756" s="51">
        <v>1.048</v>
      </c>
      <c r="D756" s="51">
        <v>67.0</v>
      </c>
      <c r="E756" s="52" t="s">
        <v>25</v>
      </c>
      <c r="F756" s="52" t="s">
        <v>26</v>
      </c>
      <c r="G756" s="53"/>
    </row>
    <row r="757">
      <c r="A757" s="49">
        <v>44702.662217164354</v>
      </c>
      <c r="B757" s="50">
        <v>44702.7871865162</v>
      </c>
      <c r="C757" s="51">
        <v>1.048</v>
      </c>
      <c r="D757" s="51">
        <v>67.0</v>
      </c>
      <c r="E757" s="52" t="s">
        <v>25</v>
      </c>
      <c r="F757" s="52" t="s">
        <v>26</v>
      </c>
      <c r="G757" s="53"/>
    </row>
    <row r="758">
      <c r="A758" s="49">
        <v>44702.67264390046</v>
      </c>
      <c r="B758" s="50">
        <v>44702.7976174652</v>
      </c>
      <c r="C758" s="51">
        <v>1.048</v>
      </c>
      <c r="D758" s="51">
        <v>67.0</v>
      </c>
      <c r="E758" s="52" t="s">
        <v>25</v>
      </c>
      <c r="F758" s="52" t="s">
        <v>26</v>
      </c>
      <c r="G758" s="53"/>
    </row>
    <row r="759">
      <c r="A759" s="49">
        <v>44702.68306329861</v>
      </c>
      <c r="B759" s="50">
        <v>44702.8080383217</v>
      </c>
      <c r="C759" s="51">
        <v>1.048</v>
      </c>
      <c r="D759" s="51">
        <v>67.0</v>
      </c>
      <c r="E759" s="52" t="s">
        <v>25</v>
      </c>
      <c r="F759" s="52" t="s">
        <v>26</v>
      </c>
      <c r="G759" s="53"/>
    </row>
    <row r="760">
      <c r="A760" s="49">
        <v>44702.69348233796</v>
      </c>
      <c r="B760" s="50">
        <v>44702.8184590277</v>
      </c>
      <c r="C760" s="51">
        <v>1.048</v>
      </c>
      <c r="D760" s="51">
        <v>67.0</v>
      </c>
      <c r="E760" s="52" t="s">
        <v>25</v>
      </c>
      <c r="F760" s="52" t="s">
        <v>26</v>
      </c>
      <c r="G760" s="53"/>
    </row>
    <row r="761">
      <c r="A761" s="49">
        <v>44702.70390086806</v>
      </c>
      <c r="B761" s="50">
        <v>44702.8288808217</v>
      </c>
      <c r="C761" s="51">
        <v>1.048</v>
      </c>
      <c r="D761" s="51">
        <v>67.0</v>
      </c>
      <c r="E761" s="52" t="s">
        <v>25</v>
      </c>
      <c r="F761" s="52" t="s">
        <v>26</v>
      </c>
      <c r="G761" s="53"/>
    </row>
    <row r="762">
      <c r="A762" s="49">
        <v>44702.71433150463</v>
      </c>
      <c r="B762" s="50">
        <v>44702.8393018981</v>
      </c>
      <c r="C762" s="51">
        <v>1.048</v>
      </c>
      <c r="D762" s="51">
        <v>67.0</v>
      </c>
      <c r="E762" s="52" t="s">
        <v>25</v>
      </c>
      <c r="F762" s="52" t="s">
        <v>26</v>
      </c>
      <c r="G762" s="53"/>
    </row>
    <row r="763">
      <c r="A763" s="49">
        <v>44702.724756979165</v>
      </c>
      <c r="B763" s="50">
        <v>44702.8497235995</v>
      </c>
      <c r="C763" s="51">
        <v>1.048</v>
      </c>
      <c r="D763" s="51">
        <v>67.0</v>
      </c>
      <c r="E763" s="52" t="s">
        <v>25</v>
      </c>
      <c r="F763" s="52" t="s">
        <v>26</v>
      </c>
      <c r="G763" s="53"/>
    </row>
    <row r="764">
      <c r="A764" s="49">
        <v>44702.735172395835</v>
      </c>
      <c r="B764" s="50">
        <v>44702.8601446412</v>
      </c>
      <c r="C764" s="51">
        <v>1.048</v>
      </c>
      <c r="D764" s="51">
        <v>67.0</v>
      </c>
      <c r="E764" s="52" t="s">
        <v>25</v>
      </c>
      <c r="F764" s="52" t="s">
        <v>26</v>
      </c>
      <c r="G764" s="53"/>
    </row>
    <row r="765">
      <c r="A765" s="49">
        <v>44702.74559546296</v>
      </c>
      <c r="B765" s="50">
        <v>44702.870565787</v>
      </c>
      <c r="C765" s="51">
        <v>1.048</v>
      </c>
      <c r="D765" s="51">
        <v>67.0</v>
      </c>
      <c r="E765" s="52" t="s">
        <v>25</v>
      </c>
      <c r="F765" s="52" t="s">
        <v>26</v>
      </c>
      <c r="G765" s="53"/>
    </row>
    <row r="766">
      <c r="A766" s="49">
        <v>44702.75601519676</v>
      </c>
      <c r="B766" s="50">
        <v>44702.8809871296</v>
      </c>
      <c r="C766" s="51">
        <v>1.048</v>
      </c>
      <c r="D766" s="51">
        <v>67.0</v>
      </c>
      <c r="E766" s="52" t="s">
        <v>25</v>
      </c>
      <c r="F766" s="52" t="s">
        <v>26</v>
      </c>
      <c r="G766" s="53"/>
    </row>
    <row r="767">
      <c r="A767" s="49">
        <v>44702.76643484954</v>
      </c>
      <c r="B767" s="50">
        <v>44702.89140625</v>
      </c>
      <c r="C767" s="51">
        <v>1.048</v>
      </c>
      <c r="D767" s="51">
        <v>67.0</v>
      </c>
      <c r="E767" s="52" t="s">
        <v>25</v>
      </c>
      <c r="F767" s="52" t="s">
        <v>26</v>
      </c>
      <c r="G767" s="53"/>
    </row>
    <row r="768">
      <c r="A768" s="49">
        <v>44702.77687785879</v>
      </c>
      <c r="B768" s="50">
        <v>44702.9018515972</v>
      </c>
      <c r="C768" s="51">
        <v>1.048</v>
      </c>
      <c r="D768" s="51">
        <v>67.0</v>
      </c>
      <c r="E768" s="52" t="s">
        <v>25</v>
      </c>
      <c r="F768" s="52" t="s">
        <v>26</v>
      </c>
      <c r="G768" s="53"/>
    </row>
    <row r="769">
      <c r="A769" s="49">
        <v>44702.78729833334</v>
      </c>
      <c r="B769" s="50">
        <v>44702.9122729166</v>
      </c>
      <c r="C769" s="51">
        <v>1.048</v>
      </c>
      <c r="D769" s="51">
        <v>67.0</v>
      </c>
      <c r="E769" s="52" t="s">
        <v>25</v>
      </c>
      <c r="F769" s="52" t="s">
        <v>26</v>
      </c>
      <c r="G769" s="53"/>
    </row>
    <row r="770">
      <c r="A770" s="49">
        <v>44702.797719571754</v>
      </c>
      <c r="B770" s="50">
        <v>44702.9226937037</v>
      </c>
      <c r="C770" s="51">
        <v>1.047</v>
      </c>
      <c r="D770" s="51">
        <v>67.0</v>
      </c>
      <c r="E770" s="52" t="s">
        <v>25</v>
      </c>
      <c r="F770" s="52" t="s">
        <v>26</v>
      </c>
      <c r="G770" s="53"/>
    </row>
    <row r="771">
      <c r="A771" s="49">
        <v>44702.80815256944</v>
      </c>
      <c r="B771" s="50">
        <v>44702.9331260532</v>
      </c>
      <c r="C771" s="51">
        <v>1.047</v>
      </c>
      <c r="D771" s="51">
        <v>67.0</v>
      </c>
      <c r="E771" s="52" t="s">
        <v>25</v>
      </c>
      <c r="F771" s="52" t="s">
        <v>26</v>
      </c>
      <c r="G771" s="53"/>
    </row>
    <row r="772">
      <c r="A772" s="49">
        <v>44702.81857434028</v>
      </c>
      <c r="B772" s="50">
        <v>44702.9435472569</v>
      </c>
      <c r="C772" s="51">
        <v>1.048</v>
      </c>
      <c r="D772" s="51">
        <v>67.0</v>
      </c>
      <c r="E772" s="52" t="s">
        <v>25</v>
      </c>
      <c r="F772" s="52" t="s">
        <v>26</v>
      </c>
      <c r="G772" s="53"/>
    </row>
    <row r="773">
      <c r="A773" s="49">
        <v>44702.828995289354</v>
      </c>
      <c r="B773" s="50">
        <v>44702.9539663773</v>
      </c>
      <c r="C773" s="51">
        <v>1.047</v>
      </c>
      <c r="D773" s="51">
        <v>67.0</v>
      </c>
      <c r="E773" s="52" t="s">
        <v>25</v>
      </c>
      <c r="F773" s="52" t="s">
        <v>26</v>
      </c>
      <c r="G773" s="53"/>
    </row>
    <row r="774">
      <c r="A774" s="49">
        <v>44702.83942157407</v>
      </c>
      <c r="B774" s="50">
        <v>44702.9643889814</v>
      </c>
      <c r="C774" s="51">
        <v>1.047</v>
      </c>
      <c r="D774" s="51">
        <v>67.0</v>
      </c>
      <c r="E774" s="52" t="s">
        <v>25</v>
      </c>
      <c r="F774" s="52" t="s">
        <v>26</v>
      </c>
      <c r="G774" s="53"/>
    </row>
    <row r="775">
      <c r="A775" s="49">
        <v>44702.84986086805</v>
      </c>
      <c r="B775" s="50">
        <v>44702.9748337268</v>
      </c>
      <c r="C775" s="51">
        <v>1.047</v>
      </c>
      <c r="D775" s="51">
        <v>67.0</v>
      </c>
      <c r="E775" s="52" t="s">
        <v>25</v>
      </c>
      <c r="F775" s="52" t="s">
        <v>26</v>
      </c>
      <c r="G775" s="53"/>
    </row>
    <row r="776">
      <c r="A776" s="49">
        <v>44702.86028121528</v>
      </c>
      <c r="B776" s="50">
        <v>44702.9852544213</v>
      </c>
      <c r="C776" s="51">
        <v>1.047</v>
      </c>
      <c r="D776" s="51">
        <v>67.0</v>
      </c>
      <c r="E776" s="52" t="s">
        <v>25</v>
      </c>
      <c r="F776" s="52" t="s">
        <v>26</v>
      </c>
      <c r="G776" s="53"/>
    </row>
    <row r="777">
      <c r="A777" s="49">
        <v>44702.87069553241</v>
      </c>
      <c r="B777" s="50">
        <v>44702.9956736111</v>
      </c>
      <c r="C777" s="51">
        <v>1.047</v>
      </c>
      <c r="D777" s="51">
        <v>67.0</v>
      </c>
      <c r="E777" s="52" t="s">
        <v>25</v>
      </c>
      <c r="F777" s="52" t="s">
        <v>26</v>
      </c>
      <c r="G777" s="53"/>
    </row>
    <row r="778">
      <c r="A778" s="49">
        <v>44702.88114322917</v>
      </c>
      <c r="B778" s="50">
        <v>44703.0061173842</v>
      </c>
      <c r="C778" s="51">
        <v>1.047</v>
      </c>
      <c r="D778" s="51">
        <v>67.0</v>
      </c>
      <c r="E778" s="52" t="s">
        <v>25</v>
      </c>
      <c r="F778" s="52" t="s">
        <v>26</v>
      </c>
      <c r="G778" s="53"/>
    </row>
    <row r="779">
      <c r="A779" s="49">
        <v>44702.89156876157</v>
      </c>
      <c r="B779" s="50">
        <v>44703.0165516435</v>
      </c>
      <c r="C779" s="51">
        <v>1.047</v>
      </c>
      <c r="D779" s="51">
        <v>67.0</v>
      </c>
      <c r="E779" s="52" t="s">
        <v>25</v>
      </c>
      <c r="F779" s="52" t="s">
        <v>26</v>
      </c>
      <c r="G779" s="53"/>
    </row>
    <row r="780">
      <c r="A780" s="49">
        <v>44702.90200371528</v>
      </c>
      <c r="B780" s="50">
        <v>44703.0269739351</v>
      </c>
      <c r="C780" s="51">
        <v>1.047</v>
      </c>
      <c r="D780" s="51">
        <v>68.0</v>
      </c>
      <c r="E780" s="52" t="s">
        <v>25</v>
      </c>
      <c r="F780" s="52" t="s">
        <v>26</v>
      </c>
      <c r="G780" s="53"/>
    </row>
    <row r="781">
      <c r="A781" s="49">
        <v>44702.91242167824</v>
      </c>
      <c r="B781" s="50">
        <v>44703.0373962731</v>
      </c>
      <c r="C781" s="51">
        <v>1.047</v>
      </c>
      <c r="D781" s="51">
        <v>67.0</v>
      </c>
      <c r="E781" s="52" t="s">
        <v>25</v>
      </c>
      <c r="F781" s="52" t="s">
        <v>26</v>
      </c>
      <c r="G781" s="53"/>
    </row>
    <row r="782">
      <c r="A782" s="49">
        <v>44702.92285391204</v>
      </c>
      <c r="B782" s="50">
        <v>44703.0478305439</v>
      </c>
      <c r="C782" s="51">
        <v>1.047</v>
      </c>
      <c r="D782" s="51">
        <v>67.0</v>
      </c>
      <c r="E782" s="52" t="s">
        <v>25</v>
      </c>
      <c r="F782" s="52" t="s">
        <v>26</v>
      </c>
      <c r="G782" s="53"/>
    </row>
    <row r="783">
      <c r="A783" s="49">
        <v>44702.93328681713</v>
      </c>
      <c r="B783" s="50">
        <v>44703.0582629513</v>
      </c>
      <c r="C783" s="51">
        <v>1.047</v>
      </c>
      <c r="D783" s="51">
        <v>68.0</v>
      </c>
      <c r="E783" s="52" t="s">
        <v>25</v>
      </c>
      <c r="F783" s="52" t="s">
        <v>26</v>
      </c>
      <c r="G783" s="53"/>
    </row>
    <row r="784">
      <c r="A784" s="49">
        <v>44702.943714918976</v>
      </c>
      <c r="B784" s="50">
        <v>44703.0686868287</v>
      </c>
      <c r="C784" s="51">
        <v>1.047</v>
      </c>
      <c r="D784" s="51">
        <v>68.0</v>
      </c>
      <c r="E784" s="52" t="s">
        <v>25</v>
      </c>
      <c r="F784" s="52" t="s">
        <v>26</v>
      </c>
      <c r="G784" s="53"/>
    </row>
    <row r="785">
      <c r="A785" s="49">
        <v>44702.95413421297</v>
      </c>
      <c r="B785" s="50">
        <v>44703.0791078472</v>
      </c>
      <c r="C785" s="51">
        <v>1.047</v>
      </c>
      <c r="D785" s="51">
        <v>68.0</v>
      </c>
      <c r="E785" s="52" t="s">
        <v>25</v>
      </c>
      <c r="F785" s="52" t="s">
        <v>26</v>
      </c>
      <c r="G785" s="53"/>
    </row>
    <row r="786">
      <c r="A786" s="49">
        <v>44702.96455434027</v>
      </c>
      <c r="B786" s="50">
        <v>44703.0895292245</v>
      </c>
      <c r="C786" s="51">
        <v>1.047</v>
      </c>
      <c r="D786" s="51">
        <v>68.0</v>
      </c>
      <c r="E786" s="52" t="s">
        <v>25</v>
      </c>
      <c r="F786" s="52" t="s">
        <v>26</v>
      </c>
      <c r="G786" s="53"/>
    </row>
    <row r="787">
      <c r="A787" s="49">
        <v>44702.97497599537</v>
      </c>
      <c r="B787" s="50">
        <v>44703.0999507407</v>
      </c>
      <c r="C787" s="51">
        <v>1.047</v>
      </c>
      <c r="D787" s="51">
        <v>68.0</v>
      </c>
      <c r="E787" s="52" t="s">
        <v>25</v>
      </c>
      <c r="F787" s="52" t="s">
        <v>26</v>
      </c>
      <c r="G787" s="53"/>
    </row>
    <row r="788">
      <c r="A788" s="49">
        <v>44702.98540893519</v>
      </c>
      <c r="B788" s="50">
        <v>44703.1103831481</v>
      </c>
      <c r="C788" s="51">
        <v>1.047</v>
      </c>
      <c r="D788" s="51">
        <v>68.0</v>
      </c>
      <c r="E788" s="52" t="s">
        <v>25</v>
      </c>
      <c r="F788" s="52" t="s">
        <v>26</v>
      </c>
      <c r="G788" s="53"/>
    </row>
    <row r="789">
      <c r="A789" s="49">
        <v>44702.99583085648</v>
      </c>
      <c r="B789" s="50">
        <v>44703.1208029398</v>
      </c>
      <c r="C789" s="51">
        <v>1.046</v>
      </c>
      <c r="D789" s="51">
        <v>68.0</v>
      </c>
      <c r="E789" s="52" t="s">
        <v>25</v>
      </c>
      <c r="F789" s="52" t="s">
        <v>26</v>
      </c>
      <c r="G789" s="53"/>
    </row>
    <row r="790">
      <c r="A790" s="49">
        <v>44703.00629625</v>
      </c>
      <c r="B790" s="50">
        <v>44703.1312475694</v>
      </c>
      <c r="C790" s="51">
        <v>1.046</v>
      </c>
      <c r="D790" s="51">
        <v>68.0</v>
      </c>
      <c r="E790" s="52" t="s">
        <v>25</v>
      </c>
      <c r="F790" s="52" t="s">
        <v>26</v>
      </c>
      <c r="G790" s="53"/>
    </row>
    <row r="791">
      <c r="A791" s="49">
        <v>44703.01675215278</v>
      </c>
      <c r="B791" s="50">
        <v>44703.1416690856</v>
      </c>
      <c r="C791" s="51">
        <v>1.046</v>
      </c>
      <c r="D791" s="51">
        <v>68.0</v>
      </c>
      <c r="E791" s="52" t="s">
        <v>25</v>
      </c>
      <c r="F791" s="52" t="s">
        <v>26</v>
      </c>
      <c r="G791" s="53"/>
    </row>
    <row r="792">
      <c r="A792" s="49">
        <v>44703.0271162037</v>
      </c>
      <c r="B792" s="50">
        <v>44703.1520908449</v>
      </c>
      <c r="C792" s="51">
        <v>1.046</v>
      </c>
      <c r="D792" s="51">
        <v>68.0</v>
      </c>
      <c r="E792" s="52" t="s">
        <v>25</v>
      </c>
      <c r="F792" s="52" t="s">
        <v>26</v>
      </c>
      <c r="G792" s="53"/>
    </row>
    <row r="793">
      <c r="A793" s="49">
        <v>44703.037536539356</v>
      </c>
      <c r="B793" s="50">
        <v>44703.1625132986</v>
      </c>
      <c r="C793" s="51">
        <v>1.046</v>
      </c>
      <c r="D793" s="51">
        <v>68.0</v>
      </c>
      <c r="E793" s="52" t="s">
        <v>25</v>
      </c>
      <c r="F793" s="52" t="s">
        <v>26</v>
      </c>
      <c r="G793" s="53"/>
    </row>
    <row r="794">
      <c r="A794" s="49">
        <v>44703.04796711805</v>
      </c>
      <c r="B794" s="50">
        <v>44703.1729357175</v>
      </c>
      <c r="C794" s="51">
        <v>1.046</v>
      </c>
      <c r="D794" s="51">
        <v>68.0</v>
      </c>
      <c r="E794" s="52" t="s">
        <v>25</v>
      </c>
      <c r="F794" s="52" t="s">
        <v>26</v>
      </c>
      <c r="G794" s="53"/>
    </row>
    <row r="795">
      <c r="A795" s="49">
        <v>44703.05839653935</v>
      </c>
      <c r="B795" s="50">
        <v>44703.1833680324</v>
      </c>
      <c r="C795" s="51">
        <v>1.046</v>
      </c>
      <c r="D795" s="51">
        <v>68.0</v>
      </c>
      <c r="E795" s="52" t="s">
        <v>25</v>
      </c>
      <c r="F795" s="52" t="s">
        <v>26</v>
      </c>
      <c r="G795" s="53"/>
    </row>
    <row r="796">
      <c r="A796" s="49">
        <v>44703.068819988424</v>
      </c>
      <c r="B796" s="50">
        <v>44703.1937915162</v>
      </c>
      <c r="C796" s="51">
        <v>1.046</v>
      </c>
      <c r="D796" s="51">
        <v>68.0</v>
      </c>
      <c r="E796" s="52" t="s">
        <v>25</v>
      </c>
      <c r="F796" s="52" t="s">
        <v>26</v>
      </c>
      <c r="G796" s="53"/>
    </row>
    <row r="797">
      <c r="A797" s="49">
        <v>44703.07925026621</v>
      </c>
      <c r="B797" s="50">
        <v>44703.2042238194</v>
      </c>
      <c r="C797" s="51">
        <v>1.046</v>
      </c>
      <c r="D797" s="51">
        <v>68.0</v>
      </c>
      <c r="E797" s="52" t="s">
        <v>25</v>
      </c>
      <c r="F797" s="52" t="s">
        <v>26</v>
      </c>
      <c r="G797" s="53"/>
    </row>
    <row r="798">
      <c r="A798" s="49">
        <v>44703.089685196755</v>
      </c>
      <c r="B798" s="50">
        <v>44703.2146554861</v>
      </c>
      <c r="C798" s="51">
        <v>1.046</v>
      </c>
      <c r="D798" s="51">
        <v>68.0</v>
      </c>
      <c r="E798" s="52" t="s">
        <v>25</v>
      </c>
      <c r="F798" s="52" t="s">
        <v>26</v>
      </c>
      <c r="G798" s="53"/>
    </row>
    <row r="799">
      <c r="A799" s="49">
        <v>44703.10012461805</v>
      </c>
      <c r="B799" s="50">
        <v>44703.2251001504</v>
      </c>
      <c r="C799" s="51">
        <v>1.046</v>
      </c>
      <c r="D799" s="51">
        <v>68.0</v>
      </c>
      <c r="E799" s="52" t="s">
        <v>25</v>
      </c>
      <c r="F799" s="52" t="s">
        <v>26</v>
      </c>
      <c r="G799" s="53"/>
    </row>
    <row r="800">
      <c r="A800" s="49">
        <v>44703.11054359954</v>
      </c>
      <c r="B800" s="50">
        <v>44703.2355222685</v>
      </c>
      <c r="C800" s="51">
        <v>1.046</v>
      </c>
      <c r="D800" s="51">
        <v>68.0</v>
      </c>
      <c r="E800" s="52" t="s">
        <v>25</v>
      </c>
      <c r="F800" s="52" t="s">
        <v>26</v>
      </c>
      <c r="G800" s="53"/>
    </row>
    <row r="801">
      <c r="A801" s="49">
        <v>44703.12097953704</v>
      </c>
      <c r="B801" s="50">
        <v>44703.2459535763</v>
      </c>
      <c r="C801" s="51">
        <v>1.046</v>
      </c>
      <c r="D801" s="51">
        <v>68.0</v>
      </c>
      <c r="E801" s="52" t="s">
        <v>25</v>
      </c>
      <c r="F801" s="52" t="s">
        <v>26</v>
      </c>
      <c r="G801" s="53"/>
    </row>
    <row r="802">
      <c r="A802" s="49">
        <v>44703.13143739583</v>
      </c>
      <c r="B802" s="50">
        <v>44703.2564104629</v>
      </c>
      <c r="C802" s="51">
        <v>1.046</v>
      </c>
      <c r="D802" s="51">
        <v>68.0</v>
      </c>
      <c r="E802" s="52" t="s">
        <v>25</v>
      </c>
      <c r="F802" s="52" t="s">
        <v>26</v>
      </c>
      <c r="G802" s="53"/>
    </row>
    <row r="803">
      <c r="A803" s="49">
        <v>44703.1418759838</v>
      </c>
      <c r="B803" s="50">
        <v>44703.2668564236</v>
      </c>
      <c r="C803" s="51">
        <v>1.046</v>
      </c>
      <c r="D803" s="51">
        <v>68.0</v>
      </c>
      <c r="E803" s="52" t="s">
        <v>25</v>
      </c>
      <c r="F803" s="52" t="s">
        <v>26</v>
      </c>
      <c r="G803" s="53"/>
    </row>
    <row r="804">
      <c r="A804" s="49">
        <v>44703.152330625</v>
      </c>
      <c r="B804" s="50">
        <v>44703.2773025</v>
      </c>
      <c r="C804" s="51">
        <v>1.046</v>
      </c>
      <c r="D804" s="51">
        <v>68.0</v>
      </c>
      <c r="E804" s="52" t="s">
        <v>25</v>
      </c>
      <c r="F804" s="52" t="s">
        <v>26</v>
      </c>
      <c r="G804" s="53"/>
    </row>
    <row r="805">
      <c r="A805" s="49">
        <v>44703.16275337963</v>
      </c>
      <c r="B805" s="50">
        <v>44703.28772353</v>
      </c>
      <c r="C805" s="51">
        <v>1.046</v>
      </c>
      <c r="D805" s="51">
        <v>68.0</v>
      </c>
      <c r="E805" s="52" t="s">
        <v>25</v>
      </c>
      <c r="F805" s="52" t="s">
        <v>26</v>
      </c>
      <c r="G805" s="53"/>
    </row>
    <row r="806">
      <c r="A806" s="49">
        <v>44703.17317385417</v>
      </c>
      <c r="B806" s="50">
        <v>44703.2981454398</v>
      </c>
      <c r="C806" s="51">
        <v>1.045</v>
      </c>
      <c r="D806" s="51">
        <v>68.0</v>
      </c>
      <c r="E806" s="52" t="s">
        <v>25</v>
      </c>
      <c r="F806" s="52" t="s">
        <v>26</v>
      </c>
      <c r="G806" s="53"/>
    </row>
    <row r="807">
      <c r="A807" s="49">
        <v>44703.18362113426</v>
      </c>
      <c r="B807" s="50">
        <v>44703.3085900925</v>
      </c>
      <c r="C807" s="51">
        <v>1.046</v>
      </c>
      <c r="D807" s="51">
        <v>68.0</v>
      </c>
      <c r="E807" s="52" t="s">
        <v>25</v>
      </c>
      <c r="F807" s="52" t="s">
        <v>26</v>
      </c>
      <c r="G807" s="53"/>
    </row>
    <row r="808">
      <c r="A808" s="49">
        <v>44703.194042476855</v>
      </c>
      <c r="B808" s="50">
        <v>44703.3190118518</v>
      </c>
      <c r="C808" s="51">
        <v>1.045</v>
      </c>
      <c r="D808" s="51">
        <v>68.0</v>
      </c>
      <c r="E808" s="52" t="s">
        <v>25</v>
      </c>
      <c r="F808" s="52" t="s">
        <v>26</v>
      </c>
      <c r="G808" s="53"/>
    </row>
    <row r="809">
      <c r="A809" s="49">
        <v>44703.20447247685</v>
      </c>
      <c r="B809" s="50">
        <v>44703.3294428472</v>
      </c>
      <c r="C809" s="51">
        <v>1.045</v>
      </c>
      <c r="D809" s="51">
        <v>68.0</v>
      </c>
      <c r="E809" s="52" t="s">
        <v>25</v>
      </c>
      <c r="F809" s="52" t="s">
        <v>26</v>
      </c>
      <c r="G809" s="53"/>
    </row>
    <row r="810">
      <c r="A810" s="49">
        <v>44703.21491386574</v>
      </c>
      <c r="B810" s="50">
        <v>44703.339887037</v>
      </c>
      <c r="C810" s="51">
        <v>1.045</v>
      </c>
      <c r="D810" s="51">
        <v>68.0</v>
      </c>
      <c r="E810" s="52" t="s">
        <v>25</v>
      </c>
      <c r="F810" s="52" t="s">
        <v>26</v>
      </c>
      <c r="G810" s="53"/>
    </row>
    <row r="811">
      <c r="A811" s="49">
        <v>44703.22534371528</v>
      </c>
      <c r="B811" s="50">
        <v>44703.3503197338</v>
      </c>
      <c r="C811" s="51">
        <v>1.045</v>
      </c>
      <c r="D811" s="51">
        <v>68.0</v>
      </c>
      <c r="E811" s="52" t="s">
        <v>25</v>
      </c>
      <c r="F811" s="52" t="s">
        <v>26</v>
      </c>
      <c r="G811" s="53"/>
    </row>
    <row r="812">
      <c r="A812" s="49">
        <v>44703.23579855324</v>
      </c>
      <c r="B812" s="50">
        <v>44703.3607763194</v>
      </c>
      <c r="C812" s="51">
        <v>1.045</v>
      </c>
      <c r="D812" s="51">
        <v>68.0</v>
      </c>
      <c r="E812" s="52" t="s">
        <v>25</v>
      </c>
      <c r="F812" s="52" t="s">
        <v>26</v>
      </c>
      <c r="G812" s="53"/>
    </row>
    <row r="813">
      <c r="A813" s="49">
        <v>44703.24621994213</v>
      </c>
      <c r="B813" s="50">
        <v>44703.3711965509</v>
      </c>
      <c r="C813" s="51">
        <v>1.045</v>
      </c>
      <c r="D813" s="51">
        <v>68.0</v>
      </c>
      <c r="E813" s="52" t="s">
        <v>25</v>
      </c>
      <c r="F813" s="52" t="s">
        <v>26</v>
      </c>
      <c r="G813" s="53"/>
    </row>
    <row r="814">
      <c r="A814" s="49">
        <v>44703.25664633102</v>
      </c>
      <c r="B814" s="50">
        <v>44703.3816186226</v>
      </c>
      <c r="C814" s="51">
        <v>1.045</v>
      </c>
      <c r="D814" s="51">
        <v>69.0</v>
      </c>
      <c r="E814" s="52" t="s">
        <v>25</v>
      </c>
      <c r="F814" s="52" t="s">
        <v>26</v>
      </c>
      <c r="G814" s="53"/>
    </row>
    <row r="815">
      <c r="A815" s="49">
        <v>44703.26705825231</v>
      </c>
      <c r="B815" s="50">
        <v>44703.3920402662</v>
      </c>
      <c r="C815" s="51">
        <v>1.045</v>
      </c>
      <c r="D815" s="51">
        <v>69.0</v>
      </c>
      <c r="E815" s="52" t="s">
        <v>25</v>
      </c>
      <c r="F815" s="52" t="s">
        <v>26</v>
      </c>
      <c r="G815" s="53"/>
    </row>
    <row r="816">
      <c r="A816" s="49">
        <v>44703.27748109953</v>
      </c>
      <c r="B816" s="50">
        <v>44703.4024612847</v>
      </c>
      <c r="C816" s="51">
        <v>1.045</v>
      </c>
      <c r="D816" s="51">
        <v>69.0</v>
      </c>
      <c r="E816" s="52" t="s">
        <v>25</v>
      </c>
      <c r="F816" s="52" t="s">
        <v>26</v>
      </c>
      <c r="G816" s="53"/>
    </row>
    <row r="817">
      <c r="A817" s="49">
        <v>44703.287923449076</v>
      </c>
      <c r="B817" s="50">
        <v>44703.4128945023</v>
      </c>
      <c r="C817" s="51">
        <v>1.045</v>
      </c>
      <c r="D817" s="51">
        <v>69.0</v>
      </c>
      <c r="E817" s="52" t="s">
        <v>25</v>
      </c>
      <c r="F817" s="52" t="s">
        <v>26</v>
      </c>
      <c r="G817" s="53"/>
    </row>
    <row r="818">
      <c r="A818" s="49">
        <v>44703.298373935184</v>
      </c>
      <c r="B818" s="50">
        <v>44703.4233385879</v>
      </c>
      <c r="C818" s="51">
        <v>1.045</v>
      </c>
      <c r="D818" s="51">
        <v>69.0</v>
      </c>
      <c r="E818" s="52" t="s">
        <v>25</v>
      </c>
      <c r="F818" s="52" t="s">
        <v>26</v>
      </c>
      <c r="G818" s="53"/>
    </row>
    <row r="819">
      <c r="A819" s="49">
        <v>44703.308793749995</v>
      </c>
      <c r="B819" s="50">
        <v>44703.4337711574</v>
      </c>
      <c r="C819" s="51">
        <v>1.045</v>
      </c>
      <c r="D819" s="51">
        <v>69.0</v>
      </c>
      <c r="E819" s="52" t="s">
        <v>25</v>
      </c>
      <c r="F819" s="52" t="s">
        <v>26</v>
      </c>
      <c r="G819" s="53"/>
    </row>
    <row r="820">
      <c r="A820" s="49">
        <v>44703.31921383102</v>
      </c>
      <c r="B820" s="50">
        <v>44703.4441942592</v>
      </c>
      <c r="C820" s="51">
        <v>1.045</v>
      </c>
      <c r="D820" s="51">
        <v>69.0</v>
      </c>
      <c r="E820" s="52" t="s">
        <v>25</v>
      </c>
      <c r="F820" s="52" t="s">
        <v>26</v>
      </c>
      <c r="G820" s="53"/>
    </row>
    <row r="821">
      <c r="A821" s="49">
        <v>44703.32964822916</v>
      </c>
      <c r="B821" s="50">
        <v>44703.4546155555</v>
      </c>
      <c r="C821" s="51">
        <v>1.045</v>
      </c>
      <c r="D821" s="51">
        <v>69.0</v>
      </c>
      <c r="E821" s="52" t="s">
        <v>25</v>
      </c>
      <c r="F821" s="52" t="s">
        <v>26</v>
      </c>
      <c r="G821" s="53"/>
    </row>
    <row r="822">
      <c r="A822" s="49">
        <v>44703.34010202547</v>
      </c>
      <c r="B822" s="50">
        <v>44703.4650718402</v>
      </c>
      <c r="C822" s="51">
        <v>1.045</v>
      </c>
      <c r="D822" s="51">
        <v>69.0</v>
      </c>
      <c r="E822" s="52" t="s">
        <v>25</v>
      </c>
      <c r="F822" s="52" t="s">
        <v>26</v>
      </c>
      <c r="G822" s="53"/>
    </row>
    <row r="823">
      <c r="A823" s="49">
        <v>44703.35053084491</v>
      </c>
      <c r="B823" s="50">
        <v>44703.4755058796</v>
      </c>
      <c r="C823" s="51">
        <v>1.045</v>
      </c>
      <c r="D823" s="51">
        <v>69.0</v>
      </c>
      <c r="E823" s="52" t="s">
        <v>25</v>
      </c>
      <c r="F823" s="52" t="s">
        <v>26</v>
      </c>
      <c r="G823" s="53"/>
    </row>
    <row r="824">
      <c r="A824" s="49">
        <v>44703.360986875</v>
      </c>
      <c r="B824" s="50">
        <v>44703.4859636458</v>
      </c>
      <c r="C824" s="51">
        <v>1.044</v>
      </c>
      <c r="D824" s="51">
        <v>69.0</v>
      </c>
      <c r="E824" s="52" t="s">
        <v>25</v>
      </c>
      <c r="F824" s="52" t="s">
        <v>26</v>
      </c>
      <c r="G824" s="53"/>
    </row>
    <row r="825">
      <c r="A825" s="49">
        <v>44703.371414953705</v>
      </c>
      <c r="B825" s="50">
        <v>44703.4963974074</v>
      </c>
      <c r="C825" s="51">
        <v>1.044</v>
      </c>
      <c r="D825" s="51">
        <v>69.0</v>
      </c>
      <c r="E825" s="52" t="s">
        <v>25</v>
      </c>
      <c r="F825" s="52" t="s">
        <v>26</v>
      </c>
      <c r="G825" s="53"/>
    </row>
    <row r="826">
      <c r="A826" s="49">
        <v>44703.381842511575</v>
      </c>
      <c r="B826" s="50">
        <v>44703.5068180555</v>
      </c>
      <c r="C826" s="51">
        <v>1.044</v>
      </c>
      <c r="D826" s="51">
        <v>69.0</v>
      </c>
      <c r="E826" s="52" t="s">
        <v>25</v>
      </c>
      <c r="F826" s="52" t="s">
        <v>26</v>
      </c>
      <c r="G826" s="53"/>
    </row>
    <row r="827">
      <c r="A827" s="49">
        <v>44703.39227636574</v>
      </c>
      <c r="B827" s="50">
        <v>44703.5172515162</v>
      </c>
      <c r="C827" s="51">
        <v>1.044</v>
      </c>
      <c r="D827" s="51">
        <v>69.0</v>
      </c>
      <c r="E827" s="52" t="s">
        <v>25</v>
      </c>
      <c r="F827" s="52" t="s">
        <v>26</v>
      </c>
      <c r="G827" s="53"/>
    </row>
    <row r="828">
      <c r="A828" s="49">
        <v>44703.40271850694</v>
      </c>
      <c r="B828" s="50">
        <v>44703.5276838078</v>
      </c>
      <c r="C828" s="51">
        <v>1.045</v>
      </c>
      <c r="D828" s="51">
        <v>69.0</v>
      </c>
      <c r="E828" s="52" t="s">
        <v>25</v>
      </c>
      <c r="F828" s="52" t="s">
        <v>26</v>
      </c>
      <c r="G828" s="53"/>
    </row>
    <row r="829">
      <c r="A829" s="49">
        <v>44703.413133622686</v>
      </c>
      <c r="B829" s="50">
        <v>44703.5381159375</v>
      </c>
      <c r="C829" s="51">
        <v>1.044</v>
      </c>
      <c r="D829" s="51">
        <v>69.0</v>
      </c>
      <c r="E829" s="52" t="s">
        <v>25</v>
      </c>
      <c r="F829" s="52" t="s">
        <v>26</v>
      </c>
      <c r="G829" s="53"/>
    </row>
    <row r="830">
      <c r="A830" s="49">
        <v>44703.42357271991</v>
      </c>
      <c r="B830" s="50">
        <v>44703.5485485763</v>
      </c>
      <c r="C830" s="51">
        <v>1.044</v>
      </c>
      <c r="D830" s="51">
        <v>69.0</v>
      </c>
      <c r="E830" s="52" t="s">
        <v>25</v>
      </c>
      <c r="F830" s="52" t="s">
        <v>26</v>
      </c>
      <c r="G830" s="53"/>
    </row>
    <row r="831">
      <c r="A831" s="49">
        <v>44703.43399961806</v>
      </c>
      <c r="B831" s="50">
        <v>44703.5589687731</v>
      </c>
      <c r="C831" s="51">
        <v>1.044</v>
      </c>
      <c r="D831" s="51">
        <v>69.0</v>
      </c>
      <c r="E831" s="52" t="s">
        <v>25</v>
      </c>
      <c r="F831" s="52" t="s">
        <v>26</v>
      </c>
      <c r="G831" s="53"/>
    </row>
    <row r="832">
      <c r="A832" s="49">
        <v>44703.444421782406</v>
      </c>
      <c r="B832" s="50">
        <v>44703.5693996759</v>
      </c>
      <c r="C832" s="51">
        <v>1.044</v>
      </c>
      <c r="D832" s="51">
        <v>69.0</v>
      </c>
      <c r="E832" s="52" t="s">
        <v>25</v>
      </c>
      <c r="F832" s="52" t="s">
        <v>26</v>
      </c>
      <c r="G832" s="53"/>
    </row>
    <row r="833">
      <c r="A833" s="49">
        <v>44703.45483952547</v>
      </c>
      <c r="B833" s="50">
        <v>44703.5798206134</v>
      </c>
      <c r="C833" s="51">
        <v>1.044</v>
      </c>
      <c r="D833" s="51">
        <v>69.0</v>
      </c>
      <c r="E833" s="52" t="s">
        <v>25</v>
      </c>
      <c r="F833" s="52" t="s">
        <v>26</v>
      </c>
      <c r="G833" s="53"/>
    </row>
    <row r="834">
      <c r="A834" s="49">
        <v>44703.4652737037</v>
      </c>
      <c r="B834" s="50">
        <v>44703.5902423148</v>
      </c>
      <c r="C834" s="51">
        <v>1.044</v>
      </c>
      <c r="D834" s="51">
        <v>69.0</v>
      </c>
      <c r="E834" s="52" t="s">
        <v>25</v>
      </c>
      <c r="F834" s="52" t="s">
        <v>26</v>
      </c>
      <c r="G834" s="53"/>
    </row>
    <row r="835">
      <c r="A835" s="49">
        <v>44703.47569853009</v>
      </c>
      <c r="B835" s="50">
        <v>44703.6006627083</v>
      </c>
      <c r="C835" s="51">
        <v>1.044</v>
      </c>
      <c r="D835" s="51">
        <v>69.0</v>
      </c>
      <c r="E835" s="52" t="s">
        <v>25</v>
      </c>
      <c r="F835" s="52" t="s">
        <v>26</v>
      </c>
      <c r="G835" s="53"/>
    </row>
    <row r="836">
      <c r="A836" s="49">
        <v>44703.48612364584</v>
      </c>
      <c r="B836" s="50">
        <v>44703.6110953588</v>
      </c>
      <c r="C836" s="51">
        <v>1.044</v>
      </c>
      <c r="D836" s="51">
        <v>69.0</v>
      </c>
      <c r="E836" s="52" t="s">
        <v>25</v>
      </c>
      <c r="F836" s="52" t="s">
        <v>26</v>
      </c>
      <c r="G836" s="53"/>
    </row>
    <row r="837">
      <c r="A837" s="49">
        <v>44703.49655710648</v>
      </c>
      <c r="B837" s="50">
        <v>44703.6215280208</v>
      </c>
      <c r="C837" s="51">
        <v>1.044</v>
      </c>
      <c r="D837" s="51">
        <v>69.0</v>
      </c>
      <c r="E837" s="52" t="s">
        <v>25</v>
      </c>
      <c r="F837" s="52" t="s">
        <v>26</v>
      </c>
      <c r="G837" s="53"/>
    </row>
    <row r="838">
      <c r="A838" s="49">
        <v>44703.50697821759</v>
      </c>
      <c r="B838" s="50">
        <v>44703.6319473495</v>
      </c>
      <c r="C838" s="51">
        <v>1.044</v>
      </c>
      <c r="D838" s="51">
        <v>69.0</v>
      </c>
      <c r="E838" s="52" t="s">
        <v>25</v>
      </c>
      <c r="F838" s="52" t="s">
        <v>26</v>
      </c>
      <c r="G838" s="53"/>
    </row>
    <row r="839">
      <c r="A839" s="49">
        <v>44703.5173974537</v>
      </c>
      <c r="B839" s="50">
        <v>44703.6423683449</v>
      </c>
      <c r="C839" s="51">
        <v>1.044</v>
      </c>
      <c r="D839" s="51">
        <v>69.0</v>
      </c>
      <c r="E839" s="52" t="s">
        <v>25</v>
      </c>
      <c r="F839" s="52" t="s">
        <v>26</v>
      </c>
      <c r="G839" s="53"/>
    </row>
    <row r="840">
      <c r="A840" s="49">
        <v>44703.52784648148</v>
      </c>
      <c r="B840" s="50">
        <v>44703.6528131365</v>
      </c>
      <c r="C840" s="51">
        <v>1.044</v>
      </c>
      <c r="D840" s="51">
        <v>69.0</v>
      </c>
      <c r="E840" s="52" t="s">
        <v>25</v>
      </c>
      <c r="F840" s="52" t="s">
        <v>26</v>
      </c>
      <c r="G840" s="53"/>
    </row>
    <row r="841">
      <c r="A841" s="49">
        <v>44703.53826403935</v>
      </c>
      <c r="B841" s="50">
        <v>44703.6632449999</v>
      </c>
      <c r="C841" s="51">
        <v>1.044</v>
      </c>
      <c r="D841" s="51">
        <v>69.0</v>
      </c>
      <c r="E841" s="52" t="s">
        <v>25</v>
      </c>
      <c r="F841" s="52" t="s">
        <v>26</v>
      </c>
      <c r="G841" s="53"/>
    </row>
    <row r="842">
      <c r="A842" s="49">
        <v>44703.54868807871</v>
      </c>
      <c r="B842" s="50">
        <v>44703.673663993</v>
      </c>
      <c r="C842" s="51">
        <v>1.044</v>
      </c>
      <c r="D842" s="51">
        <v>69.0</v>
      </c>
      <c r="E842" s="52" t="s">
        <v>25</v>
      </c>
      <c r="F842" s="52" t="s">
        <v>26</v>
      </c>
      <c r="G842" s="53"/>
    </row>
    <row r="843">
      <c r="A843" s="49">
        <v>44703.55910607638</v>
      </c>
      <c r="B843" s="50">
        <v>44703.6840851967</v>
      </c>
      <c r="C843" s="51">
        <v>1.044</v>
      </c>
      <c r="D843" s="51">
        <v>69.0</v>
      </c>
      <c r="E843" s="52" t="s">
        <v>25</v>
      </c>
      <c r="F843" s="52" t="s">
        <v>26</v>
      </c>
      <c r="G843" s="53"/>
    </row>
    <row r="844">
      <c r="A844" s="49">
        <v>44703.56952559028</v>
      </c>
      <c r="B844" s="50">
        <v>44703.6945055092</v>
      </c>
      <c r="C844" s="51">
        <v>1.043</v>
      </c>
      <c r="D844" s="51">
        <v>69.0</v>
      </c>
      <c r="E844" s="52" t="s">
        <v>25</v>
      </c>
      <c r="F844" s="52" t="s">
        <v>26</v>
      </c>
      <c r="G844" s="53"/>
    </row>
    <row r="845">
      <c r="A845" s="49">
        <v>44703.57996771991</v>
      </c>
      <c r="B845" s="50">
        <v>44703.7049386111</v>
      </c>
      <c r="C845" s="51">
        <v>1.044</v>
      </c>
      <c r="D845" s="51">
        <v>69.0</v>
      </c>
      <c r="E845" s="52" t="s">
        <v>25</v>
      </c>
      <c r="F845" s="52" t="s">
        <v>26</v>
      </c>
      <c r="G845" s="53"/>
    </row>
    <row r="846">
      <c r="A846" s="49">
        <v>44703.59037925926</v>
      </c>
      <c r="B846" s="50">
        <v>44703.715359074</v>
      </c>
      <c r="C846" s="51">
        <v>1.043</v>
      </c>
      <c r="D846" s="51">
        <v>69.0</v>
      </c>
      <c r="E846" s="52" t="s">
        <v>25</v>
      </c>
      <c r="F846" s="52" t="s">
        <v>26</v>
      </c>
      <c r="G846" s="53"/>
    </row>
    <row r="847">
      <c r="A847" s="49">
        <v>44703.60080804398</v>
      </c>
      <c r="B847" s="50">
        <v>44703.7257795023</v>
      </c>
      <c r="C847" s="51">
        <v>1.043</v>
      </c>
      <c r="D847" s="51">
        <v>70.0</v>
      </c>
      <c r="E847" s="52" t="s">
        <v>25</v>
      </c>
      <c r="F847" s="52" t="s">
        <v>26</v>
      </c>
      <c r="G847" s="53"/>
    </row>
    <row r="848">
      <c r="A848" s="49">
        <v>44703.611243101856</v>
      </c>
      <c r="B848" s="50">
        <v>44703.7362239236</v>
      </c>
      <c r="C848" s="51">
        <v>1.044</v>
      </c>
      <c r="D848" s="51">
        <v>69.0</v>
      </c>
      <c r="E848" s="52" t="s">
        <v>25</v>
      </c>
      <c r="F848" s="52" t="s">
        <v>26</v>
      </c>
      <c r="G848" s="53"/>
    </row>
    <row r="849">
      <c r="A849" s="49">
        <v>44703.621678020834</v>
      </c>
      <c r="B849" s="50">
        <v>44703.7466455555</v>
      </c>
      <c r="C849" s="51">
        <v>1.043</v>
      </c>
      <c r="D849" s="51">
        <v>70.0</v>
      </c>
      <c r="E849" s="52" t="s">
        <v>25</v>
      </c>
      <c r="F849" s="52" t="s">
        <v>26</v>
      </c>
      <c r="G849" s="53"/>
    </row>
    <row r="850">
      <c r="A850" s="49">
        <v>44703.63210565972</v>
      </c>
      <c r="B850" s="50">
        <v>44703.757079155</v>
      </c>
      <c r="C850" s="51">
        <v>1.043</v>
      </c>
      <c r="D850" s="51">
        <v>70.0</v>
      </c>
      <c r="E850" s="52" t="s">
        <v>25</v>
      </c>
      <c r="F850" s="52" t="s">
        <v>26</v>
      </c>
      <c r="G850" s="53"/>
    </row>
    <row r="851">
      <c r="A851" s="49">
        <v>44703.642543333335</v>
      </c>
      <c r="B851" s="50">
        <v>44703.7675136921</v>
      </c>
      <c r="C851" s="51">
        <v>1.043</v>
      </c>
      <c r="D851" s="51">
        <v>69.0</v>
      </c>
      <c r="E851" s="52" t="s">
        <v>25</v>
      </c>
      <c r="F851" s="52" t="s">
        <v>26</v>
      </c>
      <c r="G851" s="53"/>
    </row>
    <row r="852">
      <c r="A852" s="49">
        <v>44703.65296118056</v>
      </c>
      <c r="B852" s="50">
        <v>44703.7779331134</v>
      </c>
      <c r="C852" s="51">
        <v>1.043</v>
      </c>
      <c r="D852" s="51">
        <v>68.0</v>
      </c>
      <c r="E852" s="52" t="s">
        <v>25</v>
      </c>
      <c r="F852" s="52" t="s">
        <v>26</v>
      </c>
      <c r="G852" s="53"/>
    </row>
    <row r="853">
      <c r="A853" s="49">
        <v>44703.663382280094</v>
      </c>
      <c r="B853" s="50">
        <v>44703.788355162</v>
      </c>
      <c r="C853" s="51">
        <v>1.043</v>
      </c>
      <c r="D853" s="51">
        <v>67.0</v>
      </c>
      <c r="E853" s="52" t="s">
        <v>25</v>
      </c>
      <c r="F853" s="52" t="s">
        <v>26</v>
      </c>
      <c r="G853" s="53"/>
    </row>
    <row r="854">
      <c r="A854" s="49">
        <v>44703.67380039352</v>
      </c>
      <c r="B854" s="50">
        <v>44703.7987762384</v>
      </c>
      <c r="C854" s="51">
        <v>1.043</v>
      </c>
      <c r="D854" s="51">
        <v>66.0</v>
      </c>
      <c r="E854" s="52" t="s">
        <v>25</v>
      </c>
      <c r="F854" s="52" t="s">
        <v>26</v>
      </c>
      <c r="G854" s="53"/>
    </row>
    <row r="855">
      <c r="A855" s="49">
        <v>44703.684228425926</v>
      </c>
      <c r="B855" s="50">
        <v>44703.8091985185</v>
      </c>
      <c r="C855" s="51">
        <v>1.043</v>
      </c>
      <c r="D855" s="51">
        <v>66.0</v>
      </c>
      <c r="E855" s="52" t="s">
        <v>25</v>
      </c>
      <c r="F855" s="52" t="s">
        <v>26</v>
      </c>
      <c r="G855" s="53"/>
    </row>
    <row r="856">
      <c r="A856" s="49">
        <v>44703.69463672454</v>
      </c>
      <c r="B856" s="50">
        <v>44703.8196198264</v>
      </c>
      <c r="C856" s="51">
        <v>1.043</v>
      </c>
      <c r="D856" s="51">
        <v>66.0</v>
      </c>
      <c r="E856" s="52" t="s">
        <v>25</v>
      </c>
      <c r="F856" s="52" t="s">
        <v>26</v>
      </c>
      <c r="G856" s="53"/>
    </row>
    <row r="857">
      <c r="A857" s="49">
        <v>44703.705074722224</v>
      </c>
      <c r="B857" s="50">
        <v>44703.8300422453</v>
      </c>
      <c r="C857" s="51">
        <v>1.043</v>
      </c>
      <c r="D857" s="51">
        <v>66.0</v>
      </c>
      <c r="E857" s="52" t="s">
        <v>25</v>
      </c>
      <c r="F857" s="52" t="s">
        <v>26</v>
      </c>
      <c r="G857" s="53"/>
    </row>
    <row r="858">
      <c r="A858" s="49">
        <v>44703.715504085645</v>
      </c>
      <c r="B858" s="50">
        <v>44703.8404736689</v>
      </c>
      <c r="C858" s="51">
        <v>1.043</v>
      </c>
      <c r="D858" s="51">
        <v>66.0</v>
      </c>
      <c r="E858" s="52" t="s">
        <v>25</v>
      </c>
      <c r="F858" s="52" t="s">
        <v>26</v>
      </c>
      <c r="G858" s="53"/>
    </row>
    <row r="859">
      <c r="A859" s="49">
        <v>44703.72596405093</v>
      </c>
      <c r="B859" s="50">
        <v>44703.8509318402</v>
      </c>
      <c r="C859" s="51">
        <v>1.043</v>
      </c>
      <c r="D859" s="51">
        <v>66.0</v>
      </c>
      <c r="E859" s="52" t="s">
        <v>25</v>
      </c>
      <c r="F859" s="52" t="s">
        <v>26</v>
      </c>
      <c r="G859" s="53"/>
    </row>
    <row r="860">
      <c r="A860" s="49">
        <v>44703.73638103009</v>
      </c>
      <c r="B860" s="50">
        <v>44703.8613532638</v>
      </c>
      <c r="C860" s="51">
        <v>1.043</v>
      </c>
      <c r="D860" s="51">
        <v>66.0</v>
      </c>
      <c r="E860" s="52" t="s">
        <v>25</v>
      </c>
      <c r="F860" s="52" t="s">
        <v>26</v>
      </c>
      <c r="G860" s="53"/>
    </row>
    <row r="861">
      <c r="A861" s="49">
        <v>44703.74680057871</v>
      </c>
      <c r="B861" s="50">
        <v>44703.871775081</v>
      </c>
      <c r="C861" s="51">
        <v>1.043</v>
      </c>
      <c r="D861" s="51">
        <v>66.0</v>
      </c>
      <c r="E861" s="52" t="s">
        <v>25</v>
      </c>
      <c r="F861" s="52" t="s">
        <v>26</v>
      </c>
      <c r="G861" s="53"/>
    </row>
    <row r="862">
      <c r="A862" s="49">
        <v>44703.75723641204</v>
      </c>
      <c r="B862" s="50">
        <v>44703.8822078472</v>
      </c>
      <c r="C862" s="51">
        <v>1.043</v>
      </c>
      <c r="D862" s="51">
        <v>66.0</v>
      </c>
      <c r="E862" s="52" t="s">
        <v>25</v>
      </c>
      <c r="F862" s="52" t="s">
        <v>26</v>
      </c>
      <c r="G862" s="53"/>
    </row>
    <row r="863">
      <c r="A863" s="49">
        <v>44703.76765550926</v>
      </c>
      <c r="B863" s="50">
        <v>44703.8926313888</v>
      </c>
      <c r="C863" s="51">
        <v>1.043</v>
      </c>
      <c r="D863" s="51">
        <v>66.0</v>
      </c>
      <c r="E863" s="52" t="s">
        <v>25</v>
      </c>
      <c r="F863" s="52" t="s">
        <v>26</v>
      </c>
      <c r="G863" s="53"/>
    </row>
    <row r="864">
      <c r="A864" s="49">
        <v>44703.77807443287</v>
      </c>
      <c r="B864" s="50">
        <v>44703.9030515277</v>
      </c>
      <c r="C864" s="51">
        <v>1.043</v>
      </c>
      <c r="D864" s="51">
        <v>66.0</v>
      </c>
      <c r="E864" s="52" t="s">
        <v>25</v>
      </c>
      <c r="F864" s="52" t="s">
        <v>26</v>
      </c>
      <c r="G864" s="53"/>
    </row>
    <row r="865">
      <c r="A865" s="49">
        <v>44703.78849040509</v>
      </c>
      <c r="B865" s="50">
        <v>44703.9134724189</v>
      </c>
      <c r="C865" s="51">
        <v>1.043</v>
      </c>
      <c r="D865" s="51">
        <v>66.0</v>
      </c>
      <c r="E865" s="52" t="s">
        <v>25</v>
      </c>
      <c r="F865" s="52" t="s">
        <v>26</v>
      </c>
      <c r="G865" s="53"/>
    </row>
    <row r="866">
      <c r="A866" s="49">
        <v>44703.798917858796</v>
      </c>
      <c r="B866" s="50">
        <v>44703.9238931828</v>
      </c>
      <c r="C866" s="51">
        <v>1.043</v>
      </c>
      <c r="D866" s="51">
        <v>66.0</v>
      </c>
      <c r="E866" s="52" t="s">
        <v>25</v>
      </c>
      <c r="F866" s="52" t="s">
        <v>26</v>
      </c>
      <c r="G866" s="53"/>
    </row>
    <row r="867">
      <c r="A867" s="49">
        <v>44703.80934905093</v>
      </c>
      <c r="B867" s="50">
        <v>44703.9343255555</v>
      </c>
      <c r="C867" s="51">
        <v>1.042</v>
      </c>
      <c r="D867" s="51">
        <v>66.0</v>
      </c>
      <c r="E867" s="52" t="s">
        <v>25</v>
      </c>
      <c r="F867" s="52" t="s">
        <v>26</v>
      </c>
      <c r="G867" s="53"/>
    </row>
    <row r="868">
      <c r="A868" s="49">
        <v>44703.81976611111</v>
      </c>
      <c r="B868" s="50">
        <v>44703.9447470486</v>
      </c>
      <c r="C868" s="51">
        <v>1.042</v>
      </c>
      <c r="D868" s="51">
        <v>66.0</v>
      </c>
      <c r="E868" s="52" t="s">
        <v>25</v>
      </c>
      <c r="F868" s="52" t="s">
        <v>26</v>
      </c>
      <c r="G868" s="53"/>
    </row>
    <row r="869">
      <c r="A869" s="49">
        <v>44703.830190775465</v>
      </c>
      <c r="B869" s="50">
        <v>44703.9551693171</v>
      </c>
      <c r="C869" s="51">
        <v>1.043</v>
      </c>
      <c r="D869" s="51">
        <v>66.0</v>
      </c>
      <c r="E869" s="52" t="s">
        <v>25</v>
      </c>
      <c r="F869" s="52" t="s">
        <v>26</v>
      </c>
      <c r="G869" s="53"/>
    </row>
    <row r="870">
      <c r="A870" s="49">
        <v>44703.84063011574</v>
      </c>
      <c r="B870" s="50">
        <v>44703.9656021527</v>
      </c>
      <c r="C870" s="51">
        <v>1.042</v>
      </c>
      <c r="D870" s="51">
        <v>66.0</v>
      </c>
      <c r="E870" s="52" t="s">
        <v>25</v>
      </c>
      <c r="F870" s="52" t="s">
        <v>26</v>
      </c>
      <c r="G870" s="53"/>
    </row>
    <row r="871">
      <c r="A871" s="49">
        <v>44703.851053935185</v>
      </c>
      <c r="B871" s="50">
        <v>44703.9760240277</v>
      </c>
      <c r="C871" s="51">
        <v>1.042</v>
      </c>
      <c r="D871" s="51">
        <v>66.0</v>
      </c>
      <c r="E871" s="52" t="s">
        <v>25</v>
      </c>
      <c r="F871" s="52" t="s">
        <v>26</v>
      </c>
      <c r="G871" s="53"/>
    </row>
    <row r="872">
      <c r="A872" s="49">
        <v>44703.86147192129</v>
      </c>
      <c r="B872" s="50">
        <v>44703.9864452546</v>
      </c>
      <c r="C872" s="51">
        <v>1.042</v>
      </c>
      <c r="D872" s="51">
        <v>66.0</v>
      </c>
      <c r="E872" s="52" t="s">
        <v>25</v>
      </c>
      <c r="F872" s="52" t="s">
        <v>26</v>
      </c>
      <c r="G872" s="53"/>
    </row>
    <row r="873">
      <c r="A873" s="49">
        <v>44703.87189292824</v>
      </c>
      <c r="B873" s="50">
        <v>44703.9968660532</v>
      </c>
      <c r="C873" s="51">
        <v>1.042</v>
      </c>
      <c r="D873" s="51">
        <v>66.0</v>
      </c>
      <c r="E873" s="52" t="s">
        <v>25</v>
      </c>
      <c r="F873" s="52" t="s">
        <v>26</v>
      </c>
      <c r="G873" s="53"/>
    </row>
    <row r="874">
      <c r="A874" s="49">
        <v>44703.88232619213</v>
      </c>
      <c r="B874" s="50">
        <v>44704.0072995833</v>
      </c>
      <c r="C874" s="51">
        <v>1.042</v>
      </c>
      <c r="D874" s="51">
        <v>66.0</v>
      </c>
      <c r="E874" s="52" t="s">
        <v>25</v>
      </c>
      <c r="F874" s="52" t="s">
        <v>26</v>
      </c>
      <c r="G874" s="53"/>
    </row>
    <row r="875">
      <c r="A875" s="49">
        <v>44703.89274488426</v>
      </c>
      <c r="B875" s="50">
        <v>44704.0177218402</v>
      </c>
      <c r="C875" s="51">
        <v>1.042</v>
      </c>
      <c r="D875" s="51">
        <v>66.0</v>
      </c>
      <c r="E875" s="52" t="s">
        <v>25</v>
      </c>
      <c r="F875" s="52" t="s">
        <v>26</v>
      </c>
      <c r="G875" s="53"/>
    </row>
    <row r="876">
      <c r="A876" s="49">
        <v>44703.90317185185</v>
      </c>
      <c r="B876" s="50">
        <v>44704.0281445717</v>
      </c>
      <c r="C876" s="51">
        <v>1.042</v>
      </c>
      <c r="D876" s="51">
        <v>66.0</v>
      </c>
      <c r="E876" s="52" t="s">
        <v>25</v>
      </c>
      <c r="F876" s="52" t="s">
        <v>26</v>
      </c>
      <c r="G876" s="53"/>
    </row>
    <row r="877">
      <c r="A877" s="49">
        <v>44703.9136050463</v>
      </c>
      <c r="B877" s="50">
        <v>44704.0385770717</v>
      </c>
      <c r="C877" s="51">
        <v>1.042</v>
      </c>
      <c r="D877" s="51">
        <v>66.0</v>
      </c>
      <c r="E877" s="52" t="s">
        <v>25</v>
      </c>
      <c r="F877" s="52" t="s">
        <v>26</v>
      </c>
      <c r="G877" s="53"/>
    </row>
    <row r="878">
      <c r="A878" s="49">
        <v>44703.92404261574</v>
      </c>
      <c r="B878" s="50">
        <v>44704.049010243</v>
      </c>
      <c r="C878" s="51">
        <v>1.042</v>
      </c>
      <c r="D878" s="51">
        <v>66.0</v>
      </c>
      <c r="E878" s="52" t="s">
        <v>25</v>
      </c>
      <c r="F878" s="52" t="s">
        <v>26</v>
      </c>
      <c r="G878" s="53"/>
    </row>
    <row r="879">
      <c r="A879" s="49">
        <v>44703.93445586806</v>
      </c>
      <c r="B879" s="50">
        <v>44704.0594312152</v>
      </c>
      <c r="C879" s="51">
        <v>1.042</v>
      </c>
      <c r="D879" s="51">
        <v>66.0</v>
      </c>
      <c r="E879" s="52" t="s">
        <v>25</v>
      </c>
      <c r="F879" s="52" t="s">
        <v>26</v>
      </c>
      <c r="G879" s="53"/>
    </row>
    <row r="880">
      <c r="A880" s="49">
        <v>44703.94487770833</v>
      </c>
      <c r="B880" s="50">
        <v>44704.0698515509</v>
      </c>
      <c r="C880" s="51">
        <v>1.042</v>
      </c>
      <c r="D880" s="51">
        <v>66.0</v>
      </c>
      <c r="E880" s="52" t="s">
        <v>25</v>
      </c>
      <c r="F880" s="52" t="s">
        <v>26</v>
      </c>
      <c r="G880" s="53"/>
    </row>
    <row r="881">
      <c r="A881" s="49">
        <v>44703.95528951389</v>
      </c>
      <c r="B881" s="50">
        <v>44704.0802725</v>
      </c>
      <c r="C881" s="51">
        <v>1.042</v>
      </c>
      <c r="D881" s="51">
        <v>67.0</v>
      </c>
      <c r="E881" s="52" t="s">
        <v>25</v>
      </c>
      <c r="F881" s="52" t="s">
        <v>26</v>
      </c>
      <c r="G881" s="53"/>
    </row>
    <row r="882">
      <c r="A882" s="49">
        <v>44703.96574284723</v>
      </c>
      <c r="B882" s="50">
        <v>44704.0907058101</v>
      </c>
      <c r="C882" s="51">
        <v>1.042</v>
      </c>
      <c r="D882" s="51">
        <v>66.0</v>
      </c>
      <c r="E882" s="52" t="s">
        <v>25</v>
      </c>
      <c r="F882" s="52" t="s">
        <v>26</v>
      </c>
      <c r="G882" s="53"/>
    </row>
    <row r="883">
      <c r="A883" s="49">
        <v>44703.9761549074</v>
      </c>
      <c r="B883" s="50">
        <v>44704.101126956</v>
      </c>
      <c r="C883" s="51">
        <v>1.042</v>
      </c>
      <c r="D883" s="51">
        <v>67.0</v>
      </c>
      <c r="E883" s="52" t="s">
        <v>25</v>
      </c>
      <c r="F883" s="52" t="s">
        <v>26</v>
      </c>
      <c r="G883" s="53"/>
    </row>
    <row r="884">
      <c r="A884" s="49">
        <v>44703.98658082176</v>
      </c>
      <c r="B884" s="50">
        <v>44704.1115483912</v>
      </c>
      <c r="C884" s="51">
        <v>1.042</v>
      </c>
      <c r="D884" s="51">
        <v>67.0</v>
      </c>
      <c r="E884" s="52" t="s">
        <v>25</v>
      </c>
      <c r="F884" s="52" t="s">
        <v>26</v>
      </c>
      <c r="G884" s="53"/>
    </row>
    <row r="885">
      <c r="A885" s="49">
        <v>44703.997003842596</v>
      </c>
      <c r="B885" s="50">
        <v>44704.1219689699</v>
      </c>
      <c r="C885" s="51">
        <v>1.042</v>
      </c>
      <c r="D885" s="51">
        <v>67.0</v>
      </c>
      <c r="E885" s="52" t="s">
        <v>25</v>
      </c>
      <c r="F885" s="52" t="s">
        <v>26</v>
      </c>
      <c r="G885" s="53"/>
    </row>
    <row r="886">
      <c r="A886" s="49">
        <v>44704.007414340274</v>
      </c>
      <c r="B886" s="50">
        <v>44704.1323908564</v>
      </c>
      <c r="C886" s="51">
        <v>1.042</v>
      </c>
      <c r="D886" s="51">
        <v>67.0</v>
      </c>
      <c r="E886" s="52" t="s">
        <v>25</v>
      </c>
      <c r="F886" s="52" t="s">
        <v>26</v>
      </c>
      <c r="G886" s="53"/>
    </row>
    <row r="887">
      <c r="A887" s="49">
        <v>44704.01784560185</v>
      </c>
      <c r="B887" s="50">
        <v>44704.1428234027</v>
      </c>
      <c r="C887" s="51">
        <v>1.042</v>
      </c>
      <c r="D887" s="51">
        <v>67.0</v>
      </c>
      <c r="E887" s="52" t="s">
        <v>25</v>
      </c>
      <c r="F887" s="52" t="s">
        <v>26</v>
      </c>
      <c r="G887" s="53"/>
    </row>
    <row r="888">
      <c r="A888" s="49">
        <v>44704.02827181713</v>
      </c>
      <c r="B888" s="50">
        <v>44704.1532435069</v>
      </c>
      <c r="C888" s="51">
        <v>1.042</v>
      </c>
      <c r="D888" s="51">
        <v>67.0</v>
      </c>
      <c r="E888" s="52" t="s">
        <v>25</v>
      </c>
      <c r="F888" s="52" t="s">
        <v>26</v>
      </c>
      <c r="G888" s="53"/>
    </row>
    <row r="889">
      <c r="A889" s="49">
        <v>44704.03869239583</v>
      </c>
      <c r="B889" s="50">
        <v>44704.1636648379</v>
      </c>
      <c r="C889" s="51">
        <v>1.041</v>
      </c>
      <c r="D889" s="51">
        <v>67.0</v>
      </c>
      <c r="E889" s="52" t="s">
        <v>25</v>
      </c>
      <c r="F889" s="52" t="s">
        <v>26</v>
      </c>
      <c r="G889" s="53"/>
    </row>
    <row r="890">
      <c r="A890" s="49">
        <v>44704.04911116898</v>
      </c>
      <c r="B890" s="50">
        <v>44704.1740848958</v>
      </c>
      <c r="C890" s="51">
        <v>1.042</v>
      </c>
      <c r="D890" s="51">
        <v>67.0</v>
      </c>
      <c r="E890" s="52" t="s">
        <v>25</v>
      </c>
      <c r="F890" s="52" t="s">
        <v>26</v>
      </c>
      <c r="G890" s="53"/>
    </row>
    <row r="891">
      <c r="A891" s="49">
        <v>44704.05953171296</v>
      </c>
      <c r="B891" s="50">
        <v>44704.1845054976</v>
      </c>
      <c r="C891" s="51">
        <v>1.042</v>
      </c>
      <c r="D891" s="51">
        <v>67.0</v>
      </c>
      <c r="E891" s="52" t="s">
        <v>25</v>
      </c>
      <c r="F891" s="52" t="s">
        <v>26</v>
      </c>
      <c r="G891" s="53"/>
    </row>
    <row r="892">
      <c r="A892" s="49">
        <v>44704.069951412035</v>
      </c>
      <c r="B892" s="50">
        <v>44704.1949267361</v>
      </c>
      <c r="C892" s="51">
        <v>1.042</v>
      </c>
      <c r="D892" s="51">
        <v>67.0</v>
      </c>
      <c r="E892" s="52" t="s">
        <v>25</v>
      </c>
      <c r="F892" s="52" t="s">
        <v>26</v>
      </c>
      <c r="G892" s="53"/>
    </row>
    <row r="893">
      <c r="A893" s="49">
        <v>44704.080368379626</v>
      </c>
      <c r="B893" s="50">
        <v>44704.205349456</v>
      </c>
      <c r="C893" s="51">
        <v>1.041</v>
      </c>
      <c r="D893" s="51">
        <v>67.0</v>
      </c>
      <c r="E893" s="52" t="s">
        <v>25</v>
      </c>
      <c r="F893" s="52" t="s">
        <v>26</v>
      </c>
      <c r="G893" s="53"/>
    </row>
    <row r="894">
      <c r="A894" s="49">
        <v>44704.09079190972</v>
      </c>
      <c r="B894" s="50">
        <v>44704.2157707754</v>
      </c>
      <c r="C894" s="51">
        <v>1.041</v>
      </c>
      <c r="D894" s="51">
        <v>67.0</v>
      </c>
      <c r="E894" s="52" t="s">
        <v>25</v>
      </c>
      <c r="F894" s="52" t="s">
        <v>26</v>
      </c>
      <c r="G894" s="53"/>
    </row>
    <row r="895">
      <c r="A895" s="49">
        <v>44704.10120851852</v>
      </c>
      <c r="B895" s="50">
        <v>44704.2261901157</v>
      </c>
      <c r="C895" s="51">
        <v>1.041</v>
      </c>
      <c r="D895" s="51">
        <v>67.0</v>
      </c>
      <c r="E895" s="52" t="s">
        <v>25</v>
      </c>
      <c r="F895" s="52" t="s">
        <v>26</v>
      </c>
      <c r="G895" s="53"/>
    </row>
    <row r="896">
      <c r="A896" s="49">
        <v>44704.11163824074</v>
      </c>
      <c r="B896" s="50">
        <v>44704.2366097222</v>
      </c>
      <c r="C896" s="51">
        <v>1.041</v>
      </c>
      <c r="D896" s="51">
        <v>67.0</v>
      </c>
      <c r="E896" s="52" t="s">
        <v>25</v>
      </c>
      <c r="F896" s="52" t="s">
        <v>26</v>
      </c>
      <c r="G896" s="53"/>
    </row>
    <row r="897">
      <c r="A897" s="49">
        <v>44704.12208417824</v>
      </c>
      <c r="B897" s="50">
        <v>44704.2470555439</v>
      </c>
      <c r="C897" s="51">
        <v>1.041</v>
      </c>
      <c r="D897" s="51">
        <v>67.0</v>
      </c>
      <c r="E897" s="52" t="s">
        <v>25</v>
      </c>
      <c r="F897" s="52" t="s">
        <v>26</v>
      </c>
      <c r="G897" s="53"/>
    </row>
    <row r="898">
      <c r="A898" s="49">
        <v>44704.13250354167</v>
      </c>
      <c r="B898" s="50">
        <v>44704.2574768055</v>
      </c>
      <c r="C898" s="51">
        <v>1.041</v>
      </c>
      <c r="D898" s="51">
        <v>67.0</v>
      </c>
      <c r="E898" s="52" t="s">
        <v>25</v>
      </c>
      <c r="F898" s="52" t="s">
        <v>26</v>
      </c>
      <c r="G898" s="53"/>
    </row>
    <row r="899">
      <c r="A899" s="49">
        <v>44704.14292521991</v>
      </c>
      <c r="B899" s="50">
        <v>44704.2678989236</v>
      </c>
      <c r="C899" s="51">
        <v>1.041</v>
      </c>
      <c r="D899" s="51">
        <v>67.0</v>
      </c>
      <c r="E899" s="52" t="s">
        <v>25</v>
      </c>
      <c r="F899" s="52" t="s">
        <v>26</v>
      </c>
      <c r="G899" s="53"/>
    </row>
    <row r="900">
      <c r="A900" s="49">
        <v>44704.15335042824</v>
      </c>
      <c r="B900" s="50">
        <v>44704.2783224189</v>
      </c>
      <c r="C900" s="51">
        <v>1.041</v>
      </c>
      <c r="D900" s="51">
        <v>67.0</v>
      </c>
      <c r="E900" s="52" t="s">
        <v>25</v>
      </c>
      <c r="F900" s="52" t="s">
        <v>26</v>
      </c>
      <c r="G900" s="53"/>
    </row>
    <row r="901">
      <c r="A901" s="49">
        <v>44704.16377690972</v>
      </c>
      <c r="B901" s="50">
        <v>44704.2887454629</v>
      </c>
      <c r="C901" s="51">
        <v>1.041</v>
      </c>
      <c r="D901" s="51">
        <v>67.0</v>
      </c>
      <c r="E901" s="52" t="s">
        <v>25</v>
      </c>
      <c r="F901" s="52" t="s">
        <v>26</v>
      </c>
      <c r="G901" s="53"/>
    </row>
    <row r="902">
      <c r="A902" s="49">
        <v>44704.174200787034</v>
      </c>
      <c r="B902" s="50">
        <v>44704.2991792592</v>
      </c>
      <c r="C902" s="51">
        <v>1.041</v>
      </c>
      <c r="D902" s="51">
        <v>67.0</v>
      </c>
      <c r="E902" s="52" t="s">
        <v>25</v>
      </c>
      <c r="F902" s="52" t="s">
        <v>26</v>
      </c>
      <c r="G902" s="53"/>
    </row>
    <row r="903">
      <c r="A903" s="49">
        <v>44704.18466422454</v>
      </c>
      <c r="B903" s="50">
        <v>44704.3096348263</v>
      </c>
      <c r="C903" s="51">
        <v>1.041</v>
      </c>
      <c r="D903" s="51">
        <v>67.0</v>
      </c>
      <c r="E903" s="52" t="s">
        <v>25</v>
      </c>
      <c r="F903" s="52" t="s">
        <v>26</v>
      </c>
      <c r="G903" s="53"/>
    </row>
    <row r="904">
      <c r="A904" s="49">
        <v>44704.195080844904</v>
      </c>
      <c r="B904" s="50">
        <v>44704.3200571527</v>
      </c>
      <c r="C904" s="51">
        <v>1.041</v>
      </c>
      <c r="D904" s="51">
        <v>67.0</v>
      </c>
      <c r="E904" s="52" t="s">
        <v>25</v>
      </c>
      <c r="F904" s="52" t="s">
        <v>26</v>
      </c>
      <c r="G904" s="53"/>
    </row>
    <row r="905">
      <c r="A905" s="49">
        <v>44704.20550185185</v>
      </c>
      <c r="B905" s="50">
        <v>44704.3304791551</v>
      </c>
      <c r="C905" s="51">
        <v>1.041</v>
      </c>
      <c r="D905" s="51">
        <v>67.0</v>
      </c>
      <c r="E905" s="52" t="s">
        <v>25</v>
      </c>
      <c r="F905" s="52" t="s">
        <v>26</v>
      </c>
      <c r="G905" s="53"/>
    </row>
    <row r="906">
      <c r="A906" s="49">
        <v>44704.21593258102</v>
      </c>
      <c r="B906" s="50">
        <v>44704.3408998958</v>
      </c>
      <c r="C906" s="51">
        <v>1.041</v>
      </c>
      <c r="D906" s="51">
        <v>67.0</v>
      </c>
      <c r="E906" s="52" t="s">
        <v>25</v>
      </c>
      <c r="F906" s="52" t="s">
        <v>26</v>
      </c>
      <c r="G906" s="53"/>
    </row>
    <row r="907">
      <c r="A907" s="49">
        <v>44704.22634907407</v>
      </c>
      <c r="B907" s="50">
        <v>44704.3513211805</v>
      </c>
      <c r="C907" s="51">
        <v>1.041</v>
      </c>
      <c r="D907" s="51">
        <v>67.0</v>
      </c>
      <c r="E907" s="52" t="s">
        <v>25</v>
      </c>
      <c r="F907" s="52" t="s">
        <v>26</v>
      </c>
      <c r="G907" s="53"/>
    </row>
    <row r="908">
      <c r="A908" s="49">
        <v>44704.236771909724</v>
      </c>
      <c r="B908" s="50">
        <v>44704.3617417592</v>
      </c>
      <c r="C908" s="51">
        <v>1.041</v>
      </c>
      <c r="D908" s="51">
        <v>67.0</v>
      </c>
      <c r="E908" s="52" t="s">
        <v>25</v>
      </c>
      <c r="F908" s="52" t="s">
        <v>26</v>
      </c>
      <c r="G908" s="53"/>
    </row>
    <row r="909">
      <c r="A909" s="49">
        <v>44704.24719546296</v>
      </c>
      <c r="B909" s="50">
        <v>44704.3721635995</v>
      </c>
      <c r="C909" s="51">
        <v>1.041</v>
      </c>
      <c r="D909" s="51">
        <v>67.0</v>
      </c>
      <c r="E909" s="52" t="s">
        <v>25</v>
      </c>
      <c r="F909" s="52" t="s">
        <v>26</v>
      </c>
      <c r="G909" s="53"/>
    </row>
    <row r="910">
      <c r="A910" s="49">
        <v>44704.25761313658</v>
      </c>
      <c r="B910" s="50">
        <v>44704.3825853356</v>
      </c>
      <c r="C910" s="51">
        <v>1.041</v>
      </c>
      <c r="D910" s="51">
        <v>67.0</v>
      </c>
      <c r="E910" s="52" t="s">
        <v>25</v>
      </c>
      <c r="F910" s="52" t="s">
        <v>26</v>
      </c>
      <c r="G910" s="53"/>
    </row>
    <row r="911">
      <c r="A911" s="49">
        <v>44704.26803611111</v>
      </c>
      <c r="B911" s="50">
        <v>44704.3930056944</v>
      </c>
      <c r="C911" s="51">
        <v>1.04</v>
      </c>
      <c r="D911" s="51">
        <v>67.0</v>
      </c>
      <c r="E911" s="52" t="s">
        <v>25</v>
      </c>
      <c r="F911" s="52" t="s">
        <v>26</v>
      </c>
      <c r="G911" s="53"/>
    </row>
    <row r="912">
      <c r="A912" s="49">
        <v>44704.27845063657</v>
      </c>
      <c r="B912" s="50">
        <v>44704.4034252546</v>
      </c>
      <c r="C912" s="51">
        <v>1.041</v>
      </c>
      <c r="D912" s="51">
        <v>67.0</v>
      </c>
      <c r="E912" s="52" t="s">
        <v>25</v>
      </c>
      <c r="F912" s="52" t="s">
        <v>26</v>
      </c>
      <c r="G912" s="53"/>
    </row>
    <row r="913">
      <c r="A913" s="49">
        <v>44704.288865462964</v>
      </c>
      <c r="B913" s="50">
        <v>44704.4138481018</v>
      </c>
      <c r="C913" s="51">
        <v>1.04</v>
      </c>
      <c r="D913" s="51">
        <v>68.0</v>
      </c>
      <c r="E913" s="52" t="s">
        <v>25</v>
      </c>
      <c r="F913" s="52" t="s">
        <v>26</v>
      </c>
      <c r="G913" s="53"/>
    </row>
    <row r="914">
      <c r="A914" s="49">
        <v>44704.299304155094</v>
      </c>
      <c r="B914" s="50">
        <v>44704.4242706018</v>
      </c>
      <c r="C914" s="51">
        <v>1.04</v>
      </c>
      <c r="D914" s="51">
        <v>68.0</v>
      </c>
      <c r="E914" s="52" t="s">
        <v>25</v>
      </c>
      <c r="F914" s="52" t="s">
        <v>26</v>
      </c>
      <c r="G914" s="53"/>
    </row>
    <row r="915">
      <c r="A915" s="49">
        <v>44704.30972089121</v>
      </c>
      <c r="B915" s="50">
        <v>44704.4346915625</v>
      </c>
      <c r="C915" s="51">
        <v>1.04</v>
      </c>
      <c r="D915" s="51">
        <v>68.0</v>
      </c>
      <c r="E915" s="52" t="s">
        <v>25</v>
      </c>
      <c r="F915" s="52" t="s">
        <v>26</v>
      </c>
      <c r="G915" s="53"/>
    </row>
    <row r="916">
      <c r="A916" s="49">
        <v>44704.32015890046</v>
      </c>
      <c r="B916" s="50">
        <v>44704.4451256597</v>
      </c>
      <c r="C916" s="51">
        <v>1.04</v>
      </c>
      <c r="D916" s="51">
        <v>68.0</v>
      </c>
      <c r="E916" s="52" t="s">
        <v>25</v>
      </c>
      <c r="F916" s="52" t="s">
        <v>26</v>
      </c>
      <c r="G916" s="53"/>
    </row>
    <row r="917">
      <c r="A917" s="49">
        <v>44704.33058400463</v>
      </c>
      <c r="B917" s="50">
        <v>44704.4555592939</v>
      </c>
      <c r="C917" s="51">
        <v>1.04</v>
      </c>
      <c r="D917" s="51">
        <v>68.0</v>
      </c>
      <c r="E917" s="52" t="s">
        <v>25</v>
      </c>
      <c r="F917" s="52" t="s">
        <v>26</v>
      </c>
      <c r="G917" s="53"/>
    </row>
    <row r="918">
      <c r="A918" s="49">
        <v>44704.340999305554</v>
      </c>
      <c r="B918" s="50">
        <v>44704.4659797106</v>
      </c>
      <c r="C918" s="51">
        <v>1.04</v>
      </c>
      <c r="D918" s="51">
        <v>68.0</v>
      </c>
      <c r="E918" s="52" t="s">
        <v>25</v>
      </c>
      <c r="F918" s="52" t="s">
        <v>26</v>
      </c>
      <c r="G918" s="53"/>
    </row>
    <row r="919">
      <c r="A919" s="49">
        <v>44704.35142961805</v>
      </c>
      <c r="B919" s="50">
        <v>44704.4764012152</v>
      </c>
      <c r="C919" s="51">
        <v>1.04</v>
      </c>
      <c r="D919" s="51">
        <v>68.0</v>
      </c>
      <c r="E919" s="52" t="s">
        <v>25</v>
      </c>
      <c r="F919" s="52" t="s">
        <v>26</v>
      </c>
      <c r="G919" s="53"/>
    </row>
    <row r="920">
      <c r="A920" s="49">
        <v>44704.36220243055</v>
      </c>
      <c r="B920" s="50">
        <v>44704.4868231828</v>
      </c>
      <c r="C920" s="51">
        <v>1.04</v>
      </c>
      <c r="D920" s="51">
        <v>68.0</v>
      </c>
      <c r="E920" s="52" t="s">
        <v>25</v>
      </c>
      <c r="F920" s="52" t="s">
        <v>26</v>
      </c>
      <c r="G920" s="53"/>
    </row>
    <row r="921">
      <c r="A921" s="49">
        <v>44704.37228055556</v>
      </c>
      <c r="B921" s="50">
        <v>44704.4972536574</v>
      </c>
      <c r="C921" s="51">
        <v>1.04</v>
      </c>
      <c r="D921" s="51">
        <v>68.0</v>
      </c>
      <c r="E921" s="52" t="s">
        <v>25</v>
      </c>
      <c r="F921" s="52" t="s">
        <v>26</v>
      </c>
      <c r="G921" s="53"/>
    </row>
    <row r="922">
      <c r="A922" s="49">
        <v>44704.38269619213</v>
      </c>
      <c r="B922" s="50">
        <v>44704.5076743634</v>
      </c>
      <c r="C922" s="51">
        <v>1.04</v>
      </c>
      <c r="D922" s="51">
        <v>68.0</v>
      </c>
      <c r="E922" s="52" t="s">
        <v>25</v>
      </c>
      <c r="F922" s="52" t="s">
        <v>26</v>
      </c>
      <c r="G922" s="53"/>
    </row>
    <row r="923">
      <c r="A923" s="49">
        <v>44704.39313650463</v>
      </c>
      <c r="B923" s="50">
        <v>44704.5180956828</v>
      </c>
      <c r="C923" s="51">
        <v>1.04</v>
      </c>
      <c r="D923" s="51">
        <v>68.0</v>
      </c>
      <c r="E923" s="52" t="s">
        <v>25</v>
      </c>
      <c r="F923" s="52" t="s">
        <v>26</v>
      </c>
      <c r="G923" s="53"/>
    </row>
    <row r="924">
      <c r="A924" s="49">
        <v>44704.40354752315</v>
      </c>
      <c r="B924" s="50">
        <v>44704.5285174999</v>
      </c>
      <c r="C924" s="51">
        <v>1.04</v>
      </c>
      <c r="D924" s="51">
        <v>68.0</v>
      </c>
      <c r="E924" s="52" t="s">
        <v>25</v>
      </c>
      <c r="F924" s="52" t="s">
        <v>26</v>
      </c>
      <c r="G924" s="53"/>
    </row>
    <row r="925">
      <c r="A925" s="49">
        <v>44704.41395861111</v>
      </c>
      <c r="B925" s="50">
        <v>44704.5389377662</v>
      </c>
      <c r="C925" s="51">
        <v>1.04</v>
      </c>
      <c r="D925" s="51">
        <v>68.0</v>
      </c>
      <c r="E925" s="52" t="s">
        <v>25</v>
      </c>
      <c r="F925" s="52" t="s">
        <v>26</v>
      </c>
      <c r="G925" s="53"/>
    </row>
    <row r="926">
      <c r="A926" s="49">
        <v>44704.424404062505</v>
      </c>
      <c r="B926" s="50">
        <v>44704.5493586805</v>
      </c>
      <c r="C926" s="51">
        <v>1.04</v>
      </c>
      <c r="D926" s="51">
        <v>68.0</v>
      </c>
      <c r="E926" s="52" t="s">
        <v>25</v>
      </c>
      <c r="F926" s="52" t="s">
        <v>26</v>
      </c>
      <c r="G926" s="53"/>
    </row>
    <row r="927">
      <c r="A927" s="49">
        <v>44704.43480030092</v>
      </c>
      <c r="B927" s="50">
        <v>44704.5597784027</v>
      </c>
      <c r="C927" s="51">
        <v>1.04</v>
      </c>
      <c r="D927" s="51">
        <v>68.0</v>
      </c>
      <c r="E927" s="52" t="s">
        <v>25</v>
      </c>
      <c r="F927" s="52" t="s">
        <v>26</v>
      </c>
      <c r="G927" s="53"/>
    </row>
    <row r="928">
      <c r="A928" s="49">
        <v>44704.44521965278</v>
      </c>
      <c r="B928" s="50">
        <v>44704.5701979513</v>
      </c>
      <c r="C928" s="51">
        <v>1.04</v>
      </c>
      <c r="D928" s="51">
        <v>68.0</v>
      </c>
      <c r="E928" s="52" t="s">
        <v>25</v>
      </c>
      <c r="F928" s="52" t="s">
        <v>26</v>
      </c>
      <c r="G928" s="53"/>
    </row>
    <row r="929">
      <c r="A929" s="49">
        <v>44704.45566959491</v>
      </c>
      <c r="B929" s="50">
        <v>44704.5806428125</v>
      </c>
      <c r="C929" s="51">
        <v>1.04</v>
      </c>
      <c r="D929" s="51">
        <v>68.0</v>
      </c>
      <c r="E929" s="52" t="s">
        <v>25</v>
      </c>
      <c r="F929" s="52" t="s">
        <v>26</v>
      </c>
      <c r="G929" s="53"/>
    </row>
    <row r="930">
      <c r="A930" s="49">
        <v>44704.466085775464</v>
      </c>
      <c r="B930" s="50">
        <v>44704.5910635995</v>
      </c>
      <c r="C930" s="51">
        <v>1.04</v>
      </c>
      <c r="D930" s="51">
        <v>68.0</v>
      </c>
      <c r="E930" s="52" t="s">
        <v>25</v>
      </c>
      <c r="F930" s="52" t="s">
        <v>26</v>
      </c>
      <c r="G930" s="53"/>
    </row>
    <row r="931">
      <c r="A931" s="49">
        <v>44704.476515891205</v>
      </c>
      <c r="B931" s="50">
        <v>44704.6014853588</v>
      </c>
      <c r="C931" s="51">
        <v>1.04</v>
      </c>
      <c r="D931" s="51">
        <v>68.0</v>
      </c>
      <c r="E931" s="52" t="s">
        <v>25</v>
      </c>
      <c r="F931" s="52" t="s">
        <v>26</v>
      </c>
      <c r="G931" s="53"/>
    </row>
    <row r="932">
      <c r="A932" s="49">
        <v>44704.486952141204</v>
      </c>
      <c r="B932" s="50">
        <v>44704.6119174421</v>
      </c>
      <c r="C932" s="51">
        <v>1.04</v>
      </c>
      <c r="D932" s="51">
        <v>68.0</v>
      </c>
      <c r="E932" s="52" t="s">
        <v>25</v>
      </c>
      <c r="F932" s="52" t="s">
        <v>26</v>
      </c>
      <c r="G932" s="53"/>
    </row>
    <row r="933">
      <c r="A933" s="49">
        <v>44704.497375590276</v>
      </c>
      <c r="B933" s="50">
        <v>44704.6223516435</v>
      </c>
      <c r="C933" s="51">
        <v>1.04</v>
      </c>
      <c r="D933" s="51">
        <v>68.0</v>
      </c>
      <c r="E933" s="52" t="s">
        <v>25</v>
      </c>
      <c r="F933" s="52" t="s">
        <v>26</v>
      </c>
      <c r="G933" s="53"/>
    </row>
    <row r="934">
      <c r="A934" s="49">
        <v>44704.518237951386</v>
      </c>
      <c r="B934" s="50">
        <v>44704.6432063541</v>
      </c>
      <c r="C934" s="51">
        <v>1.04</v>
      </c>
      <c r="D934" s="51">
        <v>68.0</v>
      </c>
      <c r="E934" s="52" t="s">
        <v>25</v>
      </c>
      <c r="F934" s="52" t="s">
        <v>26</v>
      </c>
      <c r="G934" s="53"/>
    </row>
    <row r="935">
      <c r="A935" s="49">
        <v>44704.52866465278</v>
      </c>
      <c r="B935" s="50">
        <v>44704.6536393634</v>
      </c>
      <c r="C935" s="51">
        <v>1.04</v>
      </c>
      <c r="D935" s="51">
        <v>68.0</v>
      </c>
      <c r="E935" s="52" t="s">
        <v>25</v>
      </c>
      <c r="F935" s="52" t="s">
        <v>26</v>
      </c>
      <c r="G935" s="53"/>
    </row>
    <row r="936">
      <c r="A936" s="49">
        <v>44704.53908234954</v>
      </c>
      <c r="B936" s="50">
        <v>44704.6640615972</v>
      </c>
      <c r="C936" s="51">
        <v>1.039</v>
      </c>
      <c r="D936" s="51">
        <v>68.0</v>
      </c>
      <c r="E936" s="52" t="s">
        <v>25</v>
      </c>
      <c r="F936" s="52" t="s">
        <v>26</v>
      </c>
      <c r="G936" s="53"/>
    </row>
    <row r="937">
      <c r="A937" s="49">
        <v>44704.549513564816</v>
      </c>
      <c r="B937" s="50">
        <v>44704.674493287</v>
      </c>
      <c r="C937" s="51">
        <v>1.039</v>
      </c>
      <c r="D937" s="51">
        <v>68.0</v>
      </c>
      <c r="E937" s="52" t="s">
        <v>25</v>
      </c>
      <c r="F937" s="52" t="s">
        <v>26</v>
      </c>
      <c r="G937" s="53"/>
    </row>
    <row r="938">
      <c r="A938" s="49">
        <v>44704.55994773148</v>
      </c>
      <c r="B938" s="50">
        <v>44704.6849126041</v>
      </c>
      <c r="C938" s="51">
        <v>1.039</v>
      </c>
      <c r="D938" s="51">
        <v>68.0</v>
      </c>
      <c r="E938" s="52" t="s">
        <v>25</v>
      </c>
      <c r="F938" s="52" t="s">
        <v>26</v>
      </c>
      <c r="G938" s="53"/>
    </row>
    <row r="939">
      <c r="A939" s="49">
        <v>44704.570359756945</v>
      </c>
      <c r="B939" s="50">
        <v>44704.6953331597</v>
      </c>
      <c r="C939" s="51">
        <v>1.04</v>
      </c>
      <c r="D939" s="51">
        <v>68.0</v>
      </c>
      <c r="E939" s="52" t="s">
        <v>25</v>
      </c>
      <c r="F939" s="52" t="s">
        <v>26</v>
      </c>
      <c r="G939" s="53"/>
    </row>
    <row r="940">
      <c r="A940" s="49">
        <v>44704.58078280093</v>
      </c>
      <c r="B940" s="50">
        <v>44704.705755162</v>
      </c>
      <c r="C940" s="51">
        <v>1.039</v>
      </c>
      <c r="D940" s="51">
        <v>68.0</v>
      </c>
      <c r="E940" s="52" t="s">
        <v>25</v>
      </c>
      <c r="F940" s="52" t="s">
        <v>26</v>
      </c>
      <c r="G940" s="53"/>
    </row>
    <row r="941">
      <c r="A941" s="49">
        <v>44704.591204375</v>
      </c>
      <c r="B941" s="50">
        <v>44704.7161765046</v>
      </c>
      <c r="C941" s="51">
        <v>1.039</v>
      </c>
      <c r="D941" s="51">
        <v>68.0</v>
      </c>
      <c r="E941" s="52" t="s">
        <v>25</v>
      </c>
      <c r="F941" s="52" t="s">
        <v>26</v>
      </c>
      <c r="G941" s="53"/>
    </row>
    <row r="942">
      <c r="A942" s="49">
        <v>44704.601622268514</v>
      </c>
      <c r="B942" s="50">
        <v>44704.7265986805</v>
      </c>
      <c r="C942" s="51">
        <v>1.039</v>
      </c>
      <c r="D942" s="51">
        <v>68.0</v>
      </c>
      <c r="E942" s="52" t="s">
        <v>25</v>
      </c>
      <c r="F942" s="52" t="s">
        <v>26</v>
      </c>
      <c r="G942" s="53"/>
    </row>
    <row r="943">
      <c r="A943" s="49">
        <v>44704.6120634375</v>
      </c>
      <c r="B943" s="50">
        <v>44704.7370329861</v>
      </c>
      <c r="C943" s="51">
        <v>1.039</v>
      </c>
      <c r="D943" s="51">
        <v>68.0</v>
      </c>
      <c r="E943" s="52" t="s">
        <v>25</v>
      </c>
      <c r="F943" s="52" t="s">
        <v>26</v>
      </c>
      <c r="G943" s="53"/>
    </row>
    <row r="944">
      <c r="A944" s="49">
        <v>44704.62250354167</v>
      </c>
      <c r="B944" s="50">
        <v>44704.747467662</v>
      </c>
      <c r="C944" s="51">
        <v>1.039</v>
      </c>
      <c r="D944" s="51">
        <v>68.0</v>
      </c>
      <c r="E944" s="52" t="s">
        <v>25</v>
      </c>
      <c r="F944" s="52" t="s">
        <v>26</v>
      </c>
      <c r="G944" s="53"/>
    </row>
    <row r="945">
      <c r="A945" s="49">
        <v>44704.63293790509</v>
      </c>
      <c r="B945" s="50">
        <v>44704.7579142939</v>
      </c>
      <c r="C945" s="51">
        <v>1.039</v>
      </c>
      <c r="D945" s="51">
        <v>68.0</v>
      </c>
      <c r="E945" s="52" t="s">
        <v>25</v>
      </c>
      <c r="F945" s="52" t="s">
        <v>26</v>
      </c>
      <c r="G945" s="53"/>
    </row>
    <row r="946">
      <c r="A946" s="49">
        <v>44704.6433740162</v>
      </c>
      <c r="B946" s="50">
        <v>44704.7683366666</v>
      </c>
      <c r="C946" s="51">
        <v>1.039</v>
      </c>
      <c r="D946" s="51">
        <v>68.0</v>
      </c>
      <c r="E946" s="52" t="s">
        <v>25</v>
      </c>
      <c r="F946" s="52" t="s">
        <v>26</v>
      </c>
      <c r="G946" s="53"/>
    </row>
    <row r="947">
      <c r="A947" s="49">
        <v>44704.653808125004</v>
      </c>
      <c r="B947" s="50">
        <v>44704.7787807291</v>
      </c>
      <c r="C947" s="51">
        <v>1.039</v>
      </c>
      <c r="D947" s="51">
        <v>68.0</v>
      </c>
      <c r="E947" s="52" t="s">
        <v>25</v>
      </c>
      <c r="F947" s="52" t="s">
        <v>26</v>
      </c>
      <c r="G947" s="53"/>
    </row>
    <row r="948">
      <c r="A948" s="49">
        <v>44704.66423414352</v>
      </c>
      <c r="B948" s="50">
        <v>44704.7892010416</v>
      </c>
      <c r="C948" s="51">
        <v>1.039</v>
      </c>
      <c r="D948" s="51">
        <v>68.0</v>
      </c>
      <c r="E948" s="52" t="s">
        <v>25</v>
      </c>
      <c r="F948" s="52" t="s">
        <v>26</v>
      </c>
      <c r="G948" s="53"/>
    </row>
    <row r="949">
      <c r="A949" s="49">
        <v>44704.67464837963</v>
      </c>
      <c r="B949" s="50">
        <v>44704.7996228935</v>
      </c>
      <c r="C949" s="51">
        <v>1.039</v>
      </c>
      <c r="D949" s="51">
        <v>68.0</v>
      </c>
      <c r="E949" s="52" t="s">
        <v>25</v>
      </c>
      <c r="F949" s="52" t="s">
        <v>26</v>
      </c>
      <c r="G949" s="53"/>
    </row>
    <row r="950">
      <c r="A950" s="49">
        <v>44704.685062268516</v>
      </c>
      <c r="B950" s="50">
        <v>44704.8100434722</v>
      </c>
      <c r="C950" s="51">
        <v>1.039</v>
      </c>
      <c r="D950" s="51">
        <v>69.0</v>
      </c>
      <c r="E950" s="52" t="s">
        <v>25</v>
      </c>
      <c r="F950" s="52" t="s">
        <v>26</v>
      </c>
      <c r="G950" s="53"/>
    </row>
    <row r="951">
      <c r="A951" s="49">
        <v>44704.695494224536</v>
      </c>
      <c r="B951" s="50">
        <v>44704.8204638888</v>
      </c>
      <c r="C951" s="51">
        <v>1.039</v>
      </c>
      <c r="D951" s="51">
        <v>69.0</v>
      </c>
      <c r="E951" s="52" t="s">
        <v>25</v>
      </c>
      <c r="F951" s="52" t="s">
        <v>26</v>
      </c>
      <c r="G951" s="53"/>
    </row>
    <row r="952">
      <c r="A952" s="49">
        <v>44704.70591532407</v>
      </c>
      <c r="B952" s="50">
        <v>44704.8308849999</v>
      </c>
      <c r="C952" s="51">
        <v>1.039</v>
      </c>
      <c r="D952" s="51">
        <v>68.0</v>
      </c>
      <c r="E952" s="52" t="s">
        <v>25</v>
      </c>
      <c r="F952" s="52" t="s">
        <v>26</v>
      </c>
      <c r="G952" s="53"/>
    </row>
    <row r="953">
      <c r="A953" s="49">
        <v>44704.71633753472</v>
      </c>
      <c r="B953" s="50">
        <v>44704.8413059259</v>
      </c>
      <c r="C953" s="51">
        <v>1.039</v>
      </c>
      <c r="D953" s="51">
        <v>68.0</v>
      </c>
      <c r="E953" s="52" t="s">
        <v>25</v>
      </c>
      <c r="F953" s="52" t="s">
        <v>26</v>
      </c>
      <c r="G953" s="53"/>
    </row>
    <row r="954">
      <c r="A954" s="49">
        <v>44704.726757048615</v>
      </c>
      <c r="B954" s="50">
        <v>44704.8517271643</v>
      </c>
      <c r="C954" s="51">
        <v>1.039</v>
      </c>
      <c r="D954" s="51">
        <v>69.0</v>
      </c>
      <c r="E954" s="52" t="s">
        <v>25</v>
      </c>
      <c r="F954" s="52" t="s">
        <v>26</v>
      </c>
      <c r="G954" s="53"/>
    </row>
    <row r="955">
      <c r="A955" s="49">
        <v>44704.73717600694</v>
      </c>
      <c r="B955" s="50">
        <v>44704.8621473842</v>
      </c>
      <c r="C955" s="51">
        <v>1.039</v>
      </c>
      <c r="D955" s="51">
        <v>69.0</v>
      </c>
      <c r="E955" s="52" t="s">
        <v>25</v>
      </c>
      <c r="F955" s="52" t="s">
        <v>26</v>
      </c>
      <c r="G955" s="53"/>
    </row>
    <row r="956">
      <c r="A956" s="49">
        <v>44704.747593611115</v>
      </c>
      <c r="B956" s="50">
        <v>44704.8725695023</v>
      </c>
      <c r="C956" s="51">
        <v>1.039</v>
      </c>
      <c r="D956" s="51">
        <v>69.0</v>
      </c>
      <c r="E956" s="52" t="s">
        <v>25</v>
      </c>
      <c r="F956" s="52" t="s">
        <v>26</v>
      </c>
      <c r="G956" s="53"/>
    </row>
    <row r="957">
      <c r="A957" s="49">
        <v>44704.758025625</v>
      </c>
      <c r="B957" s="50">
        <v>44704.8829901388</v>
      </c>
      <c r="C957" s="51">
        <v>1.039</v>
      </c>
      <c r="D957" s="51">
        <v>69.0</v>
      </c>
      <c r="E957" s="52" t="s">
        <v>25</v>
      </c>
      <c r="F957" s="52" t="s">
        <v>26</v>
      </c>
      <c r="G957" s="53"/>
    </row>
    <row r="958">
      <c r="A958" s="49">
        <v>44704.76844208333</v>
      </c>
      <c r="B958" s="50">
        <v>44704.8934123379</v>
      </c>
      <c r="C958" s="51">
        <v>1.039</v>
      </c>
      <c r="D958" s="51">
        <v>69.0</v>
      </c>
      <c r="E958" s="52" t="s">
        <v>25</v>
      </c>
      <c r="F958" s="52" t="s">
        <v>26</v>
      </c>
      <c r="G958" s="53"/>
    </row>
    <row r="959">
      <c r="A959" s="49">
        <v>44704.778864155094</v>
      </c>
      <c r="B959" s="50">
        <v>44704.9038335416</v>
      </c>
      <c r="C959" s="51">
        <v>1.039</v>
      </c>
      <c r="D959" s="51">
        <v>69.0</v>
      </c>
      <c r="E959" s="52" t="s">
        <v>25</v>
      </c>
      <c r="F959" s="52" t="s">
        <v>26</v>
      </c>
      <c r="G959" s="53"/>
    </row>
    <row r="960">
      <c r="A960" s="49">
        <v>44704.78929356481</v>
      </c>
      <c r="B960" s="50">
        <v>44704.914266412</v>
      </c>
      <c r="C960" s="51">
        <v>1.039</v>
      </c>
      <c r="D960" s="51">
        <v>69.0</v>
      </c>
      <c r="E960" s="52" t="s">
        <v>25</v>
      </c>
      <c r="F960" s="52" t="s">
        <v>26</v>
      </c>
      <c r="G960" s="53"/>
    </row>
    <row r="961">
      <c r="A961" s="49">
        <v>44704.79972592593</v>
      </c>
      <c r="B961" s="50">
        <v>44704.9246873958</v>
      </c>
      <c r="C961" s="51">
        <v>1.039</v>
      </c>
      <c r="D961" s="51">
        <v>69.0</v>
      </c>
      <c r="E961" s="52" t="s">
        <v>25</v>
      </c>
      <c r="F961" s="52" t="s">
        <v>26</v>
      </c>
      <c r="G961" s="53"/>
    </row>
    <row r="962">
      <c r="A962" s="49">
        <v>44704.81015273149</v>
      </c>
      <c r="B962" s="50">
        <v>44704.9351210995</v>
      </c>
      <c r="C962" s="51">
        <v>1.039</v>
      </c>
      <c r="D962" s="51">
        <v>69.0</v>
      </c>
      <c r="E962" s="52" t="s">
        <v>25</v>
      </c>
      <c r="F962" s="52" t="s">
        <v>26</v>
      </c>
      <c r="G962" s="53"/>
    </row>
    <row r="963">
      <c r="A963" s="49">
        <v>44704.82058013889</v>
      </c>
      <c r="B963" s="50">
        <v>44704.9455544213</v>
      </c>
      <c r="C963" s="51">
        <v>1.039</v>
      </c>
      <c r="D963" s="51">
        <v>69.0</v>
      </c>
      <c r="E963" s="52" t="s">
        <v>25</v>
      </c>
      <c r="F963" s="52" t="s">
        <v>26</v>
      </c>
      <c r="G963" s="53"/>
    </row>
    <row r="964">
      <c r="A964" s="49">
        <v>44704.83100900463</v>
      </c>
      <c r="B964" s="50">
        <v>44704.9559754745</v>
      </c>
      <c r="C964" s="51">
        <v>1.039</v>
      </c>
      <c r="D964" s="51">
        <v>69.0</v>
      </c>
      <c r="E964" s="52" t="s">
        <v>25</v>
      </c>
      <c r="F964" s="52" t="s">
        <v>26</v>
      </c>
      <c r="G964" s="53"/>
    </row>
    <row r="965">
      <c r="A965" s="49">
        <v>44704.84142645833</v>
      </c>
      <c r="B965" s="50">
        <v>44704.966396331</v>
      </c>
      <c r="C965" s="51">
        <v>1.039</v>
      </c>
      <c r="D965" s="51">
        <v>69.0</v>
      </c>
      <c r="E965" s="52" t="s">
        <v>25</v>
      </c>
      <c r="F965" s="52" t="s">
        <v>26</v>
      </c>
      <c r="G965" s="53"/>
    </row>
    <row r="966">
      <c r="A966" s="49">
        <v>44704.85185576389</v>
      </c>
      <c r="B966" s="50">
        <v>44704.9768290277</v>
      </c>
      <c r="C966" s="51">
        <v>1.038</v>
      </c>
      <c r="D966" s="51">
        <v>69.0</v>
      </c>
      <c r="E966" s="52" t="s">
        <v>25</v>
      </c>
      <c r="F966" s="52" t="s">
        <v>26</v>
      </c>
      <c r="G966" s="53"/>
    </row>
    <row r="967">
      <c r="A967" s="49">
        <v>44704.86227787037</v>
      </c>
      <c r="B967" s="50">
        <v>44704.9872504976</v>
      </c>
      <c r="C967" s="51">
        <v>1.038</v>
      </c>
      <c r="D967" s="51">
        <v>69.0</v>
      </c>
      <c r="E967" s="52" t="s">
        <v>25</v>
      </c>
      <c r="F967" s="52" t="s">
        <v>26</v>
      </c>
      <c r="G967" s="53"/>
    </row>
    <row r="968">
      <c r="A968" s="49">
        <v>44704.87270083334</v>
      </c>
      <c r="B968" s="50">
        <v>44704.9976714814</v>
      </c>
      <c r="C968" s="51">
        <v>1.038</v>
      </c>
      <c r="D968" s="51">
        <v>69.0</v>
      </c>
      <c r="E968" s="52" t="s">
        <v>25</v>
      </c>
      <c r="F968" s="52" t="s">
        <v>26</v>
      </c>
      <c r="G968" s="53"/>
    </row>
    <row r="969">
      <c r="A969" s="49">
        <v>44704.88312579861</v>
      </c>
      <c r="B969" s="50">
        <v>44705.0080937615</v>
      </c>
      <c r="C969" s="51">
        <v>1.038</v>
      </c>
      <c r="D969" s="51">
        <v>69.0</v>
      </c>
      <c r="E969" s="52" t="s">
        <v>25</v>
      </c>
      <c r="F969" s="52" t="s">
        <v>26</v>
      </c>
      <c r="G969" s="53"/>
    </row>
    <row r="970">
      <c r="A970" s="49">
        <v>44704.893545706014</v>
      </c>
      <c r="B970" s="50">
        <v>44705.0185167708</v>
      </c>
      <c r="C970" s="51">
        <v>1.038</v>
      </c>
      <c r="D970" s="51">
        <v>69.0</v>
      </c>
      <c r="E970" s="52" t="s">
        <v>25</v>
      </c>
      <c r="F970" s="52" t="s">
        <v>26</v>
      </c>
      <c r="G970" s="53"/>
    </row>
    <row r="971">
      <c r="A971" s="49">
        <v>44704.9039681713</v>
      </c>
      <c r="B971" s="50">
        <v>44705.028939074</v>
      </c>
      <c r="C971" s="51">
        <v>1.038</v>
      </c>
      <c r="D971" s="51">
        <v>69.0</v>
      </c>
      <c r="E971" s="52" t="s">
        <v>25</v>
      </c>
      <c r="F971" s="52" t="s">
        <v>26</v>
      </c>
      <c r="G971" s="53"/>
    </row>
    <row r="972">
      <c r="A972" s="49">
        <v>44704.91438770833</v>
      </c>
      <c r="B972" s="50">
        <v>44705.0393598726</v>
      </c>
      <c r="C972" s="51">
        <v>1.038</v>
      </c>
      <c r="D972" s="51">
        <v>69.0</v>
      </c>
      <c r="E972" s="52" t="s">
        <v>25</v>
      </c>
      <c r="F972" s="52" t="s">
        <v>26</v>
      </c>
      <c r="G972" s="53"/>
    </row>
    <row r="973">
      <c r="A973" s="49">
        <v>44704.924809421296</v>
      </c>
      <c r="B973" s="50">
        <v>44705.0497807523</v>
      </c>
      <c r="C973" s="51">
        <v>1.038</v>
      </c>
      <c r="D973" s="51">
        <v>69.0</v>
      </c>
      <c r="E973" s="52" t="s">
        <v>25</v>
      </c>
      <c r="F973" s="52" t="s">
        <v>26</v>
      </c>
      <c r="G973" s="53"/>
    </row>
    <row r="974">
      <c r="A974" s="49">
        <v>44704.93522684027</v>
      </c>
      <c r="B974" s="50">
        <v>44705.0602018287</v>
      </c>
      <c r="C974" s="51">
        <v>1.038</v>
      </c>
      <c r="D974" s="51">
        <v>69.0</v>
      </c>
      <c r="E974" s="52" t="s">
        <v>25</v>
      </c>
      <c r="F974" s="52" t="s">
        <v>26</v>
      </c>
      <c r="G974" s="53"/>
    </row>
    <row r="975">
      <c r="A975" s="49">
        <v>44704.945646249995</v>
      </c>
      <c r="B975" s="50">
        <v>44705.0706225231</v>
      </c>
      <c r="C975" s="51">
        <v>1.038</v>
      </c>
      <c r="D975" s="51">
        <v>69.0</v>
      </c>
      <c r="E975" s="52" t="s">
        <v>25</v>
      </c>
      <c r="F975" s="52" t="s">
        <v>26</v>
      </c>
      <c r="G975" s="53"/>
    </row>
    <row r="976">
      <c r="A976" s="49">
        <v>44704.95607777778</v>
      </c>
      <c r="B976" s="50">
        <v>44705.0810430671</v>
      </c>
      <c r="C976" s="51">
        <v>1.038</v>
      </c>
      <c r="D976" s="51">
        <v>69.0</v>
      </c>
      <c r="E976" s="52" t="s">
        <v>25</v>
      </c>
      <c r="F976" s="52" t="s">
        <v>26</v>
      </c>
      <c r="G976" s="53"/>
    </row>
    <row r="977">
      <c r="A977" s="49">
        <v>44704.96649204861</v>
      </c>
      <c r="B977" s="50">
        <v>44705.0914652893</v>
      </c>
      <c r="C977" s="51">
        <v>1.038</v>
      </c>
      <c r="D977" s="51">
        <v>69.0</v>
      </c>
      <c r="E977" s="52" t="s">
        <v>25</v>
      </c>
      <c r="F977" s="52" t="s">
        <v>26</v>
      </c>
      <c r="G977" s="53"/>
    </row>
    <row r="978">
      <c r="A978" s="49">
        <v>44704.97691149305</v>
      </c>
      <c r="B978" s="50">
        <v>44705.1018864699</v>
      </c>
      <c r="C978" s="51">
        <v>1.038</v>
      </c>
      <c r="D978" s="51">
        <v>69.0</v>
      </c>
      <c r="E978" s="52" t="s">
        <v>25</v>
      </c>
      <c r="F978" s="52" t="s">
        <v>26</v>
      </c>
      <c r="G978" s="53"/>
    </row>
    <row r="979">
      <c r="A979" s="49">
        <v>44704.987340798616</v>
      </c>
      <c r="B979" s="50">
        <v>44705.1123087963</v>
      </c>
      <c r="C979" s="51">
        <v>1.038</v>
      </c>
      <c r="D979" s="51">
        <v>69.0</v>
      </c>
      <c r="E979" s="52" t="s">
        <v>25</v>
      </c>
      <c r="F979" s="52" t="s">
        <v>26</v>
      </c>
      <c r="G979" s="53"/>
    </row>
    <row r="980">
      <c r="A980" s="49">
        <v>44704.997770381946</v>
      </c>
      <c r="B980" s="50">
        <v>44705.1227416319</v>
      </c>
      <c r="C980" s="51">
        <v>1.038</v>
      </c>
      <c r="D980" s="51">
        <v>69.0</v>
      </c>
      <c r="E980" s="52" t="s">
        <v>25</v>
      </c>
      <c r="F980" s="52" t="s">
        <v>26</v>
      </c>
      <c r="G980" s="53"/>
    </row>
    <row r="981">
      <c r="A981" s="49">
        <v>44705.00822788195</v>
      </c>
      <c r="B981" s="50">
        <v>44705.1331969907</v>
      </c>
      <c r="C981" s="51">
        <v>1.038</v>
      </c>
      <c r="D981" s="51">
        <v>69.0</v>
      </c>
      <c r="E981" s="52" t="s">
        <v>25</v>
      </c>
      <c r="F981" s="52" t="s">
        <v>26</v>
      </c>
      <c r="G981" s="53"/>
    </row>
    <row r="982">
      <c r="A982" s="49">
        <v>44705.018663877316</v>
      </c>
      <c r="B982" s="50">
        <v>44705.1436295023</v>
      </c>
      <c r="C982" s="51">
        <v>1.038</v>
      </c>
      <c r="D982" s="51">
        <v>69.0</v>
      </c>
      <c r="E982" s="52" t="s">
        <v>25</v>
      </c>
      <c r="F982" s="52" t="s">
        <v>26</v>
      </c>
      <c r="G982" s="53"/>
    </row>
    <row r="983">
      <c r="A983" s="49">
        <v>44705.02911221064</v>
      </c>
      <c r="B983" s="50">
        <v>44705.1540757754</v>
      </c>
      <c r="C983" s="51">
        <v>1.038</v>
      </c>
      <c r="D983" s="51">
        <v>69.0</v>
      </c>
      <c r="E983" s="52" t="s">
        <v>25</v>
      </c>
      <c r="F983" s="52" t="s">
        <v>26</v>
      </c>
      <c r="G983" s="53"/>
    </row>
    <row r="984">
      <c r="A984" s="49">
        <v>44705.039527615736</v>
      </c>
      <c r="B984" s="50">
        <v>44705.1644982407</v>
      </c>
      <c r="C984" s="51">
        <v>1.038</v>
      </c>
      <c r="D984" s="51">
        <v>69.0</v>
      </c>
      <c r="E984" s="52" t="s">
        <v>25</v>
      </c>
      <c r="F984" s="52" t="s">
        <v>26</v>
      </c>
      <c r="G984" s="53"/>
    </row>
    <row r="985">
      <c r="A985" s="49">
        <v>44705.04994596065</v>
      </c>
      <c r="B985" s="50">
        <v>44705.1749178588</v>
      </c>
      <c r="C985" s="51">
        <v>1.038</v>
      </c>
      <c r="D985" s="51">
        <v>69.0</v>
      </c>
      <c r="E985" s="52" t="s">
        <v>25</v>
      </c>
      <c r="F985" s="52" t="s">
        <v>26</v>
      </c>
      <c r="G985" s="53"/>
    </row>
    <row r="986">
      <c r="A986" s="49">
        <v>44705.06038222222</v>
      </c>
      <c r="B986" s="50">
        <v>44705.1853513541</v>
      </c>
      <c r="C986" s="51">
        <v>1.038</v>
      </c>
      <c r="D986" s="51">
        <v>69.0</v>
      </c>
      <c r="E986" s="52" t="s">
        <v>25</v>
      </c>
      <c r="F986" s="52" t="s">
        <v>26</v>
      </c>
      <c r="G986" s="53"/>
    </row>
    <row r="987">
      <c r="A987" s="49">
        <v>44705.070796423606</v>
      </c>
      <c r="B987" s="50">
        <v>44705.1957716666</v>
      </c>
      <c r="C987" s="51">
        <v>1.037</v>
      </c>
      <c r="D987" s="51">
        <v>69.0</v>
      </c>
      <c r="E987" s="52" t="s">
        <v>25</v>
      </c>
      <c r="F987" s="52" t="s">
        <v>26</v>
      </c>
      <c r="G987" s="53"/>
    </row>
    <row r="988">
      <c r="A988" s="49">
        <v>44705.081231828706</v>
      </c>
      <c r="B988" s="50">
        <v>44705.2062041666</v>
      </c>
      <c r="C988" s="51">
        <v>1.038</v>
      </c>
      <c r="D988" s="51">
        <v>69.0</v>
      </c>
      <c r="E988" s="52" t="s">
        <v>25</v>
      </c>
      <c r="F988" s="52" t="s">
        <v>26</v>
      </c>
      <c r="G988" s="53"/>
    </row>
    <row r="989">
      <c r="A989" s="49">
        <v>44705.091653877316</v>
      </c>
      <c r="B989" s="50">
        <v>44705.2166256018</v>
      </c>
      <c r="C989" s="51">
        <v>1.038</v>
      </c>
      <c r="D989" s="51">
        <v>69.0</v>
      </c>
      <c r="E989" s="52" t="s">
        <v>25</v>
      </c>
      <c r="F989" s="52" t="s">
        <v>26</v>
      </c>
      <c r="G989" s="53"/>
    </row>
    <row r="990">
      <c r="A990" s="49">
        <v>44705.10208303241</v>
      </c>
      <c r="B990" s="50">
        <v>44705.2270474768</v>
      </c>
      <c r="C990" s="51">
        <v>1.037</v>
      </c>
      <c r="D990" s="51">
        <v>69.0</v>
      </c>
      <c r="E990" s="52" t="s">
        <v>25</v>
      </c>
      <c r="F990" s="52" t="s">
        <v>26</v>
      </c>
      <c r="G990" s="53"/>
    </row>
    <row r="991">
      <c r="A991" s="49">
        <v>44705.112496354166</v>
      </c>
      <c r="B991" s="50">
        <v>44705.2374711805</v>
      </c>
      <c r="C991" s="51">
        <v>1.037</v>
      </c>
      <c r="D991" s="51">
        <v>69.0</v>
      </c>
      <c r="E991" s="52" t="s">
        <v>25</v>
      </c>
      <c r="F991" s="52" t="s">
        <v>26</v>
      </c>
      <c r="G991" s="53"/>
    </row>
    <row r="992">
      <c r="A992" s="49">
        <v>44705.122934872685</v>
      </c>
      <c r="B992" s="50">
        <v>44705.2479045023</v>
      </c>
      <c r="C992" s="51">
        <v>1.037</v>
      </c>
      <c r="D992" s="51">
        <v>69.0</v>
      </c>
      <c r="E992" s="52" t="s">
        <v>25</v>
      </c>
      <c r="F992" s="52" t="s">
        <v>26</v>
      </c>
      <c r="G992" s="53"/>
    </row>
    <row r="993">
      <c r="A993" s="49">
        <v>44705.13335265046</v>
      </c>
      <c r="B993" s="50">
        <v>44705.2583269328</v>
      </c>
      <c r="C993" s="51">
        <v>1.037</v>
      </c>
      <c r="D993" s="51">
        <v>69.0</v>
      </c>
      <c r="E993" s="52" t="s">
        <v>25</v>
      </c>
      <c r="F993" s="52" t="s">
        <v>26</v>
      </c>
      <c r="G993" s="53"/>
    </row>
    <row r="994">
      <c r="A994" s="49">
        <v>44705.14377422453</v>
      </c>
      <c r="B994" s="50">
        <v>44705.2687486921</v>
      </c>
      <c r="C994" s="51">
        <v>1.037</v>
      </c>
      <c r="D994" s="51">
        <v>69.0</v>
      </c>
      <c r="E994" s="52" t="s">
        <v>25</v>
      </c>
      <c r="F994" s="52" t="s">
        <v>26</v>
      </c>
      <c r="G994" s="53"/>
    </row>
    <row r="995">
      <c r="A995" s="49">
        <v>44705.15419025463</v>
      </c>
      <c r="B995" s="50">
        <v>44705.2791705902</v>
      </c>
      <c r="C995" s="51">
        <v>1.037</v>
      </c>
      <c r="D995" s="51">
        <v>69.0</v>
      </c>
      <c r="E995" s="52" t="s">
        <v>25</v>
      </c>
      <c r="F995" s="52" t="s">
        <v>26</v>
      </c>
      <c r="G995" s="53"/>
    </row>
    <row r="996">
      <c r="A996" s="49">
        <v>44705.16463302083</v>
      </c>
      <c r="B996" s="50">
        <v>44705.2896042129</v>
      </c>
      <c r="C996" s="51">
        <v>1.037</v>
      </c>
      <c r="D996" s="51">
        <v>69.0</v>
      </c>
      <c r="E996" s="52" t="s">
        <v>25</v>
      </c>
      <c r="F996" s="52" t="s">
        <v>26</v>
      </c>
      <c r="G996" s="53"/>
    </row>
    <row r="997">
      <c r="A997" s="49">
        <v>44705.175055694446</v>
      </c>
      <c r="B997" s="50">
        <v>44705.3000260532</v>
      </c>
      <c r="C997" s="51">
        <v>1.037</v>
      </c>
      <c r="D997" s="51">
        <v>69.0</v>
      </c>
      <c r="E997" s="52" t="s">
        <v>25</v>
      </c>
      <c r="F997" s="52" t="s">
        <v>26</v>
      </c>
      <c r="G997" s="53"/>
    </row>
    <row r="998">
      <c r="A998" s="49">
        <v>44705.18548164352</v>
      </c>
      <c r="B998" s="50">
        <v>44705.3104477314</v>
      </c>
      <c r="C998" s="51">
        <v>1.037</v>
      </c>
      <c r="D998" s="51">
        <v>69.0</v>
      </c>
      <c r="E998" s="52" t="s">
        <v>25</v>
      </c>
      <c r="F998" s="52" t="s">
        <v>26</v>
      </c>
      <c r="G998" s="53"/>
    </row>
    <row r="999">
      <c r="A999" s="49">
        <v>44705.195895833334</v>
      </c>
      <c r="B999" s="50">
        <v>44705.3208679166</v>
      </c>
      <c r="C999" s="51">
        <v>1.037</v>
      </c>
      <c r="D999" s="51">
        <v>69.0</v>
      </c>
      <c r="E999" s="52" t="s">
        <v>25</v>
      </c>
      <c r="F999" s="52" t="s">
        <v>26</v>
      </c>
      <c r="G999" s="53"/>
    </row>
    <row r="1000">
      <c r="A1000" s="49">
        <v>44705.20631349537</v>
      </c>
      <c r="B1000" s="50">
        <v>44705.3312878819</v>
      </c>
      <c r="C1000" s="51">
        <v>1.037</v>
      </c>
      <c r="D1000" s="51">
        <v>69.0</v>
      </c>
      <c r="E1000" s="52" t="s">
        <v>25</v>
      </c>
      <c r="F1000" s="52" t="s">
        <v>26</v>
      </c>
      <c r="G1000" s="53"/>
    </row>
    <row r="1001">
      <c r="A1001" s="49">
        <v>44705.216730370375</v>
      </c>
      <c r="B1001" s="50">
        <v>44705.3417087268</v>
      </c>
      <c r="C1001" s="51">
        <v>1.037</v>
      </c>
      <c r="D1001" s="51">
        <v>69.0</v>
      </c>
      <c r="E1001" s="52" t="s">
        <v>25</v>
      </c>
      <c r="F1001" s="52" t="s">
        <v>26</v>
      </c>
      <c r="G1001" s="53"/>
    </row>
    <row r="1002">
      <c r="A1002" s="49">
        <v>44705.227162256946</v>
      </c>
      <c r="B1002" s="50">
        <v>44705.3521321064</v>
      </c>
      <c r="C1002" s="51">
        <v>1.037</v>
      </c>
      <c r="D1002" s="51">
        <v>69.0</v>
      </c>
      <c r="E1002" s="52" t="s">
        <v>25</v>
      </c>
      <c r="F1002" s="52" t="s">
        <v>26</v>
      </c>
      <c r="G1002" s="53"/>
    </row>
    <row r="1003">
      <c r="A1003" s="49">
        <v>44705.2375843287</v>
      </c>
      <c r="B1003" s="50">
        <v>44705.3625547106</v>
      </c>
      <c r="C1003" s="51">
        <v>1.037</v>
      </c>
      <c r="D1003" s="51">
        <v>69.0</v>
      </c>
      <c r="E1003" s="52" t="s">
        <v>25</v>
      </c>
      <c r="F1003" s="52" t="s">
        <v>26</v>
      </c>
      <c r="G1003" s="53"/>
    </row>
    <row r="1004">
      <c r="A1004" s="49">
        <v>44705.248015578705</v>
      </c>
      <c r="B1004" s="50">
        <v>44705.3729752546</v>
      </c>
      <c r="C1004" s="51">
        <v>1.037</v>
      </c>
      <c r="D1004" s="51">
        <v>69.0</v>
      </c>
      <c r="E1004" s="52" t="s">
        <v>25</v>
      </c>
      <c r="F1004" s="52" t="s">
        <v>26</v>
      </c>
      <c r="G1004" s="53"/>
    </row>
    <row r="1005">
      <c r="A1005" s="49">
        <v>44705.258440833335</v>
      </c>
      <c r="B1005" s="50">
        <v>44705.383408831</v>
      </c>
      <c r="C1005" s="51">
        <v>1.037</v>
      </c>
      <c r="D1005" s="51">
        <v>69.0</v>
      </c>
      <c r="E1005" s="52" t="s">
        <v>25</v>
      </c>
      <c r="F1005" s="52" t="s">
        <v>26</v>
      </c>
      <c r="G1005" s="53"/>
    </row>
    <row r="1006">
      <c r="A1006" s="49">
        <v>44705.26886416667</v>
      </c>
      <c r="B1006" s="50">
        <v>44705.3938321064</v>
      </c>
      <c r="C1006" s="51">
        <v>1.037</v>
      </c>
      <c r="D1006" s="51">
        <v>70.0</v>
      </c>
      <c r="E1006" s="52" t="s">
        <v>25</v>
      </c>
      <c r="F1006" s="52" t="s">
        <v>26</v>
      </c>
      <c r="G1006" s="53"/>
    </row>
    <row r="1007">
      <c r="A1007" s="49">
        <v>44705.27930368055</v>
      </c>
      <c r="B1007" s="50">
        <v>44705.4042660648</v>
      </c>
      <c r="C1007" s="51">
        <v>1.037</v>
      </c>
      <c r="D1007" s="51">
        <v>70.0</v>
      </c>
      <c r="E1007" s="52" t="s">
        <v>25</v>
      </c>
      <c r="F1007" s="52" t="s">
        <v>26</v>
      </c>
      <c r="G1007" s="53"/>
    </row>
    <row r="1008">
      <c r="A1008" s="49">
        <v>44705.289714074075</v>
      </c>
      <c r="B1008" s="50">
        <v>44705.4146889467</v>
      </c>
      <c r="C1008" s="51">
        <v>1.037</v>
      </c>
      <c r="D1008" s="51">
        <v>69.0</v>
      </c>
      <c r="E1008" s="52" t="s">
        <v>25</v>
      </c>
      <c r="F1008" s="52" t="s">
        <v>26</v>
      </c>
      <c r="G1008" s="53"/>
    </row>
    <row r="1009">
      <c r="A1009" s="49">
        <v>44705.300135185185</v>
      </c>
      <c r="B1009" s="50">
        <v>44705.4251090856</v>
      </c>
      <c r="C1009" s="51">
        <v>1.037</v>
      </c>
      <c r="D1009" s="51">
        <v>70.0</v>
      </c>
      <c r="E1009" s="52" t="s">
        <v>25</v>
      </c>
      <c r="F1009" s="52" t="s">
        <v>26</v>
      </c>
      <c r="G1009" s="53"/>
    </row>
    <row r="1010">
      <c r="A1010" s="49">
        <v>44705.310566238426</v>
      </c>
      <c r="B1010" s="50">
        <v>44705.4355311111</v>
      </c>
      <c r="C1010" s="51">
        <v>1.037</v>
      </c>
      <c r="D1010" s="51">
        <v>70.0</v>
      </c>
      <c r="E1010" s="52" t="s">
        <v>25</v>
      </c>
      <c r="F1010" s="52" t="s">
        <v>26</v>
      </c>
      <c r="G1010" s="53"/>
    </row>
    <row r="1011">
      <c r="A1011" s="49">
        <v>44705.32098128472</v>
      </c>
      <c r="B1011" s="50">
        <v>44705.4459524305</v>
      </c>
      <c r="C1011" s="51">
        <v>1.037</v>
      </c>
      <c r="D1011" s="51">
        <v>70.0</v>
      </c>
      <c r="E1011" s="52" t="s">
        <v>25</v>
      </c>
      <c r="F1011" s="52" t="s">
        <v>26</v>
      </c>
      <c r="G1011" s="53"/>
    </row>
    <row r="1012">
      <c r="A1012" s="49">
        <v>44705.3314034375</v>
      </c>
      <c r="B1012" s="50">
        <v>44705.456374456</v>
      </c>
      <c r="C1012" s="51">
        <v>1.036</v>
      </c>
      <c r="D1012" s="51">
        <v>70.0</v>
      </c>
      <c r="E1012" s="52" t="s">
        <v>25</v>
      </c>
      <c r="F1012" s="52" t="s">
        <v>26</v>
      </c>
      <c r="G1012" s="53"/>
    </row>
    <row r="1013">
      <c r="A1013" s="49">
        <v>44705.341925381945</v>
      </c>
      <c r="B1013" s="50">
        <v>44705.4667950231</v>
      </c>
      <c r="C1013" s="51">
        <v>1.037</v>
      </c>
      <c r="D1013" s="51">
        <v>70.0</v>
      </c>
      <c r="E1013" s="52" t="s">
        <v>25</v>
      </c>
      <c r="F1013" s="52" t="s">
        <v>26</v>
      </c>
      <c r="G1013" s="53"/>
    </row>
    <row r="1014">
      <c r="A1014" s="49">
        <v>44705.35227466435</v>
      </c>
      <c r="B1014" s="50">
        <v>44705.4772395254</v>
      </c>
      <c r="C1014" s="51">
        <v>1.036</v>
      </c>
      <c r="D1014" s="51">
        <v>70.0</v>
      </c>
      <c r="E1014" s="52" t="s">
        <v>25</v>
      </c>
      <c r="F1014" s="52" t="s">
        <v>26</v>
      </c>
      <c r="G1014" s="53"/>
    </row>
    <row r="1015">
      <c r="A1015" s="49">
        <v>44705.36269728009</v>
      </c>
      <c r="B1015" s="50">
        <v>44705.4876599537</v>
      </c>
      <c r="C1015" s="51">
        <v>1.036</v>
      </c>
      <c r="D1015" s="51">
        <v>70.0</v>
      </c>
      <c r="E1015" s="52" t="s">
        <v>25</v>
      </c>
      <c r="F1015" s="52" t="s">
        <v>26</v>
      </c>
      <c r="G1015" s="53"/>
    </row>
    <row r="1016">
      <c r="A1016" s="49">
        <v>44705.37311273148</v>
      </c>
      <c r="B1016" s="50">
        <v>44705.4980813078</v>
      </c>
      <c r="C1016" s="51">
        <v>1.036</v>
      </c>
      <c r="D1016" s="51">
        <v>70.0</v>
      </c>
      <c r="E1016" s="52" t="s">
        <v>25</v>
      </c>
      <c r="F1016" s="52" t="s">
        <v>26</v>
      </c>
      <c r="G1016" s="53"/>
    </row>
    <row r="1017">
      <c r="A1017" s="49">
        <v>44705.38353726851</v>
      </c>
      <c r="B1017" s="50">
        <v>44705.5085024305</v>
      </c>
      <c r="C1017" s="51">
        <v>1.036</v>
      </c>
      <c r="D1017" s="51">
        <v>70.0</v>
      </c>
      <c r="E1017" s="52" t="s">
        <v>25</v>
      </c>
      <c r="F1017" s="52" t="s">
        <v>26</v>
      </c>
      <c r="G1017" s="53"/>
    </row>
    <row r="1018">
      <c r="A1018" s="49">
        <v>44705.39395643519</v>
      </c>
      <c r="B1018" s="50">
        <v>44705.5189324652</v>
      </c>
      <c r="C1018" s="51">
        <v>1.036</v>
      </c>
      <c r="D1018" s="51">
        <v>70.0</v>
      </c>
      <c r="E1018" s="52" t="s">
        <v>25</v>
      </c>
      <c r="F1018" s="52" t="s">
        <v>26</v>
      </c>
      <c r="G1018" s="53"/>
    </row>
    <row r="1019">
      <c r="A1019" s="49">
        <v>44705.40437255787</v>
      </c>
      <c r="B1019" s="50">
        <v>44705.5293523148</v>
      </c>
      <c r="C1019" s="51">
        <v>1.036</v>
      </c>
      <c r="D1019" s="51">
        <v>70.0</v>
      </c>
      <c r="E1019" s="52" t="s">
        <v>25</v>
      </c>
      <c r="F1019" s="52" t="s">
        <v>26</v>
      </c>
      <c r="G1019" s="53"/>
    </row>
    <row r="1020">
      <c r="A1020" s="49">
        <v>44705.4148040162</v>
      </c>
      <c r="B1020" s="50">
        <v>44705.5397741898</v>
      </c>
      <c r="C1020" s="51">
        <v>1.036</v>
      </c>
      <c r="D1020" s="51">
        <v>70.0</v>
      </c>
      <c r="E1020" s="52" t="s">
        <v>25</v>
      </c>
      <c r="F1020" s="52" t="s">
        <v>26</v>
      </c>
      <c r="G1020" s="53"/>
    </row>
    <row r="1021">
      <c r="A1021" s="49">
        <v>44705.42522405092</v>
      </c>
      <c r="B1021" s="50">
        <v>44705.5501951273</v>
      </c>
      <c r="C1021" s="51">
        <v>1.036</v>
      </c>
      <c r="D1021" s="51">
        <v>70.0</v>
      </c>
      <c r="E1021" s="52" t="s">
        <v>25</v>
      </c>
      <c r="F1021" s="52" t="s">
        <v>26</v>
      </c>
      <c r="G1021" s="53"/>
    </row>
    <row r="1022">
      <c r="A1022" s="49">
        <v>44705.43564260416</v>
      </c>
      <c r="B1022" s="50">
        <v>44705.5606166782</v>
      </c>
      <c r="C1022" s="51">
        <v>1.036</v>
      </c>
      <c r="D1022" s="51">
        <v>70.0</v>
      </c>
      <c r="E1022" s="52" t="s">
        <v>25</v>
      </c>
      <c r="F1022" s="52" t="s">
        <v>26</v>
      </c>
      <c r="G1022" s="53"/>
    </row>
    <row r="1023">
      <c r="A1023" s="49">
        <v>44705.446057696754</v>
      </c>
      <c r="B1023" s="50">
        <v>44705.5710386574</v>
      </c>
      <c r="C1023" s="51">
        <v>1.036</v>
      </c>
      <c r="D1023" s="51">
        <v>69.0</v>
      </c>
      <c r="E1023" s="52" t="s">
        <v>25</v>
      </c>
      <c r="F1023" s="52" t="s">
        <v>26</v>
      </c>
      <c r="G1023" s="53"/>
    </row>
    <row r="1024">
      <c r="A1024" s="49">
        <v>44705.4564774537</v>
      </c>
      <c r="B1024" s="50">
        <v>44705.5814590046</v>
      </c>
      <c r="C1024" s="51">
        <v>1.036</v>
      </c>
      <c r="D1024" s="51">
        <v>68.0</v>
      </c>
      <c r="E1024" s="52" t="s">
        <v>25</v>
      </c>
      <c r="F1024" s="52" t="s">
        <v>26</v>
      </c>
      <c r="G1024" s="53"/>
    </row>
    <row r="1025">
      <c r="A1025" s="49">
        <v>44705.466910625</v>
      </c>
      <c r="B1025" s="50">
        <v>44705.5918816088</v>
      </c>
      <c r="C1025" s="51">
        <v>1.036</v>
      </c>
      <c r="D1025" s="51">
        <v>67.0</v>
      </c>
      <c r="E1025" s="52" t="s">
        <v>25</v>
      </c>
      <c r="F1025" s="52" t="s">
        <v>26</v>
      </c>
      <c r="G1025" s="53"/>
    </row>
    <row r="1026">
      <c r="A1026" s="49">
        <v>44705.47733635417</v>
      </c>
      <c r="B1026" s="50">
        <v>44705.6023031134</v>
      </c>
      <c r="C1026" s="51">
        <v>1.036</v>
      </c>
      <c r="D1026" s="51">
        <v>67.0</v>
      </c>
      <c r="E1026" s="52" t="s">
        <v>25</v>
      </c>
      <c r="F1026" s="52" t="s">
        <v>26</v>
      </c>
      <c r="G1026" s="53"/>
    </row>
    <row r="1027">
      <c r="A1027" s="49">
        <v>44705.487756585644</v>
      </c>
      <c r="B1027" s="50">
        <v>44705.6127232291</v>
      </c>
      <c r="C1027" s="51">
        <v>1.036</v>
      </c>
      <c r="D1027" s="51">
        <v>66.0</v>
      </c>
      <c r="E1027" s="52" t="s">
        <v>25</v>
      </c>
      <c r="F1027" s="52" t="s">
        <v>26</v>
      </c>
      <c r="G1027" s="53"/>
    </row>
    <row r="1028">
      <c r="A1028" s="49">
        <v>44705.49817694444</v>
      </c>
      <c r="B1028" s="50">
        <v>44705.6231430671</v>
      </c>
      <c r="C1028" s="51">
        <v>1.036</v>
      </c>
      <c r="D1028" s="51">
        <v>66.0</v>
      </c>
      <c r="E1028" s="52" t="s">
        <v>25</v>
      </c>
      <c r="F1028" s="52" t="s">
        <v>26</v>
      </c>
      <c r="G1028" s="53"/>
    </row>
    <row r="1029">
      <c r="A1029" s="49">
        <v>44705.50859283565</v>
      </c>
      <c r="B1029" s="50">
        <v>44705.6335729398</v>
      </c>
      <c r="C1029" s="51">
        <v>1.036</v>
      </c>
      <c r="D1029" s="51">
        <v>66.0</v>
      </c>
      <c r="E1029" s="52" t="s">
        <v>25</v>
      </c>
      <c r="F1029" s="52" t="s">
        <v>26</v>
      </c>
      <c r="G1029" s="53"/>
    </row>
    <row r="1030">
      <c r="A1030" s="49">
        <v>44705.51902876157</v>
      </c>
      <c r="B1030" s="50">
        <v>44705.643994074</v>
      </c>
      <c r="C1030" s="51">
        <v>1.036</v>
      </c>
      <c r="D1030" s="51">
        <v>66.0</v>
      </c>
      <c r="E1030" s="52" t="s">
        <v>25</v>
      </c>
      <c r="F1030" s="52" t="s">
        <v>26</v>
      </c>
      <c r="G1030" s="53"/>
    </row>
    <row r="1031">
      <c r="A1031" s="49">
        <v>44705.529446388886</v>
      </c>
      <c r="B1031" s="50">
        <v>44705.6544132986</v>
      </c>
      <c r="C1031" s="51">
        <v>1.036</v>
      </c>
      <c r="D1031" s="51">
        <v>66.0</v>
      </c>
      <c r="E1031" s="52" t="s">
        <v>25</v>
      </c>
      <c r="F1031" s="52" t="s">
        <v>26</v>
      </c>
      <c r="G1031" s="53"/>
    </row>
    <row r="1032">
      <c r="A1032" s="49">
        <v>44705.53986936343</v>
      </c>
      <c r="B1032" s="50">
        <v>44705.6648353703</v>
      </c>
      <c r="C1032" s="51">
        <v>1.036</v>
      </c>
      <c r="D1032" s="51">
        <v>66.0</v>
      </c>
      <c r="E1032" s="52" t="s">
        <v>25</v>
      </c>
      <c r="F1032" s="52" t="s">
        <v>26</v>
      </c>
      <c r="G1032" s="53"/>
    </row>
    <row r="1033">
      <c r="A1033" s="49">
        <v>44705.55028733796</v>
      </c>
      <c r="B1033" s="50">
        <v>44705.6752555092</v>
      </c>
      <c r="C1033" s="51">
        <v>1.036</v>
      </c>
      <c r="D1033" s="51">
        <v>66.0</v>
      </c>
      <c r="E1033" s="52" t="s">
        <v>25</v>
      </c>
      <c r="F1033" s="52" t="s">
        <v>26</v>
      </c>
      <c r="G1033" s="53"/>
    </row>
    <row r="1034">
      <c r="A1034" s="49">
        <v>44705.56071232639</v>
      </c>
      <c r="B1034" s="50">
        <v>44705.6856738773</v>
      </c>
      <c r="C1034" s="51">
        <v>1.036</v>
      </c>
      <c r="D1034" s="51">
        <v>66.0</v>
      </c>
      <c r="E1034" s="52" t="s">
        <v>25</v>
      </c>
      <c r="F1034" s="52" t="s">
        <v>26</v>
      </c>
      <c r="G1034" s="53"/>
    </row>
    <row r="1035">
      <c r="A1035" s="49">
        <v>44705.57111696759</v>
      </c>
      <c r="B1035" s="50">
        <v>44705.6960973495</v>
      </c>
      <c r="C1035" s="51">
        <v>1.036</v>
      </c>
      <c r="D1035" s="51">
        <v>66.0</v>
      </c>
      <c r="E1035" s="52" t="s">
        <v>25</v>
      </c>
      <c r="F1035" s="52" t="s">
        <v>26</v>
      </c>
      <c r="G1035" s="53"/>
    </row>
    <row r="1036">
      <c r="A1036" s="49">
        <v>44705.58155336806</v>
      </c>
      <c r="B1036" s="50">
        <v>44705.7065203125</v>
      </c>
      <c r="C1036" s="51">
        <v>1.036</v>
      </c>
      <c r="D1036" s="51">
        <v>65.0</v>
      </c>
      <c r="E1036" s="52" t="s">
        <v>25</v>
      </c>
      <c r="F1036" s="52" t="s">
        <v>26</v>
      </c>
      <c r="G1036" s="53"/>
    </row>
    <row r="1037">
      <c r="A1037" s="49">
        <v>44705.59198174768</v>
      </c>
      <c r="B1037" s="50">
        <v>44705.7169530902</v>
      </c>
      <c r="C1037" s="51">
        <v>1.036</v>
      </c>
      <c r="D1037" s="51">
        <v>65.0</v>
      </c>
      <c r="E1037" s="52" t="s">
        <v>25</v>
      </c>
      <c r="F1037" s="52" t="s">
        <v>26</v>
      </c>
      <c r="G1037" s="53"/>
    </row>
    <row r="1038">
      <c r="A1038" s="49">
        <v>44705.60239701389</v>
      </c>
      <c r="B1038" s="50">
        <v>44705.7273725347</v>
      </c>
      <c r="C1038" s="51">
        <v>1.036</v>
      </c>
      <c r="D1038" s="51">
        <v>65.0</v>
      </c>
      <c r="E1038" s="52" t="s">
        <v>25</v>
      </c>
      <c r="F1038" s="52" t="s">
        <v>26</v>
      </c>
      <c r="G1038" s="53"/>
    </row>
    <row r="1039">
      <c r="A1039" s="49">
        <v>44705.61282416667</v>
      </c>
      <c r="B1039" s="50">
        <v>44705.7377951504</v>
      </c>
      <c r="C1039" s="51">
        <v>1.036</v>
      </c>
      <c r="D1039" s="51">
        <v>65.0</v>
      </c>
      <c r="E1039" s="52" t="s">
        <v>25</v>
      </c>
      <c r="F1039" s="52" t="s">
        <v>26</v>
      </c>
      <c r="G1039" s="53"/>
    </row>
    <row r="1040">
      <c r="A1040" s="49">
        <v>44705.6232437963</v>
      </c>
      <c r="B1040" s="50">
        <v>44705.7482163078</v>
      </c>
      <c r="C1040" s="51">
        <v>1.036</v>
      </c>
      <c r="D1040" s="51">
        <v>65.0</v>
      </c>
      <c r="E1040" s="52" t="s">
        <v>25</v>
      </c>
      <c r="F1040" s="52" t="s">
        <v>26</v>
      </c>
      <c r="G1040" s="53"/>
    </row>
    <row r="1041">
      <c r="A1041" s="49">
        <v>44705.633663229164</v>
      </c>
      <c r="B1041" s="50">
        <v>44705.7586367129</v>
      </c>
      <c r="C1041" s="51">
        <v>1.036</v>
      </c>
      <c r="D1041" s="51">
        <v>66.0</v>
      </c>
      <c r="E1041" s="52" t="s">
        <v>25</v>
      </c>
      <c r="F1041" s="52" t="s">
        <v>26</v>
      </c>
      <c r="G1041" s="53"/>
    </row>
    <row r="1042">
      <c r="A1042" s="49">
        <v>44705.64410385417</v>
      </c>
      <c r="B1042" s="50">
        <v>44705.7690689236</v>
      </c>
      <c r="C1042" s="51">
        <v>1.035</v>
      </c>
      <c r="D1042" s="51">
        <v>66.0</v>
      </c>
      <c r="E1042" s="52" t="s">
        <v>25</v>
      </c>
      <c r="F1042" s="52" t="s">
        <v>26</v>
      </c>
      <c r="G1042" s="53"/>
    </row>
    <row r="1043">
      <c r="A1043" s="49">
        <v>44705.65452611111</v>
      </c>
      <c r="B1043" s="50">
        <v>44705.7794893981</v>
      </c>
      <c r="C1043" s="51">
        <v>1.036</v>
      </c>
      <c r="D1043" s="51">
        <v>66.0</v>
      </c>
      <c r="E1043" s="52" t="s">
        <v>25</v>
      </c>
      <c r="F1043" s="52" t="s">
        <v>26</v>
      </c>
      <c r="G1043" s="53"/>
    </row>
    <row r="1044">
      <c r="A1044" s="49">
        <v>44705.66493841435</v>
      </c>
      <c r="B1044" s="50">
        <v>44705.7899106712</v>
      </c>
      <c r="C1044" s="51">
        <v>1.036</v>
      </c>
      <c r="D1044" s="51">
        <v>66.0</v>
      </c>
      <c r="E1044" s="52" t="s">
        <v>25</v>
      </c>
      <c r="F1044" s="52" t="s">
        <v>26</v>
      </c>
      <c r="G1044" s="53"/>
    </row>
    <row r="1045">
      <c r="A1045" s="49">
        <v>44705.67536030093</v>
      </c>
      <c r="B1045" s="50">
        <v>44705.8003307754</v>
      </c>
      <c r="C1045" s="51">
        <v>1.035</v>
      </c>
      <c r="D1045" s="51">
        <v>66.0</v>
      </c>
      <c r="E1045" s="52" t="s">
        <v>25</v>
      </c>
      <c r="F1045" s="52" t="s">
        <v>26</v>
      </c>
      <c r="G1045" s="53"/>
    </row>
    <row r="1046">
      <c r="A1046" s="49">
        <v>44705.685785925925</v>
      </c>
      <c r="B1046" s="50">
        <v>44705.810750081</v>
      </c>
      <c r="C1046" s="51">
        <v>1.036</v>
      </c>
      <c r="D1046" s="51">
        <v>66.0</v>
      </c>
      <c r="E1046" s="52" t="s">
        <v>25</v>
      </c>
      <c r="F1046" s="52" t="s">
        <v>26</v>
      </c>
      <c r="G1046" s="53"/>
    </row>
    <row r="1047">
      <c r="A1047" s="49">
        <v>44705.69620170139</v>
      </c>
      <c r="B1047" s="50">
        <v>44705.821170081</v>
      </c>
      <c r="C1047" s="51">
        <v>1.035</v>
      </c>
      <c r="D1047" s="51">
        <v>66.0</v>
      </c>
      <c r="E1047" s="52" t="s">
        <v>25</v>
      </c>
      <c r="F1047" s="52" t="s">
        <v>26</v>
      </c>
      <c r="G1047" s="53"/>
    </row>
    <row r="1048">
      <c r="A1048" s="49">
        <v>44705.70661548611</v>
      </c>
      <c r="B1048" s="50">
        <v>44705.8315920601</v>
      </c>
      <c r="C1048" s="51">
        <v>1.035</v>
      </c>
      <c r="D1048" s="51">
        <v>66.0</v>
      </c>
      <c r="E1048" s="52" t="s">
        <v>25</v>
      </c>
      <c r="F1048" s="52" t="s">
        <v>26</v>
      </c>
      <c r="G1048" s="53"/>
    </row>
    <row r="1049">
      <c r="A1049" s="49">
        <v>44705.71703596065</v>
      </c>
      <c r="B1049" s="50">
        <v>44705.8420126851</v>
      </c>
      <c r="C1049" s="51">
        <v>1.035</v>
      </c>
      <c r="D1049" s="51">
        <v>66.0</v>
      </c>
      <c r="E1049" s="52" t="s">
        <v>25</v>
      </c>
      <c r="F1049" s="52" t="s">
        <v>26</v>
      </c>
      <c r="G1049" s="53"/>
    </row>
    <row r="1050">
      <c r="A1050" s="49">
        <v>44705.72746152778</v>
      </c>
      <c r="B1050" s="50">
        <v>44705.8524317013</v>
      </c>
      <c r="C1050" s="51">
        <v>1.035</v>
      </c>
      <c r="D1050" s="51">
        <v>66.0</v>
      </c>
      <c r="E1050" s="52" t="s">
        <v>25</v>
      </c>
      <c r="F1050" s="52" t="s">
        <v>26</v>
      </c>
      <c r="G1050" s="53"/>
    </row>
    <row r="1051">
      <c r="A1051" s="49">
        <v>44705.73788513889</v>
      </c>
      <c r="B1051" s="50">
        <v>44705.8628531828</v>
      </c>
      <c r="C1051" s="51">
        <v>1.035</v>
      </c>
      <c r="D1051" s="51">
        <v>66.0</v>
      </c>
      <c r="E1051" s="52" t="s">
        <v>25</v>
      </c>
      <c r="F1051" s="52" t="s">
        <v>26</v>
      </c>
      <c r="G1051" s="53"/>
    </row>
    <row r="1052">
      <c r="A1052" s="49">
        <v>44705.74829914352</v>
      </c>
      <c r="B1052" s="50">
        <v>44705.8732758101</v>
      </c>
      <c r="C1052" s="51">
        <v>1.035</v>
      </c>
      <c r="D1052" s="51">
        <v>66.0</v>
      </c>
      <c r="E1052" s="52" t="s">
        <v>25</v>
      </c>
      <c r="F1052" s="52" t="s">
        <v>26</v>
      </c>
      <c r="G1052" s="53"/>
    </row>
    <row r="1053">
      <c r="A1053" s="49">
        <v>44705.75873460648</v>
      </c>
      <c r="B1053" s="50">
        <v>44705.8837102314</v>
      </c>
      <c r="C1053" s="51">
        <v>1.035</v>
      </c>
      <c r="D1053" s="51">
        <v>66.0</v>
      </c>
      <c r="E1053" s="52" t="s">
        <v>25</v>
      </c>
      <c r="F1053" s="52" t="s">
        <v>26</v>
      </c>
      <c r="G1053" s="53"/>
    </row>
    <row r="1054">
      <c r="A1054" s="49">
        <v>44705.76916144676</v>
      </c>
      <c r="B1054" s="50">
        <v>44705.8941311342</v>
      </c>
      <c r="C1054" s="51">
        <v>1.035</v>
      </c>
      <c r="D1054" s="51">
        <v>66.0</v>
      </c>
      <c r="E1054" s="52" t="s">
        <v>25</v>
      </c>
      <c r="F1054" s="52" t="s">
        <v>26</v>
      </c>
      <c r="G1054" s="53"/>
    </row>
    <row r="1055">
      <c r="A1055" s="49">
        <v>44705.779582476855</v>
      </c>
      <c r="B1055" s="50">
        <v>44705.9045508217</v>
      </c>
      <c r="C1055" s="51">
        <v>1.035</v>
      </c>
      <c r="D1055" s="51">
        <v>66.0</v>
      </c>
      <c r="E1055" s="52" t="s">
        <v>25</v>
      </c>
      <c r="F1055" s="52" t="s">
        <v>26</v>
      </c>
      <c r="G1055" s="53"/>
    </row>
    <row r="1056">
      <c r="A1056" s="49">
        <v>44705.790037847226</v>
      </c>
      <c r="B1056" s="50">
        <v>44705.9150072106</v>
      </c>
      <c r="C1056" s="51">
        <v>1.035</v>
      </c>
      <c r="D1056" s="51">
        <v>66.0</v>
      </c>
      <c r="E1056" s="52" t="s">
        <v>25</v>
      </c>
      <c r="F1056" s="52" t="s">
        <v>26</v>
      </c>
      <c r="G1056" s="53"/>
    </row>
    <row r="1057">
      <c r="A1057" s="49">
        <v>44705.80045405093</v>
      </c>
      <c r="B1057" s="50">
        <v>44705.9254253356</v>
      </c>
      <c r="C1057" s="51">
        <v>1.035</v>
      </c>
      <c r="D1057" s="51">
        <v>66.0</v>
      </c>
      <c r="E1057" s="52" t="s">
        <v>25</v>
      </c>
      <c r="F1057" s="52" t="s">
        <v>26</v>
      </c>
      <c r="G1057" s="53"/>
    </row>
    <row r="1058">
      <c r="A1058" s="49">
        <v>44705.81087381944</v>
      </c>
      <c r="B1058" s="50">
        <v>44705.9358454861</v>
      </c>
      <c r="C1058" s="51">
        <v>1.035</v>
      </c>
      <c r="D1058" s="51">
        <v>66.0</v>
      </c>
      <c r="E1058" s="52" t="s">
        <v>25</v>
      </c>
      <c r="F1058" s="52" t="s">
        <v>26</v>
      </c>
      <c r="G1058" s="53"/>
    </row>
    <row r="1059">
      <c r="A1059" s="49">
        <v>44705.82129608796</v>
      </c>
      <c r="B1059" s="50">
        <v>44705.9462675231</v>
      </c>
      <c r="C1059" s="51">
        <v>1.035</v>
      </c>
      <c r="D1059" s="51">
        <v>66.0</v>
      </c>
      <c r="E1059" s="52" t="s">
        <v>25</v>
      </c>
      <c r="F1059" s="52" t="s">
        <v>26</v>
      </c>
      <c r="G1059" s="53"/>
    </row>
    <row r="1060">
      <c r="A1060" s="49">
        <v>44705.83171344908</v>
      </c>
      <c r="B1060" s="50">
        <v>44705.9566885532</v>
      </c>
      <c r="C1060" s="51">
        <v>1.035</v>
      </c>
      <c r="D1060" s="51">
        <v>66.0</v>
      </c>
      <c r="E1060" s="52" t="s">
        <v>25</v>
      </c>
      <c r="F1060" s="52" t="s">
        <v>26</v>
      </c>
      <c r="G1060" s="53"/>
    </row>
    <row r="1061">
      <c r="A1061" s="49">
        <v>44705.842139120374</v>
      </c>
      <c r="B1061" s="50">
        <v>44705.9671092129</v>
      </c>
      <c r="C1061" s="51">
        <v>1.035</v>
      </c>
      <c r="D1061" s="51">
        <v>66.0</v>
      </c>
      <c r="E1061" s="52" t="s">
        <v>25</v>
      </c>
      <c r="F1061" s="52" t="s">
        <v>26</v>
      </c>
      <c r="G1061" s="53"/>
    </row>
    <row r="1062">
      <c r="A1062" s="49">
        <v>44705.852565821755</v>
      </c>
      <c r="B1062" s="50">
        <v>44705.9775324537</v>
      </c>
      <c r="C1062" s="51">
        <v>1.035</v>
      </c>
      <c r="D1062" s="51">
        <v>66.0</v>
      </c>
      <c r="E1062" s="52" t="s">
        <v>25</v>
      </c>
      <c r="F1062" s="52" t="s">
        <v>26</v>
      </c>
      <c r="G1062" s="53"/>
    </row>
    <row r="1063">
      <c r="A1063" s="49">
        <v>44705.86300540509</v>
      </c>
      <c r="B1063" s="50">
        <v>44705.9879755902</v>
      </c>
      <c r="C1063" s="51">
        <v>1.035</v>
      </c>
      <c r="D1063" s="51">
        <v>66.0</v>
      </c>
      <c r="E1063" s="52" t="s">
        <v>25</v>
      </c>
      <c r="F1063" s="52" t="s">
        <v>26</v>
      </c>
      <c r="G1063" s="53"/>
    </row>
    <row r="1064">
      <c r="A1064" s="49">
        <v>44705.87346133102</v>
      </c>
      <c r="B1064" s="50">
        <v>44705.9984326504</v>
      </c>
      <c r="C1064" s="51">
        <v>1.035</v>
      </c>
      <c r="D1064" s="51">
        <v>66.0</v>
      </c>
      <c r="E1064" s="52" t="s">
        <v>25</v>
      </c>
      <c r="F1064" s="52" t="s">
        <v>26</v>
      </c>
      <c r="G1064" s="53"/>
    </row>
    <row r="1065">
      <c r="A1065" s="49">
        <v>44705.88389849537</v>
      </c>
      <c r="B1065" s="50">
        <v>44706.0088642708</v>
      </c>
      <c r="C1065" s="51">
        <v>1.035</v>
      </c>
      <c r="D1065" s="51">
        <v>66.0</v>
      </c>
      <c r="E1065" s="52" t="s">
        <v>25</v>
      </c>
      <c r="F1065" s="52" t="s">
        <v>26</v>
      </c>
      <c r="G1065" s="53"/>
    </row>
    <row r="1066">
      <c r="A1066" s="49">
        <v>44705.89431034723</v>
      </c>
      <c r="B1066" s="50">
        <v>44706.0192866551</v>
      </c>
      <c r="C1066" s="51">
        <v>1.035</v>
      </c>
      <c r="D1066" s="51">
        <v>66.0</v>
      </c>
      <c r="E1066" s="52" t="s">
        <v>25</v>
      </c>
      <c r="F1066" s="52" t="s">
        <v>26</v>
      </c>
      <c r="G1066" s="53"/>
    </row>
    <row r="1067">
      <c r="A1067" s="49">
        <v>44705.90473094907</v>
      </c>
      <c r="B1067" s="50">
        <v>44706.0297069097</v>
      </c>
      <c r="C1067" s="51">
        <v>1.035</v>
      </c>
      <c r="D1067" s="51">
        <v>66.0</v>
      </c>
      <c r="E1067" s="52" t="s">
        <v>25</v>
      </c>
      <c r="F1067" s="52" t="s">
        <v>26</v>
      </c>
      <c r="G1067" s="53"/>
    </row>
    <row r="1068">
      <c r="A1068" s="49">
        <v>44705.91516903935</v>
      </c>
      <c r="B1068" s="50">
        <v>44706.0401402083</v>
      </c>
      <c r="C1068" s="51">
        <v>1.035</v>
      </c>
      <c r="D1068" s="51">
        <v>66.0</v>
      </c>
      <c r="E1068" s="52" t="s">
        <v>25</v>
      </c>
      <c r="F1068" s="52" t="s">
        <v>26</v>
      </c>
      <c r="G1068" s="53"/>
    </row>
    <row r="1069">
      <c r="A1069" s="49">
        <v>44705.92559594907</v>
      </c>
      <c r="B1069" s="50">
        <v>44706.0505607175</v>
      </c>
      <c r="C1069" s="51">
        <v>1.035</v>
      </c>
      <c r="D1069" s="51">
        <v>66.0</v>
      </c>
      <c r="E1069" s="52" t="s">
        <v>25</v>
      </c>
      <c r="F1069" s="52" t="s">
        <v>26</v>
      </c>
      <c r="G1069" s="53"/>
    </row>
    <row r="1070">
      <c r="A1070" s="49">
        <v>44705.93601078704</v>
      </c>
      <c r="B1070" s="50">
        <v>44706.0609823148</v>
      </c>
      <c r="C1070" s="51">
        <v>1.035</v>
      </c>
      <c r="D1070" s="51">
        <v>66.0</v>
      </c>
      <c r="E1070" s="52" t="s">
        <v>25</v>
      </c>
      <c r="F1070" s="52" t="s">
        <v>26</v>
      </c>
      <c r="G1070" s="53"/>
    </row>
    <row r="1071">
      <c r="A1071" s="49">
        <v>44705.946432453704</v>
      </c>
      <c r="B1071" s="50">
        <v>44706.0714030092</v>
      </c>
      <c r="C1071" s="51">
        <v>1.035</v>
      </c>
      <c r="D1071" s="51">
        <v>66.0</v>
      </c>
      <c r="E1071" s="52" t="s">
        <v>25</v>
      </c>
      <c r="F1071" s="52" t="s">
        <v>26</v>
      </c>
      <c r="G1071" s="53"/>
    </row>
    <row r="1072">
      <c r="A1072" s="49">
        <v>44705.95685033565</v>
      </c>
      <c r="B1072" s="50">
        <v>44706.0818242476</v>
      </c>
      <c r="C1072" s="51">
        <v>1.035</v>
      </c>
      <c r="D1072" s="51">
        <v>66.0</v>
      </c>
      <c r="E1072" s="52" t="s">
        <v>25</v>
      </c>
      <c r="F1072" s="52" t="s">
        <v>26</v>
      </c>
      <c r="G1072" s="53"/>
    </row>
    <row r="1073">
      <c r="A1073" s="49">
        <v>44705.96728237269</v>
      </c>
      <c r="B1073" s="50">
        <v>44706.09224625</v>
      </c>
      <c r="C1073" s="51">
        <v>1.035</v>
      </c>
      <c r="D1073" s="51">
        <v>66.0</v>
      </c>
      <c r="E1073" s="52" t="s">
        <v>25</v>
      </c>
      <c r="F1073" s="52" t="s">
        <v>26</v>
      </c>
      <c r="G1073" s="53"/>
    </row>
    <row r="1074">
      <c r="A1074" s="49">
        <v>44705.977697546296</v>
      </c>
      <c r="B1074" s="50">
        <v>44706.1026677199</v>
      </c>
      <c r="C1074" s="51">
        <v>1.035</v>
      </c>
      <c r="D1074" s="51">
        <v>66.0</v>
      </c>
      <c r="E1074" s="52" t="s">
        <v>25</v>
      </c>
      <c r="F1074" s="52" t="s">
        <v>26</v>
      </c>
      <c r="G1074" s="53"/>
    </row>
    <row r="1075">
      <c r="A1075" s="49">
        <v>44705.98812956018</v>
      </c>
      <c r="B1075" s="50">
        <v>44706.1130995138</v>
      </c>
      <c r="C1075" s="51">
        <v>1.034</v>
      </c>
      <c r="D1075" s="51">
        <v>66.0</v>
      </c>
      <c r="E1075" s="52" t="s">
        <v>25</v>
      </c>
      <c r="F1075" s="52" t="s">
        <v>26</v>
      </c>
      <c r="G1075" s="53"/>
    </row>
    <row r="1076">
      <c r="A1076" s="49">
        <v>44705.99854613426</v>
      </c>
      <c r="B1076" s="50">
        <v>44706.1235202546</v>
      </c>
      <c r="C1076" s="51">
        <v>1.034</v>
      </c>
      <c r="D1076" s="51">
        <v>66.0</v>
      </c>
      <c r="E1076" s="52" t="s">
        <v>25</v>
      </c>
      <c r="F1076" s="52" t="s">
        <v>26</v>
      </c>
      <c r="G1076" s="53"/>
    </row>
    <row r="1077">
      <c r="A1077" s="49">
        <v>44706.00898155093</v>
      </c>
      <c r="B1077" s="50">
        <v>44706.1339547685</v>
      </c>
      <c r="C1077" s="51">
        <v>1.034</v>
      </c>
      <c r="D1077" s="51">
        <v>66.0</v>
      </c>
      <c r="E1077" s="52" t="s">
        <v>25</v>
      </c>
      <c r="F1077" s="52" t="s">
        <v>26</v>
      </c>
      <c r="G1077" s="53"/>
    </row>
    <row r="1078">
      <c r="A1078" s="49">
        <v>44706.01941864583</v>
      </c>
      <c r="B1078" s="50">
        <v>44706.1443998379</v>
      </c>
      <c r="C1078" s="51">
        <v>1.034</v>
      </c>
      <c r="D1078" s="51">
        <v>66.0</v>
      </c>
      <c r="E1078" s="52" t="s">
        <v>25</v>
      </c>
      <c r="F1078" s="52" t="s">
        <v>26</v>
      </c>
      <c r="G1078" s="53"/>
    </row>
    <row r="1079">
      <c r="A1079" s="49">
        <v>44706.02985082176</v>
      </c>
      <c r="B1079" s="50">
        <v>44706.1548210069</v>
      </c>
      <c r="C1079" s="51">
        <v>1.034</v>
      </c>
      <c r="D1079" s="51">
        <v>66.0</v>
      </c>
      <c r="E1079" s="52" t="s">
        <v>25</v>
      </c>
      <c r="F1079" s="52" t="s">
        <v>26</v>
      </c>
      <c r="G1079" s="53"/>
    </row>
    <row r="1080">
      <c r="A1080" s="49">
        <v>44706.04028331018</v>
      </c>
      <c r="B1080" s="50">
        <v>44706.1652540393</v>
      </c>
      <c r="C1080" s="51">
        <v>1.034</v>
      </c>
      <c r="D1080" s="51">
        <v>66.0</v>
      </c>
      <c r="E1080" s="52" t="s">
        <v>25</v>
      </c>
      <c r="F1080" s="52" t="s">
        <v>26</v>
      </c>
      <c r="G1080" s="53"/>
    </row>
    <row r="1081">
      <c r="A1081" s="49">
        <v>44706.05070136574</v>
      </c>
      <c r="B1081" s="50">
        <v>44706.1756752546</v>
      </c>
      <c r="C1081" s="51">
        <v>1.034</v>
      </c>
      <c r="D1081" s="51">
        <v>66.0</v>
      </c>
      <c r="E1081" s="52" t="s">
        <v>25</v>
      </c>
      <c r="F1081" s="52" t="s">
        <v>26</v>
      </c>
      <c r="G1081" s="53"/>
    </row>
    <row r="1082">
      <c r="A1082" s="49">
        <v>44706.061120266204</v>
      </c>
      <c r="B1082" s="50">
        <v>44706.1860963078</v>
      </c>
      <c r="C1082" s="51">
        <v>1.034</v>
      </c>
      <c r="D1082" s="51">
        <v>66.0</v>
      </c>
      <c r="E1082" s="52" t="s">
        <v>25</v>
      </c>
      <c r="F1082" s="52" t="s">
        <v>26</v>
      </c>
      <c r="G1082" s="53"/>
    </row>
    <row r="1083">
      <c r="A1083" s="49">
        <v>44706.071561585646</v>
      </c>
      <c r="B1083" s="50">
        <v>44706.196529699</v>
      </c>
      <c r="C1083" s="51">
        <v>1.034</v>
      </c>
      <c r="D1083" s="51">
        <v>66.0</v>
      </c>
      <c r="E1083" s="52" t="s">
        <v>25</v>
      </c>
      <c r="F1083" s="52" t="s">
        <v>26</v>
      </c>
      <c r="G1083" s="53"/>
    </row>
    <row r="1084">
      <c r="A1084" s="49">
        <v>44706.0819746412</v>
      </c>
      <c r="B1084" s="50">
        <v>44706.2069515625</v>
      </c>
      <c r="C1084" s="51">
        <v>1.034</v>
      </c>
      <c r="D1084" s="51">
        <v>66.0</v>
      </c>
      <c r="E1084" s="52" t="s">
        <v>25</v>
      </c>
      <c r="F1084" s="52" t="s">
        <v>26</v>
      </c>
      <c r="G1084" s="53"/>
    </row>
    <row r="1085">
      <c r="A1085" s="49">
        <v>44706.092395162035</v>
      </c>
      <c r="B1085" s="50">
        <v>44706.2173735416</v>
      </c>
      <c r="C1085" s="51">
        <v>1.034</v>
      </c>
      <c r="D1085" s="51">
        <v>66.0</v>
      </c>
      <c r="E1085" s="52" t="s">
        <v>25</v>
      </c>
      <c r="F1085" s="52" t="s">
        <v>26</v>
      </c>
      <c r="G1085" s="53"/>
    </row>
    <row r="1086">
      <c r="A1086" s="49">
        <v>44706.102857743055</v>
      </c>
      <c r="B1086" s="50">
        <v>44706.2278302199</v>
      </c>
      <c r="C1086" s="51">
        <v>1.034</v>
      </c>
      <c r="D1086" s="51">
        <v>66.0</v>
      </c>
      <c r="E1086" s="52" t="s">
        <v>25</v>
      </c>
      <c r="F1086" s="52" t="s">
        <v>26</v>
      </c>
      <c r="G1086" s="53"/>
    </row>
    <row r="1087">
      <c r="A1087" s="49">
        <v>44706.113278969904</v>
      </c>
      <c r="B1087" s="50">
        <v>44706.238251875</v>
      </c>
      <c r="C1087" s="51">
        <v>1.034</v>
      </c>
      <c r="D1087" s="51">
        <v>66.0</v>
      </c>
      <c r="E1087" s="52" t="s">
        <v>25</v>
      </c>
      <c r="F1087" s="52" t="s">
        <v>26</v>
      </c>
      <c r="G1087" s="53"/>
    </row>
    <row r="1088">
      <c r="A1088" s="49">
        <v>44706.123694050926</v>
      </c>
      <c r="B1088" s="50">
        <v>44706.2486715162</v>
      </c>
      <c r="C1088" s="51">
        <v>1.034</v>
      </c>
      <c r="D1088" s="51">
        <v>67.0</v>
      </c>
      <c r="E1088" s="52" t="s">
        <v>25</v>
      </c>
      <c r="F1088" s="52" t="s">
        <v>26</v>
      </c>
      <c r="G1088" s="53"/>
    </row>
    <row r="1089">
      <c r="A1089" s="49">
        <v>44706.13412376157</v>
      </c>
      <c r="B1089" s="50">
        <v>44706.2590926388</v>
      </c>
      <c r="C1089" s="51">
        <v>1.034</v>
      </c>
      <c r="D1089" s="51">
        <v>67.0</v>
      </c>
      <c r="E1089" s="52" t="s">
        <v>25</v>
      </c>
      <c r="F1089" s="52" t="s">
        <v>26</v>
      </c>
      <c r="G1089" s="53"/>
    </row>
    <row r="1090">
      <c r="A1090" s="49">
        <v>44706.14453046296</v>
      </c>
      <c r="B1090" s="50">
        <v>44706.2695125694</v>
      </c>
      <c r="C1090" s="51">
        <v>1.034</v>
      </c>
      <c r="D1090" s="51">
        <v>67.0</v>
      </c>
      <c r="E1090" s="52" t="s">
        <v>25</v>
      </c>
      <c r="F1090" s="52" t="s">
        <v>26</v>
      </c>
      <c r="G1090" s="53"/>
    </row>
    <row r="1091">
      <c r="A1091" s="49">
        <v>44706.15496305555</v>
      </c>
      <c r="B1091" s="50">
        <v>44706.2799333449</v>
      </c>
      <c r="C1091" s="51">
        <v>1.034</v>
      </c>
      <c r="D1091" s="51">
        <v>66.0</v>
      </c>
      <c r="E1091" s="52" t="s">
        <v>25</v>
      </c>
      <c r="F1091" s="52" t="s">
        <v>26</v>
      </c>
      <c r="G1091" s="53"/>
    </row>
    <row r="1092">
      <c r="A1092" s="49">
        <v>44706.16538722222</v>
      </c>
      <c r="B1092" s="50">
        <v>44706.2903520254</v>
      </c>
      <c r="C1092" s="51">
        <v>1.034</v>
      </c>
      <c r="D1092" s="51">
        <v>67.0</v>
      </c>
      <c r="E1092" s="52" t="s">
        <v>25</v>
      </c>
      <c r="F1092" s="52" t="s">
        <v>26</v>
      </c>
      <c r="G1092" s="53"/>
    </row>
    <row r="1093">
      <c r="A1093" s="49">
        <v>44706.17580341436</v>
      </c>
      <c r="B1093" s="50">
        <v>44706.3007729861</v>
      </c>
      <c r="C1093" s="51">
        <v>1.034</v>
      </c>
      <c r="D1093" s="51">
        <v>67.0</v>
      </c>
      <c r="E1093" s="52" t="s">
        <v>25</v>
      </c>
      <c r="F1093" s="52" t="s">
        <v>26</v>
      </c>
      <c r="G1093" s="53"/>
    </row>
    <row r="1094">
      <c r="A1094" s="49">
        <v>44706.18625702546</v>
      </c>
      <c r="B1094" s="50">
        <v>44706.3111940046</v>
      </c>
      <c r="C1094" s="51">
        <v>1.034</v>
      </c>
      <c r="D1094" s="51">
        <v>67.0</v>
      </c>
      <c r="E1094" s="52" t="s">
        <v>25</v>
      </c>
      <c r="F1094" s="52" t="s">
        <v>26</v>
      </c>
      <c r="G1094" s="53"/>
    </row>
    <row r="1095">
      <c r="A1095" s="49">
        <v>44706.19668763889</v>
      </c>
      <c r="B1095" s="50">
        <v>44706.3216631481</v>
      </c>
      <c r="C1095" s="51">
        <v>1.034</v>
      </c>
      <c r="D1095" s="51">
        <v>67.0</v>
      </c>
      <c r="E1095" s="52" t="s">
        <v>25</v>
      </c>
      <c r="F1095" s="52" t="s">
        <v>26</v>
      </c>
      <c r="G1095" s="53"/>
    </row>
    <row r="1096">
      <c r="A1096" s="49">
        <v>44706.20711074074</v>
      </c>
      <c r="B1096" s="50">
        <v>44706.3320847222</v>
      </c>
      <c r="C1096" s="51">
        <v>1.034</v>
      </c>
      <c r="D1096" s="51">
        <v>67.0</v>
      </c>
      <c r="E1096" s="52" t="s">
        <v>25</v>
      </c>
      <c r="F1096" s="52" t="s">
        <v>26</v>
      </c>
      <c r="G1096" s="53"/>
    </row>
    <row r="1097">
      <c r="A1097" s="49">
        <v>44706.21752355324</v>
      </c>
      <c r="B1097" s="50">
        <v>44706.3425050347</v>
      </c>
      <c r="C1097" s="51">
        <v>1.034</v>
      </c>
      <c r="D1097" s="51">
        <v>67.0</v>
      </c>
      <c r="E1097" s="52" t="s">
        <v>25</v>
      </c>
      <c r="F1097" s="52" t="s">
        <v>26</v>
      </c>
      <c r="G1097" s="53"/>
    </row>
    <row r="1098">
      <c r="A1098" s="49">
        <v>44706.22796092593</v>
      </c>
      <c r="B1098" s="50">
        <v>44706.3529275463</v>
      </c>
      <c r="C1098" s="51">
        <v>1.034</v>
      </c>
      <c r="D1098" s="51">
        <v>67.0</v>
      </c>
      <c r="E1098" s="52" t="s">
        <v>25</v>
      </c>
      <c r="F1098" s="52" t="s">
        <v>26</v>
      </c>
      <c r="G1098" s="53"/>
    </row>
    <row r="1099">
      <c r="A1099" s="49">
        <v>44706.23837324074</v>
      </c>
      <c r="B1099" s="50">
        <v>44706.3633499884</v>
      </c>
      <c r="C1099" s="51">
        <v>1.034</v>
      </c>
      <c r="D1099" s="51">
        <v>67.0</v>
      </c>
      <c r="E1099" s="52" t="s">
        <v>25</v>
      </c>
      <c r="F1099" s="52" t="s">
        <v>26</v>
      </c>
      <c r="G1099" s="53"/>
    </row>
    <row r="1100">
      <c r="A1100" s="49">
        <v>44706.24879699074</v>
      </c>
      <c r="B1100" s="50">
        <v>44706.3737707291</v>
      </c>
      <c r="C1100" s="51">
        <v>1.034</v>
      </c>
      <c r="D1100" s="51">
        <v>67.0</v>
      </c>
      <c r="E1100" s="52" t="s">
        <v>25</v>
      </c>
      <c r="F1100" s="52" t="s">
        <v>26</v>
      </c>
      <c r="G1100" s="53"/>
    </row>
    <row r="1101">
      <c r="A1101" s="49">
        <v>44706.25923603009</v>
      </c>
      <c r="B1101" s="50">
        <v>44706.3842040277</v>
      </c>
      <c r="C1101" s="51">
        <v>1.034</v>
      </c>
      <c r="D1101" s="51">
        <v>67.0</v>
      </c>
      <c r="E1101" s="52" t="s">
        <v>25</v>
      </c>
      <c r="F1101" s="52" t="s">
        <v>26</v>
      </c>
      <c r="G1101" s="53"/>
    </row>
    <row r="1102">
      <c r="A1102" s="49">
        <v>44706.270007534724</v>
      </c>
      <c r="B1102" s="50">
        <v>44706.3946241782</v>
      </c>
      <c r="C1102" s="51">
        <v>1.033</v>
      </c>
      <c r="D1102" s="51">
        <v>67.0</v>
      </c>
      <c r="E1102" s="52" t="s">
        <v>25</v>
      </c>
      <c r="F1102" s="52" t="s">
        <v>26</v>
      </c>
      <c r="G1102" s="53"/>
    </row>
    <row r="1103">
      <c r="A1103" s="49">
        <v>44706.28008993056</v>
      </c>
      <c r="B1103" s="50">
        <v>44706.4050466898</v>
      </c>
      <c r="C1103" s="51">
        <v>1.034</v>
      </c>
      <c r="D1103" s="51">
        <v>67.0</v>
      </c>
      <c r="E1103" s="52" t="s">
        <v>25</v>
      </c>
      <c r="F1103" s="52" t="s">
        <v>26</v>
      </c>
      <c r="G1103" s="53"/>
    </row>
    <row r="1104">
      <c r="A1104" s="49">
        <v>44706.29049771991</v>
      </c>
      <c r="B1104" s="50">
        <v>44706.4154684143</v>
      </c>
      <c r="C1104" s="51">
        <v>1.033</v>
      </c>
      <c r="D1104" s="51">
        <v>67.0</v>
      </c>
      <c r="E1104" s="52" t="s">
        <v>25</v>
      </c>
      <c r="F1104" s="52" t="s">
        <v>26</v>
      </c>
      <c r="G1104" s="53"/>
    </row>
    <row r="1105">
      <c r="A1105" s="49">
        <v>44706.30091821759</v>
      </c>
      <c r="B1105" s="50">
        <v>44706.4258893634</v>
      </c>
      <c r="C1105" s="51">
        <v>1.033</v>
      </c>
      <c r="D1105" s="51">
        <v>67.0</v>
      </c>
      <c r="E1105" s="52" t="s">
        <v>25</v>
      </c>
      <c r="F1105" s="52" t="s">
        <v>26</v>
      </c>
      <c r="G1105" s="53"/>
    </row>
    <row r="1106">
      <c r="A1106" s="49">
        <v>44706.311353171295</v>
      </c>
      <c r="B1106" s="50">
        <v>44706.436320162</v>
      </c>
      <c r="C1106" s="51">
        <v>1.033</v>
      </c>
      <c r="D1106" s="51">
        <v>67.0</v>
      </c>
      <c r="E1106" s="52" t="s">
        <v>25</v>
      </c>
      <c r="F1106" s="52" t="s">
        <v>26</v>
      </c>
      <c r="G1106" s="53"/>
    </row>
    <row r="1107">
      <c r="A1107" s="49">
        <v>44706.32181945602</v>
      </c>
      <c r="B1107" s="50">
        <v>44706.446753206</v>
      </c>
      <c r="C1107" s="51">
        <v>1.033</v>
      </c>
      <c r="D1107" s="51">
        <v>67.0</v>
      </c>
      <c r="E1107" s="52" t="s">
        <v>25</v>
      </c>
      <c r="F1107" s="52" t="s">
        <v>26</v>
      </c>
      <c r="G1107" s="53"/>
    </row>
    <row r="1108">
      <c r="A1108" s="49">
        <v>44706.33220796296</v>
      </c>
      <c r="B1108" s="50">
        <v>44706.4571746875</v>
      </c>
      <c r="C1108" s="51">
        <v>1.033</v>
      </c>
      <c r="D1108" s="51">
        <v>67.0</v>
      </c>
      <c r="E1108" s="52" t="s">
        <v>25</v>
      </c>
      <c r="F1108" s="52" t="s">
        <v>26</v>
      </c>
      <c r="G1108" s="53"/>
    </row>
    <row r="1109">
      <c r="A1109" s="49">
        <v>44706.34261532407</v>
      </c>
      <c r="B1109" s="50">
        <v>44706.4675966898</v>
      </c>
      <c r="C1109" s="51">
        <v>1.033</v>
      </c>
      <c r="D1109" s="51">
        <v>67.0</v>
      </c>
      <c r="E1109" s="52" t="s">
        <v>25</v>
      </c>
      <c r="F1109" s="52" t="s">
        <v>26</v>
      </c>
      <c r="G1109" s="53"/>
    </row>
    <row r="1110">
      <c r="A1110" s="49">
        <v>44706.353061875</v>
      </c>
      <c r="B1110" s="50">
        <v>44706.4780295601</v>
      </c>
      <c r="C1110" s="51">
        <v>1.033</v>
      </c>
      <c r="D1110" s="51">
        <v>67.0</v>
      </c>
      <c r="E1110" s="52" t="s">
        <v>25</v>
      </c>
      <c r="F1110" s="52" t="s">
        <v>26</v>
      </c>
      <c r="G1110" s="53"/>
    </row>
    <row r="1111">
      <c r="A1111" s="49">
        <v>44706.36347309028</v>
      </c>
      <c r="B1111" s="50">
        <v>44706.488450949</v>
      </c>
      <c r="C1111" s="51">
        <v>1.033</v>
      </c>
      <c r="D1111" s="51">
        <v>67.0</v>
      </c>
      <c r="E1111" s="52" t="s">
        <v>25</v>
      </c>
      <c r="F1111" s="52" t="s">
        <v>26</v>
      </c>
      <c r="G1111" s="53"/>
    </row>
    <row r="1112">
      <c r="A1112" s="49">
        <v>44706.373894895834</v>
      </c>
      <c r="B1112" s="50">
        <v>44706.4988711342</v>
      </c>
      <c r="C1112" s="51">
        <v>1.033</v>
      </c>
      <c r="D1112" s="51">
        <v>67.0</v>
      </c>
      <c r="E1112" s="52" t="s">
        <v>25</v>
      </c>
      <c r="F1112" s="52" t="s">
        <v>26</v>
      </c>
      <c r="G1112" s="53"/>
    </row>
    <row r="1113">
      <c r="A1113" s="49">
        <v>44706.38431469907</v>
      </c>
      <c r="B1113" s="50">
        <v>44706.5092907175</v>
      </c>
      <c r="C1113" s="51">
        <v>1.033</v>
      </c>
      <c r="D1113" s="51">
        <v>67.0</v>
      </c>
      <c r="E1113" s="52" t="s">
        <v>25</v>
      </c>
      <c r="F1113" s="52" t="s">
        <v>26</v>
      </c>
      <c r="G1113" s="53"/>
    </row>
    <row r="1114">
      <c r="A1114" s="49">
        <v>44706.394739062496</v>
      </c>
      <c r="B1114" s="50">
        <v>44706.5197118402</v>
      </c>
      <c r="C1114" s="51">
        <v>1.033</v>
      </c>
      <c r="D1114" s="51">
        <v>67.0</v>
      </c>
      <c r="E1114" s="52" t="s">
        <v>25</v>
      </c>
      <c r="F1114" s="52" t="s">
        <v>26</v>
      </c>
      <c r="G1114" s="53"/>
    </row>
    <row r="1115">
      <c r="A1115" s="49">
        <v>44706.40517789352</v>
      </c>
      <c r="B1115" s="50">
        <v>44706.5301336111</v>
      </c>
      <c r="C1115" s="51">
        <v>1.033</v>
      </c>
      <c r="D1115" s="51">
        <v>67.0</v>
      </c>
      <c r="E1115" s="52" t="s">
        <v>25</v>
      </c>
      <c r="F1115" s="52" t="s">
        <v>26</v>
      </c>
      <c r="G1115" s="53"/>
    </row>
    <row r="1116">
      <c r="A1116" s="49">
        <v>44706.4156071412</v>
      </c>
      <c r="B1116" s="50">
        <v>44706.540567199</v>
      </c>
      <c r="C1116" s="51">
        <v>1.033</v>
      </c>
      <c r="D1116" s="51">
        <v>67.0</v>
      </c>
      <c r="E1116" s="52" t="s">
        <v>25</v>
      </c>
      <c r="F1116" s="52" t="s">
        <v>26</v>
      </c>
      <c r="G1116" s="53"/>
    </row>
    <row r="1117">
      <c r="A1117" s="49">
        <v>44706.4260777662</v>
      </c>
      <c r="B1117" s="50">
        <v>44706.5509886342</v>
      </c>
      <c r="C1117" s="51">
        <v>1.033</v>
      </c>
      <c r="D1117" s="51">
        <v>67.0</v>
      </c>
      <c r="E1117" s="52" t="s">
        <v>25</v>
      </c>
      <c r="F1117" s="52" t="s">
        <v>26</v>
      </c>
      <c r="G1117" s="53"/>
    </row>
    <row r="1118">
      <c r="A1118" s="49">
        <v>44706.43643523148</v>
      </c>
      <c r="B1118" s="50">
        <v>44706.5614076388</v>
      </c>
      <c r="C1118" s="51">
        <v>1.033</v>
      </c>
      <c r="D1118" s="51">
        <v>67.0</v>
      </c>
      <c r="E1118" s="52" t="s">
        <v>25</v>
      </c>
      <c r="F1118" s="52" t="s">
        <v>26</v>
      </c>
      <c r="G1118" s="53"/>
    </row>
    <row r="1119">
      <c r="A1119" s="49">
        <v>44706.446861041666</v>
      </c>
      <c r="B1119" s="50">
        <v>44706.5718280555</v>
      </c>
      <c r="C1119" s="51">
        <v>1.033</v>
      </c>
      <c r="D1119" s="51">
        <v>67.0</v>
      </c>
      <c r="E1119" s="52" t="s">
        <v>25</v>
      </c>
      <c r="F1119" s="52" t="s">
        <v>26</v>
      </c>
      <c r="G1119" s="53"/>
    </row>
    <row r="1120">
      <c r="A1120" s="49">
        <v>44706.45727866898</v>
      </c>
      <c r="B1120" s="50">
        <v>44706.5822492476</v>
      </c>
      <c r="C1120" s="51">
        <v>1.033</v>
      </c>
      <c r="D1120" s="51">
        <v>67.0</v>
      </c>
      <c r="E1120" s="52" t="s">
        <v>25</v>
      </c>
      <c r="F1120" s="52" t="s">
        <v>26</v>
      </c>
      <c r="G1120" s="53"/>
    </row>
    <row r="1121">
      <c r="A1121" s="49">
        <v>44706.467695810185</v>
      </c>
      <c r="B1121" s="50">
        <v>44706.5926700347</v>
      </c>
      <c r="C1121" s="51">
        <v>1.033</v>
      </c>
      <c r="D1121" s="51">
        <v>67.0</v>
      </c>
      <c r="E1121" s="52" t="s">
        <v>25</v>
      </c>
      <c r="F1121" s="52" t="s">
        <v>26</v>
      </c>
      <c r="G1121" s="53"/>
    </row>
    <row r="1122">
      <c r="A1122" s="49">
        <v>44706.47811748843</v>
      </c>
      <c r="B1122" s="50">
        <v>44706.6030895138</v>
      </c>
      <c r="C1122" s="51">
        <v>1.033</v>
      </c>
      <c r="D1122" s="51">
        <v>67.0</v>
      </c>
      <c r="E1122" s="52" t="s">
        <v>25</v>
      </c>
      <c r="F1122" s="52" t="s">
        <v>26</v>
      </c>
      <c r="G1122" s="53"/>
    </row>
    <row r="1123">
      <c r="A1123" s="49">
        <v>44706.48856644676</v>
      </c>
      <c r="B1123" s="50">
        <v>44706.6135324421</v>
      </c>
      <c r="C1123" s="51">
        <v>1.033</v>
      </c>
      <c r="D1123" s="51">
        <v>67.0</v>
      </c>
      <c r="E1123" s="52" t="s">
        <v>25</v>
      </c>
      <c r="F1123" s="52" t="s">
        <v>26</v>
      </c>
      <c r="G1123" s="53"/>
    </row>
    <row r="1124">
      <c r="A1124" s="49">
        <v>44706.4989765162</v>
      </c>
      <c r="B1124" s="50">
        <v>44706.623953993</v>
      </c>
      <c r="C1124" s="51">
        <v>1.033</v>
      </c>
      <c r="D1124" s="51">
        <v>67.0</v>
      </c>
      <c r="E1124" s="52" t="s">
        <v>25</v>
      </c>
      <c r="F1124" s="52" t="s">
        <v>26</v>
      </c>
      <c r="G1124" s="53"/>
    </row>
    <row r="1125">
      <c r="A1125" s="49">
        <v>44706.50940159722</v>
      </c>
      <c r="B1125" s="50">
        <v>44706.6343746875</v>
      </c>
      <c r="C1125" s="51">
        <v>1.033</v>
      </c>
      <c r="D1125" s="51">
        <v>67.0</v>
      </c>
      <c r="E1125" s="52" t="s">
        <v>25</v>
      </c>
      <c r="F1125" s="52" t="s">
        <v>26</v>
      </c>
      <c r="G1125" s="53"/>
    </row>
    <row r="1126">
      <c r="A1126" s="49">
        <v>44706.5198228125</v>
      </c>
      <c r="B1126" s="50">
        <v>44706.6447958333</v>
      </c>
      <c r="C1126" s="51">
        <v>1.032</v>
      </c>
      <c r="D1126" s="51">
        <v>67.0</v>
      </c>
      <c r="E1126" s="52" t="s">
        <v>25</v>
      </c>
      <c r="F1126" s="52" t="s">
        <v>26</v>
      </c>
      <c r="G1126" s="53"/>
    </row>
    <row r="1127">
      <c r="A1127" s="49">
        <v>44706.53024850694</v>
      </c>
      <c r="B1127" s="50">
        <v>44706.6552177314</v>
      </c>
      <c r="C1127" s="51">
        <v>1.032</v>
      </c>
      <c r="D1127" s="51">
        <v>67.0</v>
      </c>
      <c r="E1127" s="52" t="s">
        <v>25</v>
      </c>
      <c r="F1127" s="52" t="s">
        <v>26</v>
      </c>
      <c r="G1127" s="53"/>
    </row>
    <row r="1128">
      <c r="A1128" s="49">
        <v>44706.54066853009</v>
      </c>
      <c r="B1128" s="50">
        <v>44706.6656382754</v>
      </c>
      <c r="C1128" s="51">
        <v>1.032</v>
      </c>
      <c r="D1128" s="51">
        <v>67.0</v>
      </c>
      <c r="E1128" s="52" t="s">
        <v>25</v>
      </c>
      <c r="F1128" s="52" t="s">
        <v>26</v>
      </c>
      <c r="G1128" s="53"/>
    </row>
    <row r="1129">
      <c r="A1129" s="49">
        <v>44706.55108295139</v>
      </c>
      <c r="B1129" s="50">
        <v>44706.6760584143</v>
      </c>
      <c r="C1129" s="51">
        <v>1.032</v>
      </c>
      <c r="D1129" s="51">
        <v>67.0</v>
      </c>
      <c r="E1129" s="52" t="s">
        <v>25</v>
      </c>
      <c r="F1129" s="52" t="s">
        <v>26</v>
      </c>
      <c r="G1129" s="53"/>
    </row>
    <row r="1130">
      <c r="A1130" s="49">
        <v>44706.561506134254</v>
      </c>
      <c r="B1130" s="50">
        <v>44706.6864792592</v>
      </c>
      <c r="C1130" s="51">
        <v>1.032</v>
      </c>
      <c r="D1130" s="51">
        <v>67.0</v>
      </c>
      <c r="E1130" s="52" t="s">
        <v>25</v>
      </c>
      <c r="F1130" s="52" t="s">
        <v>26</v>
      </c>
      <c r="G1130" s="53"/>
    </row>
    <row r="1131">
      <c r="A1131" s="49">
        <v>44706.57192400463</v>
      </c>
      <c r="B1131" s="50">
        <v>44706.6969012152</v>
      </c>
      <c r="C1131" s="51">
        <v>1.032</v>
      </c>
      <c r="D1131" s="51">
        <v>67.0</v>
      </c>
      <c r="E1131" s="52" t="s">
        <v>25</v>
      </c>
      <c r="F1131" s="52" t="s">
        <v>26</v>
      </c>
      <c r="G1131" s="53"/>
    </row>
    <row r="1132">
      <c r="A1132" s="49">
        <v>44706.58237986111</v>
      </c>
      <c r="B1132" s="50">
        <v>44706.7073472338</v>
      </c>
      <c r="C1132" s="51">
        <v>1.032</v>
      </c>
      <c r="D1132" s="51">
        <v>67.0</v>
      </c>
      <c r="E1132" s="52" t="s">
        <v>25</v>
      </c>
      <c r="F1132" s="52" t="s">
        <v>26</v>
      </c>
      <c r="G1132" s="53"/>
    </row>
    <row r="1133">
      <c r="A1133" s="49">
        <v>44706.59280920139</v>
      </c>
      <c r="B1133" s="50">
        <v>44706.7177793287</v>
      </c>
      <c r="C1133" s="51">
        <v>1.032</v>
      </c>
      <c r="D1133" s="51">
        <v>67.0</v>
      </c>
      <c r="E1133" s="52" t="s">
        <v>25</v>
      </c>
      <c r="F1133" s="52" t="s">
        <v>26</v>
      </c>
      <c r="G1133" s="53"/>
    </row>
    <row r="1134">
      <c r="A1134" s="49">
        <v>44706.60322038195</v>
      </c>
      <c r="B1134" s="50">
        <v>44706.728198912</v>
      </c>
      <c r="C1134" s="51">
        <v>1.032</v>
      </c>
      <c r="D1134" s="51">
        <v>67.0</v>
      </c>
      <c r="E1134" s="52" t="s">
        <v>25</v>
      </c>
      <c r="F1134" s="52" t="s">
        <v>26</v>
      </c>
      <c r="G1134" s="53"/>
    </row>
    <row r="1135">
      <c r="A1135" s="49">
        <v>44706.61366055555</v>
      </c>
      <c r="B1135" s="50">
        <v>44706.7386316782</v>
      </c>
      <c r="C1135" s="51">
        <v>1.032</v>
      </c>
      <c r="D1135" s="51">
        <v>67.0</v>
      </c>
      <c r="E1135" s="52" t="s">
        <v>25</v>
      </c>
      <c r="F1135" s="52" t="s">
        <v>26</v>
      </c>
      <c r="G1135" s="53"/>
    </row>
    <row r="1136">
      <c r="A1136" s="49">
        <v>44706.624080243055</v>
      </c>
      <c r="B1136" s="50">
        <v>44706.7490525463</v>
      </c>
      <c r="C1136" s="51">
        <v>1.032</v>
      </c>
      <c r="D1136" s="51">
        <v>67.0</v>
      </c>
      <c r="E1136" s="52" t="s">
        <v>25</v>
      </c>
      <c r="F1136" s="52" t="s">
        <v>26</v>
      </c>
      <c r="G1136" s="53"/>
    </row>
    <row r="1137">
      <c r="A1137" s="49">
        <v>44706.63449563658</v>
      </c>
      <c r="B1137" s="50">
        <v>44706.7594744791</v>
      </c>
      <c r="C1137" s="51">
        <v>1.032</v>
      </c>
      <c r="D1137" s="51">
        <v>67.0</v>
      </c>
      <c r="E1137" s="52" t="s">
        <v>25</v>
      </c>
      <c r="F1137" s="52" t="s">
        <v>26</v>
      </c>
      <c r="G1137" s="53"/>
    </row>
    <row r="1138">
      <c r="A1138" s="49">
        <v>44706.644929780094</v>
      </c>
      <c r="B1138" s="50">
        <v>44706.7699050231</v>
      </c>
      <c r="C1138" s="51">
        <v>1.032</v>
      </c>
      <c r="D1138" s="51">
        <v>67.0</v>
      </c>
      <c r="E1138" s="52" t="s">
        <v>25</v>
      </c>
      <c r="F1138" s="52" t="s">
        <v>26</v>
      </c>
      <c r="G1138" s="53"/>
    </row>
    <row r="1139">
      <c r="A1139" s="49">
        <v>44706.65534885417</v>
      </c>
      <c r="B1139" s="50">
        <v>44706.780326331</v>
      </c>
      <c r="C1139" s="51">
        <v>1.032</v>
      </c>
      <c r="D1139" s="51">
        <v>67.0</v>
      </c>
      <c r="E1139" s="52" t="s">
        <v>25</v>
      </c>
      <c r="F1139" s="52" t="s">
        <v>26</v>
      </c>
      <c r="G1139" s="53"/>
    </row>
    <row r="1140">
      <c r="A1140" s="49">
        <v>44706.66577571759</v>
      </c>
      <c r="B1140" s="50">
        <v>44706.7907465277</v>
      </c>
      <c r="C1140" s="51">
        <v>1.032</v>
      </c>
      <c r="D1140" s="51">
        <v>67.0</v>
      </c>
      <c r="E1140" s="52" t="s">
        <v>25</v>
      </c>
      <c r="F1140" s="52" t="s">
        <v>26</v>
      </c>
      <c r="G1140" s="53"/>
    </row>
    <row r="1141">
      <c r="A1141" s="49">
        <v>44706.67620540509</v>
      </c>
      <c r="B1141" s="50">
        <v>44706.8011695254</v>
      </c>
      <c r="C1141" s="51">
        <v>1.032</v>
      </c>
      <c r="D1141" s="51">
        <v>67.0</v>
      </c>
      <c r="E1141" s="52" t="s">
        <v>25</v>
      </c>
      <c r="F1141" s="52" t="s">
        <v>26</v>
      </c>
      <c r="G1141" s="53"/>
    </row>
    <row r="1142">
      <c r="A1142" s="49">
        <v>44706.68660746528</v>
      </c>
      <c r="B1142" s="50">
        <v>44706.8115901388</v>
      </c>
      <c r="C1142" s="51">
        <v>1.032</v>
      </c>
      <c r="D1142" s="51">
        <v>67.0</v>
      </c>
      <c r="E1142" s="52" t="s">
        <v>25</v>
      </c>
      <c r="F1142" s="52" t="s">
        <v>26</v>
      </c>
      <c r="G1142" s="53"/>
    </row>
    <row r="1143">
      <c r="A1143" s="49">
        <v>44706.69704395834</v>
      </c>
      <c r="B1143" s="50">
        <v>44706.8220226504</v>
      </c>
      <c r="C1143" s="51">
        <v>1.032</v>
      </c>
      <c r="D1143" s="51">
        <v>67.0</v>
      </c>
      <c r="E1143" s="52" t="s">
        <v>25</v>
      </c>
      <c r="F1143" s="52" t="s">
        <v>26</v>
      </c>
      <c r="G1143" s="53"/>
    </row>
    <row r="1144">
      <c r="A1144" s="49">
        <v>44706.70747732639</v>
      </c>
      <c r="B1144" s="50">
        <v>44706.8324537152</v>
      </c>
      <c r="C1144" s="51">
        <v>1.032</v>
      </c>
      <c r="D1144" s="51">
        <v>67.0</v>
      </c>
      <c r="E1144" s="52" t="s">
        <v>25</v>
      </c>
      <c r="F1144" s="52" t="s">
        <v>26</v>
      </c>
      <c r="G1144" s="53"/>
    </row>
    <row r="1145">
      <c r="A1145" s="49">
        <v>44706.71790135417</v>
      </c>
      <c r="B1145" s="50">
        <v>44706.8428750925</v>
      </c>
      <c r="C1145" s="51">
        <v>1.032</v>
      </c>
      <c r="D1145" s="51">
        <v>67.0</v>
      </c>
      <c r="E1145" s="52" t="s">
        <v>25</v>
      </c>
      <c r="F1145" s="52" t="s">
        <v>26</v>
      </c>
      <c r="G1145" s="53"/>
    </row>
    <row r="1146">
      <c r="A1146" s="49">
        <v>44706.72832616898</v>
      </c>
      <c r="B1146" s="50">
        <v>44706.8532972222</v>
      </c>
      <c r="C1146" s="51">
        <v>1.032</v>
      </c>
      <c r="D1146" s="51">
        <v>67.0</v>
      </c>
      <c r="E1146" s="52" t="s">
        <v>25</v>
      </c>
      <c r="F1146" s="52" t="s">
        <v>26</v>
      </c>
      <c r="G1146" s="53"/>
    </row>
    <row r="1147">
      <c r="A1147" s="49">
        <v>44706.73874930556</v>
      </c>
      <c r="B1147" s="50">
        <v>44706.8637189351</v>
      </c>
      <c r="C1147" s="51">
        <v>1.032</v>
      </c>
      <c r="D1147" s="51">
        <v>67.0</v>
      </c>
      <c r="E1147" s="52" t="s">
        <v>25</v>
      </c>
      <c r="F1147" s="52" t="s">
        <v>26</v>
      </c>
      <c r="G1147" s="53"/>
    </row>
    <row r="1148">
      <c r="A1148" s="49">
        <v>44706.74916770833</v>
      </c>
      <c r="B1148" s="50">
        <v>44706.8741408217</v>
      </c>
      <c r="C1148" s="51">
        <v>1.032</v>
      </c>
      <c r="D1148" s="51">
        <v>67.0</v>
      </c>
      <c r="E1148" s="52" t="s">
        <v>25</v>
      </c>
      <c r="F1148" s="52" t="s">
        <v>26</v>
      </c>
      <c r="G1148" s="53"/>
    </row>
    <row r="1149">
      <c r="A1149" s="49">
        <v>44706.75959071759</v>
      </c>
      <c r="B1149" s="50">
        <v>44706.8845626273</v>
      </c>
      <c r="C1149" s="51">
        <v>1.032</v>
      </c>
      <c r="D1149" s="51">
        <v>68.0</v>
      </c>
      <c r="E1149" s="52" t="s">
        <v>25</v>
      </c>
      <c r="F1149" s="52" t="s">
        <v>26</v>
      </c>
      <c r="G1149" s="53"/>
    </row>
    <row r="1150">
      <c r="A1150" s="49">
        <v>44706.77001623843</v>
      </c>
      <c r="B1150" s="50">
        <v>44706.8949960879</v>
      </c>
      <c r="C1150" s="51">
        <v>1.032</v>
      </c>
      <c r="D1150" s="51">
        <v>67.0</v>
      </c>
      <c r="E1150" s="52" t="s">
        <v>25</v>
      </c>
      <c r="F1150" s="52" t="s">
        <v>26</v>
      </c>
      <c r="G1150" s="53"/>
    </row>
    <row r="1151">
      <c r="A1151" s="49">
        <v>44706.780473287035</v>
      </c>
      <c r="B1151" s="50">
        <v>44706.9054423495</v>
      </c>
      <c r="C1151" s="51">
        <v>1.032</v>
      </c>
      <c r="D1151" s="51">
        <v>67.0</v>
      </c>
      <c r="E1151" s="52" t="s">
        <v>25</v>
      </c>
      <c r="F1151" s="52" t="s">
        <v>26</v>
      </c>
      <c r="G1151" s="53"/>
    </row>
    <row r="1152">
      <c r="A1152" s="49">
        <v>44706.790887800926</v>
      </c>
      <c r="B1152" s="50">
        <v>44706.9158648032</v>
      </c>
      <c r="C1152" s="51">
        <v>1.032</v>
      </c>
      <c r="D1152" s="51">
        <v>67.0</v>
      </c>
      <c r="E1152" s="52" t="s">
        <v>25</v>
      </c>
      <c r="F1152" s="52" t="s">
        <v>26</v>
      </c>
      <c r="G1152" s="53"/>
    </row>
    <row r="1153">
      <c r="A1153" s="49">
        <v>44706.80131591435</v>
      </c>
      <c r="B1153" s="50">
        <v>44706.9262853125</v>
      </c>
      <c r="C1153" s="51">
        <v>1.032</v>
      </c>
      <c r="D1153" s="51">
        <v>67.0</v>
      </c>
      <c r="E1153" s="52" t="s">
        <v>25</v>
      </c>
      <c r="F1153" s="52" t="s">
        <v>26</v>
      </c>
      <c r="G1153" s="53"/>
    </row>
    <row r="1154">
      <c r="A1154" s="49">
        <v>44706.81174880787</v>
      </c>
      <c r="B1154" s="50">
        <v>44706.936721875</v>
      </c>
      <c r="C1154" s="51">
        <v>1.032</v>
      </c>
      <c r="D1154" s="51">
        <v>68.0</v>
      </c>
      <c r="E1154" s="52" t="s">
        <v>25</v>
      </c>
      <c r="F1154" s="52" t="s">
        <v>26</v>
      </c>
      <c r="G1154" s="53"/>
    </row>
    <row r="1155">
      <c r="A1155" s="49">
        <v>44706.8221912963</v>
      </c>
      <c r="B1155" s="50">
        <v>44706.9471672106</v>
      </c>
      <c r="C1155" s="51">
        <v>1.031</v>
      </c>
      <c r="D1155" s="51">
        <v>68.0</v>
      </c>
      <c r="E1155" s="52" t="s">
        <v>25</v>
      </c>
      <c r="F1155" s="52" t="s">
        <v>26</v>
      </c>
      <c r="G1155" s="53"/>
    </row>
    <row r="1156">
      <c r="A1156" s="49">
        <v>44706.83261493055</v>
      </c>
      <c r="B1156" s="50">
        <v>44706.957588125</v>
      </c>
      <c r="C1156" s="51">
        <v>1.031</v>
      </c>
      <c r="D1156" s="51">
        <v>67.0</v>
      </c>
      <c r="E1156" s="52" t="s">
        <v>25</v>
      </c>
      <c r="F1156" s="52" t="s">
        <v>26</v>
      </c>
      <c r="G1156" s="53"/>
    </row>
    <row r="1157">
      <c r="A1157" s="49">
        <v>44706.84302966435</v>
      </c>
      <c r="B1157" s="50">
        <v>44706.9680104629</v>
      </c>
      <c r="C1157" s="51">
        <v>1.031</v>
      </c>
      <c r="D1157" s="51">
        <v>68.0</v>
      </c>
      <c r="E1157" s="52" t="s">
        <v>25</v>
      </c>
      <c r="F1157" s="52" t="s">
        <v>26</v>
      </c>
      <c r="G1157" s="53"/>
    </row>
    <row r="1158">
      <c r="A1158" s="49">
        <v>44706.853448078706</v>
      </c>
      <c r="B1158" s="50">
        <v>44706.9784306481</v>
      </c>
      <c r="C1158" s="51">
        <v>1.032</v>
      </c>
      <c r="D1158" s="51">
        <v>68.0</v>
      </c>
      <c r="E1158" s="52" t="s">
        <v>25</v>
      </c>
      <c r="F1158" s="52" t="s">
        <v>26</v>
      </c>
      <c r="G1158" s="53"/>
    </row>
    <row r="1159">
      <c r="A1159" s="49">
        <v>44706.863877800926</v>
      </c>
      <c r="B1159" s="50">
        <v>44706.9888501388</v>
      </c>
      <c r="C1159" s="51">
        <v>1.031</v>
      </c>
      <c r="D1159" s="51">
        <v>68.0</v>
      </c>
      <c r="E1159" s="52" t="s">
        <v>25</v>
      </c>
      <c r="F1159" s="52" t="s">
        <v>26</v>
      </c>
      <c r="G1159" s="53"/>
    </row>
    <row r="1160">
      <c r="A1160" s="49">
        <v>44706.874304780096</v>
      </c>
      <c r="B1160" s="50">
        <v>44706.9992710879</v>
      </c>
      <c r="C1160" s="51">
        <v>1.031</v>
      </c>
      <c r="D1160" s="51">
        <v>68.0</v>
      </c>
      <c r="E1160" s="52" t="s">
        <v>25</v>
      </c>
      <c r="F1160" s="52" t="s">
        <v>26</v>
      </c>
      <c r="G1160" s="53"/>
    </row>
    <row r="1161">
      <c r="A1161" s="49">
        <v>44706.884719340276</v>
      </c>
      <c r="B1161" s="50">
        <v>44707.0096918402</v>
      </c>
      <c r="C1161" s="51">
        <v>1.031</v>
      </c>
      <c r="D1161" s="51">
        <v>68.0</v>
      </c>
      <c r="E1161" s="52" t="s">
        <v>25</v>
      </c>
      <c r="F1161" s="52" t="s">
        <v>26</v>
      </c>
      <c r="G1161" s="53"/>
    </row>
    <row r="1162">
      <c r="A1162" s="49">
        <v>44706.89513849537</v>
      </c>
      <c r="B1162" s="50">
        <v>44707.0201120254</v>
      </c>
      <c r="C1162" s="51">
        <v>1.031</v>
      </c>
      <c r="D1162" s="51">
        <v>68.0</v>
      </c>
      <c r="E1162" s="52" t="s">
        <v>25</v>
      </c>
      <c r="F1162" s="52" t="s">
        <v>26</v>
      </c>
      <c r="G1162" s="53"/>
    </row>
    <row r="1163">
      <c r="A1163" s="49">
        <v>44706.90555924768</v>
      </c>
      <c r="B1163" s="50">
        <v>44707.0305327546</v>
      </c>
      <c r="C1163" s="51">
        <v>1.031</v>
      </c>
      <c r="D1163" s="51">
        <v>68.0</v>
      </c>
      <c r="E1163" s="52" t="s">
        <v>25</v>
      </c>
      <c r="F1163" s="52" t="s">
        <v>26</v>
      </c>
      <c r="G1163" s="53"/>
    </row>
    <row r="1164">
      <c r="A1164" s="49">
        <v>44706.91598451389</v>
      </c>
      <c r="B1164" s="50">
        <v>44707.0409534375</v>
      </c>
      <c r="C1164" s="51">
        <v>1.031</v>
      </c>
      <c r="D1164" s="51">
        <v>68.0</v>
      </c>
      <c r="E1164" s="52" t="s">
        <v>25</v>
      </c>
      <c r="F1164" s="52" t="s">
        <v>26</v>
      </c>
      <c r="G1164" s="53"/>
    </row>
    <row r="1165">
      <c r="A1165" s="49">
        <v>44706.92639721065</v>
      </c>
      <c r="B1165" s="50">
        <v>44707.0513755902</v>
      </c>
      <c r="C1165" s="51">
        <v>1.031</v>
      </c>
      <c r="D1165" s="51">
        <v>68.0</v>
      </c>
      <c r="E1165" s="52" t="s">
        <v>25</v>
      </c>
      <c r="F1165" s="52" t="s">
        <v>26</v>
      </c>
      <c r="G1165" s="53"/>
    </row>
    <row r="1166">
      <c r="A1166" s="49">
        <v>44706.93682717593</v>
      </c>
      <c r="B1166" s="50">
        <v>44707.061796956</v>
      </c>
      <c r="C1166" s="51">
        <v>1.031</v>
      </c>
      <c r="D1166" s="51">
        <v>68.0</v>
      </c>
      <c r="E1166" s="52" t="s">
        <v>25</v>
      </c>
      <c r="F1166" s="52" t="s">
        <v>26</v>
      </c>
      <c r="G1166" s="53"/>
    </row>
    <row r="1167">
      <c r="A1167" s="49">
        <v>44706.9472447338</v>
      </c>
      <c r="B1167" s="50">
        <v>44707.0722191435</v>
      </c>
      <c r="C1167" s="51">
        <v>1.031</v>
      </c>
      <c r="D1167" s="51">
        <v>68.0</v>
      </c>
      <c r="E1167" s="52" t="s">
        <v>25</v>
      </c>
      <c r="F1167" s="52" t="s">
        <v>26</v>
      </c>
      <c r="G1167" s="53"/>
    </row>
    <row r="1168">
      <c r="A1168" s="49">
        <v>44706.95767428241</v>
      </c>
      <c r="B1168" s="50">
        <v>44707.0826427314</v>
      </c>
      <c r="C1168" s="51">
        <v>1.031</v>
      </c>
      <c r="D1168" s="51">
        <v>68.0</v>
      </c>
      <c r="E1168" s="52" t="s">
        <v>25</v>
      </c>
      <c r="F1168" s="52" t="s">
        <v>26</v>
      </c>
      <c r="G1168" s="53"/>
    </row>
    <row r="1169">
      <c r="A1169" s="49">
        <v>44706.96810291667</v>
      </c>
      <c r="B1169" s="50">
        <v>44707.0930754745</v>
      </c>
      <c r="C1169" s="51">
        <v>1.031</v>
      </c>
      <c r="D1169" s="51">
        <v>68.0</v>
      </c>
      <c r="E1169" s="52" t="s">
        <v>25</v>
      </c>
      <c r="F1169" s="52" t="s">
        <v>26</v>
      </c>
      <c r="G1169" s="53"/>
    </row>
    <row r="1170">
      <c r="A1170" s="49">
        <v>44706.97853335648</v>
      </c>
      <c r="B1170" s="50">
        <v>44707.1035079513</v>
      </c>
      <c r="C1170" s="51">
        <v>1.031</v>
      </c>
      <c r="D1170" s="51">
        <v>68.0</v>
      </c>
      <c r="E1170" s="52" t="s">
        <v>25</v>
      </c>
      <c r="F1170" s="52" t="s">
        <v>26</v>
      </c>
      <c r="G1170" s="53"/>
    </row>
    <row r="1171">
      <c r="A1171" s="49">
        <v>44706.988952037034</v>
      </c>
      <c r="B1171" s="50">
        <v>44707.1139290277</v>
      </c>
      <c r="C1171" s="51">
        <v>1.031</v>
      </c>
      <c r="D1171" s="51">
        <v>68.0</v>
      </c>
      <c r="E1171" s="52" t="s">
        <v>25</v>
      </c>
      <c r="F1171" s="52" t="s">
        <v>26</v>
      </c>
      <c r="G1171" s="53"/>
    </row>
    <row r="1172">
      <c r="A1172" s="49">
        <v>44706.99936893518</v>
      </c>
      <c r="B1172" s="50">
        <v>44707.124349456</v>
      </c>
      <c r="C1172" s="51">
        <v>1.031</v>
      </c>
      <c r="D1172" s="51">
        <v>68.0</v>
      </c>
      <c r="E1172" s="52" t="s">
        <v>25</v>
      </c>
      <c r="F1172" s="52" t="s">
        <v>26</v>
      </c>
      <c r="G1172" s="53"/>
    </row>
    <row r="1173">
      <c r="A1173" s="49">
        <v>44707.00979914352</v>
      </c>
      <c r="B1173" s="50">
        <v>44707.13477125</v>
      </c>
      <c r="C1173" s="51">
        <v>1.031</v>
      </c>
      <c r="D1173" s="51">
        <v>68.0</v>
      </c>
      <c r="E1173" s="52" t="s">
        <v>25</v>
      </c>
      <c r="F1173" s="52" t="s">
        <v>26</v>
      </c>
      <c r="G1173" s="53"/>
    </row>
    <row r="1174">
      <c r="A1174" s="49">
        <v>44707.020231793984</v>
      </c>
      <c r="B1174" s="50">
        <v>44707.1452048148</v>
      </c>
      <c r="C1174" s="51">
        <v>1.031</v>
      </c>
      <c r="D1174" s="51">
        <v>68.0</v>
      </c>
      <c r="E1174" s="52" t="s">
        <v>25</v>
      </c>
      <c r="F1174" s="52" t="s">
        <v>26</v>
      </c>
      <c r="G1174" s="53"/>
    </row>
    <row r="1175">
      <c r="A1175" s="49">
        <v>44707.03065920139</v>
      </c>
      <c r="B1175" s="50">
        <v>44707.1556393171</v>
      </c>
      <c r="C1175" s="51">
        <v>1.031</v>
      </c>
      <c r="D1175" s="51">
        <v>68.0</v>
      </c>
      <c r="E1175" s="52" t="s">
        <v>25</v>
      </c>
      <c r="F1175" s="52" t="s">
        <v>26</v>
      </c>
      <c r="G1175" s="53"/>
    </row>
    <row r="1176">
      <c r="A1176" s="49">
        <v>44707.04109667824</v>
      </c>
      <c r="B1176" s="50">
        <v>44707.1660618171</v>
      </c>
      <c r="C1176" s="51">
        <v>1.031</v>
      </c>
      <c r="D1176" s="51">
        <v>68.0</v>
      </c>
      <c r="E1176" s="52" t="s">
        <v>25</v>
      </c>
      <c r="F1176" s="52" t="s">
        <v>26</v>
      </c>
      <c r="G1176" s="53"/>
    </row>
    <row r="1177">
      <c r="A1177" s="49">
        <v>44707.05151175926</v>
      </c>
      <c r="B1177" s="50">
        <v>44707.1764848148</v>
      </c>
      <c r="C1177" s="51">
        <v>1.031</v>
      </c>
      <c r="D1177" s="51">
        <v>68.0</v>
      </c>
      <c r="E1177" s="52" t="s">
        <v>25</v>
      </c>
      <c r="F1177" s="52" t="s">
        <v>26</v>
      </c>
      <c r="G1177" s="53"/>
    </row>
    <row r="1178">
      <c r="A1178" s="49">
        <v>44707.06192768519</v>
      </c>
      <c r="B1178" s="50">
        <v>44707.1869050347</v>
      </c>
      <c r="C1178" s="51">
        <v>1.031</v>
      </c>
      <c r="D1178" s="51">
        <v>68.0</v>
      </c>
      <c r="E1178" s="52" t="s">
        <v>25</v>
      </c>
      <c r="F1178" s="52" t="s">
        <v>26</v>
      </c>
      <c r="G1178" s="53"/>
    </row>
    <row r="1179">
      <c r="A1179" s="49">
        <v>44707.07236803241</v>
      </c>
      <c r="B1179" s="50">
        <v>44707.1973267245</v>
      </c>
      <c r="C1179" s="51">
        <v>1.031</v>
      </c>
      <c r="D1179" s="51">
        <v>68.0</v>
      </c>
      <c r="E1179" s="52" t="s">
        <v>25</v>
      </c>
      <c r="F1179" s="52" t="s">
        <v>26</v>
      </c>
      <c r="G1179" s="53"/>
    </row>
    <row r="1180">
      <c r="A1180" s="49">
        <v>44707.08277501157</v>
      </c>
      <c r="B1180" s="50">
        <v>44707.2077492361</v>
      </c>
      <c r="C1180" s="51">
        <v>1.031</v>
      </c>
      <c r="D1180" s="51">
        <v>68.0</v>
      </c>
      <c r="E1180" s="52" t="s">
        <v>25</v>
      </c>
      <c r="F1180" s="52" t="s">
        <v>26</v>
      </c>
      <c r="G1180" s="53"/>
    </row>
    <row r="1181">
      <c r="A1181" s="49">
        <v>44707.093190590276</v>
      </c>
      <c r="B1181" s="50">
        <v>44707.2181707407</v>
      </c>
      <c r="C1181" s="51">
        <v>1.031</v>
      </c>
      <c r="D1181" s="51">
        <v>68.0</v>
      </c>
      <c r="E1181" s="52" t="s">
        <v>25</v>
      </c>
      <c r="F1181" s="52" t="s">
        <v>26</v>
      </c>
      <c r="G1181" s="53"/>
    </row>
    <row r="1182">
      <c r="A1182" s="49">
        <v>44707.10361413195</v>
      </c>
      <c r="B1182" s="50">
        <v>44707.2285916666</v>
      </c>
      <c r="C1182" s="51">
        <v>1.031</v>
      </c>
      <c r="D1182" s="51">
        <v>68.0</v>
      </c>
      <c r="E1182" s="52" t="s">
        <v>25</v>
      </c>
      <c r="F1182" s="52" t="s">
        <v>26</v>
      </c>
      <c r="G1182" s="53"/>
    </row>
    <row r="1183">
      <c r="A1183" s="49">
        <v>44707.11405434027</v>
      </c>
      <c r="B1183" s="50">
        <v>44707.2390223726</v>
      </c>
      <c r="C1183" s="51">
        <v>1.031</v>
      </c>
      <c r="D1183" s="51">
        <v>68.0</v>
      </c>
      <c r="E1183" s="52" t="s">
        <v>25</v>
      </c>
      <c r="F1183" s="52" t="s">
        <v>26</v>
      </c>
      <c r="G1183" s="53"/>
    </row>
    <row r="1184">
      <c r="A1184" s="49">
        <v>44707.12448596065</v>
      </c>
      <c r="B1184" s="50">
        <v>44707.249454375</v>
      </c>
      <c r="C1184" s="51">
        <v>1.031</v>
      </c>
      <c r="D1184" s="51">
        <v>68.0</v>
      </c>
      <c r="E1184" s="52" t="s">
        <v>25</v>
      </c>
      <c r="F1184" s="52" t="s">
        <v>26</v>
      </c>
      <c r="G1184" s="53"/>
    </row>
    <row r="1185">
      <c r="A1185" s="49">
        <v>44707.13492128473</v>
      </c>
      <c r="B1185" s="50">
        <v>44707.2598885069</v>
      </c>
      <c r="C1185" s="51">
        <v>1.03</v>
      </c>
      <c r="D1185" s="51">
        <v>68.0</v>
      </c>
      <c r="E1185" s="52" t="s">
        <v>25</v>
      </c>
      <c r="F1185" s="52" t="s">
        <v>26</v>
      </c>
      <c r="G1185" s="53"/>
    </row>
    <row r="1186">
      <c r="A1186" s="49">
        <v>44707.14534231482</v>
      </c>
      <c r="B1186" s="50">
        <v>44707.2703105208</v>
      </c>
      <c r="C1186" s="51">
        <v>1.03</v>
      </c>
      <c r="D1186" s="51">
        <v>68.0</v>
      </c>
      <c r="E1186" s="52" t="s">
        <v>25</v>
      </c>
      <c r="F1186" s="52" t="s">
        <v>26</v>
      </c>
      <c r="G1186" s="53"/>
    </row>
    <row r="1187">
      <c r="A1187" s="49">
        <v>44707.15577724537</v>
      </c>
      <c r="B1187" s="50">
        <v>44707.2807426041</v>
      </c>
      <c r="C1187" s="51">
        <v>1.03</v>
      </c>
      <c r="D1187" s="51">
        <v>68.0</v>
      </c>
      <c r="E1187" s="52" t="s">
        <v>25</v>
      </c>
      <c r="F1187" s="52" t="s">
        <v>26</v>
      </c>
      <c r="G1187" s="53"/>
    </row>
    <row r="1188">
      <c r="A1188" s="49">
        <v>44707.16620628472</v>
      </c>
      <c r="B1188" s="50">
        <v>44707.2911748726</v>
      </c>
      <c r="C1188" s="51">
        <v>1.031</v>
      </c>
      <c r="D1188" s="51">
        <v>68.0</v>
      </c>
      <c r="E1188" s="52" t="s">
        <v>25</v>
      </c>
      <c r="F1188" s="52" t="s">
        <v>26</v>
      </c>
      <c r="G1188" s="53"/>
    </row>
    <row r="1189">
      <c r="A1189" s="49">
        <v>44707.17662157408</v>
      </c>
      <c r="B1189" s="50">
        <v>44707.301597037</v>
      </c>
      <c r="C1189" s="51">
        <v>1.03</v>
      </c>
      <c r="D1189" s="51">
        <v>68.0</v>
      </c>
      <c r="E1189" s="52" t="s">
        <v>25</v>
      </c>
      <c r="F1189" s="52" t="s">
        <v>26</v>
      </c>
      <c r="G1189" s="53"/>
    </row>
    <row r="1190">
      <c r="A1190" s="49">
        <v>44707.18705636574</v>
      </c>
      <c r="B1190" s="50">
        <v>44707.312029618</v>
      </c>
      <c r="C1190" s="51">
        <v>1.03</v>
      </c>
      <c r="D1190" s="51">
        <v>68.0</v>
      </c>
      <c r="E1190" s="52" t="s">
        <v>25</v>
      </c>
      <c r="F1190" s="52" t="s">
        <v>26</v>
      </c>
      <c r="G1190" s="53"/>
    </row>
    <row r="1191">
      <c r="A1191" s="49">
        <v>44707.19748377315</v>
      </c>
      <c r="B1191" s="50">
        <v>44707.3224628472</v>
      </c>
      <c r="C1191" s="51">
        <v>1.03</v>
      </c>
      <c r="D1191" s="51">
        <v>68.0</v>
      </c>
      <c r="E1191" s="52" t="s">
        <v>25</v>
      </c>
      <c r="F1191" s="52" t="s">
        <v>26</v>
      </c>
      <c r="G1191" s="53"/>
    </row>
    <row r="1192">
      <c r="A1192" s="49">
        <v>44707.20792212963</v>
      </c>
      <c r="B1192" s="50">
        <v>44707.3328833101</v>
      </c>
      <c r="C1192" s="51">
        <v>1.03</v>
      </c>
      <c r="D1192" s="51">
        <v>68.0</v>
      </c>
      <c r="E1192" s="52" t="s">
        <v>25</v>
      </c>
      <c r="F1192" s="52" t="s">
        <v>26</v>
      </c>
      <c r="G1192" s="53"/>
    </row>
    <row r="1193">
      <c r="A1193" s="49">
        <v>44707.21833679398</v>
      </c>
      <c r="B1193" s="50">
        <v>44707.343304699</v>
      </c>
      <c r="C1193" s="51">
        <v>1.03</v>
      </c>
      <c r="D1193" s="51">
        <v>68.0</v>
      </c>
      <c r="E1193" s="52" t="s">
        <v>25</v>
      </c>
      <c r="F1193" s="52" t="s">
        <v>26</v>
      </c>
      <c r="G1193" s="53"/>
    </row>
    <row r="1194">
      <c r="A1194" s="49">
        <v>44707.22876703704</v>
      </c>
      <c r="B1194" s="50">
        <v>44707.3537361805</v>
      </c>
      <c r="C1194" s="51">
        <v>1.03</v>
      </c>
      <c r="D1194" s="51">
        <v>68.0</v>
      </c>
      <c r="E1194" s="52" t="s">
        <v>25</v>
      </c>
      <c r="F1194" s="52" t="s">
        <v>26</v>
      </c>
      <c r="G1194" s="53"/>
    </row>
    <row r="1195">
      <c r="A1195" s="49">
        <v>44707.23918539352</v>
      </c>
      <c r="B1195" s="50">
        <v>44707.3641574305</v>
      </c>
      <c r="C1195" s="51">
        <v>1.03</v>
      </c>
      <c r="D1195" s="51">
        <v>68.0</v>
      </c>
      <c r="E1195" s="52" t="s">
        <v>25</v>
      </c>
      <c r="F1195" s="52" t="s">
        <v>26</v>
      </c>
      <c r="G1195" s="53"/>
    </row>
    <row r="1196">
      <c r="A1196" s="49">
        <v>44707.24961248843</v>
      </c>
      <c r="B1196" s="50">
        <v>44707.3745778009</v>
      </c>
      <c r="C1196" s="51">
        <v>1.03</v>
      </c>
      <c r="D1196" s="51">
        <v>68.0</v>
      </c>
      <c r="E1196" s="52" t="s">
        <v>25</v>
      </c>
      <c r="F1196" s="52" t="s">
        <v>26</v>
      </c>
      <c r="G1196" s="53"/>
    </row>
    <row r="1197">
      <c r="A1197" s="49">
        <v>44707.26005321759</v>
      </c>
      <c r="B1197" s="50">
        <v>44707.3850213773</v>
      </c>
      <c r="C1197" s="51">
        <v>1.03</v>
      </c>
      <c r="D1197" s="51">
        <v>68.0</v>
      </c>
      <c r="E1197" s="52" t="s">
        <v>25</v>
      </c>
      <c r="F1197" s="52" t="s">
        <v>26</v>
      </c>
      <c r="G1197" s="53"/>
    </row>
    <row r="1198">
      <c r="A1198" s="49">
        <v>44707.2704920949</v>
      </c>
      <c r="B1198" s="50">
        <v>44707.3954537731</v>
      </c>
      <c r="C1198" s="51">
        <v>1.03</v>
      </c>
      <c r="D1198" s="51">
        <v>68.0</v>
      </c>
      <c r="E1198" s="52" t="s">
        <v>25</v>
      </c>
      <c r="F1198" s="52" t="s">
        <v>26</v>
      </c>
      <c r="G1198" s="53"/>
    </row>
    <row r="1199">
      <c r="A1199" s="49">
        <v>44707.28090805556</v>
      </c>
      <c r="B1199" s="50">
        <v>44707.405874699</v>
      </c>
      <c r="C1199" s="51">
        <v>1.03</v>
      </c>
      <c r="D1199" s="51">
        <v>68.0</v>
      </c>
      <c r="E1199" s="52" t="s">
        <v>25</v>
      </c>
      <c r="F1199" s="52" t="s">
        <v>26</v>
      </c>
      <c r="G1199" s="53"/>
    </row>
    <row r="1200">
      <c r="A1200" s="49">
        <v>44707.29133841435</v>
      </c>
      <c r="B1200" s="50">
        <v>44707.4163077314</v>
      </c>
      <c r="C1200" s="51">
        <v>1.03</v>
      </c>
      <c r="D1200" s="51">
        <v>68.0</v>
      </c>
      <c r="E1200" s="52" t="s">
        <v>25</v>
      </c>
      <c r="F1200" s="52" t="s">
        <v>26</v>
      </c>
      <c r="G1200" s="53"/>
    </row>
    <row r="1201">
      <c r="A1201" s="49">
        <v>44707.301774085645</v>
      </c>
      <c r="B1201" s="50">
        <v>44707.4267283101</v>
      </c>
      <c r="C1201" s="51">
        <v>1.03</v>
      </c>
      <c r="D1201" s="51">
        <v>68.0</v>
      </c>
      <c r="E1201" s="52" t="s">
        <v>25</v>
      </c>
      <c r="F1201" s="52" t="s">
        <v>26</v>
      </c>
      <c r="G1201" s="53"/>
    </row>
    <row r="1202">
      <c r="A1202" s="49">
        <v>44707.31219215278</v>
      </c>
      <c r="B1202" s="50">
        <v>44707.4371489814</v>
      </c>
      <c r="C1202" s="51">
        <v>1.03</v>
      </c>
      <c r="D1202" s="51">
        <v>68.0</v>
      </c>
      <c r="E1202" s="52" t="s">
        <v>25</v>
      </c>
      <c r="F1202" s="52" t="s">
        <v>26</v>
      </c>
      <c r="G1202" s="53"/>
    </row>
    <row r="1203">
      <c r="A1203" s="49">
        <v>44707.32260673611</v>
      </c>
      <c r="B1203" s="50">
        <v>44707.4475707754</v>
      </c>
      <c r="C1203" s="51">
        <v>1.03</v>
      </c>
      <c r="D1203" s="51">
        <v>68.0</v>
      </c>
      <c r="E1203" s="52" t="s">
        <v>25</v>
      </c>
      <c r="F1203" s="52" t="s">
        <v>26</v>
      </c>
      <c r="G1203" s="53"/>
    </row>
    <row r="1204">
      <c r="A1204" s="49">
        <v>44707.33302802083</v>
      </c>
      <c r="B1204" s="50">
        <v>44707.457993287</v>
      </c>
      <c r="C1204" s="51">
        <v>1.03</v>
      </c>
      <c r="D1204" s="51">
        <v>68.0</v>
      </c>
      <c r="E1204" s="52" t="s">
        <v>25</v>
      </c>
      <c r="F1204" s="52" t="s">
        <v>26</v>
      </c>
      <c r="G1204" s="53"/>
    </row>
    <row r="1205">
      <c r="A1205" s="49">
        <v>44707.34345355324</v>
      </c>
      <c r="B1205" s="50">
        <v>44707.4684142939</v>
      </c>
      <c r="C1205" s="51">
        <v>1.03</v>
      </c>
      <c r="D1205" s="51">
        <v>68.0</v>
      </c>
      <c r="E1205" s="52" t="s">
        <v>25</v>
      </c>
      <c r="F1205" s="52" t="s">
        <v>26</v>
      </c>
      <c r="G1205" s="53"/>
    </row>
    <row r="1206">
      <c r="A1206" s="49">
        <v>44707.35389372685</v>
      </c>
      <c r="B1206" s="50">
        <v>44707.4788590625</v>
      </c>
      <c r="C1206" s="51">
        <v>1.03</v>
      </c>
      <c r="D1206" s="51">
        <v>68.0</v>
      </c>
      <c r="E1206" s="52" t="s">
        <v>25</v>
      </c>
      <c r="F1206" s="52" t="s">
        <v>26</v>
      </c>
      <c r="G1206" s="53"/>
    </row>
    <row r="1207">
      <c r="A1207" s="49">
        <v>44707.36431310185</v>
      </c>
      <c r="B1207" s="50">
        <v>44707.4892811342</v>
      </c>
      <c r="C1207" s="51">
        <v>1.03</v>
      </c>
      <c r="D1207" s="51">
        <v>68.0</v>
      </c>
      <c r="E1207" s="52" t="s">
        <v>25</v>
      </c>
      <c r="F1207" s="52" t="s">
        <v>26</v>
      </c>
      <c r="G1207" s="53"/>
    </row>
    <row r="1208">
      <c r="A1208" s="49">
        <v>44707.37473112268</v>
      </c>
      <c r="B1208" s="50">
        <v>44707.4997029861</v>
      </c>
      <c r="C1208" s="51">
        <v>1.03</v>
      </c>
      <c r="D1208" s="51">
        <v>68.0</v>
      </c>
      <c r="E1208" s="52" t="s">
        <v>25</v>
      </c>
      <c r="F1208" s="52" t="s">
        <v>26</v>
      </c>
      <c r="G1208" s="53"/>
    </row>
    <row r="1209">
      <c r="A1209" s="49">
        <v>44707.38515581019</v>
      </c>
      <c r="B1209" s="50">
        <v>44707.5101231134</v>
      </c>
      <c r="C1209" s="51">
        <v>1.03</v>
      </c>
      <c r="D1209" s="51">
        <v>68.0</v>
      </c>
      <c r="E1209" s="52" t="s">
        <v>25</v>
      </c>
      <c r="F1209" s="52" t="s">
        <v>26</v>
      </c>
      <c r="G1209" s="53"/>
    </row>
    <row r="1210">
      <c r="A1210" s="49">
        <v>44707.39557951389</v>
      </c>
      <c r="B1210" s="50">
        <v>44707.5205426504</v>
      </c>
      <c r="C1210" s="51">
        <v>1.03</v>
      </c>
      <c r="D1210" s="51">
        <v>68.0</v>
      </c>
      <c r="E1210" s="52" t="s">
        <v>25</v>
      </c>
      <c r="F1210" s="52" t="s">
        <v>26</v>
      </c>
      <c r="G1210" s="53"/>
    </row>
    <row r="1211">
      <c r="A1211" s="49">
        <v>44707.40600054398</v>
      </c>
      <c r="B1211" s="50">
        <v>44707.5309610648</v>
      </c>
      <c r="C1211" s="51">
        <v>1.03</v>
      </c>
      <c r="D1211" s="51">
        <v>68.0</v>
      </c>
      <c r="E1211" s="52" t="s">
        <v>25</v>
      </c>
      <c r="F1211" s="52" t="s">
        <v>26</v>
      </c>
      <c r="G1211" s="53"/>
    </row>
    <row r="1212">
      <c r="A1212" s="49">
        <v>44707.4164268287</v>
      </c>
      <c r="B1212" s="50">
        <v>44707.5413823032</v>
      </c>
      <c r="C1212" s="51">
        <v>1.03</v>
      </c>
      <c r="D1212" s="51">
        <v>68.0</v>
      </c>
      <c r="E1212" s="52" t="s">
        <v>25</v>
      </c>
      <c r="F1212" s="52" t="s">
        <v>26</v>
      </c>
      <c r="G1212" s="53"/>
    </row>
    <row r="1213">
      <c r="A1213" s="49">
        <v>44707.42684552084</v>
      </c>
      <c r="B1213" s="50">
        <v>44707.5518152199</v>
      </c>
      <c r="C1213" s="51">
        <v>1.03</v>
      </c>
      <c r="D1213" s="51">
        <v>68.0</v>
      </c>
      <c r="E1213" s="52" t="s">
        <v>25</v>
      </c>
      <c r="F1213" s="52" t="s">
        <v>26</v>
      </c>
      <c r="G1213" s="53"/>
    </row>
    <row r="1214">
      <c r="A1214" s="49">
        <v>44707.43726888889</v>
      </c>
      <c r="B1214" s="50">
        <v>44707.5622375231</v>
      </c>
      <c r="C1214" s="51">
        <v>1.03</v>
      </c>
      <c r="D1214" s="51">
        <v>68.0</v>
      </c>
      <c r="E1214" s="52" t="s">
        <v>25</v>
      </c>
      <c r="F1214" s="52" t="s">
        <v>26</v>
      </c>
      <c r="G1214" s="53"/>
    </row>
    <row r="1215">
      <c r="A1215" s="49">
        <v>44707.44768982639</v>
      </c>
      <c r="B1215" s="50">
        <v>44707.5726585763</v>
      </c>
      <c r="C1215" s="51">
        <v>1.029</v>
      </c>
      <c r="D1215" s="51">
        <v>68.0</v>
      </c>
      <c r="E1215" s="52" t="s">
        <v>25</v>
      </c>
      <c r="F1215" s="52" t="s">
        <v>26</v>
      </c>
      <c r="G1215" s="53"/>
    </row>
    <row r="1216">
      <c r="A1216" s="49">
        <v>44707.458112824075</v>
      </c>
      <c r="B1216" s="50">
        <v>44707.583078831</v>
      </c>
      <c r="C1216" s="51">
        <v>1.03</v>
      </c>
      <c r="D1216" s="51">
        <v>68.0</v>
      </c>
      <c r="E1216" s="52" t="s">
        <v>25</v>
      </c>
      <c r="F1216" s="52" t="s">
        <v>26</v>
      </c>
      <c r="G1216" s="53"/>
    </row>
    <row r="1217">
      <c r="A1217" s="49">
        <v>44707.468550000005</v>
      </c>
      <c r="B1217" s="50">
        <v>44707.5935108449</v>
      </c>
      <c r="C1217" s="51">
        <v>1.029</v>
      </c>
      <c r="D1217" s="51">
        <v>68.0</v>
      </c>
      <c r="E1217" s="52" t="s">
        <v>25</v>
      </c>
      <c r="F1217" s="52" t="s">
        <v>26</v>
      </c>
      <c r="G1217" s="53"/>
    </row>
    <row r="1218">
      <c r="A1218" s="49">
        <v>44707.47896822917</v>
      </c>
      <c r="B1218" s="50">
        <v>44707.6039310416</v>
      </c>
      <c r="C1218" s="51">
        <v>1.03</v>
      </c>
      <c r="D1218" s="51">
        <v>68.0</v>
      </c>
      <c r="E1218" s="52" t="s">
        <v>25</v>
      </c>
      <c r="F1218" s="52" t="s">
        <v>26</v>
      </c>
      <c r="G1218" s="53"/>
    </row>
    <row r="1219">
      <c r="A1219" s="49">
        <v>44707.48938792824</v>
      </c>
      <c r="B1219" s="50">
        <v>44707.6143518171</v>
      </c>
      <c r="C1219" s="51">
        <v>1.029</v>
      </c>
      <c r="D1219" s="51">
        <v>68.0</v>
      </c>
      <c r="E1219" s="52" t="s">
        <v>25</v>
      </c>
      <c r="F1219" s="52" t="s">
        <v>26</v>
      </c>
      <c r="G1219" s="53"/>
    </row>
    <row r="1220">
      <c r="A1220" s="49">
        <v>44707.49980618055</v>
      </c>
      <c r="B1220" s="50">
        <v>44707.6247724189</v>
      </c>
      <c r="C1220" s="51">
        <v>1.029</v>
      </c>
      <c r="D1220" s="51">
        <v>68.0</v>
      </c>
      <c r="E1220" s="52" t="s">
        <v>25</v>
      </c>
      <c r="F1220" s="52" t="s">
        <v>26</v>
      </c>
      <c r="G1220" s="53"/>
    </row>
    <row r="1221">
      <c r="A1221" s="49">
        <v>44707.51022769676</v>
      </c>
      <c r="B1221" s="50">
        <v>44707.6351934953</v>
      </c>
      <c r="C1221" s="51">
        <v>1.029</v>
      </c>
      <c r="D1221" s="51">
        <v>68.0</v>
      </c>
      <c r="E1221" s="52" t="s">
        <v>25</v>
      </c>
      <c r="F1221" s="52" t="s">
        <v>26</v>
      </c>
      <c r="G1221" s="53"/>
    </row>
    <row r="1222">
      <c r="A1222" s="49">
        <v>44707.52065064815</v>
      </c>
      <c r="B1222" s="50">
        <v>44707.6456152083</v>
      </c>
      <c r="C1222" s="51">
        <v>1.029</v>
      </c>
      <c r="D1222" s="51">
        <v>68.0</v>
      </c>
      <c r="E1222" s="52" t="s">
        <v>25</v>
      </c>
      <c r="F1222" s="52" t="s">
        <v>26</v>
      </c>
      <c r="G1222" s="53"/>
    </row>
    <row r="1223">
      <c r="A1223" s="49">
        <v>44707.531062974536</v>
      </c>
      <c r="B1223" s="50">
        <v>44707.656038125</v>
      </c>
      <c r="C1223" s="51">
        <v>1.029</v>
      </c>
      <c r="D1223" s="51">
        <v>68.0</v>
      </c>
      <c r="E1223" s="52" t="s">
        <v>25</v>
      </c>
      <c r="F1223" s="52" t="s">
        <v>26</v>
      </c>
      <c r="G1223" s="53"/>
    </row>
    <row r="1224">
      <c r="A1224" s="49">
        <v>44707.541480879634</v>
      </c>
      <c r="B1224" s="50">
        <v>44707.6664586805</v>
      </c>
      <c r="C1224" s="51">
        <v>1.029</v>
      </c>
      <c r="D1224" s="51">
        <v>68.0</v>
      </c>
      <c r="E1224" s="52" t="s">
        <v>25</v>
      </c>
      <c r="F1224" s="52" t="s">
        <v>26</v>
      </c>
      <c r="G1224" s="53"/>
    </row>
    <row r="1225">
      <c r="A1225" s="49">
        <v>44707.55191674769</v>
      </c>
      <c r="B1225" s="50">
        <v>44707.6768822569</v>
      </c>
      <c r="C1225" s="51">
        <v>1.029</v>
      </c>
      <c r="D1225" s="51">
        <v>68.0</v>
      </c>
      <c r="E1225" s="52" t="s">
        <v>25</v>
      </c>
      <c r="F1225" s="52" t="s">
        <v>26</v>
      </c>
      <c r="G1225" s="53"/>
    </row>
    <row r="1226">
      <c r="A1226" s="49">
        <v>44707.562335243056</v>
      </c>
      <c r="B1226" s="50">
        <v>44707.6873028587</v>
      </c>
      <c r="C1226" s="51">
        <v>1.029</v>
      </c>
      <c r="D1226" s="51">
        <v>68.0</v>
      </c>
      <c r="E1226" s="52" t="s">
        <v>25</v>
      </c>
      <c r="F1226" s="52" t="s">
        <v>26</v>
      </c>
      <c r="G1226" s="53"/>
    </row>
    <row r="1227">
      <c r="A1227" s="49">
        <v>44707.572771875</v>
      </c>
      <c r="B1227" s="50">
        <v>44707.6977358101</v>
      </c>
      <c r="C1227" s="51">
        <v>1.029</v>
      </c>
      <c r="D1227" s="51">
        <v>68.0</v>
      </c>
      <c r="E1227" s="52" t="s">
        <v>25</v>
      </c>
      <c r="F1227" s="52" t="s">
        <v>26</v>
      </c>
      <c r="G1227" s="53"/>
    </row>
    <row r="1228">
      <c r="A1228" s="49">
        <v>44707.58318168981</v>
      </c>
      <c r="B1228" s="50">
        <v>44707.7081565046</v>
      </c>
      <c r="C1228" s="51">
        <v>1.029</v>
      </c>
      <c r="D1228" s="51">
        <v>68.0</v>
      </c>
      <c r="E1228" s="52" t="s">
        <v>25</v>
      </c>
      <c r="F1228" s="52" t="s">
        <v>26</v>
      </c>
      <c r="G1228" s="53"/>
    </row>
    <row r="1229">
      <c r="A1229" s="49">
        <v>44707.59361523148</v>
      </c>
      <c r="B1229" s="50">
        <v>44707.7185784027</v>
      </c>
      <c r="C1229" s="51">
        <v>1.029</v>
      </c>
      <c r="D1229" s="51">
        <v>68.0</v>
      </c>
      <c r="E1229" s="52" t="s">
        <v>25</v>
      </c>
      <c r="F1229" s="52" t="s">
        <v>26</v>
      </c>
      <c r="G1229" s="53"/>
    </row>
    <row r="1230">
      <c r="A1230" s="49">
        <v>44707.604030787035</v>
      </c>
      <c r="B1230" s="50">
        <v>44707.7290003935</v>
      </c>
      <c r="C1230" s="51">
        <v>1.029</v>
      </c>
      <c r="D1230" s="51">
        <v>68.0</v>
      </c>
      <c r="E1230" s="52" t="s">
        <v>25</v>
      </c>
      <c r="F1230" s="52" t="s">
        <v>26</v>
      </c>
      <c r="G1230" s="53"/>
    </row>
    <row r="1231">
      <c r="A1231" s="49">
        <v>44707.61444556713</v>
      </c>
      <c r="B1231" s="50">
        <v>44707.7394223495</v>
      </c>
      <c r="C1231" s="51">
        <v>1.029</v>
      </c>
      <c r="D1231" s="51">
        <v>68.0</v>
      </c>
      <c r="E1231" s="52" t="s">
        <v>25</v>
      </c>
      <c r="F1231" s="52" t="s">
        <v>26</v>
      </c>
      <c r="G1231" s="53"/>
    </row>
    <row r="1232">
      <c r="A1232" s="49">
        <v>44707.624876354166</v>
      </c>
      <c r="B1232" s="50">
        <v>44707.7498427199</v>
      </c>
      <c r="C1232" s="51">
        <v>1.029</v>
      </c>
      <c r="D1232" s="51">
        <v>68.0</v>
      </c>
      <c r="E1232" s="52" t="s">
        <v>25</v>
      </c>
      <c r="F1232" s="52" t="s">
        <v>26</v>
      </c>
      <c r="G1232" s="53"/>
    </row>
    <row r="1233">
      <c r="A1233" s="49">
        <v>44707.63532008102</v>
      </c>
      <c r="B1233" s="50">
        <v>44707.7602866782</v>
      </c>
      <c r="C1233" s="51">
        <v>1.029</v>
      </c>
      <c r="D1233" s="51">
        <v>68.0</v>
      </c>
      <c r="E1233" s="52" t="s">
        <v>25</v>
      </c>
      <c r="F1233" s="52" t="s">
        <v>26</v>
      </c>
      <c r="G1233" s="53"/>
    </row>
    <row r="1234">
      <c r="A1234" s="49">
        <v>44707.64574432871</v>
      </c>
      <c r="B1234" s="50">
        <v>44707.7707199537</v>
      </c>
      <c r="C1234" s="51">
        <v>1.029</v>
      </c>
      <c r="D1234" s="51">
        <v>68.0</v>
      </c>
      <c r="E1234" s="52" t="s">
        <v>25</v>
      </c>
      <c r="F1234" s="52" t="s">
        <v>26</v>
      </c>
      <c r="G1234" s="53"/>
    </row>
    <row r="1235">
      <c r="A1235" s="49">
        <v>44707.65617707176</v>
      </c>
      <c r="B1235" s="50">
        <v>44707.7811403356</v>
      </c>
      <c r="C1235" s="51">
        <v>1.029</v>
      </c>
      <c r="D1235" s="51">
        <v>68.0</v>
      </c>
      <c r="E1235" s="52" t="s">
        <v>25</v>
      </c>
      <c r="F1235" s="52" t="s">
        <v>26</v>
      </c>
      <c r="G1235" s="53"/>
    </row>
    <row r="1236">
      <c r="A1236" s="49">
        <v>44707.66660430556</v>
      </c>
      <c r="B1236" s="50">
        <v>44707.7915724305</v>
      </c>
      <c r="C1236" s="51">
        <v>1.029</v>
      </c>
      <c r="D1236" s="51">
        <v>68.0</v>
      </c>
      <c r="E1236" s="52" t="s">
        <v>25</v>
      </c>
      <c r="F1236" s="52" t="s">
        <v>26</v>
      </c>
      <c r="G1236" s="53"/>
    </row>
    <row r="1237">
      <c r="A1237" s="49">
        <v>44707.67702427083</v>
      </c>
      <c r="B1237" s="50">
        <v>44707.8019924305</v>
      </c>
      <c r="C1237" s="51">
        <v>1.029</v>
      </c>
      <c r="D1237" s="51">
        <v>68.0</v>
      </c>
      <c r="E1237" s="52" t="s">
        <v>25</v>
      </c>
      <c r="F1237" s="52" t="s">
        <v>26</v>
      </c>
      <c r="G1237" s="53"/>
    </row>
    <row r="1238">
      <c r="A1238" s="49">
        <v>44707.68745960648</v>
      </c>
      <c r="B1238" s="50">
        <v>44707.8124259953</v>
      </c>
      <c r="C1238" s="51">
        <v>1.029</v>
      </c>
      <c r="D1238" s="51">
        <v>68.0</v>
      </c>
      <c r="E1238" s="52" t="s">
        <v>25</v>
      </c>
      <c r="F1238" s="52" t="s">
        <v>26</v>
      </c>
      <c r="G1238" s="53"/>
    </row>
    <row r="1239">
      <c r="A1239" s="49">
        <v>44707.697876990744</v>
      </c>
      <c r="B1239" s="50">
        <v>44707.8228478588</v>
      </c>
      <c r="C1239" s="51">
        <v>1.029</v>
      </c>
      <c r="D1239" s="51">
        <v>68.0</v>
      </c>
      <c r="E1239" s="52" t="s">
        <v>25</v>
      </c>
      <c r="F1239" s="52" t="s">
        <v>26</v>
      </c>
      <c r="G1239" s="53"/>
    </row>
    <row r="1240">
      <c r="A1240" s="49">
        <v>44707.70830300926</v>
      </c>
      <c r="B1240" s="50">
        <v>44707.8332691666</v>
      </c>
      <c r="C1240" s="51">
        <v>1.029</v>
      </c>
      <c r="D1240" s="51">
        <v>68.0</v>
      </c>
      <c r="E1240" s="52" t="s">
        <v>25</v>
      </c>
      <c r="F1240" s="52" t="s">
        <v>26</v>
      </c>
      <c r="G1240" s="53"/>
    </row>
    <row r="1241">
      <c r="A1241" s="49">
        <v>44707.718719247685</v>
      </c>
      <c r="B1241" s="50">
        <v>44707.8436894097</v>
      </c>
      <c r="C1241" s="51">
        <v>1.029</v>
      </c>
      <c r="D1241" s="51">
        <v>68.0</v>
      </c>
      <c r="E1241" s="52" t="s">
        <v>25</v>
      </c>
      <c r="F1241" s="52" t="s">
        <v>26</v>
      </c>
      <c r="G1241" s="53"/>
    </row>
    <row r="1242">
      <c r="A1242" s="49">
        <v>44707.72915072917</v>
      </c>
      <c r="B1242" s="50">
        <v>44707.8541120601</v>
      </c>
      <c r="C1242" s="51">
        <v>1.029</v>
      </c>
      <c r="D1242" s="51">
        <v>68.0</v>
      </c>
      <c r="E1242" s="52" t="s">
        <v>25</v>
      </c>
      <c r="F1242" s="52" t="s">
        <v>26</v>
      </c>
      <c r="G1242" s="53"/>
    </row>
    <row r="1243">
      <c r="A1243" s="49">
        <v>44707.73955481482</v>
      </c>
      <c r="B1243" s="50">
        <v>44707.8645324189</v>
      </c>
      <c r="C1243" s="51">
        <v>1.029</v>
      </c>
      <c r="D1243" s="51">
        <v>68.0</v>
      </c>
      <c r="E1243" s="52" t="s">
        <v>25</v>
      </c>
      <c r="F1243" s="52" t="s">
        <v>26</v>
      </c>
      <c r="G1243" s="53"/>
    </row>
    <row r="1244">
      <c r="A1244" s="49">
        <v>44707.749988807875</v>
      </c>
      <c r="B1244" s="50">
        <v>44707.8749529629</v>
      </c>
      <c r="C1244" s="51">
        <v>1.029</v>
      </c>
      <c r="D1244" s="51">
        <v>69.0</v>
      </c>
      <c r="E1244" s="52" t="s">
        <v>25</v>
      </c>
      <c r="F1244" s="52" t="s">
        <v>26</v>
      </c>
      <c r="G1244" s="53"/>
    </row>
    <row r="1245">
      <c r="A1245" s="49">
        <v>44707.760407696755</v>
      </c>
      <c r="B1245" s="50">
        <v>44707.8853739467</v>
      </c>
      <c r="C1245" s="51">
        <v>1.029</v>
      </c>
      <c r="D1245" s="51">
        <v>69.0</v>
      </c>
      <c r="E1245" s="52" t="s">
        <v>25</v>
      </c>
      <c r="F1245" s="52" t="s">
        <v>26</v>
      </c>
      <c r="G1245" s="53"/>
    </row>
    <row r="1246">
      <c r="A1246" s="49">
        <v>44707.770841481484</v>
      </c>
      <c r="B1246" s="50">
        <v>44707.8958060069</v>
      </c>
      <c r="C1246" s="51">
        <v>1.028</v>
      </c>
      <c r="D1246" s="51">
        <v>68.0</v>
      </c>
      <c r="E1246" s="52" t="s">
        <v>25</v>
      </c>
      <c r="F1246" s="52" t="s">
        <v>26</v>
      </c>
      <c r="G1246" s="53"/>
    </row>
    <row r="1247">
      <c r="A1247" s="49">
        <v>44707.78126456018</v>
      </c>
      <c r="B1247" s="50">
        <v>44707.9062394791</v>
      </c>
      <c r="C1247" s="51">
        <v>1.028</v>
      </c>
      <c r="D1247" s="51">
        <v>69.0</v>
      </c>
      <c r="E1247" s="52" t="s">
        <v>25</v>
      </c>
      <c r="F1247" s="52" t="s">
        <v>26</v>
      </c>
      <c r="G1247" s="53"/>
    </row>
    <row r="1248">
      <c r="A1248" s="49">
        <v>44707.791686909724</v>
      </c>
      <c r="B1248" s="50">
        <v>44707.9166594676</v>
      </c>
      <c r="C1248" s="51">
        <v>1.028</v>
      </c>
      <c r="D1248" s="51">
        <v>69.0</v>
      </c>
      <c r="E1248" s="52" t="s">
        <v>25</v>
      </c>
      <c r="F1248" s="52" t="s">
        <v>26</v>
      </c>
      <c r="G1248" s="53"/>
    </row>
    <row r="1249">
      <c r="A1249" s="49">
        <v>44707.802107800926</v>
      </c>
      <c r="B1249" s="50">
        <v>44707.9270801967</v>
      </c>
      <c r="C1249" s="51">
        <v>1.028</v>
      </c>
      <c r="D1249" s="51">
        <v>68.0</v>
      </c>
      <c r="E1249" s="52" t="s">
        <v>25</v>
      </c>
      <c r="F1249" s="52" t="s">
        <v>26</v>
      </c>
      <c r="G1249" s="53"/>
    </row>
    <row r="1250">
      <c r="A1250" s="49">
        <v>44707.81253313657</v>
      </c>
      <c r="B1250" s="50">
        <v>44707.9375029398</v>
      </c>
      <c r="C1250" s="51">
        <v>1.028</v>
      </c>
      <c r="D1250" s="51">
        <v>69.0</v>
      </c>
      <c r="E1250" s="52" t="s">
        <v>25</v>
      </c>
      <c r="F1250" s="52" t="s">
        <v>26</v>
      </c>
      <c r="G1250" s="53"/>
    </row>
    <row r="1251">
      <c r="A1251" s="49">
        <v>44707.82295527778</v>
      </c>
      <c r="B1251" s="50">
        <v>44707.9479255555</v>
      </c>
      <c r="C1251" s="51">
        <v>1.028</v>
      </c>
      <c r="D1251" s="51">
        <v>69.0</v>
      </c>
      <c r="E1251" s="52" t="s">
        <v>25</v>
      </c>
      <c r="F1251" s="52" t="s">
        <v>26</v>
      </c>
      <c r="G1251" s="53"/>
    </row>
    <row r="1252">
      <c r="A1252" s="49">
        <v>44707.8333809375</v>
      </c>
      <c r="B1252" s="50">
        <v>44707.9583480787</v>
      </c>
      <c r="C1252" s="51">
        <v>1.028</v>
      </c>
      <c r="D1252" s="51">
        <v>69.0</v>
      </c>
      <c r="E1252" s="52" t="s">
        <v>25</v>
      </c>
      <c r="F1252" s="52" t="s">
        <v>26</v>
      </c>
      <c r="G1252" s="53"/>
    </row>
    <row r="1253">
      <c r="A1253" s="49">
        <v>44707.84378945602</v>
      </c>
      <c r="B1253" s="50">
        <v>44707.9687677199</v>
      </c>
      <c r="C1253" s="51">
        <v>1.028</v>
      </c>
      <c r="D1253" s="51">
        <v>69.0</v>
      </c>
      <c r="E1253" s="52" t="s">
        <v>25</v>
      </c>
      <c r="F1253" s="52" t="s">
        <v>26</v>
      </c>
      <c r="G1253" s="53"/>
    </row>
    <row r="1254">
      <c r="A1254" s="49">
        <v>44707.85421126157</v>
      </c>
      <c r="B1254" s="50">
        <v>44707.979188125</v>
      </c>
      <c r="C1254" s="51">
        <v>1.028</v>
      </c>
      <c r="D1254" s="51">
        <v>69.0</v>
      </c>
      <c r="E1254" s="52" t="s">
        <v>25</v>
      </c>
      <c r="F1254" s="52" t="s">
        <v>26</v>
      </c>
      <c r="G1254" s="53"/>
    </row>
    <row r="1255">
      <c r="A1255" s="49">
        <v>44707.8646325</v>
      </c>
      <c r="B1255" s="50">
        <v>44707.9896087615</v>
      </c>
      <c r="C1255" s="51">
        <v>1.028</v>
      </c>
      <c r="D1255" s="51">
        <v>69.0</v>
      </c>
      <c r="E1255" s="52" t="s">
        <v>25</v>
      </c>
      <c r="F1255" s="52" t="s">
        <v>26</v>
      </c>
      <c r="G1255" s="53"/>
    </row>
    <row r="1256">
      <c r="A1256" s="49">
        <v>44707.87506229167</v>
      </c>
      <c r="B1256" s="50">
        <v>44708.0000318287</v>
      </c>
      <c r="C1256" s="51">
        <v>1.028</v>
      </c>
      <c r="D1256" s="51">
        <v>69.0</v>
      </c>
      <c r="E1256" s="52" t="s">
        <v>25</v>
      </c>
      <c r="F1256" s="52" t="s">
        <v>26</v>
      </c>
      <c r="G1256" s="53"/>
    </row>
    <row r="1257">
      <c r="A1257" s="49">
        <v>44707.885485555555</v>
      </c>
      <c r="B1257" s="50">
        <v>44708.0104529513</v>
      </c>
      <c r="C1257" s="51">
        <v>1.028</v>
      </c>
      <c r="D1257" s="51">
        <v>69.0</v>
      </c>
      <c r="E1257" s="52" t="s">
        <v>25</v>
      </c>
      <c r="F1257" s="52" t="s">
        <v>26</v>
      </c>
      <c r="G1257" s="53"/>
    </row>
    <row r="1258">
      <c r="A1258" s="49">
        <v>44707.89594077546</v>
      </c>
      <c r="B1258" s="50">
        <v>44708.0209085532</v>
      </c>
      <c r="C1258" s="51">
        <v>1.028</v>
      </c>
      <c r="D1258" s="51">
        <v>69.0</v>
      </c>
      <c r="E1258" s="52" t="s">
        <v>25</v>
      </c>
      <c r="F1258" s="52" t="s">
        <v>26</v>
      </c>
      <c r="G1258" s="53"/>
    </row>
    <row r="1259">
      <c r="A1259" s="49">
        <v>44707.90636277778</v>
      </c>
      <c r="B1259" s="50">
        <v>44708.0313294791</v>
      </c>
      <c r="C1259" s="51">
        <v>1.028</v>
      </c>
      <c r="D1259" s="51">
        <v>69.0</v>
      </c>
      <c r="E1259" s="52" t="s">
        <v>25</v>
      </c>
      <c r="F1259" s="52" t="s">
        <v>26</v>
      </c>
      <c r="G1259" s="53"/>
    </row>
    <row r="1260">
      <c r="A1260" s="49">
        <v>44707.916790324074</v>
      </c>
      <c r="B1260" s="50">
        <v>44708.0417513426</v>
      </c>
      <c r="C1260" s="51">
        <v>1.028</v>
      </c>
      <c r="D1260" s="51">
        <v>69.0</v>
      </c>
      <c r="E1260" s="52" t="s">
        <v>25</v>
      </c>
      <c r="F1260" s="52" t="s">
        <v>26</v>
      </c>
      <c r="G1260" s="53"/>
    </row>
    <row r="1261">
      <c r="A1261" s="49">
        <v>44707.927241736106</v>
      </c>
      <c r="B1261" s="50">
        <v>44708.0522087384</v>
      </c>
      <c r="C1261" s="51">
        <v>1.028</v>
      </c>
      <c r="D1261" s="51">
        <v>69.0</v>
      </c>
      <c r="E1261" s="52" t="s">
        <v>25</v>
      </c>
      <c r="F1261" s="52" t="s">
        <v>26</v>
      </c>
      <c r="G1261" s="53"/>
    </row>
    <row r="1262">
      <c r="A1262" s="49">
        <v>44707.937674444445</v>
      </c>
      <c r="B1262" s="50">
        <v>44708.06264125</v>
      </c>
      <c r="C1262" s="51">
        <v>1.028</v>
      </c>
      <c r="D1262" s="51">
        <v>69.0</v>
      </c>
      <c r="E1262" s="52" t="s">
        <v>25</v>
      </c>
      <c r="F1262" s="52" t="s">
        <v>26</v>
      </c>
      <c r="G1262" s="53"/>
    </row>
    <row r="1263">
      <c r="A1263" s="49">
        <v>44707.948090439815</v>
      </c>
      <c r="B1263" s="50">
        <v>44708.0730632175</v>
      </c>
      <c r="C1263" s="51">
        <v>1.028</v>
      </c>
      <c r="D1263" s="51">
        <v>69.0</v>
      </c>
      <c r="E1263" s="52" t="s">
        <v>25</v>
      </c>
      <c r="F1263" s="52" t="s">
        <v>26</v>
      </c>
      <c r="G1263" s="53"/>
    </row>
    <row r="1264">
      <c r="A1264" s="49">
        <v>44707.95851928241</v>
      </c>
      <c r="B1264" s="50">
        <v>44708.0834949189</v>
      </c>
      <c r="C1264" s="51">
        <v>1.028</v>
      </c>
      <c r="D1264" s="51">
        <v>69.0</v>
      </c>
      <c r="E1264" s="52" t="s">
        <v>25</v>
      </c>
      <c r="F1264" s="52" t="s">
        <v>26</v>
      </c>
      <c r="G1264" s="53"/>
    </row>
    <row r="1265">
      <c r="A1265" s="49">
        <v>44707.968953668984</v>
      </c>
      <c r="B1265" s="50">
        <v>44708.0939169444</v>
      </c>
      <c r="C1265" s="51">
        <v>1.028</v>
      </c>
      <c r="D1265" s="51">
        <v>69.0</v>
      </c>
      <c r="E1265" s="52" t="s">
        <v>25</v>
      </c>
      <c r="F1265" s="52" t="s">
        <v>26</v>
      </c>
      <c r="G1265" s="53"/>
    </row>
    <row r="1266">
      <c r="A1266" s="49">
        <v>44707.97936780093</v>
      </c>
      <c r="B1266" s="50">
        <v>44708.1043367361</v>
      </c>
      <c r="C1266" s="51">
        <v>1.028</v>
      </c>
      <c r="D1266" s="51">
        <v>69.0</v>
      </c>
      <c r="E1266" s="52" t="s">
        <v>25</v>
      </c>
      <c r="F1266" s="52" t="s">
        <v>26</v>
      </c>
      <c r="G1266" s="53"/>
    </row>
    <row r="1267">
      <c r="A1267" s="49">
        <v>44707.98979</v>
      </c>
      <c r="B1267" s="50">
        <v>44708.1147573958</v>
      </c>
      <c r="C1267" s="51">
        <v>1.028</v>
      </c>
      <c r="D1267" s="51">
        <v>69.0</v>
      </c>
      <c r="E1267" s="52" t="s">
        <v>25</v>
      </c>
      <c r="F1267" s="52" t="s">
        <v>26</v>
      </c>
      <c r="G1267" s="53"/>
    </row>
    <row r="1268">
      <c r="A1268" s="49">
        <v>44708.00021025463</v>
      </c>
      <c r="B1268" s="50">
        <v>44708.1251781713</v>
      </c>
      <c r="C1268" s="51">
        <v>1.028</v>
      </c>
      <c r="D1268" s="51">
        <v>69.0</v>
      </c>
      <c r="E1268" s="52" t="s">
        <v>25</v>
      </c>
      <c r="F1268" s="52" t="s">
        <v>26</v>
      </c>
      <c r="G1268" s="53"/>
    </row>
    <row r="1269">
      <c r="A1269" s="49">
        <v>44708.01062597222</v>
      </c>
      <c r="B1269" s="50">
        <v>44708.1355970717</v>
      </c>
      <c r="C1269" s="51">
        <v>1.028</v>
      </c>
      <c r="D1269" s="51">
        <v>69.0</v>
      </c>
      <c r="E1269" s="52" t="s">
        <v>25</v>
      </c>
      <c r="F1269" s="52" t="s">
        <v>26</v>
      </c>
      <c r="G1269" s="53"/>
    </row>
    <row r="1270">
      <c r="A1270" s="49">
        <v>44708.02105319445</v>
      </c>
      <c r="B1270" s="50">
        <v>44708.1460173379</v>
      </c>
      <c r="C1270" s="51">
        <v>1.028</v>
      </c>
      <c r="D1270" s="51">
        <v>69.0</v>
      </c>
      <c r="E1270" s="52" t="s">
        <v>25</v>
      </c>
      <c r="F1270" s="52" t="s">
        <v>26</v>
      </c>
      <c r="G1270" s="53"/>
    </row>
    <row r="1271">
      <c r="A1271" s="49">
        <v>44708.03148405092</v>
      </c>
      <c r="B1271" s="50">
        <v>44708.1564630439</v>
      </c>
      <c r="C1271" s="51">
        <v>1.028</v>
      </c>
      <c r="D1271" s="51">
        <v>69.0</v>
      </c>
      <c r="E1271" s="52" t="s">
        <v>25</v>
      </c>
      <c r="F1271" s="52" t="s">
        <v>26</v>
      </c>
      <c r="G1271" s="53"/>
    </row>
    <row r="1272">
      <c r="A1272" s="49">
        <v>44708.04193628472</v>
      </c>
      <c r="B1272" s="50">
        <v>44708.1668966782</v>
      </c>
      <c r="C1272" s="51">
        <v>1.028</v>
      </c>
      <c r="D1272" s="51">
        <v>69.0</v>
      </c>
      <c r="E1272" s="52" t="s">
        <v>25</v>
      </c>
      <c r="F1272" s="52" t="s">
        <v>26</v>
      </c>
      <c r="G1272" s="53"/>
    </row>
    <row r="1273">
      <c r="A1273" s="49">
        <v>44708.052361863425</v>
      </c>
      <c r="B1273" s="50">
        <v>44708.1773170949</v>
      </c>
      <c r="C1273" s="51">
        <v>1.028</v>
      </c>
      <c r="D1273" s="51">
        <v>69.0</v>
      </c>
      <c r="E1273" s="52" t="s">
        <v>25</v>
      </c>
      <c r="F1273" s="52" t="s">
        <v>26</v>
      </c>
      <c r="G1273" s="53"/>
    </row>
    <row r="1274">
      <c r="A1274" s="49">
        <v>44708.062765787035</v>
      </c>
      <c r="B1274" s="50">
        <v>44708.1877381597</v>
      </c>
      <c r="C1274" s="51">
        <v>1.028</v>
      </c>
      <c r="D1274" s="51">
        <v>69.0</v>
      </c>
      <c r="E1274" s="52" t="s">
        <v>25</v>
      </c>
      <c r="F1274" s="52" t="s">
        <v>26</v>
      </c>
      <c r="G1274" s="53"/>
    </row>
    <row r="1275">
      <c r="A1275" s="49">
        <v>44708.07320811343</v>
      </c>
      <c r="B1275" s="50">
        <v>44708.198172824</v>
      </c>
      <c r="C1275" s="51">
        <v>1.028</v>
      </c>
      <c r="D1275" s="51">
        <v>69.0</v>
      </c>
      <c r="E1275" s="52" t="s">
        <v>25</v>
      </c>
      <c r="F1275" s="52" t="s">
        <v>26</v>
      </c>
      <c r="G1275" s="53"/>
    </row>
    <row r="1276">
      <c r="A1276" s="49">
        <v>44708.0836262963</v>
      </c>
      <c r="B1276" s="50">
        <v>44708.2085948958</v>
      </c>
      <c r="C1276" s="51">
        <v>1.028</v>
      </c>
      <c r="D1276" s="51">
        <v>69.0</v>
      </c>
      <c r="E1276" s="52" t="s">
        <v>25</v>
      </c>
      <c r="F1276" s="52" t="s">
        <v>26</v>
      </c>
      <c r="G1276" s="53"/>
    </row>
    <row r="1277">
      <c r="A1277" s="49">
        <v>44708.0940465625</v>
      </c>
      <c r="B1277" s="50">
        <v>44708.2190146064</v>
      </c>
      <c r="C1277" s="51">
        <v>1.028</v>
      </c>
      <c r="D1277" s="51">
        <v>69.0</v>
      </c>
      <c r="E1277" s="52" t="s">
        <v>25</v>
      </c>
      <c r="F1277" s="52" t="s">
        <v>26</v>
      </c>
      <c r="G1277" s="53"/>
    </row>
    <row r="1278">
      <c r="A1278" s="49">
        <v>44708.10446736111</v>
      </c>
      <c r="B1278" s="50">
        <v>44708.2294355324</v>
      </c>
      <c r="C1278" s="51">
        <v>1.028</v>
      </c>
      <c r="D1278" s="51">
        <v>69.0</v>
      </c>
      <c r="E1278" s="52" t="s">
        <v>25</v>
      </c>
      <c r="F1278" s="52" t="s">
        <v>26</v>
      </c>
      <c r="G1278" s="53"/>
    </row>
    <row r="1279">
      <c r="A1279" s="49">
        <v>44708.114892673606</v>
      </c>
      <c r="B1279" s="50">
        <v>44708.2398680671</v>
      </c>
      <c r="C1279" s="51">
        <v>1.028</v>
      </c>
      <c r="D1279" s="51">
        <v>69.0</v>
      </c>
      <c r="E1279" s="52" t="s">
        <v>25</v>
      </c>
      <c r="F1279" s="52" t="s">
        <v>26</v>
      </c>
      <c r="G1279" s="53"/>
    </row>
    <row r="1280">
      <c r="A1280" s="49">
        <v>44708.125316226855</v>
      </c>
      <c r="B1280" s="50">
        <v>44708.2502892361</v>
      </c>
      <c r="C1280" s="51">
        <v>1.028</v>
      </c>
      <c r="D1280" s="51">
        <v>69.0</v>
      </c>
      <c r="E1280" s="52" t="s">
        <v>25</v>
      </c>
      <c r="F1280" s="52" t="s">
        <v>26</v>
      </c>
      <c r="G1280" s="53"/>
    </row>
    <row r="1281">
      <c r="A1281" s="49">
        <v>44708.13573400463</v>
      </c>
      <c r="B1281" s="50">
        <v>44708.2607091319</v>
      </c>
      <c r="C1281" s="51">
        <v>1.028</v>
      </c>
      <c r="D1281" s="51">
        <v>69.0</v>
      </c>
      <c r="E1281" s="52" t="s">
        <v>25</v>
      </c>
      <c r="F1281" s="52" t="s">
        <v>26</v>
      </c>
      <c r="G1281" s="53"/>
    </row>
    <row r="1282">
      <c r="A1282" s="49">
        <v>44708.14616453704</v>
      </c>
      <c r="B1282" s="50">
        <v>44708.2711293287</v>
      </c>
      <c r="C1282" s="51">
        <v>1.028</v>
      </c>
      <c r="D1282" s="51">
        <v>69.0</v>
      </c>
      <c r="E1282" s="52" t="s">
        <v>25</v>
      </c>
      <c r="F1282" s="52" t="s">
        <v>26</v>
      </c>
      <c r="G1282" s="53"/>
    </row>
    <row r="1283">
      <c r="A1283" s="49">
        <v>44708.156578379625</v>
      </c>
      <c r="B1283" s="50">
        <v>44708.281549456</v>
      </c>
      <c r="C1283" s="51">
        <v>1.028</v>
      </c>
      <c r="D1283" s="51">
        <v>69.0</v>
      </c>
      <c r="E1283" s="52" t="s">
        <v>25</v>
      </c>
      <c r="F1283" s="52" t="s">
        <v>26</v>
      </c>
      <c r="G1283" s="53"/>
    </row>
    <row r="1284">
      <c r="A1284" s="49">
        <v>44708.16700048611</v>
      </c>
      <c r="B1284" s="50">
        <v>44708.2919694213</v>
      </c>
      <c r="C1284" s="51">
        <v>1.027</v>
      </c>
      <c r="D1284" s="51">
        <v>69.0</v>
      </c>
      <c r="E1284" s="52" t="s">
        <v>25</v>
      </c>
      <c r="F1284" s="52" t="s">
        <v>26</v>
      </c>
      <c r="G1284" s="53"/>
    </row>
    <row r="1285">
      <c r="A1285" s="49">
        <v>44708.17742003472</v>
      </c>
      <c r="B1285" s="50">
        <v>44708.3023902546</v>
      </c>
      <c r="C1285" s="51">
        <v>1.027</v>
      </c>
      <c r="D1285" s="51">
        <v>69.0</v>
      </c>
      <c r="E1285" s="52" t="s">
        <v>25</v>
      </c>
      <c r="F1285" s="52" t="s">
        <v>26</v>
      </c>
      <c r="G1285" s="53"/>
    </row>
    <row r="1286">
      <c r="A1286" s="49">
        <v>44708.18784559028</v>
      </c>
      <c r="B1286" s="50">
        <v>44708.3128106828</v>
      </c>
      <c r="C1286" s="51">
        <v>1.027</v>
      </c>
      <c r="D1286" s="51">
        <v>69.0</v>
      </c>
      <c r="E1286" s="52" t="s">
        <v>25</v>
      </c>
      <c r="F1286" s="52" t="s">
        <v>26</v>
      </c>
      <c r="G1286" s="53"/>
    </row>
    <row r="1287">
      <c r="A1287" s="49">
        <v>44708.198261111116</v>
      </c>
      <c r="B1287" s="50">
        <v>44708.3232311111</v>
      </c>
      <c r="C1287" s="51">
        <v>1.027</v>
      </c>
      <c r="D1287" s="51">
        <v>69.0</v>
      </c>
      <c r="E1287" s="52" t="s">
        <v>25</v>
      </c>
      <c r="F1287" s="52" t="s">
        <v>26</v>
      </c>
      <c r="G1287" s="53"/>
    </row>
    <row r="1288">
      <c r="A1288" s="49">
        <v>44708.20868648148</v>
      </c>
      <c r="B1288" s="50">
        <v>44708.3336521643</v>
      </c>
      <c r="C1288" s="51">
        <v>1.027</v>
      </c>
      <c r="D1288" s="51">
        <v>69.0</v>
      </c>
      <c r="E1288" s="52" t="s">
        <v>25</v>
      </c>
      <c r="F1288" s="52" t="s">
        <v>26</v>
      </c>
      <c r="G1288" s="53"/>
    </row>
    <row r="1289">
      <c r="A1289" s="49">
        <v>44708.219106226854</v>
      </c>
      <c r="B1289" s="50">
        <v>44708.3440720486</v>
      </c>
      <c r="C1289" s="51">
        <v>1.027</v>
      </c>
      <c r="D1289" s="51">
        <v>69.0</v>
      </c>
      <c r="E1289" s="52" t="s">
        <v>25</v>
      </c>
      <c r="F1289" s="52" t="s">
        <v>26</v>
      </c>
      <c r="G1289" s="53"/>
    </row>
    <row r="1290">
      <c r="A1290" s="49">
        <v>44708.2295299074</v>
      </c>
      <c r="B1290" s="50">
        <v>44708.3545044097</v>
      </c>
      <c r="C1290" s="51">
        <v>1.027</v>
      </c>
      <c r="D1290" s="51">
        <v>69.0</v>
      </c>
      <c r="E1290" s="52" t="s">
        <v>25</v>
      </c>
      <c r="F1290" s="52" t="s">
        <v>26</v>
      </c>
      <c r="G1290" s="53"/>
    </row>
    <row r="1291">
      <c r="A1291" s="49">
        <v>44708.23997221065</v>
      </c>
      <c r="B1291" s="50">
        <v>44708.3649462615</v>
      </c>
      <c r="C1291" s="51">
        <v>1.027</v>
      </c>
      <c r="D1291" s="51">
        <v>69.0</v>
      </c>
      <c r="E1291" s="52" t="s">
        <v>25</v>
      </c>
      <c r="F1291" s="52" t="s">
        <v>26</v>
      </c>
      <c r="G1291" s="53"/>
    </row>
    <row r="1292">
      <c r="A1292" s="49">
        <v>44708.25039909722</v>
      </c>
      <c r="B1292" s="50">
        <v>44708.3753687037</v>
      </c>
      <c r="C1292" s="51">
        <v>1.027</v>
      </c>
      <c r="D1292" s="51">
        <v>69.0</v>
      </c>
      <c r="E1292" s="52" t="s">
        <v>25</v>
      </c>
      <c r="F1292" s="52" t="s">
        <v>26</v>
      </c>
      <c r="G1292" s="53"/>
    </row>
    <row r="1293">
      <c r="A1293" s="49">
        <v>44708.26081344907</v>
      </c>
      <c r="B1293" s="50">
        <v>44708.3857889351</v>
      </c>
      <c r="C1293" s="51">
        <v>1.027</v>
      </c>
      <c r="D1293" s="51">
        <v>69.0</v>
      </c>
      <c r="E1293" s="52" t="s">
        <v>25</v>
      </c>
      <c r="F1293" s="52" t="s">
        <v>26</v>
      </c>
      <c r="G1293" s="53"/>
    </row>
    <row r="1294">
      <c r="A1294" s="49">
        <v>44708.27123773148</v>
      </c>
      <c r="B1294" s="50">
        <v>44708.3962097338</v>
      </c>
      <c r="C1294" s="51">
        <v>1.027</v>
      </c>
      <c r="D1294" s="51">
        <v>69.0</v>
      </c>
      <c r="E1294" s="52" t="s">
        <v>25</v>
      </c>
      <c r="F1294" s="52" t="s">
        <v>26</v>
      </c>
      <c r="G1294" s="53"/>
    </row>
    <row r="1295">
      <c r="A1295" s="49">
        <v>44708.281659155095</v>
      </c>
      <c r="B1295" s="50">
        <v>44708.4066306944</v>
      </c>
      <c r="C1295" s="51">
        <v>1.027</v>
      </c>
      <c r="D1295" s="51">
        <v>69.0</v>
      </c>
      <c r="E1295" s="52" t="s">
        <v>25</v>
      </c>
      <c r="F1295" s="52" t="s">
        <v>26</v>
      </c>
      <c r="G1295" s="53"/>
    </row>
    <row r="1296">
      <c r="A1296" s="49">
        <v>44708.292075300924</v>
      </c>
      <c r="B1296" s="50">
        <v>44708.4170501388</v>
      </c>
      <c r="C1296" s="51">
        <v>1.027</v>
      </c>
      <c r="D1296" s="51">
        <v>69.0</v>
      </c>
      <c r="E1296" s="52" t="s">
        <v>25</v>
      </c>
      <c r="F1296" s="52" t="s">
        <v>26</v>
      </c>
      <c r="G1296" s="53"/>
    </row>
    <row r="1297">
      <c r="A1297" s="49">
        <v>44708.302493298615</v>
      </c>
      <c r="B1297" s="50">
        <v>44708.4274711921</v>
      </c>
      <c r="C1297" s="51">
        <v>1.027</v>
      </c>
      <c r="D1297" s="51">
        <v>69.0</v>
      </c>
      <c r="E1297" s="52" t="s">
        <v>25</v>
      </c>
      <c r="F1297" s="52" t="s">
        <v>26</v>
      </c>
      <c r="G1297" s="53"/>
    </row>
    <row r="1298">
      <c r="A1298" s="49">
        <v>44708.31291246528</v>
      </c>
      <c r="B1298" s="50">
        <v>44708.4378929398</v>
      </c>
      <c r="C1298" s="51">
        <v>1.027</v>
      </c>
      <c r="D1298" s="51">
        <v>69.0</v>
      </c>
      <c r="E1298" s="52" t="s">
        <v>25</v>
      </c>
      <c r="F1298" s="52" t="s">
        <v>26</v>
      </c>
      <c r="G1298" s="53"/>
    </row>
    <row r="1299">
      <c r="A1299" s="49">
        <v>44708.32333234954</v>
      </c>
      <c r="B1299" s="50">
        <v>44708.448312662</v>
      </c>
      <c r="C1299" s="51">
        <v>1.027</v>
      </c>
      <c r="D1299" s="51">
        <v>69.0</v>
      </c>
      <c r="E1299" s="52" t="s">
        <v>25</v>
      </c>
      <c r="F1299" s="52" t="s">
        <v>26</v>
      </c>
      <c r="G1299" s="53"/>
    </row>
    <row r="1300">
      <c r="A1300" s="49">
        <v>44708.333772743055</v>
      </c>
      <c r="B1300" s="50">
        <v>44708.4587343865</v>
      </c>
      <c r="C1300" s="51">
        <v>1.027</v>
      </c>
      <c r="D1300" s="51">
        <v>69.0</v>
      </c>
      <c r="E1300" s="52" t="s">
        <v>25</v>
      </c>
      <c r="F1300" s="52" t="s">
        <v>26</v>
      </c>
      <c r="G1300" s="53"/>
    </row>
    <row r="1301">
      <c r="A1301" s="49">
        <v>44708.34418119213</v>
      </c>
      <c r="B1301" s="50">
        <v>44708.4691547569</v>
      </c>
      <c r="C1301" s="51">
        <v>1.027</v>
      </c>
      <c r="D1301" s="51">
        <v>69.0</v>
      </c>
      <c r="E1301" s="52" t="s">
        <v>25</v>
      </c>
      <c r="F1301" s="52" t="s">
        <v>26</v>
      </c>
      <c r="G1301" s="53"/>
    </row>
    <row r="1302">
      <c r="A1302" s="49">
        <v>44708.35461210649</v>
      </c>
      <c r="B1302" s="50">
        <v>44708.4795765277</v>
      </c>
      <c r="C1302" s="51">
        <v>1.027</v>
      </c>
      <c r="D1302" s="51">
        <v>69.0</v>
      </c>
      <c r="E1302" s="52" t="s">
        <v>25</v>
      </c>
      <c r="F1302" s="52" t="s">
        <v>26</v>
      </c>
      <c r="G1302" s="53"/>
    </row>
    <row r="1303">
      <c r="A1303" s="49">
        <v>44708.36503814815</v>
      </c>
      <c r="B1303" s="50">
        <v>44708.4900081018</v>
      </c>
      <c r="C1303" s="51">
        <v>1.027</v>
      </c>
      <c r="D1303" s="51">
        <v>69.0</v>
      </c>
      <c r="E1303" s="52" t="s">
        <v>25</v>
      </c>
      <c r="F1303" s="52" t="s">
        <v>26</v>
      </c>
      <c r="G1303" s="53"/>
    </row>
    <row r="1304">
      <c r="A1304" s="49">
        <v>44708.375452430555</v>
      </c>
      <c r="B1304" s="50">
        <v>44708.5004293518</v>
      </c>
      <c r="C1304" s="51">
        <v>1.027</v>
      </c>
      <c r="D1304" s="51">
        <v>69.0</v>
      </c>
      <c r="E1304" s="52" t="s">
        <v>25</v>
      </c>
      <c r="F1304" s="52" t="s">
        <v>26</v>
      </c>
      <c r="G1304" s="53"/>
    </row>
    <row r="1305">
      <c r="A1305" s="49">
        <v>44708.38588332176</v>
      </c>
      <c r="B1305" s="50">
        <v>44708.5108507407</v>
      </c>
      <c r="C1305" s="51">
        <v>1.027</v>
      </c>
      <c r="D1305" s="51">
        <v>69.0</v>
      </c>
      <c r="E1305" s="52" t="s">
        <v>25</v>
      </c>
      <c r="F1305" s="52" t="s">
        <v>26</v>
      </c>
      <c r="G1305" s="53"/>
    </row>
    <row r="1306">
      <c r="A1306" s="49">
        <v>44708.3962974537</v>
      </c>
      <c r="B1306" s="50">
        <v>44708.5212710069</v>
      </c>
      <c r="C1306" s="51">
        <v>1.027</v>
      </c>
      <c r="D1306" s="51">
        <v>69.0</v>
      </c>
      <c r="E1306" s="52" t="s">
        <v>25</v>
      </c>
      <c r="F1306" s="52" t="s">
        <v>26</v>
      </c>
      <c r="G1306" s="53"/>
    </row>
    <row r="1307">
      <c r="A1307" s="49">
        <v>44708.40674954861</v>
      </c>
      <c r="B1307" s="50">
        <v>44708.5317186458</v>
      </c>
      <c r="C1307" s="51">
        <v>1.027</v>
      </c>
      <c r="D1307" s="51">
        <v>69.0</v>
      </c>
      <c r="E1307" s="52" t="s">
        <v>25</v>
      </c>
      <c r="F1307" s="52" t="s">
        <v>26</v>
      </c>
      <c r="G1307" s="53"/>
    </row>
    <row r="1308">
      <c r="A1308" s="49">
        <v>44708.417169050925</v>
      </c>
      <c r="B1308" s="50">
        <v>44708.5421404282</v>
      </c>
      <c r="C1308" s="51">
        <v>1.027</v>
      </c>
      <c r="D1308" s="51">
        <v>69.0</v>
      </c>
      <c r="E1308" s="52" t="s">
        <v>25</v>
      </c>
      <c r="F1308" s="52" t="s">
        <v>26</v>
      </c>
      <c r="G1308" s="53"/>
    </row>
    <row r="1309">
      <c r="A1309" s="49">
        <v>44708.42758783565</v>
      </c>
      <c r="B1309" s="50">
        <v>44708.5525601388</v>
      </c>
      <c r="C1309" s="51">
        <v>1.027</v>
      </c>
      <c r="D1309" s="51">
        <v>69.0</v>
      </c>
      <c r="E1309" s="52" t="s">
        <v>25</v>
      </c>
      <c r="F1309" s="52" t="s">
        <v>26</v>
      </c>
      <c r="G1309" s="53"/>
    </row>
    <row r="1310">
      <c r="A1310" s="49">
        <v>44708.43801940972</v>
      </c>
      <c r="B1310" s="50">
        <v>44708.5629930324</v>
      </c>
      <c r="C1310" s="51">
        <v>1.027</v>
      </c>
      <c r="D1310" s="51">
        <v>69.0</v>
      </c>
      <c r="E1310" s="52" t="s">
        <v>25</v>
      </c>
      <c r="F1310" s="52" t="s">
        <v>26</v>
      </c>
      <c r="G1310" s="53"/>
    </row>
    <row r="1311">
      <c r="A1311" s="49">
        <v>44708.44846811343</v>
      </c>
      <c r="B1311" s="50">
        <v>44708.5734360532</v>
      </c>
      <c r="C1311" s="51">
        <v>1.027</v>
      </c>
      <c r="D1311" s="51">
        <v>69.0</v>
      </c>
      <c r="E1311" s="52" t="s">
        <v>25</v>
      </c>
      <c r="F1311" s="52" t="s">
        <v>26</v>
      </c>
      <c r="G1311" s="53"/>
    </row>
    <row r="1312">
      <c r="A1312" s="49">
        <v>44708.45889490741</v>
      </c>
      <c r="B1312" s="50">
        <v>44708.5838675694</v>
      </c>
      <c r="C1312" s="51">
        <v>1.027</v>
      </c>
      <c r="D1312" s="51">
        <v>69.0</v>
      </c>
      <c r="E1312" s="52" t="s">
        <v>25</v>
      </c>
      <c r="F1312" s="52" t="s">
        <v>26</v>
      </c>
      <c r="G1312" s="53"/>
    </row>
    <row r="1313">
      <c r="A1313" s="49">
        <v>44708.46932927083</v>
      </c>
      <c r="B1313" s="50">
        <v>44708.5942990162</v>
      </c>
      <c r="C1313" s="51">
        <v>1.027</v>
      </c>
      <c r="D1313" s="51">
        <v>69.0</v>
      </c>
      <c r="E1313" s="52" t="s">
        <v>25</v>
      </c>
      <c r="F1313" s="52" t="s">
        <v>26</v>
      </c>
      <c r="G1313" s="53"/>
    </row>
    <row r="1314">
      <c r="A1314" s="49">
        <v>44708.47974604167</v>
      </c>
      <c r="B1314" s="50">
        <v>44708.6047216898</v>
      </c>
      <c r="C1314" s="51">
        <v>1.027</v>
      </c>
      <c r="D1314" s="51">
        <v>69.0</v>
      </c>
      <c r="E1314" s="52" t="s">
        <v>25</v>
      </c>
      <c r="F1314" s="52" t="s">
        <v>26</v>
      </c>
      <c r="G1314" s="53"/>
    </row>
    <row r="1315">
      <c r="A1315" s="49">
        <v>44708.49016615741</v>
      </c>
      <c r="B1315" s="50">
        <v>44708.6151427546</v>
      </c>
      <c r="C1315" s="51">
        <v>1.027</v>
      </c>
      <c r="D1315" s="51">
        <v>69.0</v>
      </c>
      <c r="E1315" s="52" t="s">
        <v>25</v>
      </c>
      <c r="F1315" s="52" t="s">
        <v>26</v>
      </c>
      <c r="G1315" s="53"/>
    </row>
    <row r="1316">
      <c r="A1316" s="49">
        <v>44708.500592129625</v>
      </c>
      <c r="B1316" s="50">
        <v>44708.625564155</v>
      </c>
      <c r="C1316" s="51">
        <v>1.026</v>
      </c>
      <c r="D1316" s="51">
        <v>69.0</v>
      </c>
      <c r="E1316" s="52" t="s">
        <v>25</v>
      </c>
      <c r="F1316" s="52" t="s">
        <v>26</v>
      </c>
      <c r="G1316" s="53"/>
    </row>
    <row r="1317">
      <c r="A1317" s="49">
        <v>44708.51100549768</v>
      </c>
      <c r="B1317" s="50">
        <v>44708.635984699</v>
      </c>
      <c r="C1317" s="51">
        <v>1.026</v>
      </c>
      <c r="D1317" s="51">
        <v>69.0</v>
      </c>
      <c r="E1317" s="52" t="s">
        <v>25</v>
      </c>
      <c r="F1317" s="52" t="s">
        <v>26</v>
      </c>
      <c r="G1317" s="53"/>
    </row>
    <row r="1318">
      <c r="A1318" s="49">
        <v>44708.52142211805</v>
      </c>
      <c r="B1318" s="50">
        <v>44708.6464043287</v>
      </c>
      <c r="C1318" s="51">
        <v>1.026</v>
      </c>
      <c r="D1318" s="51">
        <v>69.0</v>
      </c>
      <c r="E1318" s="52" t="s">
        <v>25</v>
      </c>
      <c r="F1318" s="52" t="s">
        <v>26</v>
      </c>
      <c r="G1318" s="53"/>
    </row>
    <row r="1319">
      <c r="A1319" s="49">
        <v>44708.531877037036</v>
      </c>
      <c r="B1319" s="50">
        <v>44708.6568500926</v>
      </c>
      <c r="C1319" s="51">
        <v>1.026</v>
      </c>
      <c r="D1319" s="51">
        <v>69.0</v>
      </c>
      <c r="E1319" s="52" t="s">
        <v>25</v>
      </c>
      <c r="F1319" s="52" t="s">
        <v>26</v>
      </c>
      <c r="G1319" s="53"/>
    </row>
    <row r="1320">
      <c r="A1320" s="49">
        <v>44708.54230064814</v>
      </c>
      <c r="B1320" s="50">
        <v>44708.6672725115</v>
      </c>
      <c r="C1320" s="51">
        <v>1.026</v>
      </c>
      <c r="D1320" s="51">
        <v>69.0</v>
      </c>
      <c r="E1320" s="52" t="s">
        <v>25</v>
      </c>
      <c r="F1320" s="52" t="s">
        <v>26</v>
      </c>
      <c r="G1320" s="53"/>
    </row>
    <row r="1321">
      <c r="A1321" s="49">
        <v>44708.55272238426</v>
      </c>
      <c r="B1321" s="50">
        <v>44708.6776946875</v>
      </c>
      <c r="C1321" s="51">
        <v>1.026</v>
      </c>
      <c r="D1321" s="51">
        <v>69.0</v>
      </c>
      <c r="E1321" s="52" t="s">
        <v>25</v>
      </c>
      <c r="F1321" s="52" t="s">
        <v>26</v>
      </c>
      <c r="G1321" s="53"/>
    </row>
    <row r="1322">
      <c r="A1322" s="49">
        <v>44708.56314353009</v>
      </c>
      <c r="B1322" s="50">
        <v>44708.6881139004</v>
      </c>
      <c r="C1322" s="51">
        <v>1.026</v>
      </c>
      <c r="D1322" s="51">
        <v>69.0</v>
      </c>
      <c r="E1322" s="52" t="s">
        <v>25</v>
      </c>
      <c r="F1322" s="52" t="s">
        <v>26</v>
      </c>
      <c r="G1322" s="53"/>
    </row>
    <row r="1323">
      <c r="A1323" s="49">
        <v>44708.57357728009</v>
      </c>
      <c r="B1323" s="50">
        <v>44708.6985465393</v>
      </c>
      <c r="C1323" s="51">
        <v>1.026</v>
      </c>
      <c r="D1323" s="51">
        <v>69.0</v>
      </c>
      <c r="E1323" s="52" t="s">
        <v>25</v>
      </c>
      <c r="F1323" s="52" t="s">
        <v>26</v>
      </c>
      <c r="G1323" s="53"/>
    </row>
    <row r="1324">
      <c r="A1324" s="49">
        <v>44708.58400792824</v>
      </c>
      <c r="B1324" s="50">
        <v>44708.7089805208</v>
      </c>
      <c r="C1324" s="51">
        <v>1.026</v>
      </c>
      <c r="D1324" s="51">
        <v>69.0</v>
      </c>
      <c r="E1324" s="52" t="s">
        <v>25</v>
      </c>
      <c r="F1324" s="52" t="s">
        <v>26</v>
      </c>
      <c r="G1324" s="53"/>
    </row>
    <row r="1325">
      <c r="A1325" s="49">
        <v>44708.59443486111</v>
      </c>
      <c r="B1325" s="50">
        <v>44708.7194137963</v>
      </c>
      <c r="C1325" s="51">
        <v>1.026</v>
      </c>
      <c r="D1325" s="51">
        <v>69.0</v>
      </c>
      <c r="E1325" s="52" t="s">
        <v>25</v>
      </c>
      <c r="F1325" s="52" t="s">
        <v>26</v>
      </c>
      <c r="G1325" s="53"/>
    </row>
    <row r="1326">
      <c r="A1326" s="49">
        <v>44708.604852372686</v>
      </c>
      <c r="B1326" s="50">
        <v>44708.7298346643</v>
      </c>
      <c r="C1326" s="51">
        <v>1.026</v>
      </c>
      <c r="D1326" s="51">
        <v>69.0</v>
      </c>
      <c r="E1326" s="52" t="s">
        <v>25</v>
      </c>
      <c r="F1326" s="52" t="s">
        <v>26</v>
      </c>
      <c r="G1326" s="53"/>
    </row>
    <row r="1327">
      <c r="A1327" s="49">
        <v>44708.61528388889</v>
      </c>
      <c r="B1327" s="50">
        <v>44708.7402649189</v>
      </c>
      <c r="C1327" s="51">
        <v>1.026</v>
      </c>
      <c r="D1327" s="51">
        <v>69.0</v>
      </c>
      <c r="E1327" s="52" t="s">
        <v>25</v>
      </c>
      <c r="F1327" s="52" t="s">
        <v>26</v>
      </c>
      <c r="G1327" s="53"/>
    </row>
    <row r="1328">
      <c r="A1328" s="49">
        <v>44708.62572577546</v>
      </c>
      <c r="B1328" s="50">
        <v>44708.7506981944</v>
      </c>
      <c r="C1328" s="51">
        <v>1.026</v>
      </c>
      <c r="D1328" s="51">
        <v>69.0</v>
      </c>
      <c r="E1328" s="52" t="s">
        <v>25</v>
      </c>
      <c r="F1328" s="52" t="s">
        <v>26</v>
      </c>
      <c r="G1328" s="53"/>
    </row>
    <row r="1329">
      <c r="A1329" s="49">
        <v>44708.63614814814</v>
      </c>
      <c r="B1329" s="50">
        <v>44708.7611191666</v>
      </c>
      <c r="C1329" s="51">
        <v>1.026</v>
      </c>
      <c r="D1329" s="51">
        <v>69.0</v>
      </c>
      <c r="E1329" s="52" t="s">
        <v>25</v>
      </c>
      <c r="F1329" s="52" t="s">
        <v>26</v>
      </c>
      <c r="G1329" s="53"/>
    </row>
    <row r="1330">
      <c r="A1330" s="49">
        <v>44708.64661517361</v>
      </c>
      <c r="B1330" s="50">
        <v>44708.7715876967</v>
      </c>
      <c r="C1330" s="51">
        <v>1.026</v>
      </c>
      <c r="D1330" s="51">
        <v>69.0</v>
      </c>
      <c r="E1330" s="52" t="s">
        <v>25</v>
      </c>
      <c r="F1330" s="52" t="s">
        <v>26</v>
      </c>
      <c r="G1330" s="53"/>
    </row>
    <row r="1331">
      <c r="A1331" s="49">
        <v>44708.657028912035</v>
      </c>
      <c r="B1331" s="50">
        <v>44708.7820087384</v>
      </c>
      <c r="C1331" s="51">
        <v>1.026</v>
      </c>
      <c r="D1331" s="51">
        <v>69.0</v>
      </c>
      <c r="E1331" s="52" t="s">
        <v>25</v>
      </c>
      <c r="F1331" s="52" t="s">
        <v>26</v>
      </c>
      <c r="G1331" s="53"/>
    </row>
    <row r="1332">
      <c r="A1332" s="49">
        <v>44708.66745641203</v>
      </c>
      <c r="B1332" s="50">
        <v>44708.7924284027</v>
      </c>
      <c r="C1332" s="51">
        <v>1.026</v>
      </c>
      <c r="D1332" s="51">
        <v>69.0</v>
      </c>
      <c r="E1332" s="52" t="s">
        <v>25</v>
      </c>
      <c r="F1332" s="52" t="s">
        <v>26</v>
      </c>
      <c r="G1332" s="53"/>
    </row>
    <row r="1333">
      <c r="A1333" s="49">
        <v>44708.67788</v>
      </c>
      <c r="B1333" s="50">
        <v>44708.8028498726</v>
      </c>
      <c r="C1333" s="51">
        <v>1.026</v>
      </c>
      <c r="D1333" s="51">
        <v>69.0</v>
      </c>
      <c r="E1333" s="52" t="s">
        <v>25</v>
      </c>
      <c r="F1333" s="52" t="s">
        <v>26</v>
      </c>
      <c r="G1333" s="53"/>
    </row>
    <row r="1334">
      <c r="A1334" s="49">
        <v>44708.688299375004</v>
      </c>
      <c r="B1334" s="50">
        <v>44708.8132711342</v>
      </c>
      <c r="C1334" s="51">
        <v>1.026</v>
      </c>
      <c r="D1334" s="51">
        <v>69.0</v>
      </c>
      <c r="E1334" s="52" t="s">
        <v>25</v>
      </c>
      <c r="F1334" s="52" t="s">
        <v>26</v>
      </c>
      <c r="G1334" s="53"/>
    </row>
    <row r="1335">
      <c r="A1335" s="49">
        <v>44708.69872403935</v>
      </c>
      <c r="B1335" s="50">
        <v>44708.8236924537</v>
      </c>
      <c r="C1335" s="51">
        <v>1.026</v>
      </c>
      <c r="D1335" s="51">
        <v>69.0</v>
      </c>
      <c r="E1335" s="52" t="s">
        <v>25</v>
      </c>
      <c r="F1335" s="52" t="s">
        <v>26</v>
      </c>
      <c r="G1335" s="53"/>
    </row>
    <row r="1336">
      <c r="A1336" s="49">
        <v>44708.70915193287</v>
      </c>
      <c r="B1336" s="50">
        <v>44708.8341259953</v>
      </c>
      <c r="C1336" s="51">
        <v>1.026</v>
      </c>
      <c r="D1336" s="51">
        <v>69.0</v>
      </c>
      <c r="E1336" s="52" t="s">
        <v>25</v>
      </c>
      <c r="F1336" s="52" t="s">
        <v>26</v>
      </c>
      <c r="G1336" s="53"/>
    </row>
    <row r="1337">
      <c r="A1337" s="49">
        <v>44708.71959766204</v>
      </c>
      <c r="B1337" s="50">
        <v>44708.8445693981</v>
      </c>
      <c r="C1337" s="51">
        <v>1.026</v>
      </c>
      <c r="D1337" s="51">
        <v>69.0</v>
      </c>
      <c r="E1337" s="52" t="s">
        <v>25</v>
      </c>
      <c r="F1337" s="52" t="s">
        <v>26</v>
      </c>
      <c r="G1337" s="53"/>
    </row>
    <row r="1338">
      <c r="A1338" s="49">
        <v>44708.73001619213</v>
      </c>
      <c r="B1338" s="50">
        <v>44708.8549910069</v>
      </c>
      <c r="C1338" s="51">
        <v>1.026</v>
      </c>
      <c r="D1338" s="51">
        <v>69.0</v>
      </c>
      <c r="E1338" s="52" t="s">
        <v>25</v>
      </c>
      <c r="F1338" s="52" t="s">
        <v>26</v>
      </c>
      <c r="G1338" s="53"/>
    </row>
    <row r="1339">
      <c r="A1339" s="49">
        <v>44708.74044019676</v>
      </c>
      <c r="B1339" s="50">
        <v>44708.8654137268</v>
      </c>
      <c r="C1339" s="51">
        <v>1.026</v>
      </c>
      <c r="D1339" s="51">
        <v>69.0</v>
      </c>
      <c r="E1339" s="52" t="s">
        <v>25</v>
      </c>
      <c r="F1339" s="52" t="s">
        <v>26</v>
      </c>
      <c r="G1339" s="53"/>
    </row>
    <row r="1340">
      <c r="A1340" s="49">
        <v>44708.750856134255</v>
      </c>
      <c r="B1340" s="50">
        <v>44708.8758346643</v>
      </c>
      <c r="C1340" s="51">
        <v>1.026</v>
      </c>
      <c r="D1340" s="51">
        <v>69.0</v>
      </c>
      <c r="E1340" s="52" t="s">
        <v>25</v>
      </c>
      <c r="F1340" s="52" t="s">
        <v>26</v>
      </c>
      <c r="G1340" s="53"/>
    </row>
    <row r="1341">
      <c r="A1341" s="49">
        <v>44708.76128362268</v>
      </c>
      <c r="B1341" s="50">
        <v>44708.886255324</v>
      </c>
      <c r="C1341" s="51">
        <v>1.026</v>
      </c>
      <c r="D1341" s="51">
        <v>69.0</v>
      </c>
      <c r="E1341" s="52" t="s">
        <v>25</v>
      </c>
      <c r="F1341" s="52" t="s">
        <v>26</v>
      </c>
      <c r="G1341" s="53"/>
    </row>
    <row r="1342">
      <c r="A1342" s="49">
        <v>44708.77170228009</v>
      </c>
      <c r="B1342" s="50">
        <v>44708.8966747916</v>
      </c>
      <c r="C1342" s="51">
        <v>1.026</v>
      </c>
      <c r="D1342" s="51">
        <v>69.0</v>
      </c>
      <c r="E1342" s="52" t="s">
        <v>25</v>
      </c>
      <c r="F1342" s="52" t="s">
        <v>26</v>
      </c>
      <c r="G1342" s="53"/>
    </row>
    <row r="1343">
      <c r="A1343" s="49">
        <v>44708.78212449074</v>
      </c>
      <c r="B1343" s="50">
        <v>44708.9070956828</v>
      </c>
      <c r="C1343" s="51">
        <v>1.026</v>
      </c>
      <c r="D1343" s="51">
        <v>69.0</v>
      </c>
      <c r="E1343" s="52" t="s">
        <v>25</v>
      </c>
      <c r="F1343" s="52" t="s">
        <v>26</v>
      </c>
      <c r="G1343" s="53"/>
    </row>
    <row r="1344">
      <c r="A1344" s="49">
        <v>44708.79254425926</v>
      </c>
      <c r="B1344" s="50">
        <v>44708.91751625</v>
      </c>
      <c r="C1344" s="51">
        <v>1.026</v>
      </c>
      <c r="D1344" s="51">
        <v>69.0</v>
      </c>
      <c r="E1344" s="52" t="s">
        <v>25</v>
      </c>
      <c r="F1344" s="52" t="s">
        <v>26</v>
      </c>
      <c r="G1344" s="53"/>
    </row>
    <row r="1345">
      <c r="A1345" s="49">
        <v>44708.802987152776</v>
      </c>
      <c r="B1345" s="50">
        <v>44708.927960405</v>
      </c>
      <c r="C1345" s="51">
        <v>1.026</v>
      </c>
      <c r="D1345" s="51">
        <v>69.0</v>
      </c>
      <c r="E1345" s="52" t="s">
        <v>25</v>
      </c>
      <c r="F1345" s="52" t="s">
        <v>26</v>
      </c>
      <c r="G1345" s="53"/>
    </row>
    <row r="1346">
      <c r="A1346" s="49">
        <v>44708.81340269676</v>
      </c>
      <c r="B1346" s="50">
        <v>44708.9383827314</v>
      </c>
      <c r="C1346" s="51">
        <v>1.026</v>
      </c>
      <c r="D1346" s="51">
        <v>69.0</v>
      </c>
      <c r="E1346" s="52" t="s">
        <v>25</v>
      </c>
      <c r="F1346" s="52" t="s">
        <v>26</v>
      </c>
      <c r="G1346" s="53"/>
    </row>
    <row r="1347">
      <c r="A1347" s="49">
        <v>44708.82383388889</v>
      </c>
      <c r="B1347" s="50">
        <v>44708.948804155</v>
      </c>
      <c r="C1347" s="51">
        <v>1.026</v>
      </c>
      <c r="D1347" s="51">
        <v>69.0</v>
      </c>
      <c r="E1347" s="52" t="s">
        <v>25</v>
      </c>
      <c r="F1347" s="52" t="s">
        <v>26</v>
      </c>
      <c r="G1347" s="53"/>
    </row>
    <row r="1348">
      <c r="A1348" s="49">
        <v>44708.834268402774</v>
      </c>
      <c r="B1348" s="50">
        <v>44708.9592238194</v>
      </c>
      <c r="C1348" s="51">
        <v>1.026</v>
      </c>
      <c r="D1348" s="51">
        <v>69.0</v>
      </c>
      <c r="E1348" s="52" t="s">
        <v>25</v>
      </c>
      <c r="F1348" s="52" t="s">
        <v>26</v>
      </c>
      <c r="G1348" s="53"/>
    </row>
    <row r="1349">
      <c r="A1349" s="49">
        <v>44708.84467269676</v>
      </c>
      <c r="B1349" s="50">
        <v>44708.969644699</v>
      </c>
      <c r="C1349" s="51">
        <v>1.026</v>
      </c>
      <c r="D1349" s="51">
        <v>69.0</v>
      </c>
      <c r="E1349" s="52" t="s">
        <v>25</v>
      </c>
      <c r="F1349" s="52" t="s">
        <v>26</v>
      </c>
      <c r="G1349" s="53"/>
    </row>
    <row r="1350">
      <c r="A1350" s="49">
        <v>44708.85512601852</v>
      </c>
      <c r="B1350" s="50">
        <v>44708.9801023611</v>
      </c>
      <c r="C1350" s="51">
        <v>1.026</v>
      </c>
      <c r="D1350" s="51">
        <v>69.0</v>
      </c>
      <c r="E1350" s="52" t="s">
        <v>25</v>
      </c>
      <c r="F1350" s="52" t="s">
        <v>26</v>
      </c>
      <c r="G1350" s="53"/>
    </row>
    <row r="1351">
      <c r="A1351" s="49">
        <v>44708.865567037035</v>
      </c>
      <c r="B1351" s="50">
        <v>44708.9905367708</v>
      </c>
      <c r="C1351" s="51">
        <v>1.026</v>
      </c>
      <c r="D1351" s="51">
        <v>69.0</v>
      </c>
      <c r="E1351" s="52" t="s">
        <v>25</v>
      </c>
      <c r="F1351" s="52" t="s">
        <v>26</v>
      </c>
      <c r="G1351" s="53"/>
    </row>
    <row r="1352">
      <c r="A1352" s="49">
        <v>44708.876005474536</v>
      </c>
      <c r="B1352" s="50">
        <v>44709.0009689814</v>
      </c>
      <c r="C1352" s="51">
        <v>1.026</v>
      </c>
      <c r="D1352" s="51">
        <v>69.0</v>
      </c>
      <c r="E1352" s="52" t="s">
        <v>25</v>
      </c>
      <c r="F1352" s="52" t="s">
        <v>26</v>
      </c>
      <c r="G1352" s="53"/>
    </row>
    <row r="1353">
      <c r="A1353" s="49">
        <v>44708.88641679398</v>
      </c>
      <c r="B1353" s="50">
        <v>44709.0113890162</v>
      </c>
      <c r="C1353" s="51">
        <v>1.026</v>
      </c>
      <c r="D1353" s="51">
        <v>69.0</v>
      </c>
      <c r="E1353" s="52" t="s">
        <v>25</v>
      </c>
      <c r="F1353" s="52" t="s">
        <v>26</v>
      </c>
      <c r="G1353" s="53"/>
    </row>
    <row r="1354">
      <c r="A1354" s="49">
        <v>44708.89686375</v>
      </c>
      <c r="B1354" s="50">
        <v>44709.0218319097</v>
      </c>
      <c r="C1354" s="51">
        <v>1.025</v>
      </c>
      <c r="D1354" s="51">
        <v>69.0</v>
      </c>
      <c r="E1354" s="52" t="s">
        <v>25</v>
      </c>
      <c r="F1354" s="52" t="s">
        <v>26</v>
      </c>
      <c r="G1354" s="53"/>
    </row>
    <row r="1355">
      <c r="A1355" s="49">
        <v>44708.907278576386</v>
      </c>
      <c r="B1355" s="50">
        <v>44709.0322549652</v>
      </c>
      <c r="C1355" s="51">
        <v>1.026</v>
      </c>
      <c r="D1355" s="51">
        <v>69.0</v>
      </c>
      <c r="E1355" s="52" t="s">
        <v>25</v>
      </c>
      <c r="F1355" s="52" t="s">
        <v>26</v>
      </c>
      <c r="G1355" s="53"/>
    </row>
    <row r="1356">
      <c r="A1356" s="49">
        <v>44708.91770457176</v>
      </c>
      <c r="B1356" s="50">
        <v>44709.0426876851</v>
      </c>
      <c r="C1356" s="51">
        <v>1.025</v>
      </c>
      <c r="D1356" s="51">
        <v>69.0</v>
      </c>
      <c r="E1356" s="52" t="s">
        <v>25</v>
      </c>
      <c r="F1356" s="52" t="s">
        <v>26</v>
      </c>
      <c r="G1356" s="53"/>
    </row>
    <row r="1357">
      <c r="A1357" s="49">
        <v>44708.928131712964</v>
      </c>
      <c r="B1357" s="50">
        <v>44709.0531087731</v>
      </c>
      <c r="C1357" s="51">
        <v>1.025</v>
      </c>
      <c r="D1357" s="51">
        <v>69.0</v>
      </c>
      <c r="E1357" s="52" t="s">
        <v>25</v>
      </c>
      <c r="F1357" s="52" t="s">
        <v>26</v>
      </c>
      <c r="G1357" s="53"/>
    </row>
    <row r="1358">
      <c r="A1358" s="49">
        <v>44708.93854663194</v>
      </c>
      <c r="B1358" s="50">
        <v>44709.0635283564</v>
      </c>
      <c r="C1358" s="51">
        <v>1.025</v>
      </c>
      <c r="D1358" s="51">
        <v>69.0</v>
      </c>
      <c r="E1358" s="52" t="s">
        <v>25</v>
      </c>
      <c r="F1358" s="52" t="s">
        <v>26</v>
      </c>
      <c r="G1358" s="53"/>
    </row>
    <row r="1359">
      <c r="A1359" s="49">
        <v>44708.948996527775</v>
      </c>
      <c r="B1359" s="50">
        <v>44709.0739608333</v>
      </c>
      <c r="C1359" s="51">
        <v>1.026</v>
      </c>
      <c r="D1359" s="51">
        <v>69.0</v>
      </c>
      <c r="E1359" s="52" t="s">
        <v>25</v>
      </c>
      <c r="F1359" s="52" t="s">
        <v>26</v>
      </c>
      <c r="G1359" s="53"/>
    </row>
    <row r="1360">
      <c r="A1360" s="49">
        <v>44708.95939935185</v>
      </c>
      <c r="B1360" s="50">
        <v>44709.0843794791</v>
      </c>
      <c r="C1360" s="51">
        <v>1.025</v>
      </c>
      <c r="D1360" s="51">
        <v>69.0</v>
      </c>
      <c r="E1360" s="52" t="s">
        <v>25</v>
      </c>
      <c r="F1360" s="52" t="s">
        <v>26</v>
      </c>
      <c r="G1360" s="53"/>
    </row>
    <row r="1361">
      <c r="A1361" s="49">
        <v>44708.96983096065</v>
      </c>
      <c r="B1361" s="50">
        <v>44709.0948005787</v>
      </c>
      <c r="C1361" s="51">
        <v>1.025</v>
      </c>
      <c r="D1361" s="51">
        <v>69.0</v>
      </c>
      <c r="E1361" s="52" t="s">
        <v>25</v>
      </c>
      <c r="F1361" s="52" t="s">
        <v>26</v>
      </c>
      <c r="G1361" s="53"/>
    </row>
    <row r="1362">
      <c r="A1362" s="49">
        <v>44708.980250231485</v>
      </c>
      <c r="B1362" s="50">
        <v>44709.1052209143</v>
      </c>
      <c r="C1362" s="51">
        <v>1.025</v>
      </c>
      <c r="D1362" s="51">
        <v>69.0</v>
      </c>
      <c r="E1362" s="52" t="s">
        <v>25</v>
      </c>
      <c r="F1362" s="52" t="s">
        <v>26</v>
      </c>
      <c r="G1362" s="53"/>
    </row>
    <row r="1363">
      <c r="A1363" s="49">
        <v>44708.99066704861</v>
      </c>
      <c r="B1363" s="50">
        <v>44709.1156429976</v>
      </c>
      <c r="C1363" s="51">
        <v>1.025</v>
      </c>
      <c r="D1363" s="51">
        <v>69.0</v>
      </c>
      <c r="E1363" s="52" t="s">
        <v>25</v>
      </c>
      <c r="F1363" s="52" t="s">
        <v>26</v>
      </c>
      <c r="G1363" s="53"/>
    </row>
    <row r="1364">
      <c r="A1364" s="49">
        <v>44709.001090624995</v>
      </c>
      <c r="B1364" s="50">
        <v>44709.1260635648</v>
      </c>
      <c r="C1364" s="51">
        <v>1.025</v>
      </c>
      <c r="D1364" s="51">
        <v>69.0</v>
      </c>
      <c r="E1364" s="52" t="s">
        <v>25</v>
      </c>
      <c r="F1364" s="52" t="s">
        <v>26</v>
      </c>
      <c r="G1364" s="53"/>
    </row>
    <row r="1365">
      <c r="A1365" s="49">
        <v>44709.01150821759</v>
      </c>
      <c r="B1365" s="50">
        <v>44709.136484074</v>
      </c>
      <c r="C1365" s="51">
        <v>1.025</v>
      </c>
      <c r="D1365" s="51">
        <v>69.0</v>
      </c>
      <c r="E1365" s="52" t="s">
        <v>25</v>
      </c>
      <c r="F1365" s="52" t="s">
        <v>26</v>
      </c>
      <c r="G1365" s="53"/>
    </row>
    <row r="1366">
      <c r="A1366" s="49">
        <v>44709.021930856485</v>
      </c>
      <c r="B1366" s="50">
        <v>44709.1469029282</v>
      </c>
      <c r="C1366" s="51">
        <v>1.025</v>
      </c>
      <c r="D1366" s="51">
        <v>69.0</v>
      </c>
      <c r="E1366" s="52" t="s">
        <v>25</v>
      </c>
      <c r="F1366" s="52" t="s">
        <v>26</v>
      </c>
      <c r="G1366" s="53"/>
    </row>
    <row r="1367">
      <c r="A1367" s="49">
        <v>44709.03235450231</v>
      </c>
      <c r="B1367" s="50">
        <v>44709.1573229398</v>
      </c>
      <c r="C1367" s="51">
        <v>1.025</v>
      </c>
      <c r="D1367" s="51">
        <v>69.0</v>
      </c>
      <c r="E1367" s="52" t="s">
        <v>25</v>
      </c>
      <c r="F1367" s="52" t="s">
        <v>26</v>
      </c>
      <c r="G1367" s="53"/>
    </row>
    <row r="1368">
      <c r="A1368" s="49">
        <v>44709.04277189815</v>
      </c>
      <c r="B1368" s="50">
        <v>44709.1677453703</v>
      </c>
      <c r="C1368" s="51">
        <v>1.025</v>
      </c>
      <c r="D1368" s="51">
        <v>69.0</v>
      </c>
      <c r="E1368" s="52" t="s">
        <v>25</v>
      </c>
      <c r="F1368" s="52" t="s">
        <v>26</v>
      </c>
      <c r="G1368" s="53"/>
    </row>
    <row r="1369">
      <c r="A1369" s="49">
        <v>44709.05319496528</v>
      </c>
      <c r="B1369" s="50">
        <v>44709.178166956</v>
      </c>
      <c r="C1369" s="51">
        <v>1.025</v>
      </c>
      <c r="D1369" s="51">
        <v>69.0</v>
      </c>
      <c r="E1369" s="52" t="s">
        <v>25</v>
      </c>
      <c r="F1369" s="52" t="s">
        <v>26</v>
      </c>
      <c r="G1369" s="53"/>
    </row>
    <row r="1370">
      <c r="A1370" s="49">
        <v>44709.06361496528</v>
      </c>
      <c r="B1370" s="50">
        <v>44709.1885889583</v>
      </c>
      <c r="C1370" s="51">
        <v>1.025</v>
      </c>
      <c r="D1370" s="51">
        <v>69.0</v>
      </c>
      <c r="E1370" s="52" t="s">
        <v>25</v>
      </c>
      <c r="F1370" s="52" t="s">
        <v>26</v>
      </c>
      <c r="G1370" s="53"/>
    </row>
    <row r="1371">
      <c r="A1371" s="49">
        <v>44709.07404006945</v>
      </c>
      <c r="B1371" s="50">
        <v>44709.1990119907</v>
      </c>
      <c r="C1371" s="51">
        <v>1.025</v>
      </c>
      <c r="D1371" s="51">
        <v>69.0</v>
      </c>
      <c r="E1371" s="52" t="s">
        <v>25</v>
      </c>
      <c r="F1371" s="52" t="s">
        <v>26</v>
      </c>
      <c r="G1371" s="53"/>
    </row>
    <row r="1372">
      <c r="A1372" s="49">
        <v>44709.08445034722</v>
      </c>
      <c r="B1372" s="50">
        <v>44709.20943228</v>
      </c>
      <c r="C1372" s="51">
        <v>1.025</v>
      </c>
      <c r="D1372" s="51">
        <v>69.0</v>
      </c>
      <c r="E1372" s="52" t="s">
        <v>25</v>
      </c>
      <c r="F1372" s="52" t="s">
        <v>26</v>
      </c>
      <c r="G1372" s="53"/>
    </row>
    <row r="1373">
      <c r="A1373" s="49">
        <v>44709.09488239583</v>
      </c>
      <c r="B1373" s="50">
        <v>44709.2198539004</v>
      </c>
      <c r="C1373" s="51">
        <v>1.025</v>
      </c>
      <c r="D1373" s="51">
        <v>69.0</v>
      </c>
      <c r="E1373" s="52" t="s">
        <v>25</v>
      </c>
      <c r="F1373" s="52" t="s">
        <v>26</v>
      </c>
      <c r="G1373" s="53"/>
    </row>
    <row r="1374">
      <c r="A1374" s="49">
        <v>44709.105302662036</v>
      </c>
      <c r="B1374" s="50">
        <v>44709.2302744444</v>
      </c>
      <c r="C1374" s="51">
        <v>1.025</v>
      </c>
      <c r="D1374" s="51">
        <v>69.0</v>
      </c>
      <c r="E1374" s="52" t="s">
        <v>25</v>
      </c>
      <c r="F1374" s="52" t="s">
        <v>26</v>
      </c>
      <c r="G1374" s="53"/>
    </row>
    <row r="1375">
      <c r="A1375" s="49">
        <v>44709.1157215162</v>
      </c>
      <c r="B1375" s="50">
        <v>44709.2406949305</v>
      </c>
      <c r="C1375" s="51">
        <v>1.025</v>
      </c>
      <c r="D1375" s="51">
        <v>69.0</v>
      </c>
      <c r="E1375" s="52" t="s">
        <v>25</v>
      </c>
      <c r="F1375" s="52" t="s">
        <v>26</v>
      </c>
      <c r="G1375" s="53"/>
    </row>
    <row r="1376">
      <c r="A1376" s="49">
        <v>44709.12614165509</v>
      </c>
      <c r="B1376" s="50">
        <v>44709.251116574</v>
      </c>
      <c r="C1376" s="51">
        <v>1.025</v>
      </c>
      <c r="D1376" s="51">
        <v>69.0</v>
      </c>
      <c r="E1376" s="52" t="s">
        <v>25</v>
      </c>
      <c r="F1376" s="52" t="s">
        <v>26</v>
      </c>
      <c r="G1376" s="53"/>
    </row>
    <row r="1377">
      <c r="A1377" s="49">
        <v>44709.136574131946</v>
      </c>
      <c r="B1377" s="50">
        <v>44709.26155</v>
      </c>
      <c r="C1377" s="51">
        <v>1.025</v>
      </c>
      <c r="D1377" s="51">
        <v>69.0</v>
      </c>
      <c r="E1377" s="52" t="s">
        <v>25</v>
      </c>
      <c r="F1377" s="52" t="s">
        <v>26</v>
      </c>
      <c r="G1377" s="53"/>
    </row>
    <row r="1378">
      <c r="A1378" s="49">
        <v>44709.147002881946</v>
      </c>
      <c r="B1378" s="50">
        <v>44709.2719733217</v>
      </c>
      <c r="C1378" s="51">
        <v>1.025</v>
      </c>
      <c r="D1378" s="51">
        <v>69.0</v>
      </c>
      <c r="E1378" s="52" t="s">
        <v>25</v>
      </c>
      <c r="F1378" s="52" t="s">
        <v>26</v>
      </c>
      <c r="G1378" s="53"/>
    </row>
    <row r="1379">
      <c r="A1379" s="49">
        <v>44709.15743637731</v>
      </c>
      <c r="B1379" s="50">
        <v>44709.2824061226</v>
      </c>
      <c r="C1379" s="51">
        <v>1.025</v>
      </c>
      <c r="D1379" s="51">
        <v>69.0</v>
      </c>
      <c r="E1379" s="52" t="s">
        <v>25</v>
      </c>
      <c r="F1379" s="52" t="s">
        <v>26</v>
      </c>
      <c r="G1379" s="53"/>
    </row>
    <row r="1380">
      <c r="A1380" s="49">
        <v>44709.16785525463</v>
      </c>
      <c r="B1380" s="50">
        <v>44709.2928267939</v>
      </c>
      <c r="C1380" s="51">
        <v>1.025</v>
      </c>
      <c r="D1380" s="51">
        <v>69.0</v>
      </c>
      <c r="E1380" s="52" t="s">
        <v>25</v>
      </c>
      <c r="F1380" s="52" t="s">
        <v>26</v>
      </c>
      <c r="G1380" s="53"/>
    </row>
    <row r="1381">
      <c r="A1381" s="49">
        <v>44709.17828449074</v>
      </c>
      <c r="B1381" s="50">
        <v>44709.3032600115</v>
      </c>
      <c r="C1381" s="51">
        <v>1.025</v>
      </c>
      <c r="D1381" s="51">
        <v>69.0</v>
      </c>
      <c r="E1381" s="52" t="s">
        <v>25</v>
      </c>
      <c r="F1381" s="52" t="s">
        <v>26</v>
      </c>
      <c r="G1381" s="53"/>
    </row>
    <row r="1382">
      <c r="A1382" s="49">
        <v>44709.188720798615</v>
      </c>
      <c r="B1382" s="50">
        <v>44709.3136928125</v>
      </c>
      <c r="C1382" s="51">
        <v>1.025</v>
      </c>
      <c r="D1382" s="51">
        <v>69.0</v>
      </c>
      <c r="E1382" s="52" t="s">
        <v>25</v>
      </c>
      <c r="F1382" s="52" t="s">
        <v>26</v>
      </c>
      <c r="G1382" s="53"/>
    </row>
    <row r="1383">
      <c r="A1383" s="49">
        <v>44709.19915372685</v>
      </c>
      <c r="B1383" s="50">
        <v>44709.3241267708</v>
      </c>
      <c r="C1383" s="51">
        <v>1.025</v>
      </c>
      <c r="D1383" s="51">
        <v>70.0</v>
      </c>
      <c r="E1383" s="52" t="s">
        <v>25</v>
      </c>
      <c r="F1383" s="52" t="s">
        <v>26</v>
      </c>
      <c r="G1383" s="53"/>
    </row>
    <row r="1384">
      <c r="A1384" s="49">
        <v>44709.20957607639</v>
      </c>
      <c r="B1384" s="50">
        <v>44709.3345487268</v>
      </c>
      <c r="C1384" s="51">
        <v>1.025</v>
      </c>
      <c r="D1384" s="51">
        <v>69.0</v>
      </c>
      <c r="E1384" s="52" t="s">
        <v>25</v>
      </c>
      <c r="F1384" s="52" t="s">
        <v>26</v>
      </c>
      <c r="G1384" s="53"/>
    </row>
    <row r="1385">
      <c r="A1385" s="49">
        <v>44709.21998980324</v>
      </c>
      <c r="B1385" s="50">
        <v>44709.3449696412</v>
      </c>
      <c r="C1385" s="51">
        <v>1.025</v>
      </c>
      <c r="D1385" s="51">
        <v>70.0</v>
      </c>
      <c r="E1385" s="52" t="s">
        <v>25</v>
      </c>
      <c r="F1385" s="52" t="s">
        <v>26</v>
      </c>
      <c r="G1385" s="53"/>
    </row>
    <row r="1386">
      <c r="A1386" s="49">
        <v>44709.23040775463</v>
      </c>
      <c r="B1386" s="50">
        <v>44709.3553903356</v>
      </c>
      <c r="C1386" s="51">
        <v>1.025</v>
      </c>
      <c r="D1386" s="51">
        <v>69.0</v>
      </c>
      <c r="E1386" s="52" t="s">
        <v>25</v>
      </c>
      <c r="F1386" s="52" t="s">
        <v>26</v>
      </c>
      <c r="G1386" s="53"/>
    </row>
    <row r="1387">
      <c r="A1387" s="49">
        <v>44709.240857916666</v>
      </c>
      <c r="B1387" s="50">
        <v>44709.3658335648</v>
      </c>
      <c r="C1387" s="51">
        <v>1.025</v>
      </c>
      <c r="D1387" s="51">
        <v>70.0</v>
      </c>
      <c r="E1387" s="52" t="s">
        <v>25</v>
      </c>
      <c r="F1387" s="52" t="s">
        <v>26</v>
      </c>
      <c r="G1387" s="53"/>
    </row>
    <row r="1388">
      <c r="A1388" s="49">
        <v>44709.2512737037</v>
      </c>
      <c r="B1388" s="50">
        <v>44709.3762535995</v>
      </c>
      <c r="C1388" s="51">
        <v>1.025</v>
      </c>
      <c r="D1388" s="51">
        <v>70.0</v>
      </c>
      <c r="E1388" s="52" t="s">
        <v>25</v>
      </c>
      <c r="F1388" s="52" t="s">
        <v>26</v>
      </c>
      <c r="G1388" s="53"/>
    </row>
    <row r="1389">
      <c r="A1389" s="49">
        <v>44709.26170614583</v>
      </c>
      <c r="B1389" s="50">
        <v>44709.3866741203</v>
      </c>
      <c r="C1389" s="51">
        <v>1.025</v>
      </c>
      <c r="D1389" s="51">
        <v>70.0</v>
      </c>
      <c r="E1389" s="52" t="s">
        <v>25</v>
      </c>
      <c r="F1389" s="52" t="s">
        <v>26</v>
      </c>
      <c r="G1389" s="53"/>
    </row>
    <row r="1390">
      <c r="A1390" s="49">
        <v>44709.27212354167</v>
      </c>
      <c r="B1390" s="50">
        <v>44709.3970954745</v>
      </c>
      <c r="C1390" s="51">
        <v>1.024</v>
      </c>
      <c r="D1390" s="51">
        <v>70.0</v>
      </c>
      <c r="E1390" s="52" t="s">
        <v>25</v>
      </c>
      <c r="F1390" s="52" t="s">
        <v>26</v>
      </c>
      <c r="G1390" s="53"/>
    </row>
    <row r="1391">
      <c r="A1391" s="49">
        <v>44709.28254494213</v>
      </c>
      <c r="B1391" s="50">
        <v>44709.4075174768</v>
      </c>
      <c r="C1391" s="51">
        <v>1.024</v>
      </c>
      <c r="D1391" s="51">
        <v>70.0</v>
      </c>
      <c r="E1391" s="52" t="s">
        <v>25</v>
      </c>
      <c r="F1391" s="52" t="s">
        <v>26</v>
      </c>
      <c r="G1391" s="53"/>
    </row>
    <row r="1392">
      <c r="A1392" s="49">
        <v>44709.29297708333</v>
      </c>
      <c r="B1392" s="50">
        <v>44709.4179498958</v>
      </c>
      <c r="C1392" s="51">
        <v>1.024</v>
      </c>
      <c r="D1392" s="51">
        <v>70.0</v>
      </c>
      <c r="E1392" s="52" t="s">
        <v>25</v>
      </c>
      <c r="F1392" s="52" t="s">
        <v>26</v>
      </c>
      <c r="G1392" s="53"/>
    </row>
    <row r="1393">
      <c r="A1393" s="49">
        <v>44709.303413553236</v>
      </c>
      <c r="B1393" s="50">
        <v>44709.4283815277</v>
      </c>
      <c r="C1393" s="51">
        <v>1.025</v>
      </c>
      <c r="D1393" s="51">
        <v>70.0</v>
      </c>
      <c r="E1393" s="52" t="s">
        <v>25</v>
      </c>
      <c r="F1393" s="52" t="s">
        <v>26</v>
      </c>
      <c r="G1393" s="53"/>
    </row>
    <row r="1394">
      <c r="A1394" s="49">
        <v>44709.31383005787</v>
      </c>
      <c r="B1394" s="50">
        <v>44709.4388029166</v>
      </c>
      <c r="C1394" s="51">
        <v>1.024</v>
      </c>
      <c r="D1394" s="51">
        <v>70.0</v>
      </c>
      <c r="E1394" s="52" t="s">
        <v>25</v>
      </c>
      <c r="F1394" s="52" t="s">
        <v>26</v>
      </c>
      <c r="G1394" s="53"/>
    </row>
    <row r="1395">
      <c r="A1395" s="49">
        <v>44709.32425733796</v>
      </c>
      <c r="B1395" s="50">
        <v>44709.4492344907</v>
      </c>
      <c r="C1395" s="51">
        <v>1.024</v>
      </c>
      <c r="D1395" s="51">
        <v>69.0</v>
      </c>
      <c r="E1395" s="52" t="s">
        <v>25</v>
      </c>
      <c r="F1395" s="52" t="s">
        <v>26</v>
      </c>
      <c r="G1395" s="53"/>
    </row>
    <row r="1396">
      <c r="A1396" s="49">
        <v>44709.33468422454</v>
      </c>
      <c r="B1396" s="50">
        <v>44709.4596548379</v>
      </c>
      <c r="C1396" s="51">
        <v>1.024</v>
      </c>
      <c r="D1396" s="51">
        <v>70.0</v>
      </c>
      <c r="E1396" s="52" t="s">
        <v>25</v>
      </c>
      <c r="F1396" s="52" t="s">
        <v>26</v>
      </c>
      <c r="G1396" s="53"/>
    </row>
    <row r="1397">
      <c r="A1397" s="49">
        <v>44709.345110752314</v>
      </c>
      <c r="B1397" s="50">
        <v>44709.4700874884</v>
      </c>
      <c r="C1397" s="51">
        <v>1.024</v>
      </c>
      <c r="D1397" s="51">
        <v>70.0</v>
      </c>
      <c r="E1397" s="52" t="s">
        <v>25</v>
      </c>
      <c r="F1397" s="52" t="s">
        <v>26</v>
      </c>
      <c r="G1397" s="53"/>
    </row>
    <row r="1398">
      <c r="A1398" s="49">
        <v>44709.35552631944</v>
      </c>
      <c r="B1398" s="50">
        <v>44709.4805083796</v>
      </c>
      <c r="C1398" s="51">
        <v>1.024</v>
      </c>
      <c r="D1398" s="51">
        <v>70.0</v>
      </c>
      <c r="E1398" s="52" t="s">
        <v>25</v>
      </c>
      <c r="F1398" s="52" t="s">
        <v>26</v>
      </c>
      <c r="G1398" s="53"/>
    </row>
    <row r="1399">
      <c r="A1399" s="49">
        <v>44709.36595872685</v>
      </c>
      <c r="B1399" s="50">
        <v>44709.4909302083</v>
      </c>
      <c r="C1399" s="51">
        <v>1.024</v>
      </c>
      <c r="D1399" s="51">
        <v>70.0</v>
      </c>
      <c r="E1399" s="52" t="s">
        <v>25</v>
      </c>
      <c r="F1399" s="52" t="s">
        <v>26</v>
      </c>
      <c r="G1399" s="53"/>
    </row>
    <row r="1400">
      <c r="A1400" s="49">
        <v>44709.37637819444</v>
      </c>
      <c r="B1400" s="50">
        <v>44709.5013512037</v>
      </c>
      <c r="C1400" s="51">
        <v>1.024</v>
      </c>
      <c r="D1400" s="51">
        <v>70.0</v>
      </c>
      <c r="E1400" s="52" t="s">
        <v>25</v>
      </c>
      <c r="F1400" s="52" t="s">
        <v>26</v>
      </c>
      <c r="G1400" s="53"/>
    </row>
    <row r="1401">
      <c r="A1401" s="49">
        <v>44709.386807546296</v>
      </c>
      <c r="B1401" s="50">
        <v>44709.5117834722</v>
      </c>
      <c r="C1401" s="51">
        <v>1.024</v>
      </c>
      <c r="D1401" s="51">
        <v>70.0</v>
      </c>
      <c r="E1401" s="52" t="s">
        <v>25</v>
      </c>
      <c r="F1401" s="52" t="s">
        <v>26</v>
      </c>
      <c r="G1401" s="53"/>
    </row>
    <row r="1402">
      <c r="A1402" s="49">
        <v>44709.39722387731</v>
      </c>
      <c r="B1402" s="50">
        <v>44709.5222055787</v>
      </c>
      <c r="C1402" s="51">
        <v>1.024</v>
      </c>
      <c r="D1402" s="51">
        <v>70.0</v>
      </c>
      <c r="E1402" s="52" t="s">
        <v>25</v>
      </c>
      <c r="F1402" s="52" t="s">
        <v>26</v>
      </c>
      <c r="G1402" s="53"/>
    </row>
    <row r="1403">
      <c r="A1403" s="49">
        <v>44709.40765042824</v>
      </c>
      <c r="B1403" s="50">
        <v>44709.5326247222</v>
      </c>
      <c r="C1403" s="51">
        <v>1.024</v>
      </c>
      <c r="D1403" s="51">
        <v>70.0</v>
      </c>
      <c r="E1403" s="52" t="s">
        <v>25</v>
      </c>
      <c r="F1403" s="52" t="s">
        <v>26</v>
      </c>
      <c r="G1403" s="53"/>
    </row>
    <row r="1404">
      <c r="A1404" s="49">
        <v>44709.4180680787</v>
      </c>
      <c r="B1404" s="50">
        <v>44709.5430457986</v>
      </c>
      <c r="C1404" s="51">
        <v>1.024</v>
      </c>
      <c r="D1404" s="51">
        <v>70.0</v>
      </c>
      <c r="E1404" s="52" t="s">
        <v>25</v>
      </c>
      <c r="F1404" s="52" t="s">
        <v>26</v>
      </c>
      <c r="G1404" s="53"/>
    </row>
    <row r="1405">
      <c r="A1405" s="49">
        <v>44709.428505324075</v>
      </c>
      <c r="B1405" s="50">
        <v>44709.5534686226</v>
      </c>
      <c r="C1405" s="51">
        <v>1.024</v>
      </c>
      <c r="D1405" s="51">
        <v>70.0</v>
      </c>
      <c r="E1405" s="52" t="s">
        <v>25</v>
      </c>
      <c r="F1405" s="52" t="s">
        <v>26</v>
      </c>
      <c r="G1405" s="53"/>
    </row>
    <row r="1406">
      <c r="A1406" s="49">
        <v>44709.438913460646</v>
      </c>
      <c r="B1406" s="50">
        <v>44709.5638885532</v>
      </c>
      <c r="C1406" s="51">
        <v>1.024</v>
      </c>
      <c r="D1406" s="51">
        <v>69.0</v>
      </c>
      <c r="E1406" s="52" t="s">
        <v>25</v>
      </c>
      <c r="F1406" s="52" t="s">
        <v>26</v>
      </c>
      <c r="G1406" s="53"/>
    </row>
    <row r="1407">
      <c r="A1407" s="49">
        <v>44709.44933634259</v>
      </c>
      <c r="B1407" s="50">
        <v>44709.5743085648</v>
      </c>
      <c r="C1407" s="51">
        <v>1.024</v>
      </c>
      <c r="D1407" s="51">
        <v>68.0</v>
      </c>
      <c r="E1407" s="52" t="s">
        <v>25</v>
      </c>
      <c r="F1407" s="52" t="s">
        <v>26</v>
      </c>
      <c r="G1407" s="53"/>
    </row>
    <row r="1408">
      <c r="A1408" s="49">
        <v>44709.45975829861</v>
      </c>
      <c r="B1408" s="50">
        <v>44709.5847290046</v>
      </c>
      <c r="C1408" s="51">
        <v>1.024</v>
      </c>
      <c r="D1408" s="51">
        <v>67.0</v>
      </c>
      <c r="E1408" s="52" t="s">
        <v>25</v>
      </c>
      <c r="F1408" s="52" t="s">
        <v>26</v>
      </c>
      <c r="G1408" s="53"/>
    </row>
    <row r="1409">
      <c r="A1409" s="49">
        <v>44709.47018363426</v>
      </c>
      <c r="B1409" s="50">
        <v>44709.5951504051</v>
      </c>
      <c r="C1409" s="51">
        <v>1.024</v>
      </c>
      <c r="D1409" s="51">
        <v>67.0</v>
      </c>
      <c r="E1409" s="52" t="s">
        <v>25</v>
      </c>
      <c r="F1409" s="52" t="s">
        <v>26</v>
      </c>
      <c r="G1409" s="53"/>
    </row>
    <row r="1410">
      <c r="A1410" s="49">
        <v>44709.4805946875</v>
      </c>
      <c r="B1410" s="50">
        <v>44709.6055729745</v>
      </c>
      <c r="C1410" s="51">
        <v>1.024</v>
      </c>
      <c r="D1410" s="51">
        <v>66.0</v>
      </c>
      <c r="E1410" s="52" t="s">
        <v>25</v>
      </c>
      <c r="F1410" s="52" t="s">
        <v>26</v>
      </c>
      <c r="G1410" s="53"/>
    </row>
    <row r="1411">
      <c r="A1411" s="49">
        <v>44709.491018796296</v>
      </c>
      <c r="B1411" s="50">
        <v>44709.6159936921</v>
      </c>
      <c r="C1411" s="51">
        <v>1.024</v>
      </c>
      <c r="D1411" s="51">
        <v>66.0</v>
      </c>
      <c r="E1411" s="52" t="s">
        <v>25</v>
      </c>
      <c r="F1411" s="52" t="s">
        <v>26</v>
      </c>
      <c r="G1411" s="53"/>
    </row>
    <row r="1412">
      <c r="A1412" s="49">
        <v>44709.50144071759</v>
      </c>
      <c r="B1412" s="50">
        <v>44709.626413993</v>
      </c>
      <c r="C1412" s="51">
        <v>1.024</v>
      </c>
      <c r="D1412" s="51">
        <v>66.0</v>
      </c>
      <c r="E1412" s="52" t="s">
        <v>25</v>
      </c>
      <c r="F1412" s="52" t="s">
        <v>26</v>
      </c>
      <c r="G1412" s="53"/>
    </row>
    <row r="1413">
      <c r="A1413" s="49">
        <v>44709.5118728588</v>
      </c>
      <c r="B1413" s="50">
        <v>44709.6368452546</v>
      </c>
      <c r="C1413" s="51">
        <v>1.024</v>
      </c>
      <c r="D1413" s="51">
        <v>66.0</v>
      </c>
      <c r="E1413" s="52" t="s">
        <v>25</v>
      </c>
      <c r="F1413" s="52" t="s">
        <v>26</v>
      </c>
      <c r="G1413" s="53"/>
    </row>
    <row r="1414">
      <c r="A1414" s="49">
        <v>44709.52229537037</v>
      </c>
      <c r="B1414" s="50">
        <v>44709.6472772222</v>
      </c>
      <c r="C1414" s="51">
        <v>1.024</v>
      </c>
      <c r="D1414" s="51">
        <v>66.0</v>
      </c>
      <c r="E1414" s="52" t="s">
        <v>25</v>
      </c>
      <c r="F1414" s="52" t="s">
        <v>26</v>
      </c>
      <c r="G1414" s="53"/>
    </row>
    <row r="1415">
      <c r="A1415" s="49">
        <v>44709.53273399305</v>
      </c>
      <c r="B1415" s="50">
        <v>44709.6577083217</v>
      </c>
      <c r="C1415" s="51">
        <v>1.024</v>
      </c>
      <c r="D1415" s="51">
        <v>66.0</v>
      </c>
      <c r="E1415" s="52" t="s">
        <v>25</v>
      </c>
      <c r="F1415" s="52" t="s">
        <v>26</v>
      </c>
      <c r="G1415" s="53"/>
    </row>
    <row r="1416">
      <c r="A1416" s="49">
        <v>44709.54314795139</v>
      </c>
      <c r="B1416" s="50">
        <v>44709.6681289583</v>
      </c>
      <c r="C1416" s="51">
        <v>1.024</v>
      </c>
      <c r="D1416" s="51">
        <v>66.0</v>
      </c>
      <c r="E1416" s="52" t="s">
        <v>25</v>
      </c>
      <c r="F1416" s="52" t="s">
        <v>26</v>
      </c>
      <c r="G1416" s="53"/>
    </row>
    <row r="1417">
      <c r="A1417" s="49">
        <v>44709.55356962963</v>
      </c>
      <c r="B1417" s="50">
        <v>44709.678550868</v>
      </c>
      <c r="C1417" s="51">
        <v>1.024</v>
      </c>
      <c r="D1417" s="51">
        <v>66.0</v>
      </c>
      <c r="E1417" s="52" t="s">
        <v>25</v>
      </c>
      <c r="F1417" s="52" t="s">
        <v>26</v>
      </c>
      <c r="G1417" s="53"/>
    </row>
    <row r="1418">
      <c r="A1418" s="49">
        <v>44709.56400672454</v>
      </c>
      <c r="B1418" s="50">
        <v>44709.688981655</v>
      </c>
      <c r="C1418" s="51">
        <v>1.024</v>
      </c>
      <c r="D1418" s="51">
        <v>66.0</v>
      </c>
      <c r="E1418" s="52" t="s">
        <v>25</v>
      </c>
      <c r="F1418" s="52" t="s">
        <v>26</v>
      </c>
      <c r="G1418" s="53"/>
    </row>
    <row r="1419">
      <c r="A1419" s="49">
        <v>44709.574425011575</v>
      </c>
      <c r="B1419" s="50">
        <v>44709.6994033101</v>
      </c>
      <c r="C1419" s="51">
        <v>1.024</v>
      </c>
      <c r="D1419" s="51">
        <v>66.0</v>
      </c>
      <c r="E1419" s="52" t="s">
        <v>25</v>
      </c>
      <c r="F1419" s="52" t="s">
        <v>26</v>
      </c>
      <c r="G1419" s="53"/>
    </row>
    <row r="1420">
      <c r="A1420" s="49">
        <v>44709.584841585645</v>
      </c>
      <c r="B1420" s="50">
        <v>44709.7098239583</v>
      </c>
      <c r="C1420" s="51">
        <v>1.024</v>
      </c>
      <c r="D1420" s="51">
        <v>65.0</v>
      </c>
      <c r="E1420" s="52" t="s">
        <v>25</v>
      </c>
      <c r="F1420" s="52" t="s">
        <v>26</v>
      </c>
      <c r="G1420" s="53"/>
    </row>
    <row r="1421">
      <c r="A1421" s="49">
        <v>44709.59528581018</v>
      </c>
      <c r="B1421" s="50">
        <v>44709.7202575347</v>
      </c>
      <c r="C1421" s="51">
        <v>1.024</v>
      </c>
      <c r="D1421" s="51">
        <v>65.0</v>
      </c>
      <c r="E1421" s="52" t="s">
        <v>25</v>
      </c>
      <c r="F1421" s="52" t="s">
        <v>26</v>
      </c>
      <c r="G1421" s="53"/>
    </row>
    <row r="1422">
      <c r="A1422" s="49">
        <v>44709.60572449074</v>
      </c>
      <c r="B1422" s="50">
        <v>44709.7306793287</v>
      </c>
      <c r="C1422" s="51">
        <v>1.024</v>
      </c>
      <c r="D1422" s="51">
        <v>65.0</v>
      </c>
      <c r="E1422" s="52" t="s">
        <v>25</v>
      </c>
      <c r="F1422" s="52" t="s">
        <v>26</v>
      </c>
      <c r="G1422" s="53"/>
    </row>
    <row r="1423">
      <c r="A1423" s="49">
        <v>44709.616130208335</v>
      </c>
      <c r="B1423" s="50">
        <v>44709.7411017476</v>
      </c>
      <c r="C1423" s="51">
        <v>1.024</v>
      </c>
      <c r="D1423" s="51">
        <v>65.0</v>
      </c>
      <c r="E1423" s="52" t="s">
        <v>25</v>
      </c>
      <c r="F1423" s="52" t="s">
        <v>26</v>
      </c>
      <c r="G1423" s="53"/>
    </row>
    <row r="1424">
      <c r="A1424" s="49">
        <v>44709.62654203703</v>
      </c>
      <c r="B1424" s="50">
        <v>44709.7515234606</v>
      </c>
      <c r="C1424" s="51">
        <v>1.024</v>
      </c>
      <c r="D1424" s="51">
        <v>65.0</v>
      </c>
      <c r="E1424" s="52" t="s">
        <v>25</v>
      </c>
      <c r="F1424" s="52" t="s">
        <v>26</v>
      </c>
      <c r="G1424" s="53"/>
    </row>
    <row r="1425">
      <c r="A1425" s="49">
        <v>44709.63697907407</v>
      </c>
      <c r="B1425" s="50">
        <v>44709.7619556481</v>
      </c>
      <c r="C1425" s="51">
        <v>1.024</v>
      </c>
      <c r="D1425" s="51">
        <v>65.0</v>
      </c>
      <c r="E1425" s="52" t="s">
        <v>25</v>
      </c>
      <c r="F1425" s="52" t="s">
        <v>26</v>
      </c>
      <c r="G1425" s="53"/>
    </row>
    <row r="1426">
      <c r="A1426" s="49">
        <v>44709.64742311343</v>
      </c>
      <c r="B1426" s="50">
        <v>44709.7724004513</v>
      </c>
      <c r="C1426" s="51">
        <v>1.024</v>
      </c>
      <c r="D1426" s="51">
        <v>65.0</v>
      </c>
      <c r="E1426" s="52" t="s">
        <v>25</v>
      </c>
      <c r="F1426" s="52" t="s">
        <v>26</v>
      </c>
      <c r="G1426" s="53"/>
    </row>
    <row r="1427">
      <c r="A1427" s="49">
        <v>44709.65785149306</v>
      </c>
      <c r="B1427" s="50">
        <v>44709.7828220254</v>
      </c>
      <c r="C1427" s="51">
        <v>1.024</v>
      </c>
      <c r="D1427" s="51">
        <v>65.0</v>
      </c>
      <c r="E1427" s="52" t="s">
        <v>25</v>
      </c>
      <c r="F1427" s="52" t="s">
        <v>26</v>
      </c>
      <c r="G1427" s="53"/>
    </row>
    <row r="1428">
      <c r="A1428" s="49">
        <v>44709.668305162035</v>
      </c>
      <c r="B1428" s="50">
        <v>44709.7932780439</v>
      </c>
      <c r="C1428" s="51">
        <v>1.024</v>
      </c>
      <c r="D1428" s="51">
        <v>65.0</v>
      </c>
      <c r="E1428" s="52" t="s">
        <v>25</v>
      </c>
      <c r="F1428" s="52" t="s">
        <v>26</v>
      </c>
      <c r="G1428" s="53"/>
    </row>
    <row r="1429">
      <c r="A1429" s="49">
        <v>44709.67873143518</v>
      </c>
      <c r="B1429" s="50">
        <v>44709.803698368</v>
      </c>
      <c r="C1429" s="51">
        <v>1.024</v>
      </c>
      <c r="D1429" s="51">
        <v>65.0</v>
      </c>
      <c r="E1429" s="52" t="s">
        <v>25</v>
      </c>
      <c r="F1429" s="52" t="s">
        <v>26</v>
      </c>
      <c r="G1429" s="53"/>
    </row>
    <row r="1430">
      <c r="A1430" s="49">
        <v>44709.689156354165</v>
      </c>
      <c r="B1430" s="50">
        <v>44709.8141333912</v>
      </c>
      <c r="C1430" s="51">
        <v>1.024</v>
      </c>
      <c r="D1430" s="51">
        <v>65.0</v>
      </c>
      <c r="E1430" s="52" t="s">
        <v>25</v>
      </c>
      <c r="F1430" s="52" t="s">
        <v>26</v>
      </c>
      <c r="G1430" s="53"/>
    </row>
    <row r="1431">
      <c r="A1431" s="49">
        <v>44709.699586331015</v>
      </c>
      <c r="B1431" s="50">
        <v>44709.824555787</v>
      </c>
      <c r="C1431" s="51">
        <v>1.024</v>
      </c>
      <c r="D1431" s="51">
        <v>65.0</v>
      </c>
      <c r="E1431" s="52" t="s">
        <v>25</v>
      </c>
      <c r="F1431" s="52" t="s">
        <v>26</v>
      </c>
      <c r="G1431" s="53"/>
    </row>
    <row r="1432">
      <c r="A1432" s="49">
        <v>44709.71000407408</v>
      </c>
      <c r="B1432" s="50">
        <v>44709.8349774305</v>
      </c>
      <c r="C1432" s="51">
        <v>1.024</v>
      </c>
      <c r="D1432" s="51">
        <v>65.0</v>
      </c>
      <c r="E1432" s="52" t="s">
        <v>25</v>
      </c>
      <c r="F1432" s="52" t="s">
        <v>26</v>
      </c>
      <c r="G1432" s="53"/>
    </row>
    <row r="1433">
      <c r="A1433" s="49">
        <v>44709.72042622685</v>
      </c>
      <c r="B1433" s="50">
        <v>44709.8454001504</v>
      </c>
      <c r="C1433" s="51">
        <v>1.024</v>
      </c>
      <c r="D1433" s="51">
        <v>66.0</v>
      </c>
      <c r="E1433" s="52" t="s">
        <v>25</v>
      </c>
      <c r="F1433" s="52" t="s">
        <v>26</v>
      </c>
      <c r="G1433" s="53"/>
    </row>
    <row r="1434">
      <c r="A1434" s="49">
        <v>44709.730846921295</v>
      </c>
      <c r="B1434" s="50">
        <v>44709.855822199</v>
      </c>
      <c r="C1434" s="51">
        <v>1.024</v>
      </c>
      <c r="D1434" s="51">
        <v>66.0</v>
      </c>
      <c r="E1434" s="52" t="s">
        <v>25</v>
      </c>
      <c r="F1434" s="52" t="s">
        <v>26</v>
      </c>
      <c r="G1434" s="53"/>
    </row>
    <row r="1435">
      <c r="A1435" s="49">
        <v>44709.74130707176</v>
      </c>
      <c r="B1435" s="50">
        <v>44709.8662789351</v>
      </c>
      <c r="C1435" s="51">
        <v>1.024</v>
      </c>
      <c r="D1435" s="51">
        <v>66.0</v>
      </c>
      <c r="E1435" s="52" t="s">
        <v>25</v>
      </c>
      <c r="F1435" s="52" t="s">
        <v>26</v>
      </c>
      <c r="G1435" s="53"/>
    </row>
    <row r="1436">
      <c r="A1436" s="49">
        <v>44709.75175040509</v>
      </c>
      <c r="B1436" s="50">
        <v>44709.8767239236</v>
      </c>
      <c r="C1436" s="51">
        <v>1.024</v>
      </c>
      <c r="D1436" s="51">
        <v>66.0</v>
      </c>
      <c r="E1436" s="52" t="s">
        <v>25</v>
      </c>
      <c r="F1436" s="52" t="s">
        <v>26</v>
      </c>
      <c r="G1436" s="53"/>
    </row>
    <row r="1437">
      <c r="A1437" s="49">
        <v>44709.76219015046</v>
      </c>
      <c r="B1437" s="50">
        <v>44709.8871681365</v>
      </c>
      <c r="C1437" s="51">
        <v>1.024</v>
      </c>
      <c r="D1437" s="51">
        <v>66.0</v>
      </c>
      <c r="E1437" s="52" t="s">
        <v>25</v>
      </c>
      <c r="F1437" s="52" t="s">
        <v>26</v>
      </c>
      <c r="G1437" s="53"/>
    </row>
    <row r="1438">
      <c r="A1438" s="49">
        <v>44709.77262371528</v>
      </c>
      <c r="B1438" s="50">
        <v>44709.8976006828</v>
      </c>
      <c r="C1438" s="51">
        <v>1.024</v>
      </c>
      <c r="D1438" s="51">
        <v>66.0</v>
      </c>
      <c r="E1438" s="52" t="s">
        <v>25</v>
      </c>
      <c r="F1438" s="52" t="s">
        <v>26</v>
      </c>
      <c r="G1438" s="53"/>
    </row>
    <row r="1439">
      <c r="A1439" s="49">
        <v>44709.78305893519</v>
      </c>
      <c r="B1439" s="50">
        <v>44709.9080343055</v>
      </c>
      <c r="C1439" s="51">
        <v>1.024</v>
      </c>
      <c r="D1439" s="51">
        <v>66.0</v>
      </c>
      <c r="E1439" s="52" t="s">
        <v>25</v>
      </c>
      <c r="F1439" s="52" t="s">
        <v>26</v>
      </c>
      <c r="G1439" s="53"/>
    </row>
    <row r="1440">
      <c r="A1440" s="49">
        <v>44709.7934900463</v>
      </c>
      <c r="B1440" s="50">
        <v>44709.9184553935</v>
      </c>
      <c r="C1440" s="51">
        <v>1.024</v>
      </c>
      <c r="D1440" s="51">
        <v>66.0</v>
      </c>
      <c r="E1440" s="52" t="s">
        <v>25</v>
      </c>
      <c r="F1440" s="52" t="s">
        <v>26</v>
      </c>
      <c r="G1440" s="53"/>
    </row>
    <row r="1441">
      <c r="A1441" s="49">
        <v>44709.8039096875</v>
      </c>
      <c r="B1441" s="50">
        <v>44709.9288774189</v>
      </c>
      <c r="C1441" s="51">
        <v>1.023</v>
      </c>
      <c r="D1441" s="51">
        <v>66.0</v>
      </c>
      <c r="E1441" s="52" t="s">
        <v>25</v>
      </c>
      <c r="F1441" s="52" t="s">
        <v>26</v>
      </c>
      <c r="G1441" s="53"/>
    </row>
    <row r="1442">
      <c r="A1442" s="49">
        <v>44709.81432815972</v>
      </c>
      <c r="B1442" s="50">
        <v>44709.9392993402</v>
      </c>
      <c r="C1442" s="51">
        <v>1.024</v>
      </c>
      <c r="D1442" s="51">
        <v>66.0</v>
      </c>
      <c r="E1442" s="52" t="s">
        <v>25</v>
      </c>
      <c r="F1442" s="52" t="s">
        <v>26</v>
      </c>
      <c r="G1442" s="53"/>
    </row>
    <row r="1443">
      <c r="A1443" s="49">
        <v>44709.82476120371</v>
      </c>
      <c r="B1443" s="50">
        <v>44709.9497332291</v>
      </c>
      <c r="C1443" s="51">
        <v>1.024</v>
      </c>
      <c r="D1443" s="51">
        <v>66.0</v>
      </c>
      <c r="E1443" s="52" t="s">
        <v>25</v>
      </c>
      <c r="F1443" s="52" t="s">
        <v>26</v>
      </c>
      <c r="G1443" s="53"/>
    </row>
    <row r="1444">
      <c r="A1444" s="49">
        <v>44709.83518047453</v>
      </c>
      <c r="B1444" s="50">
        <v>44709.9601547106</v>
      </c>
      <c r="C1444" s="51">
        <v>1.023</v>
      </c>
      <c r="D1444" s="51">
        <v>66.0</v>
      </c>
      <c r="E1444" s="52" t="s">
        <v>25</v>
      </c>
      <c r="F1444" s="52" t="s">
        <v>26</v>
      </c>
      <c r="G1444" s="53"/>
    </row>
    <row r="1445">
      <c r="A1445" s="49">
        <v>44709.8456102662</v>
      </c>
      <c r="B1445" s="50">
        <v>44709.9705864004</v>
      </c>
      <c r="C1445" s="51">
        <v>1.023</v>
      </c>
      <c r="D1445" s="51">
        <v>66.0</v>
      </c>
      <c r="E1445" s="52" t="s">
        <v>25</v>
      </c>
      <c r="F1445" s="52" t="s">
        <v>26</v>
      </c>
      <c r="G1445" s="53"/>
    </row>
    <row r="1446">
      <c r="A1446" s="49">
        <v>44709.85604554398</v>
      </c>
      <c r="B1446" s="50">
        <v>44709.9810186226</v>
      </c>
      <c r="C1446" s="51">
        <v>1.024</v>
      </c>
      <c r="D1446" s="51">
        <v>66.0</v>
      </c>
      <c r="E1446" s="52" t="s">
        <v>25</v>
      </c>
      <c r="F1446" s="52" t="s">
        <v>26</v>
      </c>
      <c r="G1446" s="53"/>
    </row>
    <row r="1447">
      <c r="A1447" s="49">
        <v>44709.86646422454</v>
      </c>
      <c r="B1447" s="50">
        <v>44709.99143853</v>
      </c>
      <c r="C1447" s="51">
        <v>1.023</v>
      </c>
      <c r="D1447" s="51">
        <v>66.0</v>
      </c>
      <c r="E1447" s="52" t="s">
        <v>25</v>
      </c>
      <c r="F1447" s="52" t="s">
        <v>26</v>
      </c>
      <c r="G1447" s="53"/>
    </row>
    <row r="1448">
      <c r="A1448" s="49">
        <v>44709.87687579861</v>
      </c>
      <c r="B1448" s="50">
        <v>44710.0018601851</v>
      </c>
      <c r="C1448" s="51">
        <v>1.024</v>
      </c>
      <c r="D1448" s="51">
        <v>66.0</v>
      </c>
      <c r="E1448" s="52" t="s">
        <v>25</v>
      </c>
      <c r="F1448" s="52" t="s">
        <v>26</v>
      </c>
      <c r="G1448" s="53"/>
    </row>
    <row r="1449">
      <c r="A1449" s="49">
        <v>44709.887296712965</v>
      </c>
      <c r="B1449" s="50">
        <v>44710.0122811689</v>
      </c>
      <c r="C1449" s="51">
        <v>1.023</v>
      </c>
      <c r="D1449" s="51">
        <v>66.0</v>
      </c>
      <c r="E1449" s="52" t="s">
        <v>25</v>
      </c>
      <c r="F1449" s="52" t="s">
        <v>26</v>
      </c>
      <c r="G1449" s="53"/>
    </row>
    <row r="1450">
      <c r="A1450" s="49">
        <v>44709.897729351855</v>
      </c>
      <c r="B1450" s="50">
        <v>44710.0227053935</v>
      </c>
      <c r="C1450" s="51">
        <v>1.023</v>
      </c>
      <c r="D1450" s="51">
        <v>66.0</v>
      </c>
      <c r="E1450" s="52" t="s">
        <v>25</v>
      </c>
      <c r="F1450" s="52" t="s">
        <v>26</v>
      </c>
      <c r="G1450" s="53"/>
    </row>
    <row r="1451">
      <c r="A1451" s="49">
        <v>44709.90816086806</v>
      </c>
      <c r="B1451" s="50">
        <v>44710.0331382754</v>
      </c>
      <c r="C1451" s="51">
        <v>1.023</v>
      </c>
      <c r="D1451" s="51">
        <v>66.0</v>
      </c>
      <c r="E1451" s="52" t="s">
        <v>25</v>
      </c>
      <c r="F1451" s="52" t="s">
        <v>26</v>
      </c>
      <c r="G1451" s="53"/>
    </row>
    <row r="1452">
      <c r="A1452" s="49">
        <v>44709.91858873842</v>
      </c>
      <c r="B1452" s="50">
        <v>44710.0435722916</v>
      </c>
      <c r="C1452" s="51">
        <v>1.023</v>
      </c>
      <c r="D1452" s="51">
        <v>66.0</v>
      </c>
      <c r="E1452" s="52" t="s">
        <v>25</v>
      </c>
      <c r="F1452" s="52" t="s">
        <v>26</v>
      </c>
      <c r="G1452" s="53"/>
    </row>
    <row r="1453">
      <c r="A1453" s="49">
        <v>44709.92902189815</v>
      </c>
      <c r="B1453" s="50">
        <v>44710.0539935763</v>
      </c>
      <c r="C1453" s="51">
        <v>1.023</v>
      </c>
      <c r="D1453" s="51">
        <v>66.0</v>
      </c>
      <c r="E1453" s="52" t="s">
        <v>25</v>
      </c>
      <c r="F1453" s="52" t="s">
        <v>26</v>
      </c>
      <c r="G1453" s="53"/>
    </row>
    <row r="1454">
      <c r="A1454" s="49">
        <v>44709.939454340274</v>
      </c>
      <c r="B1454" s="50">
        <v>44710.0644256713</v>
      </c>
      <c r="C1454" s="51">
        <v>1.023</v>
      </c>
      <c r="D1454" s="51">
        <v>66.0</v>
      </c>
      <c r="E1454" s="52" t="s">
        <v>25</v>
      </c>
      <c r="F1454" s="52" t="s">
        <v>26</v>
      </c>
      <c r="G1454" s="53"/>
    </row>
    <row r="1455">
      <c r="A1455" s="49">
        <v>44709.94987261574</v>
      </c>
      <c r="B1455" s="50">
        <v>44710.0748474884</v>
      </c>
      <c r="C1455" s="51">
        <v>1.023</v>
      </c>
      <c r="D1455" s="51">
        <v>66.0</v>
      </c>
      <c r="E1455" s="52" t="s">
        <v>25</v>
      </c>
      <c r="F1455" s="52" t="s">
        <v>26</v>
      </c>
      <c r="G1455" s="53"/>
    </row>
    <row r="1456">
      <c r="A1456" s="49">
        <v>44709.96030290509</v>
      </c>
      <c r="B1456" s="50">
        <v>44710.0852798032</v>
      </c>
      <c r="C1456" s="51">
        <v>1.023</v>
      </c>
      <c r="D1456" s="51">
        <v>66.0</v>
      </c>
      <c r="E1456" s="52" t="s">
        <v>25</v>
      </c>
      <c r="F1456" s="52" t="s">
        <v>26</v>
      </c>
      <c r="G1456" s="53"/>
    </row>
    <row r="1457">
      <c r="A1457" s="49">
        <v>44709.97072438657</v>
      </c>
      <c r="B1457" s="50">
        <v>44710.0957008564</v>
      </c>
      <c r="C1457" s="51">
        <v>1.023</v>
      </c>
      <c r="D1457" s="51">
        <v>66.0</v>
      </c>
      <c r="E1457" s="52" t="s">
        <v>25</v>
      </c>
      <c r="F1457" s="52" t="s">
        <v>26</v>
      </c>
      <c r="G1457" s="53"/>
    </row>
    <row r="1458">
      <c r="A1458" s="49">
        <v>44709.98115234954</v>
      </c>
      <c r="B1458" s="50">
        <v>44710.1061229629</v>
      </c>
      <c r="C1458" s="51">
        <v>1.023</v>
      </c>
      <c r="D1458" s="51">
        <v>66.0</v>
      </c>
      <c r="E1458" s="52" t="s">
        <v>25</v>
      </c>
      <c r="F1458" s="52" t="s">
        <v>26</v>
      </c>
      <c r="G1458" s="53"/>
    </row>
    <row r="1459">
      <c r="A1459" s="49">
        <v>44709.991652384255</v>
      </c>
      <c r="B1459" s="50">
        <v>44710.1166241435</v>
      </c>
      <c r="C1459" s="51">
        <v>1.023</v>
      </c>
      <c r="D1459" s="51">
        <v>66.0</v>
      </c>
      <c r="E1459" s="52" t="s">
        <v>25</v>
      </c>
      <c r="F1459" s="52" t="s">
        <v>26</v>
      </c>
      <c r="G1459" s="53"/>
    </row>
    <row r="1460">
      <c r="A1460" s="49">
        <v>44710.0020716088</v>
      </c>
      <c r="B1460" s="50">
        <v>44710.1270439467</v>
      </c>
      <c r="C1460" s="51">
        <v>1.023</v>
      </c>
      <c r="D1460" s="51">
        <v>66.0</v>
      </c>
      <c r="E1460" s="52" t="s">
        <v>25</v>
      </c>
      <c r="F1460" s="52" t="s">
        <v>26</v>
      </c>
      <c r="G1460" s="53"/>
    </row>
    <row r="1461">
      <c r="A1461" s="49">
        <v>44710.012502303245</v>
      </c>
      <c r="B1461" s="50">
        <v>44710.1374774074</v>
      </c>
      <c r="C1461" s="51">
        <v>1.023</v>
      </c>
      <c r="D1461" s="51">
        <v>66.0</v>
      </c>
      <c r="E1461" s="52" t="s">
        <v>25</v>
      </c>
      <c r="F1461" s="52" t="s">
        <v>26</v>
      </c>
      <c r="G1461" s="53"/>
    </row>
    <row r="1462">
      <c r="A1462" s="49">
        <v>44710.022946261575</v>
      </c>
      <c r="B1462" s="50">
        <v>44710.1479197222</v>
      </c>
      <c r="C1462" s="51">
        <v>1.023</v>
      </c>
      <c r="D1462" s="51">
        <v>66.0</v>
      </c>
      <c r="E1462" s="52" t="s">
        <v>25</v>
      </c>
      <c r="F1462" s="52" t="s">
        <v>26</v>
      </c>
      <c r="G1462" s="53"/>
    </row>
    <row r="1463">
      <c r="A1463" s="49">
        <v>44710.0333659375</v>
      </c>
      <c r="B1463" s="50">
        <v>44710.1583410879</v>
      </c>
      <c r="C1463" s="51">
        <v>1.023</v>
      </c>
      <c r="D1463" s="51">
        <v>66.0</v>
      </c>
      <c r="E1463" s="52" t="s">
        <v>25</v>
      </c>
      <c r="F1463" s="52" t="s">
        <v>26</v>
      </c>
      <c r="G1463" s="53"/>
    </row>
    <row r="1464">
      <c r="A1464" s="49">
        <v>44710.04378636574</v>
      </c>
      <c r="B1464" s="50">
        <v>44710.1687640277</v>
      </c>
      <c r="C1464" s="51">
        <v>1.023</v>
      </c>
      <c r="D1464" s="51">
        <v>66.0</v>
      </c>
      <c r="E1464" s="52" t="s">
        <v>25</v>
      </c>
      <c r="F1464" s="52" t="s">
        <v>26</v>
      </c>
      <c r="G1464" s="53"/>
    </row>
    <row r="1465">
      <c r="A1465" s="49">
        <v>44710.05422475694</v>
      </c>
      <c r="B1465" s="50">
        <v>44710.1791954629</v>
      </c>
      <c r="C1465" s="51">
        <v>1.023</v>
      </c>
      <c r="D1465" s="51">
        <v>66.0</v>
      </c>
      <c r="E1465" s="52" t="s">
        <v>25</v>
      </c>
      <c r="F1465" s="52" t="s">
        <v>26</v>
      </c>
      <c r="G1465" s="53"/>
    </row>
    <row r="1466">
      <c r="A1466" s="49">
        <v>44710.06466954861</v>
      </c>
      <c r="B1466" s="50">
        <v>44710.1896389467</v>
      </c>
      <c r="C1466" s="51">
        <v>1.023</v>
      </c>
      <c r="D1466" s="51">
        <v>66.0</v>
      </c>
      <c r="E1466" s="52" t="s">
        <v>25</v>
      </c>
      <c r="F1466" s="52" t="s">
        <v>26</v>
      </c>
      <c r="G1466" s="53"/>
    </row>
    <row r="1467">
      <c r="A1467" s="49">
        <v>44710.07510277777</v>
      </c>
      <c r="B1467" s="50">
        <v>44710.2000730324</v>
      </c>
      <c r="C1467" s="51">
        <v>1.023</v>
      </c>
      <c r="D1467" s="51">
        <v>66.0</v>
      </c>
      <c r="E1467" s="52" t="s">
        <v>25</v>
      </c>
      <c r="F1467" s="52" t="s">
        <v>26</v>
      </c>
      <c r="G1467" s="53"/>
    </row>
    <row r="1468">
      <c r="A1468" s="49">
        <v>44710.085521898145</v>
      </c>
      <c r="B1468" s="50">
        <v>44710.2104934953</v>
      </c>
      <c r="C1468" s="51">
        <v>1.023</v>
      </c>
      <c r="D1468" s="51">
        <v>66.0</v>
      </c>
      <c r="E1468" s="52" t="s">
        <v>25</v>
      </c>
      <c r="F1468" s="52" t="s">
        <v>26</v>
      </c>
      <c r="G1468" s="53"/>
    </row>
    <row r="1469">
      <c r="A1469" s="49">
        <v>44710.09594003472</v>
      </c>
      <c r="B1469" s="50">
        <v>44710.2209146064</v>
      </c>
      <c r="C1469" s="51">
        <v>1.023</v>
      </c>
      <c r="D1469" s="51">
        <v>66.0</v>
      </c>
      <c r="E1469" s="52" t="s">
        <v>25</v>
      </c>
      <c r="F1469" s="52" t="s">
        <v>26</v>
      </c>
      <c r="G1469" s="53"/>
    </row>
    <row r="1470">
      <c r="A1470" s="49">
        <v>44710.10636373842</v>
      </c>
      <c r="B1470" s="50">
        <v>44710.231335162</v>
      </c>
      <c r="C1470" s="51">
        <v>1.023</v>
      </c>
      <c r="D1470" s="51">
        <v>66.0</v>
      </c>
      <c r="E1470" s="52" t="s">
        <v>25</v>
      </c>
      <c r="F1470" s="52" t="s">
        <v>26</v>
      </c>
      <c r="G1470" s="53"/>
    </row>
    <row r="1471">
      <c r="A1471" s="49">
        <v>44710.11679269676</v>
      </c>
      <c r="B1471" s="50">
        <v>44710.2417701388</v>
      </c>
      <c r="C1471" s="51">
        <v>1.023</v>
      </c>
      <c r="D1471" s="51">
        <v>66.0</v>
      </c>
      <c r="E1471" s="52" t="s">
        <v>25</v>
      </c>
      <c r="F1471" s="52" t="s">
        <v>26</v>
      </c>
      <c r="G1471" s="53"/>
    </row>
    <row r="1472">
      <c r="A1472" s="49">
        <v>44710.127218657406</v>
      </c>
      <c r="B1472" s="50">
        <v>44710.2521909027</v>
      </c>
      <c r="C1472" s="51">
        <v>1.022</v>
      </c>
      <c r="D1472" s="51">
        <v>66.0</v>
      </c>
      <c r="E1472" s="52" t="s">
        <v>25</v>
      </c>
      <c r="F1472" s="52" t="s">
        <v>26</v>
      </c>
      <c r="G1472" s="53"/>
    </row>
    <row r="1473">
      <c r="A1473" s="49">
        <v>44710.13763865741</v>
      </c>
      <c r="B1473" s="50">
        <v>44710.2626114467</v>
      </c>
      <c r="C1473" s="51">
        <v>1.023</v>
      </c>
      <c r="D1473" s="51">
        <v>66.0</v>
      </c>
      <c r="E1473" s="52" t="s">
        <v>25</v>
      </c>
      <c r="F1473" s="52" t="s">
        <v>26</v>
      </c>
      <c r="G1473" s="53"/>
    </row>
    <row r="1474">
      <c r="A1474" s="49">
        <v>44710.148059768515</v>
      </c>
      <c r="B1474" s="50">
        <v>44710.2730333564</v>
      </c>
      <c r="C1474" s="51">
        <v>1.023</v>
      </c>
      <c r="D1474" s="51">
        <v>66.0</v>
      </c>
      <c r="E1474" s="52" t="s">
        <v>25</v>
      </c>
      <c r="F1474" s="52" t="s">
        <v>26</v>
      </c>
      <c r="G1474" s="53"/>
    </row>
    <row r="1475">
      <c r="A1475" s="49">
        <v>44710.15848895833</v>
      </c>
      <c r="B1475" s="50">
        <v>44710.2834670486</v>
      </c>
      <c r="C1475" s="51">
        <v>1.023</v>
      </c>
      <c r="D1475" s="51">
        <v>66.0</v>
      </c>
      <c r="E1475" s="52" t="s">
        <v>25</v>
      </c>
      <c r="F1475" s="52" t="s">
        <v>26</v>
      </c>
      <c r="G1475" s="53"/>
    </row>
    <row r="1476">
      <c r="A1476" s="49">
        <v>44710.16893302083</v>
      </c>
      <c r="B1476" s="50">
        <v>44710.2939121759</v>
      </c>
      <c r="C1476" s="51">
        <v>1.023</v>
      </c>
      <c r="D1476" s="51">
        <v>66.0</v>
      </c>
      <c r="E1476" s="52" t="s">
        <v>25</v>
      </c>
      <c r="F1476" s="52" t="s">
        <v>26</v>
      </c>
      <c r="G1476" s="53"/>
    </row>
    <row r="1477">
      <c r="A1477" s="49">
        <v>44710.179384386574</v>
      </c>
      <c r="B1477" s="50">
        <v>44710.3043576273</v>
      </c>
      <c r="C1477" s="51">
        <v>1.023</v>
      </c>
      <c r="D1477" s="51">
        <v>66.0</v>
      </c>
      <c r="E1477" s="52" t="s">
        <v>25</v>
      </c>
      <c r="F1477" s="52" t="s">
        <v>26</v>
      </c>
      <c r="G1477" s="53"/>
    </row>
    <row r="1478">
      <c r="A1478" s="49">
        <v>44710.1898205787</v>
      </c>
      <c r="B1478" s="50">
        <v>44710.3147904629</v>
      </c>
      <c r="C1478" s="51">
        <v>1.023</v>
      </c>
      <c r="D1478" s="51">
        <v>66.0</v>
      </c>
      <c r="E1478" s="52" t="s">
        <v>25</v>
      </c>
      <c r="F1478" s="52" t="s">
        <v>26</v>
      </c>
      <c r="G1478" s="53"/>
    </row>
    <row r="1479">
      <c r="A1479" s="49">
        <v>44710.20025140046</v>
      </c>
      <c r="B1479" s="50">
        <v>44710.3252237037</v>
      </c>
      <c r="C1479" s="51">
        <v>1.023</v>
      </c>
      <c r="D1479" s="51">
        <v>66.0</v>
      </c>
      <c r="E1479" s="52" t="s">
        <v>25</v>
      </c>
      <c r="F1479" s="52" t="s">
        <v>26</v>
      </c>
      <c r="G1479" s="53"/>
    </row>
    <row r="1480">
      <c r="A1480" s="49">
        <v>44710.2106790625</v>
      </c>
      <c r="B1480" s="50">
        <v>44710.3356450694</v>
      </c>
      <c r="C1480" s="51">
        <v>1.022</v>
      </c>
      <c r="D1480" s="51">
        <v>66.0</v>
      </c>
      <c r="E1480" s="52" t="s">
        <v>25</v>
      </c>
      <c r="F1480" s="52" t="s">
        <v>26</v>
      </c>
      <c r="G1480" s="53"/>
    </row>
    <row r="1481">
      <c r="A1481" s="49">
        <v>44710.221090833336</v>
      </c>
      <c r="B1481" s="50">
        <v>44710.3460658333</v>
      </c>
      <c r="C1481" s="51">
        <v>1.022</v>
      </c>
      <c r="D1481" s="51">
        <v>66.0</v>
      </c>
      <c r="E1481" s="52" t="s">
        <v>25</v>
      </c>
      <c r="F1481" s="52" t="s">
        <v>26</v>
      </c>
      <c r="G1481" s="53"/>
    </row>
    <row r="1482">
      <c r="A1482" s="49">
        <v>44710.23152173611</v>
      </c>
      <c r="B1482" s="50">
        <v>44710.3564885763</v>
      </c>
      <c r="C1482" s="51">
        <v>1.023</v>
      </c>
      <c r="D1482" s="51">
        <v>66.0</v>
      </c>
      <c r="E1482" s="52" t="s">
        <v>25</v>
      </c>
      <c r="F1482" s="52" t="s">
        <v>26</v>
      </c>
      <c r="G1482" s="53"/>
    </row>
    <row r="1483">
      <c r="A1483" s="49">
        <v>44710.24194878472</v>
      </c>
      <c r="B1483" s="50">
        <v>44710.3669320601</v>
      </c>
      <c r="C1483" s="51">
        <v>1.022</v>
      </c>
      <c r="D1483" s="51">
        <v>66.0</v>
      </c>
      <c r="E1483" s="52" t="s">
        <v>25</v>
      </c>
      <c r="F1483" s="52" t="s">
        <v>26</v>
      </c>
      <c r="G1483" s="53"/>
    </row>
    <row r="1484">
      <c r="A1484" s="49">
        <v>44710.25238706019</v>
      </c>
      <c r="B1484" s="50">
        <v>44710.3773645486</v>
      </c>
      <c r="C1484" s="51">
        <v>1.023</v>
      </c>
      <c r="D1484" s="51">
        <v>66.0</v>
      </c>
      <c r="E1484" s="52" t="s">
        <v>25</v>
      </c>
      <c r="F1484" s="52" t="s">
        <v>26</v>
      </c>
      <c r="G1484" s="53"/>
    </row>
    <row r="1485">
      <c r="A1485" s="49">
        <v>44710.26285373843</v>
      </c>
      <c r="B1485" s="50">
        <v>44710.3878199421</v>
      </c>
      <c r="C1485" s="51">
        <v>1.023</v>
      </c>
      <c r="D1485" s="51">
        <v>66.0</v>
      </c>
      <c r="E1485" s="52" t="s">
        <v>25</v>
      </c>
      <c r="F1485" s="52" t="s">
        <v>26</v>
      </c>
      <c r="G1485" s="53"/>
    </row>
    <row r="1486">
      <c r="A1486" s="49">
        <v>44710.2732712037</v>
      </c>
      <c r="B1486" s="50">
        <v>44710.3982423842</v>
      </c>
      <c r="C1486" s="51">
        <v>1.023</v>
      </c>
      <c r="D1486" s="51">
        <v>66.0</v>
      </c>
      <c r="E1486" s="52" t="s">
        <v>25</v>
      </c>
      <c r="F1486" s="52" t="s">
        <v>26</v>
      </c>
      <c r="G1486" s="53"/>
    </row>
    <row r="1487">
      <c r="A1487" s="49">
        <v>44710.283735833335</v>
      </c>
      <c r="B1487" s="50">
        <v>44710.4087109375</v>
      </c>
      <c r="C1487" s="51">
        <v>1.022</v>
      </c>
      <c r="D1487" s="51">
        <v>66.0</v>
      </c>
      <c r="E1487" s="52" t="s">
        <v>25</v>
      </c>
      <c r="F1487" s="52" t="s">
        <v>26</v>
      </c>
      <c r="G1487" s="53"/>
    </row>
    <row r="1488">
      <c r="A1488" s="49">
        <v>44710.29416369213</v>
      </c>
      <c r="B1488" s="50">
        <v>44710.4191433564</v>
      </c>
      <c r="C1488" s="51">
        <v>1.022</v>
      </c>
      <c r="D1488" s="51">
        <v>66.0</v>
      </c>
      <c r="E1488" s="52" t="s">
        <v>25</v>
      </c>
      <c r="F1488" s="52" t="s">
        <v>26</v>
      </c>
      <c r="G1488" s="53"/>
    </row>
    <row r="1489">
      <c r="A1489" s="49">
        <v>44710.30458833333</v>
      </c>
      <c r="B1489" s="50">
        <v>44710.4295654282</v>
      </c>
      <c r="C1489" s="51">
        <v>1.022</v>
      </c>
      <c r="D1489" s="51">
        <v>66.0</v>
      </c>
      <c r="E1489" s="52" t="s">
        <v>25</v>
      </c>
      <c r="F1489" s="52" t="s">
        <v>26</v>
      </c>
      <c r="G1489" s="53"/>
    </row>
    <row r="1490">
      <c r="A1490" s="49">
        <v>44710.31502274306</v>
      </c>
      <c r="B1490" s="50">
        <v>44710.4399885532</v>
      </c>
      <c r="C1490" s="51">
        <v>1.022</v>
      </c>
      <c r="D1490" s="51">
        <v>67.0</v>
      </c>
      <c r="E1490" s="52" t="s">
        <v>25</v>
      </c>
      <c r="F1490" s="52" t="s">
        <v>26</v>
      </c>
      <c r="G1490" s="53"/>
    </row>
    <row r="1491">
      <c r="A1491" s="49">
        <v>44710.3254396875</v>
      </c>
      <c r="B1491" s="50">
        <v>44710.4504091666</v>
      </c>
      <c r="C1491" s="51">
        <v>1.022</v>
      </c>
      <c r="D1491" s="51">
        <v>67.0</v>
      </c>
      <c r="E1491" s="52" t="s">
        <v>25</v>
      </c>
      <c r="F1491" s="52" t="s">
        <v>26</v>
      </c>
      <c r="G1491" s="53"/>
    </row>
    <row r="1492">
      <c r="A1492" s="49">
        <v>44710.33587188658</v>
      </c>
      <c r="B1492" s="50">
        <v>44710.4608411111</v>
      </c>
      <c r="C1492" s="51">
        <v>1.022</v>
      </c>
      <c r="D1492" s="51">
        <v>67.0</v>
      </c>
      <c r="E1492" s="52" t="s">
        <v>25</v>
      </c>
      <c r="F1492" s="52" t="s">
        <v>26</v>
      </c>
      <c r="G1492" s="53"/>
    </row>
    <row r="1493">
      <c r="A1493" s="49">
        <v>44710.346288009256</v>
      </c>
      <c r="B1493" s="50">
        <v>44710.4712626388</v>
      </c>
      <c r="C1493" s="51">
        <v>1.022</v>
      </c>
      <c r="D1493" s="51">
        <v>66.0</v>
      </c>
      <c r="E1493" s="52" t="s">
        <v>25</v>
      </c>
      <c r="F1493" s="52" t="s">
        <v>26</v>
      </c>
      <c r="G1493" s="53"/>
    </row>
    <row r="1494">
      <c r="A1494" s="49">
        <v>44710.356728252314</v>
      </c>
      <c r="B1494" s="50">
        <v>44710.4817072106</v>
      </c>
      <c r="C1494" s="51">
        <v>1.022</v>
      </c>
      <c r="D1494" s="51">
        <v>67.0</v>
      </c>
      <c r="E1494" s="52" t="s">
        <v>25</v>
      </c>
      <c r="F1494" s="52" t="s">
        <v>26</v>
      </c>
      <c r="G1494" s="53"/>
    </row>
    <row r="1495">
      <c r="A1495" s="49">
        <v>44710.36715835649</v>
      </c>
      <c r="B1495" s="50">
        <v>44710.4921295833</v>
      </c>
      <c r="C1495" s="51">
        <v>1.022</v>
      </c>
      <c r="D1495" s="51">
        <v>67.0</v>
      </c>
      <c r="E1495" s="52" t="s">
        <v>25</v>
      </c>
      <c r="F1495" s="52" t="s">
        <v>26</v>
      </c>
      <c r="G1495" s="53"/>
    </row>
    <row r="1496">
      <c r="A1496" s="49">
        <v>44710.377612627315</v>
      </c>
      <c r="B1496" s="50">
        <v>44710.5025851388</v>
      </c>
      <c r="C1496" s="51">
        <v>1.022</v>
      </c>
      <c r="D1496" s="51">
        <v>67.0</v>
      </c>
      <c r="E1496" s="52" t="s">
        <v>25</v>
      </c>
      <c r="F1496" s="52" t="s">
        <v>26</v>
      </c>
      <c r="G1496" s="53"/>
    </row>
    <row r="1497">
      <c r="A1497" s="49">
        <v>44710.3880333912</v>
      </c>
      <c r="B1497" s="50">
        <v>44710.5130068634</v>
      </c>
      <c r="C1497" s="51">
        <v>1.022</v>
      </c>
      <c r="D1497" s="51">
        <v>67.0</v>
      </c>
      <c r="E1497" s="52" t="s">
        <v>25</v>
      </c>
      <c r="F1497" s="52" t="s">
        <v>26</v>
      </c>
      <c r="G1497" s="53"/>
    </row>
    <row r="1498">
      <c r="A1498" s="49">
        <v>44710.398458564814</v>
      </c>
      <c r="B1498" s="50">
        <v>44710.5234280787</v>
      </c>
      <c r="C1498" s="51">
        <v>1.022</v>
      </c>
      <c r="D1498" s="51">
        <v>67.0</v>
      </c>
      <c r="E1498" s="52" t="s">
        <v>25</v>
      </c>
      <c r="F1498" s="52" t="s">
        <v>26</v>
      </c>
      <c r="G1498" s="53"/>
    </row>
    <row r="1499">
      <c r="A1499" s="49">
        <v>44710.40887680555</v>
      </c>
      <c r="B1499" s="50">
        <v>44710.5338496064</v>
      </c>
      <c r="C1499" s="51">
        <v>1.022</v>
      </c>
      <c r="D1499" s="51">
        <v>67.0</v>
      </c>
      <c r="E1499" s="52" t="s">
        <v>25</v>
      </c>
      <c r="F1499" s="52" t="s">
        <v>26</v>
      </c>
      <c r="G1499" s="53"/>
    </row>
    <row r="1500">
      <c r="A1500" s="49">
        <v>44710.41931931713</v>
      </c>
      <c r="B1500" s="50">
        <v>44710.5442944444</v>
      </c>
      <c r="C1500" s="51">
        <v>1.022</v>
      </c>
      <c r="D1500" s="51">
        <v>67.0</v>
      </c>
      <c r="E1500" s="52" t="s">
        <v>25</v>
      </c>
      <c r="F1500" s="52" t="s">
        <v>26</v>
      </c>
      <c r="G1500" s="53"/>
    </row>
    <row r="1501">
      <c r="A1501" s="49">
        <v>44710.42973719907</v>
      </c>
      <c r="B1501" s="50">
        <v>44710.5547163194</v>
      </c>
      <c r="C1501" s="51">
        <v>1.022</v>
      </c>
      <c r="D1501" s="51">
        <v>67.0</v>
      </c>
      <c r="E1501" s="52" t="s">
        <v>25</v>
      </c>
      <c r="F1501" s="52" t="s">
        <v>26</v>
      </c>
      <c r="G1501" s="53"/>
    </row>
    <row r="1502">
      <c r="A1502" s="49">
        <v>44710.44015947917</v>
      </c>
      <c r="B1502" s="50">
        <v>44710.5651361689</v>
      </c>
      <c r="C1502" s="51">
        <v>1.022</v>
      </c>
      <c r="D1502" s="51">
        <v>67.0</v>
      </c>
      <c r="E1502" s="52" t="s">
        <v>25</v>
      </c>
      <c r="F1502" s="52" t="s">
        <v>26</v>
      </c>
      <c r="G1502" s="53"/>
    </row>
    <row r="1503">
      <c r="A1503" s="49">
        <v>44710.450579236116</v>
      </c>
      <c r="B1503" s="50">
        <v>44710.5755576273</v>
      </c>
      <c r="C1503" s="51">
        <v>1.022</v>
      </c>
      <c r="D1503" s="51">
        <v>67.0</v>
      </c>
      <c r="E1503" s="52" t="s">
        <v>25</v>
      </c>
      <c r="F1503" s="52" t="s">
        <v>26</v>
      </c>
      <c r="G1503" s="53"/>
    </row>
    <row r="1504">
      <c r="A1504" s="49">
        <v>44710.46101237269</v>
      </c>
      <c r="B1504" s="50">
        <v>44710.5859902777</v>
      </c>
      <c r="C1504" s="51">
        <v>1.022</v>
      </c>
      <c r="D1504" s="51">
        <v>67.0</v>
      </c>
      <c r="E1504" s="52" t="s">
        <v>25</v>
      </c>
      <c r="F1504" s="52" t="s">
        <v>26</v>
      </c>
      <c r="G1504" s="53"/>
    </row>
    <row r="1505">
      <c r="A1505" s="49">
        <v>44710.471433715276</v>
      </c>
      <c r="B1505" s="50">
        <v>44710.5964111458</v>
      </c>
      <c r="C1505" s="51">
        <v>1.022</v>
      </c>
      <c r="D1505" s="51">
        <v>67.0</v>
      </c>
      <c r="E1505" s="52" t="s">
        <v>25</v>
      </c>
      <c r="F1505" s="52" t="s">
        <v>26</v>
      </c>
      <c r="G1505" s="53"/>
    </row>
    <row r="1506">
      <c r="A1506" s="49">
        <v>44710.48186</v>
      </c>
      <c r="B1506" s="50">
        <v>44710.6068332986</v>
      </c>
      <c r="C1506" s="51">
        <v>1.022</v>
      </c>
      <c r="D1506" s="51">
        <v>67.0</v>
      </c>
      <c r="E1506" s="52" t="s">
        <v>25</v>
      </c>
      <c r="F1506" s="52" t="s">
        <v>26</v>
      </c>
      <c r="G1506" s="53"/>
    </row>
    <row r="1507">
      <c r="A1507" s="49">
        <v>44710.4922975463</v>
      </c>
      <c r="B1507" s="50">
        <v>44710.617276956</v>
      </c>
      <c r="C1507" s="51">
        <v>1.022</v>
      </c>
      <c r="D1507" s="51">
        <v>67.0</v>
      </c>
      <c r="E1507" s="52" t="s">
        <v>25</v>
      </c>
      <c r="F1507" s="52" t="s">
        <v>26</v>
      </c>
      <c r="G1507" s="53"/>
    </row>
    <row r="1508">
      <c r="A1508" s="49">
        <v>44710.502732696754</v>
      </c>
      <c r="B1508" s="50">
        <v>44710.6276995486</v>
      </c>
      <c r="C1508" s="51">
        <v>1.022</v>
      </c>
      <c r="D1508" s="51">
        <v>67.0</v>
      </c>
      <c r="E1508" s="52" t="s">
        <v>25</v>
      </c>
      <c r="F1508" s="52" t="s">
        <v>26</v>
      </c>
      <c r="G1508" s="53"/>
    </row>
    <row r="1509">
      <c r="A1509" s="49">
        <v>44710.513144965276</v>
      </c>
      <c r="B1509" s="50">
        <v>44710.6381207986</v>
      </c>
      <c r="C1509" s="51">
        <v>1.022</v>
      </c>
      <c r="D1509" s="51">
        <v>67.0</v>
      </c>
      <c r="E1509" s="52" t="s">
        <v>25</v>
      </c>
      <c r="F1509" s="52" t="s">
        <v>26</v>
      </c>
      <c r="G1509" s="53"/>
    </row>
    <row r="1510">
      <c r="A1510" s="49">
        <v>44710.52357297453</v>
      </c>
      <c r="B1510" s="50">
        <v>44710.6485530208</v>
      </c>
      <c r="C1510" s="51">
        <v>1.022</v>
      </c>
      <c r="D1510" s="51">
        <v>67.0</v>
      </c>
      <c r="E1510" s="52" t="s">
        <v>25</v>
      </c>
      <c r="F1510" s="52" t="s">
        <v>26</v>
      </c>
      <c r="G1510" s="53"/>
    </row>
    <row r="1511">
      <c r="A1511" s="49">
        <v>44710.533991840275</v>
      </c>
      <c r="B1511" s="50">
        <v>44710.6589734606</v>
      </c>
      <c r="C1511" s="51">
        <v>1.022</v>
      </c>
      <c r="D1511" s="51">
        <v>67.0</v>
      </c>
      <c r="E1511" s="52" t="s">
        <v>25</v>
      </c>
      <c r="F1511" s="52" t="s">
        <v>26</v>
      </c>
      <c r="G1511" s="53"/>
    </row>
    <row r="1512">
      <c r="A1512" s="49">
        <v>44710.544419224534</v>
      </c>
      <c r="B1512" s="50">
        <v>44710.6693923263</v>
      </c>
      <c r="C1512" s="51">
        <v>1.022</v>
      </c>
      <c r="D1512" s="51">
        <v>67.0</v>
      </c>
      <c r="E1512" s="52" t="s">
        <v>25</v>
      </c>
      <c r="F1512" s="52" t="s">
        <v>26</v>
      </c>
      <c r="G1512" s="53"/>
    </row>
    <row r="1513">
      <c r="A1513" s="49">
        <v>44710.55483807871</v>
      </c>
      <c r="B1513" s="50">
        <v>44710.6798104398</v>
      </c>
      <c r="C1513" s="51">
        <v>1.022</v>
      </c>
      <c r="D1513" s="51">
        <v>67.0</v>
      </c>
      <c r="E1513" s="52" t="s">
        <v>25</v>
      </c>
      <c r="F1513" s="52" t="s">
        <v>26</v>
      </c>
      <c r="G1513" s="53"/>
    </row>
    <row r="1514">
      <c r="A1514" s="49">
        <v>44710.56525716435</v>
      </c>
      <c r="B1514" s="50">
        <v>44710.6902317592</v>
      </c>
      <c r="C1514" s="51">
        <v>1.022</v>
      </c>
      <c r="D1514" s="51">
        <v>67.0</v>
      </c>
      <c r="E1514" s="52" t="s">
        <v>25</v>
      </c>
      <c r="F1514" s="52" t="s">
        <v>26</v>
      </c>
      <c r="G1514" s="53"/>
    </row>
    <row r="1515">
      <c r="A1515" s="49">
        <v>44710.575686446755</v>
      </c>
      <c r="B1515" s="50">
        <v>44710.7006657754</v>
      </c>
      <c r="C1515" s="51">
        <v>1.022</v>
      </c>
      <c r="D1515" s="51">
        <v>67.0</v>
      </c>
      <c r="E1515" s="52" t="s">
        <v>25</v>
      </c>
      <c r="F1515" s="52" t="s">
        <v>26</v>
      </c>
      <c r="G1515" s="53"/>
    </row>
    <row r="1516">
      <c r="A1516" s="49">
        <v>44710.58617759259</v>
      </c>
      <c r="B1516" s="50">
        <v>44710.7111453125</v>
      </c>
      <c r="C1516" s="51">
        <v>1.022</v>
      </c>
      <c r="D1516" s="51">
        <v>67.0</v>
      </c>
      <c r="E1516" s="52" t="s">
        <v>25</v>
      </c>
      <c r="F1516" s="52" t="s">
        <v>26</v>
      </c>
      <c r="G1516" s="53"/>
    </row>
    <row r="1517">
      <c r="A1517" s="49">
        <v>44710.59659515046</v>
      </c>
      <c r="B1517" s="50">
        <v>44710.7215665046</v>
      </c>
      <c r="C1517" s="51">
        <v>1.022</v>
      </c>
      <c r="D1517" s="51">
        <v>67.0</v>
      </c>
      <c r="E1517" s="52" t="s">
        <v>25</v>
      </c>
      <c r="F1517" s="52" t="s">
        <v>26</v>
      </c>
      <c r="G1517" s="53"/>
    </row>
    <row r="1518">
      <c r="A1518" s="49">
        <v>44710.60701438657</v>
      </c>
      <c r="B1518" s="50">
        <v>44710.7319895138</v>
      </c>
      <c r="C1518" s="51">
        <v>1.022</v>
      </c>
      <c r="D1518" s="51">
        <v>67.0</v>
      </c>
      <c r="E1518" s="52" t="s">
        <v>25</v>
      </c>
      <c r="F1518" s="52" t="s">
        <v>26</v>
      </c>
      <c r="G1518" s="53"/>
    </row>
    <row r="1519">
      <c r="A1519" s="49">
        <v>44710.61743034722</v>
      </c>
      <c r="B1519" s="50">
        <v>44710.7424115162</v>
      </c>
      <c r="C1519" s="51">
        <v>1.022</v>
      </c>
      <c r="D1519" s="51">
        <v>67.0</v>
      </c>
      <c r="E1519" s="52" t="s">
        <v>25</v>
      </c>
      <c r="F1519" s="52" t="s">
        <v>26</v>
      </c>
      <c r="G1519" s="53"/>
    </row>
    <row r="1520">
      <c r="A1520" s="49">
        <v>44710.62789849537</v>
      </c>
      <c r="B1520" s="50">
        <v>44710.7528701157</v>
      </c>
      <c r="C1520" s="51">
        <v>1.022</v>
      </c>
      <c r="D1520" s="51">
        <v>67.0</v>
      </c>
      <c r="E1520" s="52" t="s">
        <v>25</v>
      </c>
      <c r="F1520" s="52" t="s">
        <v>26</v>
      </c>
      <c r="G1520" s="53"/>
    </row>
    <row r="1521">
      <c r="A1521" s="49">
        <v>44710.63831820602</v>
      </c>
      <c r="B1521" s="50">
        <v>44710.7632898032</v>
      </c>
      <c r="C1521" s="51">
        <v>1.022</v>
      </c>
      <c r="D1521" s="51">
        <v>67.0</v>
      </c>
      <c r="E1521" s="52" t="s">
        <v>25</v>
      </c>
      <c r="F1521" s="52" t="s">
        <v>26</v>
      </c>
      <c r="G1521" s="53"/>
    </row>
    <row r="1522">
      <c r="A1522" s="49">
        <v>44710.64873920139</v>
      </c>
      <c r="B1522" s="50">
        <v>44710.7737103588</v>
      </c>
      <c r="C1522" s="51">
        <v>1.022</v>
      </c>
      <c r="D1522" s="51">
        <v>67.0</v>
      </c>
      <c r="E1522" s="52" t="s">
        <v>25</v>
      </c>
      <c r="F1522" s="52" t="s">
        <v>26</v>
      </c>
      <c r="G1522" s="53"/>
    </row>
    <row r="1523">
      <c r="A1523" s="49">
        <v>44710.659162592594</v>
      </c>
      <c r="B1523" s="50">
        <v>44710.7841301851</v>
      </c>
      <c r="C1523" s="51">
        <v>1.022</v>
      </c>
      <c r="D1523" s="51">
        <v>67.0</v>
      </c>
      <c r="E1523" s="52" t="s">
        <v>25</v>
      </c>
      <c r="F1523" s="52" t="s">
        <v>26</v>
      </c>
      <c r="G1523" s="53"/>
    </row>
    <row r="1524">
      <c r="A1524" s="49">
        <v>44710.66958461805</v>
      </c>
      <c r="B1524" s="50">
        <v>44710.7945520139</v>
      </c>
      <c r="C1524" s="51">
        <v>1.021</v>
      </c>
      <c r="D1524" s="51">
        <v>67.0</v>
      </c>
      <c r="E1524" s="52" t="s">
        <v>25</v>
      </c>
      <c r="F1524" s="52" t="s">
        <v>26</v>
      </c>
      <c r="G1524" s="53"/>
    </row>
    <row r="1525">
      <c r="A1525" s="49">
        <v>44710.67999505787</v>
      </c>
      <c r="B1525" s="50">
        <v>44710.804975243</v>
      </c>
      <c r="C1525" s="51">
        <v>1.021</v>
      </c>
      <c r="D1525" s="51">
        <v>67.0</v>
      </c>
      <c r="E1525" s="52" t="s">
        <v>25</v>
      </c>
      <c r="F1525" s="52" t="s">
        <v>26</v>
      </c>
      <c r="G1525" s="53"/>
    </row>
    <row r="1526">
      <c r="A1526" s="49">
        <v>44710.69041412037</v>
      </c>
      <c r="B1526" s="50">
        <v>44710.8153980324</v>
      </c>
      <c r="C1526" s="51">
        <v>1.022</v>
      </c>
      <c r="D1526" s="51">
        <v>67.0</v>
      </c>
      <c r="E1526" s="52" t="s">
        <v>25</v>
      </c>
      <c r="F1526" s="52" t="s">
        <v>26</v>
      </c>
      <c r="G1526" s="53"/>
    </row>
    <row r="1527">
      <c r="A1527" s="49">
        <v>44710.700850636575</v>
      </c>
      <c r="B1527" s="50">
        <v>44710.8258202199</v>
      </c>
      <c r="C1527" s="51">
        <v>1.022</v>
      </c>
      <c r="D1527" s="51">
        <v>67.0</v>
      </c>
      <c r="E1527" s="52" t="s">
        <v>25</v>
      </c>
      <c r="F1527" s="52" t="s">
        <v>26</v>
      </c>
      <c r="G1527" s="53"/>
    </row>
    <row r="1528">
      <c r="A1528" s="49">
        <v>44710.71126815972</v>
      </c>
      <c r="B1528" s="50">
        <v>44710.8362393402</v>
      </c>
      <c r="C1528" s="51">
        <v>1.021</v>
      </c>
      <c r="D1528" s="51">
        <v>67.0</v>
      </c>
      <c r="E1528" s="52" t="s">
        <v>25</v>
      </c>
      <c r="F1528" s="52" t="s">
        <v>26</v>
      </c>
      <c r="G1528" s="53"/>
    </row>
    <row r="1529">
      <c r="A1529" s="49">
        <v>44710.72172627314</v>
      </c>
      <c r="B1529" s="50">
        <v>44710.8466949884</v>
      </c>
      <c r="C1529" s="51">
        <v>1.022</v>
      </c>
      <c r="D1529" s="51">
        <v>67.0</v>
      </c>
      <c r="E1529" s="52" t="s">
        <v>25</v>
      </c>
      <c r="F1529" s="52" t="s">
        <v>26</v>
      </c>
      <c r="G1529" s="53"/>
    </row>
    <row r="1530">
      <c r="A1530" s="49">
        <v>44710.73215329861</v>
      </c>
      <c r="B1530" s="50">
        <v>44710.8571285995</v>
      </c>
      <c r="C1530" s="51">
        <v>1.022</v>
      </c>
      <c r="D1530" s="51">
        <v>67.0</v>
      </c>
      <c r="E1530" s="52" t="s">
        <v>25</v>
      </c>
      <c r="F1530" s="52" t="s">
        <v>26</v>
      </c>
      <c r="G1530" s="53"/>
    </row>
    <row r="1531">
      <c r="A1531" s="49">
        <v>44710.74257430556</v>
      </c>
      <c r="B1531" s="50">
        <v>44710.8675485648</v>
      </c>
      <c r="C1531" s="51">
        <v>1.021</v>
      </c>
      <c r="D1531" s="51">
        <v>67.0</v>
      </c>
      <c r="E1531" s="52" t="s">
        <v>25</v>
      </c>
      <c r="F1531" s="52" t="s">
        <v>26</v>
      </c>
      <c r="G1531" s="53"/>
    </row>
    <row r="1532">
      <c r="A1532" s="49">
        <v>44710.75299057871</v>
      </c>
      <c r="B1532" s="50">
        <v>44710.8779699768</v>
      </c>
      <c r="C1532" s="51">
        <v>1.021</v>
      </c>
      <c r="D1532" s="51">
        <v>67.0</v>
      </c>
      <c r="E1532" s="52" t="s">
        <v>25</v>
      </c>
      <c r="F1532" s="52" t="s">
        <v>26</v>
      </c>
      <c r="G1532" s="53"/>
    </row>
    <row r="1533">
      <c r="A1533" s="49">
        <v>44710.76342020833</v>
      </c>
      <c r="B1533" s="50">
        <v>44710.8883923726</v>
      </c>
      <c r="C1533" s="51">
        <v>1.021</v>
      </c>
      <c r="D1533" s="51">
        <v>67.0</v>
      </c>
      <c r="E1533" s="52" t="s">
        <v>25</v>
      </c>
      <c r="F1533" s="52" t="s">
        <v>26</v>
      </c>
      <c r="G1533" s="53"/>
    </row>
    <row r="1534">
      <c r="A1534" s="49">
        <v>44710.77385400463</v>
      </c>
      <c r="B1534" s="50">
        <v>44710.8988251273</v>
      </c>
      <c r="C1534" s="51">
        <v>1.021</v>
      </c>
      <c r="D1534" s="51">
        <v>67.0</v>
      </c>
      <c r="E1534" s="52" t="s">
        <v>25</v>
      </c>
      <c r="F1534" s="52" t="s">
        <v>26</v>
      </c>
      <c r="G1534" s="53"/>
    </row>
    <row r="1535">
      <c r="A1535" s="49">
        <v>44710.784273784724</v>
      </c>
      <c r="B1535" s="50">
        <v>44710.9092447106</v>
      </c>
      <c r="C1535" s="51">
        <v>1.021</v>
      </c>
      <c r="D1535" s="51">
        <v>67.0</v>
      </c>
      <c r="E1535" s="52" t="s">
        <v>25</v>
      </c>
      <c r="F1535" s="52" t="s">
        <v>26</v>
      </c>
      <c r="G1535" s="53"/>
    </row>
    <row r="1536">
      <c r="A1536" s="49">
        <v>44710.794691828705</v>
      </c>
      <c r="B1536" s="50">
        <v>44710.9196668055</v>
      </c>
      <c r="C1536" s="51">
        <v>1.021</v>
      </c>
      <c r="D1536" s="51">
        <v>67.0</v>
      </c>
      <c r="E1536" s="52" t="s">
        <v>25</v>
      </c>
      <c r="F1536" s="52" t="s">
        <v>26</v>
      </c>
      <c r="G1536" s="53"/>
    </row>
    <row r="1537">
      <c r="A1537" s="49">
        <v>44710.805116076386</v>
      </c>
      <c r="B1537" s="50">
        <v>44710.9300889467</v>
      </c>
      <c r="C1537" s="51">
        <v>1.021</v>
      </c>
      <c r="D1537" s="51">
        <v>67.0</v>
      </c>
      <c r="E1537" s="52" t="s">
        <v>25</v>
      </c>
      <c r="F1537" s="52" t="s">
        <v>26</v>
      </c>
      <c r="G1537" s="53"/>
    </row>
    <row r="1538">
      <c r="A1538" s="49">
        <v>44710.81555721065</v>
      </c>
      <c r="B1538" s="50">
        <v>44710.9405343055</v>
      </c>
      <c r="C1538" s="51">
        <v>1.021</v>
      </c>
      <c r="D1538" s="51">
        <v>67.0</v>
      </c>
      <c r="E1538" s="52" t="s">
        <v>25</v>
      </c>
      <c r="F1538" s="52" t="s">
        <v>26</v>
      </c>
      <c r="G1538" s="53"/>
    </row>
    <row r="1539">
      <c r="A1539" s="49">
        <v>44710.8259871412</v>
      </c>
      <c r="B1539" s="50">
        <v>44710.9509666203</v>
      </c>
      <c r="C1539" s="51">
        <v>1.021</v>
      </c>
      <c r="D1539" s="51">
        <v>67.0</v>
      </c>
      <c r="E1539" s="52" t="s">
        <v>25</v>
      </c>
      <c r="F1539" s="52" t="s">
        <v>26</v>
      </c>
      <c r="G1539" s="53"/>
    </row>
    <row r="1540">
      <c r="A1540" s="49">
        <v>44710.83646465278</v>
      </c>
      <c r="B1540" s="50">
        <v>44710.9614320833</v>
      </c>
      <c r="C1540" s="51">
        <v>1.021</v>
      </c>
      <c r="D1540" s="51">
        <v>67.0</v>
      </c>
      <c r="E1540" s="52" t="s">
        <v>25</v>
      </c>
      <c r="F1540" s="52" t="s">
        <v>26</v>
      </c>
      <c r="G1540" s="53"/>
    </row>
    <row r="1541">
      <c r="A1541" s="49">
        <v>44710.8468849537</v>
      </c>
      <c r="B1541" s="50">
        <v>44710.9718647916</v>
      </c>
      <c r="C1541" s="51">
        <v>1.021</v>
      </c>
      <c r="D1541" s="51">
        <v>67.0</v>
      </c>
      <c r="E1541" s="52" t="s">
        <v>25</v>
      </c>
      <c r="F1541" s="52" t="s">
        <v>26</v>
      </c>
      <c r="G1541" s="53"/>
    </row>
    <row r="1542">
      <c r="A1542" s="49">
        <v>44710.85730950232</v>
      </c>
      <c r="B1542" s="50">
        <v>44710.9822851388</v>
      </c>
      <c r="C1542" s="51">
        <v>1.021</v>
      </c>
      <c r="D1542" s="51">
        <v>67.0</v>
      </c>
      <c r="E1542" s="52" t="s">
        <v>25</v>
      </c>
      <c r="F1542" s="52" t="s">
        <v>26</v>
      </c>
      <c r="G1542" s="53"/>
    </row>
    <row r="1543">
      <c r="A1543" s="49">
        <v>44710.86774743056</v>
      </c>
      <c r="B1543" s="50">
        <v>44710.9927290509</v>
      </c>
      <c r="C1543" s="51">
        <v>1.021</v>
      </c>
      <c r="D1543" s="51">
        <v>67.0</v>
      </c>
      <c r="E1543" s="52" t="s">
        <v>25</v>
      </c>
      <c r="F1543" s="52" t="s">
        <v>26</v>
      </c>
      <c r="G1543" s="53"/>
    </row>
    <row r="1544">
      <c r="A1544" s="49">
        <v>44710.87817898148</v>
      </c>
      <c r="B1544" s="50">
        <v>44711.0031498148</v>
      </c>
      <c r="C1544" s="51">
        <v>1.021</v>
      </c>
      <c r="D1544" s="51">
        <v>67.0</v>
      </c>
      <c r="E1544" s="52" t="s">
        <v>25</v>
      </c>
      <c r="F1544" s="52" t="s">
        <v>26</v>
      </c>
      <c r="G1544" s="53"/>
    </row>
    <row r="1545">
      <c r="A1545" s="49">
        <v>44710.888661770834</v>
      </c>
      <c r="B1545" s="50">
        <v>44711.0136263657</v>
      </c>
      <c r="C1545" s="51">
        <v>1.021</v>
      </c>
      <c r="D1545" s="51">
        <v>67.0</v>
      </c>
      <c r="E1545" s="52" t="s">
        <v>25</v>
      </c>
      <c r="F1545" s="52" t="s">
        <v>26</v>
      </c>
      <c r="G1545" s="53"/>
    </row>
    <row r="1546">
      <c r="A1546" s="49">
        <v>44710.89908671296</v>
      </c>
      <c r="B1546" s="50">
        <v>44711.0240488888</v>
      </c>
      <c r="C1546" s="51">
        <v>1.021</v>
      </c>
      <c r="D1546" s="51">
        <v>67.0</v>
      </c>
      <c r="E1546" s="52" t="s">
        <v>25</v>
      </c>
      <c r="F1546" s="52" t="s">
        <v>26</v>
      </c>
      <c r="G1546" s="53"/>
    </row>
    <row r="1547">
      <c r="A1547" s="49">
        <v>44710.909541597226</v>
      </c>
      <c r="B1547" s="50">
        <v>44711.0345043981</v>
      </c>
      <c r="C1547" s="51">
        <v>1.021</v>
      </c>
      <c r="D1547" s="51">
        <v>67.0</v>
      </c>
      <c r="E1547" s="52" t="s">
        <v>25</v>
      </c>
      <c r="F1547" s="52" t="s">
        <v>26</v>
      </c>
      <c r="G1547" s="53"/>
    </row>
    <row r="1548">
      <c r="A1548" s="49">
        <v>44710.919949884264</v>
      </c>
      <c r="B1548" s="50">
        <v>44711.0449254976</v>
      </c>
      <c r="C1548" s="51">
        <v>1.021</v>
      </c>
      <c r="D1548" s="51">
        <v>67.0</v>
      </c>
      <c r="E1548" s="52" t="s">
        <v>25</v>
      </c>
      <c r="F1548" s="52" t="s">
        <v>26</v>
      </c>
      <c r="G1548" s="53"/>
    </row>
    <row r="1549">
      <c r="A1549" s="49">
        <v>44710.93037018519</v>
      </c>
      <c r="B1549" s="50">
        <v>44711.055345405</v>
      </c>
      <c r="C1549" s="51">
        <v>1.021</v>
      </c>
      <c r="D1549" s="51">
        <v>67.0</v>
      </c>
      <c r="E1549" s="52" t="s">
        <v>25</v>
      </c>
      <c r="F1549" s="52" t="s">
        <v>26</v>
      </c>
      <c r="G1549" s="53"/>
    </row>
    <row r="1550">
      <c r="A1550" s="49">
        <v>44710.940798275464</v>
      </c>
      <c r="B1550" s="50">
        <v>44711.0657786342</v>
      </c>
      <c r="C1550" s="51">
        <v>1.021</v>
      </c>
      <c r="D1550" s="51">
        <v>67.0</v>
      </c>
      <c r="E1550" s="52" t="s">
        <v>25</v>
      </c>
      <c r="F1550" s="52" t="s">
        <v>26</v>
      </c>
      <c r="G1550" s="53"/>
    </row>
    <row r="1551">
      <c r="A1551" s="49">
        <v>44710.95122824074</v>
      </c>
      <c r="B1551" s="50">
        <v>44711.0761980787</v>
      </c>
      <c r="C1551" s="51">
        <v>1.021</v>
      </c>
      <c r="D1551" s="51">
        <v>67.0</v>
      </c>
      <c r="E1551" s="52" t="s">
        <v>25</v>
      </c>
      <c r="F1551" s="52" t="s">
        <v>26</v>
      </c>
      <c r="G1551" s="53"/>
    </row>
    <row r="1552">
      <c r="A1552" s="49">
        <v>44710.961672314814</v>
      </c>
      <c r="B1552" s="50">
        <v>44711.0866441319</v>
      </c>
      <c r="C1552" s="51">
        <v>1.021</v>
      </c>
      <c r="D1552" s="51">
        <v>67.0</v>
      </c>
      <c r="E1552" s="52" t="s">
        <v>25</v>
      </c>
      <c r="F1552" s="52" t="s">
        <v>26</v>
      </c>
      <c r="G1552" s="53"/>
    </row>
    <row r="1553">
      <c r="A1553" s="49">
        <v>44710.97209207176</v>
      </c>
      <c r="B1553" s="50">
        <v>44711.0970656481</v>
      </c>
      <c r="C1553" s="51">
        <v>1.021</v>
      </c>
      <c r="D1553" s="51">
        <v>68.0</v>
      </c>
      <c r="E1553" s="52" t="s">
        <v>25</v>
      </c>
      <c r="F1553" s="52" t="s">
        <v>26</v>
      </c>
      <c r="G1553" s="53"/>
    </row>
    <row r="1554">
      <c r="A1554" s="49">
        <v>44710.982511504626</v>
      </c>
      <c r="B1554" s="50">
        <v>44711.1074862037</v>
      </c>
      <c r="C1554" s="51">
        <v>1.021</v>
      </c>
      <c r="D1554" s="51">
        <v>68.0</v>
      </c>
      <c r="E1554" s="52" t="s">
        <v>25</v>
      </c>
      <c r="F1554" s="52" t="s">
        <v>26</v>
      </c>
      <c r="G1554" s="53"/>
    </row>
    <row r="1555">
      <c r="A1555" s="49">
        <v>44710.99293378472</v>
      </c>
      <c r="B1555" s="50">
        <v>44711.1179079282</v>
      </c>
      <c r="C1555" s="51">
        <v>1.021</v>
      </c>
      <c r="D1555" s="51">
        <v>67.0</v>
      </c>
      <c r="E1555" s="52" t="s">
        <v>25</v>
      </c>
      <c r="F1555" s="52" t="s">
        <v>26</v>
      </c>
      <c r="G1555" s="53"/>
    </row>
    <row r="1556">
      <c r="A1556" s="49">
        <v>44711.0033602662</v>
      </c>
      <c r="B1556" s="50">
        <v>44711.1283318634</v>
      </c>
      <c r="C1556" s="51">
        <v>1.021</v>
      </c>
      <c r="D1556" s="51">
        <v>68.0</v>
      </c>
      <c r="E1556" s="52" t="s">
        <v>25</v>
      </c>
      <c r="F1556" s="52" t="s">
        <v>26</v>
      </c>
      <c r="G1556" s="53"/>
    </row>
    <row r="1557">
      <c r="A1557" s="49">
        <v>44711.01378310185</v>
      </c>
      <c r="B1557" s="50">
        <v>44711.1387522338</v>
      </c>
      <c r="C1557" s="51">
        <v>1.021</v>
      </c>
      <c r="D1557" s="51">
        <v>67.0</v>
      </c>
      <c r="E1557" s="52" t="s">
        <v>25</v>
      </c>
      <c r="F1557" s="52" t="s">
        <v>26</v>
      </c>
      <c r="G1557" s="53"/>
    </row>
    <row r="1558">
      <c r="A1558" s="49">
        <v>44711.02420760416</v>
      </c>
      <c r="B1558" s="50">
        <v>44711.1491729513</v>
      </c>
      <c r="C1558" s="51">
        <v>1.021</v>
      </c>
      <c r="D1558" s="51">
        <v>68.0</v>
      </c>
      <c r="E1558" s="52" t="s">
        <v>25</v>
      </c>
      <c r="F1558" s="52" t="s">
        <v>26</v>
      </c>
      <c r="G1558" s="53"/>
    </row>
    <row r="1559">
      <c r="A1559" s="49">
        <v>44711.034623009255</v>
      </c>
      <c r="B1559" s="50">
        <v>44711.1595953819</v>
      </c>
      <c r="C1559" s="51">
        <v>1.021</v>
      </c>
      <c r="D1559" s="51">
        <v>68.0</v>
      </c>
      <c r="E1559" s="52" t="s">
        <v>25</v>
      </c>
      <c r="F1559" s="52" t="s">
        <v>26</v>
      </c>
      <c r="G1559" s="53"/>
    </row>
    <row r="1560">
      <c r="A1560" s="49">
        <v>44711.04505579861</v>
      </c>
      <c r="B1560" s="50">
        <v>44711.1700262847</v>
      </c>
      <c r="C1560" s="51">
        <v>1.021</v>
      </c>
      <c r="D1560" s="51">
        <v>68.0</v>
      </c>
      <c r="E1560" s="52" t="s">
        <v>25</v>
      </c>
      <c r="F1560" s="52" t="s">
        <v>26</v>
      </c>
      <c r="G1560" s="53"/>
    </row>
    <row r="1561">
      <c r="A1561" s="49">
        <v>44711.05547854167</v>
      </c>
      <c r="B1561" s="50">
        <v>44711.1804476388</v>
      </c>
      <c r="C1561" s="51">
        <v>1.021</v>
      </c>
      <c r="D1561" s="51">
        <v>68.0</v>
      </c>
      <c r="E1561" s="52" t="s">
        <v>25</v>
      </c>
      <c r="F1561" s="52" t="s">
        <v>26</v>
      </c>
      <c r="G1561" s="53"/>
    </row>
    <row r="1562">
      <c r="A1562" s="49">
        <v>44711.06589442129</v>
      </c>
      <c r="B1562" s="50">
        <v>44711.1908687268</v>
      </c>
      <c r="C1562" s="51">
        <v>1.021</v>
      </c>
      <c r="D1562" s="51">
        <v>68.0</v>
      </c>
      <c r="E1562" s="52" t="s">
        <v>25</v>
      </c>
      <c r="F1562" s="52" t="s">
        <v>26</v>
      </c>
      <c r="G1562" s="53"/>
    </row>
    <row r="1563">
      <c r="A1563" s="49">
        <v>44711.07630954861</v>
      </c>
      <c r="B1563" s="50">
        <v>44711.2012901851</v>
      </c>
      <c r="C1563" s="51">
        <v>1.021</v>
      </c>
      <c r="D1563" s="51">
        <v>68.0</v>
      </c>
      <c r="E1563" s="52" t="s">
        <v>25</v>
      </c>
      <c r="F1563" s="52" t="s">
        <v>26</v>
      </c>
      <c r="G1563" s="53"/>
    </row>
    <row r="1564">
      <c r="A1564" s="49">
        <v>44711.08674009259</v>
      </c>
      <c r="B1564" s="50">
        <v>44711.2117111805</v>
      </c>
      <c r="C1564" s="51">
        <v>1.021</v>
      </c>
      <c r="D1564" s="51">
        <v>68.0</v>
      </c>
      <c r="E1564" s="52" t="s">
        <v>25</v>
      </c>
      <c r="F1564" s="52" t="s">
        <v>26</v>
      </c>
      <c r="G1564" s="53"/>
    </row>
    <row r="1565">
      <c r="A1565" s="49">
        <v>44711.09718145833</v>
      </c>
      <c r="B1565" s="50">
        <v>44711.2221329282</v>
      </c>
      <c r="C1565" s="51">
        <v>1.021</v>
      </c>
      <c r="D1565" s="51">
        <v>68.0</v>
      </c>
      <c r="E1565" s="52" t="s">
        <v>25</v>
      </c>
      <c r="F1565" s="52" t="s">
        <v>26</v>
      </c>
      <c r="G1565" s="53"/>
    </row>
    <row r="1566">
      <c r="A1566" s="49">
        <v>44711.10758460648</v>
      </c>
      <c r="B1566" s="50">
        <v>44711.2325546759</v>
      </c>
      <c r="C1566" s="51">
        <v>1.021</v>
      </c>
      <c r="D1566" s="51">
        <v>68.0</v>
      </c>
      <c r="E1566" s="52" t="s">
        <v>25</v>
      </c>
      <c r="F1566" s="52" t="s">
        <v>26</v>
      </c>
      <c r="G1566" s="53"/>
    </row>
    <row r="1567">
      <c r="A1567" s="49">
        <v>44711.118002731484</v>
      </c>
      <c r="B1567" s="50">
        <v>44711.2429734143</v>
      </c>
      <c r="C1567" s="51">
        <v>1.021</v>
      </c>
      <c r="D1567" s="51">
        <v>68.0</v>
      </c>
      <c r="E1567" s="52" t="s">
        <v>25</v>
      </c>
      <c r="F1567" s="52" t="s">
        <v>26</v>
      </c>
      <c r="G1567" s="53"/>
    </row>
    <row r="1568">
      <c r="A1568" s="49">
        <v>44711.12842386574</v>
      </c>
      <c r="B1568" s="50">
        <v>44711.2533963773</v>
      </c>
      <c r="C1568" s="51">
        <v>1.021</v>
      </c>
      <c r="D1568" s="51">
        <v>68.0</v>
      </c>
      <c r="E1568" s="52" t="s">
        <v>25</v>
      </c>
      <c r="F1568" s="52" t="s">
        <v>26</v>
      </c>
      <c r="G1568" s="53"/>
    </row>
    <row r="1569">
      <c r="A1569" s="49">
        <v>44711.138839039355</v>
      </c>
      <c r="B1569" s="50">
        <v>44711.2638159259</v>
      </c>
      <c r="C1569" s="51">
        <v>1.021</v>
      </c>
      <c r="D1569" s="51">
        <v>68.0</v>
      </c>
      <c r="E1569" s="52" t="s">
        <v>25</v>
      </c>
      <c r="F1569" s="52" t="s">
        <v>26</v>
      </c>
      <c r="G1569" s="53"/>
    </row>
    <row r="1570">
      <c r="A1570" s="49">
        <v>44711.14925761574</v>
      </c>
      <c r="B1570" s="50">
        <v>44711.2742376851</v>
      </c>
      <c r="C1570" s="51">
        <v>1.021</v>
      </c>
      <c r="D1570" s="51">
        <v>68.0</v>
      </c>
      <c r="E1570" s="52" t="s">
        <v>25</v>
      </c>
      <c r="F1570" s="52" t="s">
        <v>26</v>
      </c>
      <c r="G1570" s="53"/>
    </row>
    <row r="1571">
      <c r="A1571" s="49">
        <v>44711.15969238426</v>
      </c>
      <c r="B1571" s="50">
        <v>44711.2846704629</v>
      </c>
      <c r="C1571" s="51">
        <v>1.021</v>
      </c>
      <c r="D1571" s="51">
        <v>68.0</v>
      </c>
      <c r="E1571" s="52" t="s">
        <v>25</v>
      </c>
      <c r="F1571" s="52" t="s">
        <v>26</v>
      </c>
      <c r="G1571" s="53"/>
    </row>
    <row r="1572">
      <c r="A1572" s="49">
        <v>44711.17011893519</v>
      </c>
      <c r="B1572" s="50">
        <v>44711.2950925347</v>
      </c>
      <c r="C1572" s="51">
        <v>1.021</v>
      </c>
      <c r="D1572" s="51">
        <v>68.0</v>
      </c>
      <c r="E1572" s="52" t="s">
        <v>25</v>
      </c>
      <c r="F1572" s="52" t="s">
        <v>26</v>
      </c>
      <c r="G1572" s="53"/>
    </row>
    <row r="1573">
      <c r="A1573" s="49">
        <v>44711.18053760417</v>
      </c>
      <c r="B1573" s="50">
        <v>44711.3055125115</v>
      </c>
      <c r="C1573" s="51">
        <v>1.021</v>
      </c>
      <c r="D1573" s="51">
        <v>68.0</v>
      </c>
      <c r="E1573" s="52" t="s">
        <v>25</v>
      </c>
      <c r="F1573" s="52" t="s">
        <v>26</v>
      </c>
      <c r="G1573" s="53"/>
    </row>
    <row r="1574">
      <c r="A1574" s="49">
        <v>44711.19096508102</v>
      </c>
      <c r="B1574" s="50">
        <v>44711.3159327546</v>
      </c>
      <c r="C1574" s="51">
        <v>1.021</v>
      </c>
      <c r="D1574" s="51">
        <v>68.0</v>
      </c>
      <c r="E1574" s="52" t="s">
        <v>25</v>
      </c>
      <c r="F1574" s="52" t="s">
        <v>26</v>
      </c>
      <c r="G1574" s="53"/>
    </row>
    <row r="1575">
      <c r="A1575" s="49">
        <v>44711.201378391204</v>
      </c>
      <c r="B1575" s="50">
        <v>44711.3263547685</v>
      </c>
      <c r="C1575" s="51">
        <v>1.02</v>
      </c>
      <c r="D1575" s="51">
        <v>68.0</v>
      </c>
      <c r="E1575" s="52" t="s">
        <v>25</v>
      </c>
      <c r="F1575" s="52" t="s">
        <v>26</v>
      </c>
      <c r="G1575" s="53"/>
    </row>
    <row r="1576">
      <c r="A1576" s="49">
        <v>44711.211799490746</v>
      </c>
      <c r="B1576" s="50">
        <v>44711.336776574</v>
      </c>
      <c r="C1576" s="51">
        <v>1.021</v>
      </c>
      <c r="D1576" s="51">
        <v>68.0</v>
      </c>
      <c r="E1576" s="52" t="s">
        <v>25</v>
      </c>
      <c r="F1576" s="52" t="s">
        <v>26</v>
      </c>
      <c r="G1576" s="53"/>
    </row>
    <row r="1577">
      <c r="A1577" s="49">
        <v>44711.222220972224</v>
      </c>
      <c r="B1577" s="50">
        <v>44711.3471979861</v>
      </c>
      <c r="C1577" s="51">
        <v>1.021</v>
      </c>
      <c r="D1577" s="51">
        <v>68.0</v>
      </c>
      <c r="E1577" s="52" t="s">
        <v>25</v>
      </c>
      <c r="F1577" s="52" t="s">
        <v>26</v>
      </c>
      <c r="G1577" s="53"/>
    </row>
    <row r="1578">
      <c r="A1578" s="49">
        <v>44711.23264833333</v>
      </c>
      <c r="B1578" s="50">
        <v>44711.3576314583</v>
      </c>
      <c r="C1578" s="51">
        <v>1.02</v>
      </c>
      <c r="D1578" s="51">
        <v>68.0</v>
      </c>
      <c r="E1578" s="52" t="s">
        <v>25</v>
      </c>
      <c r="F1578" s="52" t="s">
        <v>26</v>
      </c>
      <c r="G1578" s="53"/>
    </row>
    <row r="1579">
      <c r="A1579" s="49">
        <v>44711.243082395835</v>
      </c>
      <c r="B1579" s="50">
        <v>44711.3680512731</v>
      </c>
      <c r="C1579" s="51">
        <v>1.02</v>
      </c>
      <c r="D1579" s="51">
        <v>68.0</v>
      </c>
      <c r="E1579" s="52" t="s">
        <v>25</v>
      </c>
      <c r="F1579" s="52" t="s">
        <v>26</v>
      </c>
      <c r="G1579" s="53"/>
    </row>
    <row r="1580">
      <c r="A1580" s="49">
        <v>44711.25350027777</v>
      </c>
      <c r="B1580" s="50">
        <v>44711.3784741898</v>
      </c>
      <c r="C1580" s="51">
        <v>1.02</v>
      </c>
      <c r="D1580" s="51">
        <v>68.0</v>
      </c>
      <c r="E1580" s="52" t="s">
        <v>25</v>
      </c>
      <c r="F1580" s="52" t="s">
        <v>26</v>
      </c>
      <c r="G1580" s="53"/>
    </row>
    <row r="1581">
      <c r="A1581" s="49">
        <v>44711.263928518514</v>
      </c>
      <c r="B1581" s="50">
        <v>44711.3889079629</v>
      </c>
      <c r="C1581" s="51">
        <v>1.02</v>
      </c>
      <c r="D1581" s="51">
        <v>68.0</v>
      </c>
      <c r="E1581" s="52" t="s">
        <v>25</v>
      </c>
      <c r="F1581" s="52" t="s">
        <v>26</v>
      </c>
      <c r="G1581" s="53"/>
    </row>
    <row r="1582">
      <c r="A1582" s="49">
        <v>44711.27434451389</v>
      </c>
      <c r="B1582" s="50">
        <v>44711.3993294676</v>
      </c>
      <c r="C1582" s="51">
        <v>1.02</v>
      </c>
      <c r="D1582" s="51">
        <v>68.0</v>
      </c>
      <c r="E1582" s="52" t="s">
        <v>25</v>
      </c>
      <c r="F1582" s="52" t="s">
        <v>26</v>
      </c>
      <c r="G1582" s="53"/>
    </row>
    <row r="1583">
      <c r="A1583" s="49">
        <v>44711.28477805556</v>
      </c>
      <c r="B1583" s="50">
        <v>44711.4097501041</v>
      </c>
      <c r="C1583" s="51">
        <v>1.02</v>
      </c>
      <c r="D1583" s="51">
        <v>68.0</v>
      </c>
      <c r="E1583" s="52" t="s">
        <v>25</v>
      </c>
      <c r="F1583" s="52" t="s">
        <v>26</v>
      </c>
      <c r="G1583" s="53"/>
    </row>
    <row r="1584">
      <c r="A1584" s="49">
        <v>44711.29520086806</v>
      </c>
      <c r="B1584" s="50">
        <v>44711.4201721527</v>
      </c>
      <c r="C1584" s="51">
        <v>1.02</v>
      </c>
      <c r="D1584" s="51">
        <v>68.0</v>
      </c>
      <c r="E1584" s="52" t="s">
        <v>25</v>
      </c>
      <c r="F1584" s="52" t="s">
        <v>26</v>
      </c>
      <c r="G1584" s="53"/>
    </row>
    <row r="1585">
      <c r="A1585" s="49">
        <v>44711.30565792824</v>
      </c>
      <c r="B1585" s="50">
        <v>44711.4306274652</v>
      </c>
      <c r="C1585" s="51">
        <v>1.02</v>
      </c>
      <c r="D1585" s="51">
        <v>68.0</v>
      </c>
      <c r="E1585" s="52" t="s">
        <v>25</v>
      </c>
      <c r="F1585" s="52" t="s">
        <v>26</v>
      </c>
      <c r="G1585" s="53"/>
    </row>
    <row r="1586">
      <c r="A1586" s="49">
        <v>44711.31607908565</v>
      </c>
      <c r="B1586" s="50">
        <v>44711.4410485879</v>
      </c>
      <c r="C1586" s="51">
        <v>1.02</v>
      </c>
      <c r="D1586" s="51">
        <v>68.0</v>
      </c>
      <c r="E1586" s="52" t="s">
        <v>25</v>
      </c>
      <c r="F1586" s="52" t="s">
        <v>26</v>
      </c>
      <c r="G1586" s="53"/>
    </row>
    <row r="1587">
      <c r="A1587" s="49">
        <v>44711.32649126157</v>
      </c>
      <c r="B1587" s="50">
        <v>44711.4514699189</v>
      </c>
      <c r="C1587" s="51">
        <v>1.02</v>
      </c>
      <c r="D1587" s="51">
        <v>68.0</v>
      </c>
      <c r="E1587" s="52" t="s">
        <v>25</v>
      </c>
      <c r="F1587" s="52" t="s">
        <v>26</v>
      </c>
      <c r="G1587" s="53"/>
    </row>
    <row r="1588">
      <c r="A1588" s="49">
        <v>44711.336930011574</v>
      </c>
      <c r="B1588" s="50">
        <v>44711.4619015277</v>
      </c>
      <c r="C1588" s="51">
        <v>1.02</v>
      </c>
      <c r="D1588" s="51">
        <v>68.0</v>
      </c>
      <c r="E1588" s="52" t="s">
        <v>25</v>
      </c>
      <c r="F1588" s="52" t="s">
        <v>26</v>
      </c>
      <c r="G1588" s="53"/>
    </row>
    <row r="1589">
      <c r="A1589" s="49">
        <v>44711.34734097222</v>
      </c>
      <c r="B1589" s="50">
        <v>44711.4723230324</v>
      </c>
      <c r="C1589" s="51">
        <v>1.02</v>
      </c>
      <c r="D1589" s="51">
        <v>68.0</v>
      </c>
      <c r="E1589" s="52" t="s">
        <v>25</v>
      </c>
      <c r="F1589" s="52" t="s">
        <v>26</v>
      </c>
      <c r="G1589" s="53"/>
    </row>
    <row r="1590">
      <c r="A1590" s="49">
        <v>44711.357775474535</v>
      </c>
      <c r="B1590" s="50">
        <v>44711.4827443518</v>
      </c>
      <c r="C1590" s="51">
        <v>1.02</v>
      </c>
      <c r="D1590" s="51">
        <v>68.0</v>
      </c>
      <c r="E1590" s="52" t="s">
        <v>25</v>
      </c>
      <c r="F1590" s="52" t="s">
        <v>26</v>
      </c>
      <c r="G1590" s="53"/>
    </row>
    <row r="1591">
      <c r="A1591" s="49">
        <v>44711.36820710648</v>
      </c>
      <c r="B1591" s="50">
        <v>44711.4931765856</v>
      </c>
      <c r="C1591" s="51">
        <v>1.02</v>
      </c>
      <c r="D1591" s="51">
        <v>68.0</v>
      </c>
      <c r="E1591" s="52" t="s">
        <v>25</v>
      </c>
      <c r="F1591" s="52" t="s">
        <v>26</v>
      </c>
      <c r="G1591" s="53"/>
    </row>
    <row r="1592">
      <c r="A1592" s="49">
        <v>44711.37862775463</v>
      </c>
      <c r="B1592" s="50">
        <v>44711.5035975115</v>
      </c>
      <c r="C1592" s="51">
        <v>1.02</v>
      </c>
      <c r="D1592" s="51">
        <v>68.0</v>
      </c>
      <c r="E1592" s="52" t="s">
        <v>25</v>
      </c>
      <c r="F1592" s="52" t="s">
        <v>26</v>
      </c>
      <c r="G1592" s="53"/>
    </row>
    <row r="1593">
      <c r="A1593" s="49">
        <v>44711.389040995375</v>
      </c>
      <c r="B1593" s="50">
        <v>44711.5140168171</v>
      </c>
      <c r="C1593" s="51">
        <v>1.02</v>
      </c>
      <c r="D1593" s="51">
        <v>68.0</v>
      </c>
      <c r="E1593" s="52" t="s">
        <v>25</v>
      </c>
      <c r="F1593" s="52" t="s">
        <v>26</v>
      </c>
      <c r="G1593" s="53"/>
    </row>
    <row r="1594">
      <c r="A1594" s="49">
        <v>44711.39946143518</v>
      </c>
      <c r="B1594" s="50">
        <v>44711.5244376388</v>
      </c>
      <c r="C1594" s="51">
        <v>1.02</v>
      </c>
      <c r="D1594" s="51">
        <v>68.0</v>
      </c>
      <c r="E1594" s="52" t="s">
        <v>25</v>
      </c>
      <c r="F1594" s="52" t="s">
        <v>26</v>
      </c>
      <c r="G1594" s="53"/>
    </row>
    <row r="1595">
      <c r="A1595" s="49">
        <v>44711.40988027777</v>
      </c>
      <c r="B1595" s="50">
        <v>44711.5348588194</v>
      </c>
      <c r="C1595" s="51">
        <v>1.02</v>
      </c>
      <c r="D1595" s="51">
        <v>68.0</v>
      </c>
      <c r="E1595" s="52" t="s">
        <v>25</v>
      </c>
      <c r="F1595" s="52" t="s">
        <v>26</v>
      </c>
      <c r="G1595" s="53"/>
    </row>
    <row r="1596">
      <c r="A1596" s="49">
        <v>44711.420331064815</v>
      </c>
      <c r="B1596" s="50">
        <v>44711.5452933217</v>
      </c>
      <c r="C1596" s="51">
        <v>1.02</v>
      </c>
      <c r="D1596" s="51">
        <v>68.0</v>
      </c>
      <c r="E1596" s="52" t="s">
        <v>25</v>
      </c>
      <c r="F1596" s="52" t="s">
        <v>26</v>
      </c>
      <c r="G1596" s="53"/>
    </row>
    <row r="1597">
      <c r="A1597" s="49">
        <v>44711.43074880787</v>
      </c>
      <c r="B1597" s="50">
        <v>44711.5557263425</v>
      </c>
      <c r="C1597" s="51">
        <v>1.02</v>
      </c>
      <c r="D1597" s="51">
        <v>68.0</v>
      </c>
      <c r="E1597" s="52" t="s">
        <v>25</v>
      </c>
      <c r="F1597" s="52" t="s">
        <v>26</v>
      </c>
      <c r="G1597" s="53"/>
    </row>
    <row r="1598">
      <c r="A1598" s="49">
        <v>44711.441173263884</v>
      </c>
      <c r="B1598" s="50">
        <v>44711.5661468518</v>
      </c>
      <c r="C1598" s="51">
        <v>1.02</v>
      </c>
      <c r="D1598" s="51">
        <v>68.0</v>
      </c>
      <c r="E1598" s="52" t="s">
        <v>25</v>
      </c>
      <c r="F1598" s="52" t="s">
        <v>26</v>
      </c>
      <c r="G1598" s="53"/>
    </row>
    <row r="1599">
      <c r="A1599" s="49">
        <v>44711.45158443287</v>
      </c>
      <c r="B1599" s="50">
        <v>44711.5765683449</v>
      </c>
      <c r="C1599" s="51">
        <v>1.02</v>
      </c>
      <c r="D1599" s="51">
        <v>68.0</v>
      </c>
      <c r="E1599" s="52" t="s">
        <v>25</v>
      </c>
      <c r="F1599" s="52" t="s">
        <v>26</v>
      </c>
      <c r="G1599" s="53"/>
    </row>
    <row r="1600">
      <c r="A1600" s="49">
        <v>44711.462014756944</v>
      </c>
      <c r="B1600" s="50">
        <v>44711.5869884722</v>
      </c>
      <c r="C1600" s="51">
        <v>1.02</v>
      </c>
      <c r="D1600" s="51">
        <v>68.0</v>
      </c>
      <c r="E1600" s="52" t="s">
        <v>25</v>
      </c>
      <c r="F1600" s="52" t="s">
        <v>26</v>
      </c>
      <c r="G1600" s="53"/>
    </row>
    <row r="1601">
      <c r="A1601" s="49">
        <v>44711.47245513889</v>
      </c>
      <c r="B1601" s="50">
        <v>44711.5974313888</v>
      </c>
      <c r="C1601" s="51">
        <v>1.019</v>
      </c>
      <c r="D1601" s="51">
        <v>68.0</v>
      </c>
      <c r="E1601" s="52" t="s">
        <v>25</v>
      </c>
      <c r="F1601" s="52" t="s">
        <v>26</v>
      </c>
      <c r="G1601" s="53"/>
    </row>
    <row r="1602">
      <c r="A1602" s="49">
        <v>44711.48287980324</v>
      </c>
      <c r="B1602" s="50">
        <v>44711.6078530324</v>
      </c>
      <c r="C1602" s="51">
        <v>1.019</v>
      </c>
      <c r="D1602" s="51">
        <v>68.0</v>
      </c>
      <c r="E1602" s="52" t="s">
        <v>25</v>
      </c>
      <c r="F1602" s="52" t="s">
        <v>26</v>
      </c>
      <c r="G1602" s="53"/>
    </row>
    <row r="1603">
      <c r="A1603" s="49">
        <v>44711.49329381944</v>
      </c>
      <c r="B1603" s="50">
        <v>44711.6182745023</v>
      </c>
      <c r="C1603" s="51">
        <v>1.019</v>
      </c>
      <c r="D1603" s="51">
        <v>68.0</v>
      </c>
      <c r="E1603" s="52" t="s">
        <v>25</v>
      </c>
      <c r="F1603" s="52" t="s">
        <v>26</v>
      </c>
      <c r="G1603" s="53"/>
    </row>
    <row r="1604">
      <c r="A1604" s="49">
        <v>44711.503714074075</v>
      </c>
      <c r="B1604" s="50">
        <v>44711.628695324</v>
      </c>
      <c r="C1604" s="51">
        <v>1.019</v>
      </c>
      <c r="D1604" s="51">
        <v>68.0</v>
      </c>
      <c r="E1604" s="52" t="s">
        <v>25</v>
      </c>
      <c r="F1604" s="52" t="s">
        <v>26</v>
      </c>
      <c r="G1604" s="53"/>
    </row>
    <row r="1605">
      <c r="A1605" s="49">
        <v>44711.514157303245</v>
      </c>
      <c r="B1605" s="50">
        <v>44711.6391272222</v>
      </c>
      <c r="C1605" s="51">
        <v>1.02</v>
      </c>
      <c r="D1605" s="51">
        <v>68.0</v>
      </c>
      <c r="E1605" s="52" t="s">
        <v>25</v>
      </c>
      <c r="F1605" s="52" t="s">
        <v>26</v>
      </c>
      <c r="G1605" s="53"/>
    </row>
    <row r="1606">
      <c r="A1606" s="49">
        <v>44711.52456913194</v>
      </c>
      <c r="B1606" s="50">
        <v>44711.6495486226</v>
      </c>
      <c r="C1606" s="51">
        <v>1.019</v>
      </c>
      <c r="D1606" s="51">
        <v>68.0</v>
      </c>
      <c r="E1606" s="52" t="s">
        <v>25</v>
      </c>
      <c r="F1606" s="52" t="s">
        <v>26</v>
      </c>
      <c r="G1606" s="53"/>
    </row>
    <row r="1607">
      <c r="A1607" s="49">
        <v>44711.53500020833</v>
      </c>
      <c r="B1607" s="50">
        <v>44711.6599719907</v>
      </c>
      <c r="C1607" s="51">
        <v>1.02</v>
      </c>
      <c r="D1607" s="51">
        <v>68.0</v>
      </c>
      <c r="E1607" s="52" t="s">
        <v>25</v>
      </c>
      <c r="F1607" s="52" t="s">
        <v>26</v>
      </c>
      <c r="G1607" s="53"/>
    </row>
    <row r="1608">
      <c r="A1608" s="49">
        <v>44711.545408645834</v>
      </c>
      <c r="B1608" s="50">
        <v>44711.6703918981</v>
      </c>
      <c r="C1608" s="51">
        <v>1.019</v>
      </c>
      <c r="D1608" s="51">
        <v>68.0</v>
      </c>
      <c r="E1608" s="52" t="s">
        <v>25</v>
      </c>
      <c r="F1608" s="52" t="s">
        <v>26</v>
      </c>
      <c r="G1608" s="53"/>
    </row>
    <row r="1609">
      <c r="A1609" s="49">
        <v>44711.55584261574</v>
      </c>
      <c r="B1609" s="50">
        <v>44711.6808155324</v>
      </c>
      <c r="C1609" s="51">
        <v>1.02</v>
      </c>
      <c r="D1609" s="51">
        <v>68.0</v>
      </c>
      <c r="E1609" s="52" t="s">
        <v>25</v>
      </c>
      <c r="F1609" s="52" t="s">
        <v>26</v>
      </c>
      <c r="G1609" s="53"/>
    </row>
    <row r="1610">
      <c r="A1610" s="49">
        <v>44711.56625915509</v>
      </c>
      <c r="B1610" s="50">
        <v>44711.6912351736</v>
      </c>
      <c r="C1610" s="51">
        <v>1.019</v>
      </c>
      <c r="D1610" s="51">
        <v>68.0</v>
      </c>
      <c r="E1610" s="52" t="s">
        <v>25</v>
      </c>
      <c r="F1610" s="52" t="s">
        <v>26</v>
      </c>
      <c r="G1610" s="53"/>
    </row>
    <row r="1611">
      <c r="A1611" s="49">
        <v>44711.57667978009</v>
      </c>
      <c r="B1611" s="50">
        <v>44711.7016549537</v>
      </c>
      <c r="C1611" s="51">
        <v>1.019</v>
      </c>
      <c r="D1611" s="51">
        <v>68.0</v>
      </c>
      <c r="E1611" s="52" t="s">
        <v>25</v>
      </c>
      <c r="F1611" s="52" t="s">
        <v>26</v>
      </c>
      <c r="G1611" s="53"/>
    </row>
    <row r="1612">
      <c r="A1612" s="49">
        <v>44711.58709925926</v>
      </c>
      <c r="B1612" s="50">
        <v>44711.7120745833</v>
      </c>
      <c r="C1612" s="51">
        <v>1.019</v>
      </c>
      <c r="D1612" s="51">
        <v>68.0</v>
      </c>
      <c r="E1612" s="52" t="s">
        <v>25</v>
      </c>
      <c r="F1612" s="52" t="s">
        <v>26</v>
      </c>
      <c r="G1612" s="53"/>
    </row>
    <row r="1613">
      <c r="A1613" s="49">
        <v>44711.597520034724</v>
      </c>
      <c r="B1613" s="50">
        <v>44711.7224956134</v>
      </c>
      <c r="C1613" s="51">
        <v>1.019</v>
      </c>
      <c r="D1613" s="51">
        <v>68.0</v>
      </c>
      <c r="E1613" s="52" t="s">
        <v>25</v>
      </c>
      <c r="F1613" s="52" t="s">
        <v>26</v>
      </c>
      <c r="G1613" s="53"/>
    </row>
    <row r="1614">
      <c r="A1614" s="49">
        <v>44711.60793784722</v>
      </c>
      <c r="B1614" s="50">
        <v>44711.7329184027</v>
      </c>
      <c r="C1614" s="51">
        <v>1.019</v>
      </c>
      <c r="D1614" s="51">
        <v>68.0</v>
      </c>
      <c r="E1614" s="52" t="s">
        <v>25</v>
      </c>
      <c r="F1614" s="52" t="s">
        <v>26</v>
      </c>
      <c r="G1614" s="53"/>
    </row>
    <row r="1615">
      <c r="A1615" s="49">
        <v>44711.61835597223</v>
      </c>
      <c r="B1615" s="50">
        <v>44711.7433401388</v>
      </c>
      <c r="C1615" s="51">
        <v>1.019</v>
      </c>
      <c r="D1615" s="51">
        <v>68.0</v>
      </c>
      <c r="E1615" s="52" t="s">
        <v>25</v>
      </c>
      <c r="F1615" s="52" t="s">
        <v>26</v>
      </c>
      <c r="G1615" s="53"/>
    </row>
    <row r="1616">
      <c r="A1616" s="49">
        <v>44711.62881072916</v>
      </c>
      <c r="B1616" s="50">
        <v>44711.7537841088</v>
      </c>
      <c r="C1616" s="51">
        <v>1.019</v>
      </c>
      <c r="D1616" s="51">
        <v>68.0</v>
      </c>
      <c r="E1616" s="52" t="s">
        <v>25</v>
      </c>
      <c r="F1616" s="52" t="s">
        <v>26</v>
      </c>
      <c r="G1616" s="53"/>
    </row>
    <row r="1617">
      <c r="A1617" s="49">
        <v>44711.63923291667</v>
      </c>
      <c r="B1617" s="50">
        <v>44711.7642053125</v>
      </c>
      <c r="C1617" s="51">
        <v>1.019</v>
      </c>
      <c r="D1617" s="51">
        <v>68.0</v>
      </c>
      <c r="E1617" s="52" t="s">
        <v>25</v>
      </c>
      <c r="F1617" s="52" t="s">
        <v>26</v>
      </c>
      <c r="G1617" s="53"/>
    </row>
    <row r="1618">
      <c r="A1618" s="49">
        <v>44711.649653043976</v>
      </c>
      <c r="B1618" s="50">
        <v>44711.7746272916</v>
      </c>
      <c r="C1618" s="51">
        <v>1.019</v>
      </c>
      <c r="D1618" s="51">
        <v>68.0</v>
      </c>
      <c r="E1618" s="52" t="s">
        <v>25</v>
      </c>
      <c r="F1618" s="52" t="s">
        <v>26</v>
      </c>
      <c r="G1618" s="53"/>
    </row>
    <row r="1619">
      <c r="A1619" s="49">
        <v>44711.66007398148</v>
      </c>
      <c r="B1619" s="50">
        <v>44711.7850485879</v>
      </c>
      <c r="C1619" s="51">
        <v>1.019</v>
      </c>
      <c r="D1619" s="51">
        <v>68.0</v>
      </c>
      <c r="E1619" s="52" t="s">
        <v>25</v>
      </c>
      <c r="F1619" s="52" t="s">
        <v>26</v>
      </c>
      <c r="G1619" s="53"/>
    </row>
    <row r="1620">
      <c r="A1620" s="49">
        <v>44711.67049962963</v>
      </c>
      <c r="B1620" s="50">
        <v>44711.7954690046</v>
      </c>
      <c r="C1620" s="51">
        <v>1.019</v>
      </c>
      <c r="D1620" s="51">
        <v>68.0</v>
      </c>
      <c r="E1620" s="52" t="s">
        <v>25</v>
      </c>
      <c r="F1620" s="52" t="s">
        <v>26</v>
      </c>
      <c r="G1620" s="53"/>
    </row>
    <row r="1621">
      <c r="A1621" s="49">
        <v>44711.68092480324</v>
      </c>
      <c r="B1621" s="50">
        <v>44711.8059011805</v>
      </c>
      <c r="C1621" s="51">
        <v>1.019</v>
      </c>
      <c r="D1621" s="51">
        <v>68.0</v>
      </c>
      <c r="E1621" s="52" t="s">
        <v>25</v>
      </c>
      <c r="F1621" s="52" t="s">
        <v>26</v>
      </c>
      <c r="G1621" s="53"/>
    </row>
    <row r="1622">
      <c r="A1622" s="49">
        <v>44711.69137068287</v>
      </c>
      <c r="B1622" s="50">
        <v>44711.8163460416</v>
      </c>
      <c r="C1622" s="51">
        <v>1.019</v>
      </c>
      <c r="D1622" s="51">
        <v>68.0</v>
      </c>
      <c r="E1622" s="52" t="s">
        <v>25</v>
      </c>
      <c r="F1622" s="52" t="s">
        <v>26</v>
      </c>
      <c r="G1622" s="53"/>
    </row>
    <row r="1623">
      <c r="A1623" s="49">
        <v>44711.70178587963</v>
      </c>
      <c r="B1623" s="50">
        <v>44711.8267669444</v>
      </c>
      <c r="C1623" s="51">
        <v>1.018</v>
      </c>
      <c r="D1623" s="51">
        <v>68.0</v>
      </c>
      <c r="E1623" s="52" t="s">
        <v>25</v>
      </c>
      <c r="F1623" s="52" t="s">
        <v>26</v>
      </c>
      <c r="G1623" s="53"/>
    </row>
    <row r="1624">
      <c r="A1624" s="49">
        <v>44711.71229592593</v>
      </c>
      <c r="B1624" s="50">
        <v>44711.8372692824</v>
      </c>
      <c r="C1624" s="51">
        <v>1.019</v>
      </c>
      <c r="D1624" s="51">
        <v>68.0</v>
      </c>
      <c r="E1624" s="52" t="s">
        <v>25</v>
      </c>
      <c r="F1624" s="52" t="s">
        <v>26</v>
      </c>
      <c r="G1624" s="53"/>
    </row>
    <row r="1625">
      <c r="A1625" s="49">
        <v>44711.722716331016</v>
      </c>
      <c r="B1625" s="50">
        <v>44711.8476910185</v>
      </c>
      <c r="C1625" s="51">
        <v>1.019</v>
      </c>
      <c r="D1625" s="51">
        <v>68.0</v>
      </c>
      <c r="E1625" s="52" t="s">
        <v>25</v>
      </c>
      <c r="F1625" s="52" t="s">
        <v>26</v>
      </c>
      <c r="G1625" s="53"/>
    </row>
    <row r="1626">
      <c r="A1626" s="49">
        <v>44711.73313678241</v>
      </c>
      <c r="B1626" s="50">
        <v>44711.8581122801</v>
      </c>
      <c r="C1626" s="51">
        <v>1.019</v>
      </c>
      <c r="D1626" s="51">
        <v>68.0</v>
      </c>
      <c r="E1626" s="52" t="s">
        <v>25</v>
      </c>
      <c r="F1626" s="52" t="s">
        <v>26</v>
      </c>
      <c r="G1626" s="53"/>
    </row>
    <row r="1627">
      <c r="A1627" s="49">
        <v>44711.74356202546</v>
      </c>
      <c r="B1627" s="50">
        <v>44711.8685455439</v>
      </c>
      <c r="C1627" s="51">
        <v>1.019</v>
      </c>
      <c r="D1627" s="51">
        <v>68.0</v>
      </c>
      <c r="E1627" s="52" t="s">
        <v>25</v>
      </c>
      <c r="F1627" s="52" t="s">
        <v>26</v>
      </c>
      <c r="G1627" s="53"/>
    </row>
    <row r="1628">
      <c r="A1628" s="49">
        <v>44711.75399697917</v>
      </c>
      <c r="B1628" s="50">
        <v>44711.8789784953</v>
      </c>
      <c r="C1628" s="51">
        <v>1.019</v>
      </c>
      <c r="D1628" s="51">
        <v>68.0</v>
      </c>
      <c r="E1628" s="52" t="s">
        <v>25</v>
      </c>
      <c r="F1628" s="52" t="s">
        <v>26</v>
      </c>
      <c r="G1628" s="53"/>
    </row>
    <row r="1629">
      <c r="A1629" s="49">
        <v>44711.764415625</v>
      </c>
      <c r="B1629" s="50">
        <v>44711.8893989004</v>
      </c>
      <c r="C1629" s="51">
        <v>1.019</v>
      </c>
      <c r="D1629" s="51">
        <v>68.0</v>
      </c>
      <c r="E1629" s="52" t="s">
        <v>25</v>
      </c>
      <c r="F1629" s="52" t="s">
        <v>26</v>
      </c>
      <c r="G1629" s="53"/>
    </row>
    <row r="1630">
      <c r="A1630" s="49">
        <v>44711.7748732176</v>
      </c>
      <c r="B1630" s="50">
        <v>44711.8998434027</v>
      </c>
      <c r="C1630" s="51">
        <v>1.019</v>
      </c>
      <c r="D1630" s="51">
        <v>68.0</v>
      </c>
      <c r="E1630" s="52" t="s">
        <v>25</v>
      </c>
      <c r="F1630" s="52" t="s">
        <v>26</v>
      </c>
      <c r="G1630" s="53"/>
    </row>
    <row r="1631">
      <c r="A1631" s="49">
        <v>44711.78529133102</v>
      </c>
      <c r="B1631" s="50">
        <v>44711.9102649305</v>
      </c>
      <c r="C1631" s="51">
        <v>1.019</v>
      </c>
      <c r="D1631" s="51">
        <v>68.0</v>
      </c>
      <c r="E1631" s="52" t="s">
        <v>25</v>
      </c>
      <c r="F1631" s="52" t="s">
        <v>26</v>
      </c>
      <c r="G1631" s="53"/>
    </row>
    <row r="1632">
      <c r="A1632" s="49">
        <v>44711.79572189815</v>
      </c>
      <c r="B1632" s="50">
        <v>44711.9206984722</v>
      </c>
      <c r="C1632" s="51">
        <v>1.019</v>
      </c>
      <c r="D1632" s="51">
        <v>68.0</v>
      </c>
      <c r="E1632" s="52" t="s">
        <v>25</v>
      </c>
      <c r="F1632" s="52" t="s">
        <v>26</v>
      </c>
      <c r="G1632" s="53"/>
    </row>
    <row r="1633">
      <c r="A1633" s="49">
        <v>44711.80613490741</v>
      </c>
      <c r="B1633" s="50">
        <v>44711.9311184375</v>
      </c>
      <c r="C1633" s="51">
        <v>1.019</v>
      </c>
      <c r="D1633" s="51">
        <v>69.0</v>
      </c>
      <c r="E1633" s="52" t="s">
        <v>25</v>
      </c>
      <c r="F1633" s="52" t="s">
        <v>26</v>
      </c>
      <c r="G1633" s="53"/>
    </row>
    <row r="1634">
      <c r="A1634" s="49">
        <v>44711.81656770833</v>
      </c>
      <c r="B1634" s="50">
        <v>44711.9415402777</v>
      </c>
      <c r="C1634" s="51">
        <v>1.019</v>
      </c>
      <c r="D1634" s="51">
        <v>69.0</v>
      </c>
      <c r="E1634" s="52" t="s">
        <v>25</v>
      </c>
      <c r="F1634" s="52" t="s">
        <v>26</v>
      </c>
      <c r="G1634" s="53"/>
    </row>
    <row r="1635">
      <c r="A1635" s="49">
        <v>44711.82698614583</v>
      </c>
      <c r="B1635" s="50">
        <v>44711.951971655</v>
      </c>
      <c r="C1635" s="51">
        <v>1.019</v>
      </c>
      <c r="D1635" s="51">
        <v>69.0</v>
      </c>
      <c r="E1635" s="52" t="s">
        <v>25</v>
      </c>
      <c r="F1635" s="52" t="s">
        <v>26</v>
      </c>
      <c r="G1635" s="53"/>
    </row>
    <row r="1636">
      <c r="A1636" s="49">
        <v>44711.83740739583</v>
      </c>
      <c r="B1636" s="50">
        <v>44711.962392037</v>
      </c>
      <c r="C1636" s="51">
        <v>1.019</v>
      </c>
      <c r="D1636" s="51">
        <v>69.0</v>
      </c>
      <c r="E1636" s="52" t="s">
        <v>25</v>
      </c>
      <c r="F1636" s="52" t="s">
        <v>26</v>
      </c>
      <c r="G1636" s="53"/>
    </row>
    <row r="1637">
      <c r="A1637" s="49">
        <v>44711.84783269676</v>
      </c>
      <c r="B1637" s="50">
        <v>44711.9728120833</v>
      </c>
      <c r="C1637" s="51">
        <v>1.018</v>
      </c>
      <c r="D1637" s="51">
        <v>69.0</v>
      </c>
      <c r="E1637" s="52" t="s">
        <v>25</v>
      </c>
      <c r="F1637" s="52" t="s">
        <v>26</v>
      </c>
      <c r="G1637" s="53"/>
    </row>
    <row r="1638">
      <c r="A1638" s="49">
        <v>44711.858258657405</v>
      </c>
      <c r="B1638" s="50">
        <v>44711.9832324305</v>
      </c>
      <c r="C1638" s="51">
        <v>1.019</v>
      </c>
      <c r="D1638" s="51">
        <v>69.0</v>
      </c>
      <c r="E1638" s="52" t="s">
        <v>25</v>
      </c>
      <c r="F1638" s="52" t="s">
        <v>26</v>
      </c>
      <c r="G1638" s="53"/>
    </row>
    <row r="1639">
      <c r="A1639" s="49">
        <v>44711.86867302083</v>
      </c>
      <c r="B1639" s="50">
        <v>44711.9936529398</v>
      </c>
      <c r="C1639" s="51">
        <v>1.018</v>
      </c>
      <c r="D1639" s="51">
        <v>69.0</v>
      </c>
      <c r="E1639" s="52" t="s">
        <v>25</v>
      </c>
      <c r="F1639" s="52" t="s">
        <v>26</v>
      </c>
      <c r="G1639" s="53"/>
    </row>
    <row r="1640">
      <c r="A1640" s="49">
        <v>44711.879096874996</v>
      </c>
      <c r="B1640" s="50">
        <v>44712.0040736689</v>
      </c>
      <c r="C1640" s="51">
        <v>1.018</v>
      </c>
      <c r="D1640" s="51">
        <v>69.0</v>
      </c>
      <c r="E1640" s="52" t="s">
        <v>25</v>
      </c>
      <c r="F1640" s="52" t="s">
        <v>26</v>
      </c>
      <c r="G1640" s="53"/>
    </row>
    <row r="1641">
      <c r="A1641" s="49">
        <v>44711.88951238426</v>
      </c>
      <c r="B1641" s="50">
        <v>44712.0144945254</v>
      </c>
      <c r="C1641" s="51">
        <v>1.019</v>
      </c>
      <c r="D1641" s="51">
        <v>69.0</v>
      </c>
      <c r="E1641" s="52" t="s">
        <v>25</v>
      </c>
      <c r="F1641" s="52" t="s">
        <v>26</v>
      </c>
      <c r="G1641" s="53"/>
    </row>
    <row r="1642">
      <c r="A1642" s="49">
        <v>44711.899974050924</v>
      </c>
      <c r="B1642" s="50">
        <v>44712.0249167361</v>
      </c>
      <c r="C1642" s="51">
        <v>1.018</v>
      </c>
      <c r="D1642" s="51">
        <v>69.0</v>
      </c>
      <c r="E1642" s="52" t="s">
        <v>25</v>
      </c>
      <c r="F1642" s="52" t="s">
        <v>26</v>
      </c>
      <c r="G1642" s="53"/>
    </row>
    <row r="1643">
      <c r="A1643" s="49">
        <v>44711.910364421296</v>
      </c>
      <c r="B1643" s="50">
        <v>44712.0353384143</v>
      </c>
      <c r="C1643" s="51">
        <v>1.018</v>
      </c>
      <c r="D1643" s="51">
        <v>69.0</v>
      </c>
      <c r="E1643" s="52" t="s">
        <v>25</v>
      </c>
      <c r="F1643" s="52" t="s">
        <v>26</v>
      </c>
      <c r="G1643" s="53"/>
    </row>
    <row r="1644">
      <c r="A1644" s="49">
        <v>44711.920796226856</v>
      </c>
      <c r="B1644" s="50">
        <v>44712.0457706018</v>
      </c>
      <c r="C1644" s="51">
        <v>1.018</v>
      </c>
      <c r="D1644" s="51">
        <v>69.0</v>
      </c>
      <c r="E1644" s="52" t="s">
        <v>25</v>
      </c>
      <c r="F1644" s="52" t="s">
        <v>26</v>
      </c>
      <c r="G1644" s="53"/>
    </row>
    <row r="1645">
      <c r="A1645" s="49">
        <v>44711.931226863424</v>
      </c>
      <c r="B1645" s="50">
        <v>44712.0562029861</v>
      </c>
      <c r="C1645" s="51">
        <v>1.018</v>
      </c>
      <c r="D1645" s="51">
        <v>69.0</v>
      </c>
      <c r="E1645" s="52" t="s">
        <v>25</v>
      </c>
      <c r="F1645" s="52" t="s">
        <v>26</v>
      </c>
      <c r="G1645" s="53"/>
    </row>
    <row r="1646">
      <c r="A1646" s="49">
        <v>44711.941643541664</v>
      </c>
      <c r="B1646" s="50">
        <v>44712.0666219212</v>
      </c>
      <c r="C1646" s="51">
        <v>1.018</v>
      </c>
      <c r="D1646" s="51">
        <v>69.0</v>
      </c>
      <c r="E1646" s="52" t="s">
        <v>25</v>
      </c>
      <c r="F1646" s="52" t="s">
        <v>26</v>
      </c>
      <c r="G1646" s="53"/>
    </row>
    <row r="1647">
      <c r="A1647" s="49">
        <v>44711.95206956018</v>
      </c>
      <c r="B1647" s="50">
        <v>44712.0770414814</v>
      </c>
      <c r="C1647" s="51">
        <v>1.018</v>
      </c>
      <c r="D1647" s="51">
        <v>69.0</v>
      </c>
      <c r="E1647" s="52" t="s">
        <v>25</v>
      </c>
      <c r="F1647" s="52" t="s">
        <v>26</v>
      </c>
      <c r="G1647" s="53"/>
    </row>
    <row r="1648">
      <c r="A1648" s="49">
        <v>44711.962483125</v>
      </c>
      <c r="B1648" s="50">
        <v>44712.0874611689</v>
      </c>
      <c r="C1648" s="51">
        <v>1.018</v>
      </c>
      <c r="D1648" s="51">
        <v>69.0</v>
      </c>
      <c r="E1648" s="52" t="s">
        <v>25</v>
      </c>
      <c r="F1648" s="52" t="s">
        <v>26</v>
      </c>
      <c r="G1648" s="53"/>
    </row>
    <row r="1649">
      <c r="A1649" s="49">
        <v>44711.972913749996</v>
      </c>
      <c r="B1649" s="50">
        <v>44712.0978945949</v>
      </c>
      <c r="C1649" s="51">
        <v>1.018</v>
      </c>
      <c r="D1649" s="51">
        <v>69.0</v>
      </c>
      <c r="E1649" s="52" t="s">
        <v>25</v>
      </c>
      <c r="F1649" s="52" t="s">
        <v>26</v>
      </c>
      <c r="G1649" s="53"/>
    </row>
    <row r="1650">
      <c r="A1650" s="49">
        <v>44711.98336594907</v>
      </c>
      <c r="B1650" s="50">
        <v>44712.1083398148</v>
      </c>
      <c r="C1650" s="51">
        <v>1.018</v>
      </c>
      <c r="D1650" s="51">
        <v>69.0</v>
      </c>
      <c r="E1650" s="52" t="s">
        <v>25</v>
      </c>
      <c r="F1650" s="52" t="s">
        <v>26</v>
      </c>
      <c r="G1650" s="53"/>
    </row>
    <row r="1651">
      <c r="A1651" s="49">
        <v>44711.99382349537</v>
      </c>
      <c r="B1651" s="50">
        <v>44712.1187960648</v>
      </c>
      <c r="C1651" s="51">
        <v>1.018</v>
      </c>
      <c r="D1651" s="51">
        <v>69.0</v>
      </c>
      <c r="E1651" s="52" t="s">
        <v>25</v>
      </c>
      <c r="F1651" s="52" t="s">
        <v>26</v>
      </c>
      <c r="G1651" s="53"/>
    </row>
    <row r="1652">
      <c r="A1652" s="49">
        <v>44712.00423571759</v>
      </c>
      <c r="B1652" s="50">
        <v>44712.1292162268</v>
      </c>
      <c r="C1652" s="51">
        <v>1.018</v>
      </c>
      <c r="D1652" s="51">
        <v>69.0</v>
      </c>
      <c r="E1652" s="52" t="s">
        <v>25</v>
      </c>
      <c r="F1652" s="52" t="s">
        <v>26</v>
      </c>
      <c r="G1652" s="53"/>
    </row>
    <row r="1653">
      <c r="A1653" s="49">
        <v>44712.014669490745</v>
      </c>
      <c r="B1653" s="50">
        <v>44712.1396389699</v>
      </c>
      <c r="C1653" s="51">
        <v>1.018</v>
      </c>
      <c r="D1653" s="51">
        <v>69.0</v>
      </c>
      <c r="E1653" s="52" t="s">
        <v>25</v>
      </c>
      <c r="F1653" s="52" t="s">
        <v>26</v>
      </c>
      <c r="G1653" s="53"/>
    </row>
    <row r="1654">
      <c r="A1654" s="49">
        <v>44712.02508673611</v>
      </c>
      <c r="B1654" s="50">
        <v>44712.150058206</v>
      </c>
      <c r="C1654" s="51">
        <v>1.018</v>
      </c>
      <c r="D1654" s="51">
        <v>69.0</v>
      </c>
      <c r="E1654" s="52" t="s">
        <v>25</v>
      </c>
      <c r="F1654" s="52" t="s">
        <v>26</v>
      </c>
      <c r="G1654" s="53"/>
    </row>
    <row r="1655">
      <c r="A1655" s="49">
        <v>44712.03550657407</v>
      </c>
      <c r="B1655" s="50">
        <v>44712.1604780902</v>
      </c>
      <c r="C1655" s="51">
        <v>1.018</v>
      </c>
      <c r="D1655" s="51">
        <v>69.0</v>
      </c>
      <c r="E1655" s="52" t="s">
        <v>25</v>
      </c>
      <c r="F1655" s="52" t="s">
        <v>26</v>
      </c>
      <c r="G1655" s="53"/>
    </row>
    <row r="1656">
      <c r="A1656" s="49">
        <v>44712.045929699074</v>
      </c>
      <c r="B1656" s="50">
        <v>44712.1708990856</v>
      </c>
      <c r="C1656" s="51">
        <v>1.018</v>
      </c>
      <c r="D1656" s="51">
        <v>69.0</v>
      </c>
      <c r="E1656" s="52" t="s">
        <v>25</v>
      </c>
      <c r="F1656" s="52" t="s">
        <v>26</v>
      </c>
      <c r="G1656" s="53"/>
    </row>
    <row r="1657">
      <c r="A1657" s="49">
        <v>44712.05634473379</v>
      </c>
      <c r="B1657" s="50">
        <v>44712.1813205787</v>
      </c>
      <c r="C1657" s="51">
        <v>1.018</v>
      </c>
      <c r="D1657" s="51">
        <v>69.0</v>
      </c>
      <c r="E1657" s="52" t="s">
        <v>25</v>
      </c>
      <c r="F1657" s="52" t="s">
        <v>26</v>
      </c>
      <c r="G1657" s="53"/>
    </row>
    <row r="1658">
      <c r="A1658" s="49">
        <v>44712.06677538194</v>
      </c>
      <c r="B1658" s="50">
        <v>44712.1917517824</v>
      </c>
      <c r="C1658" s="51">
        <v>1.018</v>
      </c>
      <c r="D1658" s="51">
        <v>69.0</v>
      </c>
      <c r="E1658" s="52" t="s">
        <v>25</v>
      </c>
      <c r="F1658" s="52" t="s">
        <v>26</v>
      </c>
      <c r="G1658" s="53"/>
    </row>
    <row r="1659">
      <c r="A1659" s="49">
        <v>44712.07719887732</v>
      </c>
      <c r="B1659" s="50">
        <v>44712.2021723148</v>
      </c>
      <c r="C1659" s="51">
        <v>1.018</v>
      </c>
      <c r="D1659" s="51">
        <v>69.0</v>
      </c>
      <c r="E1659" s="52" t="s">
        <v>25</v>
      </c>
      <c r="F1659" s="52" t="s">
        <v>26</v>
      </c>
      <c r="G1659" s="53"/>
    </row>
    <row r="1660">
      <c r="A1660" s="49">
        <v>44712.0876982176</v>
      </c>
      <c r="B1660" s="50">
        <v>44712.2125932754</v>
      </c>
      <c r="C1660" s="51">
        <v>1.018</v>
      </c>
      <c r="D1660" s="51">
        <v>69.0</v>
      </c>
      <c r="E1660" s="52" t="s">
        <v>25</v>
      </c>
      <c r="F1660" s="52" t="s">
        <v>26</v>
      </c>
      <c r="G1660" s="53"/>
    </row>
    <row r="1661">
      <c r="A1661" s="49">
        <v>44712.098032118054</v>
      </c>
      <c r="B1661" s="50">
        <v>44712.2230165856</v>
      </c>
      <c r="C1661" s="51">
        <v>1.018</v>
      </c>
      <c r="D1661" s="51">
        <v>69.0</v>
      </c>
      <c r="E1661" s="52" t="s">
        <v>25</v>
      </c>
      <c r="F1661" s="52" t="s">
        <v>26</v>
      </c>
      <c r="G1661" s="53"/>
    </row>
    <row r="1662">
      <c r="A1662" s="49">
        <v>44712.10846819445</v>
      </c>
      <c r="B1662" s="50">
        <v>44712.2334389699</v>
      </c>
      <c r="C1662" s="51">
        <v>1.018</v>
      </c>
      <c r="D1662" s="51">
        <v>69.0</v>
      </c>
      <c r="E1662" s="52" t="s">
        <v>25</v>
      </c>
      <c r="F1662" s="52" t="s">
        <v>26</v>
      </c>
      <c r="G1662" s="53"/>
    </row>
    <row r="1663">
      <c r="A1663" s="49">
        <v>44712.11889219907</v>
      </c>
      <c r="B1663" s="50">
        <v>44712.2438616551</v>
      </c>
      <c r="C1663" s="51">
        <v>1.018</v>
      </c>
      <c r="D1663" s="51">
        <v>69.0</v>
      </c>
      <c r="E1663" s="52" t="s">
        <v>25</v>
      </c>
      <c r="F1663" s="52" t="s">
        <v>26</v>
      </c>
      <c r="G1663" s="53"/>
    </row>
    <row r="1664">
      <c r="A1664" s="49">
        <v>44712.129320520835</v>
      </c>
      <c r="B1664" s="50">
        <v>44712.2542943865</v>
      </c>
      <c r="C1664" s="51">
        <v>1.018</v>
      </c>
      <c r="D1664" s="51">
        <v>69.0</v>
      </c>
      <c r="E1664" s="52" t="s">
        <v>25</v>
      </c>
      <c r="F1664" s="52" t="s">
        <v>26</v>
      </c>
      <c r="G1664" s="53"/>
    </row>
    <row r="1665">
      <c r="A1665" s="49">
        <v>44712.13975266204</v>
      </c>
      <c r="B1665" s="50">
        <v>44712.2647262037</v>
      </c>
      <c r="C1665" s="51">
        <v>1.017</v>
      </c>
      <c r="D1665" s="51">
        <v>69.0</v>
      </c>
      <c r="E1665" s="52" t="s">
        <v>25</v>
      </c>
      <c r="F1665" s="52" t="s">
        <v>26</v>
      </c>
      <c r="G1665" s="53"/>
    </row>
    <row r="1666">
      <c r="A1666" s="49">
        <v>44712.15018305556</v>
      </c>
      <c r="B1666" s="50">
        <v>44712.2751577777</v>
      </c>
      <c r="C1666" s="51">
        <v>1.018</v>
      </c>
      <c r="D1666" s="51">
        <v>69.0</v>
      </c>
      <c r="E1666" s="52" t="s">
        <v>25</v>
      </c>
      <c r="F1666" s="52" t="s">
        <v>26</v>
      </c>
      <c r="G1666" s="53"/>
    </row>
    <row r="1667">
      <c r="A1667" s="49">
        <v>44712.160595567126</v>
      </c>
      <c r="B1667" s="50">
        <v>44712.2855803009</v>
      </c>
      <c r="C1667" s="51">
        <v>1.017</v>
      </c>
      <c r="D1667" s="51">
        <v>69.0</v>
      </c>
      <c r="E1667" s="52" t="s">
        <v>25</v>
      </c>
      <c r="F1667" s="52" t="s">
        <v>26</v>
      </c>
      <c r="G1667" s="53"/>
    </row>
    <row r="1668">
      <c r="A1668" s="49">
        <v>44712.171022650466</v>
      </c>
      <c r="B1668" s="50">
        <v>44712.296000949</v>
      </c>
      <c r="C1668" s="51">
        <v>1.018</v>
      </c>
      <c r="D1668" s="51">
        <v>69.0</v>
      </c>
      <c r="E1668" s="52" t="s">
        <v>25</v>
      </c>
      <c r="F1668" s="52" t="s">
        <v>26</v>
      </c>
      <c r="G1668" s="53"/>
    </row>
    <row r="1669">
      <c r="A1669" s="49">
        <v>44712.181456990744</v>
      </c>
      <c r="B1669" s="50">
        <v>44712.3064224652</v>
      </c>
      <c r="C1669" s="51">
        <v>1.018</v>
      </c>
      <c r="D1669" s="51">
        <v>69.0</v>
      </c>
      <c r="E1669" s="52" t="s">
        <v>25</v>
      </c>
      <c r="F1669" s="52" t="s">
        <v>26</v>
      </c>
      <c r="G1669" s="53"/>
    </row>
    <row r="1670">
      <c r="A1670" s="49">
        <v>44712.19186207176</v>
      </c>
      <c r="B1670" s="50">
        <v>44712.3168430092</v>
      </c>
      <c r="C1670" s="51">
        <v>1.018</v>
      </c>
      <c r="D1670" s="51">
        <v>69.0</v>
      </c>
      <c r="E1670" s="52" t="s">
        <v>25</v>
      </c>
      <c r="F1670" s="52" t="s">
        <v>26</v>
      </c>
      <c r="G1670" s="53"/>
    </row>
    <row r="1671">
      <c r="A1671" s="49">
        <v>44712.20228920139</v>
      </c>
      <c r="B1671" s="50">
        <v>44712.3272645949</v>
      </c>
      <c r="C1671" s="51">
        <v>1.018</v>
      </c>
      <c r="D1671" s="51">
        <v>69.0</v>
      </c>
      <c r="E1671" s="52" t="s">
        <v>25</v>
      </c>
      <c r="F1671" s="52" t="s">
        <v>26</v>
      </c>
      <c r="G1671" s="53"/>
    </row>
    <row r="1672">
      <c r="A1672" s="49">
        <v>44712.21272292824</v>
      </c>
      <c r="B1672" s="50">
        <v>44712.3376970138</v>
      </c>
      <c r="C1672" s="51">
        <v>1.017</v>
      </c>
      <c r="D1672" s="51">
        <v>69.0</v>
      </c>
      <c r="E1672" s="52" t="s">
        <v>25</v>
      </c>
      <c r="F1672" s="52" t="s">
        <v>26</v>
      </c>
      <c r="G1672" s="53"/>
    </row>
    <row r="1673">
      <c r="A1673" s="49">
        <v>44712.22315225695</v>
      </c>
      <c r="B1673" s="50">
        <v>44712.3481194328</v>
      </c>
      <c r="C1673" s="51">
        <v>1.017</v>
      </c>
      <c r="D1673" s="51">
        <v>69.0</v>
      </c>
      <c r="E1673" s="52" t="s">
        <v>25</v>
      </c>
      <c r="F1673" s="52" t="s">
        <v>26</v>
      </c>
      <c r="G1673" s="53"/>
    </row>
    <row r="1674">
      <c r="A1674" s="49">
        <v>44712.23357689814</v>
      </c>
      <c r="B1674" s="50">
        <v>44712.3585522338</v>
      </c>
      <c r="C1674" s="51">
        <v>1.017</v>
      </c>
      <c r="D1674" s="51">
        <v>69.0</v>
      </c>
      <c r="E1674" s="52" t="s">
        <v>25</v>
      </c>
      <c r="F1674" s="52" t="s">
        <v>26</v>
      </c>
      <c r="G1674" s="53"/>
    </row>
    <row r="1675">
      <c r="A1675" s="49">
        <v>44712.24400375</v>
      </c>
      <c r="B1675" s="50">
        <v>44712.3689857175</v>
      </c>
      <c r="C1675" s="51">
        <v>1.018</v>
      </c>
      <c r="D1675" s="51">
        <v>69.0</v>
      </c>
      <c r="E1675" s="52" t="s">
        <v>25</v>
      </c>
      <c r="F1675" s="52" t="s">
        <v>26</v>
      </c>
      <c r="G1675" s="53"/>
    </row>
    <row r="1676">
      <c r="A1676" s="49">
        <v>44712.25444297453</v>
      </c>
      <c r="B1676" s="50">
        <v>44712.3794171527</v>
      </c>
      <c r="C1676" s="51">
        <v>1.017</v>
      </c>
      <c r="D1676" s="51">
        <v>69.0</v>
      </c>
      <c r="E1676" s="52" t="s">
        <v>25</v>
      </c>
      <c r="F1676" s="52" t="s">
        <v>26</v>
      </c>
      <c r="G1676" s="53"/>
    </row>
    <row r="1677">
      <c r="A1677" s="49">
        <v>44712.264864641205</v>
      </c>
      <c r="B1677" s="50">
        <v>44712.3898376736</v>
      </c>
      <c r="C1677" s="51">
        <v>1.017</v>
      </c>
      <c r="D1677" s="51">
        <v>69.0</v>
      </c>
      <c r="E1677" s="52" t="s">
        <v>25</v>
      </c>
      <c r="F1677" s="52" t="s">
        <v>26</v>
      </c>
      <c r="G1677" s="53"/>
    </row>
    <row r="1678">
      <c r="A1678" s="49">
        <v>44712.27529839121</v>
      </c>
      <c r="B1678" s="50">
        <v>44712.4002720138</v>
      </c>
      <c r="C1678" s="51">
        <v>1.017</v>
      </c>
      <c r="D1678" s="51">
        <v>69.0</v>
      </c>
      <c r="E1678" s="52" t="s">
        <v>25</v>
      </c>
      <c r="F1678" s="52" t="s">
        <v>26</v>
      </c>
      <c r="G1678" s="53"/>
    </row>
    <row r="1679">
      <c r="A1679" s="49">
        <v>44712.28571490741</v>
      </c>
      <c r="B1679" s="50">
        <v>44712.4106937963</v>
      </c>
      <c r="C1679" s="51">
        <v>1.018</v>
      </c>
      <c r="D1679" s="51">
        <v>69.0</v>
      </c>
      <c r="E1679" s="52" t="s">
        <v>25</v>
      </c>
      <c r="F1679" s="52" t="s">
        <v>26</v>
      </c>
      <c r="G1679" s="53"/>
    </row>
    <row r="1680">
      <c r="A1680" s="49">
        <v>44712.29614554398</v>
      </c>
      <c r="B1680" s="50">
        <v>44712.4211139814</v>
      </c>
      <c r="C1680" s="51">
        <v>1.017</v>
      </c>
      <c r="D1680" s="51">
        <v>69.0</v>
      </c>
      <c r="E1680" s="52" t="s">
        <v>25</v>
      </c>
      <c r="F1680" s="52" t="s">
        <v>26</v>
      </c>
      <c r="G1680" s="53"/>
    </row>
    <row r="1681">
      <c r="A1681" s="49">
        <v>44712.306568541666</v>
      </c>
      <c r="B1681" s="50">
        <v>44712.4315356597</v>
      </c>
      <c r="C1681" s="51">
        <v>1.017</v>
      </c>
      <c r="D1681" s="51">
        <v>69.0</v>
      </c>
      <c r="E1681" s="52" t="s">
        <v>25</v>
      </c>
      <c r="F1681" s="52" t="s">
        <v>26</v>
      </c>
      <c r="G1681" s="53"/>
    </row>
    <row r="1682">
      <c r="A1682" s="49">
        <v>44712.3169844213</v>
      </c>
      <c r="B1682" s="50">
        <v>44712.441957905</v>
      </c>
      <c r="C1682" s="51">
        <v>1.017</v>
      </c>
      <c r="D1682" s="51">
        <v>69.0</v>
      </c>
      <c r="E1682" s="52" t="s">
        <v>25</v>
      </c>
      <c r="F1682" s="52" t="s">
        <v>26</v>
      </c>
      <c r="G1682" s="53"/>
    </row>
    <row r="1683">
      <c r="A1683" s="49">
        <v>44712.32740228009</v>
      </c>
      <c r="B1683" s="50">
        <v>44712.4523786921</v>
      </c>
      <c r="C1683" s="51">
        <v>1.017</v>
      </c>
      <c r="D1683" s="51">
        <v>69.0</v>
      </c>
      <c r="E1683" s="52" t="s">
        <v>25</v>
      </c>
      <c r="F1683" s="52" t="s">
        <v>26</v>
      </c>
      <c r="G1683" s="53"/>
    </row>
    <row r="1684">
      <c r="A1684" s="49">
        <v>44712.33782796296</v>
      </c>
      <c r="B1684" s="50">
        <v>44712.4628003935</v>
      </c>
      <c r="C1684" s="51">
        <v>1.017</v>
      </c>
      <c r="D1684" s="51">
        <v>69.0</v>
      </c>
      <c r="E1684" s="52" t="s">
        <v>25</v>
      </c>
      <c r="F1684" s="52" t="s">
        <v>26</v>
      </c>
      <c r="G1684" s="53"/>
    </row>
    <row r="1685">
      <c r="A1685" s="49">
        <v>44712.348248229166</v>
      </c>
      <c r="B1685" s="50">
        <v>44712.4732234259</v>
      </c>
      <c r="C1685" s="51">
        <v>1.017</v>
      </c>
      <c r="D1685" s="51">
        <v>69.0</v>
      </c>
      <c r="E1685" s="52" t="s">
        <v>25</v>
      </c>
      <c r="F1685" s="52" t="s">
        <v>26</v>
      </c>
      <c r="G1685" s="53"/>
    </row>
    <row r="1686">
      <c r="A1686" s="49">
        <v>44712.35869631944</v>
      </c>
      <c r="B1686" s="50">
        <v>44712.4836665625</v>
      </c>
      <c r="C1686" s="51">
        <v>1.017</v>
      </c>
      <c r="D1686" s="51">
        <v>69.0</v>
      </c>
      <c r="E1686" s="52" t="s">
        <v>25</v>
      </c>
      <c r="F1686" s="52" t="s">
        <v>26</v>
      </c>
      <c r="G1686" s="53"/>
    </row>
    <row r="1687">
      <c r="A1687" s="49">
        <v>44712.36913186342</v>
      </c>
      <c r="B1687" s="50">
        <v>44712.4941096643</v>
      </c>
      <c r="C1687" s="51">
        <v>1.017</v>
      </c>
      <c r="D1687" s="51">
        <v>69.0</v>
      </c>
      <c r="E1687" s="52" t="s">
        <v>25</v>
      </c>
      <c r="F1687" s="52" t="s">
        <v>26</v>
      </c>
      <c r="G1687" s="53"/>
    </row>
    <row r="1688">
      <c r="A1688" s="49">
        <v>44712.37954877315</v>
      </c>
      <c r="B1688" s="50">
        <v>44712.5045297569</v>
      </c>
      <c r="C1688" s="51">
        <v>1.017</v>
      </c>
      <c r="D1688" s="51">
        <v>69.0</v>
      </c>
      <c r="E1688" s="52" t="s">
        <v>25</v>
      </c>
      <c r="F1688" s="52" t="s">
        <v>26</v>
      </c>
      <c r="G1688" s="53"/>
    </row>
    <row r="1689">
      <c r="A1689" s="49">
        <v>44712.38999296296</v>
      </c>
      <c r="B1689" s="50">
        <v>44712.5149631365</v>
      </c>
      <c r="C1689" s="51">
        <v>1.018</v>
      </c>
      <c r="D1689" s="51">
        <v>69.0</v>
      </c>
      <c r="E1689" s="52" t="s">
        <v>25</v>
      </c>
      <c r="F1689" s="52" t="s">
        <v>26</v>
      </c>
      <c r="G1689" s="53"/>
    </row>
    <row r="1690">
      <c r="A1690" s="49">
        <v>44712.40040878472</v>
      </c>
      <c r="B1690" s="50">
        <v>44712.5253866319</v>
      </c>
      <c r="C1690" s="51">
        <v>1.017</v>
      </c>
      <c r="D1690" s="51">
        <v>69.0</v>
      </c>
      <c r="E1690" s="52" t="s">
        <v>25</v>
      </c>
      <c r="F1690" s="52" t="s">
        <v>26</v>
      </c>
      <c r="G1690" s="53"/>
    </row>
    <row r="1691">
      <c r="A1691" s="49">
        <v>44712.41082667824</v>
      </c>
      <c r="B1691" s="50">
        <v>44712.5358062731</v>
      </c>
      <c r="C1691" s="51">
        <v>1.017</v>
      </c>
      <c r="D1691" s="51">
        <v>69.0</v>
      </c>
      <c r="E1691" s="52" t="s">
        <v>25</v>
      </c>
      <c r="F1691" s="52" t="s">
        <v>26</v>
      </c>
      <c r="G1691" s="53"/>
    </row>
    <row r="1692">
      <c r="A1692" s="49">
        <v>44712.42125234954</v>
      </c>
      <c r="B1692" s="50">
        <v>44712.546227037</v>
      </c>
      <c r="C1692" s="51">
        <v>1.017</v>
      </c>
      <c r="D1692" s="51">
        <v>69.0</v>
      </c>
      <c r="E1692" s="52" t="s">
        <v>25</v>
      </c>
      <c r="F1692" s="52" t="s">
        <v>26</v>
      </c>
      <c r="G1692" s="53"/>
    </row>
    <row r="1693">
      <c r="A1693" s="49">
        <v>44712.43170212963</v>
      </c>
      <c r="B1693" s="50">
        <v>44712.5566731944</v>
      </c>
      <c r="C1693" s="51">
        <v>1.017</v>
      </c>
      <c r="D1693" s="51">
        <v>69.0</v>
      </c>
      <c r="E1693" s="52" t="s">
        <v>25</v>
      </c>
      <c r="F1693" s="52" t="s">
        <v>26</v>
      </c>
      <c r="G1693" s="53"/>
    </row>
    <row r="1694">
      <c r="A1694" s="49">
        <v>44712.442155069446</v>
      </c>
      <c r="B1694" s="50">
        <v>44712.5670962037</v>
      </c>
      <c r="C1694" s="51">
        <v>1.017</v>
      </c>
      <c r="D1694" s="51">
        <v>69.0</v>
      </c>
      <c r="E1694" s="52" t="s">
        <v>25</v>
      </c>
      <c r="F1694" s="52" t="s">
        <v>26</v>
      </c>
      <c r="G1694" s="53"/>
    </row>
    <row r="1695">
      <c r="A1695" s="49">
        <v>44712.452560844904</v>
      </c>
      <c r="B1695" s="50">
        <v>44712.5775293287</v>
      </c>
      <c r="C1695" s="51">
        <v>1.017</v>
      </c>
      <c r="D1695" s="51">
        <v>69.0</v>
      </c>
      <c r="E1695" s="52" t="s">
        <v>25</v>
      </c>
      <c r="F1695" s="52" t="s">
        <v>26</v>
      </c>
      <c r="G1695" s="53"/>
    </row>
    <row r="1696">
      <c r="A1696" s="49">
        <v>44712.4629859375</v>
      </c>
      <c r="B1696" s="50">
        <v>44712.5879606828</v>
      </c>
      <c r="C1696" s="51">
        <v>1.017</v>
      </c>
      <c r="D1696" s="51">
        <v>69.0</v>
      </c>
      <c r="E1696" s="52" t="s">
        <v>25</v>
      </c>
      <c r="F1696" s="52" t="s">
        <v>26</v>
      </c>
      <c r="G1696" s="53"/>
    </row>
    <row r="1697">
      <c r="A1697" s="49">
        <v>44712.47340809028</v>
      </c>
      <c r="B1697" s="50">
        <v>44712.598381956</v>
      </c>
      <c r="C1697" s="51">
        <v>1.017</v>
      </c>
      <c r="D1697" s="51">
        <v>69.0</v>
      </c>
      <c r="E1697" s="52" t="s">
        <v>25</v>
      </c>
      <c r="F1697" s="52" t="s">
        <v>26</v>
      </c>
      <c r="G1697" s="53"/>
    </row>
    <row r="1698">
      <c r="A1698" s="49">
        <v>44712.483831875</v>
      </c>
      <c r="B1698" s="50">
        <v>44712.6088040046</v>
      </c>
      <c r="C1698" s="51">
        <v>1.017</v>
      </c>
      <c r="D1698" s="51">
        <v>69.0</v>
      </c>
      <c r="E1698" s="52" t="s">
        <v>25</v>
      </c>
      <c r="F1698" s="52" t="s">
        <v>26</v>
      </c>
      <c r="G1698" s="53"/>
    </row>
    <row r="1699">
      <c r="A1699" s="49">
        <v>44712.49426228009</v>
      </c>
      <c r="B1699" s="50">
        <v>44712.6192255671</v>
      </c>
      <c r="C1699" s="51">
        <v>1.017</v>
      </c>
      <c r="D1699" s="51">
        <v>69.0</v>
      </c>
      <c r="E1699" s="52" t="s">
        <v>25</v>
      </c>
      <c r="F1699" s="52" t="s">
        <v>26</v>
      </c>
      <c r="G1699" s="53"/>
    </row>
    <row r="1700">
      <c r="A1700" s="49">
        <v>44712.504676701385</v>
      </c>
      <c r="B1700" s="50">
        <v>44712.6296472685</v>
      </c>
      <c r="C1700" s="51">
        <v>1.017</v>
      </c>
      <c r="D1700" s="51">
        <v>69.0</v>
      </c>
      <c r="E1700" s="52" t="s">
        <v>25</v>
      </c>
      <c r="F1700" s="52" t="s">
        <v>26</v>
      </c>
      <c r="G1700" s="53"/>
    </row>
    <row r="1701">
      <c r="A1701" s="49">
        <v>44712.51509327546</v>
      </c>
      <c r="B1701" s="50">
        <v>44712.6400674652</v>
      </c>
      <c r="C1701" s="51">
        <v>1.017</v>
      </c>
      <c r="D1701" s="51">
        <v>69.0</v>
      </c>
      <c r="E1701" s="52" t="s">
        <v>25</v>
      </c>
      <c r="F1701" s="52" t="s">
        <v>26</v>
      </c>
      <c r="G1701" s="53"/>
    </row>
    <row r="1702">
      <c r="A1702" s="49">
        <v>44712.525519166666</v>
      </c>
      <c r="B1702" s="50">
        <v>44712.6504903124</v>
      </c>
      <c r="C1702" s="51">
        <v>1.017</v>
      </c>
      <c r="D1702" s="51">
        <v>69.0</v>
      </c>
      <c r="E1702" s="52" t="s">
        <v>25</v>
      </c>
      <c r="F1702" s="52" t="s">
        <v>26</v>
      </c>
      <c r="G1702" s="53"/>
    </row>
    <row r="1703">
      <c r="A1703" s="49">
        <v>44712.535938009256</v>
      </c>
      <c r="B1703" s="50">
        <v>44712.6609112731</v>
      </c>
      <c r="C1703" s="51">
        <v>1.017</v>
      </c>
      <c r="D1703" s="51">
        <v>69.0</v>
      </c>
      <c r="E1703" s="52" t="s">
        <v>25</v>
      </c>
      <c r="F1703" s="52" t="s">
        <v>26</v>
      </c>
      <c r="G1703" s="53"/>
    </row>
    <row r="1704">
      <c r="A1704" s="49">
        <v>44712.54635849537</v>
      </c>
      <c r="B1704" s="50">
        <v>44712.6713315625</v>
      </c>
      <c r="C1704" s="51">
        <v>1.017</v>
      </c>
      <c r="D1704" s="51">
        <v>69.0</v>
      </c>
      <c r="E1704" s="52" t="s">
        <v>25</v>
      </c>
      <c r="F1704" s="52" t="s">
        <v>26</v>
      </c>
      <c r="G1704" s="53"/>
    </row>
    <row r="1705">
      <c r="A1705" s="49">
        <v>44712.55678333333</v>
      </c>
      <c r="B1705" s="50">
        <v>44712.6817526736</v>
      </c>
      <c r="C1705" s="51">
        <v>1.017</v>
      </c>
      <c r="D1705" s="51">
        <v>69.0</v>
      </c>
      <c r="E1705" s="52" t="s">
        <v>25</v>
      </c>
      <c r="F1705" s="52" t="s">
        <v>26</v>
      </c>
      <c r="G1705" s="53"/>
    </row>
    <row r="1706">
      <c r="A1706" s="49">
        <v>44712.56719530093</v>
      </c>
      <c r="B1706" s="50">
        <v>44712.6921748032</v>
      </c>
      <c r="C1706" s="51">
        <v>1.017</v>
      </c>
      <c r="D1706" s="51">
        <v>69.0</v>
      </c>
      <c r="E1706" s="52" t="s">
        <v>25</v>
      </c>
      <c r="F1706" s="52" t="s">
        <v>26</v>
      </c>
      <c r="G1706" s="53"/>
    </row>
    <row r="1707">
      <c r="A1707" s="49">
        <v>44712.57772751157</v>
      </c>
      <c r="B1707" s="50">
        <v>44712.7026077893</v>
      </c>
      <c r="C1707" s="51">
        <v>1.017</v>
      </c>
      <c r="D1707" s="51">
        <v>69.0</v>
      </c>
      <c r="E1707" s="52" t="s">
        <v>25</v>
      </c>
      <c r="F1707" s="52" t="s">
        <v>26</v>
      </c>
      <c r="G1707" s="53"/>
    </row>
    <row r="1708">
      <c r="A1708" s="49">
        <v>44712.58826872685</v>
      </c>
      <c r="B1708" s="50">
        <v>44712.7130292824</v>
      </c>
      <c r="C1708" s="51">
        <v>1.017</v>
      </c>
      <c r="D1708" s="51">
        <v>69.0</v>
      </c>
      <c r="E1708" s="52" t="s">
        <v>25</v>
      </c>
      <c r="F1708" s="52" t="s">
        <v>26</v>
      </c>
      <c r="G1708" s="53"/>
    </row>
    <row r="1709">
      <c r="A1709" s="49">
        <v>44712.59848039351</v>
      </c>
      <c r="B1709" s="50">
        <v>44712.7234492824</v>
      </c>
      <c r="C1709" s="51">
        <v>1.016</v>
      </c>
      <c r="D1709" s="51">
        <v>69.0</v>
      </c>
      <c r="E1709" s="52" t="s">
        <v>25</v>
      </c>
      <c r="F1709" s="52" t="s">
        <v>26</v>
      </c>
      <c r="G1709" s="53"/>
    </row>
    <row r="1710">
      <c r="A1710" s="49">
        <v>44712.608903217595</v>
      </c>
      <c r="B1710" s="50">
        <v>44712.7338816088</v>
      </c>
      <c r="C1710" s="51">
        <v>1.016</v>
      </c>
      <c r="D1710" s="51">
        <v>69.0</v>
      </c>
      <c r="E1710" s="52" t="s">
        <v>25</v>
      </c>
      <c r="F1710" s="52" t="s">
        <v>26</v>
      </c>
      <c r="G1710" s="53"/>
    </row>
    <row r="1711">
      <c r="A1711" s="49">
        <v>44712.61933133102</v>
      </c>
      <c r="B1711" s="50">
        <v>44712.7443032754</v>
      </c>
      <c r="C1711" s="51">
        <v>1.016</v>
      </c>
      <c r="D1711" s="51">
        <v>69.0</v>
      </c>
      <c r="E1711" s="52" t="s">
        <v>25</v>
      </c>
      <c r="F1711" s="52" t="s">
        <v>26</v>
      </c>
      <c r="G1711" s="53"/>
    </row>
    <row r="1712">
      <c r="A1712" s="49">
        <v>44712.629752673616</v>
      </c>
      <c r="B1712" s="50">
        <v>44712.7547237847</v>
      </c>
      <c r="C1712" s="51">
        <v>1.017</v>
      </c>
      <c r="D1712" s="51">
        <v>69.0</v>
      </c>
      <c r="E1712" s="52" t="s">
        <v>25</v>
      </c>
      <c r="F1712" s="52" t="s">
        <v>26</v>
      </c>
      <c r="G1712" s="53"/>
    </row>
    <row r="1713">
      <c r="A1713" s="49">
        <v>44712.64018876158</v>
      </c>
      <c r="B1713" s="50">
        <v>44712.7651577083</v>
      </c>
      <c r="C1713" s="51">
        <v>1.016</v>
      </c>
      <c r="D1713" s="51">
        <v>69.0</v>
      </c>
      <c r="E1713" s="52" t="s">
        <v>25</v>
      </c>
      <c r="F1713" s="52" t="s">
        <v>26</v>
      </c>
      <c r="G1713" s="53"/>
    </row>
    <row r="1714">
      <c r="A1714" s="49">
        <v>44712.65060204861</v>
      </c>
      <c r="B1714" s="50">
        <v>44712.775580787</v>
      </c>
      <c r="C1714" s="51">
        <v>1.016</v>
      </c>
      <c r="D1714" s="51">
        <v>69.0</v>
      </c>
      <c r="E1714" s="52" t="s">
        <v>25</v>
      </c>
      <c r="F1714" s="52" t="s">
        <v>26</v>
      </c>
      <c r="G1714" s="53"/>
    </row>
    <row r="1715">
      <c r="A1715" s="49">
        <v>44712.66104590277</v>
      </c>
      <c r="B1715" s="50">
        <v>44712.7860151041</v>
      </c>
      <c r="C1715" s="51">
        <v>1.016</v>
      </c>
      <c r="D1715" s="51">
        <v>69.0</v>
      </c>
      <c r="E1715" s="52" t="s">
        <v>25</v>
      </c>
      <c r="F1715" s="52" t="s">
        <v>26</v>
      </c>
      <c r="G1715" s="53"/>
    </row>
    <row r="1716">
      <c r="A1716" s="49">
        <v>44712.67146283565</v>
      </c>
      <c r="B1716" s="50">
        <v>44712.7964372337</v>
      </c>
      <c r="C1716" s="51">
        <v>1.016</v>
      </c>
      <c r="D1716" s="51">
        <v>69.0</v>
      </c>
      <c r="E1716" s="52" t="s">
        <v>25</v>
      </c>
      <c r="F1716" s="52" t="s">
        <v>26</v>
      </c>
      <c r="G1716" s="53"/>
    </row>
    <row r="1717">
      <c r="A1717" s="49">
        <v>44712.68188108796</v>
      </c>
      <c r="B1717" s="50">
        <v>44712.8068585532</v>
      </c>
      <c r="C1717" s="51">
        <v>1.016</v>
      </c>
      <c r="D1717" s="51">
        <v>69.0</v>
      </c>
      <c r="E1717" s="52" t="s">
        <v>25</v>
      </c>
      <c r="F1717" s="52" t="s">
        <v>26</v>
      </c>
      <c r="G1717" s="53"/>
    </row>
    <row r="1718">
      <c r="A1718" s="49">
        <v>44712.69230381944</v>
      </c>
      <c r="B1718" s="50">
        <v>44712.817278368</v>
      </c>
      <c r="C1718" s="51">
        <v>1.016</v>
      </c>
      <c r="D1718" s="51">
        <v>69.0</v>
      </c>
      <c r="E1718" s="52" t="s">
        <v>25</v>
      </c>
      <c r="F1718" s="52" t="s">
        <v>26</v>
      </c>
      <c r="G1718" s="53"/>
    </row>
    <row r="1719">
      <c r="A1719" s="49">
        <v>44712.70271655092</v>
      </c>
      <c r="B1719" s="50">
        <v>44712.827699537</v>
      </c>
      <c r="C1719" s="51">
        <v>1.016</v>
      </c>
      <c r="D1719" s="51">
        <v>69.0</v>
      </c>
      <c r="E1719" s="52" t="s">
        <v>25</v>
      </c>
      <c r="F1719" s="52" t="s">
        <v>26</v>
      </c>
      <c r="G1719" s="53"/>
    </row>
    <row r="1720">
      <c r="A1720" s="49">
        <v>44712.71314931713</v>
      </c>
      <c r="B1720" s="50">
        <v>44712.8381210879</v>
      </c>
      <c r="C1720" s="51">
        <v>1.016</v>
      </c>
      <c r="D1720" s="51">
        <v>70.0</v>
      </c>
      <c r="E1720" s="52" t="s">
        <v>25</v>
      </c>
      <c r="F1720" s="52" t="s">
        <v>26</v>
      </c>
      <c r="G1720" s="53"/>
    </row>
    <row r="1721">
      <c r="A1721" s="49">
        <v>44712.723568113426</v>
      </c>
      <c r="B1721" s="50">
        <v>44712.8485402546</v>
      </c>
      <c r="C1721" s="51">
        <v>1.016</v>
      </c>
      <c r="D1721" s="51">
        <v>70.0</v>
      </c>
      <c r="E1721" s="52" t="s">
        <v>25</v>
      </c>
      <c r="F1721" s="52" t="s">
        <v>26</v>
      </c>
      <c r="G1721" s="53"/>
    </row>
    <row r="1722">
      <c r="A1722" s="49">
        <v>44712.73403344907</v>
      </c>
      <c r="B1722" s="50">
        <v>44712.8590081481</v>
      </c>
      <c r="C1722" s="51">
        <v>1.016</v>
      </c>
      <c r="D1722" s="51">
        <v>70.0</v>
      </c>
      <c r="E1722" s="52" t="s">
        <v>25</v>
      </c>
      <c r="F1722" s="52" t="s">
        <v>26</v>
      </c>
      <c r="G1722" s="53"/>
    </row>
    <row r="1723">
      <c r="A1723" s="49">
        <v>44712.74445342593</v>
      </c>
      <c r="B1723" s="50">
        <v>44712.8694272453</v>
      </c>
      <c r="C1723" s="51">
        <v>1.016</v>
      </c>
      <c r="D1723" s="51">
        <v>70.0</v>
      </c>
      <c r="E1723" s="52" t="s">
        <v>25</v>
      </c>
      <c r="F1723" s="52" t="s">
        <v>26</v>
      </c>
      <c r="G1723" s="53"/>
    </row>
    <row r="1724">
      <c r="A1724" s="49">
        <v>44712.75489813657</v>
      </c>
      <c r="B1724" s="50">
        <v>44712.8798705324</v>
      </c>
      <c r="C1724" s="51">
        <v>1.016</v>
      </c>
      <c r="D1724" s="51">
        <v>70.0</v>
      </c>
      <c r="E1724" s="52" t="s">
        <v>25</v>
      </c>
      <c r="F1724" s="52" t="s">
        <v>26</v>
      </c>
      <c r="G1724" s="53"/>
    </row>
    <row r="1725">
      <c r="A1725" s="49">
        <v>44712.76531835648</v>
      </c>
      <c r="B1725" s="50">
        <v>44712.8902914236</v>
      </c>
      <c r="C1725" s="51">
        <v>1.016</v>
      </c>
      <c r="D1725" s="51">
        <v>70.0</v>
      </c>
      <c r="E1725" s="52" t="s">
        <v>25</v>
      </c>
      <c r="F1725" s="52" t="s">
        <v>26</v>
      </c>
      <c r="G1725" s="53"/>
    </row>
    <row r="1726">
      <c r="A1726" s="49">
        <v>44712.775737511576</v>
      </c>
      <c r="B1726" s="50">
        <v>44712.9007124421</v>
      </c>
      <c r="C1726" s="51">
        <v>1.016</v>
      </c>
      <c r="D1726" s="51">
        <v>70.0</v>
      </c>
      <c r="E1726" s="52" t="s">
        <v>25</v>
      </c>
      <c r="F1726" s="52" t="s">
        <v>26</v>
      </c>
      <c r="G1726" s="53"/>
    </row>
    <row r="1727">
      <c r="A1727" s="49">
        <v>44712.78616440972</v>
      </c>
      <c r="B1727" s="50">
        <v>44712.911135324</v>
      </c>
      <c r="C1727" s="51">
        <v>1.016</v>
      </c>
      <c r="D1727" s="51">
        <v>70.0</v>
      </c>
      <c r="E1727" s="52" t="s">
        <v>25</v>
      </c>
      <c r="F1727" s="52" t="s">
        <v>26</v>
      </c>
      <c r="G1727" s="53"/>
    </row>
    <row r="1728">
      <c r="A1728" s="49">
        <v>44712.79658164352</v>
      </c>
      <c r="B1728" s="50">
        <v>44712.9215566782</v>
      </c>
      <c r="C1728" s="51">
        <v>1.016</v>
      </c>
      <c r="D1728" s="51">
        <v>70.0</v>
      </c>
      <c r="E1728" s="52" t="s">
        <v>25</v>
      </c>
      <c r="F1728" s="52" t="s">
        <v>26</v>
      </c>
      <c r="G1728" s="53"/>
    </row>
    <row r="1729">
      <c r="A1729" s="49">
        <v>44712.80700744213</v>
      </c>
      <c r="B1729" s="50">
        <v>44712.9319906944</v>
      </c>
      <c r="C1729" s="51">
        <v>1.016</v>
      </c>
      <c r="D1729" s="51">
        <v>70.0</v>
      </c>
      <c r="E1729" s="52" t="s">
        <v>25</v>
      </c>
      <c r="F1729" s="52" t="s">
        <v>26</v>
      </c>
      <c r="G1729" s="53"/>
    </row>
    <row r="1730">
      <c r="A1730" s="49">
        <v>44712.81745016204</v>
      </c>
      <c r="B1730" s="50">
        <v>44712.9424247337</v>
      </c>
      <c r="C1730" s="51">
        <v>1.016</v>
      </c>
      <c r="D1730" s="51">
        <v>70.0</v>
      </c>
      <c r="E1730" s="52" t="s">
        <v>25</v>
      </c>
      <c r="F1730" s="52" t="s">
        <v>26</v>
      </c>
      <c r="G1730" s="53"/>
    </row>
    <row r="1731">
      <c r="A1731" s="49">
        <v>44712.8278713426</v>
      </c>
      <c r="B1731" s="50">
        <v>44712.9528445023</v>
      </c>
      <c r="C1731" s="51">
        <v>1.016</v>
      </c>
      <c r="D1731" s="51">
        <v>70.0</v>
      </c>
      <c r="E1731" s="52" t="s">
        <v>25</v>
      </c>
      <c r="F1731" s="52" t="s">
        <v>26</v>
      </c>
      <c r="G1731" s="53"/>
    </row>
    <row r="1732">
      <c r="A1732" s="49">
        <v>44712.83829274305</v>
      </c>
      <c r="B1732" s="50">
        <v>44712.9632769097</v>
      </c>
      <c r="C1732" s="51">
        <v>1.016</v>
      </c>
      <c r="D1732" s="51">
        <v>70.0</v>
      </c>
      <c r="E1732" s="52" t="s">
        <v>25</v>
      </c>
      <c r="F1732" s="52" t="s">
        <v>26</v>
      </c>
      <c r="G1732" s="53"/>
    </row>
    <row r="1733">
      <c r="A1733" s="49">
        <v>44712.848736238426</v>
      </c>
      <c r="B1733" s="50">
        <v>44712.9737103819</v>
      </c>
      <c r="C1733" s="51">
        <v>1.016</v>
      </c>
      <c r="D1733" s="51">
        <v>70.0</v>
      </c>
      <c r="E1733" s="52" t="s">
        <v>25</v>
      </c>
      <c r="F1733" s="52" t="s">
        <v>26</v>
      </c>
      <c r="G1733" s="53"/>
    </row>
    <row r="1734">
      <c r="A1734" s="49">
        <v>44712.859156307866</v>
      </c>
      <c r="B1734" s="50">
        <v>44712.9841302546</v>
      </c>
      <c r="C1734" s="51">
        <v>1.016</v>
      </c>
      <c r="D1734" s="51">
        <v>70.0</v>
      </c>
      <c r="E1734" s="52" t="s">
        <v>25</v>
      </c>
      <c r="F1734" s="52" t="s">
        <v>26</v>
      </c>
      <c r="G1734" s="53"/>
    </row>
    <row r="1735">
      <c r="A1735" s="49">
        <v>44712.86958503472</v>
      </c>
      <c r="B1735" s="50">
        <v>44712.994561331</v>
      </c>
      <c r="C1735" s="51">
        <v>1.016</v>
      </c>
      <c r="D1735" s="51">
        <v>70.0</v>
      </c>
      <c r="E1735" s="52" t="s">
        <v>25</v>
      </c>
      <c r="F1735" s="52" t="s">
        <v>26</v>
      </c>
      <c r="G1735" s="53"/>
    </row>
    <row r="1736">
      <c r="A1736" s="49">
        <v>44712.88000315972</v>
      </c>
      <c r="B1736" s="50">
        <v>44713.0049816203</v>
      </c>
      <c r="C1736" s="51">
        <v>1.016</v>
      </c>
      <c r="D1736" s="51">
        <v>70.0</v>
      </c>
      <c r="E1736" s="52" t="s">
        <v>25</v>
      </c>
      <c r="F1736" s="52" t="s">
        <v>26</v>
      </c>
      <c r="G1736" s="53"/>
    </row>
    <row r="1737">
      <c r="A1737" s="49">
        <v>44712.890442222226</v>
      </c>
      <c r="B1737" s="50">
        <v>44713.0154262037</v>
      </c>
      <c r="C1737" s="51">
        <v>1.016</v>
      </c>
      <c r="D1737" s="51">
        <v>70.0</v>
      </c>
      <c r="E1737" s="52" t="s">
        <v>25</v>
      </c>
      <c r="F1737" s="52" t="s">
        <v>26</v>
      </c>
      <c r="G1737" s="53"/>
    </row>
    <row r="1738">
      <c r="A1738" s="49">
        <v>44712.900872847225</v>
      </c>
      <c r="B1738" s="50">
        <v>44713.0258466319</v>
      </c>
      <c r="C1738" s="51">
        <v>1.016</v>
      </c>
      <c r="D1738" s="51">
        <v>70.0</v>
      </c>
      <c r="E1738" s="52" t="s">
        <v>25</v>
      </c>
      <c r="F1738" s="52" t="s">
        <v>26</v>
      </c>
      <c r="G1738" s="53"/>
    </row>
    <row r="1739">
      <c r="A1739" s="49">
        <v>44712.91129449074</v>
      </c>
      <c r="B1739" s="50">
        <v>44713.0362669328</v>
      </c>
      <c r="C1739" s="51">
        <v>1.016</v>
      </c>
      <c r="D1739" s="51">
        <v>70.0</v>
      </c>
      <c r="E1739" s="52" t="s">
        <v>25</v>
      </c>
      <c r="F1739" s="52" t="s">
        <v>26</v>
      </c>
      <c r="G1739" s="53"/>
    </row>
    <row r="1740">
      <c r="A1740" s="49">
        <v>44712.921714502314</v>
      </c>
      <c r="B1740" s="50">
        <v>44713.0466879861</v>
      </c>
      <c r="C1740" s="51">
        <v>1.016</v>
      </c>
      <c r="D1740" s="51">
        <v>70.0</v>
      </c>
      <c r="E1740" s="52" t="s">
        <v>25</v>
      </c>
      <c r="F1740" s="52" t="s">
        <v>26</v>
      </c>
      <c r="G1740" s="53"/>
    </row>
    <row r="1741">
      <c r="A1741" s="49">
        <v>44712.932148946755</v>
      </c>
      <c r="B1741" s="50">
        <v>44713.057120324</v>
      </c>
      <c r="C1741" s="51">
        <v>1.016</v>
      </c>
      <c r="D1741" s="51">
        <v>70.0</v>
      </c>
      <c r="E1741" s="52" t="s">
        <v>25</v>
      </c>
      <c r="F1741" s="52" t="s">
        <v>26</v>
      </c>
      <c r="G1741" s="53"/>
    </row>
    <row r="1742">
      <c r="A1742" s="49">
        <v>44712.94256931713</v>
      </c>
      <c r="B1742" s="50">
        <v>44713.0675415856</v>
      </c>
      <c r="C1742" s="51">
        <v>1.016</v>
      </c>
      <c r="D1742" s="51">
        <v>69.0</v>
      </c>
      <c r="E1742" s="52" t="s">
        <v>25</v>
      </c>
      <c r="F1742" s="52" t="s">
        <v>26</v>
      </c>
      <c r="G1742" s="53"/>
    </row>
    <row r="1743">
      <c r="A1743" s="49">
        <v>44712.95298403935</v>
      </c>
      <c r="B1743" s="50">
        <v>44713.0779632175</v>
      </c>
      <c r="C1743" s="51">
        <v>1.016</v>
      </c>
      <c r="D1743" s="51">
        <v>68.0</v>
      </c>
      <c r="E1743" s="52" t="s">
        <v>25</v>
      </c>
      <c r="F1743" s="52" t="s">
        <v>26</v>
      </c>
      <c r="G1743" s="53"/>
    </row>
    <row r="1744">
      <c r="A1744" s="49">
        <v>44712.96340645834</v>
      </c>
      <c r="B1744" s="50">
        <v>44713.0883842592</v>
      </c>
      <c r="C1744" s="51">
        <v>1.016</v>
      </c>
      <c r="D1744" s="51">
        <v>68.0</v>
      </c>
      <c r="E1744" s="52" t="s">
        <v>25</v>
      </c>
      <c r="F1744" s="52" t="s">
        <v>26</v>
      </c>
      <c r="G1744" s="53"/>
    </row>
    <row r="1745">
      <c r="A1745" s="49">
        <v>44712.97382835648</v>
      </c>
      <c r="B1745" s="50">
        <v>44713.098803449</v>
      </c>
      <c r="C1745" s="51">
        <v>1.016</v>
      </c>
      <c r="D1745" s="51">
        <v>67.0</v>
      </c>
      <c r="E1745" s="52" t="s">
        <v>25</v>
      </c>
      <c r="F1745" s="52" t="s">
        <v>26</v>
      </c>
      <c r="G1745" s="53"/>
    </row>
    <row r="1746">
      <c r="A1746" s="49">
        <v>44712.984260682875</v>
      </c>
      <c r="B1746" s="50">
        <v>44713.1092356597</v>
      </c>
      <c r="C1746" s="51">
        <v>1.016</v>
      </c>
      <c r="D1746" s="51">
        <v>66.0</v>
      </c>
      <c r="E1746" s="52" t="s">
        <v>25</v>
      </c>
      <c r="F1746" s="52" t="s">
        <v>26</v>
      </c>
      <c r="G1746" s="53"/>
    </row>
    <row r="1747">
      <c r="A1747" s="49">
        <v>44712.994680868054</v>
      </c>
      <c r="B1747" s="50">
        <v>44713.1196556365</v>
      </c>
      <c r="C1747" s="51">
        <v>1.016</v>
      </c>
      <c r="D1747" s="51">
        <v>66.0</v>
      </c>
      <c r="E1747" s="52" t="s">
        <v>25</v>
      </c>
      <c r="F1747" s="52" t="s">
        <v>26</v>
      </c>
      <c r="G1747" s="53"/>
    </row>
    <row r="1748">
      <c r="A1748" s="49">
        <v>44713.005113321764</v>
      </c>
      <c r="B1748" s="50">
        <v>44713.1300883796</v>
      </c>
      <c r="C1748" s="51">
        <v>1.016</v>
      </c>
      <c r="D1748" s="51">
        <v>66.0</v>
      </c>
      <c r="E1748" s="52" t="s">
        <v>25</v>
      </c>
      <c r="F1748" s="52" t="s">
        <v>26</v>
      </c>
      <c r="G1748" s="53"/>
    </row>
    <row r="1749">
      <c r="A1749" s="49">
        <v>44713.01555115741</v>
      </c>
      <c r="B1749" s="50">
        <v>44713.1405223495</v>
      </c>
      <c r="C1749" s="51">
        <v>1.016</v>
      </c>
      <c r="D1749" s="51">
        <v>66.0</v>
      </c>
      <c r="E1749" s="52" t="s">
        <v>25</v>
      </c>
      <c r="F1749" s="52" t="s">
        <v>26</v>
      </c>
      <c r="G1749" s="53"/>
    </row>
    <row r="1750">
      <c r="A1750" s="49">
        <v>44713.02598005787</v>
      </c>
      <c r="B1750" s="50">
        <v>44713.1509561458</v>
      </c>
      <c r="C1750" s="51">
        <v>1.016</v>
      </c>
      <c r="D1750" s="51">
        <v>66.0</v>
      </c>
      <c r="E1750" s="52" t="s">
        <v>25</v>
      </c>
      <c r="F1750" s="52" t="s">
        <v>26</v>
      </c>
      <c r="G1750" s="53"/>
    </row>
    <row r="1751">
      <c r="A1751" s="49">
        <v>44713.03640060185</v>
      </c>
      <c r="B1751" s="50">
        <v>44713.1613759027</v>
      </c>
      <c r="C1751" s="51">
        <v>1.016</v>
      </c>
      <c r="D1751" s="51">
        <v>66.0</v>
      </c>
      <c r="E1751" s="52" t="s">
        <v>25</v>
      </c>
      <c r="F1751" s="52" t="s">
        <v>26</v>
      </c>
      <c r="G1751" s="53"/>
    </row>
    <row r="1752">
      <c r="A1752" s="49">
        <v>44713.046845081015</v>
      </c>
      <c r="B1752" s="50">
        <v>44713.1718207175</v>
      </c>
      <c r="C1752" s="51">
        <v>1.016</v>
      </c>
      <c r="D1752" s="51">
        <v>66.0</v>
      </c>
      <c r="E1752" s="52" t="s">
        <v>25</v>
      </c>
      <c r="F1752" s="52" t="s">
        <v>26</v>
      </c>
      <c r="G1752" s="53"/>
    </row>
    <row r="1753">
      <c r="A1753" s="49">
        <v>44713.05727049768</v>
      </c>
      <c r="B1753" s="50">
        <v>44713.1822420023</v>
      </c>
      <c r="C1753" s="51">
        <v>1.016</v>
      </c>
      <c r="D1753" s="51">
        <v>66.0</v>
      </c>
      <c r="E1753" s="52" t="s">
        <v>25</v>
      </c>
      <c r="F1753" s="52" t="s">
        <v>26</v>
      </c>
      <c r="G1753" s="53"/>
    </row>
    <row r="1754">
      <c r="A1754" s="49">
        <v>44713.06769653935</v>
      </c>
      <c r="B1754" s="50">
        <v>44713.1926622569</v>
      </c>
      <c r="C1754" s="51">
        <v>1.016</v>
      </c>
      <c r="D1754" s="51">
        <v>66.0</v>
      </c>
      <c r="E1754" s="52" t="s">
        <v>25</v>
      </c>
      <c r="F1754" s="52" t="s">
        <v>26</v>
      </c>
      <c r="G1754" s="53"/>
    </row>
    <row r="1755">
      <c r="A1755" s="49">
        <v>44713.078133773146</v>
      </c>
      <c r="B1755" s="50">
        <v>44713.203107662</v>
      </c>
      <c r="C1755" s="51">
        <v>1.016</v>
      </c>
      <c r="D1755" s="51">
        <v>66.0</v>
      </c>
      <c r="E1755" s="52" t="s">
        <v>25</v>
      </c>
      <c r="F1755" s="52" t="s">
        <v>26</v>
      </c>
      <c r="G1755" s="53"/>
    </row>
    <row r="1756">
      <c r="A1756" s="49">
        <v>44713.08855583333</v>
      </c>
      <c r="B1756" s="50">
        <v>44713.2135298495</v>
      </c>
      <c r="C1756" s="51">
        <v>1.016</v>
      </c>
      <c r="D1756" s="51">
        <v>66.0</v>
      </c>
      <c r="E1756" s="52" t="s">
        <v>25</v>
      </c>
      <c r="F1756" s="52" t="s">
        <v>26</v>
      </c>
      <c r="G1756" s="53"/>
    </row>
    <row r="1757">
      <c r="A1757" s="49">
        <v>44713.09897457176</v>
      </c>
      <c r="B1757" s="50">
        <v>44713.2239498032</v>
      </c>
      <c r="C1757" s="51">
        <v>1.016</v>
      </c>
      <c r="D1757" s="51">
        <v>66.0</v>
      </c>
      <c r="E1757" s="52" t="s">
        <v>25</v>
      </c>
      <c r="F1757" s="52" t="s">
        <v>26</v>
      </c>
      <c r="G1757" s="53"/>
    </row>
    <row r="1758">
      <c r="A1758" s="49">
        <v>44713.10939405093</v>
      </c>
      <c r="B1758" s="50">
        <v>44713.2343725694</v>
      </c>
      <c r="C1758" s="51">
        <v>1.016</v>
      </c>
      <c r="D1758" s="51">
        <v>66.0</v>
      </c>
      <c r="E1758" s="52" t="s">
        <v>25</v>
      </c>
      <c r="F1758" s="52" t="s">
        <v>26</v>
      </c>
      <c r="G1758" s="53"/>
    </row>
    <row r="1759">
      <c r="A1759" s="49">
        <v>44713.11982344907</v>
      </c>
      <c r="B1759" s="50">
        <v>44713.2447957638</v>
      </c>
      <c r="C1759" s="51">
        <v>1.016</v>
      </c>
      <c r="D1759" s="51">
        <v>66.0</v>
      </c>
      <c r="E1759" s="52" t="s">
        <v>25</v>
      </c>
      <c r="F1759" s="52" t="s">
        <v>26</v>
      </c>
      <c r="G1759" s="53"/>
    </row>
    <row r="1760">
      <c r="A1760" s="49">
        <v>44713.13024804398</v>
      </c>
      <c r="B1760" s="50">
        <v>44713.255216412</v>
      </c>
      <c r="C1760" s="51">
        <v>1.016</v>
      </c>
      <c r="D1760" s="51">
        <v>66.0</v>
      </c>
      <c r="E1760" s="52" t="s">
        <v>25</v>
      </c>
      <c r="F1760" s="52" t="s">
        <v>26</v>
      </c>
      <c r="G1760" s="53"/>
    </row>
    <row r="1761">
      <c r="A1761" s="49">
        <v>44713.140668761574</v>
      </c>
      <c r="B1761" s="50">
        <v>44713.2656370138</v>
      </c>
      <c r="C1761" s="51">
        <v>1.016</v>
      </c>
      <c r="D1761" s="51">
        <v>66.0</v>
      </c>
      <c r="E1761" s="52" t="s">
        <v>25</v>
      </c>
      <c r="F1761" s="52" t="s">
        <v>26</v>
      </c>
      <c r="G1761" s="53"/>
    </row>
    <row r="1762">
      <c r="A1762" s="49">
        <v>44713.15108149305</v>
      </c>
      <c r="B1762" s="50">
        <v>44713.2760590046</v>
      </c>
      <c r="C1762" s="51">
        <v>1.016</v>
      </c>
      <c r="D1762" s="51">
        <v>66.0</v>
      </c>
      <c r="E1762" s="52" t="s">
        <v>25</v>
      </c>
      <c r="F1762" s="52" t="s">
        <v>26</v>
      </c>
      <c r="G1762" s="53"/>
    </row>
    <row r="1763">
      <c r="A1763" s="49">
        <v>44713.161510509264</v>
      </c>
      <c r="B1763" s="50">
        <v>44713.2864818518</v>
      </c>
      <c r="C1763" s="51">
        <v>1.016</v>
      </c>
      <c r="D1763" s="51">
        <v>66.0</v>
      </c>
      <c r="E1763" s="52" t="s">
        <v>25</v>
      </c>
      <c r="F1763" s="52" t="s">
        <v>26</v>
      </c>
      <c r="G1763" s="53"/>
    </row>
    <row r="1764">
      <c r="A1764" s="49">
        <v>44713.171930358796</v>
      </c>
      <c r="B1764" s="50">
        <v>44713.2969023842</v>
      </c>
      <c r="C1764" s="51">
        <v>1.016</v>
      </c>
      <c r="D1764" s="51">
        <v>66.0</v>
      </c>
      <c r="E1764" s="52" t="s">
        <v>25</v>
      </c>
      <c r="F1764" s="52" t="s">
        <v>26</v>
      </c>
      <c r="G1764" s="53"/>
    </row>
    <row r="1765">
      <c r="A1765" s="49">
        <v>44713.18234997685</v>
      </c>
      <c r="B1765" s="50">
        <v>44713.307322905</v>
      </c>
      <c r="C1765" s="51">
        <v>1.016</v>
      </c>
      <c r="D1765" s="51">
        <v>66.0</v>
      </c>
      <c r="E1765" s="52" t="s">
        <v>25</v>
      </c>
      <c r="F1765" s="52" t="s">
        <v>26</v>
      </c>
      <c r="G1765" s="53"/>
    </row>
    <row r="1766">
      <c r="A1766" s="49">
        <v>44713.19276928241</v>
      </c>
      <c r="B1766" s="50">
        <v>44713.3177455439</v>
      </c>
      <c r="C1766" s="51">
        <v>1.016</v>
      </c>
      <c r="D1766" s="51">
        <v>66.0</v>
      </c>
      <c r="E1766" s="52" t="s">
        <v>25</v>
      </c>
      <c r="F1766" s="52" t="s">
        <v>26</v>
      </c>
      <c r="G1766" s="53"/>
    </row>
    <row r="1767">
      <c r="A1767" s="49">
        <v>44713.20318835648</v>
      </c>
      <c r="B1767" s="50">
        <v>44713.3281667245</v>
      </c>
      <c r="C1767" s="51">
        <v>1.016</v>
      </c>
      <c r="D1767" s="51">
        <v>66.0</v>
      </c>
      <c r="E1767" s="52" t="s">
        <v>25</v>
      </c>
      <c r="F1767" s="52" t="s">
        <v>26</v>
      </c>
      <c r="G1767" s="53"/>
    </row>
    <row r="1768">
      <c r="A1768" s="49">
        <v>44713.213617500005</v>
      </c>
      <c r="B1768" s="50">
        <v>44713.3385992939</v>
      </c>
      <c r="C1768" s="51">
        <v>1.016</v>
      </c>
      <c r="D1768" s="51">
        <v>65.0</v>
      </c>
      <c r="E1768" s="52" t="s">
        <v>25</v>
      </c>
      <c r="F1768" s="52" t="s">
        <v>26</v>
      </c>
      <c r="G1768" s="53"/>
    </row>
    <row r="1769">
      <c r="A1769" s="49">
        <v>44713.22403765046</v>
      </c>
      <c r="B1769" s="50">
        <v>44713.3490198379</v>
      </c>
      <c r="C1769" s="51">
        <v>1.016</v>
      </c>
      <c r="D1769" s="51">
        <v>66.0</v>
      </c>
      <c r="E1769" s="52" t="s">
        <v>25</v>
      </c>
      <c r="F1769" s="52" t="s">
        <v>26</v>
      </c>
      <c r="G1769" s="53"/>
    </row>
    <row r="1770">
      <c r="A1770" s="49">
        <v>44713.23447931713</v>
      </c>
      <c r="B1770" s="50">
        <v>44713.3594540393</v>
      </c>
      <c r="C1770" s="51">
        <v>1.016</v>
      </c>
      <c r="D1770" s="51">
        <v>66.0</v>
      </c>
      <c r="E1770" s="52" t="s">
        <v>25</v>
      </c>
      <c r="F1770" s="52" t="s">
        <v>26</v>
      </c>
      <c r="G1770" s="53"/>
    </row>
    <row r="1771">
      <c r="A1771" s="49">
        <v>44713.244910208334</v>
      </c>
      <c r="B1771" s="50">
        <v>44713.3698856481</v>
      </c>
      <c r="C1771" s="51">
        <v>1.016</v>
      </c>
      <c r="D1771" s="51">
        <v>66.0</v>
      </c>
      <c r="E1771" s="52" t="s">
        <v>25</v>
      </c>
      <c r="F1771" s="52" t="s">
        <v>26</v>
      </c>
      <c r="G1771" s="53"/>
    </row>
    <row r="1772">
      <c r="A1772" s="49">
        <v>44713.25533179398</v>
      </c>
      <c r="B1772" s="50">
        <v>44713.3803068171</v>
      </c>
      <c r="C1772" s="51">
        <v>1.016</v>
      </c>
      <c r="D1772" s="51">
        <v>66.0</v>
      </c>
      <c r="E1772" s="52" t="s">
        <v>25</v>
      </c>
      <c r="F1772" s="52" t="s">
        <v>26</v>
      </c>
      <c r="G1772" s="53"/>
    </row>
    <row r="1773">
      <c r="A1773" s="49">
        <v>44713.26578192129</v>
      </c>
      <c r="B1773" s="50">
        <v>44713.3907400115</v>
      </c>
      <c r="C1773" s="51">
        <v>1.016</v>
      </c>
      <c r="D1773" s="51">
        <v>66.0</v>
      </c>
      <c r="E1773" s="52" t="s">
        <v>25</v>
      </c>
      <c r="F1773" s="52" t="s">
        <v>26</v>
      </c>
      <c r="G1773" s="53"/>
    </row>
    <row r="1774">
      <c r="A1774" s="49">
        <v>44713.27618697917</v>
      </c>
      <c r="B1774" s="50">
        <v>44713.4011613425</v>
      </c>
      <c r="C1774" s="51">
        <v>1.016</v>
      </c>
      <c r="D1774" s="51">
        <v>66.0</v>
      </c>
      <c r="E1774" s="52" t="s">
        <v>25</v>
      </c>
      <c r="F1774" s="52" t="s">
        <v>26</v>
      </c>
      <c r="G1774" s="53"/>
    </row>
    <row r="1775">
      <c r="A1775" s="49">
        <v>44713.28660784722</v>
      </c>
      <c r="B1775" s="50">
        <v>44713.4115837962</v>
      </c>
      <c r="C1775" s="51">
        <v>1.016</v>
      </c>
      <c r="D1775" s="51">
        <v>66.0</v>
      </c>
      <c r="E1775" s="52" t="s">
        <v>25</v>
      </c>
      <c r="F1775" s="52" t="s">
        <v>26</v>
      </c>
      <c r="G1775" s="53"/>
    </row>
    <row r="1776">
      <c r="A1776" s="49">
        <v>44713.297023136576</v>
      </c>
      <c r="B1776" s="50">
        <v>44713.4220052083</v>
      </c>
      <c r="C1776" s="51">
        <v>1.016</v>
      </c>
      <c r="D1776" s="51">
        <v>66.0</v>
      </c>
      <c r="E1776" s="52" t="s">
        <v>25</v>
      </c>
      <c r="F1776" s="52" t="s">
        <v>26</v>
      </c>
      <c r="G1776" s="53"/>
    </row>
    <row r="1777">
      <c r="A1777" s="49">
        <v>44713.307466388884</v>
      </c>
      <c r="B1777" s="50">
        <v>44713.4324383796</v>
      </c>
      <c r="C1777" s="51">
        <v>1.016</v>
      </c>
      <c r="D1777" s="51">
        <v>66.0</v>
      </c>
      <c r="E1777" s="52" t="s">
        <v>25</v>
      </c>
      <c r="F1777" s="52" t="s">
        <v>26</v>
      </c>
      <c r="G1777" s="53"/>
    </row>
    <row r="1778">
      <c r="A1778" s="49">
        <v>44713.31789535879</v>
      </c>
      <c r="B1778" s="50">
        <v>44713.4428596875</v>
      </c>
      <c r="C1778" s="51">
        <v>1.016</v>
      </c>
      <c r="D1778" s="51">
        <v>66.0</v>
      </c>
      <c r="E1778" s="52" t="s">
        <v>25</v>
      </c>
      <c r="F1778" s="52" t="s">
        <v>26</v>
      </c>
      <c r="G1778" s="53"/>
    </row>
    <row r="1779">
      <c r="A1779" s="49">
        <v>44713.32832241898</v>
      </c>
      <c r="B1779" s="50">
        <v>44713.453293287</v>
      </c>
      <c r="C1779" s="51">
        <v>1.016</v>
      </c>
      <c r="D1779" s="51">
        <v>66.0</v>
      </c>
      <c r="E1779" s="52" t="s">
        <v>25</v>
      </c>
      <c r="F1779" s="52" t="s">
        <v>26</v>
      </c>
      <c r="G1779" s="53"/>
    </row>
    <row r="1780">
      <c r="A1780" s="49">
        <v>44713.33875298611</v>
      </c>
      <c r="B1780" s="50">
        <v>44713.4637252893</v>
      </c>
      <c r="C1780" s="51">
        <v>1.016</v>
      </c>
      <c r="D1780" s="51">
        <v>66.0</v>
      </c>
      <c r="E1780" s="52" t="s">
        <v>25</v>
      </c>
      <c r="F1780" s="52" t="s">
        <v>26</v>
      </c>
      <c r="G1780" s="53"/>
    </row>
    <row r="1781">
      <c r="A1781" s="49">
        <v>44713.34920134259</v>
      </c>
      <c r="B1781" s="50">
        <v>44713.4741706018</v>
      </c>
      <c r="C1781" s="51">
        <v>1.016</v>
      </c>
      <c r="D1781" s="51">
        <v>66.0</v>
      </c>
      <c r="E1781" s="52" t="s">
        <v>25</v>
      </c>
      <c r="F1781" s="52" t="s">
        <v>26</v>
      </c>
      <c r="G1781" s="53"/>
    </row>
    <row r="1782">
      <c r="A1782" s="49">
        <v>44713.35963258102</v>
      </c>
      <c r="B1782" s="50">
        <v>44713.4845924189</v>
      </c>
      <c r="C1782" s="51">
        <v>1.016</v>
      </c>
      <c r="D1782" s="51">
        <v>66.0</v>
      </c>
      <c r="E1782" s="52" t="s">
        <v>25</v>
      </c>
      <c r="F1782" s="52" t="s">
        <v>26</v>
      </c>
      <c r="G1782" s="53"/>
    </row>
    <row r="1783">
      <c r="A1783" s="49">
        <v>44713.37004040509</v>
      </c>
      <c r="B1783" s="50">
        <v>44713.4950131134</v>
      </c>
      <c r="C1783" s="51">
        <v>1.015</v>
      </c>
      <c r="D1783" s="51">
        <v>66.0</v>
      </c>
      <c r="E1783" s="52" t="s">
        <v>25</v>
      </c>
      <c r="F1783" s="52" t="s">
        <v>26</v>
      </c>
      <c r="G1783" s="53"/>
    </row>
    <row r="1784">
      <c r="A1784" s="49">
        <v>44713.38045482639</v>
      </c>
      <c r="B1784" s="50">
        <v>44713.5054332754</v>
      </c>
      <c r="C1784" s="51">
        <v>1.016</v>
      </c>
      <c r="D1784" s="51">
        <v>66.0</v>
      </c>
      <c r="E1784" s="52" t="s">
        <v>25</v>
      </c>
      <c r="F1784" s="52" t="s">
        <v>26</v>
      </c>
      <c r="G1784" s="53"/>
    </row>
    <row r="1785">
      <c r="A1785" s="49">
        <v>44713.39089660879</v>
      </c>
      <c r="B1785" s="50">
        <v>44713.5158656944</v>
      </c>
      <c r="C1785" s="51">
        <v>1.016</v>
      </c>
      <c r="D1785" s="51">
        <v>66.0</v>
      </c>
      <c r="E1785" s="52" t="s">
        <v>25</v>
      </c>
      <c r="F1785" s="52" t="s">
        <v>26</v>
      </c>
      <c r="G1785" s="53"/>
    </row>
    <row r="1786">
      <c r="A1786" s="49">
        <v>44713.40131255787</v>
      </c>
      <c r="B1786" s="50">
        <v>44713.5262868865</v>
      </c>
      <c r="C1786" s="51">
        <v>1.016</v>
      </c>
      <c r="D1786" s="51">
        <v>66.0</v>
      </c>
      <c r="E1786" s="52" t="s">
        <v>25</v>
      </c>
      <c r="F1786" s="52" t="s">
        <v>26</v>
      </c>
      <c r="G1786" s="53"/>
    </row>
    <row r="1787">
      <c r="A1787" s="49">
        <v>44713.41173583333</v>
      </c>
      <c r="B1787" s="50">
        <v>44713.5367091666</v>
      </c>
      <c r="C1787" s="51">
        <v>1.016</v>
      </c>
      <c r="D1787" s="51">
        <v>66.0</v>
      </c>
      <c r="E1787" s="52" t="s">
        <v>25</v>
      </c>
      <c r="F1787" s="52" t="s">
        <v>26</v>
      </c>
      <c r="G1787" s="53"/>
    </row>
    <row r="1788">
      <c r="A1788" s="49">
        <v>44713.42215387731</v>
      </c>
      <c r="B1788" s="50">
        <v>44713.5471315046</v>
      </c>
      <c r="C1788" s="51">
        <v>1.015</v>
      </c>
      <c r="D1788" s="51">
        <v>66.0</v>
      </c>
      <c r="E1788" s="52" t="s">
        <v>25</v>
      </c>
      <c r="F1788" s="52" t="s">
        <v>26</v>
      </c>
      <c r="G1788" s="53"/>
    </row>
    <row r="1789">
      <c r="A1789" s="49">
        <v>44713.432603761576</v>
      </c>
      <c r="B1789" s="50">
        <v>44713.5575878009</v>
      </c>
      <c r="C1789" s="51">
        <v>1.015</v>
      </c>
      <c r="D1789" s="51">
        <v>66.0</v>
      </c>
      <c r="E1789" s="52" t="s">
        <v>25</v>
      </c>
      <c r="F1789" s="52" t="s">
        <v>26</v>
      </c>
      <c r="G1789" s="53"/>
    </row>
    <row r="1790">
      <c r="A1790" s="49">
        <v>44713.44303016204</v>
      </c>
      <c r="B1790" s="50">
        <v>44713.5680071064</v>
      </c>
      <c r="C1790" s="51">
        <v>1.016</v>
      </c>
      <c r="D1790" s="51">
        <v>66.0</v>
      </c>
      <c r="E1790" s="52" t="s">
        <v>25</v>
      </c>
      <c r="F1790" s="52" t="s">
        <v>26</v>
      </c>
      <c r="G1790" s="53"/>
    </row>
    <row r="1791">
      <c r="A1791" s="49">
        <v>44713.453461666664</v>
      </c>
      <c r="B1791" s="50">
        <v>44713.5784398148</v>
      </c>
      <c r="C1791" s="51">
        <v>1.015</v>
      </c>
      <c r="D1791" s="51">
        <v>66.0</v>
      </c>
      <c r="E1791" s="52" t="s">
        <v>25</v>
      </c>
      <c r="F1791" s="52" t="s">
        <v>26</v>
      </c>
      <c r="G1791" s="53"/>
    </row>
    <row r="1792">
      <c r="A1792" s="49">
        <v>44713.463919166665</v>
      </c>
      <c r="B1792" s="50">
        <v>44713.5888949652</v>
      </c>
      <c r="C1792" s="51">
        <v>1.015</v>
      </c>
      <c r="D1792" s="51">
        <v>66.0</v>
      </c>
      <c r="E1792" s="52" t="s">
        <v>25</v>
      </c>
      <c r="F1792" s="52" t="s">
        <v>26</v>
      </c>
      <c r="G1792" s="53"/>
    </row>
    <row r="1793">
      <c r="A1793" s="49">
        <v>44713.47433809028</v>
      </c>
      <c r="B1793" s="50">
        <v>44713.5993167592</v>
      </c>
      <c r="C1793" s="51">
        <v>1.015</v>
      </c>
      <c r="D1793" s="51">
        <v>66.0</v>
      </c>
      <c r="E1793" s="52" t="s">
        <v>25</v>
      </c>
      <c r="F1793" s="52" t="s">
        <v>26</v>
      </c>
      <c r="G1793" s="53"/>
    </row>
    <row r="1794">
      <c r="A1794" s="49">
        <v>44713.484765914356</v>
      </c>
      <c r="B1794" s="50">
        <v>44713.609749537</v>
      </c>
      <c r="C1794" s="51">
        <v>1.015</v>
      </c>
      <c r="D1794" s="51">
        <v>66.0</v>
      </c>
      <c r="E1794" s="52" t="s">
        <v>25</v>
      </c>
      <c r="F1794" s="52" t="s">
        <v>26</v>
      </c>
      <c r="G1794" s="53"/>
    </row>
    <row r="1795">
      <c r="A1795" s="49">
        <v>44713.495196655094</v>
      </c>
      <c r="B1795" s="50">
        <v>44713.6201710648</v>
      </c>
      <c r="C1795" s="51">
        <v>1.016</v>
      </c>
      <c r="D1795" s="51">
        <v>66.0</v>
      </c>
      <c r="E1795" s="52" t="s">
        <v>25</v>
      </c>
      <c r="F1795" s="52" t="s">
        <v>26</v>
      </c>
      <c r="G1795" s="53"/>
    </row>
    <row r="1796">
      <c r="A1796" s="49">
        <v>44713.50563216435</v>
      </c>
      <c r="B1796" s="50">
        <v>44713.6306032638</v>
      </c>
      <c r="C1796" s="51">
        <v>1.015</v>
      </c>
      <c r="D1796" s="51">
        <v>66.0</v>
      </c>
      <c r="E1796" s="52" t="s">
        <v>25</v>
      </c>
      <c r="F1796" s="52" t="s">
        <v>26</v>
      </c>
      <c r="G1796" s="53"/>
    </row>
    <row r="1797">
      <c r="A1797" s="49">
        <v>44713.516051909726</v>
      </c>
      <c r="B1797" s="50">
        <v>44713.6410238194</v>
      </c>
      <c r="C1797" s="51">
        <v>1.015</v>
      </c>
      <c r="D1797" s="51">
        <v>66.0</v>
      </c>
      <c r="E1797" s="52" t="s">
        <v>25</v>
      </c>
      <c r="F1797" s="52" t="s">
        <v>26</v>
      </c>
      <c r="G1797" s="53"/>
    </row>
    <row r="1798">
      <c r="A1798" s="49">
        <v>44713.52646765046</v>
      </c>
      <c r="B1798" s="50">
        <v>44713.6514452546</v>
      </c>
      <c r="C1798" s="51">
        <v>1.015</v>
      </c>
      <c r="D1798" s="51">
        <v>66.0</v>
      </c>
      <c r="E1798" s="52" t="s">
        <v>25</v>
      </c>
      <c r="F1798" s="52" t="s">
        <v>26</v>
      </c>
      <c r="G1798" s="53"/>
    </row>
    <row r="1799">
      <c r="A1799" s="49">
        <v>44713.53688980324</v>
      </c>
      <c r="B1799" s="50">
        <v>44713.6618659722</v>
      </c>
      <c r="C1799" s="51">
        <v>1.016</v>
      </c>
      <c r="D1799" s="51">
        <v>66.0</v>
      </c>
      <c r="E1799" s="52" t="s">
        <v>25</v>
      </c>
      <c r="F1799" s="52" t="s">
        <v>26</v>
      </c>
      <c r="G1799" s="53"/>
    </row>
    <row r="1800">
      <c r="A1800" s="49">
        <v>44713.54731653935</v>
      </c>
      <c r="B1800" s="50">
        <v>44713.6722867592</v>
      </c>
      <c r="C1800" s="51">
        <v>1.015</v>
      </c>
      <c r="D1800" s="51">
        <v>66.0</v>
      </c>
      <c r="E1800" s="52" t="s">
        <v>25</v>
      </c>
      <c r="F1800" s="52" t="s">
        <v>26</v>
      </c>
      <c r="G1800" s="53"/>
    </row>
    <row r="1801">
      <c r="A1801" s="49">
        <v>44713.55773252315</v>
      </c>
      <c r="B1801" s="50">
        <v>44713.6827078588</v>
      </c>
      <c r="C1801" s="51">
        <v>1.015</v>
      </c>
      <c r="D1801" s="51">
        <v>66.0</v>
      </c>
      <c r="E1801" s="52" t="s">
        <v>25</v>
      </c>
      <c r="F1801" s="52" t="s">
        <v>26</v>
      </c>
      <c r="G1801" s="53"/>
    </row>
    <row r="1802">
      <c r="A1802" s="49">
        <v>44713.56815584491</v>
      </c>
      <c r="B1802" s="50">
        <v>44713.6931298958</v>
      </c>
      <c r="C1802" s="51">
        <v>1.015</v>
      </c>
      <c r="D1802" s="51">
        <v>66.0</v>
      </c>
      <c r="E1802" s="52" t="s">
        <v>25</v>
      </c>
      <c r="F1802" s="52" t="s">
        <v>26</v>
      </c>
      <c r="G1802" s="53"/>
    </row>
    <row r="1803">
      <c r="A1803" s="49">
        <v>44713.57857215278</v>
      </c>
      <c r="B1803" s="50">
        <v>44713.7035539351</v>
      </c>
      <c r="C1803" s="51">
        <v>1.015</v>
      </c>
      <c r="D1803" s="51">
        <v>66.0</v>
      </c>
      <c r="E1803" s="52" t="s">
        <v>25</v>
      </c>
      <c r="F1803" s="52" t="s">
        <v>26</v>
      </c>
      <c r="G1803" s="53"/>
    </row>
    <row r="1804">
      <c r="A1804" s="49">
        <v>44713.58901402778</v>
      </c>
      <c r="B1804" s="50">
        <v>44713.7139887152</v>
      </c>
      <c r="C1804" s="51">
        <v>1.015</v>
      </c>
      <c r="D1804" s="51">
        <v>66.0</v>
      </c>
      <c r="E1804" s="52" t="s">
        <v>25</v>
      </c>
      <c r="F1804" s="52" t="s">
        <v>26</v>
      </c>
      <c r="G1804" s="53"/>
    </row>
    <row r="1805">
      <c r="A1805" s="49">
        <v>44713.59944822917</v>
      </c>
      <c r="B1805" s="50">
        <v>44713.724421574</v>
      </c>
      <c r="C1805" s="51">
        <v>1.015</v>
      </c>
      <c r="D1805" s="51">
        <v>66.0</v>
      </c>
      <c r="E1805" s="52" t="s">
        <v>25</v>
      </c>
      <c r="F1805" s="52" t="s">
        <v>26</v>
      </c>
      <c r="G1805" s="53"/>
    </row>
    <row r="1806">
      <c r="A1806" s="49">
        <v>44713.609874166665</v>
      </c>
      <c r="B1806" s="50">
        <v>44713.7348443518</v>
      </c>
      <c r="C1806" s="51">
        <v>1.015</v>
      </c>
      <c r="D1806" s="51">
        <v>66.0</v>
      </c>
      <c r="E1806" s="52" t="s">
        <v>25</v>
      </c>
      <c r="F1806" s="52" t="s">
        <v>26</v>
      </c>
      <c r="G1806" s="53"/>
    </row>
    <row r="1807">
      <c r="A1807" s="49">
        <v>44713.62028744213</v>
      </c>
      <c r="B1807" s="50">
        <v>44713.7452651273</v>
      </c>
      <c r="C1807" s="51">
        <v>1.015</v>
      </c>
      <c r="D1807" s="51">
        <v>66.0</v>
      </c>
      <c r="E1807" s="52" t="s">
        <v>25</v>
      </c>
      <c r="F1807" s="52" t="s">
        <v>26</v>
      </c>
      <c r="G1807" s="53"/>
    </row>
    <row r="1808">
      <c r="A1808" s="49">
        <v>44713.63074898148</v>
      </c>
      <c r="B1808" s="50">
        <v>44713.755720868</v>
      </c>
      <c r="C1808" s="51">
        <v>1.015</v>
      </c>
      <c r="D1808" s="51">
        <v>66.0</v>
      </c>
      <c r="E1808" s="52" t="s">
        <v>25</v>
      </c>
      <c r="F1808" s="52" t="s">
        <v>26</v>
      </c>
      <c r="G1808" s="53"/>
    </row>
    <row r="1809">
      <c r="A1809" s="49">
        <v>44713.64116803241</v>
      </c>
      <c r="B1809" s="50">
        <v>44713.7661418402</v>
      </c>
      <c r="C1809" s="51">
        <v>1.015</v>
      </c>
      <c r="D1809" s="51">
        <v>66.0</v>
      </c>
      <c r="E1809" s="52" t="s">
        <v>25</v>
      </c>
      <c r="F1809" s="52" t="s">
        <v>26</v>
      </c>
      <c r="G1809" s="53"/>
    </row>
    <row r="1810">
      <c r="A1810" s="49">
        <v>44713.65157901621</v>
      </c>
      <c r="B1810" s="50">
        <v>44713.7765602662</v>
      </c>
      <c r="C1810" s="51">
        <v>1.015</v>
      </c>
      <c r="D1810" s="51">
        <v>67.0</v>
      </c>
      <c r="E1810" s="52" t="s">
        <v>25</v>
      </c>
      <c r="F1810" s="52" t="s">
        <v>26</v>
      </c>
      <c r="G1810" s="53"/>
    </row>
    <row r="1811">
      <c r="A1811" s="49">
        <v>44713.662007569445</v>
      </c>
      <c r="B1811" s="50">
        <v>44713.7869831365</v>
      </c>
      <c r="C1811" s="51">
        <v>1.015</v>
      </c>
      <c r="D1811" s="51">
        <v>67.0</v>
      </c>
      <c r="E1811" s="52" t="s">
        <v>25</v>
      </c>
      <c r="F1811" s="52" t="s">
        <v>26</v>
      </c>
      <c r="G1811" s="53"/>
    </row>
    <row r="1812">
      <c r="A1812" s="49">
        <v>44713.67242831019</v>
      </c>
      <c r="B1812" s="50">
        <v>44713.7974038657</v>
      </c>
      <c r="C1812" s="51">
        <v>1.015</v>
      </c>
      <c r="D1812" s="51">
        <v>67.0</v>
      </c>
      <c r="E1812" s="52" t="s">
        <v>25</v>
      </c>
      <c r="F1812" s="52" t="s">
        <v>26</v>
      </c>
      <c r="G1812" s="53"/>
    </row>
    <row r="1813">
      <c r="A1813" s="49">
        <v>44713.68284165509</v>
      </c>
      <c r="B1813" s="50">
        <v>44713.807824456</v>
      </c>
      <c r="C1813" s="51">
        <v>1.015</v>
      </c>
      <c r="D1813" s="51">
        <v>67.0</v>
      </c>
      <c r="E1813" s="52" t="s">
        <v>25</v>
      </c>
      <c r="F1813" s="52" t="s">
        <v>26</v>
      </c>
      <c r="G1813" s="53"/>
    </row>
    <row r="1814">
      <c r="A1814" s="49">
        <v>44713.69327300926</v>
      </c>
      <c r="B1814" s="50">
        <v>44713.8182461921</v>
      </c>
      <c r="C1814" s="51">
        <v>1.015</v>
      </c>
      <c r="D1814" s="51">
        <v>67.0</v>
      </c>
      <c r="E1814" s="52" t="s">
        <v>25</v>
      </c>
      <c r="F1814" s="52" t="s">
        <v>26</v>
      </c>
      <c r="G1814" s="53"/>
    </row>
    <row r="1815">
      <c r="A1815" s="49">
        <v>44713.70369071759</v>
      </c>
      <c r="B1815" s="50">
        <v>44713.8286685416</v>
      </c>
      <c r="C1815" s="51">
        <v>1.015</v>
      </c>
      <c r="D1815" s="51">
        <v>67.0</v>
      </c>
      <c r="E1815" s="52" t="s">
        <v>25</v>
      </c>
      <c r="F1815" s="52" t="s">
        <v>26</v>
      </c>
      <c r="G1815" s="53"/>
    </row>
    <row r="1816">
      <c r="A1816" s="49">
        <v>44713.714121296296</v>
      </c>
      <c r="B1816" s="50">
        <v>44713.8390892824</v>
      </c>
      <c r="C1816" s="51">
        <v>1.015</v>
      </c>
      <c r="D1816" s="51">
        <v>67.0</v>
      </c>
      <c r="E1816" s="52" t="s">
        <v>25</v>
      </c>
      <c r="F1816" s="52" t="s">
        <v>26</v>
      </c>
      <c r="G1816" s="53"/>
    </row>
    <row r="1817">
      <c r="A1817" s="49">
        <v>44713.72453861111</v>
      </c>
      <c r="B1817" s="50">
        <v>44713.8495104976</v>
      </c>
      <c r="C1817" s="51">
        <v>1.015</v>
      </c>
      <c r="D1817" s="51">
        <v>67.0</v>
      </c>
      <c r="E1817" s="52" t="s">
        <v>25</v>
      </c>
      <c r="F1817" s="52" t="s">
        <v>26</v>
      </c>
      <c r="G1817" s="53"/>
    </row>
    <row r="1818">
      <c r="A1818" s="49">
        <v>44713.7349527662</v>
      </c>
      <c r="B1818" s="50">
        <v>44713.8599335416</v>
      </c>
      <c r="C1818" s="51">
        <v>1.015</v>
      </c>
      <c r="D1818" s="51">
        <v>67.0</v>
      </c>
      <c r="E1818" s="52" t="s">
        <v>25</v>
      </c>
      <c r="F1818" s="52" t="s">
        <v>26</v>
      </c>
      <c r="G1818" s="53"/>
    </row>
    <row r="1819">
      <c r="A1819" s="49">
        <v>44713.7453718287</v>
      </c>
      <c r="B1819" s="50">
        <v>44713.8703549421</v>
      </c>
      <c r="C1819" s="51">
        <v>1.015</v>
      </c>
      <c r="D1819" s="51">
        <v>67.0</v>
      </c>
      <c r="E1819" s="52" t="s">
        <v>25</v>
      </c>
      <c r="F1819" s="52" t="s">
        <v>26</v>
      </c>
      <c r="G1819" s="53"/>
    </row>
    <row r="1820">
      <c r="A1820" s="49">
        <v>44713.75580298611</v>
      </c>
      <c r="B1820" s="50">
        <v>44713.8807752083</v>
      </c>
      <c r="C1820" s="51">
        <v>1.015</v>
      </c>
      <c r="D1820" s="51">
        <v>67.0</v>
      </c>
      <c r="E1820" s="52" t="s">
        <v>25</v>
      </c>
      <c r="F1820" s="52" t="s">
        <v>26</v>
      </c>
      <c r="G1820" s="53"/>
    </row>
    <row r="1821">
      <c r="A1821" s="49">
        <v>44713.76622462963</v>
      </c>
      <c r="B1821" s="50">
        <v>44713.8911964699</v>
      </c>
      <c r="C1821" s="51">
        <v>1.015</v>
      </c>
      <c r="D1821" s="51">
        <v>67.0</v>
      </c>
      <c r="E1821" s="52" t="s">
        <v>25</v>
      </c>
      <c r="F1821" s="52" t="s">
        <v>26</v>
      </c>
      <c r="G1821" s="53"/>
    </row>
    <row r="1822">
      <c r="A1822" s="49">
        <v>44713.77664445602</v>
      </c>
      <c r="B1822" s="50">
        <v>44713.9016170717</v>
      </c>
      <c r="C1822" s="51">
        <v>1.015</v>
      </c>
      <c r="D1822" s="51">
        <v>67.0</v>
      </c>
      <c r="E1822" s="52" t="s">
        <v>25</v>
      </c>
      <c r="F1822" s="52" t="s">
        <v>26</v>
      </c>
      <c r="G1822" s="53"/>
    </row>
    <row r="1823">
      <c r="A1823" s="49">
        <v>44713.78706523148</v>
      </c>
      <c r="B1823" s="50">
        <v>44713.9120383101</v>
      </c>
      <c r="C1823" s="51">
        <v>1.015</v>
      </c>
      <c r="D1823" s="51">
        <v>67.0</v>
      </c>
      <c r="E1823" s="52" t="s">
        <v>25</v>
      </c>
      <c r="F1823" s="52" t="s">
        <v>26</v>
      </c>
      <c r="G1823" s="53"/>
    </row>
    <row r="1824">
      <c r="A1824" s="49">
        <v>44713.79748497685</v>
      </c>
      <c r="B1824" s="50">
        <v>44713.9224599189</v>
      </c>
      <c r="C1824" s="51">
        <v>1.015</v>
      </c>
      <c r="D1824" s="51">
        <v>67.0</v>
      </c>
      <c r="E1824" s="52" t="s">
        <v>25</v>
      </c>
      <c r="F1824" s="52" t="s">
        <v>26</v>
      </c>
      <c r="G1824" s="53"/>
    </row>
    <row r="1825">
      <c r="A1825" s="49">
        <v>44713.807907326394</v>
      </c>
      <c r="B1825" s="50">
        <v>44713.9328800463</v>
      </c>
      <c r="C1825" s="51">
        <v>1.015</v>
      </c>
      <c r="D1825" s="51">
        <v>67.0</v>
      </c>
      <c r="E1825" s="52" t="s">
        <v>25</v>
      </c>
      <c r="F1825" s="52" t="s">
        <v>26</v>
      </c>
      <c r="G1825" s="53"/>
    </row>
    <row r="1826">
      <c r="A1826" s="49">
        <v>44713.81833322917</v>
      </c>
      <c r="B1826" s="50">
        <v>44713.943300787</v>
      </c>
      <c r="C1826" s="51">
        <v>1.015</v>
      </c>
      <c r="D1826" s="51">
        <v>67.0</v>
      </c>
      <c r="E1826" s="52" t="s">
        <v>25</v>
      </c>
      <c r="F1826" s="52" t="s">
        <v>26</v>
      </c>
      <c r="G1826" s="53"/>
    </row>
    <row r="1827">
      <c r="A1827" s="49">
        <v>44713.828756284725</v>
      </c>
      <c r="B1827" s="50">
        <v>44713.9537335416</v>
      </c>
      <c r="C1827" s="51">
        <v>1.015</v>
      </c>
      <c r="D1827" s="51">
        <v>67.0</v>
      </c>
      <c r="E1827" s="52" t="s">
        <v>25</v>
      </c>
      <c r="F1827" s="52" t="s">
        <v>26</v>
      </c>
      <c r="G1827" s="53"/>
    </row>
    <row r="1828">
      <c r="A1828" s="49">
        <v>44713.839200636576</v>
      </c>
      <c r="B1828" s="50">
        <v>44713.9641765162</v>
      </c>
      <c r="C1828" s="51">
        <v>1.015</v>
      </c>
      <c r="D1828" s="51">
        <v>67.0</v>
      </c>
      <c r="E1828" s="52" t="s">
        <v>25</v>
      </c>
      <c r="F1828" s="52" t="s">
        <v>26</v>
      </c>
      <c r="G1828" s="53"/>
    </row>
    <row r="1829">
      <c r="A1829" s="49">
        <v>44713.84961373842</v>
      </c>
      <c r="B1829" s="50">
        <v>44713.9745989467</v>
      </c>
      <c r="C1829" s="51">
        <v>1.015</v>
      </c>
      <c r="D1829" s="51">
        <v>67.0</v>
      </c>
      <c r="E1829" s="52" t="s">
        <v>25</v>
      </c>
      <c r="F1829" s="52" t="s">
        <v>26</v>
      </c>
      <c r="G1829" s="53"/>
    </row>
    <row r="1830">
      <c r="A1830" s="49">
        <v>44713.860049062496</v>
      </c>
      <c r="B1830" s="50">
        <v>44713.9850193171</v>
      </c>
      <c r="C1830" s="51">
        <v>1.015</v>
      </c>
      <c r="D1830" s="51">
        <v>67.0</v>
      </c>
      <c r="E1830" s="52" t="s">
        <v>25</v>
      </c>
      <c r="F1830" s="52" t="s">
        <v>26</v>
      </c>
      <c r="G1830" s="53"/>
    </row>
    <row r="1831">
      <c r="A1831" s="49">
        <v>44713.87046618055</v>
      </c>
      <c r="B1831" s="50">
        <v>44713.995441956</v>
      </c>
      <c r="C1831" s="51">
        <v>1.015</v>
      </c>
      <c r="D1831" s="51">
        <v>67.0</v>
      </c>
      <c r="E1831" s="52" t="s">
        <v>25</v>
      </c>
      <c r="F1831" s="52" t="s">
        <v>26</v>
      </c>
      <c r="G1831" s="53"/>
    </row>
    <row r="1832">
      <c r="A1832" s="49">
        <v>44713.88089302083</v>
      </c>
      <c r="B1832" s="50">
        <v>44714.0058627893</v>
      </c>
      <c r="C1832" s="51">
        <v>1.015</v>
      </c>
      <c r="D1832" s="51">
        <v>67.0</v>
      </c>
      <c r="E1832" s="52" t="s">
        <v>25</v>
      </c>
      <c r="F1832" s="52" t="s">
        <v>26</v>
      </c>
      <c r="G1832" s="53"/>
    </row>
    <row r="1833">
      <c r="A1833" s="49">
        <v>44713.891301979165</v>
      </c>
      <c r="B1833" s="50">
        <v>44714.0162847916</v>
      </c>
      <c r="C1833" s="51">
        <v>1.015</v>
      </c>
      <c r="D1833" s="51">
        <v>67.0</v>
      </c>
      <c r="E1833" s="52" t="s">
        <v>25</v>
      </c>
      <c r="F1833" s="52" t="s">
        <v>26</v>
      </c>
      <c r="G1833" s="53"/>
    </row>
    <row r="1834">
      <c r="A1834" s="49">
        <v>44713.901730949074</v>
      </c>
      <c r="B1834" s="50">
        <v>44714.02670625</v>
      </c>
      <c r="C1834" s="51">
        <v>1.015</v>
      </c>
      <c r="D1834" s="51">
        <v>67.0</v>
      </c>
      <c r="E1834" s="52" t="s">
        <v>25</v>
      </c>
      <c r="F1834" s="52" t="s">
        <v>26</v>
      </c>
      <c r="G1834" s="53"/>
    </row>
    <row r="1835">
      <c r="A1835" s="49">
        <v>44713.91215221064</v>
      </c>
      <c r="B1835" s="50">
        <v>44714.037127581</v>
      </c>
      <c r="C1835" s="51">
        <v>1.015</v>
      </c>
      <c r="D1835" s="51">
        <v>67.0</v>
      </c>
      <c r="E1835" s="52" t="s">
        <v>25</v>
      </c>
      <c r="F1835" s="52" t="s">
        <v>26</v>
      </c>
      <c r="G1835" s="53"/>
    </row>
    <row r="1836">
      <c r="A1836" s="49">
        <v>44713.922594097225</v>
      </c>
      <c r="B1836" s="50">
        <v>44714.047573287</v>
      </c>
      <c r="C1836" s="51">
        <v>1.015</v>
      </c>
      <c r="D1836" s="51">
        <v>67.0</v>
      </c>
      <c r="E1836" s="52" t="s">
        <v>25</v>
      </c>
      <c r="F1836" s="52" t="s">
        <v>26</v>
      </c>
      <c r="G1836" s="53"/>
    </row>
    <row r="1837">
      <c r="A1837" s="49">
        <v>44713.93304280093</v>
      </c>
      <c r="B1837" s="50">
        <v>44714.0580179745</v>
      </c>
      <c r="C1837" s="51">
        <v>1.015</v>
      </c>
      <c r="D1837" s="51">
        <v>67.0</v>
      </c>
      <c r="E1837" s="52" t="s">
        <v>25</v>
      </c>
      <c r="F1837" s="52" t="s">
        <v>26</v>
      </c>
      <c r="G1837" s="53"/>
    </row>
    <row r="1838">
      <c r="A1838" s="49">
        <v>44713.9434759375</v>
      </c>
      <c r="B1838" s="50">
        <v>44714.0684495023</v>
      </c>
      <c r="C1838" s="51">
        <v>1.015</v>
      </c>
      <c r="D1838" s="51">
        <v>67.0</v>
      </c>
      <c r="E1838" s="52" t="s">
        <v>25</v>
      </c>
      <c r="F1838" s="52" t="s">
        <v>26</v>
      </c>
      <c r="G1838" s="53"/>
    </row>
    <row r="1839">
      <c r="A1839" s="49">
        <v>44713.953900347224</v>
      </c>
      <c r="B1839" s="50">
        <v>44714.0788695949</v>
      </c>
      <c r="C1839" s="51">
        <v>1.015</v>
      </c>
      <c r="D1839" s="51">
        <v>67.0</v>
      </c>
      <c r="E1839" s="52" t="s">
        <v>25</v>
      </c>
      <c r="F1839" s="52" t="s">
        <v>26</v>
      </c>
      <c r="G1839" s="53"/>
    </row>
    <row r="1840">
      <c r="A1840" s="49">
        <v>44713.964316087964</v>
      </c>
      <c r="B1840" s="50">
        <v>44714.0892900463</v>
      </c>
      <c r="C1840" s="51">
        <v>1.015</v>
      </c>
      <c r="D1840" s="51">
        <v>67.0</v>
      </c>
      <c r="E1840" s="52" t="s">
        <v>25</v>
      </c>
      <c r="F1840" s="52" t="s">
        <v>26</v>
      </c>
      <c r="G1840" s="53"/>
    </row>
    <row r="1841">
      <c r="A1841" s="49">
        <v>44713.97473769676</v>
      </c>
      <c r="B1841" s="50">
        <v>44714.0997108449</v>
      </c>
      <c r="C1841" s="51">
        <v>1.015</v>
      </c>
      <c r="D1841" s="51">
        <v>67.0</v>
      </c>
      <c r="E1841" s="52" t="s">
        <v>25</v>
      </c>
      <c r="F1841" s="52" t="s">
        <v>26</v>
      </c>
      <c r="G1841" s="53"/>
    </row>
    <row r="1842">
      <c r="A1842" s="49">
        <v>44713.985164328704</v>
      </c>
      <c r="B1842" s="50">
        <v>44714.1101323495</v>
      </c>
      <c r="C1842" s="51">
        <v>1.015</v>
      </c>
      <c r="D1842" s="51">
        <v>67.0</v>
      </c>
      <c r="E1842" s="52" t="s">
        <v>25</v>
      </c>
      <c r="F1842" s="52" t="s">
        <v>26</v>
      </c>
      <c r="G1842" s="53"/>
    </row>
    <row r="1843">
      <c r="A1843" s="49">
        <v>44713.99558959491</v>
      </c>
      <c r="B1843" s="50">
        <v>44714.1205545601</v>
      </c>
      <c r="C1843" s="51">
        <v>1.015</v>
      </c>
      <c r="D1843" s="51">
        <v>67.0</v>
      </c>
      <c r="E1843" s="52" t="s">
        <v>25</v>
      </c>
      <c r="F1843" s="52" t="s">
        <v>26</v>
      </c>
      <c r="G1843" s="53"/>
    </row>
    <row r="1844">
      <c r="A1844" s="49">
        <v>44714.006001898146</v>
      </c>
      <c r="B1844" s="50">
        <v>44714.1309760185</v>
      </c>
      <c r="C1844" s="51">
        <v>1.015</v>
      </c>
      <c r="D1844" s="51">
        <v>67.0</v>
      </c>
      <c r="E1844" s="52" t="s">
        <v>25</v>
      </c>
      <c r="F1844" s="52" t="s">
        <v>26</v>
      </c>
      <c r="G1844" s="53"/>
    </row>
    <row r="1845">
      <c r="A1845" s="49">
        <v>44714.01642195602</v>
      </c>
      <c r="B1845" s="50">
        <v>44714.1413968865</v>
      </c>
      <c r="C1845" s="51">
        <v>1.015</v>
      </c>
      <c r="D1845" s="51">
        <v>67.0</v>
      </c>
      <c r="E1845" s="52" t="s">
        <v>25</v>
      </c>
      <c r="F1845" s="52" t="s">
        <v>26</v>
      </c>
      <c r="G1845" s="53"/>
    </row>
    <row r="1846">
      <c r="A1846" s="49">
        <v>44714.02684428241</v>
      </c>
      <c r="B1846" s="50">
        <v>44714.15181625</v>
      </c>
      <c r="C1846" s="51">
        <v>1.014</v>
      </c>
      <c r="D1846" s="51">
        <v>67.0</v>
      </c>
      <c r="E1846" s="52" t="s">
        <v>25</v>
      </c>
      <c r="F1846" s="52" t="s">
        <v>26</v>
      </c>
      <c r="G1846" s="53"/>
    </row>
    <row r="1847">
      <c r="A1847" s="49">
        <v>44714.037266342595</v>
      </c>
      <c r="B1847" s="50">
        <v>44714.162237905</v>
      </c>
      <c r="C1847" s="51">
        <v>1.015</v>
      </c>
      <c r="D1847" s="51">
        <v>67.0</v>
      </c>
      <c r="E1847" s="52" t="s">
        <v>25</v>
      </c>
      <c r="F1847" s="52" t="s">
        <v>26</v>
      </c>
      <c r="G1847" s="53"/>
    </row>
    <row r="1848">
      <c r="A1848" s="49">
        <v>44714.04768579861</v>
      </c>
      <c r="B1848" s="50">
        <v>44714.1726588194</v>
      </c>
      <c r="C1848" s="51">
        <v>1.014</v>
      </c>
      <c r="D1848" s="51">
        <v>67.0</v>
      </c>
      <c r="E1848" s="52" t="s">
        <v>25</v>
      </c>
      <c r="F1848" s="52" t="s">
        <v>26</v>
      </c>
      <c r="G1848" s="53"/>
    </row>
    <row r="1849">
      <c r="A1849" s="49">
        <v>44714.05811170139</v>
      </c>
      <c r="B1849" s="50">
        <v>44714.1830922569</v>
      </c>
      <c r="C1849" s="51">
        <v>1.015</v>
      </c>
      <c r="D1849" s="51">
        <v>67.0</v>
      </c>
      <c r="E1849" s="52" t="s">
        <v>25</v>
      </c>
      <c r="F1849" s="52" t="s">
        <v>26</v>
      </c>
      <c r="G1849" s="53"/>
    </row>
    <row r="1850">
      <c r="A1850" s="49">
        <v>44714.068534652775</v>
      </c>
      <c r="B1850" s="50">
        <v>44714.1935123842</v>
      </c>
      <c r="C1850" s="51">
        <v>1.015</v>
      </c>
      <c r="D1850" s="51">
        <v>67.0</v>
      </c>
      <c r="E1850" s="52" t="s">
        <v>25</v>
      </c>
      <c r="F1850" s="52" t="s">
        <v>26</v>
      </c>
      <c r="G1850" s="53"/>
    </row>
    <row r="1851">
      <c r="A1851" s="49">
        <v>44714.07896099537</v>
      </c>
      <c r="B1851" s="50">
        <v>44714.2039342361</v>
      </c>
      <c r="C1851" s="51">
        <v>1.014</v>
      </c>
      <c r="D1851" s="51">
        <v>67.0</v>
      </c>
      <c r="E1851" s="52" t="s">
        <v>25</v>
      </c>
      <c r="F1851" s="52" t="s">
        <v>26</v>
      </c>
      <c r="G1851" s="53"/>
    </row>
    <row r="1852">
      <c r="A1852" s="49">
        <v>44714.0894166088</v>
      </c>
      <c r="B1852" s="50">
        <v>44714.2143798379</v>
      </c>
      <c r="C1852" s="51">
        <v>1.014</v>
      </c>
      <c r="D1852" s="51">
        <v>68.0</v>
      </c>
      <c r="E1852" s="52" t="s">
        <v>25</v>
      </c>
      <c r="F1852" s="52" t="s">
        <v>26</v>
      </c>
      <c r="G1852" s="53"/>
    </row>
    <row r="1853">
      <c r="A1853" s="49">
        <v>44714.09982304398</v>
      </c>
      <c r="B1853" s="50">
        <v>44714.224799618</v>
      </c>
      <c r="C1853" s="51">
        <v>1.015</v>
      </c>
      <c r="D1853" s="51">
        <v>67.0</v>
      </c>
      <c r="E1853" s="52" t="s">
        <v>25</v>
      </c>
      <c r="F1853" s="52" t="s">
        <v>26</v>
      </c>
      <c r="G1853" s="53"/>
    </row>
    <row r="1854">
      <c r="A1854" s="49">
        <v>44714.11024332176</v>
      </c>
      <c r="B1854" s="50">
        <v>44714.2352201388</v>
      </c>
      <c r="C1854" s="51">
        <v>1.015</v>
      </c>
      <c r="D1854" s="51">
        <v>68.0</v>
      </c>
      <c r="E1854" s="52" t="s">
        <v>25</v>
      </c>
      <c r="F1854" s="52" t="s">
        <v>26</v>
      </c>
      <c r="G1854" s="53"/>
    </row>
    <row r="1855">
      <c r="A1855" s="49">
        <v>44714.120665462964</v>
      </c>
      <c r="B1855" s="50">
        <v>44714.2456398726</v>
      </c>
      <c r="C1855" s="51">
        <v>1.014</v>
      </c>
      <c r="D1855" s="51">
        <v>67.0</v>
      </c>
      <c r="E1855" s="52" t="s">
        <v>25</v>
      </c>
      <c r="F1855" s="52" t="s">
        <v>26</v>
      </c>
      <c r="G1855" s="53"/>
    </row>
    <row r="1856">
      <c r="A1856" s="49">
        <v>44714.131084699075</v>
      </c>
      <c r="B1856" s="50">
        <v>44714.2560613194</v>
      </c>
      <c r="C1856" s="51">
        <v>1.014</v>
      </c>
      <c r="D1856" s="51">
        <v>68.0</v>
      </c>
      <c r="E1856" s="52" t="s">
        <v>25</v>
      </c>
      <c r="F1856" s="52" t="s">
        <v>26</v>
      </c>
      <c r="G1856" s="53"/>
    </row>
    <row r="1857">
      <c r="A1857" s="49">
        <v>44714.1415234375</v>
      </c>
      <c r="B1857" s="50">
        <v>44714.2664958449</v>
      </c>
      <c r="C1857" s="51">
        <v>1.014</v>
      </c>
      <c r="D1857" s="51">
        <v>68.0</v>
      </c>
      <c r="E1857" s="52" t="s">
        <v>25</v>
      </c>
      <c r="F1857" s="52" t="s">
        <v>26</v>
      </c>
      <c r="G1857" s="53"/>
    </row>
    <row r="1858">
      <c r="A1858" s="49">
        <v>44714.15194358796</v>
      </c>
      <c r="B1858" s="50">
        <v>44714.2769163657</v>
      </c>
      <c r="C1858" s="51">
        <v>1.014</v>
      </c>
      <c r="D1858" s="51">
        <v>68.0</v>
      </c>
      <c r="E1858" s="52" t="s">
        <v>25</v>
      </c>
      <c r="F1858" s="52" t="s">
        <v>26</v>
      </c>
      <c r="G1858" s="53"/>
    </row>
    <row r="1859">
      <c r="A1859" s="49">
        <v>44714.16236804398</v>
      </c>
      <c r="B1859" s="50">
        <v>44714.2873370254</v>
      </c>
      <c r="C1859" s="51">
        <v>1.014</v>
      </c>
      <c r="D1859" s="51">
        <v>68.0</v>
      </c>
      <c r="E1859" s="52" t="s">
        <v>25</v>
      </c>
      <c r="F1859" s="52" t="s">
        <v>26</v>
      </c>
      <c r="G1859" s="53"/>
    </row>
    <row r="1860">
      <c r="A1860" s="49">
        <v>44714.17278501157</v>
      </c>
      <c r="B1860" s="50">
        <v>44714.2977579282</v>
      </c>
      <c r="C1860" s="51">
        <v>1.014</v>
      </c>
      <c r="D1860" s="51">
        <v>68.0</v>
      </c>
      <c r="E1860" s="52" t="s">
        <v>25</v>
      </c>
      <c r="F1860" s="52" t="s">
        <v>26</v>
      </c>
      <c r="G1860" s="53"/>
    </row>
    <row r="1861">
      <c r="A1861" s="49">
        <v>44714.18319898148</v>
      </c>
      <c r="B1861" s="50">
        <v>44714.3081773611</v>
      </c>
      <c r="C1861" s="51">
        <v>1.014</v>
      </c>
      <c r="D1861" s="51">
        <v>68.0</v>
      </c>
      <c r="E1861" s="52" t="s">
        <v>25</v>
      </c>
      <c r="F1861" s="52" t="s">
        <v>26</v>
      </c>
      <c r="G1861" s="53"/>
    </row>
    <row r="1862">
      <c r="A1862" s="49">
        <v>44714.193624594904</v>
      </c>
      <c r="B1862" s="50">
        <v>44714.3185969328</v>
      </c>
      <c r="C1862" s="51">
        <v>1.014</v>
      </c>
      <c r="D1862" s="51">
        <v>68.0</v>
      </c>
      <c r="E1862" s="52" t="s">
        <v>25</v>
      </c>
      <c r="F1862" s="52" t="s">
        <v>26</v>
      </c>
      <c r="G1862" s="53"/>
    </row>
    <row r="1863">
      <c r="A1863" s="49">
        <v>44714.20404517361</v>
      </c>
      <c r="B1863" s="50">
        <v>44714.3290171759</v>
      </c>
      <c r="C1863" s="51">
        <v>1.014</v>
      </c>
      <c r="D1863" s="51">
        <v>68.0</v>
      </c>
      <c r="E1863" s="52" t="s">
        <v>25</v>
      </c>
      <c r="F1863" s="52" t="s">
        <v>26</v>
      </c>
      <c r="G1863" s="53"/>
    </row>
    <row r="1864">
      <c r="A1864" s="49">
        <v>44714.214465613426</v>
      </c>
      <c r="B1864" s="50">
        <v>44714.3394381481</v>
      </c>
      <c r="C1864" s="51">
        <v>1.014</v>
      </c>
      <c r="D1864" s="51">
        <v>68.0</v>
      </c>
      <c r="E1864" s="52" t="s">
        <v>25</v>
      </c>
      <c r="F1864" s="52" t="s">
        <v>26</v>
      </c>
      <c r="G1864" s="53"/>
    </row>
    <row r="1865">
      <c r="A1865" s="49">
        <v>44714.22489865741</v>
      </c>
      <c r="B1865" s="50">
        <v>44714.3498705324</v>
      </c>
      <c r="C1865" s="51">
        <v>1.014</v>
      </c>
      <c r="D1865" s="51">
        <v>68.0</v>
      </c>
      <c r="E1865" s="52" t="s">
        <v>25</v>
      </c>
      <c r="F1865" s="52" t="s">
        <v>26</v>
      </c>
      <c r="G1865" s="53"/>
    </row>
    <row r="1866">
      <c r="A1866" s="49">
        <v>44714.23532153935</v>
      </c>
      <c r="B1866" s="50">
        <v>44714.3602916898</v>
      </c>
      <c r="C1866" s="51">
        <v>1.014</v>
      </c>
      <c r="D1866" s="51">
        <v>68.0</v>
      </c>
      <c r="E1866" s="52" t="s">
        <v>25</v>
      </c>
      <c r="F1866" s="52" t="s">
        <v>26</v>
      </c>
      <c r="G1866" s="53"/>
    </row>
    <row r="1867">
      <c r="A1867" s="49">
        <v>44714.245755868054</v>
      </c>
      <c r="B1867" s="50">
        <v>44714.3707245254</v>
      </c>
      <c r="C1867" s="51">
        <v>1.014</v>
      </c>
      <c r="D1867" s="51">
        <v>68.0</v>
      </c>
      <c r="E1867" s="52" t="s">
        <v>25</v>
      </c>
      <c r="F1867" s="52" t="s">
        <v>26</v>
      </c>
      <c r="G1867" s="53"/>
    </row>
    <row r="1868">
      <c r="A1868" s="49">
        <v>44714.256179398144</v>
      </c>
      <c r="B1868" s="50">
        <v>44714.3811462268</v>
      </c>
      <c r="C1868" s="51">
        <v>1.014</v>
      </c>
      <c r="D1868" s="51">
        <v>68.0</v>
      </c>
      <c r="E1868" s="52" t="s">
        <v>25</v>
      </c>
      <c r="F1868" s="52" t="s">
        <v>26</v>
      </c>
      <c r="G1868" s="53"/>
    </row>
    <row r="1869">
      <c r="A1869" s="49">
        <v>44714.266606516205</v>
      </c>
      <c r="B1869" s="50">
        <v>44714.3915787731</v>
      </c>
      <c r="C1869" s="51">
        <v>1.014</v>
      </c>
      <c r="D1869" s="51">
        <v>68.0</v>
      </c>
      <c r="E1869" s="52" t="s">
        <v>25</v>
      </c>
      <c r="F1869" s="52" t="s">
        <v>26</v>
      </c>
      <c r="G1869" s="53"/>
    </row>
    <row r="1870">
      <c r="A1870" s="49">
        <v>44714.27703710648</v>
      </c>
      <c r="B1870" s="50">
        <v>44714.4020118402</v>
      </c>
      <c r="C1870" s="51">
        <v>1.014</v>
      </c>
      <c r="D1870" s="51">
        <v>68.0</v>
      </c>
      <c r="E1870" s="52" t="s">
        <v>25</v>
      </c>
      <c r="F1870" s="52" t="s">
        <v>26</v>
      </c>
      <c r="G1870" s="53"/>
    </row>
    <row r="1871">
      <c r="A1871" s="49">
        <v>44714.28746063657</v>
      </c>
      <c r="B1871" s="50">
        <v>44714.4124330208</v>
      </c>
      <c r="C1871" s="51">
        <v>1.014</v>
      </c>
      <c r="D1871" s="51">
        <v>68.0</v>
      </c>
      <c r="E1871" s="52" t="s">
        <v>25</v>
      </c>
      <c r="F1871" s="52" t="s">
        <v>26</v>
      </c>
      <c r="G1871" s="53"/>
    </row>
    <row r="1872">
      <c r="A1872" s="49">
        <v>44714.297878275465</v>
      </c>
      <c r="B1872" s="50">
        <v>44714.4228536226</v>
      </c>
      <c r="C1872" s="51">
        <v>1.014</v>
      </c>
      <c r="D1872" s="51">
        <v>68.0</v>
      </c>
      <c r="E1872" s="52" t="s">
        <v>25</v>
      </c>
      <c r="F1872" s="52" t="s">
        <v>26</v>
      </c>
      <c r="G1872" s="53"/>
    </row>
    <row r="1873">
      <c r="A1873" s="49">
        <v>44714.30831017361</v>
      </c>
      <c r="B1873" s="50">
        <v>44714.4332860763</v>
      </c>
      <c r="C1873" s="51">
        <v>1.014</v>
      </c>
      <c r="D1873" s="51">
        <v>68.0</v>
      </c>
      <c r="E1873" s="52" t="s">
        <v>25</v>
      </c>
      <c r="F1873" s="52" t="s">
        <v>26</v>
      </c>
      <c r="G1873" s="53"/>
    </row>
    <row r="1874">
      <c r="A1874" s="49">
        <v>44714.31873459491</v>
      </c>
      <c r="B1874" s="50">
        <v>44714.4437074652</v>
      </c>
      <c r="C1874" s="51">
        <v>1.014</v>
      </c>
      <c r="D1874" s="51">
        <v>68.0</v>
      </c>
      <c r="E1874" s="52" t="s">
        <v>25</v>
      </c>
      <c r="F1874" s="52" t="s">
        <v>26</v>
      </c>
      <c r="G1874" s="53"/>
    </row>
    <row r="1875">
      <c r="A1875" s="49">
        <v>44714.329146261574</v>
      </c>
      <c r="B1875" s="50">
        <v>44714.4541287037</v>
      </c>
      <c r="C1875" s="51">
        <v>1.014</v>
      </c>
      <c r="D1875" s="51">
        <v>68.0</v>
      </c>
      <c r="E1875" s="52" t="s">
        <v>25</v>
      </c>
      <c r="F1875" s="52" t="s">
        <v>26</v>
      </c>
      <c r="G1875" s="53"/>
    </row>
    <row r="1876">
      <c r="A1876" s="49">
        <v>44714.33957449074</v>
      </c>
      <c r="B1876" s="50">
        <v>44714.4645485879</v>
      </c>
      <c r="C1876" s="51">
        <v>1.014</v>
      </c>
      <c r="D1876" s="51">
        <v>68.0</v>
      </c>
      <c r="E1876" s="52" t="s">
        <v>25</v>
      </c>
      <c r="F1876" s="52" t="s">
        <v>26</v>
      </c>
      <c r="G1876" s="53"/>
    </row>
    <row r="1877">
      <c r="A1877" s="49">
        <v>44714.34999725694</v>
      </c>
      <c r="B1877" s="50">
        <v>44714.4749698032</v>
      </c>
      <c r="C1877" s="51">
        <v>1.014</v>
      </c>
      <c r="D1877" s="51">
        <v>68.0</v>
      </c>
      <c r="E1877" s="52" t="s">
        <v>25</v>
      </c>
      <c r="F1877" s="52" t="s">
        <v>26</v>
      </c>
      <c r="G1877" s="53"/>
    </row>
    <row r="1878">
      <c r="A1878" s="49">
        <v>44714.360419143515</v>
      </c>
      <c r="B1878" s="50">
        <v>44714.4853908101</v>
      </c>
      <c r="C1878" s="51">
        <v>1.014</v>
      </c>
      <c r="D1878" s="51">
        <v>68.0</v>
      </c>
      <c r="E1878" s="52" t="s">
        <v>25</v>
      </c>
      <c r="F1878" s="52" t="s">
        <v>26</v>
      </c>
      <c r="G1878" s="53"/>
    </row>
    <row r="1879">
      <c r="A1879" s="49">
        <v>44714.370835023146</v>
      </c>
      <c r="B1879" s="50">
        <v>44714.4958117013</v>
      </c>
      <c r="C1879" s="51">
        <v>1.014</v>
      </c>
      <c r="D1879" s="51">
        <v>68.0</v>
      </c>
      <c r="E1879" s="52" t="s">
        <v>25</v>
      </c>
      <c r="F1879" s="52" t="s">
        <v>26</v>
      </c>
      <c r="G1879" s="53"/>
    </row>
    <row r="1880">
      <c r="A1880" s="49">
        <v>44714.38128045139</v>
      </c>
      <c r="B1880" s="50">
        <v>44714.5062423611</v>
      </c>
      <c r="C1880" s="51">
        <v>1.014</v>
      </c>
      <c r="D1880" s="51">
        <v>68.0</v>
      </c>
      <c r="E1880" s="52" t="s">
        <v>25</v>
      </c>
      <c r="F1880" s="52" t="s">
        <v>26</v>
      </c>
      <c r="G1880" s="53"/>
    </row>
    <row r="1881">
      <c r="A1881" s="49">
        <v>44714.391704062495</v>
      </c>
      <c r="B1881" s="50">
        <v>44714.5166755208</v>
      </c>
      <c r="C1881" s="51">
        <v>1.014</v>
      </c>
      <c r="D1881" s="51">
        <v>68.0</v>
      </c>
      <c r="E1881" s="52" t="s">
        <v>25</v>
      </c>
      <c r="F1881" s="52" t="s">
        <v>26</v>
      </c>
      <c r="G1881" s="53"/>
    </row>
    <row r="1882">
      <c r="A1882" s="49">
        <v>44714.40212209491</v>
      </c>
      <c r="B1882" s="50">
        <v>44714.5270965046</v>
      </c>
      <c r="C1882" s="51">
        <v>1.014</v>
      </c>
      <c r="D1882" s="51">
        <v>68.0</v>
      </c>
      <c r="E1882" s="52" t="s">
        <v>25</v>
      </c>
      <c r="F1882" s="52" t="s">
        <v>26</v>
      </c>
      <c r="G1882" s="53"/>
    </row>
    <row r="1883">
      <c r="A1883" s="49">
        <v>44714.41254774306</v>
      </c>
      <c r="B1883" s="50">
        <v>44714.5375185995</v>
      </c>
      <c r="C1883" s="51">
        <v>1.014</v>
      </c>
      <c r="D1883" s="51">
        <v>68.0</v>
      </c>
      <c r="E1883" s="52" t="s">
        <v>25</v>
      </c>
      <c r="F1883" s="52" t="s">
        <v>26</v>
      </c>
      <c r="G1883" s="53"/>
    </row>
    <row r="1884">
      <c r="A1884" s="49">
        <v>44714.42296648148</v>
      </c>
      <c r="B1884" s="50">
        <v>44714.5479396296</v>
      </c>
      <c r="C1884" s="51">
        <v>1.014</v>
      </c>
      <c r="D1884" s="51">
        <v>68.0</v>
      </c>
      <c r="E1884" s="52" t="s">
        <v>25</v>
      </c>
      <c r="F1884" s="52" t="s">
        <v>26</v>
      </c>
      <c r="G1884" s="53"/>
    </row>
    <row r="1885">
      <c r="A1885" s="49">
        <v>44714.43338659722</v>
      </c>
      <c r="B1885" s="50">
        <v>44714.5583598379</v>
      </c>
      <c r="C1885" s="51">
        <v>1.014</v>
      </c>
      <c r="D1885" s="51">
        <v>68.0</v>
      </c>
      <c r="E1885" s="52" t="s">
        <v>25</v>
      </c>
      <c r="F1885" s="52" t="s">
        <v>26</v>
      </c>
      <c r="G1885" s="53"/>
    </row>
    <row r="1886">
      <c r="A1886" s="49">
        <v>44714.443844016205</v>
      </c>
      <c r="B1886" s="50">
        <v>44714.568816655</v>
      </c>
      <c r="C1886" s="51">
        <v>1.014</v>
      </c>
      <c r="D1886" s="51">
        <v>68.0</v>
      </c>
      <c r="E1886" s="52" t="s">
        <v>25</v>
      </c>
      <c r="F1886" s="52" t="s">
        <v>26</v>
      </c>
      <c r="G1886" s="53"/>
    </row>
    <row r="1887">
      <c r="A1887" s="49">
        <v>44714.45427516203</v>
      </c>
      <c r="B1887" s="50">
        <v>44714.5792506944</v>
      </c>
      <c r="C1887" s="51">
        <v>1.014</v>
      </c>
      <c r="D1887" s="51">
        <v>68.0</v>
      </c>
      <c r="E1887" s="52" t="s">
        <v>25</v>
      </c>
      <c r="F1887" s="52" t="s">
        <v>26</v>
      </c>
      <c r="G1887" s="53"/>
    </row>
    <row r="1888">
      <c r="A1888" s="49">
        <v>44714.46469658565</v>
      </c>
      <c r="B1888" s="50">
        <v>44714.5896723148</v>
      </c>
      <c r="C1888" s="51">
        <v>1.014</v>
      </c>
      <c r="D1888" s="51">
        <v>68.0</v>
      </c>
      <c r="E1888" s="52" t="s">
        <v>25</v>
      </c>
      <c r="F1888" s="52" t="s">
        <v>26</v>
      </c>
      <c r="G1888" s="53"/>
    </row>
    <row r="1889">
      <c r="A1889" s="49">
        <v>44714.47511324074</v>
      </c>
      <c r="B1889" s="50">
        <v>44714.6000925578</v>
      </c>
      <c r="C1889" s="51">
        <v>1.014</v>
      </c>
      <c r="D1889" s="51">
        <v>68.0</v>
      </c>
      <c r="E1889" s="52" t="s">
        <v>25</v>
      </c>
      <c r="F1889" s="52" t="s">
        <v>26</v>
      </c>
      <c r="G1889" s="53"/>
    </row>
    <row r="1890">
      <c r="A1890" s="49">
        <v>44714.4855420949</v>
      </c>
      <c r="B1890" s="50">
        <v>44714.6105152083</v>
      </c>
      <c r="C1890" s="51">
        <v>1.014</v>
      </c>
      <c r="D1890" s="51">
        <v>68.0</v>
      </c>
      <c r="E1890" s="52" t="s">
        <v>25</v>
      </c>
      <c r="F1890" s="52" t="s">
        <v>26</v>
      </c>
      <c r="G1890" s="53"/>
    </row>
    <row r="1891">
      <c r="A1891" s="49">
        <v>44714.49597309028</v>
      </c>
      <c r="B1891" s="50">
        <v>44714.6209474537</v>
      </c>
      <c r="C1891" s="51">
        <v>1.014</v>
      </c>
      <c r="D1891" s="51">
        <v>68.0</v>
      </c>
      <c r="E1891" s="52" t="s">
        <v>25</v>
      </c>
      <c r="F1891" s="52" t="s">
        <v>26</v>
      </c>
      <c r="G1891" s="53"/>
    </row>
    <row r="1892">
      <c r="A1892" s="49">
        <v>44714.50642983796</v>
      </c>
      <c r="B1892" s="50">
        <v>44714.6314028009</v>
      </c>
      <c r="C1892" s="51">
        <v>1.014</v>
      </c>
      <c r="D1892" s="51">
        <v>68.0</v>
      </c>
      <c r="E1892" s="52" t="s">
        <v>25</v>
      </c>
      <c r="F1892" s="52" t="s">
        <v>26</v>
      </c>
      <c r="G1892" s="53"/>
    </row>
    <row r="1893">
      <c r="A1893" s="49">
        <v>44714.51686607639</v>
      </c>
      <c r="B1893" s="50">
        <v>44714.6418364236</v>
      </c>
      <c r="C1893" s="51">
        <v>1.014</v>
      </c>
      <c r="D1893" s="51">
        <v>68.0</v>
      </c>
      <c r="E1893" s="52" t="s">
        <v>25</v>
      </c>
      <c r="F1893" s="52" t="s">
        <v>26</v>
      </c>
      <c r="G1893" s="53"/>
    </row>
    <row r="1894">
      <c r="A1894" s="49">
        <v>44714.527290937505</v>
      </c>
      <c r="B1894" s="50">
        <v>44714.6522680555</v>
      </c>
      <c r="C1894" s="51">
        <v>1.014</v>
      </c>
      <c r="D1894" s="51">
        <v>68.0</v>
      </c>
      <c r="E1894" s="52" t="s">
        <v>25</v>
      </c>
      <c r="F1894" s="52" t="s">
        <v>26</v>
      </c>
      <c r="G1894" s="53"/>
    </row>
    <row r="1895">
      <c r="A1895" s="49">
        <v>44714.537730324075</v>
      </c>
      <c r="B1895" s="50">
        <v>44714.6627115972</v>
      </c>
      <c r="C1895" s="51">
        <v>1.014</v>
      </c>
      <c r="D1895" s="51">
        <v>68.0</v>
      </c>
      <c r="E1895" s="52" t="s">
        <v>25</v>
      </c>
      <c r="F1895" s="52" t="s">
        <v>26</v>
      </c>
      <c r="G1895" s="53"/>
    </row>
    <row r="1896">
      <c r="A1896" s="49">
        <v>44714.548162060186</v>
      </c>
      <c r="B1896" s="50">
        <v>44714.673145</v>
      </c>
      <c r="C1896" s="51">
        <v>1.014</v>
      </c>
      <c r="D1896" s="51">
        <v>68.0</v>
      </c>
      <c r="E1896" s="52" t="s">
        <v>25</v>
      </c>
      <c r="F1896" s="52" t="s">
        <v>26</v>
      </c>
      <c r="G1896" s="53"/>
    </row>
    <row r="1897">
      <c r="A1897" s="49">
        <v>44714.55860719907</v>
      </c>
      <c r="B1897" s="50">
        <v>44714.6835782754</v>
      </c>
      <c r="C1897" s="51">
        <v>1.014</v>
      </c>
      <c r="D1897" s="51">
        <v>68.0</v>
      </c>
      <c r="E1897" s="52" t="s">
        <v>25</v>
      </c>
      <c r="F1897" s="52" t="s">
        <v>26</v>
      </c>
      <c r="G1897" s="53"/>
    </row>
    <row r="1898">
      <c r="A1898" s="49">
        <v>44714.56903881945</v>
      </c>
      <c r="B1898" s="50">
        <v>44714.6940109722</v>
      </c>
      <c r="C1898" s="51">
        <v>1.014</v>
      </c>
      <c r="D1898" s="51">
        <v>68.0</v>
      </c>
      <c r="E1898" s="52" t="s">
        <v>25</v>
      </c>
      <c r="F1898" s="52" t="s">
        <v>26</v>
      </c>
      <c r="G1898" s="53"/>
    </row>
    <row r="1899">
      <c r="A1899" s="49">
        <v>44714.57945775463</v>
      </c>
      <c r="B1899" s="50">
        <v>44714.7044309722</v>
      </c>
      <c r="C1899" s="51">
        <v>1.014</v>
      </c>
      <c r="D1899" s="51">
        <v>68.0</v>
      </c>
      <c r="E1899" s="52" t="s">
        <v>25</v>
      </c>
      <c r="F1899" s="52" t="s">
        <v>26</v>
      </c>
      <c r="G1899" s="53"/>
    </row>
    <row r="1900">
      <c r="A1900" s="49">
        <v>44714.5898765625</v>
      </c>
      <c r="B1900" s="50">
        <v>44714.7148534722</v>
      </c>
      <c r="C1900" s="51">
        <v>1.014</v>
      </c>
      <c r="D1900" s="51">
        <v>68.0</v>
      </c>
      <c r="E1900" s="52" t="s">
        <v>25</v>
      </c>
      <c r="F1900" s="52" t="s">
        <v>26</v>
      </c>
      <c r="G1900" s="53"/>
    </row>
    <row r="1901">
      <c r="A1901" s="49">
        <v>44714.60030423611</v>
      </c>
      <c r="B1901" s="50">
        <v>44714.7252743287</v>
      </c>
      <c r="C1901" s="51">
        <v>1.014</v>
      </c>
      <c r="D1901" s="51">
        <v>68.0</v>
      </c>
      <c r="E1901" s="52" t="s">
        <v>25</v>
      </c>
      <c r="F1901" s="52" t="s">
        <v>26</v>
      </c>
      <c r="G1901" s="53"/>
    </row>
    <row r="1902">
      <c r="A1902" s="49">
        <v>44714.61071504629</v>
      </c>
      <c r="B1902" s="50">
        <v>44714.7356968402</v>
      </c>
      <c r="C1902" s="51">
        <v>1.014</v>
      </c>
      <c r="D1902" s="51">
        <v>68.0</v>
      </c>
      <c r="E1902" s="52" t="s">
        <v>25</v>
      </c>
      <c r="F1902" s="52" t="s">
        <v>26</v>
      </c>
      <c r="G1902" s="53"/>
    </row>
    <row r="1903">
      <c r="A1903" s="49">
        <v>44714.621140937496</v>
      </c>
      <c r="B1903" s="50">
        <v>44714.7461170949</v>
      </c>
      <c r="C1903" s="51">
        <v>1.014</v>
      </c>
      <c r="D1903" s="51">
        <v>68.0</v>
      </c>
      <c r="E1903" s="52" t="s">
        <v>25</v>
      </c>
      <c r="F1903" s="52" t="s">
        <v>26</v>
      </c>
      <c r="G1903" s="53"/>
    </row>
    <row r="1904">
      <c r="A1904" s="49">
        <v>44714.6315613426</v>
      </c>
      <c r="B1904" s="50">
        <v>44714.7565382523</v>
      </c>
      <c r="C1904" s="51">
        <v>1.014</v>
      </c>
      <c r="D1904" s="51">
        <v>68.0</v>
      </c>
      <c r="E1904" s="52" t="s">
        <v>25</v>
      </c>
      <c r="F1904" s="52" t="s">
        <v>26</v>
      </c>
      <c r="G1904" s="53"/>
    </row>
    <row r="1905">
      <c r="A1905" s="49">
        <v>44714.64197736111</v>
      </c>
      <c r="B1905" s="50">
        <v>44714.7669585763</v>
      </c>
      <c r="C1905" s="51">
        <v>1.014</v>
      </c>
      <c r="D1905" s="51">
        <v>68.0</v>
      </c>
      <c r="E1905" s="52" t="s">
        <v>25</v>
      </c>
      <c r="F1905" s="52" t="s">
        <v>26</v>
      </c>
      <c r="G1905" s="53"/>
    </row>
    <row r="1906">
      <c r="A1906" s="49">
        <v>44714.652426388886</v>
      </c>
      <c r="B1906" s="50">
        <v>44714.777402199</v>
      </c>
      <c r="C1906" s="51">
        <v>1.014</v>
      </c>
      <c r="D1906" s="51">
        <v>68.0</v>
      </c>
      <c r="E1906" s="52" t="s">
        <v>25</v>
      </c>
      <c r="F1906" s="52" t="s">
        <v>26</v>
      </c>
      <c r="G1906" s="53"/>
    </row>
    <row r="1907">
      <c r="A1907" s="49">
        <v>44714.66284585648</v>
      </c>
      <c r="B1907" s="50">
        <v>44714.78782478</v>
      </c>
      <c r="C1907" s="51">
        <v>1.014</v>
      </c>
      <c r="D1907" s="51">
        <v>68.0</v>
      </c>
      <c r="E1907" s="52" t="s">
        <v>25</v>
      </c>
      <c r="F1907" s="52" t="s">
        <v>26</v>
      </c>
      <c r="G1907" s="53"/>
    </row>
    <row r="1908">
      <c r="A1908" s="49">
        <v>44714.67327515046</v>
      </c>
      <c r="B1908" s="50">
        <v>44714.7982465972</v>
      </c>
      <c r="C1908" s="51">
        <v>1.014</v>
      </c>
      <c r="D1908" s="51">
        <v>68.0</v>
      </c>
      <c r="E1908" s="52" t="s">
        <v>25</v>
      </c>
      <c r="F1908" s="52" t="s">
        <v>26</v>
      </c>
      <c r="G1908" s="53"/>
    </row>
    <row r="1909">
      <c r="A1909" s="49">
        <v>44714.683678981484</v>
      </c>
      <c r="B1909" s="50">
        <v>44714.8086646527</v>
      </c>
      <c r="C1909" s="51">
        <v>1.014</v>
      </c>
      <c r="D1909" s="51">
        <v>68.0</v>
      </c>
      <c r="E1909" s="52" t="s">
        <v>25</v>
      </c>
      <c r="F1909" s="52" t="s">
        <v>26</v>
      </c>
      <c r="G1909" s="53"/>
    </row>
    <row r="1910">
      <c r="A1910" s="49">
        <v>44714.69410375</v>
      </c>
      <c r="B1910" s="50">
        <v>44714.8190844328</v>
      </c>
      <c r="C1910" s="51">
        <v>1.014</v>
      </c>
      <c r="D1910" s="51">
        <v>69.0</v>
      </c>
      <c r="E1910" s="52" t="s">
        <v>25</v>
      </c>
      <c r="F1910" s="52" t="s">
        <v>26</v>
      </c>
      <c r="G1910" s="53"/>
    </row>
    <row r="1911">
      <c r="A1911" s="49">
        <v>44714.7045259838</v>
      </c>
      <c r="B1911" s="50">
        <v>44714.8295054166</v>
      </c>
      <c r="C1911" s="51">
        <v>1.014</v>
      </c>
      <c r="D1911" s="51">
        <v>69.0</v>
      </c>
      <c r="E1911" s="52" t="s">
        <v>25</v>
      </c>
      <c r="F1911" s="52" t="s">
        <v>26</v>
      </c>
      <c r="G1911" s="53"/>
    </row>
    <row r="1912">
      <c r="A1912" s="49">
        <v>44714.71498819445</v>
      </c>
      <c r="B1912" s="50">
        <v>44714.8399637731</v>
      </c>
      <c r="C1912" s="51">
        <v>1.014</v>
      </c>
      <c r="D1912" s="51">
        <v>69.0</v>
      </c>
      <c r="E1912" s="52" t="s">
        <v>25</v>
      </c>
      <c r="F1912" s="52" t="s">
        <v>26</v>
      </c>
      <c r="G1912" s="53"/>
    </row>
    <row r="1913">
      <c r="A1913" s="49">
        <v>44714.72544667824</v>
      </c>
      <c r="B1913" s="50">
        <v>44714.8504197338</v>
      </c>
      <c r="C1913" s="51">
        <v>1.014</v>
      </c>
      <c r="D1913" s="51">
        <v>69.0</v>
      </c>
      <c r="E1913" s="52" t="s">
        <v>25</v>
      </c>
      <c r="F1913" s="52" t="s">
        <v>26</v>
      </c>
      <c r="G1913" s="53"/>
    </row>
    <row r="1914">
      <c r="A1914" s="49">
        <v>44714.7358781713</v>
      </c>
      <c r="B1914" s="50">
        <v>44714.8608519328</v>
      </c>
      <c r="C1914" s="51">
        <v>1.014</v>
      </c>
      <c r="D1914" s="51">
        <v>69.0</v>
      </c>
      <c r="E1914" s="52" t="s">
        <v>25</v>
      </c>
      <c r="F1914" s="52" t="s">
        <v>26</v>
      </c>
      <c r="G1914" s="53"/>
    </row>
    <row r="1915">
      <c r="A1915" s="49">
        <v>44714.746305486115</v>
      </c>
      <c r="B1915" s="50">
        <v>44714.8712855787</v>
      </c>
      <c r="C1915" s="51">
        <v>1.014</v>
      </c>
      <c r="D1915" s="51">
        <v>69.0</v>
      </c>
      <c r="E1915" s="52" t="s">
        <v>25</v>
      </c>
      <c r="F1915" s="52" t="s">
        <v>26</v>
      </c>
      <c r="G1915" s="53"/>
    </row>
    <row r="1916">
      <c r="A1916" s="49">
        <v>44714.75673275463</v>
      </c>
      <c r="B1916" s="50">
        <v>44714.8817065277</v>
      </c>
      <c r="C1916" s="51">
        <v>1.014</v>
      </c>
      <c r="D1916" s="51">
        <v>69.0</v>
      </c>
      <c r="E1916" s="52" t="s">
        <v>25</v>
      </c>
      <c r="F1916" s="52" t="s">
        <v>26</v>
      </c>
      <c r="G1916" s="53"/>
    </row>
    <row r="1917">
      <c r="A1917" s="49">
        <v>44714.76715168981</v>
      </c>
      <c r="B1917" s="50">
        <v>44714.8921293402</v>
      </c>
      <c r="C1917" s="51">
        <v>1.014</v>
      </c>
      <c r="D1917" s="51">
        <v>69.0</v>
      </c>
      <c r="E1917" s="52" t="s">
        <v>25</v>
      </c>
      <c r="F1917" s="52" t="s">
        <v>26</v>
      </c>
      <c r="G1917" s="53"/>
    </row>
    <row r="1918">
      <c r="A1918" s="49">
        <v>44714.7775737037</v>
      </c>
      <c r="B1918" s="50">
        <v>44714.9025487037</v>
      </c>
      <c r="C1918" s="51">
        <v>1.014</v>
      </c>
      <c r="D1918" s="51">
        <v>69.0</v>
      </c>
      <c r="E1918" s="52" t="s">
        <v>25</v>
      </c>
      <c r="F1918" s="52" t="s">
        <v>26</v>
      </c>
      <c r="G1918" s="53"/>
    </row>
    <row r="1919">
      <c r="A1919" s="49">
        <v>44714.78799188657</v>
      </c>
      <c r="B1919" s="50">
        <v>44714.9129691782</v>
      </c>
      <c r="C1919" s="51">
        <v>1.014</v>
      </c>
      <c r="D1919" s="51">
        <v>69.0</v>
      </c>
      <c r="E1919" s="52" t="s">
        <v>25</v>
      </c>
      <c r="F1919" s="52" t="s">
        <v>26</v>
      </c>
      <c r="G1919" s="53"/>
    </row>
    <row r="1920">
      <c r="A1920" s="49">
        <v>44714.79840767361</v>
      </c>
      <c r="B1920" s="50">
        <v>44714.9233899074</v>
      </c>
      <c r="C1920" s="51">
        <v>1.014</v>
      </c>
      <c r="D1920" s="51">
        <v>69.0</v>
      </c>
      <c r="E1920" s="52" t="s">
        <v>25</v>
      </c>
      <c r="F1920" s="52" t="s">
        <v>26</v>
      </c>
      <c r="G1920" s="53"/>
    </row>
    <row r="1921">
      <c r="A1921" s="49">
        <v>44714.80885339121</v>
      </c>
      <c r="B1921" s="50">
        <v>44714.9338233449</v>
      </c>
      <c r="C1921" s="51">
        <v>1.014</v>
      </c>
      <c r="D1921" s="51">
        <v>69.0</v>
      </c>
      <c r="E1921" s="52" t="s">
        <v>25</v>
      </c>
      <c r="F1921" s="52" t="s">
        <v>26</v>
      </c>
      <c r="G1921" s="53"/>
    </row>
    <row r="1922">
      <c r="A1922" s="49">
        <v>44714.81929680555</v>
      </c>
      <c r="B1922" s="50">
        <v>44714.9442673379</v>
      </c>
      <c r="C1922" s="51">
        <v>1.014</v>
      </c>
      <c r="D1922" s="51">
        <v>69.0</v>
      </c>
      <c r="E1922" s="52" t="s">
        <v>25</v>
      </c>
      <c r="F1922" s="52" t="s">
        <v>26</v>
      </c>
      <c r="G1922" s="53"/>
    </row>
    <row r="1923">
      <c r="A1923" s="49">
        <v>44714.82971377315</v>
      </c>
      <c r="B1923" s="50">
        <v>44714.9546893171</v>
      </c>
      <c r="C1923" s="51">
        <v>1.014</v>
      </c>
      <c r="D1923" s="51">
        <v>69.0</v>
      </c>
      <c r="E1923" s="52" t="s">
        <v>25</v>
      </c>
      <c r="F1923" s="52" t="s">
        <v>26</v>
      </c>
      <c r="G1923" s="53"/>
    </row>
    <row r="1924">
      <c r="A1924" s="49">
        <v>44714.840136053244</v>
      </c>
      <c r="B1924" s="50">
        <v>44714.965110949</v>
      </c>
      <c r="C1924" s="51">
        <v>1.014</v>
      </c>
      <c r="D1924" s="51">
        <v>69.0</v>
      </c>
      <c r="E1924" s="52" t="s">
        <v>25</v>
      </c>
      <c r="F1924" s="52" t="s">
        <v>26</v>
      </c>
      <c r="G1924" s="53"/>
    </row>
    <row r="1925">
      <c r="A1925" s="49">
        <v>44714.85055613426</v>
      </c>
      <c r="B1925" s="50">
        <v>44714.9755318055</v>
      </c>
      <c r="C1925" s="51">
        <v>1.014</v>
      </c>
      <c r="D1925" s="51">
        <v>69.0</v>
      </c>
      <c r="E1925" s="52" t="s">
        <v>25</v>
      </c>
      <c r="F1925" s="52" t="s">
        <v>26</v>
      </c>
      <c r="G1925" s="53"/>
    </row>
    <row r="1926">
      <c r="A1926" s="49">
        <v>44714.86098519676</v>
      </c>
      <c r="B1926" s="50">
        <v>44714.985964537</v>
      </c>
      <c r="C1926" s="51">
        <v>1.013</v>
      </c>
      <c r="D1926" s="51">
        <v>69.0</v>
      </c>
      <c r="E1926" s="52" t="s">
        <v>25</v>
      </c>
      <c r="F1926" s="52" t="s">
        <v>26</v>
      </c>
      <c r="G1926" s="53"/>
    </row>
    <row r="1927">
      <c r="A1927" s="49">
        <v>44714.871404375</v>
      </c>
      <c r="B1927" s="50">
        <v>44714.996383368</v>
      </c>
      <c r="C1927" s="51">
        <v>1.014</v>
      </c>
      <c r="D1927" s="51">
        <v>69.0</v>
      </c>
      <c r="E1927" s="52" t="s">
        <v>25</v>
      </c>
      <c r="F1927" s="52" t="s">
        <v>26</v>
      </c>
      <c r="G1927" s="53"/>
    </row>
    <row r="1928">
      <c r="A1928" s="49">
        <v>44714.88183266204</v>
      </c>
      <c r="B1928" s="50">
        <v>44715.0068056597</v>
      </c>
      <c r="C1928" s="51">
        <v>1.014</v>
      </c>
      <c r="D1928" s="51">
        <v>69.0</v>
      </c>
      <c r="E1928" s="52" t="s">
        <v>25</v>
      </c>
      <c r="F1928" s="52" t="s">
        <v>26</v>
      </c>
      <c r="G1928" s="53"/>
    </row>
    <row r="1929">
      <c r="A1929" s="49">
        <v>44714.89225379629</v>
      </c>
      <c r="B1929" s="50">
        <v>44715.0172264351</v>
      </c>
      <c r="C1929" s="51">
        <v>1.013</v>
      </c>
      <c r="D1929" s="51">
        <v>69.0</v>
      </c>
      <c r="E1929" s="52" t="s">
        <v>25</v>
      </c>
      <c r="F1929" s="52" t="s">
        <v>26</v>
      </c>
      <c r="G1929" s="53"/>
    </row>
    <row r="1930">
      <c r="A1930" s="49">
        <v>44714.9026725463</v>
      </c>
      <c r="B1930" s="50">
        <v>44715.0276479398</v>
      </c>
      <c r="C1930" s="51">
        <v>1.014</v>
      </c>
      <c r="D1930" s="51">
        <v>69.0</v>
      </c>
      <c r="E1930" s="52" t="s">
        <v>25</v>
      </c>
      <c r="F1930" s="52" t="s">
        <v>26</v>
      </c>
      <c r="G1930" s="53"/>
    </row>
    <row r="1931">
      <c r="A1931" s="49">
        <v>44714.913095069445</v>
      </c>
      <c r="B1931" s="50">
        <v>44715.0380700231</v>
      </c>
      <c r="C1931" s="51">
        <v>1.014</v>
      </c>
      <c r="D1931" s="51">
        <v>69.0</v>
      </c>
      <c r="E1931" s="52" t="s">
        <v>25</v>
      </c>
      <c r="F1931" s="52" t="s">
        <v>26</v>
      </c>
      <c r="G1931" s="53"/>
    </row>
    <row r="1932">
      <c r="A1932" s="49">
        <v>44714.923527384264</v>
      </c>
      <c r="B1932" s="50">
        <v>44715.0485020486</v>
      </c>
      <c r="C1932" s="51">
        <v>1.013</v>
      </c>
      <c r="D1932" s="51">
        <v>69.0</v>
      </c>
      <c r="E1932" s="52" t="s">
        <v>25</v>
      </c>
      <c r="F1932" s="52" t="s">
        <v>26</v>
      </c>
      <c r="G1932" s="53"/>
    </row>
    <row r="1933">
      <c r="A1933" s="49">
        <v>44714.93394662037</v>
      </c>
      <c r="B1933" s="50">
        <v>44715.0589225925</v>
      </c>
      <c r="C1933" s="51">
        <v>1.014</v>
      </c>
      <c r="D1933" s="51">
        <v>69.0</v>
      </c>
      <c r="E1933" s="52" t="s">
        <v>25</v>
      </c>
      <c r="F1933" s="52" t="s">
        <v>26</v>
      </c>
      <c r="G1933" s="53"/>
    </row>
    <row r="1934">
      <c r="A1934" s="49">
        <v>44714.94439266204</v>
      </c>
      <c r="B1934" s="50">
        <v>44715.0693670833</v>
      </c>
      <c r="C1934" s="51">
        <v>1.013</v>
      </c>
      <c r="D1934" s="51">
        <v>69.0</v>
      </c>
      <c r="E1934" s="52" t="s">
        <v>25</v>
      </c>
      <c r="F1934" s="52" t="s">
        <v>26</v>
      </c>
      <c r="G1934" s="53"/>
    </row>
    <row r="1935">
      <c r="A1935" s="49">
        <v>44714.954820370374</v>
      </c>
      <c r="B1935" s="50">
        <v>44715.0797902546</v>
      </c>
      <c r="C1935" s="51">
        <v>1.013</v>
      </c>
      <c r="D1935" s="51">
        <v>69.0</v>
      </c>
      <c r="E1935" s="52" t="s">
        <v>25</v>
      </c>
      <c r="F1935" s="52" t="s">
        <v>26</v>
      </c>
      <c r="G1935" s="53"/>
    </row>
    <row r="1936">
      <c r="A1936" s="49">
        <v>44714.96523991898</v>
      </c>
      <c r="B1936" s="50">
        <v>44715.0902117245</v>
      </c>
      <c r="C1936" s="51">
        <v>1.013</v>
      </c>
      <c r="D1936" s="51">
        <v>69.0</v>
      </c>
      <c r="E1936" s="52" t="s">
        <v>25</v>
      </c>
      <c r="F1936" s="52" t="s">
        <v>26</v>
      </c>
      <c r="G1936" s="53"/>
    </row>
    <row r="1937">
      <c r="A1937" s="49">
        <v>44714.97568296296</v>
      </c>
      <c r="B1937" s="50">
        <v>44715.1006562384</v>
      </c>
      <c r="C1937" s="51">
        <v>1.013</v>
      </c>
      <c r="D1937" s="51">
        <v>69.0</v>
      </c>
      <c r="E1937" s="52" t="s">
        <v>25</v>
      </c>
      <c r="F1937" s="52" t="s">
        <v>26</v>
      </c>
      <c r="G1937" s="53"/>
    </row>
    <row r="1938">
      <c r="A1938" s="49">
        <v>44714.98610221065</v>
      </c>
      <c r="B1938" s="50">
        <v>44715.1110771296</v>
      </c>
      <c r="C1938" s="51">
        <v>1.013</v>
      </c>
      <c r="D1938" s="51">
        <v>69.0</v>
      </c>
      <c r="E1938" s="52" t="s">
        <v>25</v>
      </c>
      <c r="F1938" s="52" t="s">
        <v>26</v>
      </c>
      <c r="G1938" s="53"/>
    </row>
    <row r="1939">
      <c r="A1939" s="49">
        <v>44714.996523483795</v>
      </c>
      <c r="B1939" s="50">
        <v>44715.1214992013</v>
      </c>
      <c r="C1939" s="51">
        <v>1.013</v>
      </c>
      <c r="D1939" s="51">
        <v>69.0</v>
      </c>
      <c r="E1939" s="52" t="s">
        <v>25</v>
      </c>
      <c r="F1939" s="52" t="s">
        <v>26</v>
      </c>
      <c r="G1939" s="53"/>
    </row>
    <row r="1940">
      <c r="A1940" s="49">
        <v>44715.00697673611</v>
      </c>
      <c r="B1940" s="50">
        <v>44715.131955787</v>
      </c>
      <c r="C1940" s="51">
        <v>1.013</v>
      </c>
      <c r="D1940" s="51">
        <v>69.0</v>
      </c>
      <c r="E1940" s="52" t="s">
        <v>25</v>
      </c>
      <c r="F1940" s="52" t="s">
        <v>26</v>
      </c>
      <c r="G1940" s="53"/>
    </row>
    <row r="1941">
      <c r="A1941" s="49">
        <v>44715.01746181713</v>
      </c>
      <c r="B1941" s="50">
        <v>44715.14241103</v>
      </c>
      <c r="C1941" s="51">
        <v>1.013</v>
      </c>
      <c r="D1941" s="51">
        <v>69.0</v>
      </c>
      <c r="E1941" s="52" t="s">
        <v>25</v>
      </c>
      <c r="F1941" s="52" t="s">
        <v>26</v>
      </c>
      <c r="G1941" s="53"/>
    </row>
    <row r="1942">
      <c r="A1942" s="49">
        <v>44715.02792260417</v>
      </c>
      <c r="B1942" s="50">
        <v>44715.1528554745</v>
      </c>
      <c r="C1942" s="51">
        <v>1.013</v>
      </c>
      <c r="D1942" s="51">
        <v>69.0</v>
      </c>
      <c r="E1942" s="52" t="s">
        <v>25</v>
      </c>
      <c r="F1942" s="52" t="s">
        <v>26</v>
      </c>
      <c r="G1942" s="53"/>
    </row>
    <row r="1943">
      <c r="A1943" s="49">
        <v>44715.03830425926</v>
      </c>
      <c r="B1943" s="50">
        <v>44715.163276331</v>
      </c>
      <c r="C1943" s="51">
        <v>1.013</v>
      </c>
      <c r="D1943" s="51">
        <v>69.0</v>
      </c>
      <c r="E1943" s="52" t="s">
        <v>25</v>
      </c>
      <c r="F1943" s="52" t="s">
        <v>26</v>
      </c>
      <c r="G1943" s="53"/>
    </row>
    <row r="1944">
      <c r="A1944" s="49">
        <v>44715.0487494213</v>
      </c>
      <c r="B1944" s="50">
        <v>44715.1737201157</v>
      </c>
      <c r="C1944" s="51">
        <v>1.013</v>
      </c>
      <c r="D1944" s="51">
        <v>69.0</v>
      </c>
      <c r="E1944" s="52" t="s">
        <v>25</v>
      </c>
      <c r="F1944" s="52" t="s">
        <v>26</v>
      </c>
      <c r="G1944" s="53"/>
    </row>
    <row r="1945">
      <c r="A1945" s="49">
        <v>44715.05916491898</v>
      </c>
      <c r="B1945" s="50">
        <v>44715.184140949</v>
      </c>
      <c r="C1945" s="51">
        <v>1.013</v>
      </c>
      <c r="D1945" s="51">
        <v>69.0</v>
      </c>
      <c r="E1945" s="52" t="s">
        <v>25</v>
      </c>
      <c r="F1945" s="52" t="s">
        <v>26</v>
      </c>
      <c r="G1945" s="53"/>
    </row>
    <row r="1946">
      <c r="A1946" s="49">
        <v>44715.06958469907</v>
      </c>
      <c r="B1946" s="50">
        <v>44715.1945629861</v>
      </c>
      <c r="C1946" s="51">
        <v>1.013</v>
      </c>
      <c r="D1946" s="51">
        <v>69.0</v>
      </c>
      <c r="E1946" s="52" t="s">
        <v>25</v>
      </c>
      <c r="F1946" s="52" t="s">
        <v>26</v>
      </c>
      <c r="G1946" s="53"/>
    </row>
    <row r="1947">
      <c r="A1947" s="49">
        <v>44715.08000657408</v>
      </c>
      <c r="B1947" s="50">
        <v>44715.2049828125</v>
      </c>
      <c r="C1947" s="51">
        <v>1.013</v>
      </c>
      <c r="D1947" s="51">
        <v>69.0</v>
      </c>
      <c r="E1947" s="52" t="s">
        <v>25</v>
      </c>
      <c r="F1947" s="52" t="s">
        <v>26</v>
      </c>
      <c r="G1947" s="53"/>
    </row>
    <row r="1948">
      <c r="A1948" s="49">
        <v>44715.09042645834</v>
      </c>
      <c r="B1948" s="50">
        <v>44715.2154035416</v>
      </c>
      <c r="C1948" s="51">
        <v>1.013</v>
      </c>
      <c r="D1948" s="51">
        <v>69.0</v>
      </c>
      <c r="E1948" s="52" t="s">
        <v>25</v>
      </c>
      <c r="F1948" s="52" t="s">
        <v>26</v>
      </c>
      <c r="G1948" s="53"/>
    </row>
    <row r="1949">
      <c r="A1949" s="49">
        <v>44715.100854386576</v>
      </c>
      <c r="B1949" s="50">
        <v>44715.2258255439</v>
      </c>
      <c r="C1949" s="51">
        <v>1.013</v>
      </c>
      <c r="D1949" s="51">
        <v>69.0</v>
      </c>
      <c r="E1949" s="52" t="s">
        <v>25</v>
      </c>
      <c r="F1949" s="52" t="s">
        <v>26</v>
      </c>
      <c r="G1949" s="53"/>
    </row>
    <row r="1950">
      <c r="A1950" s="49">
        <v>44715.11127542824</v>
      </c>
      <c r="B1950" s="50">
        <v>44715.2362472338</v>
      </c>
      <c r="C1950" s="51">
        <v>1.013</v>
      </c>
      <c r="D1950" s="51">
        <v>69.0</v>
      </c>
      <c r="E1950" s="52" t="s">
        <v>25</v>
      </c>
      <c r="F1950" s="52" t="s">
        <v>26</v>
      </c>
      <c r="G1950" s="53"/>
    </row>
    <row r="1951">
      <c r="A1951" s="49">
        <v>44715.12170549769</v>
      </c>
      <c r="B1951" s="50">
        <v>44715.2466800231</v>
      </c>
      <c r="C1951" s="51">
        <v>1.013</v>
      </c>
      <c r="D1951" s="51">
        <v>69.0</v>
      </c>
      <c r="E1951" s="52" t="s">
        <v>25</v>
      </c>
      <c r="F1951" s="52" t="s">
        <v>26</v>
      </c>
      <c r="G1951" s="53"/>
    </row>
    <row r="1952">
      <c r="A1952" s="49">
        <v>44715.132129328704</v>
      </c>
      <c r="B1952" s="50">
        <v>44715.2571017476</v>
      </c>
      <c r="C1952" s="51">
        <v>1.013</v>
      </c>
      <c r="D1952" s="51">
        <v>69.0</v>
      </c>
      <c r="E1952" s="52" t="s">
        <v>25</v>
      </c>
      <c r="F1952" s="52" t="s">
        <v>26</v>
      </c>
      <c r="G1952" s="53"/>
    </row>
    <row r="1953">
      <c r="A1953" s="49">
        <v>44715.142547916665</v>
      </c>
      <c r="B1953" s="50">
        <v>44715.2675214583</v>
      </c>
      <c r="C1953" s="51">
        <v>1.013</v>
      </c>
      <c r="D1953" s="51">
        <v>69.0</v>
      </c>
      <c r="E1953" s="52" t="s">
        <v>25</v>
      </c>
      <c r="F1953" s="52" t="s">
        <v>26</v>
      </c>
      <c r="G1953" s="53"/>
    </row>
    <row r="1954">
      <c r="A1954" s="49">
        <v>44715.1529680324</v>
      </c>
      <c r="B1954" s="50">
        <v>44715.2779444097</v>
      </c>
      <c r="C1954" s="51">
        <v>1.013</v>
      </c>
      <c r="D1954" s="51">
        <v>69.0</v>
      </c>
      <c r="E1954" s="52" t="s">
        <v>25</v>
      </c>
      <c r="F1954" s="52" t="s">
        <v>26</v>
      </c>
      <c r="G1954" s="53"/>
    </row>
    <row r="1955">
      <c r="A1955" s="49">
        <v>44715.16338300926</v>
      </c>
      <c r="B1955" s="50">
        <v>44715.2883657754</v>
      </c>
      <c r="C1955" s="51">
        <v>1.013</v>
      </c>
      <c r="D1955" s="51">
        <v>69.0</v>
      </c>
      <c r="E1955" s="52" t="s">
        <v>25</v>
      </c>
      <c r="F1955" s="52" t="s">
        <v>26</v>
      </c>
      <c r="G1955" s="53"/>
    </row>
    <row r="1956">
      <c r="A1956" s="49">
        <v>44715.1738159375</v>
      </c>
      <c r="B1956" s="50">
        <v>44715.2987847569</v>
      </c>
      <c r="C1956" s="51">
        <v>1.013</v>
      </c>
      <c r="D1956" s="51">
        <v>69.0</v>
      </c>
      <c r="E1956" s="52" t="s">
        <v>25</v>
      </c>
      <c r="F1956" s="52" t="s">
        <v>26</v>
      </c>
      <c r="G1956" s="53"/>
    </row>
    <row r="1957">
      <c r="A1957" s="49">
        <v>44715.18422759259</v>
      </c>
      <c r="B1957" s="50">
        <v>44715.3092062963</v>
      </c>
      <c r="C1957" s="51">
        <v>1.013</v>
      </c>
      <c r="D1957" s="51">
        <v>69.0</v>
      </c>
      <c r="E1957" s="52" t="s">
        <v>25</v>
      </c>
      <c r="F1957" s="52" t="s">
        <v>26</v>
      </c>
      <c r="G1957" s="53"/>
    </row>
    <row r="1958">
      <c r="A1958" s="49">
        <v>44715.19466587963</v>
      </c>
      <c r="B1958" s="50">
        <v>44715.3196377199</v>
      </c>
      <c r="C1958" s="51">
        <v>1.013</v>
      </c>
      <c r="D1958" s="51">
        <v>69.0</v>
      </c>
      <c r="E1958" s="52" t="s">
        <v>25</v>
      </c>
      <c r="F1958" s="52" t="s">
        <v>26</v>
      </c>
      <c r="G1958" s="53"/>
    </row>
    <row r="1959">
      <c r="A1959" s="49">
        <v>44715.2050834375</v>
      </c>
      <c r="B1959" s="50">
        <v>44715.3300607176</v>
      </c>
      <c r="C1959" s="51">
        <v>1.013</v>
      </c>
      <c r="D1959" s="51">
        <v>69.0</v>
      </c>
      <c r="E1959" s="52" t="s">
        <v>25</v>
      </c>
      <c r="F1959" s="52" t="s">
        <v>26</v>
      </c>
      <c r="G1959" s="53"/>
    </row>
    <row r="1960">
      <c r="A1960" s="49">
        <v>44715.21551144676</v>
      </c>
      <c r="B1960" s="50">
        <v>44715.3404803819</v>
      </c>
      <c r="C1960" s="51">
        <v>1.013</v>
      </c>
      <c r="D1960" s="51">
        <v>69.0</v>
      </c>
      <c r="E1960" s="52" t="s">
        <v>25</v>
      </c>
      <c r="F1960" s="52" t="s">
        <v>26</v>
      </c>
      <c r="G1960" s="53"/>
    </row>
    <row r="1961">
      <c r="A1961" s="49">
        <v>44715.2259275463</v>
      </c>
      <c r="B1961" s="50">
        <v>44715.3509007291</v>
      </c>
      <c r="C1961" s="51">
        <v>1.013</v>
      </c>
      <c r="D1961" s="51">
        <v>69.0</v>
      </c>
      <c r="E1961" s="52" t="s">
        <v>25</v>
      </c>
      <c r="F1961" s="52" t="s">
        <v>26</v>
      </c>
      <c r="G1961" s="53"/>
    </row>
    <row r="1962">
      <c r="A1962" s="49">
        <v>44715.23635478009</v>
      </c>
      <c r="B1962" s="50">
        <v>44715.3613207754</v>
      </c>
      <c r="C1962" s="51">
        <v>1.013</v>
      </c>
      <c r="D1962" s="51">
        <v>69.0</v>
      </c>
      <c r="E1962" s="52" t="s">
        <v>25</v>
      </c>
      <c r="F1962" s="52" t="s">
        <v>26</v>
      </c>
      <c r="G1962" s="53"/>
    </row>
    <row r="1963">
      <c r="A1963" s="49">
        <v>44715.24677013889</v>
      </c>
      <c r="B1963" s="50">
        <v>44715.371742662</v>
      </c>
      <c r="C1963" s="51">
        <v>1.013</v>
      </c>
      <c r="D1963" s="51">
        <v>69.0</v>
      </c>
      <c r="E1963" s="52" t="s">
        <v>25</v>
      </c>
      <c r="F1963" s="52" t="s">
        <v>26</v>
      </c>
      <c r="G1963" s="53"/>
    </row>
    <row r="1964">
      <c r="A1964" s="49">
        <v>44715.25721427084</v>
      </c>
      <c r="B1964" s="50">
        <v>44715.3821745833</v>
      </c>
      <c r="C1964" s="51">
        <v>1.013</v>
      </c>
      <c r="D1964" s="51">
        <v>69.0</v>
      </c>
      <c r="E1964" s="52" t="s">
        <v>25</v>
      </c>
      <c r="F1964" s="52" t="s">
        <v>26</v>
      </c>
      <c r="G1964" s="53"/>
    </row>
    <row r="1965">
      <c r="A1965" s="49">
        <v>44715.26762362268</v>
      </c>
      <c r="B1965" s="50">
        <v>44715.3925959953</v>
      </c>
      <c r="C1965" s="51">
        <v>1.013</v>
      </c>
      <c r="D1965" s="51">
        <v>69.0</v>
      </c>
      <c r="E1965" s="52" t="s">
        <v>25</v>
      </c>
      <c r="F1965" s="52" t="s">
        <v>26</v>
      </c>
      <c r="G1965" s="53"/>
    </row>
    <row r="1966">
      <c r="A1966" s="49">
        <v>44715.278053472226</v>
      </c>
      <c r="B1966" s="50">
        <v>44715.4030167129</v>
      </c>
      <c r="C1966" s="51">
        <v>1.013</v>
      </c>
      <c r="D1966" s="51">
        <v>69.0</v>
      </c>
      <c r="E1966" s="52" t="s">
        <v>25</v>
      </c>
      <c r="F1966" s="52" t="s">
        <v>26</v>
      </c>
      <c r="G1966" s="53"/>
    </row>
    <row r="1967">
      <c r="A1967" s="49">
        <v>44715.28846481482</v>
      </c>
      <c r="B1967" s="50">
        <v>44715.413439074</v>
      </c>
      <c r="C1967" s="51">
        <v>1.013</v>
      </c>
      <c r="D1967" s="51">
        <v>69.0</v>
      </c>
      <c r="E1967" s="52" t="s">
        <v>25</v>
      </c>
      <c r="F1967" s="52" t="s">
        <v>26</v>
      </c>
      <c r="G1967" s="53"/>
    </row>
    <row r="1968">
      <c r="A1968" s="49">
        <v>44715.298883587966</v>
      </c>
      <c r="B1968" s="50">
        <v>44715.4238592129</v>
      </c>
      <c r="C1968" s="51">
        <v>1.013</v>
      </c>
      <c r="D1968" s="51">
        <v>69.0</v>
      </c>
      <c r="E1968" s="52" t="s">
        <v>25</v>
      </c>
      <c r="F1968" s="52" t="s">
        <v>26</v>
      </c>
      <c r="G1968" s="53"/>
    </row>
    <row r="1969">
      <c r="A1969" s="49">
        <v>44715.30930361111</v>
      </c>
      <c r="B1969" s="50">
        <v>44715.4342807523</v>
      </c>
      <c r="C1969" s="51">
        <v>1.013</v>
      </c>
      <c r="D1969" s="51">
        <v>69.0</v>
      </c>
      <c r="E1969" s="52" t="s">
        <v>25</v>
      </c>
      <c r="F1969" s="52" t="s">
        <v>26</v>
      </c>
      <c r="G1969" s="53"/>
    </row>
    <row r="1970">
      <c r="A1970" s="49">
        <v>44715.3197834375</v>
      </c>
      <c r="B1970" s="50">
        <v>44715.4447584143</v>
      </c>
      <c r="C1970" s="51">
        <v>1.013</v>
      </c>
      <c r="D1970" s="51">
        <v>69.0</v>
      </c>
      <c r="E1970" s="52" t="s">
        <v>25</v>
      </c>
      <c r="F1970" s="52" t="s">
        <v>26</v>
      </c>
      <c r="G1970" s="53"/>
    </row>
    <row r="1971">
      <c r="A1971" s="49">
        <v>44715.33020292824</v>
      </c>
      <c r="B1971" s="50">
        <v>44715.4551798032</v>
      </c>
      <c r="C1971" s="51">
        <v>1.013</v>
      </c>
      <c r="D1971" s="51">
        <v>69.0</v>
      </c>
      <c r="E1971" s="52" t="s">
        <v>25</v>
      </c>
      <c r="F1971" s="52" t="s">
        <v>26</v>
      </c>
      <c r="G1971" s="53"/>
    </row>
    <row r="1972">
      <c r="A1972" s="49">
        <v>44715.340618159724</v>
      </c>
      <c r="B1972" s="50">
        <v>44715.4655999652</v>
      </c>
      <c r="C1972" s="51">
        <v>1.013</v>
      </c>
      <c r="D1972" s="51">
        <v>69.0</v>
      </c>
      <c r="E1972" s="52" t="s">
        <v>25</v>
      </c>
      <c r="F1972" s="52" t="s">
        <v>26</v>
      </c>
      <c r="G1972" s="53"/>
    </row>
    <row r="1973">
      <c r="A1973" s="49">
        <v>44715.35105269676</v>
      </c>
      <c r="B1973" s="50">
        <v>44715.4760230324</v>
      </c>
      <c r="C1973" s="51">
        <v>1.013</v>
      </c>
      <c r="D1973" s="51">
        <v>69.0</v>
      </c>
      <c r="E1973" s="52" t="s">
        <v>25</v>
      </c>
      <c r="F1973" s="52" t="s">
        <v>26</v>
      </c>
      <c r="G1973" s="53"/>
    </row>
    <row r="1974">
      <c r="A1974" s="49">
        <v>44715.36147158565</v>
      </c>
      <c r="B1974" s="50">
        <v>44715.486443368</v>
      </c>
      <c r="C1974" s="51">
        <v>1.013</v>
      </c>
      <c r="D1974" s="51">
        <v>69.0</v>
      </c>
      <c r="E1974" s="52" t="s">
        <v>25</v>
      </c>
      <c r="F1974" s="52" t="s">
        <v>26</v>
      </c>
      <c r="G1974" s="53"/>
    </row>
    <row r="1975">
      <c r="A1975" s="49">
        <v>44715.37191405093</v>
      </c>
      <c r="B1975" s="50">
        <v>44715.4968867245</v>
      </c>
      <c r="C1975" s="51">
        <v>1.013</v>
      </c>
      <c r="D1975" s="51">
        <v>69.0</v>
      </c>
      <c r="E1975" s="52" t="s">
        <v>25</v>
      </c>
      <c r="F1975" s="52" t="s">
        <v>26</v>
      </c>
      <c r="G1975" s="53"/>
    </row>
    <row r="1976">
      <c r="A1976" s="49">
        <v>44715.38233769676</v>
      </c>
      <c r="B1976" s="50">
        <v>44715.5073086342</v>
      </c>
      <c r="C1976" s="51">
        <v>1.013</v>
      </c>
      <c r="D1976" s="51">
        <v>69.0</v>
      </c>
      <c r="E1976" s="52" t="s">
        <v>25</v>
      </c>
      <c r="F1976" s="52" t="s">
        <v>26</v>
      </c>
      <c r="G1976" s="53"/>
    </row>
    <row r="1977">
      <c r="A1977" s="49">
        <v>44715.39276967593</v>
      </c>
      <c r="B1977" s="50">
        <v>44715.5177425231</v>
      </c>
      <c r="C1977" s="51">
        <v>1.013</v>
      </c>
      <c r="D1977" s="51">
        <v>69.0</v>
      </c>
      <c r="E1977" s="52" t="s">
        <v>25</v>
      </c>
      <c r="F1977" s="52" t="s">
        <v>26</v>
      </c>
      <c r="G1977" s="53"/>
    </row>
    <row r="1978">
      <c r="A1978" s="49">
        <v>44715.40321631945</v>
      </c>
      <c r="B1978" s="50">
        <v>44715.5281871759</v>
      </c>
      <c r="C1978" s="51">
        <v>1.013</v>
      </c>
      <c r="D1978" s="51">
        <v>69.0</v>
      </c>
      <c r="E1978" s="52" t="s">
        <v>25</v>
      </c>
      <c r="F1978" s="52" t="s">
        <v>26</v>
      </c>
      <c r="G1978" s="53"/>
    </row>
    <row r="1979">
      <c r="A1979" s="49">
        <v>44715.41363556713</v>
      </c>
      <c r="B1979" s="50">
        <v>44715.5386086342</v>
      </c>
      <c r="C1979" s="51">
        <v>1.013</v>
      </c>
      <c r="D1979" s="51">
        <v>69.0</v>
      </c>
      <c r="E1979" s="52" t="s">
        <v>25</v>
      </c>
      <c r="F1979" s="52" t="s">
        <v>26</v>
      </c>
      <c r="G1979" s="53"/>
    </row>
    <row r="1980">
      <c r="A1980" s="49">
        <v>44715.42405560185</v>
      </c>
      <c r="B1980" s="50">
        <v>44715.5490290162</v>
      </c>
      <c r="C1980" s="51">
        <v>1.013</v>
      </c>
      <c r="D1980" s="51">
        <v>69.0</v>
      </c>
      <c r="E1980" s="52" t="s">
        <v>25</v>
      </c>
      <c r="F1980" s="52" t="s">
        <v>26</v>
      </c>
      <c r="G1980" s="53"/>
    </row>
    <row r="1981">
      <c r="A1981" s="49">
        <v>44715.43447478009</v>
      </c>
      <c r="B1981" s="50">
        <v>44715.5594498148</v>
      </c>
      <c r="C1981" s="51">
        <v>1.013</v>
      </c>
      <c r="D1981" s="51">
        <v>69.0</v>
      </c>
      <c r="E1981" s="52" t="s">
        <v>25</v>
      </c>
      <c r="F1981" s="52" t="s">
        <v>26</v>
      </c>
      <c r="G1981" s="53"/>
    </row>
    <row r="1982">
      <c r="A1982" s="49">
        <v>44715.444888275466</v>
      </c>
      <c r="B1982" s="50">
        <v>44715.5698703472</v>
      </c>
      <c r="C1982" s="51">
        <v>1.013</v>
      </c>
      <c r="D1982" s="51">
        <v>69.0</v>
      </c>
      <c r="E1982" s="52" t="s">
        <v>25</v>
      </c>
      <c r="F1982" s="52" t="s">
        <v>26</v>
      </c>
      <c r="G1982" s="53"/>
    </row>
    <row r="1983">
      <c r="A1983" s="49">
        <v>44715.45532850694</v>
      </c>
      <c r="B1983" s="50">
        <v>44715.580302905</v>
      </c>
      <c r="C1983" s="51">
        <v>1.013</v>
      </c>
      <c r="D1983" s="51">
        <v>69.0</v>
      </c>
      <c r="E1983" s="52" t="s">
        <v>25</v>
      </c>
      <c r="F1983" s="52" t="s">
        <v>26</v>
      </c>
      <c r="G1983" s="53"/>
    </row>
    <row r="1984">
      <c r="A1984" s="49">
        <v>44715.46576314815</v>
      </c>
      <c r="B1984" s="50">
        <v>44715.5907347685</v>
      </c>
      <c r="C1984" s="51">
        <v>1.013</v>
      </c>
      <c r="D1984" s="51">
        <v>69.0</v>
      </c>
      <c r="E1984" s="52" t="s">
        <v>25</v>
      </c>
      <c r="F1984" s="52" t="s">
        <v>26</v>
      </c>
      <c r="G1984" s="53"/>
    </row>
    <row r="1985">
      <c r="A1985" s="49">
        <v>44715.4761768287</v>
      </c>
      <c r="B1985" s="50">
        <v>44715.6011561458</v>
      </c>
      <c r="C1985" s="51">
        <v>1.013</v>
      </c>
      <c r="D1985" s="51">
        <v>69.0</v>
      </c>
      <c r="E1985" s="52" t="s">
        <v>25</v>
      </c>
      <c r="F1985" s="52" t="s">
        <v>26</v>
      </c>
      <c r="G1985" s="53"/>
    </row>
    <row r="1986">
      <c r="A1986" s="49">
        <v>44715.486606562496</v>
      </c>
      <c r="B1986" s="50">
        <v>44715.6115765625</v>
      </c>
      <c r="C1986" s="51">
        <v>1.013</v>
      </c>
      <c r="D1986" s="51">
        <v>69.0</v>
      </c>
      <c r="E1986" s="52" t="s">
        <v>25</v>
      </c>
      <c r="F1986" s="52" t="s">
        <v>26</v>
      </c>
      <c r="G1986" s="53"/>
    </row>
    <row r="1987">
      <c r="A1987" s="49">
        <v>44715.49704203704</v>
      </c>
      <c r="B1987" s="50">
        <v>44715.6220223379</v>
      </c>
      <c r="C1987" s="51">
        <v>1.013</v>
      </c>
      <c r="D1987" s="51">
        <v>69.0</v>
      </c>
      <c r="E1987" s="52" t="s">
        <v>25</v>
      </c>
      <c r="F1987" s="52" t="s">
        <v>26</v>
      </c>
      <c r="G1987" s="53"/>
    </row>
    <row r="1988">
      <c r="A1988" s="49">
        <v>44715.5074756713</v>
      </c>
      <c r="B1988" s="50">
        <v>44715.6324445254</v>
      </c>
      <c r="C1988" s="51">
        <v>1.013</v>
      </c>
      <c r="D1988" s="51">
        <v>69.0</v>
      </c>
      <c r="E1988" s="52" t="s">
        <v>25</v>
      </c>
      <c r="F1988" s="52" t="s">
        <v>26</v>
      </c>
      <c r="G1988" s="53"/>
    </row>
    <row r="1989">
      <c r="A1989" s="49">
        <v>44715.51788881945</v>
      </c>
      <c r="B1989" s="50">
        <v>44715.6428655671</v>
      </c>
      <c r="C1989" s="51">
        <v>1.013</v>
      </c>
      <c r="D1989" s="51">
        <v>69.0</v>
      </c>
      <c r="E1989" s="52" t="s">
        <v>25</v>
      </c>
      <c r="F1989" s="52" t="s">
        <v>26</v>
      </c>
      <c r="G1989" s="53"/>
    </row>
    <row r="1990">
      <c r="A1990" s="49">
        <v>44715.52830716435</v>
      </c>
      <c r="B1990" s="50">
        <v>44715.6532875</v>
      </c>
      <c r="C1990" s="51">
        <v>1.013</v>
      </c>
      <c r="D1990" s="51">
        <v>69.0</v>
      </c>
      <c r="E1990" s="52" t="s">
        <v>25</v>
      </c>
      <c r="F1990" s="52" t="s">
        <v>26</v>
      </c>
      <c r="G1990" s="53"/>
    </row>
    <row r="1991">
      <c r="A1991" s="49">
        <v>44715.538731030094</v>
      </c>
      <c r="B1991" s="50">
        <v>44715.6637088078</v>
      </c>
      <c r="C1991" s="51">
        <v>1.013</v>
      </c>
      <c r="D1991" s="51">
        <v>69.0</v>
      </c>
      <c r="E1991" s="52" t="s">
        <v>25</v>
      </c>
      <c r="F1991" s="52" t="s">
        <v>26</v>
      </c>
      <c r="G1991" s="53"/>
    </row>
    <row r="1992">
      <c r="A1992" s="49">
        <v>44715.54916084491</v>
      </c>
      <c r="B1992" s="50">
        <v>44715.6741318171</v>
      </c>
      <c r="C1992" s="51">
        <v>1.013</v>
      </c>
      <c r="D1992" s="51">
        <v>69.0</v>
      </c>
      <c r="E1992" s="52" t="s">
        <v>25</v>
      </c>
      <c r="F1992" s="52" t="s">
        <v>26</v>
      </c>
      <c r="G1992" s="53"/>
    </row>
    <row r="1993">
      <c r="A1993" s="49">
        <v>44715.55961354167</v>
      </c>
      <c r="B1993" s="50">
        <v>44715.6845892245</v>
      </c>
      <c r="C1993" s="51">
        <v>1.012</v>
      </c>
      <c r="D1993" s="51">
        <v>69.0</v>
      </c>
      <c r="E1993" s="52" t="s">
        <v>25</v>
      </c>
      <c r="F1993" s="52" t="s">
        <v>26</v>
      </c>
      <c r="G1993" s="53"/>
    </row>
    <row r="1994">
      <c r="A1994" s="49">
        <v>44715.57003106481</v>
      </c>
      <c r="B1994" s="50">
        <v>44715.6950111574</v>
      </c>
      <c r="C1994" s="51">
        <v>1.012</v>
      </c>
      <c r="D1994" s="51">
        <v>69.0</v>
      </c>
      <c r="E1994" s="52" t="s">
        <v>25</v>
      </c>
      <c r="F1994" s="52" t="s">
        <v>26</v>
      </c>
      <c r="G1994" s="53"/>
    </row>
    <row r="1995">
      <c r="A1995" s="49">
        <v>44715.580457986114</v>
      </c>
      <c r="B1995" s="50">
        <v>44715.705431956</v>
      </c>
      <c r="C1995" s="51">
        <v>1.013</v>
      </c>
      <c r="D1995" s="51">
        <v>69.0</v>
      </c>
      <c r="E1995" s="52" t="s">
        <v>25</v>
      </c>
      <c r="F1995" s="52" t="s">
        <v>26</v>
      </c>
      <c r="G1995" s="53"/>
    </row>
    <row r="1996">
      <c r="A1996" s="49">
        <v>44715.59087834491</v>
      </c>
      <c r="B1996" s="50">
        <v>44715.7158533912</v>
      </c>
      <c r="C1996" s="51">
        <v>1.013</v>
      </c>
      <c r="D1996" s="51">
        <v>69.0</v>
      </c>
      <c r="E1996" s="52" t="s">
        <v>25</v>
      </c>
      <c r="F1996" s="52" t="s">
        <v>26</v>
      </c>
      <c r="G1996" s="53"/>
    </row>
    <row r="1997">
      <c r="A1997" s="49">
        <v>44715.601313935185</v>
      </c>
      <c r="B1997" s="50">
        <v>44715.7262746296</v>
      </c>
      <c r="C1997" s="51">
        <v>1.013</v>
      </c>
      <c r="D1997" s="51">
        <v>70.0</v>
      </c>
      <c r="E1997" s="52" t="s">
        <v>25</v>
      </c>
      <c r="F1997" s="52" t="s">
        <v>26</v>
      </c>
      <c r="G1997" s="53"/>
    </row>
    <row r="1998">
      <c r="A1998" s="49">
        <v>44715.61173222223</v>
      </c>
      <c r="B1998" s="50">
        <v>44715.7367077546</v>
      </c>
      <c r="C1998" s="51">
        <v>1.012</v>
      </c>
      <c r="D1998" s="51">
        <v>69.0</v>
      </c>
      <c r="E1998" s="52" t="s">
        <v>25</v>
      </c>
      <c r="F1998" s="52" t="s">
        <v>26</v>
      </c>
      <c r="G1998" s="53"/>
    </row>
    <row r="1999">
      <c r="A1999" s="49">
        <v>44715.62214755787</v>
      </c>
      <c r="B1999" s="50">
        <v>44715.7471294212</v>
      </c>
      <c r="C1999" s="51">
        <v>1.013</v>
      </c>
      <c r="D1999" s="51">
        <v>69.0</v>
      </c>
      <c r="E1999" s="52" t="s">
        <v>25</v>
      </c>
      <c r="F1999" s="52" t="s">
        <v>26</v>
      </c>
      <c r="G1999" s="53"/>
    </row>
    <row r="2000">
      <c r="A2000" s="49">
        <v>44715.632577662036</v>
      </c>
      <c r="B2000" s="50">
        <v>44715.7575510995</v>
      </c>
      <c r="C2000" s="51">
        <v>1.013</v>
      </c>
      <c r="D2000" s="51">
        <v>69.0</v>
      </c>
      <c r="E2000" s="52" t="s">
        <v>25</v>
      </c>
      <c r="F2000" s="52" t="s">
        <v>26</v>
      </c>
      <c r="G2000" s="53"/>
    </row>
    <row r="2001">
      <c r="A2001" s="49">
        <v>44715.64301003472</v>
      </c>
      <c r="B2001" s="50">
        <v>44715.7679840277</v>
      </c>
      <c r="C2001" s="51">
        <v>1.013</v>
      </c>
      <c r="D2001" s="51">
        <v>70.0</v>
      </c>
      <c r="E2001" s="52" t="s">
        <v>25</v>
      </c>
      <c r="F2001" s="52" t="s">
        <v>26</v>
      </c>
      <c r="G2001" s="53"/>
    </row>
    <row r="2002">
      <c r="A2002" s="49">
        <v>44715.653430833336</v>
      </c>
      <c r="B2002" s="50">
        <v>44715.7784053125</v>
      </c>
      <c r="C2002" s="51">
        <v>1.012</v>
      </c>
      <c r="D2002" s="51">
        <v>70.0</v>
      </c>
      <c r="E2002" s="52" t="s">
        <v>25</v>
      </c>
      <c r="F2002" s="52" t="s">
        <v>26</v>
      </c>
      <c r="G2002" s="53"/>
    </row>
    <row r="2003">
      <c r="A2003" s="49">
        <v>44715.663883692134</v>
      </c>
      <c r="B2003" s="50">
        <v>44715.788860787</v>
      </c>
      <c r="C2003" s="51">
        <v>1.013</v>
      </c>
      <c r="D2003" s="51">
        <v>69.0</v>
      </c>
      <c r="E2003" s="52" t="s">
        <v>25</v>
      </c>
      <c r="F2003" s="52" t="s">
        <v>26</v>
      </c>
      <c r="G2003" s="53"/>
    </row>
    <row r="2004">
      <c r="A2004" s="49">
        <v>44715.674307719906</v>
      </c>
      <c r="B2004" s="50">
        <v>44715.7992809606</v>
      </c>
      <c r="C2004" s="51">
        <v>1.013</v>
      </c>
      <c r="D2004" s="51">
        <v>69.0</v>
      </c>
      <c r="E2004" s="52" t="s">
        <v>25</v>
      </c>
      <c r="F2004" s="52" t="s">
        <v>26</v>
      </c>
      <c r="G2004" s="53"/>
    </row>
    <row r="2005">
      <c r="A2005" s="49">
        <v>44715.68472538194</v>
      </c>
      <c r="B2005" s="50">
        <v>44715.8097021064</v>
      </c>
      <c r="C2005" s="51">
        <v>1.012</v>
      </c>
      <c r="D2005" s="51">
        <v>70.0</v>
      </c>
      <c r="E2005" s="52" t="s">
        <v>25</v>
      </c>
      <c r="F2005" s="52" t="s">
        <v>26</v>
      </c>
      <c r="G2005" s="53"/>
    </row>
    <row r="2006">
      <c r="A2006" s="49">
        <v>44715.69514043981</v>
      </c>
      <c r="B2006" s="50">
        <v>44715.8201244675</v>
      </c>
      <c r="C2006" s="51">
        <v>1.012</v>
      </c>
      <c r="D2006" s="51">
        <v>70.0</v>
      </c>
      <c r="E2006" s="52" t="s">
        <v>25</v>
      </c>
      <c r="F2006" s="52" t="s">
        <v>26</v>
      </c>
      <c r="G2006" s="53"/>
    </row>
    <row r="2007">
      <c r="A2007" s="49">
        <v>44715.70556714121</v>
      </c>
      <c r="B2007" s="50">
        <v>44715.8305444328</v>
      </c>
      <c r="C2007" s="51">
        <v>1.012</v>
      </c>
      <c r="D2007" s="51">
        <v>70.0</v>
      </c>
      <c r="E2007" s="52" t="s">
        <v>25</v>
      </c>
      <c r="F2007" s="52" t="s">
        <v>26</v>
      </c>
      <c r="G2007" s="53"/>
    </row>
    <row r="2008">
      <c r="A2008" s="49">
        <v>44715.71600339121</v>
      </c>
      <c r="B2008" s="50">
        <v>44715.8409765856</v>
      </c>
      <c r="C2008" s="51">
        <v>1.013</v>
      </c>
      <c r="D2008" s="51">
        <v>70.0</v>
      </c>
      <c r="E2008" s="52" t="s">
        <v>25</v>
      </c>
      <c r="F2008" s="52" t="s">
        <v>26</v>
      </c>
      <c r="G2008" s="53"/>
    </row>
    <row r="2009">
      <c r="A2009" s="49">
        <v>44715.72642344907</v>
      </c>
      <c r="B2009" s="50">
        <v>44715.8513973148</v>
      </c>
      <c r="C2009" s="51">
        <v>1.012</v>
      </c>
      <c r="D2009" s="51">
        <v>70.0</v>
      </c>
      <c r="E2009" s="52" t="s">
        <v>25</v>
      </c>
      <c r="F2009" s="52" t="s">
        <v>26</v>
      </c>
      <c r="G2009" s="53"/>
    </row>
    <row r="2010">
      <c r="A2010" s="49">
        <v>44715.73684133102</v>
      </c>
      <c r="B2010" s="50">
        <v>44715.8618177199</v>
      </c>
      <c r="C2010" s="51">
        <v>1.012</v>
      </c>
      <c r="D2010" s="51">
        <v>70.0</v>
      </c>
      <c r="E2010" s="52" t="s">
        <v>25</v>
      </c>
      <c r="F2010" s="52" t="s">
        <v>26</v>
      </c>
      <c r="G2010" s="53"/>
    </row>
    <row r="2011">
      <c r="A2011" s="49">
        <v>44715.747257905095</v>
      </c>
      <c r="B2011" s="50">
        <v>44715.8722374305</v>
      </c>
      <c r="C2011" s="51">
        <v>1.013</v>
      </c>
      <c r="D2011" s="51">
        <v>70.0</v>
      </c>
      <c r="E2011" s="52" t="s">
        <v>25</v>
      </c>
      <c r="F2011" s="52" t="s">
        <v>26</v>
      </c>
      <c r="G2011" s="53"/>
    </row>
    <row r="2012">
      <c r="A2012" s="49">
        <v>44715.75769798611</v>
      </c>
      <c r="B2012" s="50">
        <v>44715.8826697453</v>
      </c>
      <c r="C2012" s="51">
        <v>1.013</v>
      </c>
      <c r="D2012" s="51">
        <v>70.0</v>
      </c>
      <c r="E2012" s="52" t="s">
        <v>25</v>
      </c>
      <c r="F2012" s="52" t="s">
        <v>26</v>
      </c>
      <c r="G2012" s="53"/>
    </row>
    <row r="2013">
      <c r="A2013" s="49">
        <v>44715.76812673611</v>
      </c>
      <c r="B2013" s="50">
        <v>44715.8931000463</v>
      </c>
      <c r="C2013" s="51">
        <v>1.013</v>
      </c>
      <c r="D2013" s="51">
        <v>70.0</v>
      </c>
      <c r="E2013" s="52" t="s">
        <v>25</v>
      </c>
      <c r="F2013" s="52" t="s">
        <v>26</v>
      </c>
      <c r="G2013" s="53"/>
    </row>
    <row r="2014">
      <c r="A2014" s="49">
        <v>44715.778548125</v>
      </c>
      <c r="B2014" s="50">
        <v>44715.903522581</v>
      </c>
      <c r="C2014" s="51">
        <v>1.012</v>
      </c>
      <c r="D2014" s="51">
        <v>70.0</v>
      </c>
      <c r="E2014" s="52" t="s">
        <v>25</v>
      </c>
      <c r="F2014" s="52" t="s">
        <v>26</v>
      </c>
      <c r="G2014" s="53"/>
    </row>
    <row r="2015">
      <c r="A2015" s="49">
        <v>44715.78896535879</v>
      </c>
      <c r="B2015" s="50">
        <v>44715.9139454629</v>
      </c>
      <c r="C2015" s="51">
        <v>1.012</v>
      </c>
      <c r="D2015" s="51">
        <v>70.0</v>
      </c>
      <c r="E2015" s="52" t="s">
        <v>25</v>
      </c>
      <c r="F2015" s="52" t="s">
        <v>26</v>
      </c>
      <c r="G2015" s="53"/>
    </row>
    <row r="2016">
      <c r="A2016" s="49">
        <v>44715.799395891205</v>
      </c>
      <c r="B2016" s="50">
        <v>44715.9243683912</v>
      </c>
      <c r="C2016" s="51">
        <v>1.012</v>
      </c>
      <c r="D2016" s="51">
        <v>70.0</v>
      </c>
      <c r="E2016" s="52" t="s">
        <v>25</v>
      </c>
      <c r="F2016" s="52" t="s">
        <v>26</v>
      </c>
      <c r="G2016" s="53"/>
    </row>
    <row r="2017">
      <c r="A2017" s="49">
        <v>44715.809852060185</v>
      </c>
      <c r="B2017" s="50">
        <v>44715.9348255787</v>
      </c>
      <c r="C2017" s="51">
        <v>1.012</v>
      </c>
      <c r="D2017" s="51">
        <v>70.0</v>
      </c>
      <c r="E2017" s="52" t="s">
        <v>25</v>
      </c>
      <c r="F2017" s="52" t="s">
        <v>26</v>
      </c>
      <c r="G2017" s="53"/>
    </row>
    <row r="2018">
      <c r="A2018" s="49">
        <v>44715.82027415509</v>
      </c>
      <c r="B2018" s="50">
        <v>44715.9452471296</v>
      </c>
      <c r="C2018" s="51">
        <v>1.012</v>
      </c>
      <c r="D2018" s="51">
        <v>70.0</v>
      </c>
      <c r="E2018" s="52" t="s">
        <v>25</v>
      </c>
      <c r="F2018" s="52" t="s">
        <v>26</v>
      </c>
      <c r="G2018" s="53"/>
    </row>
    <row r="2019">
      <c r="A2019" s="49">
        <v>44715.83069177083</v>
      </c>
      <c r="B2019" s="50">
        <v>44715.9556673611</v>
      </c>
      <c r="C2019" s="51">
        <v>1.012</v>
      </c>
      <c r="D2019" s="51">
        <v>70.0</v>
      </c>
      <c r="E2019" s="52" t="s">
        <v>25</v>
      </c>
      <c r="F2019" s="52" t="s">
        <v>26</v>
      </c>
      <c r="G2019" s="53"/>
    </row>
    <row r="2020">
      <c r="A2020" s="49">
        <v>44715.84112104167</v>
      </c>
      <c r="B2020" s="50">
        <v>44715.9660896064</v>
      </c>
      <c r="C2020" s="51">
        <v>1.012</v>
      </c>
      <c r="D2020" s="51">
        <v>70.0</v>
      </c>
      <c r="E2020" s="52" t="s">
        <v>25</v>
      </c>
      <c r="F2020" s="52" t="s">
        <v>26</v>
      </c>
      <c r="G2020" s="53"/>
    </row>
    <row r="2021">
      <c r="A2021" s="49">
        <v>44715.851537291666</v>
      </c>
      <c r="B2021" s="50">
        <v>44715.9765106134</v>
      </c>
      <c r="C2021" s="51">
        <v>1.013</v>
      </c>
      <c r="D2021" s="51">
        <v>70.0</v>
      </c>
      <c r="E2021" s="52" t="s">
        <v>25</v>
      </c>
      <c r="F2021" s="52" t="s">
        <v>26</v>
      </c>
      <c r="G2021" s="53"/>
    </row>
    <row r="2022">
      <c r="A2022" s="49">
        <v>44715.86194915509</v>
      </c>
      <c r="B2022" s="50">
        <v>44715.9869317824</v>
      </c>
      <c r="C2022" s="51">
        <v>1.012</v>
      </c>
      <c r="D2022" s="51">
        <v>70.0</v>
      </c>
      <c r="E2022" s="52" t="s">
        <v>25</v>
      </c>
      <c r="F2022" s="52" t="s">
        <v>26</v>
      </c>
      <c r="G2022" s="53"/>
    </row>
    <row r="2023">
      <c r="A2023" s="49">
        <v>44715.87237611111</v>
      </c>
      <c r="B2023" s="50">
        <v>44715.9973532523</v>
      </c>
      <c r="C2023" s="51">
        <v>1.012</v>
      </c>
      <c r="D2023" s="51">
        <v>70.0</v>
      </c>
      <c r="E2023" s="52" t="s">
        <v>25</v>
      </c>
      <c r="F2023" s="52" t="s">
        <v>26</v>
      </c>
      <c r="G2023" s="53"/>
    </row>
    <row r="2024">
      <c r="A2024" s="49">
        <v>44715.88282726852</v>
      </c>
      <c r="B2024" s="50">
        <v>44716.0077998495</v>
      </c>
      <c r="C2024" s="51">
        <v>1.012</v>
      </c>
      <c r="D2024" s="51">
        <v>70.0</v>
      </c>
      <c r="E2024" s="52" t="s">
        <v>25</v>
      </c>
      <c r="F2024" s="52" t="s">
        <v>26</v>
      </c>
      <c r="G2024" s="53"/>
    </row>
    <row r="2025">
      <c r="A2025" s="49">
        <v>44715.893257627315</v>
      </c>
      <c r="B2025" s="50">
        <v>44716.0182312962</v>
      </c>
      <c r="C2025" s="51">
        <v>1.012</v>
      </c>
      <c r="D2025" s="51">
        <v>70.0</v>
      </c>
      <c r="E2025" s="52" t="s">
        <v>25</v>
      </c>
      <c r="F2025" s="52" t="s">
        <v>26</v>
      </c>
      <c r="G2025" s="53"/>
    </row>
    <row r="2026">
      <c r="A2026" s="49">
        <v>44715.903678206014</v>
      </c>
      <c r="B2026" s="50">
        <v>44716.0286519907</v>
      </c>
      <c r="C2026" s="51">
        <v>1.012</v>
      </c>
      <c r="D2026" s="51">
        <v>70.0</v>
      </c>
      <c r="E2026" s="52" t="s">
        <v>25</v>
      </c>
      <c r="F2026" s="52" t="s">
        <v>26</v>
      </c>
      <c r="G2026" s="53"/>
    </row>
    <row r="2027">
      <c r="A2027" s="49">
        <v>44715.91411319445</v>
      </c>
      <c r="B2027" s="50">
        <v>44716.039085949</v>
      </c>
      <c r="C2027" s="51">
        <v>1.012</v>
      </c>
      <c r="D2027" s="51">
        <v>69.0</v>
      </c>
      <c r="E2027" s="52" t="s">
        <v>25</v>
      </c>
      <c r="F2027" s="52" t="s">
        <v>26</v>
      </c>
      <c r="G2027" s="53"/>
    </row>
    <row r="2028">
      <c r="A2028" s="49">
        <v>44715.924548599534</v>
      </c>
      <c r="B2028" s="50">
        <v>44716.0495306597</v>
      </c>
      <c r="C2028" s="51">
        <v>1.012</v>
      </c>
      <c r="D2028" s="51">
        <v>68.0</v>
      </c>
      <c r="E2028" s="52" t="s">
        <v>25</v>
      </c>
      <c r="F2028" s="52" t="s">
        <v>26</v>
      </c>
      <c r="G2028" s="53"/>
    </row>
    <row r="2029">
      <c r="A2029" s="49">
        <v>44715.93500399306</v>
      </c>
      <c r="B2029" s="50">
        <v>44716.0599762384</v>
      </c>
      <c r="C2029" s="51">
        <v>1.012</v>
      </c>
      <c r="D2029" s="51">
        <v>67.0</v>
      </c>
      <c r="E2029" s="52" t="s">
        <v>25</v>
      </c>
      <c r="F2029" s="52" t="s">
        <v>26</v>
      </c>
      <c r="G2029" s="53"/>
    </row>
    <row r="2030">
      <c r="A2030" s="49">
        <v>44715.94543493056</v>
      </c>
      <c r="B2030" s="50">
        <v>44716.0704078472</v>
      </c>
      <c r="C2030" s="51">
        <v>1.012</v>
      </c>
      <c r="D2030" s="51">
        <v>67.0</v>
      </c>
      <c r="E2030" s="52" t="s">
        <v>25</v>
      </c>
      <c r="F2030" s="52" t="s">
        <v>26</v>
      </c>
      <c r="G2030" s="53"/>
    </row>
    <row r="2031">
      <c r="A2031" s="49">
        <v>44715.95585613426</v>
      </c>
      <c r="B2031" s="50">
        <v>44716.0808293518</v>
      </c>
      <c r="C2031" s="51">
        <v>1.012</v>
      </c>
      <c r="D2031" s="51">
        <v>67.0</v>
      </c>
      <c r="E2031" s="52" t="s">
        <v>25</v>
      </c>
      <c r="F2031" s="52" t="s">
        <v>26</v>
      </c>
      <c r="G2031" s="53"/>
    </row>
    <row r="2032">
      <c r="A2032" s="49">
        <v>44715.96629769676</v>
      </c>
      <c r="B2032" s="50">
        <v>44716.0912752314</v>
      </c>
      <c r="C2032" s="51">
        <v>1.013</v>
      </c>
      <c r="D2032" s="51">
        <v>66.0</v>
      </c>
      <c r="E2032" s="52" t="s">
        <v>25</v>
      </c>
      <c r="F2032" s="52" t="s">
        <v>26</v>
      </c>
      <c r="G2032" s="53"/>
    </row>
    <row r="2033">
      <c r="A2033" s="49">
        <v>44715.97672290509</v>
      </c>
      <c r="B2033" s="50">
        <v>44716.1016967939</v>
      </c>
      <c r="C2033" s="51">
        <v>1.012</v>
      </c>
      <c r="D2033" s="51">
        <v>66.0</v>
      </c>
      <c r="E2033" s="52" t="s">
        <v>25</v>
      </c>
      <c r="F2033" s="52" t="s">
        <v>26</v>
      </c>
      <c r="G2033" s="53"/>
    </row>
    <row r="2034">
      <c r="A2034" s="49">
        <v>44715.98715180556</v>
      </c>
      <c r="B2034" s="50">
        <v>44716.1121274768</v>
      </c>
      <c r="C2034" s="51">
        <v>1.012</v>
      </c>
      <c r="D2034" s="51">
        <v>66.0</v>
      </c>
      <c r="E2034" s="52" t="s">
        <v>25</v>
      </c>
      <c r="F2034" s="52" t="s">
        <v>26</v>
      </c>
      <c r="G2034" s="53"/>
    </row>
    <row r="2035">
      <c r="A2035" s="49">
        <v>44715.99762292824</v>
      </c>
      <c r="B2035" s="50">
        <v>44716.1225726388</v>
      </c>
      <c r="C2035" s="51">
        <v>1.012</v>
      </c>
      <c r="D2035" s="51">
        <v>66.0</v>
      </c>
      <c r="E2035" s="52" t="s">
        <v>25</v>
      </c>
      <c r="F2035" s="52" t="s">
        <v>26</v>
      </c>
      <c r="G2035" s="53"/>
    </row>
    <row r="2036">
      <c r="A2036" s="49">
        <v>44716.008021030095</v>
      </c>
      <c r="B2036" s="50">
        <v>44716.1329924421</v>
      </c>
      <c r="C2036" s="51">
        <v>1.012</v>
      </c>
      <c r="D2036" s="51">
        <v>66.0</v>
      </c>
      <c r="E2036" s="52" t="s">
        <v>25</v>
      </c>
      <c r="F2036" s="52" t="s">
        <v>26</v>
      </c>
      <c r="G2036" s="53"/>
    </row>
    <row r="2037">
      <c r="A2037" s="49">
        <v>44716.01843813657</v>
      </c>
      <c r="B2037" s="50">
        <v>44716.1434136921</v>
      </c>
      <c r="C2037" s="51">
        <v>1.013</v>
      </c>
      <c r="D2037" s="51">
        <v>66.0</v>
      </c>
      <c r="E2037" s="52" t="s">
        <v>25</v>
      </c>
      <c r="F2037" s="52" t="s">
        <v>26</v>
      </c>
      <c r="G2037" s="53"/>
    </row>
    <row r="2038">
      <c r="A2038" s="49">
        <v>44716.028870752314</v>
      </c>
      <c r="B2038" s="50">
        <v>44716.1538461921</v>
      </c>
      <c r="C2038" s="51">
        <v>1.013</v>
      </c>
      <c r="D2038" s="51">
        <v>66.0</v>
      </c>
      <c r="E2038" s="52" t="s">
        <v>25</v>
      </c>
      <c r="F2038" s="52" t="s">
        <v>26</v>
      </c>
      <c r="G2038" s="53"/>
    </row>
    <row r="2039">
      <c r="A2039" s="49">
        <v>44716.03930989583</v>
      </c>
      <c r="B2039" s="50">
        <v>44716.1642911574</v>
      </c>
      <c r="C2039" s="51">
        <v>1.012</v>
      </c>
      <c r="D2039" s="51">
        <v>66.0</v>
      </c>
      <c r="E2039" s="52" t="s">
        <v>25</v>
      </c>
      <c r="F2039" s="52" t="s">
        <v>26</v>
      </c>
      <c r="G2039" s="53"/>
    </row>
    <row r="2040">
      <c r="A2040" s="49">
        <v>44716.049741215276</v>
      </c>
      <c r="B2040" s="50">
        <v>44716.1747135301</v>
      </c>
      <c r="C2040" s="51">
        <v>1.012</v>
      </c>
      <c r="D2040" s="51">
        <v>66.0</v>
      </c>
      <c r="E2040" s="52" t="s">
        <v>25</v>
      </c>
      <c r="F2040" s="52" t="s">
        <v>26</v>
      </c>
      <c r="G2040" s="53"/>
    </row>
    <row r="2041">
      <c r="A2041" s="49">
        <v>44716.060172094905</v>
      </c>
      <c r="B2041" s="50">
        <v>44716.1851454166</v>
      </c>
      <c r="C2041" s="51">
        <v>1.012</v>
      </c>
      <c r="D2041" s="51">
        <v>66.0</v>
      </c>
      <c r="E2041" s="52" t="s">
        <v>25</v>
      </c>
      <c r="F2041" s="52" t="s">
        <v>26</v>
      </c>
      <c r="G2041" s="53"/>
    </row>
    <row r="2042">
      <c r="A2042" s="49">
        <v>44716.07059150463</v>
      </c>
      <c r="B2042" s="50">
        <v>44716.1955656481</v>
      </c>
      <c r="C2042" s="51">
        <v>1.012</v>
      </c>
      <c r="D2042" s="51">
        <v>66.0</v>
      </c>
      <c r="E2042" s="52" t="s">
        <v>25</v>
      </c>
      <c r="F2042" s="52" t="s">
        <v>26</v>
      </c>
      <c r="G2042" s="53"/>
    </row>
    <row r="2043">
      <c r="A2043" s="49">
        <v>44716.08103420139</v>
      </c>
      <c r="B2043" s="50">
        <v>44716.2060099537</v>
      </c>
      <c r="C2043" s="51">
        <v>1.012</v>
      </c>
      <c r="D2043" s="51">
        <v>66.0</v>
      </c>
      <c r="E2043" s="52" t="s">
        <v>25</v>
      </c>
      <c r="F2043" s="52" t="s">
        <v>26</v>
      </c>
      <c r="G2043" s="53"/>
    </row>
    <row r="2044">
      <c r="A2044" s="49">
        <v>44716.09146650463</v>
      </c>
      <c r="B2044" s="50">
        <v>44716.2164417361</v>
      </c>
      <c r="C2044" s="51">
        <v>1.012</v>
      </c>
      <c r="D2044" s="51">
        <v>66.0</v>
      </c>
      <c r="E2044" s="52" t="s">
        <v>25</v>
      </c>
      <c r="F2044" s="52" t="s">
        <v>26</v>
      </c>
      <c r="G2044" s="53"/>
    </row>
    <row r="2045">
      <c r="A2045" s="49">
        <v>44716.10188728009</v>
      </c>
      <c r="B2045" s="50">
        <v>44716.2268630555</v>
      </c>
      <c r="C2045" s="51">
        <v>1.012</v>
      </c>
      <c r="D2045" s="51">
        <v>66.0</v>
      </c>
      <c r="E2045" s="52" t="s">
        <v>25</v>
      </c>
      <c r="F2045" s="52" t="s">
        <v>26</v>
      </c>
      <c r="G2045" s="53"/>
    </row>
    <row r="2046">
      <c r="A2046" s="49">
        <v>44716.11230746528</v>
      </c>
      <c r="B2046" s="50">
        <v>44716.2372834953</v>
      </c>
      <c r="C2046" s="51">
        <v>1.012</v>
      </c>
      <c r="D2046" s="51">
        <v>66.0</v>
      </c>
      <c r="E2046" s="52" t="s">
        <v>25</v>
      </c>
      <c r="F2046" s="52" t="s">
        <v>26</v>
      </c>
      <c r="G2046" s="53"/>
    </row>
    <row r="2047">
      <c r="A2047" s="49">
        <v>44716.12273509259</v>
      </c>
      <c r="B2047" s="50">
        <v>44716.2477153588</v>
      </c>
      <c r="C2047" s="51">
        <v>1.012</v>
      </c>
      <c r="D2047" s="51">
        <v>66.0</v>
      </c>
      <c r="E2047" s="52" t="s">
        <v>25</v>
      </c>
      <c r="F2047" s="52" t="s">
        <v>26</v>
      </c>
      <c r="G2047" s="53"/>
    </row>
    <row r="2048">
      <c r="A2048" s="49">
        <v>44716.13316709491</v>
      </c>
      <c r="B2048" s="50">
        <v>44716.2581377314</v>
      </c>
      <c r="C2048" s="51">
        <v>1.012</v>
      </c>
      <c r="D2048" s="51">
        <v>66.0</v>
      </c>
      <c r="E2048" s="52" t="s">
        <v>25</v>
      </c>
      <c r="F2048" s="52" t="s">
        <v>26</v>
      </c>
      <c r="G2048" s="53"/>
    </row>
    <row r="2049">
      <c r="A2049" s="49">
        <v>44716.14358645833</v>
      </c>
      <c r="B2049" s="50">
        <v>44716.2685586111</v>
      </c>
      <c r="C2049" s="51">
        <v>1.012</v>
      </c>
      <c r="D2049" s="51">
        <v>66.0</v>
      </c>
      <c r="E2049" s="52" t="s">
        <v>25</v>
      </c>
      <c r="F2049" s="52" t="s">
        <v>26</v>
      </c>
      <c r="G2049" s="53"/>
    </row>
    <row r="2050">
      <c r="A2050" s="49">
        <v>44716.15401758102</v>
      </c>
      <c r="B2050" s="50">
        <v>44716.27899125</v>
      </c>
      <c r="C2050" s="51">
        <v>1.012</v>
      </c>
      <c r="D2050" s="51">
        <v>66.0</v>
      </c>
      <c r="E2050" s="52" t="s">
        <v>25</v>
      </c>
      <c r="F2050" s="52" t="s">
        <v>26</v>
      </c>
      <c r="G2050" s="53"/>
    </row>
    <row r="2051">
      <c r="A2051" s="49">
        <v>44716.16443518519</v>
      </c>
      <c r="B2051" s="50">
        <v>44716.2894134027</v>
      </c>
      <c r="C2051" s="51">
        <v>1.012</v>
      </c>
      <c r="D2051" s="51">
        <v>66.0</v>
      </c>
      <c r="E2051" s="52" t="s">
        <v>25</v>
      </c>
      <c r="F2051" s="52" t="s">
        <v>26</v>
      </c>
      <c r="G2051" s="53"/>
    </row>
    <row r="2052">
      <c r="A2052" s="49">
        <v>44716.17485445602</v>
      </c>
      <c r="B2052" s="50">
        <v>44716.299835949</v>
      </c>
      <c r="C2052" s="51">
        <v>1.012</v>
      </c>
      <c r="D2052" s="51">
        <v>66.0</v>
      </c>
      <c r="E2052" s="52" t="s">
        <v>25</v>
      </c>
      <c r="F2052" s="52" t="s">
        <v>26</v>
      </c>
      <c r="G2052" s="53"/>
    </row>
    <row r="2053">
      <c r="A2053" s="49">
        <v>44716.18528376157</v>
      </c>
      <c r="B2053" s="50">
        <v>44716.3102563773</v>
      </c>
      <c r="C2053" s="51">
        <v>1.012</v>
      </c>
      <c r="D2053" s="51">
        <v>66.0</v>
      </c>
      <c r="E2053" s="52" t="s">
        <v>25</v>
      </c>
      <c r="F2053" s="52" t="s">
        <v>26</v>
      </c>
      <c r="G2053" s="53"/>
    </row>
    <row r="2054">
      <c r="A2054" s="49">
        <v>44716.19570405093</v>
      </c>
      <c r="B2054" s="50">
        <v>44716.320678993</v>
      </c>
      <c r="C2054" s="51">
        <v>1.012</v>
      </c>
      <c r="D2054" s="51">
        <v>66.0</v>
      </c>
      <c r="E2054" s="52" t="s">
        <v>25</v>
      </c>
      <c r="F2054" s="52" t="s">
        <v>26</v>
      </c>
      <c r="G2054" s="53"/>
    </row>
    <row r="2055">
      <c r="A2055" s="49">
        <v>44716.20616862268</v>
      </c>
      <c r="B2055" s="50">
        <v>44716.3311471527</v>
      </c>
      <c r="C2055" s="51">
        <v>1.012</v>
      </c>
      <c r="D2055" s="51">
        <v>66.0</v>
      </c>
      <c r="E2055" s="52" t="s">
        <v>25</v>
      </c>
      <c r="F2055" s="52" t="s">
        <v>26</v>
      </c>
      <c r="G2055" s="53"/>
    </row>
    <row r="2056">
      <c r="A2056" s="49">
        <v>44716.21658479166</v>
      </c>
      <c r="B2056" s="50">
        <v>44716.3415671064</v>
      </c>
      <c r="C2056" s="51">
        <v>1.012</v>
      </c>
      <c r="D2056" s="51">
        <v>66.0</v>
      </c>
      <c r="E2056" s="52" t="s">
        <v>25</v>
      </c>
      <c r="F2056" s="52" t="s">
        <v>26</v>
      </c>
      <c r="G2056" s="53"/>
    </row>
    <row r="2057">
      <c r="A2057" s="49">
        <v>44716.22700753472</v>
      </c>
      <c r="B2057" s="50">
        <v>44716.351987037</v>
      </c>
      <c r="C2057" s="51">
        <v>1.012</v>
      </c>
      <c r="D2057" s="51">
        <v>66.0</v>
      </c>
      <c r="E2057" s="52" t="s">
        <v>25</v>
      </c>
      <c r="F2057" s="52" t="s">
        <v>26</v>
      </c>
      <c r="G2057" s="53"/>
    </row>
    <row r="2058">
      <c r="A2058" s="49">
        <v>44716.23742627315</v>
      </c>
      <c r="B2058" s="50">
        <v>44716.3624075694</v>
      </c>
      <c r="C2058" s="51">
        <v>1.012</v>
      </c>
      <c r="D2058" s="51">
        <v>66.0</v>
      </c>
      <c r="E2058" s="52" t="s">
        <v>25</v>
      </c>
      <c r="F2058" s="52" t="s">
        <v>26</v>
      </c>
      <c r="G2058" s="53"/>
    </row>
    <row r="2059">
      <c r="A2059" s="49">
        <v>44716.2478550463</v>
      </c>
      <c r="B2059" s="50">
        <v>44716.3728274768</v>
      </c>
      <c r="C2059" s="51">
        <v>1.012</v>
      </c>
      <c r="D2059" s="51">
        <v>66.0</v>
      </c>
      <c r="E2059" s="52" t="s">
        <v>25</v>
      </c>
      <c r="F2059" s="52" t="s">
        <v>26</v>
      </c>
      <c r="G2059" s="53"/>
    </row>
    <row r="2060">
      <c r="A2060" s="49">
        <v>44716.258275995366</v>
      </c>
      <c r="B2060" s="50">
        <v>44716.3832492013</v>
      </c>
      <c r="C2060" s="51">
        <v>1.012</v>
      </c>
      <c r="D2060" s="51">
        <v>66.0</v>
      </c>
      <c r="E2060" s="52" t="s">
        <v>25</v>
      </c>
      <c r="F2060" s="52" t="s">
        <v>26</v>
      </c>
      <c r="G2060" s="53"/>
    </row>
    <row r="2061">
      <c r="A2061" s="49">
        <v>44716.26871087963</v>
      </c>
      <c r="B2061" s="50">
        <v>44716.3936826851</v>
      </c>
      <c r="C2061" s="51">
        <v>1.012</v>
      </c>
      <c r="D2061" s="51">
        <v>66.0</v>
      </c>
      <c r="E2061" s="52" t="s">
        <v>25</v>
      </c>
      <c r="F2061" s="52" t="s">
        <v>26</v>
      </c>
      <c r="G2061" s="53"/>
    </row>
    <row r="2062">
      <c r="A2062" s="49">
        <v>44716.27913265047</v>
      </c>
      <c r="B2062" s="50">
        <v>44716.4041047222</v>
      </c>
      <c r="C2062" s="51">
        <v>1.012</v>
      </c>
      <c r="D2062" s="51">
        <v>66.0</v>
      </c>
      <c r="E2062" s="52" t="s">
        <v>25</v>
      </c>
      <c r="F2062" s="52" t="s">
        <v>26</v>
      </c>
      <c r="G2062" s="53"/>
    </row>
    <row r="2063">
      <c r="A2063" s="49">
        <v>44716.289548437504</v>
      </c>
      <c r="B2063" s="50">
        <v>44716.4145271759</v>
      </c>
      <c r="C2063" s="51">
        <v>1.012</v>
      </c>
      <c r="D2063" s="51">
        <v>66.0</v>
      </c>
      <c r="E2063" s="52" t="s">
        <v>25</v>
      </c>
      <c r="F2063" s="52" t="s">
        <v>26</v>
      </c>
      <c r="G2063" s="53"/>
    </row>
    <row r="2064">
      <c r="A2064" s="49">
        <v>44716.2999690162</v>
      </c>
      <c r="B2064" s="50">
        <v>44716.4249494213</v>
      </c>
      <c r="C2064" s="51">
        <v>1.012</v>
      </c>
      <c r="D2064" s="51">
        <v>66.0</v>
      </c>
      <c r="E2064" s="52" t="s">
        <v>25</v>
      </c>
      <c r="F2064" s="52" t="s">
        <v>26</v>
      </c>
      <c r="G2064" s="53"/>
    </row>
    <row r="2065">
      <c r="A2065" s="49">
        <v>44716.31039842592</v>
      </c>
      <c r="B2065" s="50">
        <v>44716.4353813888</v>
      </c>
      <c r="C2065" s="51">
        <v>1.012</v>
      </c>
      <c r="D2065" s="51">
        <v>66.0</v>
      </c>
      <c r="E2065" s="52" t="s">
        <v>25</v>
      </c>
      <c r="F2065" s="52" t="s">
        <v>26</v>
      </c>
      <c r="G2065" s="53"/>
    </row>
    <row r="2066">
      <c r="A2066" s="49">
        <v>44716.320828738426</v>
      </c>
      <c r="B2066" s="50">
        <v>44716.445801574</v>
      </c>
      <c r="C2066" s="51">
        <v>1.012</v>
      </c>
      <c r="D2066" s="51">
        <v>66.0</v>
      </c>
      <c r="E2066" s="52" t="s">
        <v>25</v>
      </c>
      <c r="F2066" s="52" t="s">
        <v>26</v>
      </c>
      <c r="G2066" s="53"/>
    </row>
    <row r="2067">
      <c r="A2067" s="49">
        <v>44716.33124798611</v>
      </c>
      <c r="B2067" s="50">
        <v>44716.4562237268</v>
      </c>
      <c r="C2067" s="51">
        <v>1.012</v>
      </c>
      <c r="D2067" s="51">
        <v>66.0</v>
      </c>
      <c r="E2067" s="52" t="s">
        <v>25</v>
      </c>
      <c r="F2067" s="52" t="s">
        <v>26</v>
      </c>
      <c r="G2067" s="53"/>
    </row>
    <row r="2068">
      <c r="A2068" s="49">
        <v>44716.34168188657</v>
      </c>
      <c r="B2068" s="50">
        <v>44716.4666564467</v>
      </c>
      <c r="C2068" s="51">
        <v>1.012</v>
      </c>
      <c r="D2068" s="51">
        <v>66.0</v>
      </c>
      <c r="E2068" s="52" t="s">
        <v>25</v>
      </c>
      <c r="F2068" s="52" t="s">
        <v>26</v>
      </c>
      <c r="G2068" s="53"/>
    </row>
    <row r="2069">
      <c r="A2069" s="49">
        <v>44716.352099745374</v>
      </c>
      <c r="B2069" s="50">
        <v>44716.4770780439</v>
      </c>
      <c r="C2069" s="51">
        <v>1.012</v>
      </c>
      <c r="D2069" s="51">
        <v>66.0</v>
      </c>
      <c r="E2069" s="52" t="s">
        <v>25</v>
      </c>
      <c r="F2069" s="52" t="s">
        <v>26</v>
      </c>
      <c r="G2069" s="53"/>
    </row>
    <row r="2070">
      <c r="A2070" s="49">
        <v>44716.362542511575</v>
      </c>
      <c r="B2070" s="50">
        <v>44716.4875111111</v>
      </c>
      <c r="C2070" s="51">
        <v>1.012</v>
      </c>
      <c r="D2070" s="51">
        <v>66.0</v>
      </c>
      <c r="E2070" s="52" t="s">
        <v>25</v>
      </c>
      <c r="F2070" s="52" t="s">
        <v>26</v>
      </c>
      <c r="G2070" s="53"/>
    </row>
    <row r="2071">
      <c r="A2071" s="49">
        <v>44716.37296226852</v>
      </c>
      <c r="B2071" s="50">
        <v>44716.497932581</v>
      </c>
      <c r="C2071" s="51">
        <v>1.012</v>
      </c>
      <c r="D2071" s="51">
        <v>66.0</v>
      </c>
      <c r="E2071" s="52" t="s">
        <v>25</v>
      </c>
      <c r="F2071" s="52" t="s">
        <v>26</v>
      </c>
      <c r="G2071" s="53"/>
    </row>
    <row r="2072">
      <c r="A2072" s="49">
        <v>44716.38341226852</v>
      </c>
      <c r="B2072" s="50">
        <v>44716.5083902662</v>
      </c>
      <c r="C2072" s="51">
        <v>1.012</v>
      </c>
      <c r="D2072" s="51">
        <v>66.0</v>
      </c>
      <c r="E2072" s="52" t="s">
        <v>25</v>
      </c>
      <c r="F2072" s="52" t="s">
        <v>26</v>
      </c>
      <c r="G2072" s="53"/>
    </row>
    <row r="2073">
      <c r="A2073" s="49">
        <v>44716.39385340278</v>
      </c>
      <c r="B2073" s="50">
        <v>44716.5188233333</v>
      </c>
      <c r="C2073" s="51">
        <v>1.012</v>
      </c>
      <c r="D2073" s="51">
        <v>66.0</v>
      </c>
      <c r="E2073" s="52" t="s">
        <v>25</v>
      </c>
      <c r="F2073" s="52" t="s">
        <v>26</v>
      </c>
      <c r="G2073" s="53"/>
    </row>
    <row r="2074">
      <c r="A2074" s="49">
        <v>44716.40431788194</v>
      </c>
      <c r="B2074" s="50">
        <v>44716.5292898611</v>
      </c>
      <c r="C2074" s="51">
        <v>1.012</v>
      </c>
      <c r="D2074" s="51">
        <v>66.0</v>
      </c>
      <c r="E2074" s="52" t="s">
        <v>25</v>
      </c>
      <c r="F2074" s="52" t="s">
        <v>26</v>
      </c>
      <c r="G2074" s="53"/>
    </row>
    <row r="2075">
      <c r="A2075" s="49">
        <v>44716.41474274306</v>
      </c>
      <c r="B2075" s="50">
        <v>44716.5397105439</v>
      </c>
      <c r="C2075" s="51">
        <v>1.012</v>
      </c>
      <c r="D2075" s="51">
        <v>66.0</v>
      </c>
      <c r="E2075" s="52" t="s">
        <v>25</v>
      </c>
      <c r="F2075" s="52" t="s">
        <v>26</v>
      </c>
      <c r="G2075" s="53"/>
    </row>
    <row r="2076">
      <c r="A2076" s="49">
        <v>44716.42515844907</v>
      </c>
      <c r="B2076" s="50">
        <v>44716.5501322569</v>
      </c>
      <c r="C2076" s="51">
        <v>1.012</v>
      </c>
      <c r="D2076" s="51">
        <v>66.0</v>
      </c>
      <c r="E2076" s="52" t="s">
        <v>25</v>
      </c>
      <c r="F2076" s="52" t="s">
        <v>26</v>
      </c>
      <c r="G2076" s="53"/>
    </row>
    <row r="2077">
      <c r="A2077" s="49">
        <v>44716.4355846875</v>
      </c>
      <c r="B2077" s="50">
        <v>44716.5605540625</v>
      </c>
      <c r="C2077" s="51">
        <v>1.012</v>
      </c>
      <c r="D2077" s="51">
        <v>66.0</v>
      </c>
      <c r="E2077" s="52" t="s">
        <v>25</v>
      </c>
      <c r="F2077" s="52" t="s">
        <v>26</v>
      </c>
      <c r="G2077" s="53"/>
    </row>
    <row r="2078">
      <c r="A2078" s="49">
        <v>44716.44600648148</v>
      </c>
      <c r="B2078" s="50">
        <v>44716.5709872916</v>
      </c>
      <c r="C2078" s="51">
        <v>1.012</v>
      </c>
      <c r="D2078" s="51">
        <v>66.0</v>
      </c>
      <c r="E2078" s="52" t="s">
        <v>25</v>
      </c>
      <c r="F2078" s="52" t="s">
        <v>26</v>
      </c>
      <c r="G2078" s="53"/>
    </row>
    <row r="2079">
      <c r="A2079" s="49">
        <v>44716.456447233795</v>
      </c>
      <c r="B2079" s="50">
        <v>44716.5814207986</v>
      </c>
      <c r="C2079" s="51">
        <v>1.012</v>
      </c>
      <c r="D2079" s="51">
        <v>66.0</v>
      </c>
      <c r="E2079" s="52" t="s">
        <v>25</v>
      </c>
      <c r="F2079" s="52" t="s">
        <v>26</v>
      </c>
      <c r="G2079" s="53"/>
    </row>
    <row r="2080">
      <c r="A2080" s="49">
        <v>44716.46686987269</v>
      </c>
      <c r="B2080" s="50">
        <v>44716.5918427662</v>
      </c>
      <c r="C2080" s="51">
        <v>1.012</v>
      </c>
      <c r="D2080" s="51">
        <v>66.0</v>
      </c>
      <c r="E2080" s="52" t="s">
        <v>25</v>
      </c>
      <c r="F2080" s="52" t="s">
        <v>26</v>
      </c>
      <c r="G2080" s="53"/>
    </row>
    <row r="2081">
      <c r="A2081" s="49">
        <v>44716.47728414352</v>
      </c>
      <c r="B2081" s="50">
        <v>44716.6022624884</v>
      </c>
      <c r="C2081" s="51">
        <v>1.012</v>
      </c>
      <c r="D2081" s="51">
        <v>66.0</v>
      </c>
      <c r="E2081" s="52" t="s">
        <v>25</v>
      </c>
      <c r="F2081" s="52" t="s">
        <v>26</v>
      </c>
      <c r="G2081" s="53"/>
    </row>
    <row r="2082">
      <c r="A2082" s="49">
        <v>44716.4877159375</v>
      </c>
      <c r="B2082" s="50">
        <v>44716.6126964351</v>
      </c>
      <c r="C2082" s="51">
        <v>1.012</v>
      </c>
      <c r="D2082" s="51">
        <v>66.0</v>
      </c>
      <c r="E2082" s="52" t="s">
        <v>25</v>
      </c>
      <c r="F2082" s="52" t="s">
        <v>26</v>
      </c>
      <c r="G2082" s="53"/>
    </row>
    <row r="2083">
      <c r="A2083" s="49">
        <v>44716.4981355787</v>
      </c>
      <c r="B2083" s="50">
        <v>44716.6231179282</v>
      </c>
      <c r="C2083" s="51">
        <v>1.012</v>
      </c>
      <c r="D2083" s="51">
        <v>66.0</v>
      </c>
      <c r="E2083" s="52" t="s">
        <v>25</v>
      </c>
      <c r="F2083" s="52" t="s">
        <v>26</v>
      </c>
      <c r="G2083" s="53"/>
    </row>
    <row r="2084">
      <c r="A2084" s="49">
        <v>44716.50858026621</v>
      </c>
      <c r="B2084" s="50">
        <v>44716.6335392708</v>
      </c>
      <c r="C2084" s="51">
        <v>1.012</v>
      </c>
      <c r="D2084" s="51">
        <v>66.0</v>
      </c>
      <c r="E2084" s="52" t="s">
        <v>25</v>
      </c>
      <c r="F2084" s="52" t="s">
        <v>26</v>
      </c>
      <c r="G2084" s="53"/>
    </row>
    <row r="2085">
      <c r="A2085" s="49">
        <v>44716.51899030093</v>
      </c>
      <c r="B2085" s="50">
        <v>44716.643961412</v>
      </c>
      <c r="C2085" s="51">
        <v>1.012</v>
      </c>
      <c r="D2085" s="51">
        <v>66.0</v>
      </c>
      <c r="E2085" s="52" t="s">
        <v>25</v>
      </c>
      <c r="F2085" s="52" t="s">
        <v>26</v>
      </c>
      <c r="G2085" s="53"/>
    </row>
    <row r="2086">
      <c r="A2086" s="49">
        <v>44716.52942229167</v>
      </c>
      <c r="B2086" s="50">
        <v>44716.6543936342</v>
      </c>
      <c r="C2086" s="51">
        <v>1.012</v>
      </c>
      <c r="D2086" s="51">
        <v>66.0</v>
      </c>
      <c r="E2086" s="52" t="s">
        <v>25</v>
      </c>
      <c r="F2086" s="52" t="s">
        <v>26</v>
      </c>
      <c r="G2086" s="53"/>
    </row>
    <row r="2087">
      <c r="A2087" s="49">
        <v>44716.53986480324</v>
      </c>
      <c r="B2087" s="50">
        <v>44716.6648376967</v>
      </c>
      <c r="C2087" s="51">
        <v>1.012</v>
      </c>
      <c r="D2087" s="51">
        <v>66.0</v>
      </c>
      <c r="E2087" s="52" t="s">
        <v>25</v>
      </c>
      <c r="F2087" s="52" t="s">
        <v>26</v>
      </c>
      <c r="G2087" s="53"/>
    </row>
    <row r="2088">
      <c r="A2088" s="49">
        <v>44716.5502829051</v>
      </c>
      <c r="B2088" s="50">
        <v>44716.6752598263</v>
      </c>
      <c r="C2088" s="51">
        <v>1.012</v>
      </c>
      <c r="D2088" s="51">
        <v>66.0</v>
      </c>
      <c r="E2088" s="52" t="s">
        <v>25</v>
      </c>
      <c r="F2088" s="52" t="s">
        <v>26</v>
      </c>
      <c r="G2088" s="53"/>
    </row>
    <row r="2089">
      <c r="A2089" s="49">
        <v>44716.56072725695</v>
      </c>
      <c r="B2089" s="50">
        <v>44716.6857035995</v>
      </c>
      <c r="C2089" s="51">
        <v>1.012</v>
      </c>
      <c r="D2089" s="51">
        <v>66.0</v>
      </c>
      <c r="E2089" s="52" t="s">
        <v>25</v>
      </c>
      <c r="F2089" s="52" t="s">
        <v>26</v>
      </c>
      <c r="G2089" s="53"/>
    </row>
    <row r="2090">
      <c r="A2090" s="49">
        <v>44716.57115192129</v>
      </c>
      <c r="B2090" s="50">
        <v>44716.6961260763</v>
      </c>
      <c r="C2090" s="51">
        <v>1.012</v>
      </c>
      <c r="D2090" s="51">
        <v>66.0</v>
      </c>
      <c r="E2090" s="52" t="s">
        <v>25</v>
      </c>
      <c r="F2090" s="52" t="s">
        <v>26</v>
      </c>
      <c r="G2090" s="53"/>
    </row>
    <row r="2091">
      <c r="A2091" s="49">
        <v>44716.58157096065</v>
      </c>
      <c r="B2091" s="50">
        <v>44716.7065461574</v>
      </c>
      <c r="C2091" s="51">
        <v>1.012</v>
      </c>
      <c r="D2091" s="51">
        <v>66.0</v>
      </c>
      <c r="E2091" s="52" t="s">
        <v>25</v>
      </c>
      <c r="F2091" s="52" t="s">
        <v>26</v>
      </c>
      <c r="G2091" s="53"/>
    </row>
    <row r="2092">
      <c r="A2092" s="49">
        <v>44716.59199240741</v>
      </c>
      <c r="B2092" s="50">
        <v>44716.716967581</v>
      </c>
      <c r="C2092" s="51">
        <v>1.012</v>
      </c>
      <c r="D2092" s="51">
        <v>66.0</v>
      </c>
      <c r="E2092" s="52" t="s">
        <v>25</v>
      </c>
      <c r="F2092" s="52" t="s">
        <v>26</v>
      </c>
      <c r="G2092" s="53"/>
    </row>
    <row r="2093">
      <c r="A2093" s="49">
        <v>44716.602413472225</v>
      </c>
      <c r="B2093" s="50">
        <v>44716.727385405</v>
      </c>
      <c r="C2093" s="51">
        <v>1.012</v>
      </c>
      <c r="D2093" s="51">
        <v>66.0</v>
      </c>
      <c r="E2093" s="52" t="s">
        <v>25</v>
      </c>
      <c r="F2093" s="52" t="s">
        <v>26</v>
      </c>
      <c r="G2093" s="53"/>
    </row>
    <row r="2094">
      <c r="A2094" s="49">
        <v>44716.612830868056</v>
      </c>
      <c r="B2094" s="50">
        <v>44716.7378073263</v>
      </c>
      <c r="C2094" s="51">
        <v>1.012</v>
      </c>
      <c r="D2094" s="51">
        <v>66.0</v>
      </c>
      <c r="E2094" s="52" t="s">
        <v>25</v>
      </c>
      <c r="F2094" s="52" t="s">
        <v>26</v>
      </c>
      <c r="G2094" s="53"/>
    </row>
    <row r="2095">
      <c r="A2095" s="49">
        <v>44716.62326635417</v>
      </c>
      <c r="B2095" s="50">
        <v>44716.7482404398</v>
      </c>
      <c r="C2095" s="51">
        <v>1.012</v>
      </c>
      <c r="D2095" s="51">
        <v>66.0</v>
      </c>
      <c r="E2095" s="52" t="s">
        <v>25</v>
      </c>
      <c r="F2095" s="52" t="s">
        <v>26</v>
      </c>
      <c r="G2095" s="53"/>
    </row>
    <row r="2096">
      <c r="A2096" s="49">
        <v>44716.63368247685</v>
      </c>
      <c r="B2096" s="50">
        <v>44716.7586611805</v>
      </c>
      <c r="C2096" s="51">
        <v>1.012</v>
      </c>
      <c r="D2096" s="51">
        <v>66.0</v>
      </c>
      <c r="E2096" s="52" t="s">
        <v>25</v>
      </c>
      <c r="F2096" s="52" t="s">
        <v>26</v>
      </c>
      <c r="G2096" s="53"/>
    </row>
    <row r="2097">
      <c r="A2097" s="49">
        <v>44716.64411255787</v>
      </c>
      <c r="B2097" s="50">
        <v>44716.7690830671</v>
      </c>
      <c r="C2097" s="51">
        <v>1.012</v>
      </c>
      <c r="D2097" s="51">
        <v>66.0</v>
      </c>
      <c r="E2097" s="52" t="s">
        <v>25</v>
      </c>
      <c r="F2097" s="52" t="s">
        <v>26</v>
      </c>
      <c r="G2097" s="53"/>
    </row>
    <row r="2098">
      <c r="A2098" s="49">
        <v>44716.654528506944</v>
      </c>
      <c r="B2098" s="50">
        <v>44716.7795044213</v>
      </c>
      <c r="C2098" s="51">
        <v>1.012</v>
      </c>
      <c r="D2098" s="51">
        <v>66.0</v>
      </c>
      <c r="E2098" s="52" t="s">
        <v>25</v>
      </c>
      <c r="F2098" s="52" t="s">
        <v>26</v>
      </c>
      <c r="G2098" s="53"/>
    </row>
    <row r="2099">
      <c r="A2099" s="49">
        <v>44716.66497726852</v>
      </c>
      <c r="B2099" s="50">
        <v>44716.789949375</v>
      </c>
      <c r="C2099" s="51">
        <v>1.012</v>
      </c>
      <c r="D2099" s="51">
        <v>66.0</v>
      </c>
      <c r="E2099" s="52" t="s">
        <v>25</v>
      </c>
      <c r="F2099" s="52" t="s">
        <v>26</v>
      </c>
      <c r="G2099" s="53"/>
    </row>
    <row r="2100">
      <c r="A2100" s="49">
        <v>44716.67539203704</v>
      </c>
      <c r="B2100" s="50">
        <v>44716.8003708217</v>
      </c>
      <c r="C2100" s="51">
        <v>1.012</v>
      </c>
      <c r="D2100" s="51">
        <v>66.0</v>
      </c>
      <c r="E2100" s="52" t="s">
        <v>25</v>
      </c>
      <c r="F2100" s="52" t="s">
        <v>26</v>
      </c>
      <c r="G2100" s="53"/>
    </row>
    <row r="2101">
      <c r="A2101" s="49">
        <v>44716.68581927083</v>
      </c>
      <c r="B2101" s="50">
        <v>44716.8107916898</v>
      </c>
      <c r="C2101" s="51">
        <v>1.012</v>
      </c>
      <c r="D2101" s="51">
        <v>66.0</v>
      </c>
      <c r="E2101" s="52" t="s">
        <v>25</v>
      </c>
      <c r="F2101" s="52" t="s">
        <v>26</v>
      </c>
      <c r="G2101" s="53"/>
    </row>
    <row r="2102">
      <c r="A2102" s="49">
        <v>44716.69624121528</v>
      </c>
      <c r="B2102" s="50">
        <v>44716.8212136574</v>
      </c>
      <c r="C2102" s="51">
        <v>1.012</v>
      </c>
      <c r="D2102" s="51">
        <v>66.0</v>
      </c>
      <c r="E2102" s="52" t="s">
        <v>25</v>
      </c>
      <c r="F2102" s="52" t="s">
        <v>26</v>
      </c>
      <c r="G2102" s="53"/>
    </row>
    <row r="2103">
      <c r="A2103" s="49">
        <v>44716.70664974537</v>
      </c>
      <c r="B2103" s="50">
        <v>44716.8316334953</v>
      </c>
      <c r="C2103" s="51">
        <v>1.012</v>
      </c>
      <c r="D2103" s="51">
        <v>66.0</v>
      </c>
      <c r="E2103" s="52" t="s">
        <v>25</v>
      </c>
      <c r="F2103" s="52" t="s">
        <v>26</v>
      </c>
      <c r="G2103" s="53"/>
    </row>
    <row r="2104">
      <c r="A2104" s="49">
        <v>44716.71708248842</v>
      </c>
      <c r="B2104" s="50">
        <v>44716.8420560995</v>
      </c>
      <c r="C2104" s="51">
        <v>1.012</v>
      </c>
      <c r="D2104" s="51">
        <v>66.0</v>
      </c>
      <c r="E2104" s="52" t="s">
        <v>25</v>
      </c>
      <c r="F2104" s="52" t="s">
        <v>26</v>
      </c>
      <c r="G2104" s="53"/>
    </row>
    <row r="2105">
      <c r="A2105" s="49">
        <v>44716.727502222224</v>
      </c>
      <c r="B2105" s="50">
        <v>44716.8524756712</v>
      </c>
      <c r="C2105" s="51">
        <v>1.012</v>
      </c>
      <c r="D2105" s="51">
        <v>66.0</v>
      </c>
      <c r="E2105" s="52" t="s">
        <v>25</v>
      </c>
      <c r="F2105" s="52" t="s">
        <v>26</v>
      </c>
      <c r="G2105" s="53"/>
    </row>
    <row r="2106">
      <c r="A2106" s="49">
        <v>44716.737929386574</v>
      </c>
      <c r="B2106" s="50">
        <v>44716.8629087963</v>
      </c>
      <c r="C2106" s="51">
        <v>1.012</v>
      </c>
      <c r="D2106" s="51">
        <v>66.0</v>
      </c>
      <c r="E2106" s="52" t="s">
        <v>25</v>
      </c>
      <c r="F2106" s="52" t="s">
        <v>26</v>
      </c>
      <c r="G2106" s="53"/>
    </row>
    <row r="2107">
      <c r="A2107" s="49">
        <v>44716.7483583912</v>
      </c>
      <c r="B2107" s="50">
        <v>44716.8733306134</v>
      </c>
      <c r="C2107" s="51">
        <v>1.012</v>
      </c>
      <c r="D2107" s="51">
        <v>66.0</v>
      </c>
      <c r="E2107" s="52" t="s">
        <v>25</v>
      </c>
      <c r="F2107" s="52" t="s">
        <v>26</v>
      </c>
      <c r="G2107" s="53"/>
    </row>
    <row r="2108">
      <c r="A2108" s="49">
        <v>44716.758779282405</v>
      </c>
      <c r="B2108" s="50">
        <v>44716.883751331</v>
      </c>
      <c r="C2108" s="51">
        <v>1.011</v>
      </c>
      <c r="D2108" s="51">
        <v>67.0</v>
      </c>
      <c r="E2108" s="52" t="s">
        <v>25</v>
      </c>
      <c r="F2108" s="52" t="s">
        <v>26</v>
      </c>
      <c r="G2108" s="53"/>
    </row>
    <row r="2109">
      <c r="A2109" s="49">
        <v>44716.76919866898</v>
      </c>
      <c r="B2109" s="50">
        <v>44716.8941720833</v>
      </c>
      <c r="C2109" s="51">
        <v>1.011</v>
      </c>
      <c r="D2109" s="51">
        <v>67.0</v>
      </c>
      <c r="E2109" s="52" t="s">
        <v>25</v>
      </c>
      <c r="F2109" s="52" t="s">
        <v>26</v>
      </c>
      <c r="G2109" s="53"/>
    </row>
    <row r="2110">
      <c r="A2110" s="49">
        <v>44716.7796212963</v>
      </c>
      <c r="B2110" s="50">
        <v>44716.9045924189</v>
      </c>
      <c r="C2110" s="51">
        <v>1.012</v>
      </c>
      <c r="D2110" s="51">
        <v>67.0</v>
      </c>
      <c r="E2110" s="52" t="s">
        <v>25</v>
      </c>
      <c r="F2110" s="52" t="s">
        <v>26</v>
      </c>
      <c r="G2110" s="53"/>
    </row>
    <row r="2111">
      <c r="A2111" s="49">
        <v>44716.790043229164</v>
      </c>
      <c r="B2111" s="50">
        <v>44716.9150120833</v>
      </c>
      <c r="C2111" s="51">
        <v>1.012</v>
      </c>
      <c r="D2111" s="51">
        <v>67.0</v>
      </c>
      <c r="E2111" s="52" t="s">
        <v>25</v>
      </c>
      <c r="F2111" s="52" t="s">
        <v>26</v>
      </c>
      <c r="G2111" s="53"/>
    </row>
    <row r="2112">
      <c r="A2112" s="49">
        <v>44716.80046053241</v>
      </c>
      <c r="B2112" s="50">
        <v>44716.9254323611</v>
      </c>
      <c r="C2112" s="51">
        <v>1.012</v>
      </c>
      <c r="D2112" s="51">
        <v>67.0</v>
      </c>
      <c r="E2112" s="52" t="s">
        <v>25</v>
      </c>
      <c r="F2112" s="52" t="s">
        <v>26</v>
      </c>
      <c r="G2112" s="53"/>
    </row>
    <row r="2113">
      <c r="A2113" s="49">
        <v>44716.81088585648</v>
      </c>
      <c r="B2113" s="50">
        <v>44716.9358520949</v>
      </c>
      <c r="C2113" s="51">
        <v>1.012</v>
      </c>
      <c r="D2113" s="51">
        <v>67.0</v>
      </c>
      <c r="E2113" s="52" t="s">
        <v>25</v>
      </c>
      <c r="F2113" s="52" t="s">
        <v>26</v>
      </c>
      <c r="G2113" s="53"/>
    </row>
    <row r="2114">
      <c r="A2114" s="49">
        <v>44716.821305000005</v>
      </c>
      <c r="B2114" s="50">
        <v>44716.946272581</v>
      </c>
      <c r="C2114" s="51">
        <v>1.011</v>
      </c>
      <c r="D2114" s="51">
        <v>67.0</v>
      </c>
      <c r="E2114" s="52" t="s">
        <v>25</v>
      </c>
      <c r="F2114" s="52" t="s">
        <v>26</v>
      </c>
      <c r="G2114" s="53"/>
    </row>
    <row r="2115">
      <c r="A2115" s="49">
        <v>44716.831721863426</v>
      </c>
      <c r="B2115" s="50">
        <v>44716.9566947453</v>
      </c>
      <c r="C2115" s="51">
        <v>1.012</v>
      </c>
      <c r="D2115" s="51">
        <v>67.0</v>
      </c>
      <c r="E2115" s="52" t="s">
        <v>25</v>
      </c>
      <c r="F2115" s="52" t="s">
        <v>26</v>
      </c>
      <c r="G2115" s="53"/>
    </row>
    <row r="2116">
      <c r="A2116" s="49">
        <v>44716.842152893514</v>
      </c>
      <c r="B2116" s="50">
        <v>44716.9671270138</v>
      </c>
      <c r="C2116" s="51">
        <v>1.012</v>
      </c>
      <c r="D2116" s="51">
        <v>67.0</v>
      </c>
      <c r="E2116" s="52" t="s">
        <v>25</v>
      </c>
      <c r="F2116" s="52" t="s">
        <v>26</v>
      </c>
      <c r="G2116" s="53"/>
    </row>
    <row r="2117">
      <c r="A2117" s="49">
        <v>44716.85258056713</v>
      </c>
      <c r="B2117" s="50">
        <v>44716.9775607291</v>
      </c>
      <c r="C2117" s="51">
        <v>1.012</v>
      </c>
      <c r="D2117" s="51">
        <v>67.0</v>
      </c>
      <c r="E2117" s="52" t="s">
        <v>25</v>
      </c>
      <c r="F2117" s="52" t="s">
        <v>26</v>
      </c>
      <c r="G2117" s="53"/>
    </row>
    <row r="2118">
      <c r="A2118" s="49">
        <v>44716.86301414351</v>
      </c>
      <c r="B2118" s="50">
        <v>44716.9879814351</v>
      </c>
      <c r="C2118" s="51">
        <v>1.011</v>
      </c>
      <c r="D2118" s="51">
        <v>67.0</v>
      </c>
      <c r="E2118" s="52" t="s">
        <v>25</v>
      </c>
      <c r="F2118" s="52" t="s">
        <v>26</v>
      </c>
      <c r="G2118" s="53"/>
    </row>
    <row r="2119">
      <c r="A2119" s="49">
        <v>44716.87342019676</v>
      </c>
      <c r="B2119" s="50">
        <v>44716.99840125</v>
      </c>
      <c r="C2119" s="51">
        <v>1.011</v>
      </c>
      <c r="D2119" s="51">
        <v>67.0</v>
      </c>
      <c r="E2119" s="52" t="s">
        <v>25</v>
      </c>
      <c r="F2119" s="52" t="s">
        <v>26</v>
      </c>
      <c r="G2119" s="53"/>
    </row>
    <row r="2120">
      <c r="A2120" s="49">
        <v>44716.88383723379</v>
      </c>
      <c r="B2120" s="50">
        <v>44717.0088209259</v>
      </c>
      <c r="C2120" s="51">
        <v>1.011</v>
      </c>
      <c r="D2120" s="51">
        <v>67.0</v>
      </c>
      <c r="E2120" s="52" t="s">
        <v>25</v>
      </c>
      <c r="F2120" s="52" t="s">
        <v>26</v>
      </c>
      <c r="G2120" s="53"/>
    </row>
    <row r="2121">
      <c r="A2121" s="49">
        <v>44716.894276493054</v>
      </c>
      <c r="B2121" s="50">
        <v>44717.0192414004</v>
      </c>
      <c r="C2121" s="51">
        <v>1.011</v>
      </c>
      <c r="D2121" s="51">
        <v>67.0</v>
      </c>
      <c r="E2121" s="52" t="s">
        <v>25</v>
      </c>
      <c r="F2121" s="52" t="s">
        <v>26</v>
      </c>
      <c r="G2121" s="53"/>
    </row>
    <row r="2122">
      <c r="A2122" s="49">
        <v>44716.90469216435</v>
      </c>
      <c r="B2122" s="50">
        <v>44717.0296745949</v>
      </c>
      <c r="C2122" s="51">
        <v>1.011</v>
      </c>
      <c r="D2122" s="51">
        <v>67.0</v>
      </c>
      <c r="E2122" s="52" t="s">
        <v>25</v>
      </c>
      <c r="F2122" s="52" t="s">
        <v>26</v>
      </c>
      <c r="G2122" s="53"/>
    </row>
    <row r="2123">
      <c r="A2123" s="49">
        <v>44716.91512975695</v>
      </c>
      <c r="B2123" s="50">
        <v>44717.0400978009</v>
      </c>
      <c r="C2123" s="51">
        <v>1.011</v>
      </c>
      <c r="D2123" s="51">
        <v>67.0</v>
      </c>
      <c r="E2123" s="52" t="s">
        <v>25</v>
      </c>
      <c r="F2123" s="52" t="s">
        <v>26</v>
      </c>
      <c r="G2123" s="53"/>
    </row>
    <row r="2124">
      <c r="A2124" s="49">
        <v>44716.925545555554</v>
      </c>
      <c r="B2124" s="50">
        <v>44717.0505191088</v>
      </c>
      <c r="C2124" s="51">
        <v>1.011</v>
      </c>
      <c r="D2124" s="51">
        <v>67.0</v>
      </c>
      <c r="E2124" s="52" t="s">
        <v>25</v>
      </c>
      <c r="F2124" s="52" t="s">
        <v>26</v>
      </c>
      <c r="G2124" s="53"/>
    </row>
    <row r="2125">
      <c r="A2125" s="49">
        <v>44716.93596454861</v>
      </c>
      <c r="B2125" s="50">
        <v>44717.0609412615</v>
      </c>
      <c r="C2125" s="51">
        <v>1.012</v>
      </c>
      <c r="D2125" s="51">
        <v>67.0</v>
      </c>
      <c r="E2125" s="52" t="s">
        <v>25</v>
      </c>
      <c r="F2125" s="52" t="s">
        <v>26</v>
      </c>
      <c r="G2125" s="53"/>
    </row>
    <row r="2126">
      <c r="A2126" s="49">
        <v>44716.94639884259</v>
      </c>
      <c r="B2126" s="50">
        <v>44717.0713626389</v>
      </c>
      <c r="C2126" s="51">
        <v>1.011</v>
      </c>
      <c r="D2126" s="51">
        <v>67.0</v>
      </c>
      <c r="E2126" s="52" t="s">
        <v>25</v>
      </c>
      <c r="F2126" s="52" t="s">
        <v>26</v>
      </c>
      <c r="G2126" s="53"/>
    </row>
    <row r="2127">
      <c r="A2127" s="49">
        <v>44716.95681320602</v>
      </c>
      <c r="B2127" s="50">
        <v>44717.0817850347</v>
      </c>
      <c r="C2127" s="51">
        <v>1.012</v>
      </c>
      <c r="D2127" s="51">
        <v>67.0</v>
      </c>
      <c r="E2127" s="52" t="s">
        <v>25</v>
      </c>
      <c r="F2127" s="52" t="s">
        <v>26</v>
      </c>
      <c r="G2127" s="53"/>
    </row>
    <row r="2128">
      <c r="A2128" s="49">
        <v>44716.967237372686</v>
      </c>
      <c r="B2128" s="50">
        <v>44717.0922062152</v>
      </c>
      <c r="C2128" s="51">
        <v>1.011</v>
      </c>
      <c r="D2128" s="51">
        <v>67.0</v>
      </c>
      <c r="E2128" s="52" t="s">
        <v>25</v>
      </c>
      <c r="F2128" s="52" t="s">
        <v>26</v>
      </c>
      <c r="G2128" s="53"/>
    </row>
    <row r="2129">
      <c r="A2129" s="49">
        <v>44716.9776540625</v>
      </c>
      <c r="B2129" s="50">
        <v>44717.1026294213</v>
      </c>
      <c r="C2129" s="51">
        <v>1.011</v>
      </c>
      <c r="D2129" s="51">
        <v>67.0</v>
      </c>
      <c r="E2129" s="52" t="s">
        <v>25</v>
      </c>
      <c r="F2129" s="52" t="s">
        <v>26</v>
      </c>
      <c r="G2129" s="53"/>
    </row>
    <row r="2130">
      <c r="A2130" s="49">
        <v>44716.98811519676</v>
      </c>
      <c r="B2130" s="50">
        <v>44717.1130858912</v>
      </c>
      <c r="C2130" s="51">
        <v>1.012</v>
      </c>
      <c r="D2130" s="51">
        <v>67.0</v>
      </c>
      <c r="E2130" s="52" t="s">
        <v>25</v>
      </c>
      <c r="F2130" s="52" t="s">
        <v>26</v>
      </c>
      <c r="G2130" s="53"/>
    </row>
    <row r="2131">
      <c r="A2131" s="49">
        <v>44716.99853383102</v>
      </c>
      <c r="B2131" s="50">
        <v>44717.1235087268</v>
      </c>
      <c r="C2131" s="51">
        <v>1.011</v>
      </c>
      <c r="D2131" s="51">
        <v>67.0</v>
      </c>
      <c r="E2131" s="52" t="s">
        <v>25</v>
      </c>
      <c r="F2131" s="52" t="s">
        <v>26</v>
      </c>
      <c r="G2131" s="53"/>
    </row>
    <row r="2132">
      <c r="A2132" s="49">
        <v>44717.00894697917</v>
      </c>
      <c r="B2132" s="50">
        <v>44717.1339302893</v>
      </c>
      <c r="C2132" s="51">
        <v>1.012</v>
      </c>
      <c r="D2132" s="51">
        <v>67.0</v>
      </c>
      <c r="E2132" s="52" t="s">
        <v>25</v>
      </c>
      <c r="F2132" s="52" t="s">
        <v>26</v>
      </c>
      <c r="G2132" s="53"/>
    </row>
    <row r="2133">
      <c r="A2133" s="49">
        <v>44717.01936821759</v>
      </c>
      <c r="B2133" s="50">
        <v>44717.1443506713</v>
      </c>
      <c r="C2133" s="51">
        <v>1.011</v>
      </c>
      <c r="D2133" s="51">
        <v>67.0</v>
      </c>
      <c r="E2133" s="52" t="s">
        <v>25</v>
      </c>
      <c r="F2133" s="52" t="s">
        <v>26</v>
      </c>
      <c r="G2133" s="53"/>
    </row>
    <row r="2134">
      <c r="A2134" s="49">
        <v>44717.02983734953</v>
      </c>
      <c r="B2134" s="50">
        <v>44717.1548077546</v>
      </c>
      <c r="C2134" s="51">
        <v>1.012</v>
      </c>
      <c r="D2134" s="51">
        <v>67.0</v>
      </c>
      <c r="E2134" s="52" t="s">
        <v>25</v>
      </c>
      <c r="F2134" s="52" t="s">
        <v>26</v>
      </c>
      <c r="G2134" s="53"/>
    </row>
    <row r="2135">
      <c r="A2135" s="49">
        <v>44717.04025734954</v>
      </c>
      <c r="B2135" s="50">
        <v>44717.1652285648</v>
      </c>
      <c r="C2135" s="51">
        <v>1.011</v>
      </c>
      <c r="D2135" s="51">
        <v>67.0</v>
      </c>
      <c r="E2135" s="52" t="s">
        <v>25</v>
      </c>
      <c r="F2135" s="52" t="s">
        <v>26</v>
      </c>
      <c r="G2135" s="53"/>
    </row>
    <row r="2136">
      <c r="A2136" s="49">
        <v>44717.050666423616</v>
      </c>
      <c r="B2136" s="50">
        <v>44717.1756490625</v>
      </c>
      <c r="C2136" s="51">
        <v>1.012</v>
      </c>
      <c r="D2136" s="51">
        <v>67.0</v>
      </c>
      <c r="E2136" s="52" t="s">
        <v>25</v>
      </c>
      <c r="F2136" s="52" t="s">
        <v>26</v>
      </c>
      <c r="G2136" s="53"/>
    </row>
    <row r="2137">
      <c r="A2137" s="49">
        <v>44717.06111141204</v>
      </c>
      <c r="B2137" s="50">
        <v>44717.1860823842</v>
      </c>
      <c r="C2137" s="51">
        <v>1.011</v>
      </c>
      <c r="D2137" s="51">
        <v>67.0</v>
      </c>
      <c r="E2137" s="52" t="s">
        <v>25</v>
      </c>
      <c r="F2137" s="52" t="s">
        <v>26</v>
      </c>
      <c r="G2137" s="53"/>
    </row>
    <row r="2138">
      <c r="A2138" s="49">
        <v>44717.07155537037</v>
      </c>
      <c r="B2138" s="50">
        <v>44717.1965272685</v>
      </c>
      <c r="C2138" s="51">
        <v>1.011</v>
      </c>
      <c r="D2138" s="51">
        <v>67.0</v>
      </c>
      <c r="E2138" s="52" t="s">
        <v>25</v>
      </c>
      <c r="F2138" s="52" t="s">
        <v>26</v>
      </c>
      <c r="G2138" s="53"/>
    </row>
    <row r="2139">
      <c r="A2139" s="49">
        <v>44717.081997754634</v>
      </c>
      <c r="B2139" s="50">
        <v>44717.2069720023</v>
      </c>
      <c r="C2139" s="51">
        <v>1.011</v>
      </c>
      <c r="D2139" s="51">
        <v>67.0</v>
      </c>
      <c r="E2139" s="52" t="s">
        <v>25</v>
      </c>
      <c r="F2139" s="52" t="s">
        <v>26</v>
      </c>
      <c r="G2139" s="53"/>
    </row>
    <row r="2140">
      <c r="A2140" s="49">
        <v>44717.09242966435</v>
      </c>
      <c r="B2140" s="50">
        <v>44717.217404537</v>
      </c>
      <c r="C2140" s="51">
        <v>1.011</v>
      </c>
      <c r="D2140" s="51">
        <v>67.0</v>
      </c>
      <c r="E2140" s="52" t="s">
        <v>25</v>
      </c>
      <c r="F2140" s="52" t="s">
        <v>26</v>
      </c>
      <c r="G2140" s="53"/>
    </row>
    <row r="2141">
      <c r="A2141" s="49">
        <v>44717.10284798611</v>
      </c>
      <c r="B2141" s="50">
        <v>44717.2278250463</v>
      </c>
      <c r="C2141" s="51">
        <v>1.011</v>
      </c>
      <c r="D2141" s="51">
        <v>67.0</v>
      </c>
      <c r="E2141" s="52" t="s">
        <v>25</v>
      </c>
      <c r="F2141" s="52" t="s">
        <v>26</v>
      </c>
      <c r="G2141" s="53"/>
    </row>
    <row r="2142">
      <c r="A2142" s="49">
        <v>44717.11328936343</v>
      </c>
      <c r="B2142" s="50">
        <v>44717.2382585995</v>
      </c>
      <c r="C2142" s="51">
        <v>1.011</v>
      </c>
      <c r="D2142" s="51">
        <v>67.0</v>
      </c>
      <c r="E2142" s="52" t="s">
        <v>25</v>
      </c>
      <c r="F2142" s="52" t="s">
        <v>26</v>
      </c>
      <c r="G2142" s="53"/>
    </row>
    <row r="2143">
      <c r="A2143" s="49">
        <v>44717.12371918981</v>
      </c>
      <c r="B2143" s="50">
        <v>44717.2486906134</v>
      </c>
      <c r="C2143" s="51">
        <v>1.011</v>
      </c>
      <c r="D2143" s="51">
        <v>67.0</v>
      </c>
      <c r="E2143" s="52" t="s">
        <v>25</v>
      </c>
      <c r="F2143" s="52" t="s">
        <v>26</v>
      </c>
      <c r="G2143" s="53"/>
    </row>
    <row r="2144">
      <c r="A2144" s="49">
        <v>44717.134175694446</v>
      </c>
      <c r="B2144" s="50">
        <v>44717.2591453356</v>
      </c>
      <c r="C2144" s="51">
        <v>1.011</v>
      </c>
      <c r="D2144" s="51">
        <v>67.0</v>
      </c>
      <c r="E2144" s="52" t="s">
        <v>25</v>
      </c>
      <c r="F2144" s="52" t="s">
        <v>26</v>
      </c>
      <c r="G2144" s="53"/>
    </row>
    <row r="2145">
      <c r="A2145" s="49">
        <v>44717.14459438657</v>
      </c>
      <c r="B2145" s="50">
        <v>44717.2695668634</v>
      </c>
      <c r="C2145" s="51">
        <v>1.011</v>
      </c>
      <c r="D2145" s="51">
        <v>67.0</v>
      </c>
      <c r="E2145" s="52" t="s">
        <v>25</v>
      </c>
      <c r="F2145" s="52" t="s">
        <v>26</v>
      </c>
      <c r="G2145" s="53"/>
    </row>
    <row r="2146">
      <c r="A2146" s="49">
        <v>44717.15502615741</v>
      </c>
      <c r="B2146" s="50">
        <v>44717.2800008564</v>
      </c>
      <c r="C2146" s="51">
        <v>1.012</v>
      </c>
      <c r="D2146" s="51">
        <v>67.0</v>
      </c>
      <c r="E2146" s="52" t="s">
        <v>25</v>
      </c>
      <c r="F2146" s="52" t="s">
        <v>26</v>
      </c>
      <c r="G2146" s="53"/>
    </row>
    <row r="2147">
      <c r="A2147" s="49">
        <v>44717.165446099534</v>
      </c>
      <c r="B2147" s="50">
        <v>44717.2904222222</v>
      </c>
      <c r="C2147" s="51">
        <v>1.012</v>
      </c>
      <c r="D2147" s="51">
        <v>67.0</v>
      </c>
      <c r="E2147" s="52" t="s">
        <v>25</v>
      </c>
      <c r="F2147" s="52" t="s">
        <v>26</v>
      </c>
      <c r="G2147" s="53"/>
    </row>
    <row r="2148">
      <c r="A2148" s="49">
        <v>44717.17586832176</v>
      </c>
      <c r="B2148" s="50">
        <v>44717.3008431365</v>
      </c>
      <c r="C2148" s="51">
        <v>1.011</v>
      </c>
      <c r="D2148" s="51">
        <v>67.0</v>
      </c>
      <c r="E2148" s="52" t="s">
        <v>25</v>
      </c>
      <c r="F2148" s="52" t="s">
        <v>26</v>
      </c>
      <c r="G2148" s="53"/>
    </row>
    <row r="2149">
      <c r="A2149" s="49">
        <v>44717.18628414352</v>
      </c>
      <c r="B2149" s="50">
        <v>44717.3112632986</v>
      </c>
      <c r="C2149" s="51">
        <v>1.011</v>
      </c>
      <c r="D2149" s="51">
        <v>67.0</v>
      </c>
      <c r="E2149" s="52" t="s">
        <v>25</v>
      </c>
      <c r="F2149" s="52" t="s">
        <v>26</v>
      </c>
      <c r="G2149" s="53"/>
    </row>
    <row r="2150">
      <c r="A2150" s="49">
        <v>44717.19673740741</v>
      </c>
      <c r="B2150" s="50">
        <v>44717.321707581</v>
      </c>
      <c r="C2150" s="51">
        <v>1.011</v>
      </c>
      <c r="D2150" s="51">
        <v>67.0</v>
      </c>
      <c r="E2150" s="52" t="s">
        <v>25</v>
      </c>
      <c r="F2150" s="52" t="s">
        <v>26</v>
      </c>
      <c r="G2150" s="53"/>
    </row>
    <row r="2151">
      <c r="A2151" s="49">
        <v>44717.207159375</v>
      </c>
      <c r="B2151" s="50">
        <v>44717.3321292245</v>
      </c>
      <c r="C2151" s="51">
        <v>1.011</v>
      </c>
      <c r="D2151" s="51">
        <v>67.0</v>
      </c>
      <c r="E2151" s="52" t="s">
        <v>25</v>
      </c>
      <c r="F2151" s="52" t="s">
        <v>26</v>
      </c>
      <c r="G2151" s="53"/>
    </row>
    <row r="2152">
      <c r="A2152" s="49">
        <v>44717.21756631944</v>
      </c>
      <c r="B2152" s="50">
        <v>44717.3425492245</v>
      </c>
      <c r="C2152" s="51">
        <v>1.011</v>
      </c>
      <c r="D2152" s="51">
        <v>67.0</v>
      </c>
      <c r="E2152" s="52" t="s">
        <v>25</v>
      </c>
      <c r="F2152" s="52" t="s">
        <v>26</v>
      </c>
      <c r="G2152" s="53"/>
    </row>
    <row r="2153">
      <c r="A2153" s="49">
        <v>44717.22805553241</v>
      </c>
      <c r="B2153" s="50">
        <v>44717.3530298726</v>
      </c>
      <c r="C2153" s="51">
        <v>1.012</v>
      </c>
      <c r="D2153" s="51">
        <v>67.0</v>
      </c>
      <c r="E2153" s="52" t="s">
        <v>25</v>
      </c>
      <c r="F2153" s="52" t="s">
        <v>26</v>
      </c>
      <c r="G2153" s="53"/>
    </row>
    <row r="2154">
      <c r="A2154" s="49">
        <v>44717.238477719904</v>
      </c>
      <c r="B2154" s="50">
        <v>44717.3634494675</v>
      </c>
      <c r="C2154" s="51">
        <v>1.011</v>
      </c>
      <c r="D2154" s="51">
        <v>67.0</v>
      </c>
      <c r="E2154" s="52" t="s">
        <v>25</v>
      </c>
      <c r="F2154" s="52" t="s">
        <v>26</v>
      </c>
      <c r="G2154" s="53"/>
    </row>
    <row r="2155">
      <c r="A2155" s="49">
        <v>44717.24889832176</v>
      </c>
      <c r="B2155" s="50">
        <v>44717.3738729629</v>
      </c>
      <c r="C2155" s="51">
        <v>1.011</v>
      </c>
      <c r="D2155" s="51">
        <v>67.0</v>
      </c>
      <c r="E2155" s="52" t="s">
        <v>25</v>
      </c>
      <c r="F2155" s="52" t="s">
        <v>26</v>
      </c>
      <c r="G2155" s="53"/>
    </row>
    <row r="2156">
      <c r="A2156" s="49">
        <v>44717.25931388889</v>
      </c>
      <c r="B2156" s="50">
        <v>44717.3842945833</v>
      </c>
      <c r="C2156" s="51">
        <v>1.011</v>
      </c>
      <c r="D2156" s="51">
        <v>67.0</v>
      </c>
      <c r="E2156" s="52" t="s">
        <v>25</v>
      </c>
      <c r="F2156" s="52" t="s">
        <v>26</v>
      </c>
      <c r="G2156" s="53"/>
    </row>
    <row r="2157">
      <c r="A2157" s="49">
        <v>44717.269746817125</v>
      </c>
      <c r="B2157" s="50">
        <v>44717.3947164467</v>
      </c>
      <c r="C2157" s="51">
        <v>1.011</v>
      </c>
      <c r="D2157" s="51">
        <v>67.0</v>
      </c>
      <c r="E2157" s="52" t="s">
        <v>25</v>
      </c>
      <c r="F2157" s="52" t="s">
        <v>26</v>
      </c>
      <c r="G2157" s="53"/>
    </row>
    <row r="2158">
      <c r="A2158" s="49">
        <v>44717.280165000004</v>
      </c>
      <c r="B2158" s="50">
        <v>44717.4051382523</v>
      </c>
      <c r="C2158" s="51">
        <v>1.011</v>
      </c>
      <c r="D2158" s="51">
        <v>67.0</v>
      </c>
      <c r="E2158" s="52" t="s">
        <v>25</v>
      </c>
      <c r="F2158" s="52" t="s">
        <v>26</v>
      </c>
      <c r="G2158" s="53"/>
    </row>
    <row r="2159">
      <c r="A2159" s="49">
        <v>44717.2905843287</v>
      </c>
      <c r="B2159" s="50">
        <v>44717.415557824</v>
      </c>
      <c r="C2159" s="51">
        <v>1.011</v>
      </c>
      <c r="D2159" s="51">
        <v>67.0</v>
      </c>
      <c r="E2159" s="52" t="s">
        <v>25</v>
      </c>
      <c r="F2159" s="52" t="s">
        <v>26</v>
      </c>
      <c r="G2159" s="53"/>
    </row>
    <row r="2160">
      <c r="A2160" s="49">
        <v>44717.30100731482</v>
      </c>
      <c r="B2160" s="50">
        <v>44717.4259895486</v>
      </c>
      <c r="C2160" s="51">
        <v>1.011</v>
      </c>
      <c r="D2160" s="51">
        <v>67.0</v>
      </c>
      <c r="E2160" s="52" t="s">
        <v>25</v>
      </c>
      <c r="F2160" s="52" t="s">
        <v>26</v>
      </c>
      <c r="G2160" s="53"/>
    </row>
    <row r="2161">
      <c r="A2161" s="49">
        <v>44717.311440115736</v>
      </c>
      <c r="B2161" s="50">
        <v>44717.4364213425</v>
      </c>
      <c r="C2161" s="51">
        <v>1.011</v>
      </c>
      <c r="D2161" s="51">
        <v>67.0</v>
      </c>
      <c r="E2161" s="52" t="s">
        <v>25</v>
      </c>
      <c r="F2161" s="52" t="s">
        <v>26</v>
      </c>
      <c r="G2161" s="53"/>
    </row>
    <row r="2162">
      <c r="A2162" s="49">
        <v>44717.32186733796</v>
      </c>
      <c r="B2162" s="50">
        <v>44717.4468413078</v>
      </c>
      <c r="C2162" s="51">
        <v>1.011</v>
      </c>
      <c r="D2162" s="51">
        <v>67.0</v>
      </c>
      <c r="E2162" s="52" t="s">
        <v>25</v>
      </c>
      <c r="F2162" s="52" t="s">
        <v>26</v>
      </c>
      <c r="G2162" s="53"/>
    </row>
    <row r="2163">
      <c r="A2163" s="49">
        <v>44717.33228456019</v>
      </c>
      <c r="B2163" s="50">
        <v>44717.4572627083</v>
      </c>
      <c r="C2163" s="51">
        <v>1.011</v>
      </c>
      <c r="D2163" s="51">
        <v>67.0</v>
      </c>
      <c r="E2163" s="52" t="s">
        <v>25</v>
      </c>
      <c r="F2163" s="52" t="s">
        <v>26</v>
      </c>
      <c r="G2163" s="53"/>
    </row>
    <row r="2164">
      <c r="A2164" s="49">
        <v>44717.342714502316</v>
      </c>
      <c r="B2164" s="50">
        <v>44717.4676842013</v>
      </c>
      <c r="C2164" s="51">
        <v>1.011</v>
      </c>
      <c r="D2164" s="51">
        <v>67.0</v>
      </c>
      <c r="E2164" s="52" t="s">
        <v>25</v>
      </c>
      <c r="F2164" s="52" t="s">
        <v>26</v>
      </c>
      <c r="G2164" s="53"/>
    </row>
    <row r="2165">
      <c r="A2165" s="49">
        <v>44717.35313364583</v>
      </c>
      <c r="B2165" s="50">
        <v>44717.4781062037</v>
      </c>
      <c r="C2165" s="51">
        <v>1.011</v>
      </c>
      <c r="D2165" s="51">
        <v>67.0</v>
      </c>
      <c r="E2165" s="52" t="s">
        <v>25</v>
      </c>
      <c r="F2165" s="52" t="s">
        <v>26</v>
      </c>
      <c r="G2165" s="53"/>
    </row>
    <row r="2166">
      <c r="A2166" s="49">
        <v>44717.363563946754</v>
      </c>
      <c r="B2166" s="50">
        <v>44717.4885399768</v>
      </c>
      <c r="C2166" s="51">
        <v>1.011</v>
      </c>
      <c r="D2166" s="51">
        <v>67.0</v>
      </c>
      <c r="E2166" s="52" t="s">
        <v>25</v>
      </c>
      <c r="F2166" s="52" t="s">
        <v>26</v>
      </c>
      <c r="G2166" s="53"/>
    </row>
    <row r="2167">
      <c r="A2167" s="49">
        <v>44717.37403586805</v>
      </c>
      <c r="B2167" s="50">
        <v>44717.4990069791</v>
      </c>
      <c r="C2167" s="51">
        <v>1.011</v>
      </c>
      <c r="D2167" s="51">
        <v>68.0</v>
      </c>
      <c r="E2167" s="52" t="s">
        <v>25</v>
      </c>
      <c r="F2167" s="52" t="s">
        <v>26</v>
      </c>
      <c r="G2167" s="53"/>
    </row>
    <row r="2168">
      <c r="A2168" s="49">
        <v>44717.38445752315</v>
      </c>
      <c r="B2168" s="50">
        <v>44717.5094279282</v>
      </c>
      <c r="C2168" s="51">
        <v>1.011</v>
      </c>
      <c r="D2168" s="51">
        <v>68.0</v>
      </c>
      <c r="E2168" s="52" t="s">
        <v>25</v>
      </c>
      <c r="F2168" s="52" t="s">
        <v>26</v>
      </c>
      <c r="G2168" s="53"/>
    </row>
    <row r="2169">
      <c r="A2169" s="49">
        <v>44717.394876631944</v>
      </c>
      <c r="B2169" s="50">
        <v>44717.5198492939</v>
      </c>
      <c r="C2169" s="51">
        <v>1.011</v>
      </c>
      <c r="D2169" s="51">
        <v>67.0</v>
      </c>
      <c r="E2169" s="52" t="s">
        <v>25</v>
      </c>
      <c r="F2169" s="52" t="s">
        <v>26</v>
      </c>
      <c r="G2169" s="53"/>
    </row>
    <row r="2170">
      <c r="A2170" s="49">
        <v>44717.405312766205</v>
      </c>
      <c r="B2170" s="50">
        <v>44717.5302815162</v>
      </c>
      <c r="C2170" s="51">
        <v>1.011</v>
      </c>
      <c r="D2170" s="51">
        <v>68.0</v>
      </c>
      <c r="E2170" s="52" t="s">
        <v>25</v>
      </c>
      <c r="F2170" s="52" t="s">
        <v>26</v>
      </c>
      <c r="G2170" s="53"/>
    </row>
    <row r="2171">
      <c r="A2171" s="49">
        <v>44717.41572612269</v>
      </c>
      <c r="B2171" s="50">
        <v>44717.5407022106</v>
      </c>
      <c r="C2171" s="51">
        <v>1.011</v>
      </c>
      <c r="D2171" s="51">
        <v>68.0</v>
      </c>
      <c r="E2171" s="52" t="s">
        <v>25</v>
      </c>
      <c r="F2171" s="52" t="s">
        <v>26</v>
      </c>
      <c r="G2171" s="53"/>
    </row>
    <row r="2172">
      <c r="A2172" s="49">
        <v>44717.426142094904</v>
      </c>
      <c r="B2172" s="50">
        <v>44717.5511236342</v>
      </c>
      <c r="C2172" s="51">
        <v>1.011</v>
      </c>
      <c r="D2172" s="51">
        <v>68.0</v>
      </c>
      <c r="E2172" s="52" t="s">
        <v>25</v>
      </c>
      <c r="F2172" s="52" t="s">
        <v>26</v>
      </c>
      <c r="G2172" s="53"/>
    </row>
    <row r="2173">
      <c r="A2173" s="49">
        <v>44717.43656758102</v>
      </c>
      <c r="B2173" s="50">
        <v>44717.561543125</v>
      </c>
      <c r="C2173" s="51">
        <v>1.011</v>
      </c>
      <c r="D2173" s="51">
        <v>68.0</v>
      </c>
      <c r="E2173" s="52" t="s">
        <v>25</v>
      </c>
      <c r="F2173" s="52" t="s">
        <v>26</v>
      </c>
      <c r="G2173" s="53"/>
    </row>
    <row r="2174">
      <c r="A2174" s="49">
        <v>44717.44699457176</v>
      </c>
      <c r="B2174" s="50">
        <v>44717.571964074</v>
      </c>
      <c r="C2174" s="51">
        <v>1.011</v>
      </c>
      <c r="D2174" s="51">
        <v>68.0</v>
      </c>
      <c r="E2174" s="52" t="s">
        <v>25</v>
      </c>
      <c r="F2174" s="52" t="s">
        <v>26</v>
      </c>
      <c r="G2174" s="53"/>
    </row>
    <row r="2175">
      <c r="A2175" s="49">
        <v>44717.4574153125</v>
      </c>
      <c r="B2175" s="50">
        <v>44717.5823934606</v>
      </c>
      <c r="C2175" s="51">
        <v>1.011</v>
      </c>
      <c r="D2175" s="51">
        <v>68.0</v>
      </c>
      <c r="E2175" s="52" t="s">
        <v>25</v>
      </c>
      <c r="F2175" s="52" t="s">
        <v>26</v>
      </c>
      <c r="G2175" s="53"/>
    </row>
    <row r="2176">
      <c r="A2176" s="49">
        <v>44717.46784474537</v>
      </c>
      <c r="B2176" s="50">
        <v>44717.5928149884</v>
      </c>
      <c r="C2176" s="51">
        <v>1.011</v>
      </c>
      <c r="D2176" s="51">
        <v>68.0</v>
      </c>
      <c r="E2176" s="52" t="s">
        <v>25</v>
      </c>
      <c r="F2176" s="52" t="s">
        <v>26</v>
      </c>
      <c r="G2176" s="53"/>
    </row>
    <row r="2177">
      <c r="A2177" s="49">
        <v>44717.47826362269</v>
      </c>
      <c r="B2177" s="50">
        <v>44717.6032342708</v>
      </c>
      <c r="C2177" s="51">
        <v>1.011</v>
      </c>
      <c r="D2177" s="51">
        <v>68.0</v>
      </c>
      <c r="E2177" s="52" t="s">
        <v>25</v>
      </c>
      <c r="F2177" s="52" t="s">
        <v>26</v>
      </c>
      <c r="G2177" s="53"/>
    </row>
    <row r="2178">
      <c r="A2178" s="49">
        <v>44717.488723773145</v>
      </c>
      <c r="B2178" s="50">
        <v>44717.6136914351</v>
      </c>
      <c r="C2178" s="51">
        <v>1.011</v>
      </c>
      <c r="D2178" s="51">
        <v>68.0</v>
      </c>
      <c r="E2178" s="52" t="s">
        <v>25</v>
      </c>
      <c r="F2178" s="52" t="s">
        <v>26</v>
      </c>
      <c r="G2178" s="53"/>
    </row>
    <row r="2179">
      <c r="A2179" s="49">
        <v>44717.4991397338</v>
      </c>
      <c r="B2179" s="50">
        <v>44717.6241137152</v>
      </c>
      <c r="C2179" s="51">
        <v>1.011</v>
      </c>
      <c r="D2179" s="51">
        <v>68.0</v>
      </c>
      <c r="E2179" s="52" t="s">
        <v>25</v>
      </c>
      <c r="F2179" s="52" t="s">
        <v>26</v>
      </c>
      <c r="G2179" s="53"/>
    </row>
    <row r="2180">
      <c r="A2180" s="49">
        <v>44717.50955625</v>
      </c>
      <c r="B2180" s="50">
        <v>44717.6345329166</v>
      </c>
      <c r="C2180" s="51">
        <v>1.011</v>
      </c>
      <c r="D2180" s="51">
        <v>68.0</v>
      </c>
      <c r="E2180" s="52" t="s">
        <v>25</v>
      </c>
      <c r="F2180" s="52" t="s">
        <v>26</v>
      </c>
      <c r="G2180" s="53"/>
    </row>
    <row r="2181">
      <c r="A2181" s="49">
        <v>44717.51997504629</v>
      </c>
      <c r="B2181" s="50">
        <v>44717.6449533796</v>
      </c>
      <c r="C2181" s="51">
        <v>1.011</v>
      </c>
      <c r="D2181" s="51">
        <v>68.0</v>
      </c>
      <c r="E2181" s="52" t="s">
        <v>25</v>
      </c>
      <c r="F2181" s="52" t="s">
        <v>26</v>
      </c>
      <c r="G2181" s="53"/>
    </row>
    <row r="2182">
      <c r="A2182" s="49">
        <v>44717.53039626157</v>
      </c>
      <c r="B2182" s="50">
        <v>44717.6553753125</v>
      </c>
      <c r="C2182" s="51">
        <v>1.011</v>
      </c>
      <c r="D2182" s="51">
        <v>68.0</v>
      </c>
      <c r="E2182" s="52" t="s">
        <v>25</v>
      </c>
      <c r="F2182" s="52" t="s">
        <v>26</v>
      </c>
      <c r="G2182" s="53"/>
    </row>
    <row r="2183">
      <c r="A2183" s="49">
        <v>44717.5408278588</v>
      </c>
      <c r="B2183" s="50">
        <v>44717.665796574</v>
      </c>
      <c r="C2183" s="51">
        <v>1.011</v>
      </c>
      <c r="D2183" s="51">
        <v>68.0</v>
      </c>
      <c r="E2183" s="52" t="s">
        <v>25</v>
      </c>
      <c r="F2183" s="52" t="s">
        <v>26</v>
      </c>
      <c r="G2183" s="53"/>
    </row>
    <row r="2184">
      <c r="A2184" s="49">
        <v>44717.5512580787</v>
      </c>
      <c r="B2184" s="50">
        <v>44717.6762281712</v>
      </c>
      <c r="C2184" s="51">
        <v>1.011</v>
      </c>
      <c r="D2184" s="51">
        <v>68.0</v>
      </c>
      <c r="E2184" s="52" t="s">
        <v>25</v>
      </c>
      <c r="F2184" s="52" t="s">
        <v>26</v>
      </c>
      <c r="G2184" s="53"/>
    </row>
    <row r="2185">
      <c r="A2185" s="49">
        <v>44717.56167929398</v>
      </c>
      <c r="B2185" s="50">
        <v>44717.6866496759</v>
      </c>
      <c r="C2185" s="51">
        <v>1.011</v>
      </c>
      <c r="D2185" s="51">
        <v>68.0</v>
      </c>
      <c r="E2185" s="52" t="s">
        <v>25</v>
      </c>
      <c r="F2185" s="52" t="s">
        <v>26</v>
      </c>
      <c r="G2185" s="53"/>
    </row>
    <row r="2186">
      <c r="A2186" s="49">
        <v>44717.57210131944</v>
      </c>
      <c r="B2186" s="50">
        <v>44717.6970706597</v>
      </c>
      <c r="C2186" s="51">
        <v>1.011</v>
      </c>
      <c r="D2186" s="51">
        <v>68.0</v>
      </c>
      <c r="E2186" s="52" t="s">
        <v>25</v>
      </c>
      <c r="F2186" s="52" t="s">
        <v>26</v>
      </c>
      <c r="G2186" s="53"/>
    </row>
    <row r="2187">
      <c r="A2187" s="49">
        <v>44717.58253063657</v>
      </c>
      <c r="B2187" s="50">
        <v>44717.707502037</v>
      </c>
      <c r="C2187" s="51">
        <v>1.011</v>
      </c>
      <c r="D2187" s="51">
        <v>68.0</v>
      </c>
      <c r="E2187" s="52" t="s">
        <v>25</v>
      </c>
      <c r="F2187" s="52" t="s">
        <v>26</v>
      </c>
      <c r="G2187" s="53"/>
    </row>
    <row r="2188">
      <c r="A2188" s="49">
        <v>44717.592951342594</v>
      </c>
      <c r="B2188" s="50">
        <v>44717.7179253935</v>
      </c>
      <c r="C2188" s="51">
        <v>1.011</v>
      </c>
      <c r="D2188" s="51">
        <v>68.0</v>
      </c>
      <c r="E2188" s="52" t="s">
        <v>25</v>
      </c>
      <c r="F2188" s="52" t="s">
        <v>26</v>
      </c>
      <c r="G2188" s="53"/>
    </row>
    <row r="2189">
      <c r="A2189" s="49">
        <v>44717.6033843287</v>
      </c>
      <c r="B2189" s="50">
        <v>44717.7283564467</v>
      </c>
      <c r="C2189" s="51">
        <v>1.011</v>
      </c>
      <c r="D2189" s="51">
        <v>68.0</v>
      </c>
      <c r="E2189" s="52" t="s">
        <v>25</v>
      </c>
      <c r="F2189" s="52" t="s">
        <v>26</v>
      </c>
      <c r="G2189" s="53"/>
    </row>
    <row r="2190">
      <c r="A2190" s="49">
        <v>44717.613813449076</v>
      </c>
      <c r="B2190" s="50">
        <v>44717.7387890625</v>
      </c>
      <c r="C2190" s="51">
        <v>1.011</v>
      </c>
      <c r="D2190" s="51">
        <v>68.0</v>
      </c>
      <c r="E2190" s="52" t="s">
        <v>25</v>
      </c>
      <c r="F2190" s="52" t="s">
        <v>26</v>
      </c>
      <c r="G2190" s="53"/>
    </row>
    <row r="2191">
      <c r="A2191" s="49">
        <v>44717.62423630787</v>
      </c>
      <c r="B2191" s="50">
        <v>44717.7492104629</v>
      </c>
      <c r="C2191" s="51">
        <v>1.011</v>
      </c>
      <c r="D2191" s="51">
        <v>68.0</v>
      </c>
      <c r="E2191" s="52" t="s">
        <v>25</v>
      </c>
      <c r="F2191" s="52" t="s">
        <v>26</v>
      </c>
      <c r="G2191" s="53"/>
    </row>
    <row r="2192">
      <c r="A2192" s="49">
        <v>44717.63465881944</v>
      </c>
      <c r="B2192" s="50">
        <v>44717.759630706</v>
      </c>
      <c r="C2192" s="51">
        <v>1.011</v>
      </c>
      <c r="D2192" s="51">
        <v>68.0</v>
      </c>
      <c r="E2192" s="52" t="s">
        <v>25</v>
      </c>
      <c r="F2192" s="52" t="s">
        <v>26</v>
      </c>
      <c r="G2192" s="53"/>
    </row>
    <row r="2193">
      <c r="A2193" s="49">
        <v>44717.645076875</v>
      </c>
      <c r="B2193" s="50">
        <v>44717.7700511689</v>
      </c>
      <c r="C2193" s="51">
        <v>1.011</v>
      </c>
      <c r="D2193" s="51">
        <v>68.0</v>
      </c>
      <c r="E2193" s="52" t="s">
        <v>25</v>
      </c>
      <c r="F2193" s="52" t="s">
        <v>26</v>
      </c>
      <c r="G2193" s="53"/>
    </row>
    <row r="2194">
      <c r="A2194" s="49">
        <v>44717.65550071759</v>
      </c>
      <c r="B2194" s="50">
        <v>44717.780472662</v>
      </c>
      <c r="C2194" s="51">
        <v>1.011</v>
      </c>
      <c r="D2194" s="51">
        <v>68.0</v>
      </c>
      <c r="E2194" s="52" t="s">
        <v>25</v>
      </c>
      <c r="F2194" s="52" t="s">
        <v>26</v>
      </c>
      <c r="G2194" s="53"/>
    </row>
    <row r="2195">
      <c r="A2195" s="49">
        <v>44717.6659177199</v>
      </c>
      <c r="B2195" s="50">
        <v>44717.790895868</v>
      </c>
      <c r="C2195" s="51">
        <v>1.011</v>
      </c>
      <c r="D2195" s="51">
        <v>68.0</v>
      </c>
      <c r="E2195" s="52" t="s">
        <v>25</v>
      </c>
      <c r="F2195" s="52" t="s">
        <v>26</v>
      </c>
      <c r="G2195" s="53"/>
    </row>
    <row r="2196">
      <c r="A2196" s="49">
        <v>44717.67635429398</v>
      </c>
      <c r="B2196" s="50">
        <v>44717.8013172685</v>
      </c>
      <c r="C2196" s="51">
        <v>1.011</v>
      </c>
      <c r="D2196" s="51">
        <v>68.0</v>
      </c>
      <c r="E2196" s="52" t="s">
        <v>25</v>
      </c>
      <c r="F2196" s="52" t="s">
        <v>26</v>
      </c>
      <c r="G2196" s="53"/>
    </row>
    <row r="2197">
      <c r="A2197" s="49">
        <v>44717.6867625</v>
      </c>
      <c r="B2197" s="50">
        <v>44717.8117370833</v>
      </c>
      <c r="C2197" s="51">
        <v>1.011</v>
      </c>
      <c r="D2197" s="51">
        <v>68.0</v>
      </c>
      <c r="E2197" s="52" t="s">
        <v>25</v>
      </c>
      <c r="F2197" s="52" t="s">
        <v>26</v>
      </c>
      <c r="G2197" s="53"/>
    </row>
    <row r="2198">
      <c r="A2198" s="49">
        <v>44717.6971844213</v>
      </c>
      <c r="B2198" s="50">
        <v>44717.8221584606</v>
      </c>
      <c r="C2198" s="51">
        <v>1.011</v>
      </c>
      <c r="D2198" s="51">
        <v>68.0</v>
      </c>
      <c r="E2198" s="52" t="s">
        <v>25</v>
      </c>
      <c r="F2198" s="52" t="s">
        <v>26</v>
      </c>
      <c r="G2198" s="53"/>
    </row>
    <row r="2199">
      <c r="A2199" s="49">
        <v>44717.707602916664</v>
      </c>
      <c r="B2199" s="50">
        <v>44717.8325807754</v>
      </c>
      <c r="C2199" s="51">
        <v>1.011</v>
      </c>
      <c r="D2199" s="51">
        <v>68.0</v>
      </c>
      <c r="E2199" s="52" t="s">
        <v>25</v>
      </c>
      <c r="F2199" s="52" t="s">
        <v>26</v>
      </c>
      <c r="G2199" s="53"/>
    </row>
    <row r="2200">
      <c r="A2200" s="49">
        <v>44717.71802881944</v>
      </c>
      <c r="B2200" s="50">
        <v>44717.8430012268</v>
      </c>
      <c r="C2200" s="51">
        <v>1.01</v>
      </c>
      <c r="D2200" s="51">
        <v>68.0</v>
      </c>
      <c r="E2200" s="52" t="s">
        <v>25</v>
      </c>
      <c r="F2200" s="52" t="s">
        <v>26</v>
      </c>
      <c r="G2200" s="53"/>
    </row>
    <row r="2201">
      <c r="A2201" s="49">
        <v>44717.728453125004</v>
      </c>
      <c r="B2201" s="50">
        <v>44717.8534232523</v>
      </c>
      <c r="C2201" s="51">
        <v>1.011</v>
      </c>
      <c r="D2201" s="51">
        <v>68.0</v>
      </c>
      <c r="E2201" s="52" t="s">
        <v>25</v>
      </c>
      <c r="F2201" s="52" t="s">
        <v>26</v>
      </c>
      <c r="G2201" s="53"/>
    </row>
    <row r="2202">
      <c r="A2202" s="49">
        <v>44717.738862071754</v>
      </c>
      <c r="B2202" s="50">
        <v>44717.8638437152</v>
      </c>
      <c r="C2202" s="51">
        <v>1.011</v>
      </c>
      <c r="D2202" s="51">
        <v>68.0</v>
      </c>
      <c r="E2202" s="52" t="s">
        <v>25</v>
      </c>
      <c r="F2202" s="52" t="s">
        <v>26</v>
      </c>
      <c r="G2202" s="53"/>
    </row>
    <row r="2203">
      <c r="A2203" s="49">
        <v>44717.74935302083</v>
      </c>
      <c r="B2203" s="50">
        <v>44717.8743234027</v>
      </c>
      <c r="C2203" s="51">
        <v>1.011</v>
      </c>
      <c r="D2203" s="51">
        <v>68.0</v>
      </c>
      <c r="E2203" s="52" t="s">
        <v>25</v>
      </c>
      <c r="F2203" s="52" t="s">
        <v>26</v>
      </c>
      <c r="G2203" s="53"/>
    </row>
    <row r="2204">
      <c r="A2204" s="49">
        <v>44717.759774895836</v>
      </c>
      <c r="B2204" s="50">
        <v>44717.8847457754</v>
      </c>
      <c r="C2204" s="51">
        <v>1.011</v>
      </c>
      <c r="D2204" s="51">
        <v>68.0</v>
      </c>
      <c r="E2204" s="52" t="s">
        <v>25</v>
      </c>
      <c r="F2204" s="52" t="s">
        <v>26</v>
      </c>
      <c r="G2204" s="53"/>
    </row>
    <row r="2205">
      <c r="A2205" s="49">
        <v>44717.77020331018</v>
      </c>
      <c r="B2205" s="50">
        <v>44717.8951666666</v>
      </c>
      <c r="C2205" s="51">
        <v>1.011</v>
      </c>
      <c r="D2205" s="51">
        <v>68.0</v>
      </c>
      <c r="E2205" s="52" t="s">
        <v>25</v>
      </c>
      <c r="F2205" s="52" t="s">
        <v>26</v>
      </c>
      <c r="G2205" s="53"/>
    </row>
    <row r="2206">
      <c r="A2206" s="49">
        <v>44717.78061803241</v>
      </c>
      <c r="B2206" s="50">
        <v>44717.905587662</v>
      </c>
      <c r="C2206" s="51">
        <v>1.011</v>
      </c>
      <c r="D2206" s="51">
        <v>68.0</v>
      </c>
      <c r="E2206" s="52" t="s">
        <v>25</v>
      </c>
      <c r="F2206" s="52" t="s">
        <v>26</v>
      </c>
      <c r="G2206" s="53"/>
    </row>
    <row r="2207">
      <c r="A2207" s="49">
        <v>44717.79103599537</v>
      </c>
      <c r="B2207" s="50">
        <v>44717.9160073611</v>
      </c>
      <c r="C2207" s="51">
        <v>1.011</v>
      </c>
      <c r="D2207" s="51">
        <v>68.0</v>
      </c>
      <c r="E2207" s="52" t="s">
        <v>25</v>
      </c>
      <c r="F2207" s="52" t="s">
        <v>26</v>
      </c>
      <c r="G2207" s="53"/>
    </row>
    <row r="2208">
      <c r="A2208" s="49">
        <v>44717.80145559028</v>
      </c>
      <c r="B2208" s="50">
        <v>44717.9264297453</v>
      </c>
      <c r="C2208" s="51">
        <v>1.011</v>
      </c>
      <c r="D2208" s="51">
        <v>68.0</v>
      </c>
      <c r="E2208" s="52" t="s">
        <v>25</v>
      </c>
      <c r="F2208" s="52" t="s">
        <v>26</v>
      </c>
      <c r="G2208" s="53"/>
    </row>
    <row r="2209">
      <c r="A2209" s="49">
        <v>44717.811876886575</v>
      </c>
      <c r="B2209" s="50">
        <v>44717.9368512615</v>
      </c>
      <c r="C2209" s="51">
        <v>1.01</v>
      </c>
      <c r="D2209" s="51">
        <v>68.0</v>
      </c>
      <c r="E2209" s="52" t="s">
        <v>25</v>
      </c>
      <c r="F2209" s="52" t="s">
        <v>26</v>
      </c>
      <c r="G2209" s="53"/>
    </row>
    <row r="2210">
      <c r="A2210" s="49">
        <v>44717.82230788194</v>
      </c>
      <c r="B2210" s="50">
        <v>44717.9472833796</v>
      </c>
      <c r="C2210" s="51">
        <v>1.011</v>
      </c>
      <c r="D2210" s="51">
        <v>68.0</v>
      </c>
      <c r="E2210" s="52" t="s">
        <v>25</v>
      </c>
      <c r="F2210" s="52" t="s">
        <v>26</v>
      </c>
      <c r="G2210" s="53"/>
    </row>
    <row r="2211">
      <c r="A2211" s="49">
        <v>44717.83272451389</v>
      </c>
      <c r="B2211" s="50">
        <v>44717.957705868</v>
      </c>
      <c r="C2211" s="51">
        <v>1.011</v>
      </c>
      <c r="D2211" s="51">
        <v>68.0</v>
      </c>
      <c r="E2211" s="52" t="s">
        <v>25</v>
      </c>
      <c r="F2211" s="52" t="s">
        <v>26</v>
      </c>
      <c r="G2211" s="53"/>
    </row>
    <row r="2212">
      <c r="A2212" s="49">
        <v>44717.843155532406</v>
      </c>
      <c r="B2212" s="50">
        <v>44717.9681279629</v>
      </c>
      <c r="C2212" s="51">
        <v>1.011</v>
      </c>
      <c r="D2212" s="51">
        <v>68.0</v>
      </c>
      <c r="E2212" s="52" t="s">
        <v>25</v>
      </c>
      <c r="F2212" s="52" t="s">
        <v>26</v>
      </c>
      <c r="G2212" s="53"/>
    </row>
    <row r="2213">
      <c r="A2213" s="49">
        <v>44717.85357622685</v>
      </c>
      <c r="B2213" s="50">
        <v>44717.9785487268</v>
      </c>
      <c r="C2213" s="51">
        <v>1.01</v>
      </c>
      <c r="D2213" s="51">
        <v>68.0</v>
      </c>
      <c r="E2213" s="52" t="s">
        <v>25</v>
      </c>
      <c r="F2213" s="52" t="s">
        <v>26</v>
      </c>
      <c r="G2213" s="53"/>
    </row>
    <row r="2214">
      <c r="A2214" s="49">
        <v>44717.86399736111</v>
      </c>
      <c r="B2214" s="50">
        <v>44717.9889681713</v>
      </c>
      <c r="C2214" s="51">
        <v>1.01</v>
      </c>
      <c r="D2214" s="51">
        <v>68.0</v>
      </c>
      <c r="E2214" s="52" t="s">
        <v>25</v>
      </c>
      <c r="F2214" s="52" t="s">
        <v>26</v>
      </c>
      <c r="G2214" s="53"/>
    </row>
    <row r="2215">
      <c r="A2215" s="49">
        <v>44717.87440670139</v>
      </c>
      <c r="B2215" s="50">
        <v>44717.9993881712</v>
      </c>
      <c r="C2215" s="51">
        <v>1.011</v>
      </c>
      <c r="D2215" s="51">
        <v>68.0</v>
      </c>
      <c r="E2215" s="52" t="s">
        <v>25</v>
      </c>
      <c r="F2215" s="52" t="s">
        <v>26</v>
      </c>
      <c r="G2215" s="53"/>
    </row>
    <row r="2216">
      <c r="A2216" s="49">
        <v>44717.88483902778</v>
      </c>
      <c r="B2216" s="50">
        <v>44718.0098085185</v>
      </c>
      <c r="C2216" s="51">
        <v>1.011</v>
      </c>
      <c r="D2216" s="51">
        <v>68.0</v>
      </c>
      <c r="E2216" s="52" t="s">
        <v>25</v>
      </c>
      <c r="F2216" s="52" t="s">
        <v>26</v>
      </c>
      <c r="G2216" s="53"/>
    </row>
    <row r="2217">
      <c r="A2217" s="49">
        <v>44717.89525729167</v>
      </c>
      <c r="B2217" s="50">
        <v>44718.020229618</v>
      </c>
      <c r="C2217" s="51">
        <v>1.011</v>
      </c>
      <c r="D2217" s="51">
        <v>68.0</v>
      </c>
      <c r="E2217" s="52" t="s">
        <v>25</v>
      </c>
      <c r="F2217" s="52" t="s">
        <v>26</v>
      </c>
      <c r="G2217" s="53"/>
    </row>
    <row r="2218">
      <c r="A2218" s="49">
        <v>44717.90568174768</v>
      </c>
      <c r="B2218" s="50">
        <v>44718.0306528009</v>
      </c>
      <c r="C2218" s="51">
        <v>1.011</v>
      </c>
      <c r="D2218" s="51">
        <v>68.0</v>
      </c>
      <c r="E2218" s="52" t="s">
        <v>25</v>
      </c>
      <c r="F2218" s="52" t="s">
        <v>26</v>
      </c>
      <c r="G2218" s="53"/>
    </row>
    <row r="2219">
      <c r="A2219" s="49">
        <v>44717.91609895833</v>
      </c>
      <c r="B2219" s="50">
        <v>44718.0410751041</v>
      </c>
      <c r="C2219" s="51">
        <v>1.01</v>
      </c>
      <c r="D2219" s="51">
        <v>68.0</v>
      </c>
      <c r="E2219" s="52" t="s">
        <v>25</v>
      </c>
      <c r="F2219" s="52" t="s">
        <v>26</v>
      </c>
      <c r="G2219" s="53"/>
    </row>
    <row r="2220">
      <c r="A2220" s="49">
        <v>44717.9265280324</v>
      </c>
      <c r="B2220" s="50">
        <v>44718.0514973726</v>
      </c>
      <c r="C2220" s="51">
        <v>1.011</v>
      </c>
      <c r="D2220" s="51">
        <v>68.0</v>
      </c>
      <c r="E2220" s="52" t="s">
        <v>25</v>
      </c>
      <c r="F2220" s="52" t="s">
        <v>26</v>
      </c>
      <c r="G2220" s="53"/>
    </row>
    <row r="2221">
      <c r="A2221" s="49">
        <v>44717.93694841435</v>
      </c>
      <c r="B2221" s="50">
        <v>44718.061918125</v>
      </c>
      <c r="C2221" s="51">
        <v>1.011</v>
      </c>
      <c r="D2221" s="51">
        <v>68.0</v>
      </c>
      <c r="E2221" s="52" t="s">
        <v>25</v>
      </c>
      <c r="F2221" s="52" t="s">
        <v>26</v>
      </c>
      <c r="G2221" s="53"/>
    </row>
    <row r="2222">
      <c r="A2222" s="49">
        <v>44717.947369120375</v>
      </c>
      <c r="B2222" s="50">
        <v>44718.0723396296</v>
      </c>
      <c r="C2222" s="51">
        <v>1.011</v>
      </c>
      <c r="D2222" s="51">
        <v>68.0</v>
      </c>
      <c r="E2222" s="52" t="s">
        <v>25</v>
      </c>
      <c r="F2222" s="52" t="s">
        <v>26</v>
      </c>
      <c r="G2222" s="53"/>
    </row>
    <row r="2223">
      <c r="A2223" s="49">
        <v>44717.957794814814</v>
      </c>
      <c r="B2223" s="50">
        <v>44718.0827605555</v>
      </c>
      <c r="C2223" s="51">
        <v>1.01</v>
      </c>
      <c r="D2223" s="51">
        <v>68.0</v>
      </c>
      <c r="E2223" s="52" t="s">
        <v>25</v>
      </c>
      <c r="F2223" s="52" t="s">
        <v>26</v>
      </c>
      <c r="G2223" s="53"/>
    </row>
    <row r="2224">
      <c r="A2224" s="49">
        <v>44717.96820724537</v>
      </c>
      <c r="B2224" s="50">
        <v>44718.0931819676</v>
      </c>
      <c r="C2224" s="51">
        <v>1.01</v>
      </c>
      <c r="D2224" s="51">
        <v>68.0</v>
      </c>
      <c r="E2224" s="52" t="s">
        <v>25</v>
      </c>
      <c r="F2224" s="52" t="s">
        <v>26</v>
      </c>
      <c r="G2224" s="53"/>
    </row>
    <row r="2225">
      <c r="A2225" s="49">
        <v>44717.978636203705</v>
      </c>
      <c r="B2225" s="50">
        <v>44718.103600162</v>
      </c>
      <c r="C2225" s="51">
        <v>1.011</v>
      </c>
      <c r="D2225" s="51">
        <v>68.0</v>
      </c>
      <c r="E2225" s="52" t="s">
        <v>25</v>
      </c>
      <c r="F2225" s="52" t="s">
        <v>26</v>
      </c>
      <c r="G2225" s="53"/>
    </row>
    <row r="2226">
      <c r="A2226" s="49">
        <v>44717.98904810185</v>
      </c>
      <c r="B2226" s="50">
        <v>44718.1140195833</v>
      </c>
      <c r="C2226" s="51">
        <v>1.011</v>
      </c>
      <c r="D2226" s="51">
        <v>68.0</v>
      </c>
      <c r="E2226" s="52" t="s">
        <v>25</v>
      </c>
      <c r="F2226" s="52" t="s">
        <v>26</v>
      </c>
      <c r="G2226" s="53"/>
    </row>
    <row r="2227">
      <c r="A2227" s="49">
        <v>44717.99951255787</v>
      </c>
      <c r="B2227" s="50">
        <v>44718.1244876967</v>
      </c>
      <c r="C2227" s="51">
        <v>1.01</v>
      </c>
      <c r="D2227" s="51">
        <v>68.0</v>
      </c>
      <c r="E2227" s="52" t="s">
        <v>25</v>
      </c>
      <c r="F2227" s="52" t="s">
        <v>26</v>
      </c>
      <c r="G2227" s="53"/>
    </row>
    <row r="2228">
      <c r="A2228" s="49">
        <v>44718.00998292824</v>
      </c>
      <c r="B2228" s="50">
        <v>44718.1349428819</v>
      </c>
      <c r="C2228" s="51">
        <v>1.01</v>
      </c>
      <c r="D2228" s="51">
        <v>68.0</v>
      </c>
      <c r="E2228" s="52" t="s">
        <v>25</v>
      </c>
      <c r="F2228" s="52" t="s">
        <v>26</v>
      </c>
      <c r="G2228" s="53"/>
    </row>
    <row r="2229">
      <c r="A2229" s="49">
        <v>44718.02038869213</v>
      </c>
      <c r="B2229" s="50">
        <v>44718.1453629976</v>
      </c>
      <c r="C2229" s="51">
        <v>1.01</v>
      </c>
      <c r="D2229" s="51">
        <v>68.0</v>
      </c>
      <c r="E2229" s="52" t="s">
        <v>25</v>
      </c>
      <c r="F2229" s="52" t="s">
        <v>26</v>
      </c>
      <c r="G2229" s="53"/>
    </row>
    <row r="2230">
      <c r="A2230" s="49">
        <v>44718.03082400463</v>
      </c>
      <c r="B2230" s="50">
        <v>44718.1557960069</v>
      </c>
      <c r="C2230" s="51">
        <v>1.01</v>
      </c>
      <c r="D2230" s="51">
        <v>68.0</v>
      </c>
      <c r="E2230" s="52" t="s">
        <v>25</v>
      </c>
      <c r="F2230" s="52" t="s">
        <v>26</v>
      </c>
      <c r="G2230" s="53"/>
    </row>
    <row r="2231">
      <c r="A2231" s="49">
        <v>44718.04124140047</v>
      </c>
      <c r="B2231" s="50">
        <v>44718.1662171643</v>
      </c>
      <c r="C2231" s="51">
        <v>1.011</v>
      </c>
      <c r="D2231" s="51">
        <v>68.0</v>
      </c>
      <c r="E2231" s="52" t="s">
        <v>25</v>
      </c>
      <c r="F2231" s="52" t="s">
        <v>26</v>
      </c>
      <c r="G2231" s="53"/>
    </row>
    <row r="2232">
      <c r="A2232" s="49">
        <v>44718.05166469907</v>
      </c>
      <c r="B2232" s="50">
        <v>44718.1766386342</v>
      </c>
      <c r="C2232" s="51">
        <v>1.01</v>
      </c>
      <c r="D2232" s="51">
        <v>68.0</v>
      </c>
      <c r="E2232" s="52" t="s">
        <v>25</v>
      </c>
      <c r="F2232" s="52" t="s">
        <v>26</v>
      </c>
      <c r="G2232" s="53"/>
    </row>
    <row r="2233">
      <c r="A2233" s="49">
        <v>44718.06208858796</v>
      </c>
      <c r="B2233" s="50">
        <v>44718.1870605208</v>
      </c>
      <c r="C2233" s="51">
        <v>1.01</v>
      </c>
      <c r="D2233" s="51">
        <v>68.0</v>
      </c>
      <c r="E2233" s="52" t="s">
        <v>25</v>
      </c>
      <c r="F2233" s="52" t="s">
        <v>26</v>
      </c>
      <c r="G2233" s="53"/>
    </row>
    <row r="2234">
      <c r="A2234" s="49">
        <v>44718.0725052662</v>
      </c>
      <c r="B2234" s="50">
        <v>44718.1974820717</v>
      </c>
      <c r="C2234" s="51">
        <v>1.01</v>
      </c>
      <c r="D2234" s="51">
        <v>68.0</v>
      </c>
      <c r="E2234" s="52" t="s">
        <v>25</v>
      </c>
      <c r="F2234" s="52" t="s">
        <v>26</v>
      </c>
      <c r="G2234" s="53"/>
    </row>
    <row r="2235">
      <c r="A2235" s="49">
        <v>44718.08294400463</v>
      </c>
      <c r="B2235" s="50">
        <v>44718.2079159837</v>
      </c>
      <c r="C2235" s="51">
        <v>1.01</v>
      </c>
      <c r="D2235" s="51">
        <v>68.0</v>
      </c>
      <c r="E2235" s="52" t="s">
        <v>25</v>
      </c>
      <c r="F2235" s="52" t="s">
        <v>26</v>
      </c>
      <c r="G2235" s="53"/>
    </row>
    <row r="2236">
      <c r="A2236" s="49">
        <v>44718.09336321759</v>
      </c>
      <c r="B2236" s="50">
        <v>44718.2183374768</v>
      </c>
      <c r="C2236" s="51">
        <v>1.01</v>
      </c>
      <c r="D2236" s="51">
        <v>68.0</v>
      </c>
      <c r="E2236" s="52" t="s">
        <v>25</v>
      </c>
      <c r="F2236" s="52" t="s">
        <v>26</v>
      </c>
      <c r="G2236" s="53"/>
    </row>
    <row r="2237">
      <c r="A2237" s="49">
        <v>44718.103788912034</v>
      </c>
      <c r="B2237" s="50">
        <v>44718.228757662</v>
      </c>
      <c r="C2237" s="51">
        <v>1.011</v>
      </c>
      <c r="D2237" s="51">
        <v>68.0</v>
      </c>
      <c r="E2237" s="52" t="s">
        <v>25</v>
      </c>
      <c r="F2237" s="52" t="s">
        <v>26</v>
      </c>
      <c r="G2237" s="53"/>
    </row>
    <row r="2238">
      <c r="A2238" s="49">
        <v>44718.11421118055</v>
      </c>
      <c r="B2238" s="50">
        <v>44718.2391782986</v>
      </c>
      <c r="C2238" s="51">
        <v>1.01</v>
      </c>
      <c r="D2238" s="51">
        <v>68.0</v>
      </c>
      <c r="E2238" s="52" t="s">
        <v>25</v>
      </c>
      <c r="F2238" s="52" t="s">
        <v>26</v>
      </c>
      <c r="G2238" s="53"/>
    </row>
    <row r="2239">
      <c r="A2239" s="49">
        <v>44718.1246247338</v>
      </c>
      <c r="B2239" s="50">
        <v>44718.2496003819</v>
      </c>
      <c r="C2239" s="51">
        <v>1.01</v>
      </c>
      <c r="D2239" s="51">
        <v>68.0</v>
      </c>
      <c r="E2239" s="52" t="s">
        <v>25</v>
      </c>
      <c r="F2239" s="52" t="s">
        <v>26</v>
      </c>
      <c r="G2239" s="53"/>
    </row>
    <row r="2240">
      <c r="A2240" s="49">
        <v>44718.1350455787</v>
      </c>
      <c r="B2240" s="50">
        <v>44718.2600191666</v>
      </c>
      <c r="C2240" s="51">
        <v>1.01</v>
      </c>
      <c r="D2240" s="51">
        <v>68.0</v>
      </c>
      <c r="E2240" s="52" t="s">
        <v>25</v>
      </c>
      <c r="F2240" s="52" t="s">
        <v>26</v>
      </c>
      <c r="G2240" s="53"/>
    </row>
    <row r="2241">
      <c r="A2241" s="49">
        <v>44718.14546324074</v>
      </c>
      <c r="B2241" s="50">
        <v>44718.2704393518</v>
      </c>
      <c r="C2241" s="51">
        <v>1.01</v>
      </c>
      <c r="D2241" s="51">
        <v>68.0</v>
      </c>
      <c r="E2241" s="52" t="s">
        <v>25</v>
      </c>
      <c r="F2241" s="52" t="s">
        <v>26</v>
      </c>
      <c r="G2241" s="53"/>
    </row>
    <row r="2242">
      <c r="A2242" s="49">
        <v>44718.15590232638</v>
      </c>
      <c r="B2242" s="50">
        <v>44718.280872824</v>
      </c>
      <c r="C2242" s="51">
        <v>1.01</v>
      </c>
      <c r="D2242" s="51">
        <v>68.0</v>
      </c>
      <c r="E2242" s="52" t="s">
        <v>25</v>
      </c>
      <c r="F2242" s="52" t="s">
        <v>26</v>
      </c>
      <c r="G2242" s="53"/>
    </row>
    <row r="2243">
      <c r="A2243" s="49">
        <v>44718.166334594905</v>
      </c>
      <c r="B2243" s="50">
        <v>44718.291305706</v>
      </c>
      <c r="C2243" s="51">
        <v>1.01</v>
      </c>
      <c r="D2243" s="51">
        <v>68.0</v>
      </c>
      <c r="E2243" s="52" t="s">
        <v>25</v>
      </c>
      <c r="F2243" s="52" t="s">
        <v>26</v>
      </c>
      <c r="G2243" s="53"/>
    </row>
    <row r="2244">
      <c r="A2244" s="49">
        <v>44718.17675626157</v>
      </c>
      <c r="B2244" s="50">
        <v>44718.3017249537</v>
      </c>
      <c r="C2244" s="51">
        <v>1.01</v>
      </c>
      <c r="D2244" s="51">
        <v>68.0</v>
      </c>
      <c r="E2244" s="52" t="s">
        <v>25</v>
      </c>
      <c r="F2244" s="52" t="s">
        <v>26</v>
      </c>
      <c r="G2244" s="53"/>
    </row>
    <row r="2245">
      <c r="A2245" s="49">
        <v>44718.18721278935</v>
      </c>
      <c r="B2245" s="50">
        <v>44718.312181412</v>
      </c>
      <c r="C2245" s="51">
        <v>1.01</v>
      </c>
      <c r="D2245" s="51">
        <v>68.0</v>
      </c>
      <c r="E2245" s="52" t="s">
        <v>25</v>
      </c>
      <c r="F2245" s="52" t="s">
        <v>26</v>
      </c>
      <c r="G2245" s="53"/>
    </row>
    <row r="2246">
      <c r="A2246" s="49">
        <v>44718.19763011574</v>
      </c>
      <c r="B2246" s="50">
        <v>44718.3226026967</v>
      </c>
      <c r="C2246" s="51">
        <v>1.01</v>
      </c>
      <c r="D2246" s="51">
        <v>68.0</v>
      </c>
      <c r="E2246" s="52" t="s">
        <v>25</v>
      </c>
      <c r="F2246" s="52" t="s">
        <v>26</v>
      </c>
      <c r="G2246" s="53"/>
    </row>
    <row r="2247">
      <c r="A2247" s="49">
        <v>44718.20805020833</v>
      </c>
      <c r="B2247" s="50">
        <v>44718.3330236574</v>
      </c>
      <c r="C2247" s="51">
        <v>1.01</v>
      </c>
      <c r="D2247" s="51">
        <v>68.0</v>
      </c>
      <c r="E2247" s="52" t="s">
        <v>25</v>
      </c>
      <c r="F2247" s="52" t="s">
        <v>26</v>
      </c>
      <c r="G2247" s="53"/>
    </row>
    <row r="2248">
      <c r="A2248" s="49">
        <v>44718.218473981484</v>
      </c>
      <c r="B2248" s="50">
        <v>44718.3434444213</v>
      </c>
      <c r="C2248" s="51">
        <v>1.01</v>
      </c>
      <c r="D2248" s="51">
        <v>68.0</v>
      </c>
      <c r="E2248" s="52" t="s">
        <v>25</v>
      </c>
      <c r="F2248" s="52" t="s">
        <v>26</v>
      </c>
      <c r="G2248" s="53"/>
    </row>
    <row r="2249">
      <c r="A2249" s="49">
        <v>44718.2289031713</v>
      </c>
      <c r="B2249" s="50">
        <v>44718.3538776967</v>
      </c>
      <c r="C2249" s="51">
        <v>1.01</v>
      </c>
      <c r="D2249" s="51">
        <v>68.0</v>
      </c>
      <c r="E2249" s="52" t="s">
        <v>25</v>
      </c>
      <c r="F2249" s="52" t="s">
        <v>26</v>
      </c>
      <c r="G2249" s="53"/>
    </row>
    <row r="2250">
      <c r="A2250" s="49">
        <v>44718.23932925926</v>
      </c>
      <c r="B2250" s="50">
        <v>44718.3642972685</v>
      </c>
      <c r="C2250" s="51">
        <v>1.01</v>
      </c>
      <c r="D2250" s="51">
        <v>68.0</v>
      </c>
      <c r="E2250" s="52" t="s">
        <v>25</v>
      </c>
      <c r="F2250" s="52" t="s">
        <v>26</v>
      </c>
      <c r="G2250" s="53"/>
    </row>
    <row r="2251">
      <c r="A2251" s="49">
        <v>44718.249750613424</v>
      </c>
      <c r="B2251" s="50">
        <v>44718.3747198148</v>
      </c>
      <c r="C2251" s="51">
        <v>1.01</v>
      </c>
      <c r="D2251" s="51">
        <v>68.0</v>
      </c>
      <c r="E2251" s="52" t="s">
        <v>25</v>
      </c>
      <c r="F2251" s="52" t="s">
        <v>26</v>
      </c>
      <c r="G2251" s="53"/>
    </row>
    <row r="2252">
      <c r="A2252" s="49">
        <v>44718.260177812495</v>
      </c>
      <c r="B2252" s="50">
        <v>44718.3851539583</v>
      </c>
      <c r="C2252" s="51">
        <v>1.01</v>
      </c>
      <c r="D2252" s="51">
        <v>68.0</v>
      </c>
      <c r="E2252" s="52" t="s">
        <v>25</v>
      </c>
      <c r="F2252" s="52" t="s">
        <v>26</v>
      </c>
      <c r="G2252" s="53"/>
    </row>
    <row r="2253">
      <c r="A2253" s="49">
        <v>44718.270617013884</v>
      </c>
      <c r="B2253" s="50">
        <v>44718.3955976273</v>
      </c>
      <c r="C2253" s="51">
        <v>1.01</v>
      </c>
      <c r="D2253" s="51">
        <v>68.0</v>
      </c>
      <c r="E2253" s="52" t="s">
        <v>25</v>
      </c>
      <c r="F2253" s="52" t="s">
        <v>26</v>
      </c>
      <c r="G2253" s="53"/>
    </row>
    <row r="2254">
      <c r="A2254" s="49">
        <v>44718.28104608796</v>
      </c>
      <c r="B2254" s="50">
        <v>44718.4060290625</v>
      </c>
      <c r="C2254" s="51">
        <v>1.01</v>
      </c>
      <c r="D2254" s="51">
        <v>69.0</v>
      </c>
      <c r="E2254" s="52" t="s">
        <v>25</v>
      </c>
      <c r="F2254" s="52" t="s">
        <v>26</v>
      </c>
      <c r="G2254" s="53"/>
    </row>
    <row r="2255">
      <c r="A2255" s="49">
        <v>44718.291481875</v>
      </c>
      <c r="B2255" s="50">
        <v>44718.416448831</v>
      </c>
      <c r="C2255" s="51">
        <v>1.01</v>
      </c>
      <c r="D2255" s="51">
        <v>68.0</v>
      </c>
      <c r="E2255" s="52" t="s">
        <v>25</v>
      </c>
      <c r="F2255" s="52" t="s">
        <v>26</v>
      </c>
      <c r="G2255" s="53"/>
    </row>
    <row r="2256">
      <c r="A2256" s="49">
        <v>44718.30189728009</v>
      </c>
      <c r="B2256" s="50">
        <v>44718.4268684722</v>
      </c>
      <c r="C2256" s="51">
        <v>1.01</v>
      </c>
      <c r="D2256" s="51">
        <v>68.0</v>
      </c>
      <c r="E2256" s="52" t="s">
        <v>25</v>
      </c>
      <c r="F2256" s="52" t="s">
        <v>26</v>
      </c>
      <c r="G2256" s="53"/>
    </row>
    <row r="2257">
      <c r="A2257" s="49">
        <v>44718.31231877315</v>
      </c>
      <c r="B2257" s="50">
        <v>44718.4372899884</v>
      </c>
      <c r="C2257" s="51">
        <v>1.01</v>
      </c>
      <c r="D2257" s="51">
        <v>68.0</v>
      </c>
      <c r="E2257" s="52" t="s">
        <v>25</v>
      </c>
      <c r="F2257" s="52" t="s">
        <v>26</v>
      </c>
      <c r="G2257" s="53"/>
    </row>
    <row r="2258">
      <c r="A2258" s="49">
        <v>44718.32273824074</v>
      </c>
      <c r="B2258" s="50">
        <v>44718.4477103009</v>
      </c>
      <c r="C2258" s="51">
        <v>1.01</v>
      </c>
      <c r="D2258" s="51">
        <v>68.0</v>
      </c>
      <c r="E2258" s="52" t="s">
        <v>25</v>
      </c>
      <c r="F2258" s="52" t="s">
        <v>26</v>
      </c>
      <c r="G2258" s="53"/>
    </row>
    <row r="2259">
      <c r="A2259" s="49">
        <v>44718.3331569213</v>
      </c>
      <c r="B2259" s="50">
        <v>44718.4581309606</v>
      </c>
      <c r="C2259" s="51">
        <v>1.01</v>
      </c>
      <c r="D2259" s="51">
        <v>69.0</v>
      </c>
      <c r="E2259" s="52" t="s">
        <v>25</v>
      </c>
      <c r="F2259" s="52" t="s">
        <v>26</v>
      </c>
      <c r="G2259" s="53"/>
    </row>
    <row r="2260">
      <c r="A2260" s="49">
        <v>44718.34358828704</v>
      </c>
      <c r="B2260" s="50">
        <v>44718.4685646875</v>
      </c>
      <c r="C2260" s="51">
        <v>1.01</v>
      </c>
      <c r="D2260" s="51">
        <v>68.0</v>
      </c>
      <c r="E2260" s="52" t="s">
        <v>25</v>
      </c>
      <c r="F2260" s="52" t="s">
        <v>26</v>
      </c>
      <c r="G2260" s="53"/>
    </row>
    <row r="2261">
      <c r="A2261" s="49">
        <v>44718.35400925926</v>
      </c>
      <c r="B2261" s="50">
        <v>44718.4789854629</v>
      </c>
      <c r="C2261" s="51">
        <v>1.01</v>
      </c>
      <c r="D2261" s="51">
        <v>69.0</v>
      </c>
      <c r="E2261" s="52" t="s">
        <v>25</v>
      </c>
      <c r="F2261" s="52" t="s">
        <v>26</v>
      </c>
      <c r="G2261" s="53"/>
    </row>
    <row r="2262">
      <c r="A2262" s="49">
        <v>44718.36443961806</v>
      </c>
      <c r="B2262" s="50">
        <v>44718.4894048958</v>
      </c>
      <c r="C2262" s="51">
        <v>1.01</v>
      </c>
      <c r="D2262" s="51">
        <v>68.0</v>
      </c>
      <c r="E2262" s="52" t="s">
        <v>25</v>
      </c>
      <c r="F2262" s="52" t="s">
        <v>26</v>
      </c>
      <c r="G2262" s="53"/>
    </row>
    <row r="2263">
      <c r="A2263" s="49">
        <v>44718.37485591436</v>
      </c>
      <c r="B2263" s="50">
        <v>44718.4998274074</v>
      </c>
      <c r="C2263" s="51">
        <v>1.01</v>
      </c>
      <c r="D2263" s="51">
        <v>69.0</v>
      </c>
      <c r="E2263" s="52" t="s">
        <v>25</v>
      </c>
      <c r="F2263" s="52" t="s">
        <v>26</v>
      </c>
      <c r="G2263" s="53"/>
    </row>
    <row r="2264">
      <c r="A2264" s="49">
        <v>44718.38527871528</v>
      </c>
      <c r="B2264" s="50">
        <v>44718.5102478935</v>
      </c>
      <c r="C2264" s="51">
        <v>1.01</v>
      </c>
      <c r="D2264" s="51">
        <v>68.0</v>
      </c>
      <c r="E2264" s="52" t="s">
        <v>25</v>
      </c>
      <c r="F2264" s="52" t="s">
        <v>26</v>
      </c>
      <c r="G2264" s="53"/>
    </row>
    <row r="2265">
      <c r="A2265" s="49">
        <v>44718.39569278935</v>
      </c>
      <c r="B2265" s="50">
        <v>44718.5206682638</v>
      </c>
      <c r="C2265" s="51">
        <v>1.01</v>
      </c>
      <c r="D2265" s="51">
        <v>69.0</v>
      </c>
      <c r="E2265" s="52" t="s">
        <v>25</v>
      </c>
      <c r="F2265" s="52" t="s">
        <v>26</v>
      </c>
      <c r="G2265" s="53"/>
    </row>
    <row r="2266">
      <c r="A2266" s="49">
        <v>44718.40610777777</v>
      </c>
      <c r="B2266" s="50">
        <v>44718.5310896643</v>
      </c>
      <c r="C2266" s="51">
        <v>1.01</v>
      </c>
      <c r="D2266" s="51">
        <v>69.0</v>
      </c>
      <c r="E2266" s="52" t="s">
        <v>25</v>
      </c>
      <c r="F2266" s="52" t="s">
        <v>26</v>
      </c>
      <c r="G2266" s="53"/>
    </row>
    <row r="2267">
      <c r="A2267" s="49">
        <v>44718.41654465278</v>
      </c>
      <c r="B2267" s="50">
        <v>44718.5415112268</v>
      </c>
      <c r="C2267" s="51">
        <v>1.01</v>
      </c>
      <c r="D2267" s="51">
        <v>69.0</v>
      </c>
      <c r="E2267" s="52" t="s">
        <v>25</v>
      </c>
      <c r="F2267" s="52" t="s">
        <v>26</v>
      </c>
      <c r="G2267" s="53"/>
    </row>
    <row r="2268">
      <c r="A2268" s="49">
        <v>44718.42697465278</v>
      </c>
      <c r="B2268" s="50">
        <v>44718.5519434722</v>
      </c>
      <c r="C2268" s="51">
        <v>1.01</v>
      </c>
      <c r="D2268" s="51">
        <v>68.0</v>
      </c>
      <c r="E2268" s="52" t="s">
        <v>25</v>
      </c>
      <c r="F2268" s="52" t="s">
        <v>26</v>
      </c>
      <c r="G2268" s="53"/>
    </row>
    <row r="2269">
      <c r="A2269" s="49">
        <v>44718.43739849537</v>
      </c>
      <c r="B2269" s="50">
        <v>44718.5623642939</v>
      </c>
      <c r="C2269" s="51">
        <v>1.01</v>
      </c>
      <c r="D2269" s="51">
        <v>69.0</v>
      </c>
      <c r="E2269" s="52" t="s">
        <v>25</v>
      </c>
      <c r="F2269" s="52" t="s">
        <v>26</v>
      </c>
      <c r="G2269" s="53"/>
    </row>
    <row r="2270">
      <c r="A2270" s="49">
        <v>44718.447814224535</v>
      </c>
      <c r="B2270" s="50">
        <v>44718.5727861689</v>
      </c>
      <c r="C2270" s="51">
        <v>1.01</v>
      </c>
      <c r="D2270" s="51">
        <v>69.0</v>
      </c>
      <c r="E2270" s="52" t="s">
        <v>25</v>
      </c>
      <c r="F2270" s="52" t="s">
        <v>26</v>
      </c>
      <c r="G2270" s="53"/>
    </row>
    <row r="2271">
      <c r="A2271" s="49">
        <v>44718.458226250004</v>
      </c>
      <c r="B2271" s="50">
        <v>44718.5832071643</v>
      </c>
      <c r="C2271" s="51">
        <v>1.01</v>
      </c>
      <c r="D2271" s="51">
        <v>69.0</v>
      </c>
      <c r="E2271" s="52" t="s">
        <v>25</v>
      </c>
      <c r="F2271" s="52" t="s">
        <v>26</v>
      </c>
      <c r="G2271" s="53"/>
    </row>
    <row r="2272">
      <c r="A2272" s="49">
        <v>44718.468645625</v>
      </c>
      <c r="B2272" s="50">
        <v>44718.5936279513</v>
      </c>
      <c r="C2272" s="51">
        <v>1.01</v>
      </c>
      <c r="D2272" s="51">
        <v>69.0</v>
      </c>
      <c r="E2272" s="52" t="s">
        <v>25</v>
      </c>
      <c r="F2272" s="52" t="s">
        <v>26</v>
      </c>
      <c r="G2272" s="53"/>
    </row>
    <row r="2273">
      <c r="A2273" s="49">
        <v>44718.479070243055</v>
      </c>
      <c r="B2273" s="50">
        <v>44718.6040492129</v>
      </c>
      <c r="C2273" s="51">
        <v>1.01</v>
      </c>
      <c r="D2273" s="51">
        <v>69.0</v>
      </c>
      <c r="E2273" s="52" t="s">
        <v>25</v>
      </c>
      <c r="F2273" s="52" t="s">
        <v>26</v>
      </c>
      <c r="G2273" s="53"/>
    </row>
    <row r="2274">
      <c r="A2274" s="49">
        <v>44718.48950065972</v>
      </c>
      <c r="B2274" s="50">
        <v>44718.614471875</v>
      </c>
      <c r="C2274" s="51">
        <v>1.01</v>
      </c>
      <c r="D2274" s="51">
        <v>69.0</v>
      </c>
      <c r="E2274" s="52" t="s">
        <v>25</v>
      </c>
      <c r="F2274" s="52" t="s">
        <v>26</v>
      </c>
      <c r="G2274" s="53"/>
    </row>
    <row r="2275">
      <c r="A2275" s="49">
        <v>44718.49991990741</v>
      </c>
      <c r="B2275" s="50">
        <v>44718.6248927083</v>
      </c>
      <c r="C2275" s="51">
        <v>1.01</v>
      </c>
      <c r="D2275" s="51">
        <v>69.0</v>
      </c>
      <c r="E2275" s="52" t="s">
        <v>25</v>
      </c>
      <c r="F2275" s="52" t="s">
        <v>26</v>
      </c>
      <c r="G2275" s="53"/>
    </row>
    <row r="2276">
      <c r="A2276" s="49">
        <v>44718.51034173611</v>
      </c>
      <c r="B2276" s="50">
        <v>44718.6353143171</v>
      </c>
      <c r="C2276" s="51">
        <v>1.01</v>
      </c>
      <c r="D2276" s="51">
        <v>69.0</v>
      </c>
      <c r="E2276" s="52" t="s">
        <v>25</v>
      </c>
      <c r="F2276" s="52" t="s">
        <v>26</v>
      </c>
      <c r="G2276" s="53"/>
    </row>
    <row r="2277">
      <c r="A2277" s="49">
        <v>44718.520767662034</v>
      </c>
      <c r="B2277" s="50">
        <v>44718.6457477083</v>
      </c>
      <c r="C2277" s="51">
        <v>1.01</v>
      </c>
      <c r="D2277" s="51">
        <v>69.0</v>
      </c>
      <c r="E2277" s="52" t="s">
        <v>25</v>
      </c>
      <c r="F2277" s="52" t="s">
        <v>26</v>
      </c>
      <c r="G2277" s="53"/>
    </row>
    <row r="2278">
      <c r="A2278" s="49">
        <v>44718.531198125</v>
      </c>
      <c r="B2278" s="50">
        <v>44718.6561687615</v>
      </c>
      <c r="C2278" s="51">
        <v>1.01</v>
      </c>
      <c r="D2278" s="51">
        <v>69.0</v>
      </c>
      <c r="E2278" s="52" t="s">
        <v>25</v>
      </c>
      <c r="F2278" s="52" t="s">
        <v>26</v>
      </c>
      <c r="G2278" s="53"/>
    </row>
    <row r="2279">
      <c r="A2279" s="49">
        <v>44718.54162215278</v>
      </c>
      <c r="B2279" s="50">
        <v>44718.6665911458</v>
      </c>
      <c r="C2279" s="51">
        <v>1.01</v>
      </c>
      <c r="D2279" s="51">
        <v>69.0</v>
      </c>
      <c r="E2279" s="52" t="s">
        <v>25</v>
      </c>
      <c r="F2279" s="52" t="s">
        <v>26</v>
      </c>
      <c r="G2279" s="53"/>
    </row>
    <row r="2280">
      <c r="A2280" s="49">
        <v>44718.55203827546</v>
      </c>
      <c r="B2280" s="50">
        <v>44718.6770135301</v>
      </c>
      <c r="C2280" s="51">
        <v>1.01</v>
      </c>
      <c r="D2280" s="51">
        <v>69.0</v>
      </c>
      <c r="E2280" s="52" t="s">
        <v>25</v>
      </c>
      <c r="F2280" s="52" t="s">
        <v>26</v>
      </c>
      <c r="G2280" s="53"/>
    </row>
    <row r="2281">
      <c r="A2281" s="49">
        <v>44718.56245474537</v>
      </c>
      <c r="B2281" s="50">
        <v>44718.6874361805</v>
      </c>
      <c r="C2281" s="51">
        <v>1.01</v>
      </c>
      <c r="D2281" s="51">
        <v>69.0</v>
      </c>
      <c r="E2281" s="52" t="s">
        <v>25</v>
      </c>
      <c r="F2281" s="52" t="s">
        <v>26</v>
      </c>
      <c r="G2281" s="53"/>
    </row>
    <row r="2282">
      <c r="A2282" s="49">
        <v>44718.57288752314</v>
      </c>
      <c r="B2282" s="50">
        <v>44718.6978580324</v>
      </c>
      <c r="C2282" s="51">
        <v>1.01</v>
      </c>
      <c r="D2282" s="51">
        <v>69.0</v>
      </c>
      <c r="E2282" s="52" t="s">
        <v>25</v>
      </c>
      <c r="F2282" s="52" t="s">
        <v>26</v>
      </c>
      <c r="G2282" s="53"/>
    </row>
    <row r="2283">
      <c r="A2283" s="49">
        <v>44718.58330480324</v>
      </c>
      <c r="B2283" s="50">
        <v>44718.7082797685</v>
      </c>
      <c r="C2283" s="51">
        <v>1.01</v>
      </c>
      <c r="D2283" s="51">
        <v>69.0</v>
      </c>
      <c r="E2283" s="52" t="s">
        <v>25</v>
      </c>
      <c r="F2283" s="52" t="s">
        <v>26</v>
      </c>
      <c r="G2283" s="53"/>
    </row>
    <row r="2284">
      <c r="A2284" s="49">
        <v>44718.59373765046</v>
      </c>
      <c r="B2284" s="50">
        <v>44718.718712905</v>
      </c>
      <c r="C2284" s="51">
        <v>1.01</v>
      </c>
      <c r="D2284" s="51">
        <v>69.0</v>
      </c>
      <c r="E2284" s="52" t="s">
        <v>25</v>
      </c>
      <c r="F2284" s="52" t="s">
        <v>26</v>
      </c>
      <c r="G2284" s="53"/>
    </row>
    <row r="2285">
      <c r="A2285" s="49">
        <v>44718.60416113426</v>
      </c>
      <c r="B2285" s="50">
        <v>44718.7291341435</v>
      </c>
      <c r="C2285" s="51">
        <v>1.01</v>
      </c>
      <c r="D2285" s="51">
        <v>69.0</v>
      </c>
      <c r="E2285" s="52" t="s">
        <v>25</v>
      </c>
      <c r="F2285" s="52" t="s">
        <v>26</v>
      </c>
      <c r="G2285" s="53"/>
    </row>
    <row r="2286">
      <c r="A2286" s="49">
        <v>44718.61459479167</v>
      </c>
      <c r="B2286" s="50">
        <v>44718.7395790972</v>
      </c>
      <c r="C2286" s="51">
        <v>1.01</v>
      </c>
      <c r="D2286" s="51">
        <v>69.0</v>
      </c>
      <c r="E2286" s="52" t="s">
        <v>25</v>
      </c>
      <c r="F2286" s="52" t="s">
        <v>26</v>
      </c>
      <c r="G2286" s="53"/>
    </row>
    <row r="2287">
      <c r="A2287" s="49">
        <v>44718.62501267361</v>
      </c>
      <c r="B2287" s="50">
        <v>44718.7499991898</v>
      </c>
      <c r="C2287" s="51">
        <v>1.01</v>
      </c>
      <c r="D2287" s="51">
        <v>69.0</v>
      </c>
      <c r="E2287" s="52" t="s">
        <v>25</v>
      </c>
      <c r="F2287" s="52" t="s">
        <v>26</v>
      </c>
      <c r="G2287" s="53"/>
    </row>
    <row r="2288">
      <c r="A2288" s="49">
        <v>44718.635447187495</v>
      </c>
      <c r="B2288" s="50">
        <v>44718.760420162</v>
      </c>
      <c r="C2288" s="51">
        <v>1.01</v>
      </c>
      <c r="D2288" s="51">
        <v>69.0</v>
      </c>
      <c r="E2288" s="52" t="s">
        <v>25</v>
      </c>
      <c r="F2288" s="52" t="s">
        <v>26</v>
      </c>
      <c r="G2288" s="53"/>
    </row>
    <row r="2289">
      <c r="A2289" s="49">
        <v>44718.645872407404</v>
      </c>
      <c r="B2289" s="50">
        <v>44718.7708430092</v>
      </c>
      <c r="C2289" s="51">
        <v>1.01</v>
      </c>
      <c r="D2289" s="51">
        <v>69.0</v>
      </c>
      <c r="E2289" s="52" t="s">
        <v>25</v>
      </c>
      <c r="F2289" s="52" t="s">
        <v>26</v>
      </c>
      <c r="G2289" s="53"/>
    </row>
    <row r="2290">
      <c r="A2290" s="49">
        <v>44718.65628746527</v>
      </c>
      <c r="B2290" s="50">
        <v>44718.7812643518</v>
      </c>
      <c r="C2290" s="51">
        <v>1.01</v>
      </c>
      <c r="D2290" s="51">
        <v>69.0</v>
      </c>
      <c r="E2290" s="52" t="s">
        <v>25</v>
      </c>
      <c r="F2290" s="52" t="s">
        <v>26</v>
      </c>
      <c r="G2290" s="53"/>
    </row>
    <row r="2291">
      <c r="A2291" s="49">
        <v>44718.66670450231</v>
      </c>
      <c r="B2291" s="50">
        <v>44718.7916859143</v>
      </c>
      <c r="C2291" s="51">
        <v>1.01</v>
      </c>
      <c r="D2291" s="51">
        <v>69.0</v>
      </c>
      <c r="E2291" s="52" t="s">
        <v>25</v>
      </c>
      <c r="F2291" s="52" t="s">
        <v>26</v>
      </c>
      <c r="G2291" s="53"/>
    </row>
    <row r="2292">
      <c r="A2292" s="49">
        <v>44718.67713833333</v>
      </c>
      <c r="B2292" s="50">
        <v>44718.8021179861</v>
      </c>
      <c r="C2292" s="51">
        <v>1.01</v>
      </c>
      <c r="D2292" s="51">
        <v>69.0</v>
      </c>
      <c r="E2292" s="52" t="s">
        <v>25</v>
      </c>
      <c r="F2292" s="52" t="s">
        <v>26</v>
      </c>
      <c r="G2292" s="53"/>
    </row>
    <row r="2293">
      <c r="A2293" s="49">
        <v>44718.68755756944</v>
      </c>
      <c r="B2293" s="50">
        <v>44718.8125388425</v>
      </c>
      <c r="C2293" s="51">
        <v>1.01</v>
      </c>
      <c r="D2293" s="51">
        <v>69.0</v>
      </c>
      <c r="E2293" s="52" t="s">
        <v>25</v>
      </c>
      <c r="F2293" s="52" t="s">
        <v>26</v>
      </c>
      <c r="G2293" s="53"/>
    </row>
    <row r="2294">
      <c r="A2294" s="49">
        <v>44718.69798596065</v>
      </c>
      <c r="B2294" s="50">
        <v>44718.8229612731</v>
      </c>
      <c r="C2294" s="51">
        <v>1.01</v>
      </c>
      <c r="D2294" s="51">
        <v>69.0</v>
      </c>
      <c r="E2294" s="52" t="s">
        <v>25</v>
      </c>
      <c r="F2294" s="52" t="s">
        <v>26</v>
      </c>
      <c r="G2294" s="53"/>
    </row>
    <row r="2295">
      <c r="A2295" s="49">
        <v>44718.70841210648</v>
      </c>
      <c r="B2295" s="50">
        <v>44718.8333830671</v>
      </c>
      <c r="C2295" s="51">
        <v>1.01</v>
      </c>
      <c r="D2295" s="51">
        <v>69.0</v>
      </c>
      <c r="E2295" s="52" t="s">
        <v>25</v>
      </c>
      <c r="F2295" s="52" t="s">
        <v>26</v>
      </c>
      <c r="G2295" s="53"/>
    </row>
    <row r="2296">
      <c r="A2296" s="49">
        <v>44718.71882631944</v>
      </c>
      <c r="B2296" s="50">
        <v>44718.8438035763</v>
      </c>
      <c r="C2296" s="51">
        <v>1.01</v>
      </c>
      <c r="D2296" s="51">
        <v>69.0</v>
      </c>
      <c r="E2296" s="52" t="s">
        <v>25</v>
      </c>
      <c r="F2296" s="52" t="s">
        <v>26</v>
      </c>
      <c r="G2296" s="53"/>
    </row>
    <row r="2297">
      <c r="A2297" s="49">
        <v>44718.72928180556</v>
      </c>
      <c r="B2297" s="50">
        <v>44718.8542581713</v>
      </c>
      <c r="C2297" s="51">
        <v>1.01</v>
      </c>
      <c r="D2297" s="51">
        <v>69.0</v>
      </c>
      <c r="E2297" s="52" t="s">
        <v>25</v>
      </c>
      <c r="F2297" s="52" t="s">
        <v>26</v>
      </c>
      <c r="G2297" s="53"/>
    </row>
    <row r="2298">
      <c r="A2298" s="49">
        <v>44718.73972513889</v>
      </c>
      <c r="B2298" s="50">
        <v>44718.8647031134</v>
      </c>
      <c r="C2298" s="51">
        <v>1.01</v>
      </c>
      <c r="D2298" s="51">
        <v>69.0</v>
      </c>
      <c r="E2298" s="52" t="s">
        <v>25</v>
      </c>
      <c r="F2298" s="52" t="s">
        <v>26</v>
      </c>
      <c r="G2298" s="53"/>
    </row>
    <row r="2299">
      <c r="A2299" s="49">
        <v>44718.75014347222</v>
      </c>
      <c r="B2299" s="50">
        <v>44718.8751245023</v>
      </c>
      <c r="C2299" s="51">
        <v>1.01</v>
      </c>
      <c r="D2299" s="51">
        <v>69.0</v>
      </c>
      <c r="E2299" s="52" t="s">
        <v>25</v>
      </c>
      <c r="F2299" s="52" t="s">
        <v>26</v>
      </c>
      <c r="G2299" s="53"/>
    </row>
    <row r="2300">
      <c r="A2300" s="49">
        <v>44718.76057481482</v>
      </c>
      <c r="B2300" s="50">
        <v>44718.8855452199</v>
      </c>
      <c r="C2300" s="51">
        <v>1.01</v>
      </c>
      <c r="D2300" s="51">
        <v>69.0</v>
      </c>
      <c r="E2300" s="52" t="s">
        <v>25</v>
      </c>
      <c r="F2300" s="52" t="s">
        <v>26</v>
      </c>
      <c r="G2300" s="53"/>
    </row>
    <row r="2301">
      <c r="A2301" s="49">
        <v>44718.77099138889</v>
      </c>
      <c r="B2301" s="50">
        <v>44718.8959661458</v>
      </c>
      <c r="C2301" s="51">
        <v>1.01</v>
      </c>
      <c r="D2301" s="51">
        <v>69.0</v>
      </c>
      <c r="E2301" s="52" t="s">
        <v>25</v>
      </c>
      <c r="F2301" s="52" t="s">
        <v>26</v>
      </c>
      <c r="G2301" s="53"/>
    </row>
    <row r="2302">
      <c r="A2302" s="49">
        <v>44718.78141534722</v>
      </c>
      <c r="B2302" s="50">
        <v>44718.9063876504</v>
      </c>
      <c r="C2302" s="51">
        <v>1.01</v>
      </c>
      <c r="D2302" s="51">
        <v>69.0</v>
      </c>
      <c r="E2302" s="52" t="s">
        <v>25</v>
      </c>
      <c r="F2302" s="52" t="s">
        <v>26</v>
      </c>
      <c r="G2302" s="53"/>
    </row>
    <row r="2303">
      <c r="A2303" s="49">
        <v>44718.79183216435</v>
      </c>
      <c r="B2303" s="50">
        <v>44718.9168084953</v>
      </c>
      <c r="C2303" s="51">
        <v>1.01</v>
      </c>
      <c r="D2303" s="51">
        <v>69.0</v>
      </c>
      <c r="E2303" s="52" t="s">
        <v>25</v>
      </c>
      <c r="F2303" s="52" t="s">
        <v>26</v>
      </c>
      <c r="G2303" s="53"/>
    </row>
    <row r="2304">
      <c r="A2304" s="49">
        <v>44718.8022475926</v>
      </c>
      <c r="B2304" s="50">
        <v>44718.9272293518</v>
      </c>
      <c r="C2304" s="51">
        <v>1.01</v>
      </c>
      <c r="D2304" s="51">
        <v>69.0</v>
      </c>
      <c r="E2304" s="52" t="s">
        <v>25</v>
      </c>
      <c r="F2304" s="52" t="s">
        <v>26</v>
      </c>
      <c r="G2304" s="53"/>
    </row>
    <row r="2305">
      <c r="A2305" s="49">
        <v>44718.812670983796</v>
      </c>
      <c r="B2305" s="50">
        <v>44718.9376502777</v>
      </c>
      <c r="C2305" s="51">
        <v>1.01</v>
      </c>
      <c r="D2305" s="51">
        <v>69.0</v>
      </c>
      <c r="E2305" s="52" t="s">
        <v>25</v>
      </c>
      <c r="F2305" s="52" t="s">
        <v>26</v>
      </c>
      <c r="G2305" s="53"/>
    </row>
    <row r="2306">
      <c r="A2306" s="49">
        <v>44718.82310790509</v>
      </c>
      <c r="B2306" s="50">
        <v>44718.9480929051</v>
      </c>
      <c r="C2306" s="51">
        <v>1.01</v>
      </c>
      <c r="D2306" s="51">
        <v>69.0</v>
      </c>
      <c r="E2306" s="52" t="s">
        <v>25</v>
      </c>
      <c r="F2306" s="52" t="s">
        <v>26</v>
      </c>
      <c r="G2306" s="53"/>
    </row>
    <row r="2307">
      <c r="A2307" s="49">
        <v>44718.83353853009</v>
      </c>
      <c r="B2307" s="50">
        <v>44718.9585140625</v>
      </c>
      <c r="C2307" s="51">
        <v>1.01</v>
      </c>
      <c r="D2307" s="51">
        <v>69.0</v>
      </c>
      <c r="E2307" s="52" t="s">
        <v>25</v>
      </c>
      <c r="F2307" s="52" t="s">
        <v>26</v>
      </c>
      <c r="G2307" s="53"/>
    </row>
    <row r="2308">
      <c r="A2308" s="49">
        <v>44718.84396333333</v>
      </c>
      <c r="B2308" s="50">
        <v>44718.9689354861</v>
      </c>
      <c r="C2308" s="51">
        <v>1.01</v>
      </c>
      <c r="D2308" s="51">
        <v>69.0</v>
      </c>
      <c r="E2308" s="52" t="s">
        <v>25</v>
      </c>
      <c r="F2308" s="52" t="s">
        <v>26</v>
      </c>
      <c r="G2308" s="53"/>
    </row>
    <row r="2309">
      <c r="A2309" s="49">
        <v>44718.85437973379</v>
      </c>
      <c r="B2309" s="50">
        <v>44718.9793551851</v>
      </c>
      <c r="C2309" s="51">
        <v>1.01</v>
      </c>
      <c r="D2309" s="51">
        <v>69.0</v>
      </c>
      <c r="E2309" s="52" t="s">
        <v>25</v>
      </c>
      <c r="F2309" s="52" t="s">
        <v>26</v>
      </c>
      <c r="G2309" s="53"/>
    </row>
    <row r="2310">
      <c r="A2310" s="49">
        <v>44718.86479490741</v>
      </c>
      <c r="B2310" s="50">
        <v>44718.989775949</v>
      </c>
      <c r="C2310" s="51">
        <v>1.01</v>
      </c>
      <c r="D2310" s="51">
        <v>69.0</v>
      </c>
      <c r="E2310" s="52" t="s">
        <v>25</v>
      </c>
      <c r="F2310" s="52" t="s">
        <v>26</v>
      </c>
      <c r="G2310" s="53"/>
    </row>
    <row r="2311">
      <c r="A2311" s="49">
        <v>44718.87522785879</v>
      </c>
      <c r="B2311" s="50">
        <v>44719.0001960879</v>
      </c>
      <c r="C2311" s="51">
        <v>1.01</v>
      </c>
      <c r="D2311" s="51">
        <v>69.0</v>
      </c>
      <c r="E2311" s="52" t="s">
        <v>25</v>
      </c>
      <c r="F2311" s="52" t="s">
        <v>26</v>
      </c>
      <c r="G2311" s="53"/>
    </row>
    <row r="2312">
      <c r="A2312" s="49">
        <v>44718.88564388889</v>
      </c>
      <c r="B2312" s="50">
        <v>44719.0106172685</v>
      </c>
      <c r="C2312" s="51">
        <v>1.01</v>
      </c>
      <c r="D2312" s="51">
        <v>69.0</v>
      </c>
      <c r="E2312" s="52" t="s">
        <v>25</v>
      </c>
      <c r="F2312" s="52" t="s">
        <v>26</v>
      </c>
      <c r="G2312" s="53"/>
    </row>
    <row r="2313">
      <c r="A2313" s="49">
        <v>44718.89606131944</v>
      </c>
      <c r="B2313" s="50">
        <v>44719.021038831</v>
      </c>
      <c r="C2313" s="51">
        <v>1.01</v>
      </c>
      <c r="D2313" s="51">
        <v>69.0</v>
      </c>
      <c r="E2313" s="52" t="s">
        <v>25</v>
      </c>
      <c r="F2313" s="52" t="s">
        <v>26</v>
      </c>
      <c r="G2313" s="53"/>
    </row>
    <row r="2314">
      <c r="A2314" s="49">
        <v>44718.906493449074</v>
      </c>
      <c r="B2314" s="50">
        <v>44719.0314717129</v>
      </c>
      <c r="C2314" s="51">
        <v>1.01</v>
      </c>
      <c r="D2314" s="51">
        <v>69.0</v>
      </c>
      <c r="E2314" s="52" t="s">
        <v>25</v>
      </c>
      <c r="F2314" s="52" t="s">
        <v>26</v>
      </c>
      <c r="G2314" s="53"/>
    </row>
    <row r="2315">
      <c r="A2315" s="49">
        <v>44718.916917291666</v>
      </c>
      <c r="B2315" s="50">
        <v>44719.0418929745</v>
      </c>
      <c r="C2315" s="51">
        <v>1.01</v>
      </c>
      <c r="D2315" s="51">
        <v>69.0</v>
      </c>
      <c r="E2315" s="52" t="s">
        <v>25</v>
      </c>
      <c r="F2315" s="52" t="s">
        <v>26</v>
      </c>
      <c r="G2315" s="53"/>
    </row>
    <row r="2316">
      <c r="A2316" s="49">
        <v>44718.92734355324</v>
      </c>
      <c r="B2316" s="50">
        <v>44719.0523140972</v>
      </c>
      <c r="C2316" s="51">
        <v>1.01</v>
      </c>
      <c r="D2316" s="51">
        <v>69.0</v>
      </c>
      <c r="E2316" s="52" t="s">
        <v>25</v>
      </c>
      <c r="F2316" s="52" t="s">
        <v>26</v>
      </c>
      <c r="G2316" s="53"/>
    </row>
    <row r="2317">
      <c r="A2317" s="49">
        <v>44718.937763865746</v>
      </c>
      <c r="B2317" s="50">
        <v>44719.0627346296</v>
      </c>
      <c r="C2317" s="51">
        <v>1.01</v>
      </c>
      <c r="D2317" s="51">
        <v>69.0</v>
      </c>
      <c r="E2317" s="52" t="s">
        <v>25</v>
      </c>
      <c r="F2317" s="52" t="s">
        <v>26</v>
      </c>
      <c r="G2317" s="53"/>
    </row>
    <row r="2318">
      <c r="A2318" s="49">
        <v>44718.9481893287</v>
      </c>
      <c r="B2318" s="50">
        <v>44719.0731565625</v>
      </c>
      <c r="C2318" s="51">
        <v>1.01</v>
      </c>
      <c r="D2318" s="51">
        <v>69.0</v>
      </c>
      <c r="E2318" s="52" t="s">
        <v>25</v>
      </c>
      <c r="F2318" s="52" t="s">
        <v>26</v>
      </c>
      <c r="G2318" s="53"/>
    </row>
    <row r="2319">
      <c r="A2319" s="49">
        <v>44718.95860386574</v>
      </c>
      <c r="B2319" s="50">
        <v>44719.0835774421</v>
      </c>
      <c r="C2319" s="51">
        <v>1.01</v>
      </c>
      <c r="D2319" s="51">
        <v>69.0</v>
      </c>
      <c r="E2319" s="52" t="s">
        <v>25</v>
      </c>
      <c r="F2319" s="52" t="s">
        <v>26</v>
      </c>
      <c r="G2319" s="53"/>
    </row>
    <row r="2320">
      <c r="A2320" s="49">
        <v>44718.96903966436</v>
      </c>
      <c r="B2320" s="50">
        <v>44719.0940108217</v>
      </c>
      <c r="C2320" s="51">
        <v>1.01</v>
      </c>
      <c r="D2320" s="51">
        <v>69.0</v>
      </c>
      <c r="E2320" s="52" t="s">
        <v>25</v>
      </c>
      <c r="F2320" s="52" t="s">
        <v>26</v>
      </c>
      <c r="G2320" s="53"/>
    </row>
    <row r="2321">
      <c r="A2321" s="49">
        <v>44718.97945240741</v>
      </c>
      <c r="B2321" s="50">
        <v>44719.1044333101</v>
      </c>
      <c r="C2321" s="51">
        <v>1.01</v>
      </c>
      <c r="D2321" s="51">
        <v>69.0</v>
      </c>
      <c r="E2321" s="52" t="s">
        <v>25</v>
      </c>
      <c r="F2321" s="52" t="s">
        <v>26</v>
      </c>
      <c r="G2321" s="53"/>
    </row>
    <row r="2322">
      <c r="A2322" s="49">
        <v>44718.98988541667</v>
      </c>
      <c r="B2322" s="50">
        <v>44719.1148549189</v>
      </c>
      <c r="C2322" s="51">
        <v>1.01</v>
      </c>
      <c r="D2322" s="51">
        <v>69.0</v>
      </c>
      <c r="E2322" s="52" t="s">
        <v>25</v>
      </c>
      <c r="F2322" s="52" t="s">
        <v>26</v>
      </c>
      <c r="G2322" s="53"/>
    </row>
    <row r="2323">
      <c r="A2323" s="49">
        <v>44719.00030699074</v>
      </c>
      <c r="B2323" s="50">
        <v>44719.1252760648</v>
      </c>
      <c r="C2323" s="51">
        <v>1.01</v>
      </c>
      <c r="D2323" s="51">
        <v>69.0</v>
      </c>
      <c r="E2323" s="52" t="s">
        <v>25</v>
      </c>
      <c r="F2323" s="52" t="s">
        <v>26</v>
      </c>
      <c r="G2323" s="53"/>
    </row>
    <row r="2324">
      <c r="A2324" s="49">
        <v>44719.010724050924</v>
      </c>
      <c r="B2324" s="50">
        <v>44719.1356972222</v>
      </c>
      <c r="C2324" s="51">
        <v>1.009</v>
      </c>
      <c r="D2324" s="51">
        <v>69.0</v>
      </c>
      <c r="E2324" s="52" t="s">
        <v>25</v>
      </c>
      <c r="F2324" s="52" t="s">
        <v>26</v>
      </c>
      <c r="G2324" s="53"/>
    </row>
    <row r="2325">
      <c r="A2325" s="49">
        <v>44719.02114385417</v>
      </c>
      <c r="B2325" s="50">
        <v>44719.1461185069</v>
      </c>
      <c r="C2325" s="51">
        <v>1.01</v>
      </c>
      <c r="D2325" s="51">
        <v>69.0</v>
      </c>
      <c r="E2325" s="52" t="s">
        <v>25</v>
      </c>
      <c r="F2325" s="52" t="s">
        <v>26</v>
      </c>
      <c r="G2325" s="53"/>
    </row>
    <row r="2326">
      <c r="A2326" s="49">
        <v>44719.031571064814</v>
      </c>
      <c r="B2326" s="50">
        <v>44719.1565419328</v>
      </c>
      <c r="C2326" s="51">
        <v>1.01</v>
      </c>
      <c r="D2326" s="51">
        <v>69.0</v>
      </c>
      <c r="E2326" s="52" t="s">
        <v>25</v>
      </c>
      <c r="F2326" s="52" t="s">
        <v>26</v>
      </c>
      <c r="G2326" s="53"/>
    </row>
    <row r="2327">
      <c r="A2327" s="49">
        <v>44719.041993182866</v>
      </c>
      <c r="B2327" s="50">
        <v>44719.166962199</v>
      </c>
      <c r="C2327" s="51">
        <v>1.01</v>
      </c>
      <c r="D2327" s="51">
        <v>69.0</v>
      </c>
      <c r="E2327" s="52" t="s">
        <v>25</v>
      </c>
      <c r="F2327" s="52" t="s">
        <v>26</v>
      </c>
      <c r="G2327" s="53"/>
    </row>
    <row r="2328">
      <c r="A2328" s="49">
        <v>44719.05240994213</v>
      </c>
      <c r="B2328" s="50">
        <v>44719.1773848032</v>
      </c>
      <c r="C2328" s="51">
        <v>1.01</v>
      </c>
      <c r="D2328" s="51">
        <v>69.0</v>
      </c>
      <c r="E2328" s="52" t="s">
        <v>25</v>
      </c>
      <c r="F2328" s="52" t="s">
        <v>26</v>
      </c>
      <c r="G2328" s="53"/>
    </row>
    <row r="2329">
      <c r="A2329" s="49">
        <v>44719.06283149305</v>
      </c>
      <c r="B2329" s="50">
        <v>44719.1878063078</v>
      </c>
      <c r="C2329" s="51">
        <v>1.009</v>
      </c>
      <c r="D2329" s="51">
        <v>69.0</v>
      </c>
      <c r="E2329" s="52" t="s">
        <v>25</v>
      </c>
      <c r="F2329" s="52" t="s">
        <v>26</v>
      </c>
      <c r="G2329" s="53"/>
    </row>
    <row r="2330">
      <c r="A2330" s="49">
        <v>44719.0732528588</v>
      </c>
      <c r="B2330" s="50">
        <v>44719.1982283217</v>
      </c>
      <c r="C2330" s="51">
        <v>1.009</v>
      </c>
      <c r="D2330" s="51">
        <v>69.0</v>
      </c>
      <c r="E2330" s="52" t="s">
        <v>25</v>
      </c>
      <c r="F2330" s="52" t="s">
        <v>26</v>
      </c>
      <c r="G2330" s="53"/>
    </row>
    <row r="2331">
      <c r="A2331" s="49">
        <v>44719.08367824074</v>
      </c>
      <c r="B2331" s="50">
        <v>44719.2086507175</v>
      </c>
      <c r="C2331" s="51">
        <v>1.009</v>
      </c>
      <c r="D2331" s="51">
        <v>69.0</v>
      </c>
      <c r="E2331" s="52" t="s">
        <v>25</v>
      </c>
      <c r="F2331" s="52" t="s">
        <v>26</v>
      </c>
      <c r="G2331" s="53"/>
    </row>
    <row r="2332">
      <c r="A2332" s="49">
        <v>44719.09409320602</v>
      </c>
      <c r="B2332" s="50">
        <v>44719.2190739699</v>
      </c>
      <c r="C2332" s="51">
        <v>1.01</v>
      </c>
      <c r="D2332" s="51">
        <v>69.0</v>
      </c>
      <c r="E2332" s="52" t="s">
        <v>25</v>
      </c>
      <c r="F2332" s="52" t="s">
        <v>26</v>
      </c>
      <c r="G2332" s="53"/>
    </row>
    <row r="2333">
      <c r="A2333" s="49">
        <v>44719.10453648148</v>
      </c>
      <c r="B2333" s="50">
        <v>44719.2295065972</v>
      </c>
      <c r="C2333" s="51">
        <v>1.009</v>
      </c>
      <c r="D2333" s="51">
        <v>69.0</v>
      </c>
      <c r="E2333" s="52" t="s">
        <v>25</v>
      </c>
      <c r="F2333" s="52" t="s">
        <v>26</v>
      </c>
      <c r="G2333" s="53"/>
    </row>
    <row r="2334">
      <c r="A2334" s="49">
        <v>44719.11497127315</v>
      </c>
      <c r="B2334" s="50">
        <v>44719.2399270486</v>
      </c>
      <c r="C2334" s="51">
        <v>1.01</v>
      </c>
      <c r="D2334" s="51">
        <v>69.0</v>
      </c>
      <c r="E2334" s="52" t="s">
        <v>25</v>
      </c>
      <c r="F2334" s="52" t="s">
        <v>26</v>
      </c>
      <c r="G2334" s="53"/>
    </row>
    <row r="2335">
      <c r="A2335" s="49">
        <v>44719.125373738425</v>
      </c>
      <c r="B2335" s="50">
        <v>44719.2503487731</v>
      </c>
      <c r="C2335" s="51">
        <v>1.01</v>
      </c>
      <c r="D2335" s="51">
        <v>69.0</v>
      </c>
      <c r="E2335" s="52" t="s">
        <v>25</v>
      </c>
      <c r="F2335" s="52" t="s">
        <v>26</v>
      </c>
      <c r="G2335" s="53"/>
    </row>
    <row r="2336">
      <c r="A2336" s="49">
        <v>44719.135794965274</v>
      </c>
      <c r="B2336" s="50">
        <v>44719.2607696643</v>
      </c>
      <c r="C2336" s="51">
        <v>1.009</v>
      </c>
      <c r="D2336" s="51">
        <v>69.0</v>
      </c>
      <c r="E2336" s="52" t="s">
        <v>25</v>
      </c>
      <c r="F2336" s="52" t="s">
        <v>26</v>
      </c>
      <c r="G2336" s="53"/>
    </row>
    <row r="2337">
      <c r="A2337" s="49">
        <v>44719.14621431713</v>
      </c>
      <c r="B2337" s="50">
        <v>44719.2711924421</v>
      </c>
      <c r="C2337" s="51">
        <v>1.009</v>
      </c>
      <c r="D2337" s="51">
        <v>69.0</v>
      </c>
      <c r="E2337" s="52" t="s">
        <v>25</v>
      </c>
      <c r="F2337" s="52" t="s">
        <v>26</v>
      </c>
      <c r="G2337" s="53"/>
    </row>
    <row r="2338">
      <c r="A2338" s="49">
        <v>44719.15663534722</v>
      </c>
      <c r="B2338" s="50">
        <v>44719.2816133796</v>
      </c>
      <c r="C2338" s="51">
        <v>1.009</v>
      </c>
      <c r="D2338" s="51">
        <v>69.0</v>
      </c>
      <c r="E2338" s="52" t="s">
        <v>25</v>
      </c>
      <c r="F2338" s="52" t="s">
        <v>26</v>
      </c>
      <c r="G2338" s="53"/>
    </row>
    <row r="2339">
      <c r="A2339" s="49">
        <v>44719.167063773144</v>
      </c>
      <c r="B2339" s="50">
        <v>44719.2920362847</v>
      </c>
      <c r="C2339" s="51">
        <v>1.009</v>
      </c>
      <c r="D2339" s="51">
        <v>69.0</v>
      </c>
      <c r="E2339" s="52" t="s">
        <v>25</v>
      </c>
      <c r="F2339" s="52" t="s">
        <v>26</v>
      </c>
      <c r="G2339" s="53"/>
    </row>
    <row r="2340">
      <c r="A2340" s="49">
        <v>44719.17748918981</v>
      </c>
      <c r="B2340" s="50">
        <v>44719.3024574537</v>
      </c>
      <c r="C2340" s="51">
        <v>1.01</v>
      </c>
      <c r="D2340" s="51">
        <v>69.0</v>
      </c>
      <c r="E2340" s="52" t="s">
        <v>25</v>
      </c>
      <c r="F2340" s="52" t="s">
        <v>26</v>
      </c>
      <c r="G2340" s="53"/>
    </row>
    <row r="2341">
      <c r="A2341" s="49">
        <v>44719.18790443287</v>
      </c>
      <c r="B2341" s="50">
        <v>44719.3128791088</v>
      </c>
      <c r="C2341" s="51">
        <v>1.01</v>
      </c>
      <c r="D2341" s="51">
        <v>69.0</v>
      </c>
      <c r="E2341" s="52" t="s">
        <v>25</v>
      </c>
      <c r="F2341" s="52" t="s">
        <v>26</v>
      </c>
      <c r="G2341" s="53"/>
    </row>
    <row r="2342">
      <c r="A2342" s="49">
        <v>44719.19832193287</v>
      </c>
      <c r="B2342" s="50">
        <v>44719.3232999884</v>
      </c>
      <c r="C2342" s="51">
        <v>1.009</v>
      </c>
      <c r="D2342" s="51">
        <v>69.0</v>
      </c>
      <c r="E2342" s="52" t="s">
        <v>25</v>
      </c>
      <c r="F2342" s="52" t="s">
        <v>26</v>
      </c>
      <c r="G2342" s="53"/>
    </row>
    <row r="2343">
      <c r="A2343" s="49">
        <v>44719.208737673616</v>
      </c>
      <c r="B2343" s="50">
        <v>44719.3337195486</v>
      </c>
      <c r="C2343" s="51">
        <v>1.009</v>
      </c>
      <c r="D2343" s="51">
        <v>69.0</v>
      </c>
      <c r="E2343" s="52" t="s">
        <v>25</v>
      </c>
      <c r="F2343" s="52" t="s">
        <v>26</v>
      </c>
      <c r="G2343" s="53"/>
    </row>
    <row r="2344">
      <c r="A2344" s="49">
        <v>44719.219161898145</v>
      </c>
      <c r="B2344" s="50">
        <v>44719.3441415162</v>
      </c>
      <c r="C2344" s="51">
        <v>1.009</v>
      </c>
      <c r="D2344" s="51">
        <v>69.0</v>
      </c>
      <c r="E2344" s="52" t="s">
        <v>25</v>
      </c>
      <c r="F2344" s="52" t="s">
        <v>26</v>
      </c>
      <c r="G2344" s="53"/>
    </row>
    <row r="2345">
      <c r="A2345" s="49">
        <v>44719.22960976852</v>
      </c>
      <c r="B2345" s="50">
        <v>44719.3545624074</v>
      </c>
      <c r="C2345" s="51">
        <v>1.009</v>
      </c>
      <c r="D2345" s="51">
        <v>69.0</v>
      </c>
      <c r="E2345" s="52" t="s">
        <v>25</v>
      </c>
      <c r="F2345" s="52" t="s">
        <v>26</v>
      </c>
      <c r="G2345" s="53"/>
    </row>
    <row r="2346">
      <c r="A2346" s="49">
        <v>44719.24000351852</v>
      </c>
      <c r="B2346" s="50">
        <v>44719.3649815509</v>
      </c>
      <c r="C2346" s="51">
        <v>1.01</v>
      </c>
      <c r="D2346" s="51">
        <v>69.0</v>
      </c>
      <c r="E2346" s="52" t="s">
        <v>25</v>
      </c>
      <c r="F2346" s="52" t="s">
        <v>26</v>
      </c>
      <c r="G2346" s="53"/>
    </row>
    <row r="2347">
      <c r="A2347" s="49">
        <v>44719.25044337963</v>
      </c>
      <c r="B2347" s="50">
        <v>44719.3754145601</v>
      </c>
      <c r="C2347" s="51">
        <v>1.009</v>
      </c>
      <c r="D2347" s="51">
        <v>69.0</v>
      </c>
      <c r="E2347" s="52" t="s">
        <v>25</v>
      </c>
      <c r="F2347" s="52" t="s">
        <v>26</v>
      </c>
      <c r="G2347" s="53"/>
    </row>
    <row r="2348">
      <c r="A2348" s="49">
        <v>44719.26086434028</v>
      </c>
      <c r="B2348" s="50">
        <v>44719.3858349305</v>
      </c>
      <c r="C2348" s="51">
        <v>1.009</v>
      </c>
      <c r="D2348" s="51">
        <v>69.0</v>
      </c>
      <c r="E2348" s="52" t="s">
        <v>25</v>
      </c>
      <c r="F2348" s="52" t="s">
        <v>26</v>
      </c>
      <c r="G2348" s="53"/>
    </row>
    <row r="2349">
      <c r="A2349" s="49">
        <v>44719.27128020833</v>
      </c>
      <c r="B2349" s="50">
        <v>44719.3962566666</v>
      </c>
      <c r="C2349" s="51">
        <v>1.009</v>
      </c>
      <c r="D2349" s="51">
        <v>69.0</v>
      </c>
      <c r="E2349" s="52" t="s">
        <v>25</v>
      </c>
      <c r="F2349" s="52" t="s">
        <v>26</v>
      </c>
      <c r="G2349" s="53"/>
    </row>
    <row r="2350">
      <c r="A2350" s="49">
        <v>44719.281702141205</v>
      </c>
      <c r="B2350" s="50">
        <v>44719.4066772106</v>
      </c>
      <c r="C2350" s="51">
        <v>1.009</v>
      </c>
      <c r="D2350" s="51">
        <v>69.0</v>
      </c>
      <c r="E2350" s="52" t="s">
        <v>25</v>
      </c>
      <c r="F2350" s="52" t="s">
        <v>26</v>
      </c>
      <c r="G2350" s="53"/>
    </row>
    <row r="2351">
      <c r="A2351" s="49">
        <v>44719.29212373843</v>
      </c>
      <c r="B2351" s="50">
        <v>44719.4171000694</v>
      </c>
      <c r="C2351" s="51">
        <v>1.009</v>
      </c>
      <c r="D2351" s="51">
        <v>69.0</v>
      </c>
      <c r="E2351" s="52" t="s">
        <v>25</v>
      </c>
      <c r="F2351" s="52" t="s">
        <v>26</v>
      </c>
      <c r="G2351" s="53"/>
    </row>
    <row r="2352">
      <c r="A2352" s="49">
        <v>44719.302543356476</v>
      </c>
      <c r="B2352" s="50">
        <v>44719.427521875</v>
      </c>
      <c r="C2352" s="51">
        <v>1.009</v>
      </c>
      <c r="D2352" s="51">
        <v>69.0</v>
      </c>
      <c r="E2352" s="52" t="s">
        <v>25</v>
      </c>
      <c r="F2352" s="52" t="s">
        <v>26</v>
      </c>
      <c r="G2352" s="53"/>
    </row>
    <row r="2353">
      <c r="A2353" s="49">
        <v>44719.31297121527</v>
      </c>
      <c r="B2353" s="50">
        <v>44719.437944155</v>
      </c>
      <c r="C2353" s="51">
        <v>1.009</v>
      </c>
      <c r="D2353" s="51">
        <v>69.0</v>
      </c>
      <c r="E2353" s="52" t="s">
        <v>25</v>
      </c>
      <c r="F2353" s="52" t="s">
        <v>26</v>
      </c>
      <c r="G2353" s="53"/>
    </row>
    <row r="2354">
      <c r="A2354" s="49">
        <v>44719.32339061343</v>
      </c>
      <c r="B2354" s="50">
        <v>44719.4483661921</v>
      </c>
      <c r="C2354" s="51">
        <v>1.009</v>
      </c>
      <c r="D2354" s="51">
        <v>69.0</v>
      </c>
      <c r="E2354" s="52" t="s">
        <v>25</v>
      </c>
      <c r="F2354" s="52" t="s">
        <v>26</v>
      </c>
      <c r="G2354" s="53"/>
    </row>
    <row r="2355">
      <c r="A2355" s="49">
        <v>44719.33381413194</v>
      </c>
      <c r="B2355" s="50">
        <v>44719.4587883796</v>
      </c>
      <c r="C2355" s="51">
        <v>1.009</v>
      </c>
      <c r="D2355" s="51">
        <v>69.0</v>
      </c>
      <c r="E2355" s="52" t="s">
        <v>25</v>
      </c>
      <c r="F2355" s="52" t="s">
        <v>26</v>
      </c>
      <c r="G2355" s="53"/>
    </row>
    <row r="2356">
      <c r="A2356" s="49">
        <v>44719.344237094905</v>
      </c>
      <c r="B2356" s="50">
        <v>44719.4692105439</v>
      </c>
      <c r="C2356" s="51">
        <v>1.01</v>
      </c>
      <c r="D2356" s="51">
        <v>69.0</v>
      </c>
      <c r="E2356" s="52" t="s">
        <v>25</v>
      </c>
      <c r="F2356" s="52" t="s">
        <v>26</v>
      </c>
      <c r="G2356" s="53"/>
    </row>
    <row r="2357">
      <c r="A2357" s="49">
        <v>44719.35471134259</v>
      </c>
      <c r="B2357" s="50">
        <v>44719.4796661574</v>
      </c>
      <c r="C2357" s="51">
        <v>1.01</v>
      </c>
      <c r="D2357" s="51">
        <v>69.0</v>
      </c>
      <c r="E2357" s="52" t="s">
        <v>25</v>
      </c>
      <c r="F2357" s="52" t="s">
        <v>26</v>
      </c>
      <c r="G2357" s="53"/>
    </row>
    <row r="2358">
      <c r="A2358" s="49">
        <v>44719.36510953704</v>
      </c>
      <c r="B2358" s="50">
        <v>44719.4900872453</v>
      </c>
      <c r="C2358" s="51">
        <v>1.009</v>
      </c>
      <c r="D2358" s="51">
        <v>69.0</v>
      </c>
      <c r="E2358" s="52" t="s">
        <v>25</v>
      </c>
      <c r="F2358" s="52" t="s">
        <v>26</v>
      </c>
      <c r="G2358" s="53"/>
    </row>
    <row r="2359">
      <c r="A2359" s="49">
        <v>44719.375590682874</v>
      </c>
      <c r="B2359" s="50">
        <v>44719.5005071875</v>
      </c>
      <c r="C2359" s="51">
        <v>1.009</v>
      </c>
      <c r="D2359" s="51">
        <v>69.0</v>
      </c>
      <c r="E2359" s="52" t="s">
        <v>25</v>
      </c>
      <c r="F2359" s="52" t="s">
        <v>26</v>
      </c>
      <c r="G2359" s="53"/>
    </row>
    <row r="2360">
      <c r="A2360" s="49">
        <v>44719.385949918986</v>
      </c>
      <c r="B2360" s="50">
        <v>44719.5109281828</v>
      </c>
      <c r="C2360" s="51">
        <v>1.009</v>
      </c>
      <c r="D2360" s="51">
        <v>69.0</v>
      </c>
      <c r="E2360" s="52" t="s">
        <v>25</v>
      </c>
      <c r="F2360" s="52" t="s">
        <v>26</v>
      </c>
      <c r="G2360" s="53"/>
    </row>
    <row r="2361">
      <c r="A2361" s="49">
        <v>44719.3963659838</v>
      </c>
      <c r="B2361" s="50">
        <v>44719.5213500231</v>
      </c>
      <c r="C2361" s="51">
        <v>1.009</v>
      </c>
      <c r="D2361" s="51">
        <v>69.0</v>
      </c>
      <c r="E2361" s="52" t="s">
        <v>25</v>
      </c>
      <c r="F2361" s="52" t="s">
        <v>26</v>
      </c>
      <c r="G2361" s="53"/>
    </row>
    <row r="2362">
      <c r="A2362" s="49">
        <v>44719.40681188657</v>
      </c>
      <c r="B2362" s="50">
        <v>44719.5317820138</v>
      </c>
      <c r="C2362" s="51">
        <v>1.009</v>
      </c>
      <c r="D2362" s="51">
        <v>69.0</v>
      </c>
      <c r="E2362" s="52" t="s">
        <v>25</v>
      </c>
      <c r="F2362" s="52" t="s">
        <v>26</v>
      </c>
      <c r="G2362" s="53"/>
    </row>
    <row r="2363">
      <c r="A2363" s="49">
        <v>44719.41723150463</v>
      </c>
      <c r="B2363" s="50">
        <v>44719.5422034838</v>
      </c>
      <c r="C2363" s="51">
        <v>1.009</v>
      </c>
      <c r="D2363" s="51">
        <v>69.0</v>
      </c>
      <c r="E2363" s="52" t="s">
        <v>25</v>
      </c>
      <c r="F2363" s="52" t="s">
        <v>26</v>
      </c>
      <c r="G2363" s="53"/>
    </row>
    <row r="2364">
      <c r="A2364" s="49">
        <v>44719.42764902778</v>
      </c>
      <c r="B2364" s="50">
        <v>44719.5526246643</v>
      </c>
      <c r="C2364" s="51">
        <v>1.009</v>
      </c>
      <c r="D2364" s="51">
        <v>69.0</v>
      </c>
      <c r="E2364" s="52" t="s">
        <v>25</v>
      </c>
      <c r="F2364" s="52" t="s">
        <v>26</v>
      </c>
      <c r="G2364" s="53"/>
    </row>
    <row r="2365">
      <c r="A2365" s="49">
        <v>44719.43806954861</v>
      </c>
      <c r="B2365" s="50">
        <v>44719.5630469907</v>
      </c>
      <c r="C2365" s="51">
        <v>1.009</v>
      </c>
      <c r="D2365" s="51">
        <v>69.0</v>
      </c>
      <c r="E2365" s="52" t="s">
        <v>25</v>
      </c>
      <c r="F2365" s="52" t="s">
        <v>26</v>
      </c>
      <c r="G2365" s="53"/>
    </row>
    <row r="2366">
      <c r="A2366" s="49">
        <v>44719.448502280095</v>
      </c>
      <c r="B2366" s="50">
        <v>44719.5734692592</v>
      </c>
      <c r="C2366" s="51">
        <v>1.009</v>
      </c>
      <c r="D2366" s="51">
        <v>69.0</v>
      </c>
      <c r="E2366" s="52" t="s">
        <v>25</v>
      </c>
      <c r="F2366" s="52" t="s">
        <v>26</v>
      </c>
      <c r="G2366" s="53"/>
    </row>
    <row r="2367">
      <c r="A2367" s="49">
        <v>44719.458917615746</v>
      </c>
      <c r="B2367" s="50">
        <v>44719.5838910185</v>
      </c>
      <c r="C2367" s="51">
        <v>1.009</v>
      </c>
      <c r="D2367" s="51">
        <v>69.0</v>
      </c>
      <c r="E2367" s="52" t="s">
        <v>25</v>
      </c>
      <c r="F2367" s="52" t="s">
        <v>26</v>
      </c>
      <c r="G2367" s="53"/>
    </row>
    <row r="2368">
      <c r="A2368" s="49">
        <v>44719.469353831024</v>
      </c>
      <c r="B2368" s="50">
        <v>44719.5943120486</v>
      </c>
      <c r="C2368" s="51">
        <v>1.009</v>
      </c>
      <c r="D2368" s="51">
        <v>69.0</v>
      </c>
      <c r="E2368" s="52" t="s">
        <v>25</v>
      </c>
      <c r="F2368" s="52" t="s">
        <v>26</v>
      </c>
      <c r="G2368" s="53"/>
    </row>
    <row r="2369">
      <c r="A2369" s="49">
        <v>44719.479768634264</v>
      </c>
      <c r="B2369" s="50">
        <v>44719.6047328125</v>
      </c>
      <c r="C2369" s="51">
        <v>1.009</v>
      </c>
      <c r="D2369" s="51">
        <v>69.0</v>
      </c>
      <c r="E2369" s="52" t="s">
        <v>25</v>
      </c>
      <c r="F2369" s="52" t="s">
        <v>26</v>
      </c>
      <c r="G2369" s="53"/>
    </row>
    <row r="2370">
      <c r="A2370" s="49">
        <v>44719.49017833333</v>
      </c>
      <c r="B2370" s="50">
        <v>44719.6151566088</v>
      </c>
      <c r="C2370" s="51">
        <v>1.009</v>
      </c>
      <c r="D2370" s="51">
        <v>69.0</v>
      </c>
      <c r="E2370" s="52" t="s">
        <v>25</v>
      </c>
      <c r="F2370" s="52" t="s">
        <v>26</v>
      </c>
      <c r="G2370" s="53"/>
    </row>
    <row r="2371">
      <c r="A2371" s="49">
        <v>44719.50059435185</v>
      </c>
      <c r="B2371" s="50">
        <v>44719.6255775231</v>
      </c>
      <c r="C2371" s="51">
        <v>1.009</v>
      </c>
      <c r="D2371" s="51">
        <v>69.0</v>
      </c>
      <c r="E2371" s="52" t="s">
        <v>25</v>
      </c>
      <c r="F2371" s="52" t="s">
        <v>26</v>
      </c>
      <c r="G2371" s="53"/>
    </row>
    <row r="2372">
      <c r="A2372" s="49">
        <v>44719.51101396991</v>
      </c>
      <c r="B2372" s="50">
        <v>44719.635998368</v>
      </c>
      <c r="C2372" s="51">
        <v>1.009</v>
      </c>
      <c r="D2372" s="51">
        <v>69.0</v>
      </c>
      <c r="E2372" s="52" t="s">
        <v>25</v>
      </c>
      <c r="F2372" s="52" t="s">
        <v>26</v>
      </c>
      <c r="G2372" s="53"/>
    </row>
    <row r="2373">
      <c r="A2373" s="49">
        <v>44719.521458703704</v>
      </c>
      <c r="B2373" s="50">
        <v>44719.6464315046</v>
      </c>
      <c r="C2373" s="51">
        <v>1.009</v>
      </c>
      <c r="D2373" s="51">
        <v>69.0</v>
      </c>
      <c r="E2373" s="52" t="s">
        <v>25</v>
      </c>
      <c r="F2373" s="52" t="s">
        <v>26</v>
      </c>
      <c r="G2373" s="53"/>
    </row>
    <row r="2374">
      <c r="A2374" s="49">
        <v>44719.53187832176</v>
      </c>
      <c r="B2374" s="50">
        <v>44719.656851956</v>
      </c>
      <c r="C2374" s="51">
        <v>1.009</v>
      </c>
      <c r="D2374" s="51">
        <v>69.0</v>
      </c>
      <c r="E2374" s="52" t="s">
        <v>25</v>
      </c>
      <c r="F2374" s="52" t="s">
        <v>26</v>
      </c>
      <c r="G2374" s="53"/>
    </row>
    <row r="2375">
      <c r="A2375" s="49">
        <v>44719.54229991898</v>
      </c>
      <c r="B2375" s="50">
        <v>44719.6672736805</v>
      </c>
      <c r="C2375" s="51">
        <v>1.009</v>
      </c>
      <c r="D2375" s="51">
        <v>69.0</v>
      </c>
      <c r="E2375" s="52" t="s">
        <v>25</v>
      </c>
      <c r="F2375" s="52" t="s">
        <v>26</v>
      </c>
      <c r="G2375" s="53"/>
    </row>
    <row r="2376">
      <c r="A2376" s="49">
        <v>44719.55273473379</v>
      </c>
      <c r="B2376" s="50">
        <v>44719.6777048611</v>
      </c>
      <c r="C2376" s="51">
        <v>1.009</v>
      </c>
      <c r="D2376" s="51">
        <v>69.0</v>
      </c>
      <c r="E2376" s="52" t="s">
        <v>25</v>
      </c>
      <c r="F2376" s="52" t="s">
        <v>26</v>
      </c>
      <c r="G2376" s="53"/>
    </row>
    <row r="2377">
      <c r="A2377" s="49">
        <v>44719.56317868056</v>
      </c>
      <c r="B2377" s="50">
        <v>44719.6881499652</v>
      </c>
      <c r="C2377" s="51">
        <v>1.009</v>
      </c>
      <c r="D2377" s="51">
        <v>69.0</v>
      </c>
      <c r="E2377" s="52" t="s">
        <v>25</v>
      </c>
      <c r="F2377" s="52" t="s">
        <v>26</v>
      </c>
      <c r="G2377" s="53"/>
    </row>
    <row r="2378">
      <c r="A2378" s="49">
        <v>44719.573594733796</v>
      </c>
      <c r="B2378" s="50">
        <v>44719.6985705324</v>
      </c>
      <c r="C2378" s="51">
        <v>1.009</v>
      </c>
      <c r="D2378" s="51">
        <v>69.0</v>
      </c>
      <c r="E2378" s="52" t="s">
        <v>25</v>
      </c>
      <c r="F2378" s="52" t="s">
        <v>26</v>
      </c>
      <c r="G2378" s="53"/>
    </row>
    <row r="2379">
      <c r="A2379" s="49">
        <v>44719.58401078703</v>
      </c>
      <c r="B2379" s="50">
        <v>44719.708992743</v>
      </c>
      <c r="C2379" s="51">
        <v>1.009</v>
      </c>
      <c r="D2379" s="51">
        <v>69.0</v>
      </c>
      <c r="E2379" s="52" t="s">
        <v>25</v>
      </c>
      <c r="F2379" s="52" t="s">
        <v>26</v>
      </c>
      <c r="G2379" s="53"/>
    </row>
    <row r="2380">
      <c r="A2380" s="49">
        <v>44719.594440636574</v>
      </c>
      <c r="B2380" s="50">
        <v>44719.7194139236</v>
      </c>
      <c r="C2380" s="51">
        <v>1.009</v>
      </c>
      <c r="D2380" s="51">
        <v>69.0</v>
      </c>
      <c r="E2380" s="52" t="s">
        <v>25</v>
      </c>
      <c r="F2380" s="52" t="s">
        <v>26</v>
      </c>
      <c r="G2380" s="53"/>
    </row>
    <row r="2381">
      <c r="A2381" s="49">
        <v>44719.604865891204</v>
      </c>
      <c r="B2381" s="50">
        <v>44719.7298353125</v>
      </c>
      <c r="C2381" s="51">
        <v>1.009</v>
      </c>
      <c r="D2381" s="51">
        <v>69.0</v>
      </c>
      <c r="E2381" s="52" t="s">
        <v>25</v>
      </c>
      <c r="F2381" s="52" t="s">
        <v>26</v>
      </c>
      <c r="G2381" s="53"/>
    </row>
    <row r="2382">
      <c r="A2382" s="49">
        <v>44719.61529726852</v>
      </c>
      <c r="B2382" s="50">
        <v>44719.7402668287</v>
      </c>
      <c r="C2382" s="51">
        <v>1.009</v>
      </c>
      <c r="D2382" s="51">
        <v>69.0</v>
      </c>
      <c r="E2382" s="52" t="s">
        <v>25</v>
      </c>
      <c r="F2382" s="52" t="s">
        <v>26</v>
      </c>
      <c r="G2382" s="53"/>
    </row>
    <row r="2383">
      <c r="A2383" s="49">
        <v>44719.62571042824</v>
      </c>
      <c r="B2383" s="50">
        <v>44719.7506874537</v>
      </c>
      <c r="C2383" s="51">
        <v>1.009</v>
      </c>
      <c r="D2383" s="51">
        <v>69.0</v>
      </c>
      <c r="E2383" s="52" t="s">
        <v>25</v>
      </c>
      <c r="F2383" s="52" t="s">
        <v>26</v>
      </c>
      <c r="G2383" s="53"/>
    </row>
    <row r="2384">
      <c r="A2384" s="49">
        <v>44719.636129375</v>
      </c>
      <c r="B2384" s="50">
        <v>44719.7611105902</v>
      </c>
      <c r="C2384" s="51">
        <v>1.009</v>
      </c>
      <c r="D2384" s="51">
        <v>69.0</v>
      </c>
      <c r="E2384" s="52" t="s">
        <v>25</v>
      </c>
      <c r="F2384" s="52" t="s">
        <v>26</v>
      </c>
      <c r="G2384" s="53"/>
    </row>
    <row r="2385">
      <c r="A2385" s="49">
        <v>44719.64655961806</v>
      </c>
      <c r="B2385" s="50">
        <v>44719.7715316666</v>
      </c>
      <c r="C2385" s="51">
        <v>1.009</v>
      </c>
      <c r="D2385" s="51">
        <v>69.0</v>
      </c>
      <c r="E2385" s="52" t="s">
        <v>25</v>
      </c>
      <c r="F2385" s="52" t="s">
        <v>26</v>
      </c>
      <c r="G2385" s="53"/>
    </row>
    <row r="2386">
      <c r="A2386" s="49">
        <v>44719.65697038194</v>
      </c>
      <c r="B2386" s="50">
        <v>44719.7819527777</v>
      </c>
      <c r="C2386" s="51">
        <v>1.009</v>
      </c>
      <c r="D2386" s="51">
        <v>69.0</v>
      </c>
      <c r="E2386" s="52" t="s">
        <v>25</v>
      </c>
      <c r="F2386" s="52" t="s">
        <v>26</v>
      </c>
      <c r="G2386" s="53"/>
    </row>
    <row r="2387">
      <c r="A2387" s="49">
        <v>44719.667392256946</v>
      </c>
      <c r="B2387" s="50">
        <v>44719.7923735995</v>
      </c>
      <c r="C2387" s="51">
        <v>1.009</v>
      </c>
      <c r="D2387" s="51">
        <v>69.0</v>
      </c>
      <c r="E2387" s="52" t="s">
        <v>25</v>
      </c>
      <c r="F2387" s="52" t="s">
        <v>26</v>
      </c>
      <c r="G2387" s="53"/>
    </row>
    <row r="2388">
      <c r="A2388" s="49">
        <v>44719.67782607639</v>
      </c>
      <c r="B2388" s="50">
        <v>44719.8027942361</v>
      </c>
      <c r="C2388" s="51">
        <v>1.009</v>
      </c>
      <c r="D2388" s="51">
        <v>69.0</v>
      </c>
      <c r="E2388" s="52" t="s">
        <v>25</v>
      </c>
      <c r="F2388" s="52" t="s">
        <v>26</v>
      </c>
      <c r="G2388" s="53"/>
    </row>
    <row r="2389">
      <c r="A2389" s="49">
        <v>44719.688243888886</v>
      </c>
      <c r="B2389" s="50">
        <v>44719.8132158564</v>
      </c>
      <c r="C2389" s="51">
        <v>1.009</v>
      </c>
      <c r="D2389" s="51">
        <v>69.0</v>
      </c>
      <c r="E2389" s="52" t="s">
        <v>25</v>
      </c>
      <c r="F2389" s="52" t="s">
        <v>26</v>
      </c>
      <c r="G2389" s="53"/>
    </row>
    <row r="2390">
      <c r="A2390" s="49">
        <v>44719.69867244213</v>
      </c>
      <c r="B2390" s="50">
        <v>44719.823649618</v>
      </c>
      <c r="C2390" s="51">
        <v>1.009</v>
      </c>
      <c r="D2390" s="51">
        <v>69.0</v>
      </c>
      <c r="E2390" s="52" t="s">
        <v>25</v>
      </c>
      <c r="F2390" s="52" t="s">
        <v>26</v>
      </c>
      <c r="G2390" s="53"/>
    </row>
    <row r="2391">
      <c r="A2391" s="49">
        <v>44719.70910140046</v>
      </c>
      <c r="B2391" s="50">
        <v>44719.8340699768</v>
      </c>
      <c r="C2391" s="51">
        <v>1.009</v>
      </c>
      <c r="D2391" s="51">
        <v>69.0</v>
      </c>
      <c r="E2391" s="52" t="s">
        <v>25</v>
      </c>
      <c r="F2391" s="52" t="s">
        <v>26</v>
      </c>
      <c r="G2391" s="53"/>
    </row>
    <row r="2392">
      <c r="A2392" s="49">
        <v>44719.719520439816</v>
      </c>
      <c r="B2392" s="50">
        <v>44719.8444885648</v>
      </c>
      <c r="C2392" s="51">
        <v>1.009</v>
      </c>
      <c r="D2392" s="51">
        <v>69.0</v>
      </c>
      <c r="E2392" s="52" t="s">
        <v>25</v>
      </c>
      <c r="F2392" s="52" t="s">
        <v>26</v>
      </c>
      <c r="G2392" s="53"/>
    </row>
    <row r="2393">
      <c r="A2393" s="49">
        <v>44719.72993534722</v>
      </c>
      <c r="B2393" s="50">
        <v>44719.8549076157</v>
      </c>
      <c r="C2393" s="51">
        <v>1.009</v>
      </c>
      <c r="D2393" s="51">
        <v>69.0</v>
      </c>
      <c r="E2393" s="52" t="s">
        <v>25</v>
      </c>
      <c r="F2393" s="52" t="s">
        <v>26</v>
      </c>
      <c r="G2393" s="53"/>
    </row>
    <row r="2394">
      <c r="A2394" s="49">
        <v>44719.74035608796</v>
      </c>
      <c r="B2394" s="50">
        <v>44719.8653285416</v>
      </c>
      <c r="C2394" s="51">
        <v>1.009</v>
      </c>
      <c r="D2394" s="51">
        <v>69.0</v>
      </c>
      <c r="E2394" s="52" t="s">
        <v>25</v>
      </c>
      <c r="F2394" s="52" t="s">
        <v>26</v>
      </c>
      <c r="G2394" s="53"/>
    </row>
    <row r="2395">
      <c r="A2395" s="49">
        <v>44719.75077349537</v>
      </c>
      <c r="B2395" s="50">
        <v>44719.8757491551</v>
      </c>
      <c r="C2395" s="51">
        <v>1.009</v>
      </c>
      <c r="D2395" s="51">
        <v>69.0</v>
      </c>
      <c r="E2395" s="52" t="s">
        <v>25</v>
      </c>
      <c r="F2395" s="52" t="s">
        <v>26</v>
      </c>
      <c r="G2395" s="53"/>
    </row>
    <row r="2396">
      <c r="A2396" s="49">
        <v>44719.761189780096</v>
      </c>
      <c r="B2396" s="50">
        <v>44719.8861709375</v>
      </c>
      <c r="C2396" s="51">
        <v>1.009</v>
      </c>
      <c r="D2396" s="51">
        <v>69.0</v>
      </c>
      <c r="E2396" s="52" t="s">
        <v>25</v>
      </c>
      <c r="F2396" s="52" t="s">
        <v>26</v>
      </c>
      <c r="G2396" s="53"/>
    </row>
    <row r="2397">
      <c r="A2397" s="49">
        <v>44719.77167760416</v>
      </c>
      <c r="B2397" s="50">
        <v>44719.8966493634</v>
      </c>
      <c r="C2397" s="51">
        <v>1.009</v>
      </c>
      <c r="D2397" s="51">
        <v>69.0</v>
      </c>
      <c r="E2397" s="52" t="s">
        <v>25</v>
      </c>
      <c r="F2397" s="52" t="s">
        <v>26</v>
      </c>
      <c r="G2397" s="53"/>
    </row>
    <row r="2398">
      <c r="A2398" s="49">
        <v>44719.782095636576</v>
      </c>
      <c r="B2398" s="50">
        <v>44719.9070702662</v>
      </c>
      <c r="C2398" s="51">
        <v>1.009</v>
      </c>
      <c r="D2398" s="51">
        <v>69.0</v>
      </c>
      <c r="E2398" s="52" t="s">
        <v>25</v>
      </c>
      <c r="F2398" s="52" t="s">
        <v>26</v>
      </c>
      <c r="G2398" s="53"/>
    </row>
    <row r="2399">
      <c r="A2399" s="49">
        <v>44719.79252133102</v>
      </c>
      <c r="B2399" s="50">
        <v>44719.9174924074</v>
      </c>
      <c r="C2399" s="51">
        <v>1.009</v>
      </c>
      <c r="D2399" s="51">
        <v>69.0</v>
      </c>
      <c r="E2399" s="52" t="s">
        <v>25</v>
      </c>
      <c r="F2399" s="52" t="s">
        <v>26</v>
      </c>
      <c r="G2399" s="53"/>
    </row>
    <row r="2400">
      <c r="A2400" s="49">
        <v>44719.80294017361</v>
      </c>
      <c r="B2400" s="50">
        <v>44719.9279136805</v>
      </c>
      <c r="C2400" s="51">
        <v>1.009</v>
      </c>
      <c r="D2400" s="51">
        <v>69.0</v>
      </c>
      <c r="E2400" s="52" t="s">
        <v>25</v>
      </c>
      <c r="F2400" s="52" t="s">
        <v>26</v>
      </c>
      <c r="G2400" s="53"/>
    </row>
    <row r="2401">
      <c r="A2401" s="49">
        <v>44719.81338359954</v>
      </c>
      <c r="B2401" s="50">
        <v>44719.9383586689</v>
      </c>
      <c r="C2401" s="51">
        <v>1.009</v>
      </c>
      <c r="D2401" s="51">
        <v>69.0</v>
      </c>
      <c r="E2401" s="52" t="s">
        <v>25</v>
      </c>
      <c r="F2401" s="52" t="s">
        <v>26</v>
      </c>
      <c r="G2401" s="53"/>
    </row>
    <row r="2402">
      <c r="A2402" s="49">
        <v>44719.82382857639</v>
      </c>
      <c r="B2402" s="50">
        <v>44719.9488045601</v>
      </c>
      <c r="C2402" s="51">
        <v>1.009</v>
      </c>
      <c r="D2402" s="51">
        <v>69.0</v>
      </c>
      <c r="E2402" s="52" t="s">
        <v>25</v>
      </c>
      <c r="F2402" s="52" t="s">
        <v>26</v>
      </c>
      <c r="G2402" s="53"/>
    </row>
    <row r="2403">
      <c r="A2403" s="49">
        <v>44719.83425929398</v>
      </c>
      <c r="B2403" s="50">
        <v>44719.9592367592</v>
      </c>
      <c r="C2403" s="51">
        <v>1.009</v>
      </c>
      <c r="D2403" s="51">
        <v>69.0</v>
      </c>
      <c r="E2403" s="52" t="s">
        <v>25</v>
      </c>
      <c r="F2403" s="52" t="s">
        <v>26</v>
      </c>
      <c r="G2403" s="53"/>
    </row>
    <row r="2404">
      <c r="A2404" s="49">
        <v>44719.8446977662</v>
      </c>
      <c r="B2404" s="50">
        <v>44719.9696687384</v>
      </c>
      <c r="C2404" s="51">
        <v>1.009</v>
      </c>
      <c r="D2404" s="51">
        <v>69.0</v>
      </c>
      <c r="E2404" s="52" t="s">
        <v>25</v>
      </c>
      <c r="F2404" s="52" t="s">
        <v>26</v>
      </c>
      <c r="G2404" s="53"/>
    </row>
    <row r="2405">
      <c r="A2405" s="49">
        <v>44719.855117534724</v>
      </c>
      <c r="B2405" s="50">
        <v>44719.9800915509</v>
      </c>
      <c r="C2405" s="51">
        <v>1.009</v>
      </c>
      <c r="D2405" s="51">
        <v>69.0</v>
      </c>
      <c r="E2405" s="52" t="s">
        <v>25</v>
      </c>
      <c r="F2405" s="52" t="s">
        <v>26</v>
      </c>
      <c r="G2405" s="53"/>
    </row>
    <row r="2406">
      <c r="A2406" s="49">
        <v>44719.86556090278</v>
      </c>
      <c r="B2406" s="50">
        <v>44719.9905354513</v>
      </c>
      <c r="C2406" s="51">
        <v>1.009</v>
      </c>
      <c r="D2406" s="51">
        <v>69.0</v>
      </c>
      <c r="E2406" s="52" t="s">
        <v>25</v>
      </c>
      <c r="F2406" s="52" t="s">
        <v>26</v>
      </c>
      <c r="G2406" s="53"/>
    </row>
    <row r="2407">
      <c r="A2407" s="49">
        <v>44719.87602041667</v>
      </c>
      <c r="B2407" s="50">
        <v>44720.0009937731</v>
      </c>
      <c r="C2407" s="51">
        <v>1.009</v>
      </c>
      <c r="D2407" s="51">
        <v>69.0</v>
      </c>
      <c r="E2407" s="52" t="s">
        <v>25</v>
      </c>
      <c r="F2407" s="52" t="s">
        <v>26</v>
      </c>
      <c r="G2407" s="53"/>
    </row>
    <row r="2408">
      <c r="A2408" s="49">
        <v>44719.88644346065</v>
      </c>
      <c r="B2408" s="50">
        <v>44720.0114256597</v>
      </c>
      <c r="C2408" s="51">
        <v>1.009</v>
      </c>
      <c r="D2408" s="51">
        <v>69.0</v>
      </c>
      <c r="E2408" s="52" t="s">
        <v>25</v>
      </c>
      <c r="F2408" s="52" t="s">
        <v>26</v>
      </c>
      <c r="G2408" s="53"/>
    </row>
    <row r="2409">
      <c r="A2409" s="49">
        <v>44719.896862222224</v>
      </c>
      <c r="B2409" s="50">
        <v>44720.0218468287</v>
      </c>
      <c r="C2409" s="51">
        <v>1.009</v>
      </c>
      <c r="D2409" s="51">
        <v>69.0</v>
      </c>
      <c r="E2409" s="52" t="s">
        <v>25</v>
      </c>
      <c r="F2409" s="52" t="s">
        <v>26</v>
      </c>
      <c r="G2409" s="53"/>
    </row>
    <row r="2410">
      <c r="A2410" s="49">
        <v>44719.907334814816</v>
      </c>
      <c r="B2410" s="50">
        <v>44720.0323032638</v>
      </c>
      <c r="C2410" s="51">
        <v>1.009</v>
      </c>
      <c r="D2410" s="51">
        <v>69.0</v>
      </c>
      <c r="E2410" s="52" t="s">
        <v>25</v>
      </c>
      <c r="F2410" s="52" t="s">
        <v>26</v>
      </c>
      <c r="G2410" s="53"/>
    </row>
    <row r="2411">
      <c r="A2411" s="49">
        <v>44719.91775519676</v>
      </c>
      <c r="B2411" s="50">
        <v>44720.0427241088</v>
      </c>
      <c r="C2411" s="51">
        <v>1.009</v>
      </c>
      <c r="D2411" s="51">
        <v>69.0</v>
      </c>
      <c r="E2411" s="52" t="s">
        <v>25</v>
      </c>
      <c r="F2411" s="52" t="s">
        <v>26</v>
      </c>
      <c r="G2411" s="53"/>
    </row>
    <row r="2412">
      <c r="A2412" s="49">
        <v>44719.92817586806</v>
      </c>
      <c r="B2412" s="50">
        <v>44720.0531442361</v>
      </c>
      <c r="C2412" s="51">
        <v>1.009</v>
      </c>
      <c r="D2412" s="51">
        <v>69.0</v>
      </c>
      <c r="E2412" s="52" t="s">
        <v>25</v>
      </c>
      <c r="F2412" s="52" t="s">
        <v>26</v>
      </c>
      <c r="G2412" s="53"/>
    </row>
    <row r="2413">
      <c r="A2413" s="49">
        <v>44719.938592418985</v>
      </c>
      <c r="B2413" s="50">
        <v>44720.0635648263</v>
      </c>
      <c r="C2413" s="51">
        <v>1.009</v>
      </c>
      <c r="D2413" s="51">
        <v>69.0</v>
      </c>
      <c r="E2413" s="52" t="s">
        <v>25</v>
      </c>
      <c r="F2413" s="52" t="s">
        <v>26</v>
      </c>
      <c r="G2413" s="53"/>
    </row>
    <row r="2414">
      <c r="A2414" s="49">
        <v>44719.94902716435</v>
      </c>
      <c r="B2414" s="50">
        <v>44720.0739987037</v>
      </c>
      <c r="C2414" s="51">
        <v>1.009</v>
      </c>
      <c r="D2414" s="51">
        <v>69.0</v>
      </c>
      <c r="E2414" s="52" t="s">
        <v>25</v>
      </c>
      <c r="F2414" s="52" t="s">
        <v>26</v>
      </c>
      <c r="G2414" s="53"/>
    </row>
    <row r="2415">
      <c r="A2415" s="49">
        <v>44719.9594425463</v>
      </c>
      <c r="B2415" s="50">
        <v>44720.0844202662</v>
      </c>
      <c r="C2415" s="51">
        <v>1.009</v>
      </c>
      <c r="D2415" s="51">
        <v>69.0</v>
      </c>
      <c r="E2415" s="52" t="s">
        <v>25</v>
      </c>
      <c r="F2415" s="52" t="s">
        <v>26</v>
      </c>
      <c r="G2415" s="53"/>
    </row>
    <row r="2416">
      <c r="A2416" s="49">
        <v>44719.969874409726</v>
      </c>
      <c r="B2416" s="50">
        <v>44720.0948417939</v>
      </c>
      <c r="C2416" s="51">
        <v>1.009</v>
      </c>
      <c r="D2416" s="51">
        <v>69.0</v>
      </c>
      <c r="E2416" s="52" t="s">
        <v>25</v>
      </c>
      <c r="F2416" s="52" t="s">
        <v>26</v>
      </c>
      <c r="G2416" s="53"/>
    </row>
    <row r="2417">
      <c r="A2417" s="49">
        <v>44719.980288101855</v>
      </c>
      <c r="B2417" s="50">
        <v>44720.1052628819</v>
      </c>
      <c r="C2417" s="51">
        <v>1.009</v>
      </c>
      <c r="D2417" s="51">
        <v>69.0</v>
      </c>
      <c r="E2417" s="52" t="s">
        <v>25</v>
      </c>
      <c r="F2417" s="52" t="s">
        <v>26</v>
      </c>
      <c r="G2417" s="53"/>
    </row>
    <row r="2418">
      <c r="A2418" s="49">
        <v>44719.99071549768</v>
      </c>
      <c r="B2418" s="50">
        <v>44720.115685</v>
      </c>
      <c r="C2418" s="51">
        <v>1.009</v>
      </c>
      <c r="D2418" s="51">
        <v>69.0</v>
      </c>
      <c r="E2418" s="52" t="s">
        <v>25</v>
      </c>
      <c r="F2418" s="52" t="s">
        <v>26</v>
      </c>
      <c r="G2418" s="53"/>
    </row>
    <row r="2419">
      <c r="A2419" s="49">
        <v>44720.001148923606</v>
      </c>
      <c r="B2419" s="50">
        <v>44720.1261185069</v>
      </c>
      <c r="C2419" s="51">
        <v>1.009</v>
      </c>
      <c r="D2419" s="51">
        <v>69.0</v>
      </c>
      <c r="E2419" s="52" t="s">
        <v>25</v>
      </c>
      <c r="F2419" s="52" t="s">
        <v>26</v>
      </c>
      <c r="G2419" s="53"/>
    </row>
    <row r="2420">
      <c r="A2420" s="49">
        <v>44720.0115568287</v>
      </c>
      <c r="B2420" s="50">
        <v>44720.1365376967</v>
      </c>
      <c r="C2420" s="51">
        <v>1.009</v>
      </c>
      <c r="D2420" s="51">
        <v>69.0</v>
      </c>
      <c r="E2420" s="52" t="s">
        <v>25</v>
      </c>
      <c r="F2420" s="52" t="s">
        <v>26</v>
      </c>
      <c r="G2420" s="53"/>
    </row>
    <row r="2421">
      <c r="A2421" s="49">
        <v>44720.02199331018</v>
      </c>
      <c r="B2421" s="50">
        <v>44720.1469588541</v>
      </c>
      <c r="C2421" s="51">
        <v>1.009</v>
      </c>
      <c r="D2421" s="51">
        <v>69.0</v>
      </c>
      <c r="E2421" s="52" t="s">
        <v>25</v>
      </c>
      <c r="F2421" s="52" t="s">
        <v>26</v>
      </c>
      <c r="G2421" s="53"/>
    </row>
    <row r="2422">
      <c r="A2422" s="49">
        <v>44720.032414733796</v>
      </c>
      <c r="B2422" s="50">
        <v>44720.1573798148</v>
      </c>
      <c r="C2422" s="51">
        <v>1.009</v>
      </c>
      <c r="D2422" s="51">
        <v>69.0</v>
      </c>
      <c r="E2422" s="52" t="s">
        <v>25</v>
      </c>
      <c r="F2422" s="52" t="s">
        <v>26</v>
      </c>
      <c r="G2422" s="53"/>
    </row>
    <row r="2423">
      <c r="A2423" s="49">
        <v>44720.04283196759</v>
      </c>
      <c r="B2423" s="50">
        <v>44720.1678014699</v>
      </c>
      <c r="C2423" s="51">
        <v>1.009</v>
      </c>
      <c r="D2423" s="51">
        <v>69.0</v>
      </c>
      <c r="E2423" s="52" t="s">
        <v>25</v>
      </c>
      <c r="F2423" s="52" t="s">
        <v>26</v>
      </c>
      <c r="G2423" s="53"/>
    </row>
    <row r="2424">
      <c r="A2424" s="49">
        <v>44720.05324946759</v>
      </c>
      <c r="B2424" s="50">
        <v>44720.1782242708</v>
      </c>
      <c r="C2424" s="51">
        <v>1.009</v>
      </c>
      <c r="D2424" s="51">
        <v>69.0</v>
      </c>
      <c r="E2424" s="52" t="s">
        <v>25</v>
      </c>
      <c r="F2424" s="52" t="s">
        <v>26</v>
      </c>
      <c r="G2424" s="53"/>
    </row>
    <row r="2425">
      <c r="A2425" s="49">
        <v>44720.063672523145</v>
      </c>
      <c r="B2425" s="50">
        <v>44720.1886459375</v>
      </c>
      <c r="C2425" s="51">
        <v>1.009</v>
      </c>
      <c r="D2425" s="51">
        <v>69.0</v>
      </c>
      <c r="E2425" s="52" t="s">
        <v>25</v>
      </c>
      <c r="F2425" s="52" t="s">
        <v>26</v>
      </c>
      <c r="G2425" s="53"/>
    </row>
    <row r="2426">
      <c r="A2426" s="49">
        <v>44720.0741046412</v>
      </c>
      <c r="B2426" s="50">
        <v>44720.1990670717</v>
      </c>
      <c r="C2426" s="51">
        <v>1.009</v>
      </c>
      <c r="D2426" s="51">
        <v>69.0</v>
      </c>
      <c r="E2426" s="52" t="s">
        <v>25</v>
      </c>
      <c r="F2426" s="52" t="s">
        <v>26</v>
      </c>
      <c r="G2426" s="53"/>
    </row>
    <row r="2427">
      <c r="A2427" s="49">
        <v>44720.084530277774</v>
      </c>
      <c r="B2427" s="50">
        <v>44720.2094888888</v>
      </c>
      <c r="C2427" s="51">
        <v>1.009</v>
      </c>
      <c r="D2427" s="51">
        <v>69.0</v>
      </c>
      <c r="E2427" s="52" t="s">
        <v>25</v>
      </c>
      <c r="F2427" s="52" t="s">
        <v>26</v>
      </c>
      <c r="G2427" s="53"/>
    </row>
    <row r="2428">
      <c r="A2428" s="49">
        <v>44720.09495650463</v>
      </c>
      <c r="B2428" s="50">
        <v>44720.2199309722</v>
      </c>
      <c r="C2428" s="51">
        <v>1.009</v>
      </c>
      <c r="D2428" s="51">
        <v>69.0</v>
      </c>
      <c r="E2428" s="52" t="s">
        <v>25</v>
      </c>
      <c r="F2428" s="52" t="s">
        <v>26</v>
      </c>
      <c r="G2428" s="53"/>
    </row>
    <row r="2429">
      <c r="A2429" s="49">
        <v>44720.105382152775</v>
      </c>
      <c r="B2429" s="50">
        <v>44720.230353831</v>
      </c>
      <c r="C2429" s="51">
        <v>1.009</v>
      </c>
      <c r="D2429" s="51">
        <v>69.0</v>
      </c>
      <c r="E2429" s="52" t="s">
        <v>25</v>
      </c>
      <c r="F2429" s="52" t="s">
        <v>26</v>
      </c>
      <c r="G2429" s="53"/>
    </row>
    <row r="2430">
      <c r="A2430" s="49">
        <v>44720.11580796297</v>
      </c>
      <c r="B2430" s="50">
        <v>44720.2407753356</v>
      </c>
      <c r="C2430" s="51">
        <v>1.009</v>
      </c>
      <c r="D2430" s="51">
        <v>69.0</v>
      </c>
      <c r="E2430" s="52" t="s">
        <v>25</v>
      </c>
      <c r="F2430" s="52" t="s">
        <v>26</v>
      </c>
      <c r="G2430" s="53"/>
    </row>
    <row r="2431">
      <c r="A2431" s="49">
        <v>44720.12622803241</v>
      </c>
      <c r="B2431" s="50">
        <v>44720.2511967708</v>
      </c>
      <c r="C2431" s="51">
        <v>1.009</v>
      </c>
      <c r="D2431" s="51">
        <v>69.0</v>
      </c>
      <c r="E2431" s="52" t="s">
        <v>25</v>
      </c>
      <c r="F2431" s="52" t="s">
        <v>26</v>
      </c>
      <c r="G2431" s="53"/>
    </row>
    <row r="2432">
      <c r="A2432" s="49">
        <v>44720.13665180556</v>
      </c>
      <c r="B2432" s="50">
        <v>44720.2616300231</v>
      </c>
      <c r="C2432" s="51">
        <v>1.009</v>
      </c>
      <c r="D2432" s="51">
        <v>69.0</v>
      </c>
      <c r="E2432" s="52" t="s">
        <v>25</v>
      </c>
      <c r="F2432" s="52" t="s">
        <v>26</v>
      </c>
      <c r="G2432" s="53"/>
    </row>
    <row r="2433">
      <c r="A2433" s="49">
        <v>44720.14708001158</v>
      </c>
      <c r="B2433" s="50">
        <v>44720.2720633333</v>
      </c>
      <c r="C2433" s="51">
        <v>1.009</v>
      </c>
      <c r="D2433" s="51">
        <v>69.0</v>
      </c>
      <c r="E2433" s="52" t="s">
        <v>25</v>
      </c>
      <c r="F2433" s="52" t="s">
        <v>26</v>
      </c>
      <c r="G2433" s="53"/>
    </row>
    <row r="2434">
      <c r="A2434" s="49">
        <v>44720.15751009259</v>
      </c>
      <c r="B2434" s="50">
        <v>44720.2824855208</v>
      </c>
      <c r="C2434" s="51">
        <v>1.009</v>
      </c>
      <c r="D2434" s="51">
        <v>69.0</v>
      </c>
      <c r="E2434" s="52" t="s">
        <v>25</v>
      </c>
      <c r="F2434" s="52" t="s">
        <v>26</v>
      </c>
      <c r="G2434" s="53"/>
    </row>
    <row r="2435">
      <c r="A2435" s="49">
        <v>44720.16796923611</v>
      </c>
      <c r="B2435" s="50">
        <v>44720.2929416319</v>
      </c>
      <c r="C2435" s="51">
        <v>1.009</v>
      </c>
      <c r="D2435" s="51">
        <v>69.0</v>
      </c>
      <c r="E2435" s="52" t="s">
        <v>25</v>
      </c>
      <c r="F2435" s="52" t="s">
        <v>26</v>
      </c>
      <c r="G2435" s="53"/>
    </row>
    <row r="2436">
      <c r="A2436" s="49">
        <v>44720.178394305556</v>
      </c>
      <c r="B2436" s="50">
        <v>44720.3033641088</v>
      </c>
      <c r="C2436" s="51">
        <v>1.009</v>
      </c>
      <c r="D2436" s="51">
        <v>69.0</v>
      </c>
      <c r="E2436" s="52" t="s">
        <v>25</v>
      </c>
      <c r="F2436" s="52" t="s">
        <v>26</v>
      </c>
      <c r="G2436" s="53"/>
    </row>
    <row r="2437">
      <c r="A2437" s="49">
        <v>44720.18882082176</v>
      </c>
      <c r="B2437" s="50">
        <v>44720.3137849768</v>
      </c>
      <c r="C2437" s="51">
        <v>1.009</v>
      </c>
      <c r="D2437" s="51">
        <v>69.0</v>
      </c>
      <c r="E2437" s="52" t="s">
        <v>25</v>
      </c>
      <c r="F2437" s="52" t="s">
        <v>26</v>
      </c>
      <c r="G2437" s="53"/>
    </row>
    <row r="2438">
      <c r="A2438" s="49">
        <v>44720.199245138894</v>
      </c>
      <c r="B2438" s="50">
        <v>44720.324218993</v>
      </c>
      <c r="C2438" s="51">
        <v>1.009</v>
      </c>
      <c r="D2438" s="51">
        <v>69.0</v>
      </c>
      <c r="E2438" s="52" t="s">
        <v>25</v>
      </c>
      <c r="F2438" s="52" t="s">
        <v>26</v>
      </c>
      <c r="G2438" s="53"/>
    </row>
    <row r="2439">
      <c r="A2439" s="49">
        <v>44720.209671122684</v>
      </c>
      <c r="B2439" s="50">
        <v>44720.334651412</v>
      </c>
      <c r="C2439" s="51">
        <v>1.009</v>
      </c>
      <c r="D2439" s="51">
        <v>69.0</v>
      </c>
      <c r="E2439" s="52" t="s">
        <v>25</v>
      </c>
      <c r="F2439" s="52" t="s">
        <v>26</v>
      </c>
      <c r="G2439" s="53"/>
    </row>
    <row r="2440">
      <c r="A2440" s="49">
        <v>44720.220091192125</v>
      </c>
      <c r="B2440" s="50">
        <v>44720.3450704629</v>
      </c>
      <c r="C2440" s="51">
        <v>1.009</v>
      </c>
      <c r="D2440" s="51">
        <v>69.0</v>
      </c>
      <c r="E2440" s="52" t="s">
        <v>25</v>
      </c>
      <c r="F2440" s="52" t="s">
        <v>26</v>
      </c>
      <c r="G2440" s="53"/>
    </row>
    <row r="2441">
      <c r="A2441" s="49">
        <v>44720.23052145833</v>
      </c>
      <c r="B2441" s="50">
        <v>44720.3554926273</v>
      </c>
      <c r="C2441" s="51">
        <v>1.009</v>
      </c>
      <c r="D2441" s="51">
        <v>69.0</v>
      </c>
      <c r="E2441" s="52" t="s">
        <v>25</v>
      </c>
      <c r="F2441" s="52" t="s">
        <v>26</v>
      </c>
      <c r="G2441" s="53"/>
    </row>
    <row r="2442">
      <c r="A2442" s="49">
        <v>44720.240946666665</v>
      </c>
      <c r="B2442" s="50">
        <v>44720.3659139004</v>
      </c>
      <c r="C2442" s="51">
        <v>1.009</v>
      </c>
      <c r="D2442" s="51">
        <v>69.0</v>
      </c>
      <c r="E2442" s="52" t="s">
        <v>25</v>
      </c>
      <c r="F2442" s="52" t="s">
        <v>26</v>
      </c>
      <c r="G2442" s="53"/>
    </row>
    <row r="2443">
      <c r="A2443" s="49">
        <v>44720.251366550925</v>
      </c>
      <c r="B2443" s="50">
        <v>44720.3763347106</v>
      </c>
      <c r="C2443" s="51">
        <v>1.009</v>
      </c>
      <c r="D2443" s="51">
        <v>69.0</v>
      </c>
      <c r="E2443" s="52" t="s">
        <v>25</v>
      </c>
      <c r="F2443" s="52" t="s">
        <v>26</v>
      </c>
      <c r="G2443" s="53"/>
    </row>
    <row r="2444">
      <c r="A2444" s="49">
        <v>44720.26178666667</v>
      </c>
      <c r="B2444" s="50">
        <v>44720.3867559143</v>
      </c>
      <c r="C2444" s="51">
        <v>1.009</v>
      </c>
      <c r="D2444" s="51">
        <v>70.0</v>
      </c>
      <c r="E2444" s="52" t="s">
        <v>25</v>
      </c>
      <c r="F2444" s="52" t="s">
        <v>26</v>
      </c>
      <c r="G2444" s="53"/>
    </row>
    <row r="2445">
      <c r="A2445" s="49">
        <v>44720.272209780094</v>
      </c>
      <c r="B2445" s="50">
        <v>44720.3971782407</v>
      </c>
      <c r="C2445" s="51">
        <v>1.009</v>
      </c>
      <c r="D2445" s="51">
        <v>69.0</v>
      </c>
      <c r="E2445" s="52" t="s">
        <v>25</v>
      </c>
      <c r="F2445" s="52" t="s">
        <v>26</v>
      </c>
      <c r="G2445" s="53"/>
    </row>
    <row r="2446">
      <c r="A2446" s="49">
        <v>44720.28263097222</v>
      </c>
      <c r="B2446" s="50">
        <v>44720.4076012037</v>
      </c>
      <c r="C2446" s="51">
        <v>1.009</v>
      </c>
      <c r="D2446" s="51">
        <v>70.0</v>
      </c>
      <c r="E2446" s="52" t="s">
        <v>25</v>
      </c>
      <c r="F2446" s="52" t="s">
        <v>26</v>
      </c>
      <c r="G2446" s="53"/>
    </row>
    <row r="2447">
      <c r="A2447" s="49">
        <v>44720.29305986111</v>
      </c>
      <c r="B2447" s="50">
        <v>44720.418022199</v>
      </c>
      <c r="C2447" s="51">
        <v>1.009</v>
      </c>
      <c r="D2447" s="51">
        <v>70.0</v>
      </c>
      <c r="E2447" s="52" t="s">
        <v>25</v>
      </c>
      <c r="F2447" s="52" t="s">
        <v>26</v>
      </c>
      <c r="G2447" s="53"/>
    </row>
    <row r="2448">
      <c r="A2448" s="49">
        <v>44720.30348564815</v>
      </c>
      <c r="B2448" s="50">
        <v>44720.4284661458</v>
      </c>
      <c r="C2448" s="51">
        <v>1.009</v>
      </c>
      <c r="D2448" s="51">
        <v>70.0</v>
      </c>
      <c r="E2448" s="52" t="s">
        <v>25</v>
      </c>
      <c r="F2448" s="52" t="s">
        <v>26</v>
      </c>
      <c r="G2448" s="53"/>
    </row>
    <row r="2449">
      <c r="A2449" s="49">
        <v>44720.31392947916</v>
      </c>
      <c r="B2449" s="50">
        <v>44720.4388998842</v>
      </c>
      <c r="C2449" s="51">
        <v>1.009</v>
      </c>
      <c r="D2449" s="51">
        <v>69.0</v>
      </c>
      <c r="E2449" s="52" t="s">
        <v>25</v>
      </c>
      <c r="F2449" s="52" t="s">
        <v>26</v>
      </c>
      <c r="G2449" s="53"/>
    </row>
    <row r="2450">
      <c r="A2450" s="49">
        <v>44720.32435077547</v>
      </c>
      <c r="B2450" s="50">
        <v>44720.4493206713</v>
      </c>
      <c r="C2450" s="51">
        <v>1.009</v>
      </c>
      <c r="D2450" s="51">
        <v>70.0</v>
      </c>
      <c r="E2450" s="52" t="s">
        <v>25</v>
      </c>
      <c r="F2450" s="52" t="s">
        <v>26</v>
      </c>
      <c r="G2450" s="53"/>
    </row>
    <row r="2451">
      <c r="A2451" s="49">
        <v>44720.33479879629</v>
      </c>
      <c r="B2451" s="50">
        <v>44720.4597544328</v>
      </c>
      <c r="C2451" s="51">
        <v>1.009</v>
      </c>
      <c r="D2451" s="51">
        <v>70.0</v>
      </c>
      <c r="E2451" s="52" t="s">
        <v>25</v>
      </c>
      <c r="F2451" s="52" t="s">
        <v>26</v>
      </c>
      <c r="G2451" s="53"/>
    </row>
    <row r="2452">
      <c r="A2452" s="49">
        <v>44720.34524069444</v>
      </c>
      <c r="B2452" s="50">
        <v>44720.470220787</v>
      </c>
      <c r="C2452" s="51">
        <v>1.009</v>
      </c>
      <c r="D2452" s="51">
        <v>70.0</v>
      </c>
      <c r="E2452" s="52" t="s">
        <v>25</v>
      </c>
      <c r="F2452" s="52" t="s">
        <v>26</v>
      </c>
      <c r="G2452" s="53"/>
    </row>
    <row r="2453">
      <c r="A2453" s="49">
        <v>44720.3557043287</v>
      </c>
      <c r="B2453" s="50">
        <v>44720.4806651388</v>
      </c>
      <c r="C2453" s="51">
        <v>1.009</v>
      </c>
      <c r="D2453" s="51">
        <v>70.0</v>
      </c>
      <c r="E2453" s="52" t="s">
        <v>25</v>
      </c>
      <c r="F2453" s="52" t="s">
        <v>26</v>
      </c>
      <c r="G2453" s="53"/>
    </row>
    <row r="2454">
      <c r="A2454" s="49">
        <v>44720.3661320949</v>
      </c>
      <c r="B2454" s="50">
        <v>44720.4910870023</v>
      </c>
      <c r="C2454" s="51">
        <v>1.009</v>
      </c>
      <c r="D2454" s="51">
        <v>70.0</v>
      </c>
      <c r="E2454" s="52" t="s">
        <v>25</v>
      </c>
      <c r="F2454" s="52" t="s">
        <v>26</v>
      </c>
      <c r="G2454" s="53"/>
    </row>
    <row r="2455">
      <c r="A2455" s="49">
        <v>44720.376553009264</v>
      </c>
      <c r="B2455" s="50">
        <v>44720.5015203588</v>
      </c>
      <c r="C2455" s="51">
        <v>1.009</v>
      </c>
      <c r="D2455" s="51">
        <v>70.0</v>
      </c>
      <c r="E2455" s="52" t="s">
        <v>25</v>
      </c>
      <c r="F2455" s="52" t="s">
        <v>26</v>
      </c>
      <c r="G2455" s="53"/>
    </row>
    <row r="2456">
      <c r="A2456" s="49">
        <v>44720.386969618055</v>
      </c>
      <c r="B2456" s="50">
        <v>44720.5119416666</v>
      </c>
      <c r="C2456" s="51">
        <v>1.009</v>
      </c>
      <c r="D2456" s="51">
        <v>70.0</v>
      </c>
      <c r="E2456" s="52" t="s">
        <v>25</v>
      </c>
      <c r="F2456" s="52" t="s">
        <v>26</v>
      </c>
      <c r="G2456" s="53"/>
    </row>
    <row r="2457">
      <c r="A2457" s="49">
        <v>44720.39739824074</v>
      </c>
      <c r="B2457" s="50">
        <v>44720.5223636574</v>
      </c>
      <c r="C2457" s="51">
        <v>1.009</v>
      </c>
      <c r="D2457" s="51">
        <v>70.0</v>
      </c>
      <c r="E2457" s="52" t="s">
        <v>25</v>
      </c>
      <c r="F2457" s="52" t="s">
        <v>26</v>
      </c>
      <c r="G2457" s="53"/>
    </row>
    <row r="2458">
      <c r="A2458" s="49">
        <v>44720.40781020833</v>
      </c>
      <c r="B2458" s="50">
        <v>44720.5327848611</v>
      </c>
      <c r="C2458" s="51">
        <v>1.009</v>
      </c>
      <c r="D2458" s="51">
        <v>70.0</v>
      </c>
      <c r="E2458" s="52" t="s">
        <v>25</v>
      </c>
      <c r="F2458" s="52" t="s">
        <v>26</v>
      </c>
      <c r="G2458" s="53"/>
    </row>
    <row r="2459">
      <c r="A2459" s="49">
        <v>44720.418252511576</v>
      </c>
      <c r="B2459" s="50">
        <v>44720.5432033796</v>
      </c>
      <c r="C2459" s="51">
        <v>1.009</v>
      </c>
      <c r="D2459" s="51">
        <v>70.0</v>
      </c>
      <c r="E2459" s="52" t="s">
        <v>25</v>
      </c>
      <c r="F2459" s="52" t="s">
        <v>26</v>
      </c>
      <c r="G2459" s="53"/>
    </row>
    <row r="2460">
      <c r="A2460" s="49">
        <v>44720.42866358796</v>
      </c>
      <c r="B2460" s="50">
        <v>44720.5536372338</v>
      </c>
      <c r="C2460" s="51">
        <v>1.009</v>
      </c>
      <c r="D2460" s="51">
        <v>70.0</v>
      </c>
      <c r="E2460" s="52" t="s">
        <v>25</v>
      </c>
      <c r="F2460" s="52" t="s">
        <v>26</v>
      </c>
      <c r="G2460" s="53"/>
    </row>
    <row r="2461">
      <c r="A2461" s="49">
        <v>44720.43909600694</v>
      </c>
      <c r="B2461" s="50">
        <v>44720.5640588078</v>
      </c>
      <c r="C2461" s="51">
        <v>1.009</v>
      </c>
      <c r="D2461" s="51">
        <v>70.0</v>
      </c>
      <c r="E2461" s="52" t="s">
        <v>25</v>
      </c>
      <c r="F2461" s="52" t="s">
        <v>26</v>
      </c>
      <c r="G2461" s="53"/>
    </row>
    <row r="2462">
      <c r="A2462" s="49">
        <v>44720.44952755787</v>
      </c>
      <c r="B2462" s="50">
        <v>44720.5745015972</v>
      </c>
      <c r="C2462" s="51">
        <v>1.009</v>
      </c>
      <c r="D2462" s="51">
        <v>70.0</v>
      </c>
      <c r="E2462" s="52" t="s">
        <v>25</v>
      </c>
      <c r="F2462" s="52" t="s">
        <v>26</v>
      </c>
      <c r="G2462" s="53"/>
    </row>
    <row r="2463">
      <c r="A2463" s="49">
        <v>44720.45996467593</v>
      </c>
      <c r="B2463" s="50">
        <v>44720.5849344675</v>
      </c>
      <c r="C2463" s="51">
        <v>1.008</v>
      </c>
      <c r="D2463" s="51">
        <v>70.0</v>
      </c>
      <c r="E2463" s="52" t="s">
        <v>25</v>
      </c>
      <c r="F2463" s="52" t="s">
        <v>26</v>
      </c>
      <c r="G2463" s="53"/>
    </row>
    <row r="2464">
      <c r="A2464" s="49">
        <v>44720.47038641204</v>
      </c>
      <c r="B2464" s="50">
        <v>44720.5953568055</v>
      </c>
      <c r="C2464" s="51">
        <v>1.008</v>
      </c>
      <c r="D2464" s="51">
        <v>70.0</v>
      </c>
      <c r="E2464" s="52" t="s">
        <v>25</v>
      </c>
      <c r="F2464" s="52" t="s">
        <v>26</v>
      </c>
      <c r="G2464" s="53"/>
    </row>
    <row r="2465">
      <c r="A2465" s="49">
        <v>44720.48081892361</v>
      </c>
      <c r="B2465" s="50">
        <v>44720.6057898148</v>
      </c>
      <c r="C2465" s="51">
        <v>1.009</v>
      </c>
      <c r="D2465" s="51">
        <v>70.0</v>
      </c>
      <c r="E2465" s="52" t="s">
        <v>25</v>
      </c>
      <c r="F2465" s="52" t="s">
        <v>26</v>
      </c>
      <c r="G2465" s="53"/>
    </row>
    <row r="2466">
      <c r="A2466" s="49">
        <v>44720.49124300926</v>
      </c>
      <c r="B2466" s="50">
        <v>44720.6162104976</v>
      </c>
      <c r="C2466" s="51">
        <v>1.009</v>
      </c>
      <c r="D2466" s="51">
        <v>70.0</v>
      </c>
      <c r="E2466" s="52" t="s">
        <v>25</v>
      </c>
      <c r="F2466" s="52" t="s">
        <v>26</v>
      </c>
      <c r="G2466" s="53"/>
    </row>
    <row r="2467">
      <c r="A2467" s="49">
        <v>44720.501659629634</v>
      </c>
      <c r="B2467" s="50">
        <v>44720.6266315277</v>
      </c>
      <c r="C2467" s="51">
        <v>1.009</v>
      </c>
      <c r="D2467" s="51">
        <v>70.0</v>
      </c>
      <c r="E2467" s="52" t="s">
        <v>25</v>
      </c>
      <c r="F2467" s="52" t="s">
        <v>26</v>
      </c>
      <c r="G2467" s="53"/>
    </row>
    <row r="2468">
      <c r="A2468" s="49">
        <v>44720.51211644676</v>
      </c>
      <c r="B2468" s="50">
        <v>44720.6370862037</v>
      </c>
      <c r="C2468" s="51">
        <v>1.009</v>
      </c>
      <c r="D2468" s="51">
        <v>70.0</v>
      </c>
      <c r="E2468" s="52" t="s">
        <v>25</v>
      </c>
      <c r="F2468" s="52" t="s">
        <v>26</v>
      </c>
      <c r="G2468" s="53"/>
    </row>
    <row r="2469">
      <c r="A2469" s="49">
        <v>44720.52253858796</v>
      </c>
      <c r="B2469" s="50">
        <v>44720.6475066435</v>
      </c>
      <c r="C2469" s="51">
        <v>1.008</v>
      </c>
      <c r="D2469" s="51">
        <v>70.0</v>
      </c>
      <c r="E2469" s="52" t="s">
        <v>25</v>
      </c>
      <c r="F2469" s="52" t="s">
        <v>26</v>
      </c>
      <c r="G2469" s="53"/>
    </row>
    <row r="2470">
      <c r="A2470" s="49">
        <v>44720.53298871528</v>
      </c>
      <c r="B2470" s="50">
        <v>44720.6579630208</v>
      </c>
      <c r="C2470" s="51">
        <v>1.009</v>
      </c>
      <c r="D2470" s="51">
        <v>70.0</v>
      </c>
      <c r="E2470" s="52" t="s">
        <v>25</v>
      </c>
      <c r="F2470" s="52" t="s">
        <v>26</v>
      </c>
      <c r="G2470" s="53"/>
    </row>
    <row r="2471">
      <c r="A2471" s="49">
        <v>44720.54340621528</v>
      </c>
      <c r="B2471" s="50">
        <v>44720.6683844328</v>
      </c>
      <c r="C2471" s="51">
        <v>1.009</v>
      </c>
      <c r="D2471" s="51">
        <v>70.0</v>
      </c>
      <c r="E2471" s="52" t="s">
        <v>25</v>
      </c>
      <c r="F2471" s="52" t="s">
        <v>26</v>
      </c>
      <c r="G2471" s="53"/>
    </row>
    <row r="2472">
      <c r="A2472" s="49">
        <v>44720.553824780094</v>
      </c>
      <c r="B2472" s="50">
        <v>44720.6788062037</v>
      </c>
      <c r="C2472" s="51">
        <v>1.009</v>
      </c>
      <c r="D2472" s="51">
        <v>70.0</v>
      </c>
      <c r="E2472" s="52" t="s">
        <v>25</v>
      </c>
      <c r="F2472" s="52" t="s">
        <v>26</v>
      </c>
      <c r="G2472" s="53"/>
    </row>
    <row r="2473">
      <c r="A2473" s="49">
        <v>44720.56427804398</v>
      </c>
      <c r="B2473" s="50">
        <v>44720.6892404513</v>
      </c>
      <c r="C2473" s="51">
        <v>1.009</v>
      </c>
      <c r="D2473" s="51">
        <v>70.0</v>
      </c>
      <c r="E2473" s="52" t="s">
        <v>25</v>
      </c>
      <c r="F2473" s="52" t="s">
        <v>26</v>
      </c>
      <c r="G2473" s="53"/>
    </row>
    <row r="2474">
      <c r="A2474" s="49">
        <v>44720.57469864583</v>
      </c>
      <c r="B2474" s="50">
        <v>44720.6996637037</v>
      </c>
      <c r="C2474" s="51">
        <v>1.008</v>
      </c>
      <c r="D2474" s="51">
        <v>70.0</v>
      </c>
      <c r="E2474" s="52" t="s">
        <v>25</v>
      </c>
      <c r="F2474" s="52" t="s">
        <v>26</v>
      </c>
      <c r="G2474" s="53"/>
    </row>
    <row r="2475">
      <c r="A2475" s="49">
        <v>44720.58510229166</v>
      </c>
      <c r="B2475" s="50">
        <v>44720.7100850115</v>
      </c>
      <c r="C2475" s="51">
        <v>1.009</v>
      </c>
      <c r="D2475" s="51">
        <v>70.0</v>
      </c>
      <c r="E2475" s="52" t="s">
        <v>25</v>
      </c>
      <c r="F2475" s="52" t="s">
        <v>26</v>
      </c>
      <c r="G2475" s="53"/>
    </row>
    <row r="2476">
      <c r="A2476" s="49">
        <v>44720.59554579861</v>
      </c>
      <c r="B2476" s="50">
        <v>44720.7205186574</v>
      </c>
      <c r="C2476" s="51">
        <v>1.009</v>
      </c>
      <c r="D2476" s="51">
        <v>70.0</v>
      </c>
      <c r="E2476" s="52" t="s">
        <v>25</v>
      </c>
      <c r="F2476" s="52" t="s">
        <v>26</v>
      </c>
      <c r="G2476" s="53"/>
    </row>
    <row r="2477">
      <c r="A2477" s="49">
        <v>44720.605969930555</v>
      </c>
      <c r="B2477" s="50">
        <v>44720.7309385301</v>
      </c>
      <c r="C2477" s="51">
        <v>1.009</v>
      </c>
      <c r="D2477" s="51">
        <v>70.0</v>
      </c>
      <c r="E2477" s="52" t="s">
        <v>25</v>
      </c>
      <c r="F2477" s="52" t="s">
        <v>26</v>
      </c>
      <c r="G2477" s="53"/>
    </row>
    <row r="2478">
      <c r="A2478" s="49">
        <v>44720.616387013884</v>
      </c>
      <c r="B2478" s="50">
        <v>44720.7413587384</v>
      </c>
      <c r="C2478" s="51">
        <v>1.009</v>
      </c>
      <c r="D2478" s="51">
        <v>70.0</v>
      </c>
      <c r="E2478" s="52" t="s">
        <v>25</v>
      </c>
      <c r="F2478" s="52" t="s">
        <v>26</v>
      </c>
      <c r="G2478" s="53"/>
    </row>
    <row r="2479">
      <c r="A2479" s="49">
        <v>44720.62680484954</v>
      </c>
      <c r="B2479" s="50">
        <v>44720.7517788426</v>
      </c>
      <c r="C2479" s="51">
        <v>1.009</v>
      </c>
      <c r="D2479" s="51">
        <v>70.0</v>
      </c>
      <c r="E2479" s="52" t="s">
        <v>25</v>
      </c>
      <c r="F2479" s="52" t="s">
        <v>26</v>
      </c>
      <c r="G2479" s="53"/>
    </row>
    <row r="2480">
      <c r="A2480" s="49">
        <v>44720.63722597223</v>
      </c>
      <c r="B2480" s="50">
        <v>44720.7622003009</v>
      </c>
      <c r="C2480" s="51">
        <v>1.009</v>
      </c>
      <c r="D2480" s="51">
        <v>70.0</v>
      </c>
      <c r="E2480" s="52" t="s">
        <v>25</v>
      </c>
      <c r="F2480" s="52" t="s">
        <v>26</v>
      </c>
      <c r="G2480" s="53"/>
    </row>
    <row r="2481">
      <c r="A2481" s="49">
        <v>44720.647665717595</v>
      </c>
      <c r="B2481" s="50">
        <v>44720.7726329166</v>
      </c>
      <c r="C2481" s="51">
        <v>1.009</v>
      </c>
      <c r="D2481" s="51">
        <v>70.0</v>
      </c>
      <c r="E2481" s="52" t="s">
        <v>25</v>
      </c>
      <c r="F2481" s="52" t="s">
        <v>26</v>
      </c>
      <c r="G2481" s="53"/>
    </row>
    <row r="2482">
      <c r="A2482" s="49">
        <v>44720.65808326389</v>
      </c>
      <c r="B2482" s="50">
        <v>44720.7830526967</v>
      </c>
      <c r="C2482" s="51">
        <v>1.008</v>
      </c>
      <c r="D2482" s="51">
        <v>70.0</v>
      </c>
      <c r="E2482" s="52" t="s">
        <v>25</v>
      </c>
      <c r="F2482" s="52" t="s">
        <v>26</v>
      </c>
      <c r="G2482" s="53"/>
    </row>
    <row r="2483">
      <c r="A2483" s="49">
        <v>44720.668505856476</v>
      </c>
      <c r="B2483" s="50">
        <v>44720.7934738773</v>
      </c>
      <c r="C2483" s="51">
        <v>1.008</v>
      </c>
      <c r="D2483" s="51">
        <v>70.0</v>
      </c>
      <c r="E2483" s="52" t="s">
        <v>25</v>
      </c>
      <c r="F2483" s="52" t="s">
        <v>26</v>
      </c>
      <c r="G2483" s="53"/>
    </row>
    <row r="2484">
      <c r="A2484" s="49">
        <v>44720.67892158565</v>
      </c>
      <c r="B2484" s="50">
        <v>44720.8038942824</v>
      </c>
      <c r="C2484" s="51">
        <v>1.008</v>
      </c>
      <c r="D2484" s="51">
        <v>69.0</v>
      </c>
      <c r="E2484" s="52" t="s">
        <v>25</v>
      </c>
      <c r="F2484" s="52" t="s">
        <v>26</v>
      </c>
      <c r="G2484" s="53"/>
    </row>
    <row r="2485">
      <c r="A2485" s="49">
        <v>44720.68935259259</v>
      </c>
      <c r="B2485" s="50">
        <v>44720.8143280671</v>
      </c>
      <c r="C2485" s="51">
        <v>1.008</v>
      </c>
      <c r="D2485" s="51">
        <v>68.0</v>
      </c>
      <c r="E2485" s="52" t="s">
        <v>25</v>
      </c>
      <c r="F2485" s="52" t="s">
        <v>26</v>
      </c>
      <c r="G2485" s="53"/>
    </row>
    <row r="2486">
      <c r="A2486" s="49">
        <v>44720.69977337963</v>
      </c>
      <c r="B2486" s="50">
        <v>44720.8247487963</v>
      </c>
      <c r="C2486" s="51">
        <v>1.008</v>
      </c>
      <c r="D2486" s="51">
        <v>68.0</v>
      </c>
      <c r="E2486" s="52" t="s">
        <v>25</v>
      </c>
      <c r="F2486" s="52" t="s">
        <v>26</v>
      </c>
      <c r="G2486" s="53"/>
    </row>
    <row r="2487">
      <c r="A2487" s="49">
        <v>44720.71019706018</v>
      </c>
      <c r="B2487" s="50">
        <v>44720.8351687152</v>
      </c>
      <c r="C2487" s="51">
        <v>1.008</v>
      </c>
      <c r="D2487" s="51">
        <v>67.0</v>
      </c>
      <c r="E2487" s="52" t="s">
        <v>25</v>
      </c>
      <c r="F2487" s="52" t="s">
        <v>26</v>
      </c>
      <c r="G2487" s="53"/>
    </row>
    <row r="2488">
      <c r="A2488" s="49">
        <v>44720.720635983795</v>
      </c>
      <c r="B2488" s="50">
        <v>44720.8456121064</v>
      </c>
      <c r="C2488" s="51">
        <v>1.008</v>
      </c>
      <c r="D2488" s="51">
        <v>67.0</v>
      </c>
      <c r="E2488" s="52" t="s">
        <v>25</v>
      </c>
      <c r="F2488" s="52" t="s">
        <v>26</v>
      </c>
      <c r="G2488" s="53"/>
    </row>
    <row r="2489">
      <c r="A2489" s="49">
        <v>44720.73105466436</v>
      </c>
      <c r="B2489" s="50">
        <v>44720.8560329513</v>
      </c>
      <c r="C2489" s="51">
        <v>1.008</v>
      </c>
      <c r="D2489" s="51">
        <v>66.0</v>
      </c>
      <c r="E2489" s="52" t="s">
        <v>25</v>
      </c>
      <c r="F2489" s="52" t="s">
        <v>26</v>
      </c>
      <c r="G2489" s="53"/>
    </row>
    <row r="2490">
      <c r="A2490" s="49">
        <v>44720.74148309028</v>
      </c>
      <c r="B2490" s="50">
        <v>44720.8664537963</v>
      </c>
      <c r="C2490" s="51">
        <v>1.009</v>
      </c>
      <c r="D2490" s="51">
        <v>66.0</v>
      </c>
      <c r="E2490" s="52" t="s">
        <v>25</v>
      </c>
      <c r="F2490" s="52" t="s">
        <v>26</v>
      </c>
      <c r="G2490" s="53"/>
    </row>
    <row r="2491">
      <c r="A2491" s="49">
        <v>44720.75190203704</v>
      </c>
      <c r="B2491" s="50">
        <v>44720.8768747222</v>
      </c>
      <c r="C2491" s="51">
        <v>1.009</v>
      </c>
      <c r="D2491" s="51">
        <v>66.0</v>
      </c>
      <c r="E2491" s="52" t="s">
        <v>25</v>
      </c>
      <c r="F2491" s="52" t="s">
        <v>26</v>
      </c>
      <c r="G2491" s="53"/>
    </row>
    <row r="2492">
      <c r="A2492" s="49">
        <v>44720.762329212965</v>
      </c>
      <c r="B2492" s="50">
        <v>44720.8872968055</v>
      </c>
      <c r="C2492" s="51">
        <v>1.009</v>
      </c>
      <c r="D2492" s="51">
        <v>66.0</v>
      </c>
      <c r="E2492" s="52" t="s">
        <v>25</v>
      </c>
      <c r="F2492" s="52" t="s">
        <v>26</v>
      </c>
      <c r="G2492" s="53"/>
    </row>
    <row r="2493">
      <c r="A2493" s="49">
        <v>44720.772791261574</v>
      </c>
      <c r="B2493" s="50">
        <v>44720.8977657523</v>
      </c>
      <c r="C2493" s="51">
        <v>1.008</v>
      </c>
      <c r="D2493" s="51">
        <v>66.0</v>
      </c>
      <c r="E2493" s="52" t="s">
        <v>25</v>
      </c>
      <c r="F2493" s="52" t="s">
        <v>26</v>
      </c>
      <c r="G2493" s="53"/>
    </row>
    <row r="2494">
      <c r="A2494" s="49">
        <v>44720.78323010416</v>
      </c>
      <c r="B2494" s="50">
        <v>44720.9081867476</v>
      </c>
      <c r="C2494" s="51">
        <v>1.009</v>
      </c>
      <c r="D2494" s="51">
        <v>66.0</v>
      </c>
      <c r="E2494" s="52" t="s">
        <v>25</v>
      </c>
      <c r="F2494" s="52" t="s">
        <v>26</v>
      </c>
      <c r="G2494" s="53"/>
    </row>
    <row r="2495">
      <c r="A2495" s="49">
        <v>44720.79363506944</v>
      </c>
      <c r="B2495" s="50">
        <v>44720.9186087615</v>
      </c>
      <c r="C2495" s="51">
        <v>1.009</v>
      </c>
      <c r="D2495" s="51">
        <v>66.0</v>
      </c>
      <c r="E2495" s="52" t="s">
        <v>25</v>
      </c>
      <c r="F2495" s="52" t="s">
        <v>26</v>
      </c>
      <c r="G2495" s="53"/>
    </row>
    <row r="2496">
      <c r="A2496" s="49">
        <v>44720.80405909722</v>
      </c>
      <c r="B2496" s="50">
        <v>44720.92902853</v>
      </c>
      <c r="C2496" s="51">
        <v>1.008</v>
      </c>
      <c r="D2496" s="51">
        <v>66.0</v>
      </c>
      <c r="E2496" s="52" t="s">
        <v>25</v>
      </c>
      <c r="F2496" s="52" t="s">
        <v>26</v>
      </c>
      <c r="G2496" s="53"/>
    </row>
    <row r="2497">
      <c r="A2497" s="49">
        <v>44720.81447891204</v>
      </c>
      <c r="B2497" s="50">
        <v>44720.939448206</v>
      </c>
      <c r="C2497" s="51">
        <v>1.008</v>
      </c>
      <c r="D2497" s="51">
        <v>66.0</v>
      </c>
      <c r="E2497" s="52" t="s">
        <v>25</v>
      </c>
      <c r="F2497" s="52" t="s">
        <v>26</v>
      </c>
      <c r="G2497" s="53"/>
    </row>
    <row r="2498">
      <c r="A2498" s="49">
        <v>44720.82490175926</v>
      </c>
      <c r="B2498" s="50">
        <v>44720.9498690277</v>
      </c>
      <c r="C2498" s="51">
        <v>1.009</v>
      </c>
      <c r="D2498" s="51">
        <v>66.0</v>
      </c>
      <c r="E2498" s="52" t="s">
        <v>25</v>
      </c>
      <c r="F2498" s="52" t="s">
        <v>26</v>
      </c>
      <c r="G2498" s="53"/>
    </row>
    <row r="2499">
      <c r="A2499" s="49">
        <v>44720.83533883102</v>
      </c>
      <c r="B2499" s="50">
        <v>44720.9602891319</v>
      </c>
      <c r="C2499" s="51">
        <v>1.008</v>
      </c>
      <c r="D2499" s="51">
        <v>66.0</v>
      </c>
      <c r="E2499" s="52" t="s">
        <v>25</v>
      </c>
      <c r="F2499" s="52" t="s">
        <v>26</v>
      </c>
      <c r="G2499" s="53"/>
    </row>
    <row r="2500">
      <c r="A2500" s="49">
        <v>44720.84573707176</v>
      </c>
      <c r="B2500" s="50">
        <v>44720.9707091898</v>
      </c>
      <c r="C2500" s="51">
        <v>1.009</v>
      </c>
      <c r="D2500" s="51">
        <v>66.0</v>
      </c>
      <c r="E2500" s="52" t="s">
        <v>25</v>
      </c>
      <c r="F2500" s="52" t="s">
        <v>26</v>
      </c>
      <c r="G2500" s="53"/>
    </row>
    <row r="2501">
      <c r="A2501" s="49">
        <v>44720.856167743055</v>
      </c>
      <c r="B2501" s="50">
        <v>44720.9811289004</v>
      </c>
      <c r="C2501" s="51">
        <v>1.009</v>
      </c>
      <c r="D2501" s="51">
        <v>66.0</v>
      </c>
      <c r="E2501" s="52" t="s">
        <v>25</v>
      </c>
      <c r="F2501" s="52" t="s">
        <v>26</v>
      </c>
      <c r="G2501" s="53"/>
    </row>
    <row r="2502">
      <c r="A2502" s="49">
        <v>44720.86657789352</v>
      </c>
      <c r="B2502" s="50">
        <v>44720.9915505208</v>
      </c>
      <c r="C2502" s="51">
        <v>1.008</v>
      </c>
      <c r="D2502" s="51">
        <v>66.0</v>
      </c>
      <c r="E2502" s="52" t="s">
        <v>25</v>
      </c>
      <c r="F2502" s="52" t="s">
        <v>26</v>
      </c>
      <c r="G2502" s="53"/>
    </row>
    <row r="2503">
      <c r="A2503" s="49">
        <v>44720.87699399306</v>
      </c>
      <c r="B2503" s="50">
        <v>44721.0019724884</v>
      </c>
      <c r="C2503" s="51">
        <v>1.009</v>
      </c>
      <c r="D2503" s="51">
        <v>66.0</v>
      </c>
      <c r="E2503" s="52" t="s">
        <v>25</v>
      </c>
      <c r="F2503" s="52" t="s">
        <v>26</v>
      </c>
      <c r="G2503" s="53"/>
    </row>
    <row r="2504">
      <c r="A2504" s="49">
        <v>44720.887417569444</v>
      </c>
      <c r="B2504" s="50">
        <v>44721.012392824</v>
      </c>
      <c r="C2504" s="51">
        <v>1.009</v>
      </c>
      <c r="D2504" s="51">
        <v>66.0</v>
      </c>
      <c r="E2504" s="52" t="s">
        <v>25</v>
      </c>
      <c r="F2504" s="52" t="s">
        <v>26</v>
      </c>
      <c r="G2504" s="53"/>
    </row>
    <row r="2505">
      <c r="A2505" s="49">
        <v>44720.897858854165</v>
      </c>
      <c r="B2505" s="50">
        <v>44721.0228371759</v>
      </c>
      <c r="C2505" s="51">
        <v>1.009</v>
      </c>
      <c r="D2505" s="51">
        <v>66.0</v>
      </c>
      <c r="E2505" s="52" t="s">
        <v>25</v>
      </c>
      <c r="F2505" s="52" t="s">
        <v>26</v>
      </c>
      <c r="G2505" s="53"/>
    </row>
    <row r="2506">
      <c r="A2506" s="49">
        <v>44720.90831363426</v>
      </c>
      <c r="B2506" s="50">
        <v>44721.0332703125</v>
      </c>
      <c r="C2506" s="51">
        <v>1.008</v>
      </c>
      <c r="D2506" s="51">
        <v>66.0</v>
      </c>
      <c r="E2506" s="52" t="s">
        <v>25</v>
      </c>
      <c r="F2506" s="52" t="s">
        <v>26</v>
      </c>
      <c r="G2506" s="53"/>
    </row>
    <row r="2507">
      <c r="A2507" s="49">
        <v>44720.918734363426</v>
      </c>
      <c r="B2507" s="50">
        <v>44721.0436899074</v>
      </c>
      <c r="C2507" s="51">
        <v>1.009</v>
      </c>
      <c r="D2507" s="51">
        <v>66.0</v>
      </c>
      <c r="E2507" s="52" t="s">
        <v>25</v>
      </c>
      <c r="F2507" s="52" t="s">
        <v>26</v>
      </c>
      <c r="G2507" s="53"/>
    </row>
    <row r="2508">
      <c r="A2508" s="49">
        <v>44720.92913696759</v>
      </c>
      <c r="B2508" s="50">
        <v>44721.054110868</v>
      </c>
      <c r="C2508" s="51">
        <v>1.009</v>
      </c>
      <c r="D2508" s="51">
        <v>66.0</v>
      </c>
      <c r="E2508" s="52" t="s">
        <v>25</v>
      </c>
      <c r="F2508" s="52" t="s">
        <v>26</v>
      </c>
      <c r="G2508" s="53"/>
    </row>
    <row r="2509">
      <c r="A2509" s="49">
        <v>44720.93957155093</v>
      </c>
      <c r="B2509" s="50">
        <v>44721.0645424768</v>
      </c>
      <c r="C2509" s="51">
        <v>1.009</v>
      </c>
      <c r="D2509" s="51">
        <v>66.0</v>
      </c>
      <c r="E2509" s="52" t="s">
        <v>25</v>
      </c>
      <c r="F2509" s="52" t="s">
        <v>26</v>
      </c>
      <c r="G2509" s="53"/>
    </row>
    <row r="2510">
      <c r="A2510" s="49">
        <v>44720.949992361115</v>
      </c>
      <c r="B2510" s="50">
        <v>44721.0749614351</v>
      </c>
      <c r="C2510" s="51">
        <v>1.009</v>
      </c>
      <c r="D2510" s="51">
        <v>66.0</v>
      </c>
      <c r="E2510" s="52" t="s">
        <v>25</v>
      </c>
      <c r="F2510" s="52" t="s">
        <v>26</v>
      </c>
      <c r="G2510" s="53"/>
    </row>
    <row r="2511">
      <c r="A2511" s="49">
        <v>44720.96042405092</v>
      </c>
      <c r="B2511" s="50">
        <v>44721.0853827314</v>
      </c>
      <c r="C2511" s="51">
        <v>1.009</v>
      </c>
      <c r="D2511" s="51">
        <v>66.0</v>
      </c>
      <c r="E2511" s="52" t="s">
        <v>25</v>
      </c>
      <c r="F2511" s="52" t="s">
        <v>26</v>
      </c>
      <c r="G2511" s="53"/>
    </row>
    <row r="2512">
      <c r="A2512" s="49">
        <v>44720.970828969905</v>
      </c>
      <c r="B2512" s="50">
        <v>44721.0958036805</v>
      </c>
      <c r="C2512" s="51">
        <v>1.009</v>
      </c>
      <c r="D2512" s="51">
        <v>66.0</v>
      </c>
      <c r="E2512" s="52" t="s">
        <v>25</v>
      </c>
      <c r="F2512" s="52" t="s">
        <v>26</v>
      </c>
      <c r="G2512" s="53"/>
    </row>
    <row r="2513">
      <c r="A2513" s="49">
        <v>44720.981262905094</v>
      </c>
      <c r="B2513" s="50">
        <v>44721.1062363773</v>
      </c>
      <c r="C2513" s="51">
        <v>1.009</v>
      </c>
      <c r="D2513" s="51">
        <v>66.0</v>
      </c>
      <c r="E2513" s="52" t="s">
        <v>25</v>
      </c>
      <c r="F2513" s="52" t="s">
        <v>26</v>
      </c>
      <c r="G2513" s="53"/>
    </row>
    <row r="2514">
      <c r="A2514" s="49">
        <v>44720.991682719905</v>
      </c>
      <c r="B2514" s="50">
        <v>44721.1166564814</v>
      </c>
      <c r="C2514" s="51">
        <v>1.009</v>
      </c>
      <c r="D2514" s="51">
        <v>66.0</v>
      </c>
      <c r="E2514" s="52" t="s">
        <v>25</v>
      </c>
      <c r="F2514" s="52" t="s">
        <v>26</v>
      </c>
      <c r="G2514" s="53"/>
    </row>
    <row r="2515">
      <c r="A2515" s="49">
        <v>44721.00210033565</v>
      </c>
      <c r="B2515" s="50">
        <v>44721.1270766088</v>
      </c>
      <c r="C2515" s="51">
        <v>1.008</v>
      </c>
      <c r="D2515" s="51">
        <v>66.0</v>
      </c>
      <c r="E2515" s="52" t="s">
        <v>25</v>
      </c>
      <c r="F2515" s="52" t="s">
        <v>26</v>
      </c>
      <c r="G2515" s="53"/>
    </row>
    <row r="2516">
      <c r="A2516" s="49">
        <v>44721.01251903935</v>
      </c>
      <c r="B2516" s="50">
        <v>44721.1374964351</v>
      </c>
      <c r="C2516" s="51">
        <v>1.008</v>
      </c>
      <c r="D2516" s="51">
        <v>66.0</v>
      </c>
      <c r="E2516" s="52" t="s">
        <v>25</v>
      </c>
      <c r="F2516" s="52" t="s">
        <v>26</v>
      </c>
      <c r="G2516" s="53"/>
    </row>
    <row r="2517">
      <c r="A2517" s="49">
        <v>44721.02295799769</v>
      </c>
      <c r="B2517" s="50">
        <v>44721.1479286921</v>
      </c>
      <c r="C2517" s="51">
        <v>1.008</v>
      </c>
      <c r="D2517" s="51">
        <v>66.0</v>
      </c>
      <c r="E2517" s="52" t="s">
        <v>25</v>
      </c>
      <c r="F2517" s="52" t="s">
        <v>26</v>
      </c>
      <c r="G2517" s="53"/>
    </row>
    <row r="2518">
      <c r="A2518" s="49">
        <v>44721.03338689815</v>
      </c>
      <c r="B2518" s="50">
        <v>44721.15836228</v>
      </c>
      <c r="C2518" s="51">
        <v>1.008</v>
      </c>
      <c r="D2518" s="51">
        <v>66.0</v>
      </c>
      <c r="E2518" s="52" t="s">
        <v>25</v>
      </c>
      <c r="F2518" s="52" t="s">
        <v>26</v>
      </c>
      <c r="G2518" s="53"/>
    </row>
    <row r="2519">
      <c r="A2519" s="49">
        <v>44721.0438115625</v>
      </c>
      <c r="B2519" s="50">
        <v>44721.1687843171</v>
      </c>
      <c r="C2519" s="51">
        <v>1.009</v>
      </c>
      <c r="D2519" s="51">
        <v>66.0</v>
      </c>
      <c r="E2519" s="52" t="s">
        <v>25</v>
      </c>
      <c r="F2519" s="52" t="s">
        <v>26</v>
      </c>
      <c r="G2519" s="53"/>
    </row>
    <row r="2520">
      <c r="A2520" s="49">
        <v>44721.05423409722</v>
      </c>
      <c r="B2520" s="50">
        <v>44721.1792055208</v>
      </c>
      <c r="C2520" s="51">
        <v>1.009</v>
      </c>
      <c r="D2520" s="51">
        <v>66.0</v>
      </c>
      <c r="E2520" s="52" t="s">
        <v>25</v>
      </c>
      <c r="F2520" s="52" t="s">
        <v>26</v>
      </c>
      <c r="G2520" s="53"/>
    </row>
    <row r="2521">
      <c r="A2521" s="49">
        <v>44721.06467792824</v>
      </c>
      <c r="B2521" s="50">
        <v>44721.1896493055</v>
      </c>
      <c r="C2521" s="51">
        <v>1.009</v>
      </c>
      <c r="D2521" s="51">
        <v>66.0</v>
      </c>
      <c r="E2521" s="52" t="s">
        <v>25</v>
      </c>
      <c r="F2521" s="52" t="s">
        <v>26</v>
      </c>
      <c r="G2521" s="53"/>
    </row>
    <row r="2522">
      <c r="A2522" s="49">
        <v>44721.075097939814</v>
      </c>
      <c r="B2522" s="50">
        <v>44721.2000699537</v>
      </c>
      <c r="C2522" s="51">
        <v>1.009</v>
      </c>
      <c r="D2522" s="51">
        <v>66.0</v>
      </c>
      <c r="E2522" s="52" t="s">
        <v>25</v>
      </c>
      <c r="F2522" s="52" t="s">
        <v>26</v>
      </c>
      <c r="G2522" s="53"/>
    </row>
    <row r="2523">
      <c r="A2523" s="49">
        <v>44721.0855299074</v>
      </c>
      <c r="B2523" s="50">
        <v>44721.2105018402</v>
      </c>
      <c r="C2523" s="51">
        <v>1.009</v>
      </c>
      <c r="D2523" s="51">
        <v>66.0</v>
      </c>
      <c r="E2523" s="52" t="s">
        <v>25</v>
      </c>
      <c r="F2523" s="52" t="s">
        <v>26</v>
      </c>
      <c r="G2523" s="53"/>
    </row>
    <row r="2524">
      <c r="A2524" s="49">
        <v>44721.095948472226</v>
      </c>
      <c r="B2524" s="50">
        <v>44721.2209223263</v>
      </c>
      <c r="C2524" s="51">
        <v>1.009</v>
      </c>
      <c r="D2524" s="51">
        <v>66.0</v>
      </c>
      <c r="E2524" s="52" t="s">
        <v>25</v>
      </c>
      <c r="F2524" s="52" t="s">
        <v>26</v>
      </c>
      <c r="G2524" s="53"/>
    </row>
    <row r="2525">
      <c r="A2525" s="49">
        <v>44721.10637061343</v>
      </c>
      <c r="B2525" s="50">
        <v>44721.231343912</v>
      </c>
      <c r="C2525" s="51">
        <v>1.008</v>
      </c>
      <c r="D2525" s="51">
        <v>66.0</v>
      </c>
      <c r="E2525" s="52" t="s">
        <v>25</v>
      </c>
      <c r="F2525" s="52" t="s">
        <v>26</v>
      </c>
      <c r="G2525" s="53"/>
    </row>
    <row r="2526">
      <c r="A2526" s="49">
        <v>44721.11680134259</v>
      </c>
      <c r="B2526" s="50">
        <v>44721.2417766319</v>
      </c>
      <c r="C2526" s="51">
        <v>1.008</v>
      </c>
      <c r="D2526" s="51">
        <v>66.0</v>
      </c>
      <c r="E2526" s="52" t="s">
        <v>25</v>
      </c>
      <c r="F2526" s="52" t="s">
        <v>26</v>
      </c>
      <c r="G2526" s="53"/>
    </row>
    <row r="2527">
      <c r="A2527" s="49">
        <v>44721.12722409722</v>
      </c>
      <c r="B2527" s="50">
        <v>44721.2521994212</v>
      </c>
      <c r="C2527" s="51">
        <v>1.008</v>
      </c>
      <c r="D2527" s="51">
        <v>66.0</v>
      </c>
      <c r="E2527" s="52" t="s">
        <v>25</v>
      </c>
      <c r="F2527" s="52" t="s">
        <v>26</v>
      </c>
      <c r="G2527" s="53"/>
    </row>
    <row r="2528">
      <c r="A2528" s="49">
        <v>44721.137641134264</v>
      </c>
      <c r="B2528" s="50">
        <v>44721.2626218055</v>
      </c>
      <c r="C2528" s="51">
        <v>1.008</v>
      </c>
      <c r="D2528" s="51">
        <v>66.0</v>
      </c>
      <c r="E2528" s="52" t="s">
        <v>25</v>
      </c>
      <c r="F2528" s="52" t="s">
        <v>26</v>
      </c>
      <c r="G2528" s="53"/>
    </row>
    <row r="2529">
      <c r="A2529" s="49">
        <v>44721.148068055554</v>
      </c>
      <c r="B2529" s="50">
        <v>44721.2730422222</v>
      </c>
      <c r="C2529" s="51">
        <v>1.009</v>
      </c>
      <c r="D2529" s="51">
        <v>66.0</v>
      </c>
      <c r="E2529" s="52" t="s">
        <v>25</v>
      </c>
      <c r="F2529" s="52" t="s">
        <v>26</v>
      </c>
      <c r="G2529" s="53"/>
    </row>
    <row r="2530">
      <c r="A2530" s="49">
        <v>44721.15848827546</v>
      </c>
      <c r="B2530" s="50">
        <v>44721.2834625231</v>
      </c>
      <c r="C2530" s="51">
        <v>1.008</v>
      </c>
      <c r="D2530" s="51">
        <v>66.0</v>
      </c>
      <c r="E2530" s="52" t="s">
        <v>25</v>
      </c>
      <c r="F2530" s="52" t="s">
        <v>26</v>
      </c>
      <c r="G2530" s="53"/>
    </row>
    <row r="2531">
      <c r="A2531" s="49">
        <v>44721.16890655093</v>
      </c>
      <c r="B2531" s="50">
        <v>44721.2938832291</v>
      </c>
      <c r="C2531" s="51">
        <v>1.008</v>
      </c>
      <c r="D2531" s="51">
        <v>66.0</v>
      </c>
      <c r="E2531" s="52" t="s">
        <v>25</v>
      </c>
      <c r="F2531" s="52" t="s">
        <v>26</v>
      </c>
      <c r="G2531" s="53"/>
    </row>
    <row r="2532">
      <c r="A2532" s="49">
        <v>44721.17933296296</v>
      </c>
      <c r="B2532" s="50">
        <v>44721.3043045833</v>
      </c>
      <c r="C2532" s="51">
        <v>1.008</v>
      </c>
      <c r="D2532" s="51">
        <v>66.0</v>
      </c>
      <c r="E2532" s="52" t="s">
        <v>25</v>
      </c>
      <c r="F2532" s="52" t="s">
        <v>26</v>
      </c>
      <c r="G2532" s="53"/>
    </row>
    <row r="2533">
      <c r="A2533" s="49">
        <v>44721.18974153935</v>
      </c>
      <c r="B2533" s="50">
        <v>44721.3147261458</v>
      </c>
      <c r="C2533" s="51">
        <v>1.008</v>
      </c>
      <c r="D2533" s="51">
        <v>66.0</v>
      </c>
      <c r="E2533" s="52" t="s">
        <v>25</v>
      </c>
      <c r="F2533" s="52" t="s">
        <v>26</v>
      </c>
      <c r="G2533" s="53"/>
    </row>
    <row r="2534">
      <c r="A2534" s="49">
        <v>44721.20017653935</v>
      </c>
      <c r="B2534" s="50">
        <v>44721.3251474421</v>
      </c>
      <c r="C2534" s="51">
        <v>1.008</v>
      </c>
      <c r="D2534" s="51">
        <v>66.0</v>
      </c>
      <c r="E2534" s="52" t="s">
        <v>25</v>
      </c>
      <c r="F2534" s="52" t="s">
        <v>26</v>
      </c>
      <c r="G2534" s="53"/>
    </row>
    <row r="2535">
      <c r="A2535" s="49">
        <v>44721.21059752315</v>
      </c>
      <c r="B2535" s="50">
        <v>44721.3355698032</v>
      </c>
      <c r="C2535" s="51">
        <v>1.009</v>
      </c>
      <c r="D2535" s="51">
        <v>66.0</v>
      </c>
      <c r="E2535" s="52" t="s">
        <v>25</v>
      </c>
      <c r="F2535" s="52" t="s">
        <v>26</v>
      </c>
      <c r="G2535" s="53"/>
    </row>
    <row r="2536">
      <c r="A2536" s="49">
        <v>44721.22101480324</v>
      </c>
      <c r="B2536" s="50">
        <v>44721.3459888657</v>
      </c>
      <c r="C2536" s="51">
        <v>1.008</v>
      </c>
      <c r="D2536" s="51">
        <v>66.0</v>
      </c>
      <c r="E2536" s="52" t="s">
        <v>25</v>
      </c>
      <c r="F2536" s="52" t="s">
        <v>26</v>
      </c>
      <c r="G2536" s="53"/>
    </row>
    <row r="2537">
      <c r="A2537" s="49">
        <v>44721.23143516204</v>
      </c>
      <c r="B2537" s="50">
        <v>44721.3564108217</v>
      </c>
      <c r="C2537" s="51">
        <v>1.009</v>
      </c>
      <c r="D2537" s="51">
        <v>66.0</v>
      </c>
      <c r="E2537" s="52" t="s">
        <v>25</v>
      </c>
      <c r="F2537" s="52" t="s">
        <v>26</v>
      </c>
      <c r="G2537" s="53"/>
    </row>
    <row r="2538">
      <c r="A2538" s="49">
        <v>44721.24186534723</v>
      </c>
      <c r="B2538" s="50">
        <v>44721.3668439236</v>
      </c>
      <c r="C2538" s="51">
        <v>1.009</v>
      </c>
      <c r="D2538" s="51">
        <v>66.0</v>
      </c>
      <c r="E2538" s="52" t="s">
        <v>25</v>
      </c>
      <c r="F2538" s="52" t="s">
        <v>26</v>
      </c>
      <c r="G2538" s="53"/>
    </row>
    <row r="2539">
      <c r="A2539" s="49">
        <v>44721.25228622685</v>
      </c>
      <c r="B2539" s="50">
        <v>44721.3772664699</v>
      </c>
      <c r="C2539" s="51">
        <v>1.008</v>
      </c>
      <c r="D2539" s="51">
        <v>66.0</v>
      </c>
      <c r="E2539" s="52" t="s">
        <v>25</v>
      </c>
      <c r="F2539" s="52" t="s">
        <v>26</v>
      </c>
      <c r="G2539" s="53"/>
    </row>
    <row r="2540">
      <c r="A2540" s="49">
        <v>44721.26273952547</v>
      </c>
      <c r="B2540" s="50">
        <v>44721.3877231481</v>
      </c>
      <c r="C2540" s="51">
        <v>1.009</v>
      </c>
      <c r="D2540" s="51">
        <v>66.0</v>
      </c>
      <c r="E2540" s="52" t="s">
        <v>25</v>
      </c>
      <c r="F2540" s="52" t="s">
        <v>26</v>
      </c>
      <c r="G2540" s="53"/>
    </row>
    <row r="2541">
      <c r="A2541" s="49">
        <v>44721.273170092594</v>
      </c>
      <c r="B2541" s="50">
        <v>44721.3981432638</v>
      </c>
      <c r="C2541" s="51">
        <v>1.009</v>
      </c>
      <c r="D2541" s="51">
        <v>66.0</v>
      </c>
      <c r="E2541" s="52" t="s">
        <v>25</v>
      </c>
      <c r="F2541" s="52" t="s">
        <v>26</v>
      </c>
      <c r="G2541" s="53"/>
    </row>
    <row r="2542">
      <c r="A2542" s="49">
        <v>44721.28359421296</v>
      </c>
      <c r="B2542" s="50">
        <v>44721.4085649537</v>
      </c>
      <c r="C2542" s="51">
        <v>1.008</v>
      </c>
      <c r="D2542" s="51">
        <v>66.0</v>
      </c>
      <c r="E2542" s="52" t="s">
        <v>25</v>
      </c>
      <c r="F2542" s="52" t="s">
        <v>26</v>
      </c>
      <c r="G2542" s="53"/>
    </row>
    <row r="2543">
      <c r="A2543" s="49">
        <v>44721.29400663194</v>
      </c>
      <c r="B2543" s="50">
        <v>44721.4189848148</v>
      </c>
      <c r="C2543" s="51">
        <v>1.008</v>
      </c>
      <c r="D2543" s="51">
        <v>66.0</v>
      </c>
      <c r="E2543" s="52" t="s">
        <v>25</v>
      </c>
      <c r="F2543" s="52" t="s">
        <v>26</v>
      </c>
      <c r="G2543" s="53"/>
    </row>
    <row r="2544">
      <c r="A2544" s="49">
        <v>44721.304426041665</v>
      </c>
      <c r="B2544" s="50">
        <v>44721.4294063657</v>
      </c>
      <c r="C2544" s="51">
        <v>1.008</v>
      </c>
      <c r="D2544" s="51">
        <v>66.0</v>
      </c>
      <c r="E2544" s="52" t="s">
        <v>25</v>
      </c>
      <c r="F2544" s="52" t="s">
        <v>26</v>
      </c>
      <c r="G2544" s="53"/>
    </row>
    <row r="2545">
      <c r="A2545" s="49">
        <v>44721.31486537037</v>
      </c>
      <c r="B2545" s="50">
        <v>44721.4398394907</v>
      </c>
      <c r="C2545" s="51">
        <v>1.009</v>
      </c>
      <c r="D2545" s="51">
        <v>66.0</v>
      </c>
      <c r="E2545" s="52" t="s">
        <v>25</v>
      </c>
      <c r="F2545" s="52" t="s">
        <v>26</v>
      </c>
      <c r="G2545" s="53"/>
    </row>
    <row r="2546">
      <c r="A2546" s="49">
        <v>44721.325287534724</v>
      </c>
      <c r="B2546" s="50">
        <v>44721.4502593055</v>
      </c>
      <c r="C2546" s="51">
        <v>1.008</v>
      </c>
      <c r="D2546" s="51">
        <v>66.0</v>
      </c>
      <c r="E2546" s="52" t="s">
        <v>25</v>
      </c>
      <c r="F2546" s="52" t="s">
        <v>26</v>
      </c>
      <c r="G2546" s="53"/>
    </row>
    <row r="2547">
      <c r="A2547" s="49">
        <v>44721.335707314814</v>
      </c>
      <c r="B2547" s="50">
        <v>44721.4606802893</v>
      </c>
      <c r="C2547" s="51">
        <v>1.008</v>
      </c>
      <c r="D2547" s="51">
        <v>66.0</v>
      </c>
      <c r="E2547" s="52" t="s">
        <v>25</v>
      </c>
      <c r="F2547" s="52" t="s">
        <v>26</v>
      </c>
      <c r="G2547" s="53"/>
    </row>
    <row r="2548">
      <c r="A2548" s="49">
        <v>44721.346126550925</v>
      </c>
      <c r="B2548" s="50">
        <v>44721.471103125</v>
      </c>
      <c r="C2548" s="51">
        <v>1.008</v>
      </c>
      <c r="D2548" s="51">
        <v>66.0</v>
      </c>
      <c r="E2548" s="52" t="s">
        <v>25</v>
      </c>
      <c r="F2548" s="52" t="s">
        <v>26</v>
      </c>
      <c r="G2548" s="53"/>
    </row>
    <row r="2549">
      <c r="A2549" s="49">
        <v>44721.35654677083</v>
      </c>
      <c r="B2549" s="50">
        <v>44721.4815251388</v>
      </c>
      <c r="C2549" s="51">
        <v>1.008</v>
      </c>
      <c r="D2549" s="51">
        <v>66.0</v>
      </c>
      <c r="E2549" s="52" t="s">
        <v>25</v>
      </c>
      <c r="F2549" s="52" t="s">
        <v>26</v>
      </c>
      <c r="G2549" s="53"/>
    </row>
    <row r="2550">
      <c r="A2550" s="49">
        <v>44721.366962037035</v>
      </c>
      <c r="B2550" s="50">
        <v>44721.4919445023</v>
      </c>
      <c r="C2550" s="51">
        <v>1.008</v>
      </c>
      <c r="D2550" s="51">
        <v>66.0</v>
      </c>
      <c r="E2550" s="52" t="s">
        <v>25</v>
      </c>
      <c r="F2550" s="52" t="s">
        <v>26</v>
      </c>
      <c r="G2550" s="53"/>
    </row>
    <row r="2551">
      <c r="A2551" s="49">
        <v>44721.37740484954</v>
      </c>
      <c r="B2551" s="50">
        <v>44721.502377662</v>
      </c>
      <c r="C2551" s="51">
        <v>1.008</v>
      </c>
      <c r="D2551" s="51">
        <v>66.0</v>
      </c>
      <c r="E2551" s="52" t="s">
        <v>25</v>
      </c>
      <c r="F2551" s="52" t="s">
        <v>26</v>
      </c>
      <c r="G2551" s="53"/>
    </row>
    <row r="2552">
      <c r="A2552" s="49">
        <v>44721.38782375</v>
      </c>
      <c r="B2552" s="50">
        <v>44721.5127992129</v>
      </c>
      <c r="C2552" s="51">
        <v>1.008</v>
      </c>
      <c r="D2552" s="51">
        <v>66.0</v>
      </c>
      <c r="E2552" s="52" t="s">
        <v>25</v>
      </c>
      <c r="F2552" s="52" t="s">
        <v>26</v>
      </c>
      <c r="G2552" s="53"/>
    </row>
    <row r="2553">
      <c r="A2553" s="49">
        <v>44721.39823811343</v>
      </c>
      <c r="B2553" s="50">
        <v>44721.523222037</v>
      </c>
      <c r="C2553" s="51">
        <v>1.008</v>
      </c>
      <c r="D2553" s="51">
        <v>66.0</v>
      </c>
      <c r="E2553" s="52" t="s">
        <v>25</v>
      </c>
      <c r="F2553" s="52" t="s">
        <v>26</v>
      </c>
      <c r="G2553" s="53"/>
    </row>
    <row r="2554">
      <c r="A2554" s="49">
        <v>44721.40869542824</v>
      </c>
      <c r="B2554" s="50">
        <v>44721.5336784259</v>
      </c>
      <c r="C2554" s="51">
        <v>1.008</v>
      </c>
      <c r="D2554" s="51">
        <v>66.0</v>
      </c>
      <c r="E2554" s="52" t="s">
        <v>25</v>
      </c>
      <c r="F2554" s="52" t="s">
        <v>26</v>
      </c>
      <c r="G2554" s="53"/>
    </row>
    <row r="2555">
      <c r="A2555" s="49">
        <v>44721.41912832176</v>
      </c>
      <c r="B2555" s="50">
        <v>44721.5441004398</v>
      </c>
      <c r="C2555" s="51">
        <v>1.008</v>
      </c>
      <c r="D2555" s="51">
        <v>66.0</v>
      </c>
      <c r="E2555" s="52" t="s">
        <v>25</v>
      </c>
      <c r="F2555" s="52" t="s">
        <v>26</v>
      </c>
      <c r="G2555" s="53"/>
    </row>
    <row r="2556">
      <c r="A2556" s="49">
        <v>44721.42956158565</v>
      </c>
      <c r="B2556" s="50">
        <v>44721.5545340509</v>
      </c>
      <c r="C2556" s="51">
        <v>1.008</v>
      </c>
      <c r="D2556" s="51">
        <v>66.0</v>
      </c>
      <c r="E2556" s="52" t="s">
        <v>25</v>
      </c>
      <c r="F2556" s="52" t="s">
        <v>26</v>
      </c>
      <c r="G2556" s="53"/>
    </row>
    <row r="2557">
      <c r="A2557" s="49">
        <v>44721.43998109954</v>
      </c>
      <c r="B2557" s="50">
        <v>44721.5649549884</v>
      </c>
      <c r="C2557" s="51">
        <v>1.009</v>
      </c>
      <c r="D2557" s="51">
        <v>66.0</v>
      </c>
      <c r="E2557" s="52" t="s">
        <v>25</v>
      </c>
      <c r="F2557" s="52" t="s">
        <v>26</v>
      </c>
      <c r="G2557" s="53"/>
    </row>
    <row r="2558">
      <c r="A2558" s="49">
        <v>44721.45040828704</v>
      </c>
      <c r="B2558" s="50">
        <v>44721.5753879282</v>
      </c>
      <c r="C2558" s="51">
        <v>1.008</v>
      </c>
      <c r="D2558" s="51">
        <v>66.0</v>
      </c>
      <c r="E2558" s="52" t="s">
        <v>25</v>
      </c>
      <c r="F2558" s="52" t="s">
        <v>26</v>
      </c>
      <c r="G2558" s="53"/>
    </row>
    <row r="2559">
      <c r="A2559" s="49">
        <v>44721.46083542824</v>
      </c>
      <c r="B2559" s="50">
        <v>44721.5858093981</v>
      </c>
      <c r="C2559" s="51">
        <v>1.008</v>
      </c>
      <c r="D2559" s="51">
        <v>66.0</v>
      </c>
      <c r="E2559" s="52" t="s">
        <v>25</v>
      </c>
      <c r="F2559" s="52" t="s">
        <v>26</v>
      </c>
      <c r="G2559" s="53"/>
    </row>
    <row r="2560">
      <c r="A2560" s="49">
        <v>44721.47124537037</v>
      </c>
      <c r="B2560" s="50">
        <v>44721.5962295717</v>
      </c>
      <c r="C2560" s="51">
        <v>1.008</v>
      </c>
      <c r="D2560" s="51">
        <v>66.0</v>
      </c>
      <c r="E2560" s="52" t="s">
        <v>25</v>
      </c>
      <c r="F2560" s="52" t="s">
        <v>26</v>
      </c>
      <c r="G2560" s="53"/>
    </row>
    <row r="2561">
      <c r="A2561" s="49">
        <v>44721.481667581014</v>
      </c>
      <c r="B2561" s="50">
        <v>44721.6066506828</v>
      </c>
      <c r="C2561" s="51">
        <v>1.008</v>
      </c>
      <c r="D2561" s="51">
        <v>66.0</v>
      </c>
      <c r="E2561" s="52" t="s">
        <v>25</v>
      </c>
      <c r="F2561" s="52" t="s">
        <v>26</v>
      </c>
      <c r="G2561" s="53"/>
    </row>
    <row r="2562">
      <c r="A2562" s="49">
        <v>44721.49209068287</v>
      </c>
      <c r="B2562" s="50">
        <v>44721.6170709606</v>
      </c>
      <c r="C2562" s="51">
        <v>1.008</v>
      </c>
      <c r="D2562" s="51">
        <v>66.0</v>
      </c>
      <c r="E2562" s="52" t="s">
        <v>25</v>
      </c>
      <c r="F2562" s="52" t="s">
        <v>26</v>
      </c>
      <c r="G2562" s="53"/>
    </row>
    <row r="2563">
      <c r="A2563" s="49">
        <v>44721.502521180555</v>
      </c>
      <c r="B2563" s="50">
        <v>44721.6274928125</v>
      </c>
      <c r="C2563" s="51">
        <v>1.008</v>
      </c>
      <c r="D2563" s="51">
        <v>66.0</v>
      </c>
      <c r="E2563" s="52" t="s">
        <v>25</v>
      </c>
      <c r="F2563" s="52" t="s">
        <v>26</v>
      </c>
      <c r="G2563" s="53"/>
    </row>
    <row r="2564">
      <c r="A2564" s="49">
        <v>44721.512950648146</v>
      </c>
      <c r="B2564" s="50">
        <v>44721.6379250694</v>
      </c>
      <c r="C2564" s="51">
        <v>1.008</v>
      </c>
      <c r="D2564" s="51">
        <v>66.0</v>
      </c>
      <c r="E2564" s="52" t="s">
        <v>25</v>
      </c>
      <c r="F2564" s="52" t="s">
        <v>26</v>
      </c>
      <c r="G2564" s="53"/>
    </row>
    <row r="2565">
      <c r="A2565" s="49">
        <v>44721.52337646991</v>
      </c>
      <c r="B2565" s="50">
        <v>44721.6483462963</v>
      </c>
      <c r="C2565" s="51">
        <v>1.008</v>
      </c>
      <c r="D2565" s="51">
        <v>66.0</v>
      </c>
      <c r="E2565" s="52" t="s">
        <v>25</v>
      </c>
      <c r="F2565" s="52" t="s">
        <v>26</v>
      </c>
      <c r="G2565" s="53"/>
    </row>
    <row r="2566">
      <c r="A2566" s="49">
        <v>44721.53378799769</v>
      </c>
      <c r="B2566" s="50">
        <v>44721.6587678703</v>
      </c>
      <c r="C2566" s="51">
        <v>1.008</v>
      </c>
      <c r="D2566" s="51">
        <v>66.0</v>
      </c>
      <c r="E2566" s="52" t="s">
        <v>25</v>
      </c>
      <c r="F2566" s="52" t="s">
        <v>26</v>
      </c>
      <c r="G2566" s="53"/>
    </row>
    <row r="2567">
      <c r="A2567" s="49">
        <v>44721.544208368054</v>
      </c>
      <c r="B2567" s="50">
        <v>44721.6691895486</v>
      </c>
      <c r="C2567" s="51">
        <v>1.008</v>
      </c>
      <c r="D2567" s="51">
        <v>66.0</v>
      </c>
      <c r="E2567" s="52" t="s">
        <v>25</v>
      </c>
      <c r="F2567" s="52" t="s">
        <v>26</v>
      </c>
      <c r="G2567" s="53"/>
    </row>
    <row r="2568">
      <c r="A2568" s="49">
        <v>44721.55463949074</v>
      </c>
      <c r="B2568" s="50">
        <v>44721.6796122106</v>
      </c>
      <c r="C2568" s="51">
        <v>1.008</v>
      </c>
      <c r="D2568" s="51">
        <v>66.0</v>
      </c>
      <c r="E2568" s="52" t="s">
        <v>25</v>
      </c>
      <c r="F2568" s="52" t="s">
        <v>26</v>
      </c>
      <c r="G2568" s="53"/>
    </row>
    <row r="2569">
      <c r="A2569" s="49">
        <v>44721.56505873843</v>
      </c>
      <c r="B2569" s="50">
        <v>44721.6900341666</v>
      </c>
      <c r="C2569" s="51">
        <v>1.008</v>
      </c>
      <c r="D2569" s="51">
        <v>66.0</v>
      </c>
      <c r="E2569" s="52" t="s">
        <v>25</v>
      </c>
      <c r="F2569" s="52" t="s">
        <v>26</v>
      </c>
      <c r="G2569" s="53"/>
    </row>
    <row r="2570">
      <c r="A2570" s="49">
        <v>44721.57547915509</v>
      </c>
      <c r="B2570" s="50">
        <v>44721.7004547685</v>
      </c>
      <c r="C2570" s="51">
        <v>1.008</v>
      </c>
      <c r="D2570" s="51">
        <v>67.0</v>
      </c>
      <c r="E2570" s="52" t="s">
        <v>25</v>
      </c>
      <c r="F2570" s="52" t="s">
        <v>26</v>
      </c>
      <c r="G2570" s="53"/>
    </row>
    <row r="2571">
      <c r="A2571" s="49">
        <v>44721.58590053241</v>
      </c>
      <c r="B2571" s="50">
        <v>44721.7108740625</v>
      </c>
      <c r="C2571" s="51">
        <v>1.008</v>
      </c>
      <c r="D2571" s="51">
        <v>67.0</v>
      </c>
      <c r="E2571" s="52" t="s">
        <v>25</v>
      </c>
      <c r="F2571" s="52" t="s">
        <v>26</v>
      </c>
      <c r="G2571" s="53"/>
    </row>
    <row r="2572">
      <c r="A2572" s="49">
        <v>44721.59633240741</v>
      </c>
      <c r="B2572" s="50">
        <v>44721.7213081018</v>
      </c>
      <c r="C2572" s="51">
        <v>1.008</v>
      </c>
      <c r="D2572" s="51">
        <v>67.0</v>
      </c>
      <c r="E2572" s="52" t="s">
        <v>25</v>
      </c>
      <c r="F2572" s="52" t="s">
        <v>26</v>
      </c>
      <c r="G2572" s="53"/>
    </row>
    <row r="2573">
      <c r="A2573" s="49">
        <v>44721.60675583333</v>
      </c>
      <c r="B2573" s="50">
        <v>44721.7317287152</v>
      </c>
      <c r="C2573" s="51">
        <v>1.008</v>
      </c>
      <c r="D2573" s="51">
        <v>67.0</v>
      </c>
      <c r="E2573" s="52" t="s">
        <v>25</v>
      </c>
      <c r="F2573" s="52" t="s">
        <v>26</v>
      </c>
      <c r="G2573" s="53"/>
    </row>
    <row r="2574">
      <c r="A2574" s="49">
        <v>44721.61717010417</v>
      </c>
      <c r="B2574" s="50">
        <v>44721.7421515393</v>
      </c>
      <c r="C2574" s="51">
        <v>1.008</v>
      </c>
      <c r="D2574" s="51">
        <v>67.0</v>
      </c>
      <c r="E2574" s="52" t="s">
        <v>25</v>
      </c>
      <c r="F2574" s="52" t="s">
        <v>26</v>
      </c>
      <c r="G2574" s="53"/>
    </row>
    <row r="2575">
      <c r="A2575" s="49">
        <v>44721.62766385417</v>
      </c>
      <c r="B2575" s="50">
        <v>44721.7526306944</v>
      </c>
      <c r="C2575" s="51">
        <v>1.008</v>
      </c>
      <c r="D2575" s="51">
        <v>67.0</v>
      </c>
      <c r="E2575" s="52" t="s">
        <v>25</v>
      </c>
      <c r="F2575" s="52" t="s">
        <v>26</v>
      </c>
      <c r="G2575" s="53"/>
    </row>
    <row r="2576">
      <c r="A2576" s="49">
        <v>44721.638093553236</v>
      </c>
      <c r="B2576" s="50">
        <v>44721.7630520138</v>
      </c>
      <c r="C2576" s="51">
        <v>1.008</v>
      </c>
      <c r="D2576" s="51">
        <v>67.0</v>
      </c>
      <c r="E2576" s="52" t="s">
        <v>25</v>
      </c>
      <c r="F2576" s="52" t="s">
        <v>26</v>
      </c>
      <c r="G2576" s="53"/>
    </row>
    <row r="2577">
      <c r="A2577" s="49">
        <v>44721.64850189815</v>
      </c>
      <c r="B2577" s="50">
        <v>44721.7734727777</v>
      </c>
      <c r="C2577" s="51">
        <v>1.008</v>
      </c>
      <c r="D2577" s="51">
        <v>67.0</v>
      </c>
      <c r="E2577" s="52" t="s">
        <v>25</v>
      </c>
      <c r="F2577" s="52" t="s">
        <v>26</v>
      </c>
      <c r="G2577" s="53"/>
    </row>
    <row r="2578">
      <c r="A2578" s="49">
        <v>44721.658923587966</v>
      </c>
      <c r="B2578" s="50">
        <v>44721.7838948611</v>
      </c>
      <c r="C2578" s="51">
        <v>1.008</v>
      </c>
      <c r="D2578" s="51">
        <v>67.0</v>
      </c>
      <c r="E2578" s="52" t="s">
        <v>25</v>
      </c>
      <c r="F2578" s="52" t="s">
        <v>26</v>
      </c>
      <c r="G2578" s="53"/>
    </row>
    <row r="2579">
      <c r="A2579" s="49">
        <v>44721.66933991898</v>
      </c>
      <c r="B2579" s="50">
        <v>44721.7943163078</v>
      </c>
      <c r="C2579" s="51">
        <v>1.008</v>
      </c>
      <c r="D2579" s="51">
        <v>67.0</v>
      </c>
      <c r="E2579" s="52" t="s">
        <v>25</v>
      </c>
      <c r="F2579" s="52" t="s">
        <v>26</v>
      </c>
      <c r="G2579" s="53"/>
    </row>
    <row r="2580">
      <c r="A2580" s="49">
        <v>44721.67977096065</v>
      </c>
      <c r="B2580" s="50">
        <v>44721.8047496296</v>
      </c>
      <c r="C2580" s="51">
        <v>1.008</v>
      </c>
      <c r="D2580" s="51">
        <v>67.0</v>
      </c>
      <c r="E2580" s="52" t="s">
        <v>25</v>
      </c>
      <c r="F2580" s="52" t="s">
        <v>26</v>
      </c>
      <c r="G2580" s="53"/>
    </row>
    <row r="2581">
      <c r="A2581" s="49">
        <v>44721.69018643518</v>
      </c>
      <c r="B2581" s="50">
        <v>44721.8151706828</v>
      </c>
      <c r="C2581" s="51">
        <v>1.008</v>
      </c>
      <c r="D2581" s="51">
        <v>67.0</v>
      </c>
      <c r="E2581" s="52" t="s">
        <v>25</v>
      </c>
      <c r="F2581" s="52" t="s">
        <v>26</v>
      </c>
      <c r="G2581" s="53"/>
    </row>
    <row r="2582">
      <c r="A2582" s="49">
        <v>44721.70061875</v>
      </c>
      <c r="B2582" s="50">
        <v>44721.825591956</v>
      </c>
      <c r="C2582" s="51">
        <v>1.008</v>
      </c>
      <c r="D2582" s="51">
        <v>67.0</v>
      </c>
      <c r="E2582" s="52" t="s">
        <v>25</v>
      </c>
      <c r="F2582" s="52" t="s">
        <v>26</v>
      </c>
      <c r="G2582" s="53"/>
    </row>
    <row r="2583">
      <c r="A2583" s="49">
        <v>44721.71104458334</v>
      </c>
      <c r="B2583" s="50">
        <v>44721.8360136226</v>
      </c>
      <c r="C2583" s="51">
        <v>1.008</v>
      </c>
      <c r="D2583" s="51">
        <v>67.0</v>
      </c>
      <c r="E2583" s="52" t="s">
        <v>25</v>
      </c>
      <c r="F2583" s="52" t="s">
        <v>26</v>
      </c>
      <c r="G2583" s="53"/>
    </row>
    <row r="2584">
      <c r="A2584" s="49">
        <v>44721.721459513894</v>
      </c>
      <c r="B2584" s="50">
        <v>44721.8464342129</v>
      </c>
      <c r="C2584" s="51">
        <v>1.008</v>
      </c>
      <c r="D2584" s="51">
        <v>67.0</v>
      </c>
      <c r="E2584" s="52" t="s">
        <v>25</v>
      </c>
      <c r="F2584" s="52" t="s">
        <v>26</v>
      </c>
      <c r="G2584" s="53"/>
    </row>
    <row r="2585">
      <c r="A2585" s="49">
        <v>44721.73187996528</v>
      </c>
      <c r="B2585" s="50">
        <v>44721.8568555092</v>
      </c>
      <c r="C2585" s="51">
        <v>1.008</v>
      </c>
      <c r="D2585" s="51">
        <v>67.0</v>
      </c>
      <c r="E2585" s="52" t="s">
        <v>25</v>
      </c>
      <c r="F2585" s="52" t="s">
        <v>26</v>
      </c>
      <c r="G2585" s="53"/>
    </row>
    <row r="2586">
      <c r="A2586" s="49">
        <v>44721.742299942125</v>
      </c>
      <c r="B2586" s="50">
        <v>44721.8672766203</v>
      </c>
      <c r="C2586" s="51">
        <v>1.008</v>
      </c>
      <c r="D2586" s="51">
        <v>67.0</v>
      </c>
      <c r="E2586" s="52" t="s">
        <v>25</v>
      </c>
      <c r="F2586" s="52" t="s">
        <v>26</v>
      </c>
      <c r="G2586" s="53"/>
    </row>
    <row r="2587">
      <c r="A2587" s="49">
        <v>44721.752717881944</v>
      </c>
      <c r="B2587" s="50">
        <v>44721.8776983333</v>
      </c>
      <c r="C2587" s="51">
        <v>1.008</v>
      </c>
      <c r="D2587" s="51">
        <v>67.0</v>
      </c>
      <c r="E2587" s="52" t="s">
        <v>25</v>
      </c>
      <c r="F2587" s="52" t="s">
        <v>26</v>
      </c>
      <c r="G2587" s="53"/>
    </row>
    <row r="2588">
      <c r="A2588" s="49">
        <v>44721.76314601852</v>
      </c>
      <c r="B2588" s="50">
        <v>44721.8881193055</v>
      </c>
      <c r="C2588" s="51">
        <v>1.008</v>
      </c>
      <c r="D2588" s="51">
        <v>67.0</v>
      </c>
      <c r="E2588" s="52" t="s">
        <v>25</v>
      </c>
      <c r="F2588" s="52" t="s">
        <v>26</v>
      </c>
      <c r="G2588" s="53"/>
    </row>
    <row r="2589">
      <c r="A2589" s="49">
        <v>44721.773566435186</v>
      </c>
      <c r="B2589" s="50">
        <v>44721.8985398032</v>
      </c>
      <c r="C2589" s="51">
        <v>1.008</v>
      </c>
      <c r="D2589" s="51">
        <v>67.0</v>
      </c>
      <c r="E2589" s="52" t="s">
        <v>25</v>
      </c>
      <c r="F2589" s="52" t="s">
        <v>26</v>
      </c>
      <c r="G2589" s="53"/>
    </row>
    <row r="2590">
      <c r="A2590" s="49">
        <v>44721.78398663194</v>
      </c>
      <c r="B2590" s="50">
        <v>44721.9089614236</v>
      </c>
      <c r="C2590" s="51">
        <v>1.008</v>
      </c>
      <c r="D2590" s="51">
        <v>67.0</v>
      </c>
      <c r="E2590" s="52" t="s">
        <v>25</v>
      </c>
      <c r="F2590" s="52" t="s">
        <v>26</v>
      </c>
      <c r="G2590" s="53"/>
    </row>
    <row r="2591">
      <c r="A2591" s="49">
        <v>44721.79442160879</v>
      </c>
      <c r="B2591" s="50">
        <v>44721.9193824074</v>
      </c>
      <c r="C2591" s="51">
        <v>1.008</v>
      </c>
      <c r="D2591" s="51">
        <v>67.0</v>
      </c>
      <c r="E2591" s="52" t="s">
        <v>25</v>
      </c>
      <c r="F2591" s="52" t="s">
        <v>26</v>
      </c>
      <c r="G2591" s="53"/>
    </row>
    <row r="2592">
      <c r="A2592" s="49">
        <v>44721.80482585648</v>
      </c>
      <c r="B2592" s="50">
        <v>44721.9298026967</v>
      </c>
      <c r="C2592" s="51">
        <v>1.008</v>
      </c>
      <c r="D2592" s="51">
        <v>67.0</v>
      </c>
      <c r="E2592" s="52" t="s">
        <v>25</v>
      </c>
      <c r="F2592" s="52" t="s">
        <v>26</v>
      </c>
      <c r="G2592" s="53"/>
    </row>
    <row r="2593">
      <c r="A2593" s="49">
        <v>44721.81524797453</v>
      </c>
      <c r="B2593" s="50">
        <v>44721.9402254513</v>
      </c>
      <c r="C2593" s="51">
        <v>1.008</v>
      </c>
      <c r="D2593" s="51">
        <v>67.0</v>
      </c>
      <c r="E2593" s="52" t="s">
        <v>25</v>
      </c>
      <c r="F2593" s="52" t="s">
        <v>26</v>
      </c>
      <c r="G2593" s="53"/>
    </row>
    <row r="2594">
      <c r="A2594" s="49">
        <v>44721.82567435185</v>
      </c>
      <c r="B2594" s="50">
        <v>44721.9506471296</v>
      </c>
      <c r="C2594" s="51">
        <v>1.008</v>
      </c>
      <c r="D2594" s="51">
        <v>67.0</v>
      </c>
      <c r="E2594" s="52" t="s">
        <v>25</v>
      </c>
      <c r="F2594" s="52" t="s">
        <v>26</v>
      </c>
      <c r="G2594" s="53"/>
    </row>
    <row r="2595">
      <c r="A2595" s="49">
        <v>44721.83609697917</v>
      </c>
      <c r="B2595" s="50">
        <v>44721.9610697569</v>
      </c>
      <c r="C2595" s="51">
        <v>1.008</v>
      </c>
      <c r="D2595" s="51">
        <v>67.0</v>
      </c>
      <c r="E2595" s="52" t="s">
        <v>25</v>
      </c>
      <c r="F2595" s="52" t="s">
        <v>26</v>
      </c>
      <c r="G2595" s="53"/>
    </row>
    <row r="2596">
      <c r="A2596" s="49">
        <v>44721.84654417824</v>
      </c>
      <c r="B2596" s="50">
        <v>44721.9715147453</v>
      </c>
      <c r="C2596" s="51">
        <v>1.008</v>
      </c>
      <c r="D2596" s="51">
        <v>67.0</v>
      </c>
      <c r="E2596" s="52" t="s">
        <v>25</v>
      </c>
      <c r="F2596" s="52" t="s">
        <v>26</v>
      </c>
      <c r="G2596" s="53"/>
    </row>
    <row r="2597">
      <c r="A2597" s="49">
        <v>44721.85699033565</v>
      </c>
      <c r="B2597" s="50">
        <v>44721.9819591087</v>
      </c>
      <c r="C2597" s="51">
        <v>1.008</v>
      </c>
      <c r="D2597" s="51">
        <v>67.0</v>
      </c>
      <c r="E2597" s="52" t="s">
        <v>25</v>
      </c>
      <c r="F2597" s="52" t="s">
        <v>26</v>
      </c>
      <c r="G2597" s="53"/>
    </row>
    <row r="2598">
      <c r="A2598" s="49">
        <v>44721.86740990741</v>
      </c>
      <c r="B2598" s="50">
        <v>44721.9923800115</v>
      </c>
      <c r="C2598" s="51">
        <v>1.008</v>
      </c>
      <c r="D2598" s="51">
        <v>67.0</v>
      </c>
      <c r="E2598" s="52" t="s">
        <v>25</v>
      </c>
      <c r="F2598" s="52" t="s">
        <v>26</v>
      </c>
      <c r="G2598" s="53"/>
    </row>
    <row r="2599">
      <c r="A2599" s="49">
        <v>44721.87782548611</v>
      </c>
      <c r="B2599" s="50">
        <v>44722.0027998379</v>
      </c>
      <c r="C2599" s="51">
        <v>1.008</v>
      </c>
      <c r="D2599" s="51">
        <v>67.0</v>
      </c>
      <c r="E2599" s="52" t="s">
        <v>25</v>
      </c>
      <c r="F2599" s="52" t="s">
        <v>26</v>
      </c>
      <c r="G2599" s="53"/>
    </row>
    <row r="2600">
      <c r="A2600" s="49">
        <v>44721.8882440625</v>
      </c>
      <c r="B2600" s="50">
        <v>44722.0132214236</v>
      </c>
      <c r="C2600" s="51">
        <v>1.008</v>
      </c>
      <c r="D2600" s="51">
        <v>67.0</v>
      </c>
      <c r="E2600" s="52" t="s">
        <v>25</v>
      </c>
      <c r="F2600" s="52" t="s">
        <v>26</v>
      </c>
      <c r="G2600" s="53"/>
    </row>
    <row r="2601">
      <c r="A2601" s="49">
        <v>44721.89869361111</v>
      </c>
      <c r="B2601" s="50">
        <v>44722.0236675115</v>
      </c>
      <c r="C2601" s="51">
        <v>1.008</v>
      </c>
      <c r="D2601" s="51">
        <v>67.0</v>
      </c>
      <c r="E2601" s="52" t="s">
        <v>25</v>
      </c>
      <c r="F2601" s="52" t="s">
        <v>26</v>
      </c>
      <c r="G2601" s="53"/>
    </row>
    <row r="2602">
      <c r="A2602" s="49">
        <v>44721.90911862269</v>
      </c>
      <c r="B2602" s="50">
        <v>44722.0340892129</v>
      </c>
      <c r="C2602" s="51">
        <v>1.008</v>
      </c>
      <c r="D2602" s="51">
        <v>67.0</v>
      </c>
      <c r="E2602" s="52" t="s">
        <v>25</v>
      </c>
      <c r="F2602" s="52" t="s">
        <v>26</v>
      </c>
      <c r="G2602" s="53"/>
    </row>
    <row r="2603">
      <c r="A2603" s="49">
        <v>44721.919545358796</v>
      </c>
      <c r="B2603" s="50">
        <v>44722.0445229629</v>
      </c>
      <c r="C2603" s="51">
        <v>1.008</v>
      </c>
      <c r="D2603" s="51">
        <v>67.0</v>
      </c>
      <c r="E2603" s="52" t="s">
        <v>25</v>
      </c>
      <c r="F2603" s="52" t="s">
        <v>26</v>
      </c>
      <c r="G2603" s="53"/>
    </row>
    <row r="2604">
      <c r="A2604" s="49">
        <v>44721.929962800925</v>
      </c>
      <c r="B2604" s="50">
        <v>44722.0549454976</v>
      </c>
      <c r="C2604" s="51">
        <v>1.008</v>
      </c>
      <c r="D2604" s="51">
        <v>67.0</v>
      </c>
      <c r="E2604" s="52" t="s">
        <v>25</v>
      </c>
      <c r="F2604" s="52" t="s">
        <v>26</v>
      </c>
      <c r="G2604" s="53"/>
    </row>
    <row r="2605">
      <c r="A2605" s="49">
        <v>44721.94039280093</v>
      </c>
      <c r="B2605" s="50">
        <v>44722.0653680092</v>
      </c>
      <c r="C2605" s="51">
        <v>1.008</v>
      </c>
      <c r="D2605" s="51">
        <v>67.0</v>
      </c>
      <c r="E2605" s="52" t="s">
        <v>25</v>
      </c>
      <c r="F2605" s="52" t="s">
        <v>26</v>
      </c>
      <c r="G2605" s="53"/>
    </row>
    <row r="2606">
      <c r="A2606" s="49">
        <v>44721.95081496528</v>
      </c>
      <c r="B2606" s="50">
        <v>44722.0757879513</v>
      </c>
      <c r="C2606" s="51">
        <v>1.008</v>
      </c>
      <c r="D2606" s="51">
        <v>67.0</v>
      </c>
      <c r="E2606" s="52" t="s">
        <v>25</v>
      </c>
      <c r="F2606" s="52" t="s">
        <v>26</v>
      </c>
      <c r="G2606" s="53"/>
    </row>
    <row r="2607">
      <c r="A2607" s="49">
        <v>44721.961235173614</v>
      </c>
      <c r="B2607" s="50">
        <v>44722.0862078819</v>
      </c>
      <c r="C2607" s="51">
        <v>1.008</v>
      </c>
      <c r="D2607" s="51">
        <v>67.0</v>
      </c>
      <c r="E2607" s="52" t="s">
        <v>25</v>
      </c>
      <c r="F2607" s="52" t="s">
        <v>26</v>
      </c>
      <c r="G2607" s="53"/>
    </row>
    <row r="2608">
      <c r="A2608" s="49">
        <v>44721.9716505324</v>
      </c>
      <c r="B2608" s="50">
        <v>44722.0966298263</v>
      </c>
      <c r="C2608" s="51">
        <v>1.008</v>
      </c>
      <c r="D2608" s="51">
        <v>67.0</v>
      </c>
      <c r="E2608" s="52" t="s">
        <v>25</v>
      </c>
      <c r="F2608" s="52" t="s">
        <v>26</v>
      </c>
      <c r="G2608" s="53"/>
    </row>
    <row r="2609">
      <c r="A2609" s="49">
        <v>44721.98207993056</v>
      </c>
      <c r="B2609" s="50">
        <v>44722.1070603356</v>
      </c>
      <c r="C2609" s="51">
        <v>1.008</v>
      </c>
      <c r="D2609" s="51">
        <v>67.0</v>
      </c>
      <c r="E2609" s="52" t="s">
        <v>25</v>
      </c>
      <c r="F2609" s="52" t="s">
        <v>26</v>
      </c>
      <c r="G2609" s="53"/>
    </row>
    <row r="2610">
      <c r="A2610" s="49">
        <v>44721.99250474537</v>
      </c>
      <c r="B2610" s="50">
        <v>44722.1174805555</v>
      </c>
      <c r="C2610" s="51">
        <v>1.008</v>
      </c>
      <c r="D2610" s="51">
        <v>67.0</v>
      </c>
      <c r="E2610" s="52" t="s">
        <v>25</v>
      </c>
      <c r="F2610" s="52" t="s">
        <v>26</v>
      </c>
      <c r="G2610" s="53"/>
    </row>
    <row r="2611">
      <c r="A2611" s="49">
        <v>44722.002925162036</v>
      </c>
      <c r="B2611" s="50">
        <v>44722.1279013425</v>
      </c>
      <c r="C2611" s="51">
        <v>1.008</v>
      </c>
      <c r="D2611" s="51">
        <v>67.0</v>
      </c>
      <c r="E2611" s="52" t="s">
        <v>25</v>
      </c>
      <c r="F2611" s="52" t="s">
        <v>26</v>
      </c>
      <c r="G2611" s="53"/>
    </row>
    <row r="2612">
      <c r="A2612" s="49">
        <v>44722.013338680554</v>
      </c>
      <c r="B2612" s="50">
        <v>44722.1383210185</v>
      </c>
      <c r="C2612" s="51">
        <v>1.008</v>
      </c>
      <c r="D2612" s="51">
        <v>67.0</v>
      </c>
      <c r="E2612" s="52" t="s">
        <v>25</v>
      </c>
      <c r="F2612" s="52" t="s">
        <v>26</v>
      </c>
      <c r="G2612" s="53"/>
    </row>
    <row r="2613">
      <c r="A2613" s="49">
        <v>44722.02377210648</v>
      </c>
      <c r="B2613" s="50">
        <v>44722.1487430324</v>
      </c>
      <c r="C2613" s="51">
        <v>1.008</v>
      </c>
      <c r="D2613" s="51">
        <v>67.0</v>
      </c>
      <c r="E2613" s="52" t="s">
        <v>25</v>
      </c>
      <c r="F2613" s="52" t="s">
        <v>26</v>
      </c>
      <c r="G2613" s="53"/>
    </row>
    <row r="2614">
      <c r="A2614" s="49">
        <v>44722.03418930556</v>
      </c>
      <c r="B2614" s="50">
        <v>44722.1591636805</v>
      </c>
      <c r="C2614" s="51">
        <v>1.008</v>
      </c>
      <c r="D2614" s="51">
        <v>67.0</v>
      </c>
      <c r="E2614" s="52" t="s">
        <v>25</v>
      </c>
      <c r="F2614" s="52" t="s">
        <v>26</v>
      </c>
      <c r="G2614" s="53"/>
    </row>
    <row r="2615">
      <c r="A2615" s="49">
        <v>44722.04464206018</v>
      </c>
      <c r="B2615" s="50">
        <v>44722.169619456</v>
      </c>
      <c r="C2615" s="51">
        <v>1.008</v>
      </c>
      <c r="D2615" s="51">
        <v>67.0</v>
      </c>
      <c r="E2615" s="52" t="s">
        <v>25</v>
      </c>
      <c r="F2615" s="52" t="s">
        <v>26</v>
      </c>
      <c r="G2615" s="53"/>
    </row>
    <row r="2616">
      <c r="A2616" s="49">
        <v>44722.05506424769</v>
      </c>
      <c r="B2616" s="50">
        <v>44722.1800399884</v>
      </c>
      <c r="C2616" s="51">
        <v>1.008</v>
      </c>
      <c r="D2616" s="51">
        <v>67.0</v>
      </c>
      <c r="E2616" s="52" t="s">
        <v>25</v>
      </c>
      <c r="F2616" s="52" t="s">
        <v>26</v>
      </c>
      <c r="G2616" s="53"/>
    </row>
    <row r="2617">
      <c r="A2617" s="49">
        <v>44722.06549230324</v>
      </c>
      <c r="B2617" s="50">
        <v>44722.19046125</v>
      </c>
      <c r="C2617" s="51">
        <v>1.008</v>
      </c>
      <c r="D2617" s="51">
        <v>67.0</v>
      </c>
      <c r="E2617" s="52" t="s">
        <v>25</v>
      </c>
      <c r="F2617" s="52" t="s">
        <v>26</v>
      </c>
      <c r="G2617" s="53"/>
    </row>
    <row r="2618">
      <c r="A2618" s="49">
        <v>44722.07592819445</v>
      </c>
      <c r="B2618" s="50">
        <v>44722.2008945138</v>
      </c>
      <c r="C2618" s="51">
        <v>1.008</v>
      </c>
      <c r="D2618" s="51">
        <v>67.0</v>
      </c>
      <c r="E2618" s="52" t="s">
        <v>25</v>
      </c>
      <c r="F2618" s="52" t="s">
        <v>26</v>
      </c>
      <c r="G2618" s="53"/>
    </row>
    <row r="2619">
      <c r="A2619" s="49">
        <v>44722.08634201389</v>
      </c>
      <c r="B2619" s="50">
        <v>44722.2113175347</v>
      </c>
      <c r="C2619" s="51">
        <v>1.008</v>
      </c>
      <c r="D2619" s="51">
        <v>67.0</v>
      </c>
      <c r="E2619" s="52" t="s">
        <v>25</v>
      </c>
      <c r="F2619" s="52" t="s">
        <v>26</v>
      </c>
      <c r="G2619" s="53"/>
    </row>
    <row r="2620">
      <c r="A2620" s="49">
        <v>44722.096761990746</v>
      </c>
      <c r="B2620" s="50">
        <v>44722.2217370138</v>
      </c>
      <c r="C2620" s="51">
        <v>1.008</v>
      </c>
      <c r="D2620" s="51">
        <v>67.0</v>
      </c>
      <c r="E2620" s="52" t="s">
        <v>25</v>
      </c>
      <c r="F2620" s="52" t="s">
        <v>26</v>
      </c>
      <c r="G2620" s="53"/>
    </row>
    <row r="2621">
      <c r="A2621" s="49">
        <v>44722.10718537037</v>
      </c>
      <c r="B2621" s="50">
        <v>44722.2321583217</v>
      </c>
      <c r="C2621" s="51">
        <v>1.008</v>
      </c>
      <c r="D2621" s="51">
        <v>67.0</v>
      </c>
      <c r="E2621" s="52" t="s">
        <v>25</v>
      </c>
      <c r="F2621" s="52" t="s">
        <v>26</v>
      </c>
      <c r="G2621" s="53"/>
    </row>
    <row r="2622">
      <c r="A2622" s="49">
        <v>44722.11760680555</v>
      </c>
      <c r="B2622" s="50">
        <v>44722.2425798148</v>
      </c>
      <c r="C2622" s="51">
        <v>1.008</v>
      </c>
      <c r="D2622" s="51">
        <v>67.0</v>
      </c>
      <c r="E2622" s="52" t="s">
        <v>25</v>
      </c>
      <c r="F2622" s="52" t="s">
        <v>26</v>
      </c>
      <c r="G2622" s="53"/>
    </row>
    <row r="2623">
      <c r="A2623" s="49">
        <v>44722.12802952546</v>
      </c>
      <c r="B2623" s="50">
        <v>44722.2530006018</v>
      </c>
      <c r="C2623" s="51">
        <v>1.008</v>
      </c>
      <c r="D2623" s="51">
        <v>67.0</v>
      </c>
      <c r="E2623" s="52" t="s">
        <v>25</v>
      </c>
      <c r="F2623" s="52" t="s">
        <v>26</v>
      </c>
      <c r="G2623" s="53"/>
    </row>
    <row r="2624">
      <c r="A2624" s="49">
        <v>44722.13844847222</v>
      </c>
      <c r="B2624" s="50">
        <v>44722.2634218865</v>
      </c>
      <c r="C2624" s="51">
        <v>1.008</v>
      </c>
      <c r="D2624" s="51">
        <v>67.0</v>
      </c>
      <c r="E2624" s="52" t="s">
        <v>25</v>
      </c>
      <c r="F2624" s="52" t="s">
        <v>26</v>
      </c>
      <c r="G2624" s="53"/>
    </row>
    <row r="2625">
      <c r="A2625" s="49">
        <v>44722.14886814815</v>
      </c>
      <c r="B2625" s="50">
        <v>44722.2738423379</v>
      </c>
      <c r="C2625" s="51">
        <v>1.008</v>
      </c>
      <c r="D2625" s="51">
        <v>67.0</v>
      </c>
      <c r="E2625" s="52" t="s">
        <v>25</v>
      </c>
      <c r="F2625" s="52" t="s">
        <v>26</v>
      </c>
      <c r="G2625" s="53"/>
    </row>
    <row r="2626">
      <c r="A2626" s="49">
        <v>44722.15928868056</v>
      </c>
      <c r="B2626" s="50">
        <v>44722.2842632291</v>
      </c>
      <c r="C2626" s="51">
        <v>1.008</v>
      </c>
      <c r="D2626" s="51">
        <v>67.0</v>
      </c>
      <c r="E2626" s="52" t="s">
        <v>25</v>
      </c>
      <c r="F2626" s="52" t="s">
        <v>26</v>
      </c>
      <c r="G2626" s="53"/>
    </row>
    <row r="2627">
      <c r="A2627" s="49">
        <v>44722.169704305554</v>
      </c>
      <c r="B2627" s="50">
        <v>44722.2946846643</v>
      </c>
      <c r="C2627" s="51">
        <v>1.008</v>
      </c>
      <c r="D2627" s="51">
        <v>67.0</v>
      </c>
      <c r="E2627" s="52" t="s">
        <v>25</v>
      </c>
      <c r="F2627" s="52" t="s">
        <v>26</v>
      </c>
      <c r="G2627" s="53"/>
    </row>
    <row r="2628">
      <c r="A2628" s="49">
        <v>44722.18014159722</v>
      </c>
      <c r="B2628" s="50">
        <v>44722.3051183564</v>
      </c>
      <c r="C2628" s="51">
        <v>1.008</v>
      </c>
      <c r="D2628" s="51">
        <v>67.0</v>
      </c>
      <c r="E2628" s="52" t="s">
        <v>25</v>
      </c>
      <c r="F2628" s="52" t="s">
        <v>26</v>
      </c>
      <c r="G2628" s="53"/>
    </row>
    <row r="2629">
      <c r="A2629" s="49">
        <v>44722.190557546295</v>
      </c>
      <c r="B2629" s="50">
        <v>44722.3155398263</v>
      </c>
      <c r="C2629" s="51">
        <v>1.008</v>
      </c>
      <c r="D2629" s="51">
        <v>67.0</v>
      </c>
      <c r="E2629" s="52" t="s">
        <v>25</v>
      </c>
      <c r="F2629" s="52" t="s">
        <v>26</v>
      </c>
      <c r="G2629" s="53"/>
    </row>
    <row r="2630">
      <c r="A2630" s="49">
        <v>44722.200992488426</v>
      </c>
      <c r="B2630" s="50">
        <v>44722.3259604745</v>
      </c>
      <c r="C2630" s="51">
        <v>1.008</v>
      </c>
      <c r="D2630" s="51">
        <v>67.0</v>
      </c>
      <c r="E2630" s="52" t="s">
        <v>25</v>
      </c>
      <c r="F2630" s="52" t="s">
        <v>26</v>
      </c>
      <c r="G2630" s="53"/>
    </row>
    <row r="2631">
      <c r="A2631" s="49">
        <v>44722.21142018518</v>
      </c>
      <c r="B2631" s="50">
        <v>44722.3363829745</v>
      </c>
      <c r="C2631" s="51">
        <v>1.008</v>
      </c>
      <c r="D2631" s="51">
        <v>67.0</v>
      </c>
      <c r="E2631" s="52" t="s">
        <v>25</v>
      </c>
      <c r="F2631" s="52" t="s">
        <v>26</v>
      </c>
      <c r="G2631" s="53"/>
    </row>
    <row r="2632">
      <c r="A2632" s="49">
        <v>44722.22184086806</v>
      </c>
      <c r="B2632" s="50">
        <v>44722.346804537</v>
      </c>
      <c r="C2632" s="51">
        <v>1.008</v>
      </c>
      <c r="D2632" s="51">
        <v>67.0</v>
      </c>
      <c r="E2632" s="52" t="s">
        <v>25</v>
      </c>
      <c r="F2632" s="52" t="s">
        <v>26</v>
      </c>
      <c r="G2632" s="53"/>
    </row>
    <row r="2633">
      <c r="A2633" s="49">
        <v>44722.23225028935</v>
      </c>
      <c r="B2633" s="50">
        <v>44722.3572267708</v>
      </c>
      <c r="C2633" s="51">
        <v>1.008</v>
      </c>
      <c r="D2633" s="51">
        <v>67.0</v>
      </c>
      <c r="E2633" s="52" t="s">
        <v>25</v>
      </c>
      <c r="F2633" s="52" t="s">
        <v>26</v>
      </c>
      <c r="G2633" s="53"/>
    </row>
    <row r="2634">
      <c r="A2634" s="49">
        <v>44722.242676215275</v>
      </c>
      <c r="B2634" s="50">
        <v>44722.3676590972</v>
      </c>
      <c r="C2634" s="51">
        <v>1.008</v>
      </c>
      <c r="D2634" s="51">
        <v>67.0</v>
      </c>
      <c r="E2634" s="52" t="s">
        <v>25</v>
      </c>
      <c r="F2634" s="52" t="s">
        <v>26</v>
      </c>
      <c r="G2634" s="53"/>
    </row>
    <row r="2635">
      <c r="A2635" s="49">
        <v>44722.25311144676</v>
      </c>
      <c r="B2635" s="50">
        <v>44722.3780814814</v>
      </c>
      <c r="C2635" s="51">
        <v>1.008</v>
      </c>
      <c r="D2635" s="51">
        <v>67.0</v>
      </c>
      <c r="E2635" s="52" t="s">
        <v>25</v>
      </c>
      <c r="F2635" s="52" t="s">
        <v>26</v>
      </c>
      <c r="G2635" s="53"/>
    </row>
    <row r="2636">
      <c r="A2636" s="49">
        <v>44722.263528634256</v>
      </c>
      <c r="B2636" s="50">
        <v>44722.3885043518</v>
      </c>
      <c r="C2636" s="51">
        <v>1.008</v>
      </c>
      <c r="D2636" s="51">
        <v>67.0</v>
      </c>
      <c r="E2636" s="52" t="s">
        <v>25</v>
      </c>
      <c r="F2636" s="52" t="s">
        <v>26</v>
      </c>
      <c r="G2636" s="53"/>
    </row>
    <row r="2637">
      <c r="A2637" s="49">
        <v>44722.27394466435</v>
      </c>
      <c r="B2637" s="50">
        <v>44722.3989262384</v>
      </c>
      <c r="C2637" s="51">
        <v>1.008</v>
      </c>
      <c r="D2637" s="51">
        <v>68.0</v>
      </c>
      <c r="E2637" s="52" t="s">
        <v>25</v>
      </c>
      <c r="F2637" s="52" t="s">
        <v>26</v>
      </c>
      <c r="G2637" s="53"/>
    </row>
    <row r="2638">
      <c r="A2638" s="49">
        <v>44722.2843921412</v>
      </c>
      <c r="B2638" s="50">
        <v>44722.4093469444</v>
      </c>
      <c r="C2638" s="51">
        <v>1.008</v>
      </c>
      <c r="D2638" s="51">
        <v>67.0</v>
      </c>
      <c r="E2638" s="52" t="s">
        <v>25</v>
      </c>
      <c r="F2638" s="52" t="s">
        <v>26</v>
      </c>
      <c r="G2638" s="53"/>
    </row>
    <row r="2639">
      <c r="A2639" s="49">
        <v>44722.294785046295</v>
      </c>
      <c r="B2639" s="50">
        <v>44722.4197691782</v>
      </c>
      <c r="C2639" s="51">
        <v>1.008</v>
      </c>
      <c r="D2639" s="51">
        <v>68.0</v>
      </c>
      <c r="E2639" s="52" t="s">
        <v>25</v>
      </c>
      <c r="F2639" s="52" t="s">
        <v>26</v>
      </c>
      <c r="G2639" s="53"/>
    </row>
    <row r="2640">
      <c r="A2640" s="49">
        <v>44722.30521209491</v>
      </c>
      <c r="B2640" s="50">
        <v>44722.4301907175</v>
      </c>
      <c r="C2640" s="51">
        <v>1.008</v>
      </c>
      <c r="D2640" s="51">
        <v>67.0</v>
      </c>
      <c r="E2640" s="52" t="s">
        <v>25</v>
      </c>
      <c r="F2640" s="52" t="s">
        <v>26</v>
      </c>
      <c r="G2640" s="53"/>
    </row>
    <row r="2641">
      <c r="A2641" s="49">
        <v>44722.31564032407</v>
      </c>
      <c r="B2641" s="50">
        <v>44722.4406128935</v>
      </c>
      <c r="C2641" s="51">
        <v>1.008</v>
      </c>
      <c r="D2641" s="51">
        <v>68.0</v>
      </c>
      <c r="E2641" s="52" t="s">
        <v>25</v>
      </c>
      <c r="F2641" s="52" t="s">
        <v>26</v>
      </c>
      <c r="G2641" s="53"/>
    </row>
    <row r="2642">
      <c r="A2642" s="49">
        <v>44722.326062418986</v>
      </c>
      <c r="B2642" s="50">
        <v>44722.4510438888</v>
      </c>
      <c r="C2642" s="51">
        <v>1.008</v>
      </c>
      <c r="D2642" s="51">
        <v>68.0</v>
      </c>
      <c r="E2642" s="52" t="s">
        <v>25</v>
      </c>
      <c r="F2642" s="52" t="s">
        <v>26</v>
      </c>
      <c r="G2642" s="53"/>
    </row>
    <row r="2643">
      <c r="A2643" s="49">
        <v>44722.33648046297</v>
      </c>
      <c r="B2643" s="50">
        <v>44722.4614651851</v>
      </c>
      <c r="C2643" s="51">
        <v>1.008</v>
      </c>
      <c r="D2643" s="51">
        <v>68.0</v>
      </c>
      <c r="E2643" s="52" t="s">
        <v>25</v>
      </c>
      <c r="F2643" s="52" t="s">
        <v>26</v>
      </c>
      <c r="G2643" s="53"/>
    </row>
    <row r="2644">
      <c r="A2644" s="49">
        <v>44722.34691489583</v>
      </c>
      <c r="B2644" s="50">
        <v>44722.4718869675</v>
      </c>
      <c r="C2644" s="51">
        <v>1.008</v>
      </c>
      <c r="D2644" s="51">
        <v>68.0</v>
      </c>
      <c r="E2644" s="52" t="s">
        <v>25</v>
      </c>
      <c r="F2644" s="52" t="s">
        <v>26</v>
      </c>
      <c r="G2644" s="53"/>
    </row>
    <row r="2645">
      <c r="A2645" s="49">
        <v>44722.35733666667</v>
      </c>
      <c r="B2645" s="50">
        <v>44722.4823088541</v>
      </c>
      <c r="C2645" s="51">
        <v>1.008</v>
      </c>
      <c r="D2645" s="51">
        <v>68.0</v>
      </c>
      <c r="E2645" s="52" t="s">
        <v>25</v>
      </c>
      <c r="F2645" s="52" t="s">
        <v>26</v>
      </c>
      <c r="G2645" s="53"/>
    </row>
    <row r="2646">
      <c r="A2646" s="49">
        <v>44722.36777363426</v>
      </c>
      <c r="B2646" s="50">
        <v>44722.4927532638</v>
      </c>
      <c r="C2646" s="51">
        <v>1.008</v>
      </c>
      <c r="D2646" s="51">
        <v>68.0</v>
      </c>
      <c r="E2646" s="52" t="s">
        <v>25</v>
      </c>
      <c r="F2646" s="52" t="s">
        <v>26</v>
      </c>
      <c r="G2646" s="53"/>
    </row>
    <row r="2647">
      <c r="A2647" s="49">
        <v>44722.37821436343</v>
      </c>
      <c r="B2647" s="50">
        <v>44722.5031857291</v>
      </c>
      <c r="C2647" s="51">
        <v>1.008</v>
      </c>
      <c r="D2647" s="51">
        <v>68.0</v>
      </c>
      <c r="E2647" s="52" t="s">
        <v>25</v>
      </c>
      <c r="F2647" s="52" t="s">
        <v>26</v>
      </c>
      <c r="G2647" s="53"/>
    </row>
    <row r="2648">
      <c r="A2648" s="49">
        <v>44722.38863502315</v>
      </c>
      <c r="B2648" s="50">
        <v>44722.5136067245</v>
      </c>
      <c r="C2648" s="51">
        <v>1.008</v>
      </c>
      <c r="D2648" s="51">
        <v>68.0</v>
      </c>
      <c r="E2648" s="52" t="s">
        <v>25</v>
      </c>
      <c r="F2648" s="52" t="s">
        <v>26</v>
      </c>
      <c r="G2648" s="53"/>
    </row>
    <row r="2649">
      <c r="A2649" s="49">
        <v>44722.39905518519</v>
      </c>
      <c r="B2649" s="50">
        <v>44722.524027662</v>
      </c>
      <c r="C2649" s="51">
        <v>1.008</v>
      </c>
      <c r="D2649" s="51">
        <v>68.0</v>
      </c>
      <c r="E2649" s="52" t="s">
        <v>25</v>
      </c>
      <c r="F2649" s="52" t="s">
        <v>26</v>
      </c>
      <c r="G2649" s="53"/>
    </row>
    <row r="2650">
      <c r="A2650" s="49">
        <v>44722.40946998843</v>
      </c>
      <c r="B2650" s="50">
        <v>44722.5344495949</v>
      </c>
      <c r="C2650" s="51">
        <v>1.008</v>
      </c>
      <c r="D2650" s="51">
        <v>68.0</v>
      </c>
      <c r="E2650" s="52" t="s">
        <v>25</v>
      </c>
      <c r="F2650" s="52" t="s">
        <v>26</v>
      </c>
      <c r="G2650" s="53"/>
    </row>
    <row r="2651">
      <c r="A2651" s="49">
        <v>44722.41988877315</v>
      </c>
      <c r="B2651" s="50">
        <v>44722.5448724305</v>
      </c>
      <c r="C2651" s="51">
        <v>1.008</v>
      </c>
      <c r="D2651" s="51">
        <v>68.0</v>
      </c>
      <c r="E2651" s="52" t="s">
        <v>25</v>
      </c>
      <c r="F2651" s="52" t="s">
        <v>26</v>
      </c>
      <c r="G2651" s="53"/>
    </row>
    <row r="2652">
      <c r="A2652" s="49">
        <v>44722.430332523145</v>
      </c>
      <c r="B2652" s="50">
        <v>44722.5553048495</v>
      </c>
      <c r="C2652" s="51">
        <v>1.008</v>
      </c>
      <c r="D2652" s="51">
        <v>68.0</v>
      </c>
      <c r="E2652" s="52" t="s">
        <v>25</v>
      </c>
      <c r="F2652" s="52" t="s">
        <v>26</v>
      </c>
      <c r="G2652" s="53"/>
    </row>
    <row r="2653">
      <c r="A2653" s="49">
        <v>44722.440771180554</v>
      </c>
      <c r="B2653" s="50">
        <v>44722.565738287</v>
      </c>
      <c r="C2653" s="51">
        <v>1.008</v>
      </c>
      <c r="D2653" s="51">
        <v>68.0</v>
      </c>
      <c r="E2653" s="52" t="s">
        <v>25</v>
      </c>
      <c r="F2653" s="52" t="s">
        <v>26</v>
      </c>
      <c r="G2653" s="53"/>
    </row>
    <row r="2654">
      <c r="A2654" s="49">
        <v>44722.451194548616</v>
      </c>
      <c r="B2654" s="50">
        <v>44722.5761698148</v>
      </c>
      <c r="C2654" s="51">
        <v>1.008</v>
      </c>
      <c r="D2654" s="51">
        <v>68.0</v>
      </c>
      <c r="E2654" s="52" t="s">
        <v>25</v>
      </c>
      <c r="F2654" s="52" t="s">
        <v>26</v>
      </c>
      <c r="G2654" s="53"/>
    </row>
    <row r="2655">
      <c r="A2655" s="49">
        <v>44722.46161475695</v>
      </c>
      <c r="B2655" s="50">
        <v>44722.5865915509</v>
      </c>
      <c r="C2655" s="51">
        <v>1.008</v>
      </c>
      <c r="D2655" s="51">
        <v>68.0</v>
      </c>
      <c r="E2655" s="52" t="s">
        <v>25</v>
      </c>
      <c r="F2655" s="52" t="s">
        <v>26</v>
      </c>
      <c r="G2655" s="53"/>
    </row>
    <row r="2656">
      <c r="A2656" s="49">
        <v>44722.47203310185</v>
      </c>
      <c r="B2656" s="50">
        <v>44722.5970125115</v>
      </c>
      <c r="C2656" s="51">
        <v>1.008</v>
      </c>
      <c r="D2656" s="51">
        <v>68.0</v>
      </c>
      <c r="E2656" s="52" t="s">
        <v>25</v>
      </c>
      <c r="F2656" s="52" t="s">
        <v>26</v>
      </c>
      <c r="G2656" s="53"/>
    </row>
    <row r="2657">
      <c r="A2657" s="49">
        <v>44722.482532002316</v>
      </c>
      <c r="B2657" s="50">
        <v>44722.6075050578</v>
      </c>
      <c r="C2657" s="51">
        <v>1.008</v>
      </c>
      <c r="D2657" s="51">
        <v>68.0</v>
      </c>
      <c r="E2657" s="52" t="s">
        <v>25</v>
      </c>
      <c r="F2657" s="52" t="s">
        <v>26</v>
      </c>
      <c r="G2657" s="53"/>
    </row>
    <row r="2658">
      <c r="A2658" s="49">
        <v>44722.492955497684</v>
      </c>
      <c r="B2658" s="50">
        <v>44722.6179264467</v>
      </c>
      <c r="C2658" s="51">
        <v>1.008</v>
      </c>
      <c r="D2658" s="51">
        <v>68.0</v>
      </c>
      <c r="E2658" s="52" t="s">
        <v>25</v>
      </c>
      <c r="F2658" s="52" t="s">
        <v>26</v>
      </c>
      <c r="G2658" s="53"/>
    </row>
    <row r="2659">
      <c r="A2659" s="49">
        <v>44722.50337184028</v>
      </c>
      <c r="B2659" s="50">
        <v>44722.6283474421</v>
      </c>
      <c r="C2659" s="51">
        <v>1.008</v>
      </c>
      <c r="D2659" s="51">
        <v>68.0</v>
      </c>
      <c r="E2659" s="52" t="s">
        <v>25</v>
      </c>
      <c r="F2659" s="52" t="s">
        <v>26</v>
      </c>
      <c r="G2659" s="53"/>
    </row>
    <row r="2660">
      <c r="A2660" s="49">
        <v>44722.513787696764</v>
      </c>
      <c r="B2660" s="50">
        <v>44722.6387673611</v>
      </c>
      <c r="C2660" s="51">
        <v>1.008</v>
      </c>
      <c r="D2660" s="51">
        <v>68.0</v>
      </c>
      <c r="E2660" s="52" t="s">
        <v>25</v>
      </c>
      <c r="F2660" s="52" t="s">
        <v>26</v>
      </c>
      <c r="G2660" s="53"/>
    </row>
    <row r="2661">
      <c r="A2661" s="49">
        <v>44722.52422798611</v>
      </c>
      <c r="B2661" s="50">
        <v>44722.6492009143</v>
      </c>
      <c r="C2661" s="51">
        <v>1.008</v>
      </c>
      <c r="D2661" s="51">
        <v>68.0</v>
      </c>
      <c r="E2661" s="52" t="s">
        <v>25</v>
      </c>
      <c r="F2661" s="52" t="s">
        <v>26</v>
      </c>
      <c r="G2661" s="53"/>
    </row>
    <row r="2662">
      <c r="A2662" s="49">
        <v>44722.53465015047</v>
      </c>
      <c r="B2662" s="50">
        <v>44722.6596229861</v>
      </c>
      <c r="C2662" s="51">
        <v>1.008</v>
      </c>
      <c r="D2662" s="51">
        <v>68.0</v>
      </c>
      <c r="E2662" s="52" t="s">
        <v>25</v>
      </c>
      <c r="F2662" s="52" t="s">
        <v>26</v>
      </c>
      <c r="G2662" s="53"/>
    </row>
    <row r="2663">
      <c r="A2663" s="49">
        <v>44722.545089374995</v>
      </c>
      <c r="B2663" s="50">
        <v>44722.6700551157</v>
      </c>
      <c r="C2663" s="51">
        <v>1.008</v>
      </c>
      <c r="D2663" s="51">
        <v>68.0</v>
      </c>
      <c r="E2663" s="52" t="s">
        <v>25</v>
      </c>
      <c r="F2663" s="52" t="s">
        <v>26</v>
      </c>
      <c r="G2663" s="53"/>
    </row>
    <row r="2664">
      <c r="A2664" s="49">
        <v>44722.55550045139</v>
      </c>
      <c r="B2664" s="50">
        <v>44722.6804748148</v>
      </c>
      <c r="C2664" s="51">
        <v>1.008</v>
      </c>
      <c r="D2664" s="51">
        <v>68.0</v>
      </c>
      <c r="E2664" s="52" t="s">
        <v>25</v>
      </c>
      <c r="F2664" s="52" t="s">
        <v>26</v>
      </c>
      <c r="G2664" s="53"/>
    </row>
    <row r="2665">
      <c r="A2665" s="49">
        <v>44722.56592216435</v>
      </c>
      <c r="B2665" s="50">
        <v>44722.6908966898</v>
      </c>
      <c r="C2665" s="51">
        <v>1.008</v>
      </c>
      <c r="D2665" s="51">
        <v>68.0</v>
      </c>
      <c r="E2665" s="52" t="s">
        <v>25</v>
      </c>
      <c r="F2665" s="52" t="s">
        <v>26</v>
      </c>
      <c r="G2665" s="53"/>
    </row>
    <row r="2666">
      <c r="A2666" s="49">
        <v>44722.576342291664</v>
      </c>
      <c r="B2666" s="50">
        <v>44722.7013173495</v>
      </c>
      <c r="C2666" s="51">
        <v>1.008</v>
      </c>
      <c r="D2666" s="51">
        <v>68.0</v>
      </c>
      <c r="E2666" s="52" t="s">
        <v>25</v>
      </c>
      <c r="F2666" s="52" t="s">
        <v>26</v>
      </c>
      <c r="G2666" s="53"/>
    </row>
    <row r="2667">
      <c r="A2667" s="49">
        <v>44722.58676689815</v>
      </c>
      <c r="B2667" s="50">
        <v>44722.7117386342</v>
      </c>
      <c r="C2667" s="51">
        <v>1.008</v>
      </c>
      <c r="D2667" s="51">
        <v>68.0</v>
      </c>
      <c r="E2667" s="52" t="s">
        <v>25</v>
      </c>
      <c r="F2667" s="52" t="s">
        <v>26</v>
      </c>
      <c r="G2667" s="53"/>
    </row>
    <row r="2668">
      <c r="A2668" s="49">
        <v>44722.59718966435</v>
      </c>
      <c r="B2668" s="50">
        <v>44722.7221712152</v>
      </c>
      <c r="C2668" s="51">
        <v>1.008</v>
      </c>
      <c r="D2668" s="51">
        <v>68.0</v>
      </c>
      <c r="E2668" s="52" t="s">
        <v>25</v>
      </c>
      <c r="F2668" s="52" t="s">
        <v>26</v>
      </c>
      <c r="G2668" s="53"/>
    </row>
    <row r="2669">
      <c r="A2669" s="49">
        <v>44722.60762082176</v>
      </c>
      <c r="B2669" s="50">
        <v>44722.7325920717</v>
      </c>
      <c r="C2669" s="51">
        <v>1.008</v>
      </c>
      <c r="D2669" s="51">
        <v>68.0</v>
      </c>
      <c r="E2669" s="52" t="s">
        <v>25</v>
      </c>
      <c r="F2669" s="52" t="s">
        <v>26</v>
      </c>
      <c r="G2669" s="53"/>
    </row>
    <row r="2670">
      <c r="A2670" s="49">
        <v>44722.61804451389</v>
      </c>
      <c r="B2670" s="50">
        <v>44722.7430142939</v>
      </c>
      <c r="C2670" s="51">
        <v>1.008</v>
      </c>
      <c r="D2670" s="51">
        <v>68.0</v>
      </c>
      <c r="E2670" s="52" t="s">
        <v>25</v>
      </c>
      <c r="F2670" s="52" t="s">
        <v>26</v>
      </c>
      <c r="G2670" s="53"/>
    </row>
    <row r="2671">
      <c r="A2671" s="49">
        <v>44722.62845820602</v>
      </c>
      <c r="B2671" s="50">
        <v>44722.7534372916</v>
      </c>
      <c r="C2671" s="51">
        <v>1.008</v>
      </c>
      <c r="D2671" s="51">
        <v>68.0</v>
      </c>
      <c r="E2671" s="52" t="s">
        <v>25</v>
      </c>
      <c r="F2671" s="52" t="s">
        <v>26</v>
      </c>
      <c r="G2671" s="53"/>
    </row>
    <row r="2672">
      <c r="A2672" s="49">
        <v>44722.63890208333</v>
      </c>
      <c r="B2672" s="50">
        <v>44722.7638802314</v>
      </c>
      <c r="C2672" s="51">
        <v>1.008</v>
      </c>
      <c r="D2672" s="51">
        <v>68.0</v>
      </c>
      <c r="E2672" s="52" t="s">
        <v>25</v>
      </c>
      <c r="F2672" s="52" t="s">
        <v>26</v>
      </c>
      <c r="G2672" s="53"/>
    </row>
    <row r="2673">
      <c r="A2673" s="49">
        <v>44722.649339745374</v>
      </c>
      <c r="B2673" s="50">
        <v>44722.7743125115</v>
      </c>
      <c r="C2673" s="51">
        <v>1.008</v>
      </c>
      <c r="D2673" s="51">
        <v>68.0</v>
      </c>
      <c r="E2673" s="52" t="s">
        <v>25</v>
      </c>
      <c r="F2673" s="52" t="s">
        <v>26</v>
      </c>
      <c r="G2673" s="53"/>
    </row>
    <row r="2674">
      <c r="A2674" s="49">
        <v>44722.65976149305</v>
      </c>
      <c r="B2674" s="50">
        <v>44722.7847339814</v>
      </c>
      <c r="C2674" s="51">
        <v>1.008</v>
      </c>
      <c r="D2674" s="51">
        <v>68.0</v>
      </c>
      <c r="E2674" s="52" t="s">
        <v>25</v>
      </c>
      <c r="F2674" s="52" t="s">
        <v>26</v>
      </c>
      <c r="G2674" s="53"/>
    </row>
    <row r="2675">
      <c r="A2675" s="49">
        <v>44722.67020636574</v>
      </c>
      <c r="B2675" s="50">
        <v>44722.7951786689</v>
      </c>
      <c r="C2675" s="51">
        <v>1.008</v>
      </c>
      <c r="D2675" s="51">
        <v>68.0</v>
      </c>
      <c r="E2675" s="52" t="s">
        <v>25</v>
      </c>
      <c r="F2675" s="52" t="s">
        <v>26</v>
      </c>
      <c r="G2675" s="53"/>
    </row>
    <row r="2676">
      <c r="A2676" s="49">
        <v>44722.680624201384</v>
      </c>
      <c r="B2676" s="50">
        <v>44722.8055993171</v>
      </c>
      <c r="C2676" s="51">
        <v>1.008</v>
      </c>
      <c r="D2676" s="51">
        <v>68.0</v>
      </c>
      <c r="E2676" s="52" t="s">
        <v>25</v>
      </c>
      <c r="F2676" s="52" t="s">
        <v>26</v>
      </c>
      <c r="G2676" s="53"/>
    </row>
    <row r="2677">
      <c r="A2677" s="49">
        <v>44722.69104327547</v>
      </c>
      <c r="B2677" s="50">
        <v>44722.8160203125</v>
      </c>
      <c r="C2677" s="51">
        <v>1.008</v>
      </c>
      <c r="D2677" s="51">
        <v>68.0</v>
      </c>
      <c r="E2677" s="52" t="s">
        <v>25</v>
      </c>
      <c r="F2677" s="52" t="s">
        <v>26</v>
      </c>
      <c r="G2677" s="53"/>
    </row>
    <row r="2678">
      <c r="A2678" s="49">
        <v>44722.701471238426</v>
      </c>
      <c r="B2678" s="50">
        <v>44722.8264439699</v>
      </c>
      <c r="C2678" s="51">
        <v>1.008</v>
      </c>
      <c r="D2678" s="51">
        <v>68.0</v>
      </c>
      <c r="E2678" s="52" t="s">
        <v>25</v>
      </c>
      <c r="F2678" s="52" t="s">
        <v>26</v>
      </c>
      <c r="G2678" s="53"/>
    </row>
    <row r="2679">
      <c r="A2679" s="49">
        <v>44722.71189362268</v>
      </c>
      <c r="B2679" s="50">
        <v>44722.836864618</v>
      </c>
      <c r="C2679" s="51">
        <v>1.008</v>
      </c>
      <c r="D2679" s="51">
        <v>68.0</v>
      </c>
      <c r="E2679" s="52" t="s">
        <v>25</v>
      </c>
      <c r="F2679" s="52" t="s">
        <v>26</v>
      </c>
      <c r="G2679" s="53"/>
    </row>
    <row r="2680">
      <c r="A2680" s="49">
        <v>44722.722313125</v>
      </c>
      <c r="B2680" s="50">
        <v>44722.8472861342</v>
      </c>
      <c r="C2680" s="51">
        <v>1.008</v>
      </c>
      <c r="D2680" s="51">
        <v>68.0</v>
      </c>
      <c r="E2680" s="52" t="s">
        <v>25</v>
      </c>
      <c r="F2680" s="52" t="s">
        <v>26</v>
      </c>
      <c r="G2680" s="53"/>
    </row>
    <row r="2681">
      <c r="A2681" s="49">
        <v>44722.73273584491</v>
      </c>
      <c r="B2681" s="50">
        <v>44722.8577077662</v>
      </c>
      <c r="C2681" s="51">
        <v>1.008</v>
      </c>
      <c r="D2681" s="51">
        <v>68.0</v>
      </c>
      <c r="E2681" s="52" t="s">
        <v>25</v>
      </c>
      <c r="F2681" s="52" t="s">
        <v>26</v>
      </c>
      <c r="G2681" s="53"/>
    </row>
    <row r="2682">
      <c r="A2682" s="49">
        <v>44722.74317927084</v>
      </c>
      <c r="B2682" s="50">
        <v>44722.8681522453</v>
      </c>
      <c r="C2682" s="51">
        <v>1.008</v>
      </c>
      <c r="D2682" s="51">
        <v>68.0</v>
      </c>
      <c r="E2682" s="52" t="s">
        <v>25</v>
      </c>
      <c r="F2682" s="52" t="s">
        <v>26</v>
      </c>
      <c r="G2682" s="53"/>
    </row>
    <row r="2683">
      <c r="A2683" s="49">
        <v>44722.75360133102</v>
      </c>
      <c r="B2683" s="50">
        <v>44722.8785733101</v>
      </c>
      <c r="C2683" s="51">
        <v>1.007</v>
      </c>
      <c r="D2683" s="51">
        <v>68.0</v>
      </c>
      <c r="E2683" s="52" t="s">
        <v>25</v>
      </c>
      <c r="F2683" s="52" t="s">
        <v>26</v>
      </c>
      <c r="G2683" s="53"/>
    </row>
    <row r="2684">
      <c r="A2684" s="49">
        <v>44722.764032708335</v>
      </c>
      <c r="B2684" s="50">
        <v>44722.889006412</v>
      </c>
      <c r="C2684" s="51">
        <v>1.008</v>
      </c>
      <c r="D2684" s="51">
        <v>68.0</v>
      </c>
      <c r="E2684" s="52" t="s">
        <v>25</v>
      </c>
      <c r="F2684" s="52" t="s">
        <v>26</v>
      </c>
      <c r="G2684" s="53"/>
    </row>
    <row r="2685">
      <c r="A2685" s="49">
        <v>44722.77445011574</v>
      </c>
      <c r="B2685" s="50">
        <v>44722.899428993</v>
      </c>
      <c r="C2685" s="51">
        <v>1.008</v>
      </c>
      <c r="D2685" s="51">
        <v>68.0</v>
      </c>
      <c r="E2685" s="52" t="s">
        <v>25</v>
      </c>
      <c r="F2685" s="52" t="s">
        <v>26</v>
      </c>
      <c r="G2685" s="53"/>
    </row>
    <row r="2686">
      <c r="A2686" s="49">
        <v>44722.784865532405</v>
      </c>
      <c r="B2686" s="50">
        <v>44722.9098489004</v>
      </c>
      <c r="C2686" s="51">
        <v>1.008</v>
      </c>
      <c r="D2686" s="51">
        <v>68.0</v>
      </c>
      <c r="E2686" s="52" t="s">
        <v>25</v>
      </c>
      <c r="F2686" s="52" t="s">
        <v>26</v>
      </c>
      <c r="G2686" s="53"/>
    </row>
    <row r="2687">
      <c r="A2687" s="49">
        <v>44722.795301516206</v>
      </c>
      <c r="B2687" s="50">
        <v>44722.920270081</v>
      </c>
      <c r="C2687" s="51">
        <v>1.008</v>
      </c>
      <c r="D2687" s="51">
        <v>68.0</v>
      </c>
      <c r="E2687" s="52" t="s">
        <v>25</v>
      </c>
      <c r="F2687" s="52" t="s">
        <v>26</v>
      </c>
      <c r="G2687" s="53"/>
    </row>
    <row r="2688">
      <c r="A2688" s="49">
        <v>44722.805718738426</v>
      </c>
      <c r="B2688" s="50">
        <v>44722.9306906944</v>
      </c>
      <c r="C2688" s="51">
        <v>1.008</v>
      </c>
      <c r="D2688" s="51">
        <v>68.0</v>
      </c>
      <c r="E2688" s="52" t="s">
        <v>25</v>
      </c>
      <c r="F2688" s="52" t="s">
        <v>26</v>
      </c>
      <c r="G2688" s="53"/>
    </row>
    <row r="2689">
      <c r="A2689" s="49">
        <v>44722.81614289352</v>
      </c>
      <c r="B2689" s="50">
        <v>44722.9411138194</v>
      </c>
      <c r="C2689" s="51">
        <v>1.008</v>
      </c>
      <c r="D2689" s="51">
        <v>68.0</v>
      </c>
      <c r="E2689" s="52" t="s">
        <v>25</v>
      </c>
      <c r="F2689" s="52" t="s">
        <v>26</v>
      </c>
      <c r="G2689" s="53"/>
    </row>
    <row r="2690">
      <c r="A2690" s="49">
        <v>44722.82655935185</v>
      </c>
      <c r="B2690" s="50">
        <v>44722.9515349189</v>
      </c>
      <c r="C2690" s="51">
        <v>1.008</v>
      </c>
      <c r="D2690" s="51">
        <v>68.0</v>
      </c>
      <c r="E2690" s="52" t="s">
        <v>25</v>
      </c>
      <c r="F2690" s="52" t="s">
        <v>26</v>
      </c>
      <c r="G2690" s="53"/>
    </row>
    <row r="2691">
      <c r="A2691" s="49">
        <v>44722.8370034375</v>
      </c>
      <c r="B2691" s="50">
        <v>44722.9619800231</v>
      </c>
      <c r="C2691" s="51">
        <v>1.008</v>
      </c>
      <c r="D2691" s="51">
        <v>68.0</v>
      </c>
      <c r="E2691" s="52" t="s">
        <v>25</v>
      </c>
      <c r="F2691" s="52" t="s">
        <v>26</v>
      </c>
      <c r="G2691" s="53"/>
    </row>
    <row r="2692">
      <c r="A2692" s="49">
        <v>44722.84742332176</v>
      </c>
      <c r="B2692" s="50">
        <v>44722.9724012963</v>
      </c>
      <c r="C2692" s="51">
        <v>1.008</v>
      </c>
      <c r="D2692" s="51">
        <v>68.0</v>
      </c>
      <c r="E2692" s="52" t="s">
        <v>25</v>
      </c>
      <c r="F2692" s="52" t="s">
        <v>26</v>
      </c>
      <c r="G2692" s="53"/>
    </row>
    <row r="2693">
      <c r="A2693" s="49">
        <v>44722.8578691088</v>
      </c>
      <c r="B2693" s="50">
        <v>44722.9828446874</v>
      </c>
      <c r="C2693" s="51">
        <v>1.008</v>
      </c>
      <c r="D2693" s="51">
        <v>68.0</v>
      </c>
      <c r="E2693" s="52" t="s">
        <v>25</v>
      </c>
      <c r="F2693" s="52" t="s">
        <v>26</v>
      </c>
      <c r="G2693" s="53"/>
    </row>
    <row r="2694">
      <c r="A2694" s="49">
        <v>44722.868285324075</v>
      </c>
      <c r="B2694" s="50">
        <v>44722.9932653935</v>
      </c>
      <c r="C2694" s="51">
        <v>1.007</v>
      </c>
      <c r="D2694" s="51">
        <v>68.0</v>
      </c>
      <c r="E2694" s="52" t="s">
        <v>25</v>
      </c>
      <c r="F2694" s="52" t="s">
        <v>26</v>
      </c>
      <c r="G2694" s="53"/>
    </row>
    <row r="2695">
      <c r="A2695" s="49">
        <v>44722.87871466435</v>
      </c>
      <c r="B2695" s="50">
        <v>44723.0036876504</v>
      </c>
      <c r="C2695" s="51">
        <v>1.007</v>
      </c>
      <c r="D2695" s="51">
        <v>68.0</v>
      </c>
      <c r="E2695" s="52" t="s">
        <v>25</v>
      </c>
      <c r="F2695" s="52" t="s">
        <v>26</v>
      </c>
      <c r="G2695" s="53"/>
    </row>
    <row r="2696">
      <c r="A2696" s="49">
        <v>44722.889159583334</v>
      </c>
      <c r="B2696" s="50">
        <v>44723.0141318171</v>
      </c>
      <c r="C2696" s="51">
        <v>1.007</v>
      </c>
      <c r="D2696" s="51">
        <v>68.0</v>
      </c>
      <c r="E2696" s="52" t="s">
        <v>25</v>
      </c>
      <c r="F2696" s="52" t="s">
        <v>26</v>
      </c>
      <c r="G2696" s="53"/>
    </row>
    <row r="2697">
      <c r="A2697" s="49">
        <v>44722.89958449074</v>
      </c>
      <c r="B2697" s="50">
        <v>44723.0245529166</v>
      </c>
      <c r="C2697" s="51">
        <v>1.007</v>
      </c>
      <c r="D2697" s="51">
        <v>68.0</v>
      </c>
      <c r="E2697" s="52" t="s">
        <v>25</v>
      </c>
      <c r="F2697" s="52" t="s">
        <v>26</v>
      </c>
      <c r="G2697" s="53"/>
    </row>
    <row r="2698">
      <c r="A2698" s="49">
        <v>44722.90999637732</v>
      </c>
      <c r="B2698" s="50">
        <v>44723.034974375</v>
      </c>
      <c r="C2698" s="51">
        <v>1.008</v>
      </c>
      <c r="D2698" s="51">
        <v>68.0</v>
      </c>
      <c r="E2698" s="52" t="s">
        <v>25</v>
      </c>
      <c r="F2698" s="52" t="s">
        <v>26</v>
      </c>
      <c r="G2698" s="53"/>
    </row>
    <row r="2699">
      <c r="A2699" s="49">
        <v>44722.92041234954</v>
      </c>
      <c r="B2699" s="50">
        <v>44723.0453954513</v>
      </c>
      <c r="C2699" s="51">
        <v>1.008</v>
      </c>
      <c r="D2699" s="51">
        <v>68.0</v>
      </c>
      <c r="E2699" s="52" t="s">
        <v>25</v>
      </c>
      <c r="F2699" s="52" t="s">
        <v>26</v>
      </c>
      <c r="G2699" s="53"/>
    </row>
    <row r="2700">
      <c r="A2700" s="49">
        <v>44722.93084402778</v>
      </c>
      <c r="B2700" s="50">
        <v>44723.0558174421</v>
      </c>
      <c r="C2700" s="51">
        <v>1.008</v>
      </c>
      <c r="D2700" s="51">
        <v>68.0</v>
      </c>
      <c r="E2700" s="52" t="s">
        <v>25</v>
      </c>
      <c r="F2700" s="52" t="s">
        <v>26</v>
      </c>
      <c r="G2700" s="53"/>
    </row>
    <row r="2701">
      <c r="A2701" s="49">
        <v>44722.94126446759</v>
      </c>
      <c r="B2701" s="50">
        <v>44723.066238912</v>
      </c>
      <c r="C2701" s="51">
        <v>1.007</v>
      </c>
      <c r="D2701" s="51">
        <v>68.0</v>
      </c>
      <c r="E2701" s="52" t="s">
        <v>25</v>
      </c>
      <c r="F2701" s="52" t="s">
        <v>26</v>
      </c>
      <c r="G2701" s="53"/>
    </row>
    <row r="2702">
      <c r="A2702" s="49">
        <v>44722.95170355324</v>
      </c>
      <c r="B2702" s="50">
        <v>44723.0766727083</v>
      </c>
      <c r="C2702" s="51">
        <v>1.008</v>
      </c>
      <c r="D2702" s="51">
        <v>68.0</v>
      </c>
      <c r="E2702" s="52" t="s">
        <v>25</v>
      </c>
      <c r="F2702" s="52" t="s">
        <v>26</v>
      </c>
      <c r="G2702" s="53"/>
    </row>
    <row r="2703">
      <c r="A2703" s="49">
        <v>44722.96211571759</v>
      </c>
      <c r="B2703" s="50">
        <v>44723.0870960069</v>
      </c>
      <c r="C2703" s="51">
        <v>1.008</v>
      </c>
      <c r="D2703" s="51">
        <v>68.0</v>
      </c>
      <c r="E2703" s="52" t="s">
        <v>25</v>
      </c>
      <c r="F2703" s="52" t="s">
        <v>26</v>
      </c>
      <c r="G2703" s="53"/>
    </row>
    <row r="2704">
      <c r="A2704" s="49">
        <v>44722.97255918982</v>
      </c>
      <c r="B2704" s="50">
        <v>44723.0975402314</v>
      </c>
      <c r="C2704" s="51">
        <v>1.008</v>
      </c>
      <c r="D2704" s="51">
        <v>68.0</v>
      </c>
      <c r="E2704" s="52" t="s">
        <v>25</v>
      </c>
      <c r="F2704" s="52" t="s">
        <v>26</v>
      </c>
      <c r="G2704" s="53"/>
    </row>
    <row r="2705">
      <c r="A2705" s="49">
        <v>44722.98298881944</v>
      </c>
      <c r="B2705" s="50">
        <v>44723.1079635069</v>
      </c>
      <c r="C2705" s="51">
        <v>1.007</v>
      </c>
      <c r="D2705" s="51">
        <v>68.0</v>
      </c>
      <c r="E2705" s="52" t="s">
        <v>25</v>
      </c>
      <c r="F2705" s="52" t="s">
        <v>26</v>
      </c>
      <c r="G2705" s="53"/>
    </row>
    <row r="2706">
      <c r="A2706" s="49">
        <v>44722.99340756945</v>
      </c>
      <c r="B2706" s="50">
        <v>44723.1183834027</v>
      </c>
      <c r="C2706" s="51">
        <v>1.007</v>
      </c>
      <c r="D2706" s="51">
        <v>68.0</v>
      </c>
      <c r="E2706" s="52" t="s">
        <v>25</v>
      </c>
      <c r="F2706" s="52" t="s">
        <v>26</v>
      </c>
      <c r="G2706" s="53"/>
    </row>
    <row r="2707">
      <c r="A2707" s="49">
        <v>44723.003831469905</v>
      </c>
      <c r="B2707" s="50">
        <v>44723.1288045023</v>
      </c>
      <c r="C2707" s="51">
        <v>1.008</v>
      </c>
      <c r="D2707" s="51">
        <v>68.0</v>
      </c>
      <c r="E2707" s="52" t="s">
        <v>25</v>
      </c>
      <c r="F2707" s="52" t="s">
        <v>26</v>
      </c>
      <c r="G2707" s="53"/>
    </row>
    <row r="2708">
      <c r="A2708" s="49">
        <v>44723.01426261574</v>
      </c>
      <c r="B2708" s="50">
        <v>44723.1392368518</v>
      </c>
      <c r="C2708" s="51">
        <v>1.008</v>
      </c>
      <c r="D2708" s="51">
        <v>68.0</v>
      </c>
      <c r="E2708" s="52" t="s">
        <v>25</v>
      </c>
      <c r="F2708" s="52" t="s">
        <v>26</v>
      </c>
      <c r="G2708" s="53"/>
    </row>
    <row r="2709">
      <c r="A2709" s="49">
        <v>44723.02468446759</v>
      </c>
      <c r="B2709" s="50">
        <v>44723.1496565972</v>
      </c>
      <c r="C2709" s="51">
        <v>1.007</v>
      </c>
      <c r="D2709" s="51">
        <v>68.0</v>
      </c>
      <c r="E2709" s="52" t="s">
        <v>25</v>
      </c>
      <c r="F2709" s="52" t="s">
        <v>26</v>
      </c>
      <c r="G2709" s="53"/>
    </row>
    <row r="2710">
      <c r="A2710" s="49">
        <v>44723.0351259375</v>
      </c>
      <c r="B2710" s="50">
        <v>44723.1601008796</v>
      </c>
      <c r="C2710" s="51">
        <v>1.007</v>
      </c>
      <c r="D2710" s="51">
        <v>68.0</v>
      </c>
      <c r="E2710" s="52" t="s">
        <v>25</v>
      </c>
      <c r="F2710" s="52" t="s">
        <v>26</v>
      </c>
      <c r="G2710" s="53"/>
    </row>
    <row r="2711">
      <c r="A2711" s="49">
        <v>44723.04554715278</v>
      </c>
      <c r="B2711" s="50">
        <v>44723.1705234953</v>
      </c>
      <c r="C2711" s="51">
        <v>1.008</v>
      </c>
      <c r="D2711" s="51">
        <v>68.0</v>
      </c>
      <c r="E2711" s="52" t="s">
        <v>25</v>
      </c>
      <c r="F2711" s="52" t="s">
        <v>26</v>
      </c>
      <c r="G2711" s="53"/>
    </row>
    <row r="2712">
      <c r="A2712" s="49">
        <v>44723.055974953706</v>
      </c>
      <c r="B2712" s="50">
        <v>44723.180957037</v>
      </c>
      <c r="C2712" s="51">
        <v>1.007</v>
      </c>
      <c r="D2712" s="51">
        <v>68.0</v>
      </c>
      <c r="E2712" s="52" t="s">
        <v>25</v>
      </c>
      <c r="F2712" s="52" t="s">
        <v>26</v>
      </c>
      <c r="G2712" s="53"/>
    </row>
    <row r="2713">
      <c r="A2713" s="49">
        <v>44723.06640581018</v>
      </c>
      <c r="B2713" s="50">
        <v>44723.1913788078</v>
      </c>
      <c r="C2713" s="51">
        <v>1.008</v>
      </c>
      <c r="D2713" s="51">
        <v>68.0</v>
      </c>
      <c r="E2713" s="52" t="s">
        <v>25</v>
      </c>
      <c r="F2713" s="52" t="s">
        <v>26</v>
      </c>
      <c r="G2713" s="53"/>
    </row>
    <row r="2714">
      <c r="A2714" s="49">
        <v>44723.07682811342</v>
      </c>
      <c r="B2714" s="50">
        <v>44723.2018008564</v>
      </c>
      <c r="C2714" s="51">
        <v>1.008</v>
      </c>
      <c r="D2714" s="51">
        <v>68.0</v>
      </c>
      <c r="E2714" s="52" t="s">
        <v>25</v>
      </c>
      <c r="F2714" s="52" t="s">
        <v>26</v>
      </c>
      <c r="G2714" s="53"/>
    </row>
    <row r="2715">
      <c r="A2715" s="49">
        <v>44723.08725827547</v>
      </c>
      <c r="B2715" s="50">
        <v>44723.2122329398</v>
      </c>
      <c r="C2715" s="51">
        <v>1.008</v>
      </c>
      <c r="D2715" s="51">
        <v>68.0</v>
      </c>
      <c r="E2715" s="52" t="s">
        <v>25</v>
      </c>
      <c r="F2715" s="52" t="s">
        <v>26</v>
      </c>
      <c r="G2715" s="53"/>
    </row>
    <row r="2716">
      <c r="A2716" s="49">
        <v>44723.097692372685</v>
      </c>
      <c r="B2716" s="50">
        <v>44723.2226666782</v>
      </c>
      <c r="C2716" s="51">
        <v>1.008</v>
      </c>
      <c r="D2716" s="51">
        <v>68.0</v>
      </c>
      <c r="E2716" s="52" t="s">
        <v>25</v>
      </c>
      <c r="F2716" s="52" t="s">
        <v>26</v>
      </c>
      <c r="G2716" s="53"/>
    </row>
    <row r="2717">
      <c r="A2717" s="49">
        <v>44723.108111932874</v>
      </c>
      <c r="B2717" s="50">
        <v>44723.2330865277</v>
      </c>
      <c r="C2717" s="51">
        <v>1.008</v>
      </c>
      <c r="D2717" s="51">
        <v>68.0</v>
      </c>
      <c r="E2717" s="52" t="s">
        <v>25</v>
      </c>
      <c r="F2717" s="52" t="s">
        <v>26</v>
      </c>
      <c r="G2717" s="53"/>
    </row>
    <row r="2718">
      <c r="A2718" s="49">
        <v>44723.11852899306</v>
      </c>
      <c r="B2718" s="50">
        <v>44723.2435076273</v>
      </c>
      <c r="C2718" s="51">
        <v>1.007</v>
      </c>
      <c r="D2718" s="51">
        <v>68.0</v>
      </c>
      <c r="E2718" s="52" t="s">
        <v>25</v>
      </c>
      <c r="F2718" s="52" t="s">
        <v>26</v>
      </c>
      <c r="G2718" s="53"/>
    </row>
    <row r="2719">
      <c r="A2719" s="49">
        <v>44723.12896255787</v>
      </c>
      <c r="B2719" s="50">
        <v>44723.2539402662</v>
      </c>
      <c r="C2719" s="51">
        <v>1.007</v>
      </c>
      <c r="D2719" s="51">
        <v>68.0</v>
      </c>
      <c r="E2719" s="52" t="s">
        <v>25</v>
      </c>
      <c r="F2719" s="52" t="s">
        <v>26</v>
      </c>
      <c r="G2719" s="53"/>
    </row>
    <row r="2720">
      <c r="A2720" s="49">
        <v>44723.1393808912</v>
      </c>
      <c r="B2720" s="50">
        <v>44723.264363125</v>
      </c>
      <c r="C2720" s="51">
        <v>1.007</v>
      </c>
      <c r="D2720" s="51">
        <v>68.0</v>
      </c>
      <c r="E2720" s="52" t="s">
        <v>25</v>
      </c>
      <c r="F2720" s="52" t="s">
        <v>26</v>
      </c>
      <c r="G2720" s="53"/>
    </row>
    <row r="2721">
      <c r="A2721" s="49">
        <v>44723.1498140162</v>
      </c>
      <c r="B2721" s="50">
        <v>44723.2747848611</v>
      </c>
      <c r="C2721" s="51">
        <v>1.008</v>
      </c>
      <c r="D2721" s="51">
        <v>68.0</v>
      </c>
      <c r="E2721" s="52" t="s">
        <v>25</v>
      </c>
      <c r="F2721" s="52" t="s">
        <v>26</v>
      </c>
      <c r="G2721" s="53"/>
    </row>
    <row r="2722">
      <c r="A2722" s="49">
        <v>44723.160232696755</v>
      </c>
      <c r="B2722" s="50">
        <v>44723.2852064236</v>
      </c>
      <c r="C2722" s="51">
        <v>1.008</v>
      </c>
      <c r="D2722" s="51">
        <v>68.0</v>
      </c>
      <c r="E2722" s="52" t="s">
        <v>25</v>
      </c>
      <c r="F2722" s="52" t="s">
        <v>26</v>
      </c>
      <c r="G2722" s="53"/>
    </row>
    <row r="2723">
      <c r="A2723" s="49">
        <v>44723.17064574074</v>
      </c>
      <c r="B2723" s="50">
        <v>44723.2956289351</v>
      </c>
      <c r="C2723" s="51">
        <v>1.007</v>
      </c>
      <c r="D2723" s="51">
        <v>68.0</v>
      </c>
      <c r="E2723" s="52" t="s">
        <v>25</v>
      </c>
      <c r="F2723" s="52" t="s">
        <v>26</v>
      </c>
      <c r="G2723" s="53"/>
    </row>
    <row r="2724">
      <c r="A2724" s="49">
        <v>44723.18107810185</v>
      </c>
      <c r="B2724" s="50">
        <v>44723.3060505555</v>
      </c>
      <c r="C2724" s="51">
        <v>1.007</v>
      </c>
      <c r="D2724" s="51">
        <v>68.0</v>
      </c>
      <c r="E2724" s="52" t="s">
        <v>25</v>
      </c>
      <c r="F2724" s="52" t="s">
        <v>26</v>
      </c>
      <c r="G2724" s="53"/>
    </row>
    <row r="2725">
      <c r="A2725" s="49">
        <v>44723.19149878473</v>
      </c>
      <c r="B2725" s="50">
        <v>44723.3164718865</v>
      </c>
      <c r="C2725" s="51">
        <v>1.008</v>
      </c>
      <c r="D2725" s="51">
        <v>68.0</v>
      </c>
      <c r="E2725" s="52" t="s">
        <v>25</v>
      </c>
      <c r="F2725" s="52" t="s">
        <v>26</v>
      </c>
      <c r="G2725" s="53"/>
    </row>
    <row r="2726">
      <c r="A2726" s="49">
        <v>44723.201918935185</v>
      </c>
      <c r="B2726" s="50">
        <v>44723.3268932291</v>
      </c>
      <c r="C2726" s="51">
        <v>1.007</v>
      </c>
      <c r="D2726" s="51">
        <v>68.0</v>
      </c>
      <c r="E2726" s="52" t="s">
        <v>25</v>
      </c>
      <c r="F2726" s="52" t="s">
        <v>26</v>
      </c>
      <c r="G2726" s="53"/>
    </row>
    <row r="2727">
      <c r="A2727" s="49">
        <v>44723.2123412963</v>
      </c>
      <c r="B2727" s="50">
        <v>44723.337314155</v>
      </c>
      <c r="C2727" s="51">
        <v>1.007</v>
      </c>
      <c r="D2727" s="51">
        <v>68.0</v>
      </c>
      <c r="E2727" s="52" t="s">
        <v>25</v>
      </c>
      <c r="F2727" s="52" t="s">
        <v>26</v>
      </c>
      <c r="G2727" s="53"/>
    </row>
    <row r="2728">
      <c r="A2728" s="49">
        <v>44723.22276645833</v>
      </c>
      <c r="B2728" s="50">
        <v>44723.3477462037</v>
      </c>
      <c r="C2728" s="51">
        <v>1.007</v>
      </c>
      <c r="D2728" s="51">
        <v>68.0</v>
      </c>
      <c r="E2728" s="52" t="s">
        <v>25</v>
      </c>
      <c r="F2728" s="52" t="s">
        <v>26</v>
      </c>
      <c r="G2728" s="53"/>
    </row>
    <row r="2729">
      <c r="A2729" s="49">
        <v>44723.23321684028</v>
      </c>
      <c r="B2729" s="50">
        <v>44723.358191956</v>
      </c>
      <c r="C2729" s="51">
        <v>1.007</v>
      </c>
      <c r="D2729" s="51">
        <v>68.0</v>
      </c>
      <c r="E2729" s="52" t="s">
        <v>25</v>
      </c>
      <c r="F2729" s="52" t="s">
        <v>26</v>
      </c>
      <c r="G2729" s="53"/>
    </row>
    <row r="2730">
      <c r="A2730" s="49">
        <v>44723.24365081018</v>
      </c>
      <c r="B2730" s="50">
        <v>44723.3686263078</v>
      </c>
      <c r="C2730" s="51">
        <v>1.007</v>
      </c>
      <c r="D2730" s="51">
        <v>68.0</v>
      </c>
      <c r="E2730" s="52" t="s">
        <v>25</v>
      </c>
      <c r="F2730" s="52" t="s">
        <v>26</v>
      </c>
      <c r="G2730" s="53"/>
    </row>
    <row r="2731">
      <c r="A2731" s="49">
        <v>44723.25406784722</v>
      </c>
      <c r="B2731" s="50">
        <v>44723.3790476273</v>
      </c>
      <c r="C2731" s="51">
        <v>1.007</v>
      </c>
      <c r="D2731" s="51">
        <v>68.0</v>
      </c>
      <c r="E2731" s="52" t="s">
        <v>25</v>
      </c>
      <c r="F2731" s="52" t="s">
        <v>26</v>
      </c>
      <c r="G2731" s="53"/>
    </row>
    <row r="2732">
      <c r="A2732" s="49">
        <v>44723.26449678241</v>
      </c>
      <c r="B2732" s="50">
        <v>44723.3894663657</v>
      </c>
      <c r="C2732" s="51">
        <v>1.008</v>
      </c>
      <c r="D2732" s="51">
        <v>68.0</v>
      </c>
      <c r="E2732" s="52" t="s">
        <v>25</v>
      </c>
      <c r="F2732" s="52" t="s">
        <v>26</v>
      </c>
      <c r="G2732" s="53"/>
    </row>
    <row r="2733">
      <c r="A2733" s="49">
        <v>44723.27492704861</v>
      </c>
      <c r="B2733" s="50">
        <v>44723.3999006828</v>
      </c>
      <c r="C2733" s="51">
        <v>1.007</v>
      </c>
      <c r="D2733" s="51">
        <v>68.0</v>
      </c>
      <c r="E2733" s="52" t="s">
        <v>25</v>
      </c>
      <c r="F2733" s="52" t="s">
        <v>26</v>
      </c>
      <c r="G2733" s="53"/>
    </row>
    <row r="2734">
      <c r="A2734" s="49">
        <v>44723.28534530093</v>
      </c>
      <c r="B2734" s="50">
        <v>44723.4103211458</v>
      </c>
      <c r="C2734" s="51">
        <v>1.007</v>
      </c>
      <c r="D2734" s="51">
        <v>68.0</v>
      </c>
      <c r="E2734" s="52" t="s">
        <v>25</v>
      </c>
      <c r="F2734" s="52" t="s">
        <v>26</v>
      </c>
      <c r="G2734" s="53"/>
    </row>
    <row r="2735">
      <c r="A2735" s="49">
        <v>44723.29576862269</v>
      </c>
      <c r="B2735" s="50">
        <v>44723.420743449</v>
      </c>
      <c r="C2735" s="51">
        <v>1.007</v>
      </c>
      <c r="D2735" s="51">
        <v>68.0</v>
      </c>
      <c r="E2735" s="52" t="s">
        <v>25</v>
      </c>
      <c r="F2735" s="52" t="s">
        <v>26</v>
      </c>
      <c r="G2735" s="53"/>
    </row>
    <row r="2736">
      <c r="A2736" s="49">
        <v>44723.30619287037</v>
      </c>
      <c r="B2736" s="50">
        <v>44723.431165625</v>
      </c>
      <c r="C2736" s="51">
        <v>1.007</v>
      </c>
      <c r="D2736" s="51">
        <v>68.0</v>
      </c>
      <c r="E2736" s="52" t="s">
        <v>25</v>
      </c>
      <c r="F2736" s="52" t="s">
        <v>26</v>
      </c>
      <c r="G2736" s="53"/>
    </row>
    <row r="2737">
      <c r="A2737" s="49">
        <v>44723.31661765046</v>
      </c>
      <c r="B2737" s="50">
        <v>44723.441586956</v>
      </c>
      <c r="C2737" s="51">
        <v>1.007</v>
      </c>
      <c r="D2737" s="51">
        <v>68.0</v>
      </c>
      <c r="E2737" s="52" t="s">
        <v>25</v>
      </c>
      <c r="F2737" s="52" t="s">
        <v>26</v>
      </c>
      <c r="G2737" s="53"/>
    </row>
    <row r="2738">
      <c r="A2738" s="49">
        <v>44723.327033043985</v>
      </c>
      <c r="B2738" s="50">
        <v>44723.4520089467</v>
      </c>
      <c r="C2738" s="51">
        <v>1.007</v>
      </c>
      <c r="D2738" s="51">
        <v>68.0</v>
      </c>
      <c r="E2738" s="52" t="s">
        <v>25</v>
      </c>
      <c r="F2738" s="52" t="s">
        <v>26</v>
      </c>
      <c r="G2738" s="53"/>
    </row>
    <row r="2739">
      <c r="A2739" s="49">
        <v>44723.337459664355</v>
      </c>
      <c r="B2739" s="50">
        <v>44723.4624315393</v>
      </c>
      <c r="C2739" s="51">
        <v>1.007</v>
      </c>
      <c r="D2739" s="51">
        <v>68.0</v>
      </c>
      <c r="E2739" s="52" t="s">
        <v>25</v>
      </c>
      <c r="F2739" s="52" t="s">
        <v>26</v>
      </c>
      <c r="G2739" s="53"/>
    </row>
    <row r="2740">
      <c r="A2740" s="49">
        <v>44723.34787866898</v>
      </c>
      <c r="B2740" s="50">
        <v>44723.472850405</v>
      </c>
      <c r="C2740" s="51">
        <v>1.007</v>
      </c>
      <c r="D2740" s="51">
        <v>69.0</v>
      </c>
      <c r="E2740" s="52" t="s">
        <v>25</v>
      </c>
      <c r="F2740" s="52" t="s">
        <v>26</v>
      </c>
      <c r="G2740" s="53"/>
    </row>
    <row r="2741">
      <c r="A2741" s="49">
        <v>44723.35831083333</v>
      </c>
      <c r="B2741" s="50">
        <v>44723.4832834143</v>
      </c>
      <c r="C2741" s="51">
        <v>1.008</v>
      </c>
      <c r="D2741" s="51">
        <v>68.0</v>
      </c>
      <c r="E2741" s="52" t="s">
        <v>25</v>
      </c>
      <c r="F2741" s="52" t="s">
        <v>26</v>
      </c>
      <c r="G2741" s="53"/>
    </row>
    <row r="2742">
      <c r="A2742" s="49">
        <v>44723.36872528935</v>
      </c>
      <c r="B2742" s="50">
        <v>44723.493703368</v>
      </c>
      <c r="C2742" s="51">
        <v>1.007</v>
      </c>
      <c r="D2742" s="51">
        <v>68.0</v>
      </c>
      <c r="E2742" s="52" t="s">
        <v>25</v>
      </c>
      <c r="F2742" s="52" t="s">
        <v>26</v>
      </c>
      <c r="G2742" s="53"/>
    </row>
    <row r="2743">
      <c r="A2743" s="49">
        <v>44723.37916181713</v>
      </c>
      <c r="B2743" s="50">
        <v>44723.5041359027</v>
      </c>
      <c r="C2743" s="51">
        <v>1.007</v>
      </c>
      <c r="D2743" s="51">
        <v>68.0</v>
      </c>
      <c r="E2743" s="52" t="s">
        <v>25</v>
      </c>
      <c r="F2743" s="52" t="s">
        <v>26</v>
      </c>
      <c r="G2743" s="53"/>
    </row>
    <row r="2744">
      <c r="A2744" s="49">
        <v>44723.38957579861</v>
      </c>
      <c r="B2744" s="50">
        <v>44723.5145576967</v>
      </c>
      <c r="C2744" s="51">
        <v>1.007</v>
      </c>
      <c r="D2744" s="51">
        <v>69.0</v>
      </c>
      <c r="E2744" s="52" t="s">
        <v>25</v>
      </c>
      <c r="F2744" s="52" t="s">
        <v>26</v>
      </c>
      <c r="G2744" s="53"/>
    </row>
    <row r="2745">
      <c r="A2745" s="49">
        <v>44723.40000732639</v>
      </c>
      <c r="B2745" s="50">
        <v>44723.5249782407</v>
      </c>
      <c r="C2745" s="51">
        <v>1.007</v>
      </c>
      <c r="D2745" s="51">
        <v>69.0</v>
      </c>
      <c r="E2745" s="52" t="s">
        <v>25</v>
      </c>
      <c r="F2745" s="52" t="s">
        <v>26</v>
      </c>
      <c r="G2745" s="53"/>
    </row>
    <row r="2746">
      <c r="A2746" s="49">
        <v>44723.41042606482</v>
      </c>
      <c r="B2746" s="50">
        <v>44723.5354013541</v>
      </c>
      <c r="C2746" s="51">
        <v>1.007</v>
      </c>
      <c r="D2746" s="51">
        <v>69.0</v>
      </c>
      <c r="E2746" s="52" t="s">
        <v>25</v>
      </c>
      <c r="F2746" s="52" t="s">
        <v>26</v>
      </c>
      <c r="G2746" s="53"/>
    </row>
    <row r="2747">
      <c r="A2747" s="49">
        <v>44723.420858067126</v>
      </c>
      <c r="B2747" s="50">
        <v>44723.5458344907</v>
      </c>
      <c r="C2747" s="51">
        <v>1.007</v>
      </c>
      <c r="D2747" s="51">
        <v>69.0</v>
      </c>
      <c r="E2747" s="52" t="s">
        <v>25</v>
      </c>
      <c r="F2747" s="52" t="s">
        <v>26</v>
      </c>
      <c r="G2747" s="53"/>
    </row>
    <row r="2748">
      <c r="A2748" s="49">
        <v>44723.43127984954</v>
      </c>
      <c r="B2748" s="50">
        <v>44723.5562532291</v>
      </c>
      <c r="C2748" s="51">
        <v>1.007</v>
      </c>
      <c r="D2748" s="51">
        <v>68.0</v>
      </c>
      <c r="E2748" s="52" t="s">
        <v>25</v>
      </c>
      <c r="F2748" s="52" t="s">
        <v>26</v>
      </c>
      <c r="G2748" s="53"/>
    </row>
    <row r="2749">
      <c r="A2749" s="49">
        <v>44723.441698333336</v>
      </c>
      <c r="B2749" s="50">
        <v>44723.5666749305</v>
      </c>
      <c r="C2749" s="51">
        <v>1.007</v>
      </c>
      <c r="D2749" s="51">
        <v>69.0</v>
      </c>
      <c r="E2749" s="52" t="s">
        <v>25</v>
      </c>
      <c r="F2749" s="52" t="s">
        <v>26</v>
      </c>
      <c r="G2749" s="53"/>
    </row>
    <row r="2750">
      <c r="A2750" s="49">
        <v>44723.45213554398</v>
      </c>
      <c r="B2750" s="50">
        <v>44723.5771083912</v>
      </c>
      <c r="C2750" s="51">
        <v>1.008</v>
      </c>
      <c r="D2750" s="51">
        <v>69.0</v>
      </c>
      <c r="E2750" s="52" t="s">
        <v>25</v>
      </c>
      <c r="F2750" s="52" t="s">
        <v>26</v>
      </c>
      <c r="G2750" s="53"/>
    </row>
    <row r="2751">
      <c r="A2751" s="49">
        <v>44723.46255759259</v>
      </c>
      <c r="B2751" s="50">
        <v>44723.5875297106</v>
      </c>
      <c r="C2751" s="51">
        <v>1.008</v>
      </c>
      <c r="D2751" s="51">
        <v>69.0</v>
      </c>
      <c r="E2751" s="52" t="s">
        <v>25</v>
      </c>
      <c r="F2751" s="52" t="s">
        <v>26</v>
      </c>
      <c r="G2751" s="53"/>
    </row>
    <row r="2752">
      <c r="A2752" s="49">
        <v>44723.47297832176</v>
      </c>
      <c r="B2752" s="50">
        <v>44723.5979518171</v>
      </c>
      <c r="C2752" s="51">
        <v>1.007</v>
      </c>
      <c r="D2752" s="51">
        <v>69.0</v>
      </c>
      <c r="E2752" s="52" t="s">
        <v>25</v>
      </c>
      <c r="F2752" s="52" t="s">
        <v>26</v>
      </c>
      <c r="G2752" s="53"/>
    </row>
    <row r="2753">
      <c r="A2753" s="49">
        <v>44723.483399930556</v>
      </c>
      <c r="B2753" s="50">
        <v>44723.6083724421</v>
      </c>
      <c r="C2753" s="51">
        <v>1.007</v>
      </c>
      <c r="D2753" s="51">
        <v>69.0</v>
      </c>
      <c r="E2753" s="52" t="s">
        <v>25</v>
      </c>
      <c r="F2753" s="52" t="s">
        <v>26</v>
      </c>
      <c r="G2753" s="53"/>
    </row>
    <row r="2754">
      <c r="A2754" s="49">
        <v>44723.493817256945</v>
      </c>
      <c r="B2754" s="50">
        <v>44723.6187936689</v>
      </c>
      <c r="C2754" s="51">
        <v>1.007</v>
      </c>
      <c r="D2754" s="51">
        <v>69.0</v>
      </c>
      <c r="E2754" s="52" t="s">
        <v>25</v>
      </c>
      <c r="F2754" s="52" t="s">
        <v>26</v>
      </c>
      <c r="G2754" s="53"/>
    </row>
    <row r="2755">
      <c r="A2755" s="49">
        <v>44723.504244861106</v>
      </c>
      <c r="B2755" s="50">
        <v>44723.6292170254</v>
      </c>
      <c r="C2755" s="51">
        <v>1.007</v>
      </c>
      <c r="D2755" s="51">
        <v>69.0</v>
      </c>
      <c r="E2755" s="52" t="s">
        <v>25</v>
      </c>
      <c r="F2755" s="52" t="s">
        <v>26</v>
      </c>
      <c r="G2755" s="53"/>
    </row>
    <row r="2756">
      <c r="A2756" s="49">
        <v>44723.514664375005</v>
      </c>
      <c r="B2756" s="50">
        <v>44723.6396393634</v>
      </c>
      <c r="C2756" s="51">
        <v>1.007</v>
      </c>
      <c r="D2756" s="51">
        <v>69.0</v>
      </c>
      <c r="E2756" s="52" t="s">
        <v>25</v>
      </c>
      <c r="F2756" s="52" t="s">
        <v>26</v>
      </c>
      <c r="G2756" s="53"/>
    </row>
    <row r="2757">
      <c r="A2757" s="49">
        <v>44723.52508054399</v>
      </c>
      <c r="B2757" s="50">
        <v>44723.6500603009</v>
      </c>
      <c r="C2757" s="51">
        <v>1.007</v>
      </c>
      <c r="D2757" s="51">
        <v>69.0</v>
      </c>
      <c r="E2757" s="52" t="s">
        <v>25</v>
      </c>
      <c r="F2757" s="52" t="s">
        <v>26</v>
      </c>
      <c r="G2757" s="53"/>
    </row>
    <row r="2758">
      <c r="A2758" s="49">
        <v>44723.53558203704</v>
      </c>
      <c r="B2758" s="50">
        <v>44723.660560949</v>
      </c>
      <c r="C2758" s="51">
        <v>1.007</v>
      </c>
      <c r="D2758" s="51">
        <v>69.0</v>
      </c>
      <c r="E2758" s="52" t="s">
        <v>25</v>
      </c>
      <c r="F2758" s="52" t="s">
        <v>26</v>
      </c>
      <c r="G2758" s="53"/>
    </row>
    <row r="2759">
      <c r="A2759" s="49">
        <v>44723.54600291667</v>
      </c>
      <c r="B2759" s="50">
        <v>44723.6709818518</v>
      </c>
      <c r="C2759" s="51">
        <v>1.007</v>
      </c>
      <c r="D2759" s="51">
        <v>69.0</v>
      </c>
      <c r="E2759" s="52" t="s">
        <v>25</v>
      </c>
      <c r="F2759" s="52" t="s">
        <v>26</v>
      </c>
      <c r="G2759" s="53"/>
    </row>
    <row r="2760">
      <c r="A2760" s="49">
        <v>44723.55643146991</v>
      </c>
      <c r="B2760" s="50">
        <v>44723.6814042129</v>
      </c>
      <c r="C2760" s="51">
        <v>1.007</v>
      </c>
      <c r="D2760" s="51">
        <v>69.0</v>
      </c>
      <c r="E2760" s="52" t="s">
        <v>25</v>
      </c>
      <c r="F2760" s="52" t="s">
        <v>26</v>
      </c>
      <c r="G2760" s="53"/>
    </row>
    <row r="2761">
      <c r="A2761" s="49">
        <v>44723.56685416667</v>
      </c>
      <c r="B2761" s="50">
        <v>44723.6918243171</v>
      </c>
      <c r="C2761" s="51">
        <v>1.007</v>
      </c>
      <c r="D2761" s="51">
        <v>69.0</v>
      </c>
      <c r="E2761" s="52" t="s">
        <v>25</v>
      </c>
      <c r="F2761" s="52" t="s">
        <v>26</v>
      </c>
      <c r="G2761" s="53"/>
    </row>
    <row r="2762">
      <c r="A2762" s="49">
        <v>44723.57727086806</v>
      </c>
      <c r="B2762" s="50">
        <v>44723.702245</v>
      </c>
      <c r="C2762" s="51">
        <v>1.007</v>
      </c>
      <c r="D2762" s="51">
        <v>69.0</v>
      </c>
      <c r="E2762" s="52" t="s">
        <v>25</v>
      </c>
      <c r="F2762" s="52" t="s">
        <v>26</v>
      </c>
      <c r="G2762" s="53"/>
    </row>
    <row r="2763">
      <c r="A2763" s="49">
        <v>44723.58768621528</v>
      </c>
      <c r="B2763" s="50">
        <v>44723.7126661111</v>
      </c>
      <c r="C2763" s="51">
        <v>1.007</v>
      </c>
      <c r="D2763" s="51">
        <v>69.0</v>
      </c>
      <c r="E2763" s="52" t="s">
        <v>25</v>
      </c>
      <c r="F2763" s="52" t="s">
        <v>26</v>
      </c>
      <c r="G2763" s="53"/>
    </row>
    <row r="2764">
      <c r="A2764" s="49">
        <v>44723.598128819445</v>
      </c>
      <c r="B2764" s="50">
        <v>44723.7230998958</v>
      </c>
      <c r="C2764" s="51">
        <v>1.007</v>
      </c>
      <c r="D2764" s="51">
        <v>69.0</v>
      </c>
      <c r="E2764" s="52" t="s">
        <v>25</v>
      </c>
      <c r="F2764" s="52" t="s">
        <v>26</v>
      </c>
      <c r="G2764" s="53"/>
    </row>
    <row r="2765">
      <c r="A2765" s="49">
        <v>44723.60854686343</v>
      </c>
      <c r="B2765" s="50">
        <v>44723.7335213888</v>
      </c>
      <c r="C2765" s="51">
        <v>1.007</v>
      </c>
      <c r="D2765" s="51">
        <v>69.0</v>
      </c>
      <c r="E2765" s="52" t="s">
        <v>25</v>
      </c>
      <c r="F2765" s="52" t="s">
        <v>26</v>
      </c>
      <c r="G2765" s="53"/>
    </row>
    <row r="2766">
      <c r="A2766" s="49">
        <v>44723.6189690162</v>
      </c>
      <c r="B2766" s="50">
        <v>44723.7439446759</v>
      </c>
      <c r="C2766" s="51">
        <v>1.007</v>
      </c>
      <c r="D2766" s="51">
        <v>69.0</v>
      </c>
      <c r="E2766" s="52" t="s">
        <v>25</v>
      </c>
      <c r="F2766" s="52" t="s">
        <v>26</v>
      </c>
      <c r="G2766" s="53"/>
    </row>
    <row r="2767">
      <c r="A2767" s="49">
        <v>44723.62940253472</v>
      </c>
      <c r="B2767" s="50">
        <v>44723.7543771759</v>
      </c>
      <c r="C2767" s="51">
        <v>1.007</v>
      </c>
      <c r="D2767" s="51">
        <v>69.0</v>
      </c>
      <c r="E2767" s="52" t="s">
        <v>25</v>
      </c>
      <c r="F2767" s="52" t="s">
        <v>26</v>
      </c>
      <c r="G2767" s="53"/>
    </row>
    <row r="2768">
      <c r="A2768" s="49">
        <v>44723.63982297454</v>
      </c>
      <c r="B2768" s="50">
        <v>44723.764799074</v>
      </c>
      <c r="C2768" s="51">
        <v>1.007</v>
      </c>
      <c r="D2768" s="51">
        <v>69.0</v>
      </c>
      <c r="E2768" s="52" t="s">
        <v>25</v>
      </c>
      <c r="F2768" s="52" t="s">
        <v>26</v>
      </c>
      <c r="G2768" s="53"/>
    </row>
    <row r="2769">
      <c r="A2769" s="49">
        <v>44723.65024289352</v>
      </c>
      <c r="B2769" s="50">
        <v>44723.7752204976</v>
      </c>
      <c r="C2769" s="51">
        <v>1.007</v>
      </c>
      <c r="D2769" s="51">
        <v>69.0</v>
      </c>
      <c r="E2769" s="52" t="s">
        <v>25</v>
      </c>
      <c r="F2769" s="52" t="s">
        <v>26</v>
      </c>
      <c r="G2769" s="53"/>
    </row>
    <row r="2770">
      <c r="A2770" s="49">
        <v>44723.660669502315</v>
      </c>
      <c r="B2770" s="50">
        <v>44723.7856418634</v>
      </c>
      <c r="C2770" s="51">
        <v>1.007</v>
      </c>
      <c r="D2770" s="51">
        <v>69.0</v>
      </c>
      <c r="E2770" s="52" t="s">
        <v>25</v>
      </c>
      <c r="F2770" s="52" t="s">
        <v>26</v>
      </c>
      <c r="G2770" s="53"/>
    </row>
    <row r="2771">
      <c r="A2771" s="49">
        <v>44723.671088993055</v>
      </c>
      <c r="B2771" s="50">
        <v>44723.7960641666</v>
      </c>
      <c r="C2771" s="51">
        <v>1.007</v>
      </c>
      <c r="D2771" s="51">
        <v>69.0</v>
      </c>
      <c r="E2771" s="52" t="s">
        <v>25</v>
      </c>
      <c r="F2771" s="52" t="s">
        <v>26</v>
      </c>
      <c r="G2771" s="53"/>
    </row>
    <row r="2772">
      <c r="A2772" s="49">
        <v>44723.68150472222</v>
      </c>
      <c r="B2772" s="50">
        <v>44723.8064854745</v>
      </c>
      <c r="C2772" s="51">
        <v>1.007</v>
      </c>
      <c r="D2772" s="51">
        <v>69.0</v>
      </c>
      <c r="E2772" s="52" t="s">
        <v>25</v>
      </c>
      <c r="F2772" s="52" t="s">
        <v>26</v>
      </c>
      <c r="G2772" s="53"/>
    </row>
    <row r="2773">
      <c r="A2773" s="49">
        <v>44723.69193925926</v>
      </c>
      <c r="B2773" s="50">
        <v>44723.8169058333</v>
      </c>
      <c r="C2773" s="51">
        <v>1.007</v>
      </c>
      <c r="D2773" s="51">
        <v>69.0</v>
      </c>
      <c r="E2773" s="52" t="s">
        <v>25</v>
      </c>
      <c r="F2773" s="52" t="s">
        <v>26</v>
      </c>
      <c r="G2773" s="53"/>
    </row>
    <row r="2774">
      <c r="A2774" s="49">
        <v>44723.702353078705</v>
      </c>
      <c r="B2774" s="50">
        <v>44723.8273273958</v>
      </c>
      <c r="C2774" s="51">
        <v>1.007</v>
      </c>
      <c r="D2774" s="51">
        <v>69.0</v>
      </c>
      <c r="E2774" s="52" t="s">
        <v>25</v>
      </c>
      <c r="F2774" s="52" t="s">
        <v>26</v>
      </c>
      <c r="G2774" s="53"/>
    </row>
    <row r="2775">
      <c r="A2775" s="49">
        <v>44723.71278349537</v>
      </c>
      <c r="B2775" s="50">
        <v>44723.8377595138</v>
      </c>
      <c r="C2775" s="51">
        <v>1.007</v>
      </c>
      <c r="D2775" s="51">
        <v>69.0</v>
      </c>
      <c r="E2775" s="52" t="s">
        <v>25</v>
      </c>
      <c r="F2775" s="52" t="s">
        <v>26</v>
      </c>
      <c r="G2775" s="53"/>
    </row>
    <row r="2776">
      <c r="A2776" s="49">
        <v>44723.72324506944</v>
      </c>
      <c r="B2776" s="50">
        <v>44723.8482155208</v>
      </c>
      <c r="C2776" s="51">
        <v>1.007</v>
      </c>
      <c r="D2776" s="51">
        <v>69.0</v>
      </c>
      <c r="E2776" s="52" t="s">
        <v>25</v>
      </c>
      <c r="F2776" s="52" t="s">
        <v>26</v>
      </c>
      <c r="G2776" s="53"/>
    </row>
    <row r="2777">
      <c r="A2777" s="49">
        <v>44723.733659108795</v>
      </c>
      <c r="B2777" s="50">
        <v>44723.8586363773</v>
      </c>
      <c r="C2777" s="51">
        <v>1.007</v>
      </c>
      <c r="D2777" s="51">
        <v>69.0</v>
      </c>
      <c r="E2777" s="52" t="s">
        <v>25</v>
      </c>
      <c r="F2777" s="52" t="s">
        <v>26</v>
      </c>
      <c r="G2777" s="53"/>
    </row>
    <row r="2778">
      <c r="A2778" s="49">
        <v>44723.74410285879</v>
      </c>
      <c r="B2778" s="50">
        <v>44723.8690699768</v>
      </c>
      <c r="C2778" s="51">
        <v>1.007</v>
      </c>
      <c r="D2778" s="51">
        <v>69.0</v>
      </c>
      <c r="E2778" s="52" t="s">
        <v>25</v>
      </c>
      <c r="F2778" s="52" t="s">
        <v>26</v>
      </c>
      <c r="G2778" s="53"/>
    </row>
    <row r="2779">
      <c r="A2779" s="49">
        <v>44723.75451783565</v>
      </c>
      <c r="B2779" s="50">
        <v>44723.8794899421</v>
      </c>
      <c r="C2779" s="51">
        <v>1.007</v>
      </c>
      <c r="D2779" s="51">
        <v>69.0</v>
      </c>
      <c r="E2779" s="52" t="s">
        <v>25</v>
      </c>
      <c r="F2779" s="52" t="s">
        <v>26</v>
      </c>
      <c r="G2779" s="53"/>
    </row>
    <row r="2780">
      <c r="A2780" s="49">
        <v>44723.76493789352</v>
      </c>
      <c r="B2780" s="50">
        <v>44723.8899106597</v>
      </c>
      <c r="C2780" s="51">
        <v>1.007</v>
      </c>
      <c r="D2780" s="51">
        <v>69.0</v>
      </c>
      <c r="E2780" s="52" t="s">
        <v>25</v>
      </c>
      <c r="F2780" s="52" t="s">
        <v>26</v>
      </c>
      <c r="G2780" s="53"/>
    </row>
    <row r="2781">
      <c r="A2781" s="49">
        <v>44723.775381342595</v>
      </c>
      <c r="B2781" s="50">
        <v>44723.9003553356</v>
      </c>
      <c r="C2781" s="51">
        <v>1.007</v>
      </c>
      <c r="D2781" s="51">
        <v>69.0</v>
      </c>
      <c r="E2781" s="52" t="s">
        <v>25</v>
      </c>
      <c r="F2781" s="52" t="s">
        <v>26</v>
      </c>
      <c r="G2781" s="53"/>
    </row>
    <row r="2782">
      <c r="A2782" s="49">
        <v>44723.785801446764</v>
      </c>
      <c r="B2782" s="50">
        <v>44723.9107770023</v>
      </c>
      <c r="C2782" s="51">
        <v>1.007</v>
      </c>
      <c r="D2782" s="51">
        <v>69.0</v>
      </c>
      <c r="E2782" s="52" t="s">
        <v>25</v>
      </c>
      <c r="F2782" s="52" t="s">
        <v>26</v>
      </c>
      <c r="G2782" s="53"/>
    </row>
    <row r="2783">
      <c r="A2783" s="49">
        <v>44723.79621594907</v>
      </c>
      <c r="B2783" s="50">
        <v>44723.9211980787</v>
      </c>
      <c r="C2783" s="51">
        <v>1.007</v>
      </c>
      <c r="D2783" s="51">
        <v>69.0</v>
      </c>
      <c r="E2783" s="52" t="s">
        <v>25</v>
      </c>
      <c r="F2783" s="52" t="s">
        <v>26</v>
      </c>
      <c r="G2783" s="53"/>
    </row>
    <row r="2784">
      <c r="A2784" s="49">
        <v>44723.80664076388</v>
      </c>
      <c r="B2784" s="50">
        <v>44723.9316181713</v>
      </c>
      <c r="C2784" s="51">
        <v>1.007</v>
      </c>
      <c r="D2784" s="51">
        <v>69.0</v>
      </c>
      <c r="E2784" s="52" t="s">
        <v>25</v>
      </c>
      <c r="F2784" s="52" t="s">
        <v>26</v>
      </c>
      <c r="G2784" s="53"/>
    </row>
    <row r="2785">
      <c r="A2785" s="49">
        <v>44723.8170684375</v>
      </c>
      <c r="B2785" s="50">
        <v>44723.942051331</v>
      </c>
      <c r="C2785" s="51">
        <v>1.007</v>
      </c>
      <c r="D2785" s="51">
        <v>69.0</v>
      </c>
      <c r="E2785" s="52" t="s">
        <v>25</v>
      </c>
      <c r="F2785" s="52" t="s">
        <v>26</v>
      </c>
      <c r="G2785" s="53"/>
    </row>
    <row r="2786">
      <c r="A2786" s="49">
        <v>44723.82749891204</v>
      </c>
      <c r="B2786" s="50">
        <v>44723.9524737847</v>
      </c>
      <c r="C2786" s="51">
        <v>1.007</v>
      </c>
      <c r="D2786" s="51">
        <v>69.0</v>
      </c>
      <c r="E2786" s="52" t="s">
        <v>25</v>
      </c>
      <c r="F2786" s="52" t="s">
        <v>26</v>
      </c>
      <c r="G2786" s="53"/>
    </row>
    <row r="2787">
      <c r="A2787" s="49">
        <v>44723.83794327546</v>
      </c>
      <c r="B2787" s="50">
        <v>44723.9629198495</v>
      </c>
      <c r="C2787" s="51">
        <v>1.007</v>
      </c>
      <c r="D2787" s="51">
        <v>69.0</v>
      </c>
      <c r="E2787" s="52" t="s">
        <v>25</v>
      </c>
      <c r="F2787" s="52" t="s">
        <v>26</v>
      </c>
      <c r="G2787" s="53"/>
    </row>
    <row r="2788">
      <c r="A2788" s="49">
        <v>44723.84836204861</v>
      </c>
      <c r="B2788" s="50">
        <v>44723.973341331</v>
      </c>
      <c r="C2788" s="51">
        <v>1.007</v>
      </c>
      <c r="D2788" s="51">
        <v>69.0</v>
      </c>
      <c r="E2788" s="52" t="s">
        <v>25</v>
      </c>
      <c r="F2788" s="52" t="s">
        <v>26</v>
      </c>
      <c r="G2788" s="53"/>
    </row>
    <row r="2789">
      <c r="A2789" s="49">
        <v>44723.8587895949</v>
      </c>
      <c r="B2789" s="50">
        <v>44723.9837620486</v>
      </c>
      <c r="C2789" s="51">
        <v>1.007</v>
      </c>
      <c r="D2789" s="51">
        <v>69.0</v>
      </c>
      <c r="E2789" s="52" t="s">
        <v>25</v>
      </c>
      <c r="F2789" s="52" t="s">
        <v>26</v>
      </c>
      <c r="G2789" s="53"/>
    </row>
    <row r="2790">
      <c r="A2790" s="49">
        <v>44723.86921123843</v>
      </c>
      <c r="B2790" s="50">
        <v>44723.9941831828</v>
      </c>
      <c r="C2790" s="51">
        <v>1.007</v>
      </c>
      <c r="D2790" s="51">
        <v>69.0</v>
      </c>
      <c r="E2790" s="52" t="s">
        <v>25</v>
      </c>
      <c r="F2790" s="52" t="s">
        <v>26</v>
      </c>
      <c r="G2790" s="53"/>
    </row>
    <row r="2791">
      <c r="A2791" s="49">
        <v>44723.87963166667</v>
      </c>
      <c r="B2791" s="50">
        <v>44724.0046044097</v>
      </c>
      <c r="C2791" s="51">
        <v>1.007</v>
      </c>
      <c r="D2791" s="51">
        <v>69.0</v>
      </c>
      <c r="E2791" s="52" t="s">
        <v>25</v>
      </c>
      <c r="F2791" s="52" t="s">
        <v>26</v>
      </c>
      <c r="G2791" s="53"/>
    </row>
    <row r="2792">
      <c r="A2792" s="49">
        <v>44723.89005350694</v>
      </c>
      <c r="B2792" s="50">
        <v>44724.0150245833</v>
      </c>
      <c r="C2792" s="51">
        <v>1.007</v>
      </c>
      <c r="D2792" s="51">
        <v>69.0</v>
      </c>
      <c r="E2792" s="52" t="s">
        <v>25</v>
      </c>
      <c r="F2792" s="52" t="s">
        <v>26</v>
      </c>
      <c r="G2792" s="53"/>
    </row>
    <row r="2793">
      <c r="A2793" s="49">
        <v>44723.900470486115</v>
      </c>
      <c r="B2793" s="50">
        <v>44724.0254465509</v>
      </c>
      <c r="C2793" s="51">
        <v>1.007</v>
      </c>
      <c r="D2793" s="51">
        <v>69.0</v>
      </c>
      <c r="E2793" s="52" t="s">
        <v>25</v>
      </c>
      <c r="F2793" s="52" t="s">
        <v>26</v>
      </c>
      <c r="G2793" s="53"/>
    </row>
    <row r="2794">
      <c r="A2794" s="49">
        <v>44723.91088972222</v>
      </c>
      <c r="B2794" s="50">
        <v>44724.0358671296</v>
      </c>
      <c r="C2794" s="51">
        <v>1.007</v>
      </c>
      <c r="D2794" s="51">
        <v>69.0</v>
      </c>
      <c r="E2794" s="52" t="s">
        <v>25</v>
      </c>
      <c r="F2794" s="52" t="s">
        <v>26</v>
      </c>
      <c r="G2794" s="53"/>
    </row>
    <row r="2795">
      <c r="A2795" s="49">
        <v>44723.92131430555</v>
      </c>
      <c r="B2795" s="50">
        <v>44724.0462879398</v>
      </c>
      <c r="C2795" s="51">
        <v>1.007</v>
      </c>
      <c r="D2795" s="51">
        <v>69.0</v>
      </c>
      <c r="E2795" s="52" t="s">
        <v>25</v>
      </c>
      <c r="F2795" s="52" t="s">
        <v>26</v>
      </c>
      <c r="G2795" s="53"/>
    </row>
    <row r="2796">
      <c r="A2796" s="49">
        <v>44723.93173401621</v>
      </c>
      <c r="B2796" s="50">
        <v>44724.0567092824</v>
      </c>
      <c r="C2796" s="51">
        <v>1.007</v>
      </c>
      <c r="D2796" s="51">
        <v>69.0</v>
      </c>
      <c r="E2796" s="52" t="s">
        <v>25</v>
      </c>
      <c r="F2796" s="52" t="s">
        <v>26</v>
      </c>
      <c r="G2796" s="53"/>
    </row>
    <row r="2797">
      <c r="A2797" s="49">
        <v>44723.94215393519</v>
      </c>
      <c r="B2797" s="50">
        <v>44724.0671294213</v>
      </c>
      <c r="C2797" s="51">
        <v>1.007</v>
      </c>
      <c r="D2797" s="51">
        <v>69.0</v>
      </c>
      <c r="E2797" s="52" t="s">
        <v>25</v>
      </c>
      <c r="F2797" s="52" t="s">
        <v>26</v>
      </c>
      <c r="G2797" s="53"/>
    </row>
    <row r="2798">
      <c r="A2798" s="49">
        <v>44723.95256924769</v>
      </c>
      <c r="B2798" s="50">
        <v>44724.077550405</v>
      </c>
      <c r="C2798" s="51">
        <v>1.007</v>
      </c>
      <c r="D2798" s="51">
        <v>69.0</v>
      </c>
      <c r="E2798" s="52" t="s">
        <v>25</v>
      </c>
      <c r="F2798" s="52" t="s">
        <v>26</v>
      </c>
      <c r="G2798" s="53"/>
    </row>
    <row r="2799">
      <c r="A2799" s="49">
        <v>44723.96300350694</v>
      </c>
      <c r="B2799" s="50">
        <v>44724.0879813773</v>
      </c>
      <c r="C2799" s="51">
        <v>1.007</v>
      </c>
      <c r="D2799" s="51">
        <v>69.0</v>
      </c>
      <c r="E2799" s="52" t="s">
        <v>25</v>
      </c>
      <c r="F2799" s="52" t="s">
        <v>26</v>
      </c>
      <c r="G2799" s="53"/>
    </row>
    <row r="2800">
      <c r="A2800" s="49">
        <v>44723.973431018516</v>
      </c>
      <c r="B2800" s="50">
        <v>44724.0984030092</v>
      </c>
      <c r="C2800" s="51">
        <v>1.007</v>
      </c>
      <c r="D2800" s="51">
        <v>69.0</v>
      </c>
      <c r="E2800" s="52" t="s">
        <v>25</v>
      </c>
      <c r="F2800" s="52" t="s">
        <v>26</v>
      </c>
      <c r="G2800" s="53"/>
    </row>
    <row r="2801">
      <c r="A2801" s="49">
        <v>44723.983849131946</v>
      </c>
      <c r="B2801" s="50">
        <v>44724.1088236805</v>
      </c>
      <c r="C2801" s="51">
        <v>1.007</v>
      </c>
      <c r="D2801" s="51">
        <v>69.0</v>
      </c>
      <c r="E2801" s="52" t="s">
        <v>25</v>
      </c>
      <c r="F2801" s="52" t="s">
        <v>26</v>
      </c>
      <c r="G2801" s="53"/>
    </row>
    <row r="2802">
      <c r="A2802" s="49">
        <v>44723.99427047453</v>
      </c>
      <c r="B2802" s="50">
        <v>44724.1192451041</v>
      </c>
      <c r="C2802" s="51">
        <v>1.007</v>
      </c>
      <c r="D2802" s="51">
        <v>69.0</v>
      </c>
      <c r="E2802" s="52" t="s">
        <v>25</v>
      </c>
      <c r="F2802" s="52" t="s">
        <v>26</v>
      </c>
      <c r="G2802" s="53"/>
    </row>
    <row r="2803">
      <c r="A2803" s="49">
        <v>44724.004704039355</v>
      </c>
      <c r="B2803" s="50">
        <v>44724.1296775115</v>
      </c>
      <c r="C2803" s="51">
        <v>1.007</v>
      </c>
      <c r="D2803" s="51">
        <v>69.0</v>
      </c>
      <c r="E2803" s="52" t="s">
        <v>25</v>
      </c>
      <c r="F2803" s="52" t="s">
        <v>26</v>
      </c>
      <c r="G2803" s="53"/>
    </row>
    <row r="2804">
      <c r="A2804" s="49">
        <v>44724.015120254626</v>
      </c>
      <c r="B2804" s="50">
        <v>44724.1400979745</v>
      </c>
      <c r="C2804" s="51">
        <v>1.007</v>
      </c>
      <c r="D2804" s="51">
        <v>69.0</v>
      </c>
      <c r="E2804" s="52" t="s">
        <v>25</v>
      </c>
      <c r="F2804" s="52" t="s">
        <v>26</v>
      </c>
      <c r="G2804" s="53"/>
    </row>
    <row r="2805">
      <c r="A2805" s="49">
        <v>44724.025537407404</v>
      </c>
      <c r="B2805" s="50">
        <v>44724.1505185879</v>
      </c>
      <c r="C2805" s="51">
        <v>1.007</v>
      </c>
      <c r="D2805" s="51">
        <v>69.0</v>
      </c>
      <c r="E2805" s="52" t="s">
        <v>25</v>
      </c>
      <c r="F2805" s="52" t="s">
        <v>26</v>
      </c>
      <c r="G2805" s="53"/>
    </row>
    <row r="2806">
      <c r="A2806" s="49">
        <v>44724.03595921297</v>
      </c>
      <c r="B2806" s="50">
        <v>44724.1609371875</v>
      </c>
      <c r="C2806" s="51">
        <v>1.007</v>
      </c>
      <c r="D2806" s="51">
        <v>69.0</v>
      </c>
      <c r="E2806" s="52" t="s">
        <v>25</v>
      </c>
      <c r="F2806" s="52" t="s">
        <v>26</v>
      </c>
      <c r="G2806" s="53"/>
    </row>
    <row r="2807">
      <c r="A2807" s="49">
        <v>44724.04637766204</v>
      </c>
      <c r="B2807" s="50">
        <v>44724.1713577314</v>
      </c>
      <c r="C2807" s="51">
        <v>1.007</v>
      </c>
      <c r="D2807" s="51">
        <v>69.0</v>
      </c>
      <c r="E2807" s="52" t="s">
        <v>25</v>
      </c>
      <c r="F2807" s="52" t="s">
        <v>26</v>
      </c>
      <c r="G2807" s="53"/>
    </row>
    <row r="2808">
      <c r="A2808" s="49">
        <v>44724.056806759254</v>
      </c>
      <c r="B2808" s="50">
        <v>44724.1817793055</v>
      </c>
      <c r="C2808" s="51">
        <v>1.007</v>
      </c>
      <c r="D2808" s="51">
        <v>69.0</v>
      </c>
      <c r="E2808" s="52" t="s">
        <v>25</v>
      </c>
      <c r="F2808" s="52" t="s">
        <v>26</v>
      </c>
      <c r="G2808" s="53"/>
    </row>
    <row r="2809">
      <c r="A2809" s="49">
        <v>44724.06722886574</v>
      </c>
      <c r="B2809" s="50">
        <v>44724.1922020486</v>
      </c>
      <c r="C2809" s="51">
        <v>1.007</v>
      </c>
      <c r="D2809" s="51">
        <v>69.0</v>
      </c>
      <c r="E2809" s="52" t="s">
        <v>25</v>
      </c>
      <c r="F2809" s="52" t="s">
        <v>26</v>
      </c>
      <c r="G2809" s="53"/>
    </row>
    <row r="2810">
      <c r="A2810" s="49">
        <v>44724.077682222225</v>
      </c>
      <c r="B2810" s="50">
        <v>44724.2026573958</v>
      </c>
      <c r="C2810" s="51">
        <v>1.007</v>
      </c>
      <c r="D2810" s="51">
        <v>69.0</v>
      </c>
      <c r="E2810" s="52" t="s">
        <v>25</v>
      </c>
      <c r="F2810" s="52" t="s">
        <v>26</v>
      </c>
      <c r="G2810" s="53"/>
    </row>
    <row r="2811">
      <c r="A2811" s="49">
        <v>44724.08809802083</v>
      </c>
      <c r="B2811" s="50">
        <v>44724.2130774074</v>
      </c>
      <c r="C2811" s="51">
        <v>1.007</v>
      </c>
      <c r="D2811" s="51">
        <v>69.0</v>
      </c>
      <c r="E2811" s="52" t="s">
        <v>25</v>
      </c>
      <c r="F2811" s="52" t="s">
        <v>26</v>
      </c>
      <c r="G2811" s="53"/>
    </row>
    <row r="2812">
      <c r="A2812" s="49">
        <v>44724.098528194445</v>
      </c>
      <c r="B2812" s="50">
        <v>44724.2234994213</v>
      </c>
      <c r="C2812" s="51">
        <v>1.007</v>
      </c>
      <c r="D2812" s="51">
        <v>69.0</v>
      </c>
      <c r="E2812" s="52" t="s">
        <v>25</v>
      </c>
      <c r="F2812" s="52" t="s">
        <v>26</v>
      </c>
      <c r="G2812" s="53"/>
    </row>
    <row r="2813">
      <c r="A2813" s="49">
        <v>44724.108947175926</v>
      </c>
      <c r="B2813" s="50">
        <v>44724.2339201736</v>
      </c>
      <c r="C2813" s="51">
        <v>1.007</v>
      </c>
      <c r="D2813" s="51">
        <v>69.0</v>
      </c>
      <c r="E2813" s="52" t="s">
        <v>25</v>
      </c>
      <c r="F2813" s="52" t="s">
        <v>26</v>
      </c>
      <c r="G2813" s="53"/>
    </row>
    <row r="2814">
      <c r="A2814" s="49">
        <v>44724.119378414354</v>
      </c>
      <c r="B2814" s="50">
        <v>44724.2443513888</v>
      </c>
      <c r="C2814" s="51">
        <v>1.007</v>
      </c>
      <c r="D2814" s="51">
        <v>69.0</v>
      </c>
      <c r="E2814" s="52" t="s">
        <v>25</v>
      </c>
      <c r="F2814" s="52" t="s">
        <v>26</v>
      </c>
      <c r="G2814" s="53"/>
    </row>
    <row r="2815">
      <c r="A2815" s="49">
        <v>44724.1297981713</v>
      </c>
      <c r="B2815" s="50">
        <v>44724.254771956</v>
      </c>
      <c r="C2815" s="51">
        <v>1.007</v>
      </c>
      <c r="D2815" s="51">
        <v>69.0</v>
      </c>
      <c r="E2815" s="52" t="s">
        <v>25</v>
      </c>
      <c r="F2815" s="52" t="s">
        <v>26</v>
      </c>
      <c r="G2815" s="53"/>
    </row>
    <row r="2816">
      <c r="A2816" s="49">
        <v>44724.14022969907</v>
      </c>
      <c r="B2816" s="50">
        <v>44724.2652037731</v>
      </c>
      <c r="C2816" s="51">
        <v>1.007</v>
      </c>
      <c r="D2816" s="51">
        <v>69.0</v>
      </c>
      <c r="E2816" s="52" t="s">
        <v>25</v>
      </c>
      <c r="F2816" s="52" t="s">
        <v>26</v>
      </c>
      <c r="G2816" s="53"/>
    </row>
    <row r="2817">
      <c r="A2817" s="49">
        <v>44724.15064871528</v>
      </c>
      <c r="B2817" s="50">
        <v>44724.2756241666</v>
      </c>
      <c r="C2817" s="51">
        <v>1.007</v>
      </c>
      <c r="D2817" s="51">
        <v>69.0</v>
      </c>
      <c r="E2817" s="52" t="s">
        <v>25</v>
      </c>
      <c r="F2817" s="52" t="s">
        <v>26</v>
      </c>
      <c r="G2817" s="53"/>
    </row>
    <row r="2818">
      <c r="A2818" s="49">
        <v>44724.16106560185</v>
      </c>
      <c r="B2818" s="50">
        <v>44724.286044699</v>
      </c>
      <c r="C2818" s="51">
        <v>1.007</v>
      </c>
      <c r="D2818" s="51">
        <v>69.0</v>
      </c>
      <c r="E2818" s="52" t="s">
        <v>25</v>
      </c>
      <c r="F2818" s="52" t="s">
        <v>26</v>
      </c>
      <c r="G2818" s="53"/>
    </row>
    <row r="2819">
      <c r="A2819" s="49">
        <v>44724.17149890046</v>
      </c>
      <c r="B2819" s="50">
        <v>44724.2964677546</v>
      </c>
      <c r="C2819" s="51">
        <v>1.007</v>
      </c>
      <c r="D2819" s="51">
        <v>69.0</v>
      </c>
      <c r="E2819" s="52" t="s">
        <v>25</v>
      </c>
      <c r="F2819" s="52" t="s">
        <v>26</v>
      </c>
      <c r="G2819" s="53"/>
    </row>
    <row r="2820">
      <c r="A2820" s="49">
        <v>44724.181929189814</v>
      </c>
      <c r="B2820" s="50">
        <v>44724.3069006481</v>
      </c>
      <c r="C2820" s="51">
        <v>1.007</v>
      </c>
      <c r="D2820" s="51">
        <v>69.0</v>
      </c>
      <c r="E2820" s="52" t="s">
        <v>25</v>
      </c>
      <c r="F2820" s="52" t="s">
        <v>26</v>
      </c>
      <c r="G2820" s="53"/>
    </row>
    <row r="2821">
      <c r="A2821" s="49">
        <v>44724.19234784722</v>
      </c>
      <c r="B2821" s="50">
        <v>44724.3173209953</v>
      </c>
      <c r="C2821" s="51">
        <v>1.007</v>
      </c>
      <c r="D2821" s="51">
        <v>69.0</v>
      </c>
      <c r="E2821" s="52" t="s">
        <v>25</v>
      </c>
      <c r="F2821" s="52" t="s">
        <v>26</v>
      </c>
      <c r="G2821" s="53"/>
    </row>
    <row r="2822">
      <c r="A2822" s="49">
        <v>44724.20277059027</v>
      </c>
      <c r="B2822" s="50">
        <v>44724.3277420717</v>
      </c>
      <c r="C2822" s="51">
        <v>1.007</v>
      </c>
      <c r="D2822" s="51">
        <v>69.0</v>
      </c>
      <c r="E2822" s="52" t="s">
        <v>25</v>
      </c>
      <c r="F2822" s="52" t="s">
        <v>26</v>
      </c>
      <c r="G2822" s="53"/>
    </row>
    <row r="2823">
      <c r="A2823" s="49">
        <v>44724.213188622685</v>
      </c>
      <c r="B2823" s="50">
        <v>44724.3381617824</v>
      </c>
      <c r="C2823" s="51">
        <v>1.007</v>
      </c>
      <c r="D2823" s="51">
        <v>69.0</v>
      </c>
      <c r="E2823" s="52" t="s">
        <v>25</v>
      </c>
      <c r="F2823" s="52" t="s">
        <v>26</v>
      </c>
      <c r="G2823" s="53"/>
    </row>
    <row r="2824">
      <c r="A2824" s="49">
        <v>44724.22360517361</v>
      </c>
      <c r="B2824" s="50">
        <v>44724.3485834953</v>
      </c>
      <c r="C2824" s="51">
        <v>1.007</v>
      </c>
      <c r="D2824" s="51">
        <v>69.0</v>
      </c>
      <c r="E2824" s="52" t="s">
        <v>25</v>
      </c>
      <c r="F2824" s="52" t="s">
        <v>26</v>
      </c>
      <c r="G2824" s="53"/>
    </row>
    <row r="2825">
      <c r="A2825" s="49">
        <v>44724.23403584491</v>
      </c>
      <c r="B2825" s="50">
        <v>44724.3590040856</v>
      </c>
      <c r="C2825" s="51">
        <v>1.007</v>
      </c>
      <c r="D2825" s="51">
        <v>69.0</v>
      </c>
      <c r="E2825" s="52" t="s">
        <v>25</v>
      </c>
      <c r="F2825" s="52" t="s">
        <v>26</v>
      </c>
      <c r="G2825" s="53"/>
    </row>
    <row r="2826">
      <c r="A2826" s="49">
        <v>44724.24445491898</v>
      </c>
      <c r="B2826" s="50">
        <v>44724.3694267592</v>
      </c>
      <c r="C2826" s="51">
        <v>1.007</v>
      </c>
      <c r="D2826" s="51">
        <v>69.0</v>
      </c>
      <c r="E2826" s="52" t="s">
        <v>25</v>
      </c>
      <c r="F2826" s="52" t="s">
        <v>26</v>
      </c>
      <c r="G2826" s="53"/>
    </row>
    <row r="2827">
      <c r="A2827" s="49">
        <v>44724.25488679398</v>
      </c>
      <c r="B2827" s="50">
        <v>44724.3798473263</v>
      </c>
      <c r="C2827" s="51">
        <v>1.007</v>
      </c>
      <c r="D2827" s="51">
        <v>69.0</v>
      </c>
      <c r="E2827" s="52" t="s">
        <v>25</v>
      </c>
      <c r="F2827" s="52" t="s">
        <v>26</v>
      </c>
      <c r="G2827" s="53"/>
    </row>
    <row r="2828">
      <c r="A2828" s="49">
        <v>44724.2652884375</v>
      </c>
      <c r="B2828" s="50">
        <v>44724.3902676851</v>
      </c>
      <c r="C2828" s="51">
        <v>1.007</v>
      </c>
      <c r="D2828" s="51">
        <v>69.0</v>
      </c>
      <c r="E2828" s="52" t="s">
        <v>25</v>
      </c>
      <c r="F2828" s="52" t="s">
        <v>26</v>
      </c>
      <c r="G2828" s="53"/>
    </row>
    <row r="2829">
      <c r="A2829" s="49">
        <v>44724.27570513889</v>
      </c>
      <c r="B2829" s="50">
        <v>44724.4006884722</v>
      </c>
      <c r="C2829" s="51">
        <v>1.007</v>
      </c>
      <c r="D2829" s="51">
        <v>69.0</v>
      </c>
      <c r="E2829" s="52" t="s">
        <v>25</v>
      </c>
      <c r="F2829" s="52" t="s">
        <v>26</v>
      </c>
      <c r="G2829" s="53"/>
    </row>
    <row r="2830">
      <c r="A2830" s="49">
        <v>44724.28612667824</v>
      </c>
      <c r="B2830" s="50">
        <v>44724.4111080439</v>
      </c>
      <c r="C2830" s="51">
        <v>1.007</v>
      </c>
      <c r="D2830" s="51">
        <v>69.0</v>
      </c>
      <c r="E2830" s="52" t="s">
        <v>25</v>
      </c>
      <c r="F2830" s="52" t="s">
        <v>26</v>
      </c>
      <c r="G2830" s="53"/>
    </row>
    <row r="2831">
      <c r="A2831" s="49">
        <v>44724.296559236114</v>
      </c>
      <c r="B2831" s="50">
        <v>44724.4215293055</v>
      </c>
      <c r="C2831" s="51">
        <v>1.007</v>
      </c>
      <c r="D2831" s="51">
        <v>69.0</v>
      </c>
      <c r="E2831" s="52" t="s">
        <v>25</v>
      </c>
      <c r="F2831" s="52" t="s">
        <v>26</v>
      </c>
      <c r="G2831" s="53"/>
    </row>
    <row r="2832">
      <c r="A2832" s="49">
        <v>44724.30698883102</v>
      </c>
      <c r="B2832" s="50">
        <v>44724.431962824</v>
      </c>
      <c r="C2832" s="51">
        <v>1.007</v>
      </c>
      <c r="D2832" s="51">
        <v>69.0</v>
      </c>
      <c r="E2832" s="52" t="s">
        <v>25</v>
      </c>
      <c r="F2832" s="52" t="s">
        <v>26</v>
      </c>
      <c r="G2832" s="53"/>
    </row>
    <row r="2833">
      <c r="A2833" s="49">
        <v>44724.31741105324</v>
      </c>
      <c r="B2833" s="50">
        <v>44724.4423835995</v>
      </c>
      <c r="C2833" s="51">
        <v>1.007</v>
      </c>
      <c r="D2833" s="51">
        <v>69.0</v>
      </c>
      <c r="E2833" s="52" t="s">
        <v>25</v>
      </c>
      <c r="F2833" s="52" t="s">
        <v>26</v>
      </c>
      <c r="G2833" s="53"/>
    </row>
    <row r="2834">
      <c r="A2834" s="49">
        <v>44724.327833194446</v>
      </c>
      <c r="B2834" s="50">
        <v>44724.4528063657</v>
      </c>
      <c r="C2834" s="51">
        <v>1.007</v>
      </c>
      <c r="D2834" s="51">
        <v>69.0</v>
      </c>
      <c r="E2834" s="52" t="s">
        <v>25</v>
      </c>
      <c r="F2834" s="52" t="s">
        <v>26</v>
      </c>
      <c r="G2834" s="53"/>
    </row>
    <row r="2835">
      <c r="A2835" s="49">
        <v>44724.33824715277</v>
      </c>
      <c r="B2835" s="50">
        <v>44724.4632265972</v>
      </c>
      <c r="C2835" s="51">
        <v>1.007</v>
      </c>
      <c r="D2835" s="51">
        <v>69.0</v>
      </c>
      <c r="E2835" s="52" t="s">
        <v>25</v>
      </c>
      <c r="F2835" s="52" t="s">
        <v>26</v>
      </c>
      <c r="G2835" s="53"/>
    </row>
    <row r="2836">
      <c r="A2836" s="49">
        <v>44724.348668125</v>
      </c>
      <c r="B2836" s="50">
        <v>44724.4736479051</v>
      </c>
      <c r="C2836" s="51">
        <v>1.007</v>
      </c>
      <c r="D2836" s="51">
        <v>69.0</v>
      </c>
      <c r="E2836" s="52" t="s">
        <v>25</v>
      </c>
      <c r="F2836" s="52" t="s">
        <v>26</v>
      </c>
      <c r="G2836" s="53"/>
    </row>
    <row r="2837">
      <c r="A2837" s="49">
        <v>44724.359085601856</v>
      </c>
      <c r="B2837" s="50">
        <v>44724.4840694444</v>
      </c>
      <c r="C2837" s="51">
        <v>1.007</v>
      </c>
      <c r="D2837" s="51">
        <v>69.0</v>
      </c>
      <c r="E2837" s="52" t="s">
        <v>25</v>
      </c>
      <c r="F2837" s="52" t="s">
        <v>26</v>
      </c>
      <c r="G2837" s="53"/>
    </row>
    <row r="2838">
      <c r="A2838" s="49">
        <v>44724.36952061343</v>
      </c>
      <c r="B2838" s="50">
        <v>44724.4944903703</v>
      </c>
      <c r="C2838" s="51">
        <v>1.007</v>
      </c>
      <c r="D2838" s="51">
        <v>69.0</v>
      </c>
      <c r="E2838" s="52" t="s">
        <v>25</v>
      </c>
      <c r="F2838" s="52" t="s">
        <v>26</v>
      </c>
      <c r="G2838" s="53"/>
    </row>
    <row r="2839">
      <c r="A2839" s="49">
        <v>44724.37993909723</v>
      </c>
      <c r="B2839" s="50">
        <v>44724.5049107523</v>
      </c>
      <c r="C2839" s="51">
        <v>1.007</v>
      </c>
      <c r="D2839" s="51">
        <v>69.0</v>
      </c>
      <c r="E2839" s="52" t="s">
        <v>25</v>
      </c>
      <c r="F2839" s="52" t="s">
        <v>26</v>
      </c>
      <c r="G2839" s="53"/>
    </row>
    <row r="2840">
      <c r="A2840" s="49">
        <v>44724.3903575463</v>
      </c>
      <c r="B2840" s="50">
        <v>44724.51533</v>
      </c>
      <c r="C2840" s="51">
        <v>1.007</v>
      </c>
      <c r="D2840" s="51">
        <v>69.0</v>
      </c>
      <c r="E2840" s="52" t="s">
        <v>25</v>
      </c>
      <c r="F2840" s="52" t="s">
        <v>26</v>
      </c>
      <c r="G2840" s="53"/>
    </row>
    <row r="2841">
      <c r="A2841" s="49">
        <v>44724.40077670139</v>
      </c>
      <c r="B2841" s="50">
        <v>44724.5257520254</v>
      </c>
      <c r="C2841" s="51">
        <v>1.007</v>
      </c>
      <c r="D2841" s="51">
        <v>69.0</v>
      </c>
      <c r="E2841" s="52" t="s">
        <v>25</v>
      </c>
      <c r="F2841" s="52" t="s">
        <v>26</v>
      </c>
      <c r="G2841" s="53"/>
    </row>
    <row r="2842">
      <c r="A2842" s="49">
        <v>44724.411200069444</v>
      </c>
      <c r="B2842" s="50">
        <v>44724.536174074</v>
      </c>
      <c r="C2842" s="51">
        <v>1.007</v>
      </c>
      <c r="D2842" s="51">
        <v>69.0</v>
      </c>
      <c r="E2842" s="52" t="s">
        <v>25</v>
      </c>
      <c r="F2842" s="52" t="s">
        <v>26</v>
      </c>
      <c r="G2842" s="53"/>
    </row>
    <row r="2843">
      <c r="A2843" s="49">
        <v>44724.42161826389</v>
      </c>
      <c r="B2843" s="50">
        <v>44724.5465952083</v>
      </c>
      <c r="C2843" s="51">
        <v>1.007</v>
      </c>
      <c r="D2843" s="51">
        <v>69.0</v>
      </c>
      <c r="E2843" s="52" t="s">
        <v>25</v>
      </c>
      <c r="F2843" s="52" t="s">
        <v>26</v>
      </c>
      <c r="G2843" s="53"/>
    </row>
    <row r="2844">
      <c r="A2844" s="49">
        <v>44724.43203671296</v>
      </c>
      <c r="B2844" s="50">
        <v>44724.5570156018</v>
      </c>
      <c r="C2844" s="51">
        <v>1.007</v>
      </c>
      <c r="D2844" s="51">
        <v>69.0</v>
      </c>
      <c r="E2844" s="52" t="s">
        <v>25</v>
      </c>
      <c r="F2844" s="52" t="s">
        <v>26</v>
      </c>
      <c r="G2844" s="53"/>
    </row>
    <row r="2845">
      <c r="A2845" s="49">
        <v>44724.442464594904</v>
      </c>
      <c r="B2845" s="50">
        <v>44724.5674375463</v>
      </c>
      <c r="C2845" s="51">
        <v>1.007</v>
      </c>
      <c r="D2845" s="51">
        <v>69.0</v>
      </c>
      <c r="E2845" s="52" t="s">
        <v>25</v>
      </c>
      <c r="F2845" s="52" t="s">
        <v>26</v>
      </c>
      <c r="G2845" s="53"/>
    </row>
    <row r="2846">
      <c r="A2846" s="49">
        <v>44724.452885543986</v>
      </c>
      <c r="B2846" s="50">
        <v>44724.5778593634</v>
      </c>
      <c r="C2846" s="51">
        <v>1.007</v>
      </c>
      <c r="D2846" s="51">
        <v>69.0</v>
      </c>
      <c r="E2846" s="52" t="s">
        <v>25</v>
      </c>
      <c r="F2846" s="52" t="s">
        <v>26</v>
      </c>
      <c r="G2846" s="53"/>
    </row>
    <row r="2847">
      <c r="A2847" s="49">
        <v>44724.463312395834</v>
      </c>
      <c r="B2847" s="50">
        <v>44724.5882913425</v>
      </c>
      <c r="C2847" s="51">
        <v>1.007</v>
      </c>
      <c r="D2847" s="51">
        <v>69.0</v>
      </c>
      <c r="E2847" s="52" t="s">
        <v>25</v>
      </c>
      <c r="F2847" s="52" t="s">
        <v>26</v>
      </c>
      <c r="G2847" s="53"/>
    </row>
    <row r="2848">
      <c r="A2848" s="49">
        <v>44724.47374064814</v>
      </c>
      <c r="B2848" s="50">
        <v>44724.5987140972</v>
      </c>
      <c r="C2848" s="51">
        <v>1.007</v>
      </c>
      <c r="D2848" s="51">
        <v>69.0</v>
      </c>
      <c r="E2848" s="52" t="s">
        <v>25</v>
      </c>
      <c r="F2848" s="52" t="s">
        <v>26</v>
      </c>
      <c r="G2848" s="53"/>
    </row>
    <row r="2849">
      <c r="A2849" s="49">
        <v>44724.484165104164</v>
      </c>
      <c r="B2849" s="50">
        <v>44724.6091336342</v>
      </c>
      <c r="C2849" s="51">
        <v>1.007</v>
      </c>
      <c r="D2849" s="51">
        <v>69.0</v>
      </c>
      <c r="E2849" s="52" t="s">
        <v>25</v>
      </c>
      <c r="F2849" s="52" t="s">
        <v>26</v>
      </c>
      <c r="G2849" s="53"/>
    </row>
    <row r="2850">
      <c r="A2850" s="49">
        <v>44724.49457969907</v>
      </c>
      <c r="B2850" s="50">
        <v>44724.6195540277</v>
      </c>
      <c r="C2850" s="51">
        <v>1.007</v>
      </c>
      <c r="D2850" s="51">
        <v>69.0</v>
      </c>
      <c r="E2850" s="52" t="s">
        <v>25</v>
      </c>
      <c r="F2850" s="52" t="s">
        <v>26</v>
      </c>
      <c r="G2850" s="53"/>
    </row>
    <row r="2851">
      <c r="A2851" s="49">
        <v>44724.505016967596</v>
      </c>
      <c r="B2851" s="50">
        <v>44724.6299868634</v>
      </c>
      <c r="C2851" s="51">
        <v>1.007</v>
      </c>
      <c r="D2851" s="51">
        <v>69.0</v>
      </c>
      <c r="E2851" s="52" t="s">
        <v>25</v>
      </c>
      <c r="F2851" s="52" t="s">
        <v>26</v>
      </c>
      <c r="G2851" s="53"/>
    </row>
    <row r="2852">
      <c r="A2852" s="49">
        <v>44724.51542946759</v>
      </c>
      <c r="B2852" s="50">
        <v>44724.640408449</v>
      </c>
      <c r="C2852" s="51">
        <v>1.007</v>
      </c>
      <c r="D2852" s="51">
        <v>69.0</v>
      </c>
      <c r="E2852" s="52" t="s">
        <v>25</v>
      </c>
      <c r="F2852" s="52" t="s">
        <v>26</v>
      </c>
      <c r="G2852" s="53"/>
    </row>
    <row r="2853">
      <c r="A2853" s="49">
        <v>44724.52585560185</v>
      </c>
      <c r="B2853" s="50">
        <v>44724.6508294907</v>
      </c>
      <c r="C2853" s="51">
        <v>1.007</v>
      </c>
      <c r="D2853" s="51">
        <v>69.0</v>
      </c>
      <c r="E2853" s="52" t="s">
        <v>25</v>
      </c>
      <c r="F2853" s="52" t="s">
        <v>26</v>
      </c>
      <c r="G2853" s="53"/>
    </row>
    <row r="2854">
      <c r="A2854" s="49">
        <v>44724.53628976852</v>
      </c>
      <c r="B2854" s="50">
        <v>44724.6612504513</v>
      </c>
      <c r="C2854" s="51">
        <v>1.007</v>
      </c>
      <c r="D2854" s="51">
        <v>69.0</v>
      </c>
      <c r="E2854" s="52" t="s">
        <v>25</v>
      </c>
      <c r="F2854" s="52" t="s">
        <v>26</v>
      </c>
      <c r="G2854" s="53"/>
    </row>
    <row r="2855">
      <c r="A2855" s="49">
        <v>44724.54670875</v>
      </c>
      <c r="B2855" s="50">
        <v>44724.6716823032</v>
      </c>
      <c r="C2855" s="51">
        <v>1.007</v>
      </c>
      <c r="D2855" s="51">
        <v>69.0</v>
      </c>
      <c r="E2855" s="52" t="s">
        <v>25</v>
      </c>
      <c r="F2855" s="52" t="s">
        <v>26</v>
      </c>
      <c r="G2855" s="53"/>
    </row>
    <row r="2856">
      <c r="A2856" s="49">
        <v>44724.55714310185</v>
      </c>
      <c r="B2856" s="50">
        <v>44724.6821157175</v>
      </c>
      <c r="C2856" s="51">
        <v>1.007</v>
      </c>
      <c r="D2856" s="51">
        <v>69.0</v>
      </c>
      <c r="E2856" s="52" t="s">
        <v>25</v>
      </c>
      <c r="F2856" s="52" t="s">
        <v>26</v>
      </c>
      <c r="G2856" s="53"/>
    </row>
    <row r="2857">
      <c r="A2857" s="49">
        <v>44724.567570405095</v>
      </c>
      <c r="B2857" s="50">
        <v>44724.6925493055</v>
      </c>
      <c r="C2857" s="51">
        <v>1.007</v>
      </c>
      <c r="D2857" s="51">
        <v>69.0</v>
      </c>
      <c r="E2857" s="52" t="s">
        <v>25</v>
      </c>
      <c r="F2857" s="52" t="s">
        <v>26</v>
      </c>
      <c r="G2857" s="53"/>
    </row>
    <row r="2858">
      <c r="A2858" s="49">
        <v>44724.578000277776</v>
      </c>
      <c r="B2858" s="50">
        <v>44724.7029711805</v>
      </c>
      <c r="C2858" s="51">
        <v>1.007</v>
      </c>
      <c r="D2858" s="51">
        <v>69.0</v>
      </c>
      <c r="E2858" s="52" t="s">
        <v>25</v>
      </c>
      <c r="F2858" s="52" t="s">
        <v>26</v>
      </c>
      <c r="G2858" s="53"/>
    </row>
    <row r="2859">
      <c r="A2859" s="49">
        <v>44724.588422534725</v>
      </c>
      <c r="B2859" s="50">
        <v>44724.7133926041</v>
      </c>
      <c r="C2859" s="51">
        <v>1.007</v>
      </c>
      <c r="D2859" s="51">
        <v>69.0</v>
      </c>
      <c r="E2859" s="52" t="s">
        <v>25</v>
      </c>
      <c r="F2859" s="52" t="s">
        <v>26</v>
      </c>
      <c r="G2859" s="53"/>
    </row>
    <row r="2860">
      <c r="A2860" s="49">
        <v>44724.59883912037</v>
      </c>
      <c r="B2860" s="50">
        <v>44724.7238147106</v>
      </c>
      <c r="C2860" s="51">
        <v>1.007</v>
      </c>
      <c r="D2860" s="51">
        <v>69.0</v>
      </c>
      <c r="E2860" s="52" t="s">
        <v>25</v>
      </c>
      <c r="F2860" s="52" t="s">
        <v>26</v>
      </c>
      <c r="G2860" s="53"/>
    </row>
    <row r="2861">
      <c r="A2861" s="49">
        <v>44724.60926547454</v>
      </c>
      <c r="B2861" s="50">
        <v>44724.7342362731</v>
      </c>
      <c r="C2861" s="51">
        <v>1.007</v>
      </c>
      <c r="D2861" s="51">
        <v>69.0</v>
      </c>
      <c r="E2861" s="52" t="s">
        <v>25</v>
      </c>
      <c r="F2861" s="52" t="s">
        <v>26</v>
      </c>
      <c r="G2861" s="53"/>
    </row>
    <row r="2862">
      <c r="A2862" s="49">
        <v>44724.6196858912</v>
      </c>
      <c r="B2862" s="50">
        <v>44724.7446573726</v>
      </c>
      <c r="C2862" s="51">
        <v>1.007</v>
      </c>
      <c r="D2862" s="51">
        <v>69.0</v>
      </c>
      <c r="E2862" s="52" t="s">
        <v>25</v>
      </c>
      <c r="F2862" s="52" t="s">
        <v>26</v>
      </c>
      <c r="G2862" s="53"/>
    </row>
    <row r="2863">
      <c r="A2863" s="49">
        <v>44724.63010445602</v>
      </c>
      <c r="B2863" s="50">
        <v>44724.7550806365</v>
      </c>
      <c r="C2863" s="51">
        <v>1.007</v>
      </c>
      <c r="D2863" s="51">
        <v>69.0</v>
      </c>
      <c r="E2863" s="52" t="s">
        <v>25</v>
      </c>
      <c r="F2863" s="52" t="s">
        <v>26</v>
      </c>
      <c r="G2863" s="53"/>
    </row>
    <row r="2864">
      <c r="A2864" s="49">
        <v>44724.6405221412</v>
      </c>
      <c r="B2864" s="50">
        <v>44724.7655018634</v>
      </c>
      <c r="C2864" s="51">
        <v>1.007</v>
      </c>
      <c r="D2864" s="51">
        <v>69.0</v>
      </c>
      <c r="E2864" s="52" t="s">
        <v>25</v>
      </c>
      <c r="F2864" s="52" t="s">
        <v>26</v>
      </c>
      <c r="G2864" s="53"/>
    </row>
    <row r="2865">
      <c r="A2865" s="49">
        <v>44724.65095116898</v>
      </c>
      <c r="B2865" s="50">
        <v>44724.7759344328</v>
      </c>
      <c r="C2865" s="51">
        <v>1.007</v>
      </c>
      <c r="D2865" s="51">
        <v>69.0</v>
      </c>
      <c r="E2865" s="52" t="s">
        <v>25</v>
      </c>
      <c r="F2865" s="52" t="s">
        <v>26</v>
      </c>
      <c r="G2865" s="53"/>
    </row>
    <row r="2866">
      <c r="A2866" s="49">
        <v>44724.66138671296</v>
      </c>
      <c r="B2866" s="50">
        <v>44724.7863667592</v>
      </c>
      <c r="C2866" s="51">
        <v>1.007</v>
      </c>
      <c r="D2866" s="51">
        <v>69.0</v>
      </c>
      <c r="E2866" s="52" t="s">
        <v>25</v>
      </c>
      <c r="F2866" s="52" t="s">
        <v>26</v>
      </c>
      <c r="G2866" s="53"/>
    </row>
    <row r="2867">
      <c r="A2867" s="49">
        <v>44724.671818773146</v>
      </c>
      <c r="B2867" s="50">
        <v>44724.7967884143</v>
      </c>
      <c r="C2867" s="51">
        <v>1.007</v>
      </c>
      <c r="D2867" s="51">
        <v>69.0</v>
      </c>
      <c r="E2867" s="52" t="s">
        <v>25</v>
      </c>
      <c r="F2867" s="52" t="s">
        <v>26</v>
      </c>
      <c r="G2867" s="53"/>
    </row>
    <row r="2868">
      <c r="A2868" s="49">
        <v>44724.682237939815</v>
      </c>
      <c r="B2868" s="50">
        <v>44724.8072097453</v>
      </c>
      <c r="C2868" s="51">
        <v>1.007</v>
      </c>
      <c r="D2868" s="51">
        <v>69.0</v>
      </c>
      <c r="E2868" s="52" t="s">
        <v>25</v>
      </c>
      <c r="F2868" s="52" t="s">
        <v>26</v>
      </c>
      <c r="G2868" s="53"/>
    </row>
    <row r="2869">
      <c r="A2869" s="49">
        <v>44724.692666793984</v>
      </c>
      <c r="B2869" s="50">
        <v>44724.8176441551</v>
      </c>
      <c r="C2869" s="51">
        <v>1.007</v>
      </c>
      <c r="D2869" s="51">
        <v>69.0</v>
      </c>
      <c r="E2869" s="52" t="s">
        <v>25</v>
      </c>
      <c r="F2869" s="52" t="s">
        <v>26</v>
      </c>
      <c r="G2869" s="53"/>
    </row>
    <row r="2870">
      <c r="A2870" s="49">
        <v>44724.70308225694</v>
      </c>
      <c r="B2870" s="50">
        <v>44724.8280648379</v>
      </c>
      <c r="C2870" s="51">
        <v>1.007</v>
      </c>
      <c r="D2870" s="51">
        <v>69.0</v>
      </c>
      <c r="E2870" s="52" t="s">
        <v>25</v>
      </c>
      <c r="F2870" s="52" t="s">
        <v>26</v>
      </c>
      <c r="G2870" s="53"/>
    </row>
    <row r="2871">
      <c r="A2871" s="49">
        <v>44724.7135131713</v>
      </c>
      <c r="B2871" s="50">
        <v>44724.8384868055</v>
      </c>
      <c r="C2871" s="51">
        <v>1.007</v>
      </c>
      <c r="D2871" s="51">
        <v>69.0</v>
      </c>
      <c r="E2871" s="52" t="s">
        <v>25</v>
      </c>
      <c r="F2871" s="52" t="s">
        <v>26</v>
      </c>
      <c r="G2871" s="53"/>
    </row>
    <row r="2872">
      <c r="A2872" s="49">
        <v>44724.72395329861</v>
      </c>
      <c r="B2872" s="50">
        <v>44724.8489319097</v>
      </c>
      <c r="C2872" s="51">
        <v>1.007</v>
      </c>
      <c r="D2872" s="51">
        <v>69.0</v>
      </c>
      <c r="E2872" s="52" t="s">
        <v>25</v>
      </c>
      <c r="F2872" s="52" t="s">
        <v>26</v>
      </c>
      <c r="G2872" s="53"/>
    </row>
    <row r="2873">
      <c r="A2873" s="49">
        <v>44724.7343846875</v>
      </c>
      <c r="B2873" s="50">
        <v>44724.859364537</v>
      </c>
      <c r="C2873" s="51">
        <v>1.007</v>
      </c>
      <c r="D2873" s="51">
        <v>69.0</v>
      </c>
      <c r="E2873" s="52" t="s">
        <v>25</v>
      </c>
      <c r="F2873" s="52" t="s">
        <v>26</v>
      </c>
      <c r="G2873" s="53"/>
    </row>
    <row r="2874">
      <c r="A2874" s="49">
        <v>44724.74482601852</v>
      </c>
      <c r="B2874" s="50">
        <v>44724.8697973148</v>
      </c>
      <c r="C2874" s="51">
        <v>1.007</v>
      </c>
      <c r="D2874" s="51">
        <v>69.0</v>
      </c>
      <c r="E2874" s="52" t="s">
        <v>25</v>
      </c>
      <c r="F2874" s="52" t="s">
        <v>26</v>
      </c>
      <c r="G2874" s="53"/>
    </row>
    <row r="2875">
      <c r="A2875" s="49">
        <v>44724.75523418981</v>
      </c>
      <c r="B2875" s="50">
        <v>44724.88021728</v>
      </c>
      <c r="C2875" s="51">
        <v>1.007</v>
      </c>
      <c r="D2875" s="51">
        <v>69.0</v>
      </c>
      <c r="E2875" s="52" t="s">
        <v>25</v>
      </c>
      <c r="F2875" s="52" t="s">
        <v>26</v>
      </c>
      <c r="G2875" s="53"/>
    </row>
    <row r="2876">
      <c r="A2876" s="49">
        <v>44724.765679432865</v>
      </c>
      <c r="B2876" s="50">
        <v>44724.8906513078</v>
      </c>
      <c r="C2876" s="51">
        <v>1.007</v>
      </c>
      <c r="D2876" s="51">
        <v>69.0</v>
      </c>
      <c r="E2876" s="52" t="s">
        <v>25</v>
      </c>
      <c r="F2876" s="52" t="s">
        <v>26</v>
      </c>
      <c r="G2876" s="53"/>
    </row>
    <row r="2877">
      <c r="A2877" s="49">
        <v>44724.776099375</v>
      </c>
      <c r="B2877" s="50">
        <v>44724.9010702662</v>
      </c>
      <c r="C2877" s="51">
        <v>1.007</v>
      </c>
      <c r="D2877" s="51">
        <v>69.0</v>
      </c>
      <c r="E2877" s="52" t="s">
        <v>25</v>
      </c>
      <c r="F2877" s="52" t="s">
        <v>26</v>
      </c>
      <c r="G2877" s="53"/>
    </row>
    <row r="2878">
      <c r="A2878" s="49">
        <v>44724.786532303246</v>
      </c>
      <c r="B2878" s="50">
        <v>44724.9115031944</v>
      </c>
      <c r="C2878" s="51">
        <v>1.007</v>
      </c>
      <c r="D2878" s="51">
        <v>69.0</v>
      </c>
      <c r="E2878" s="52" t="s">
        <v>25</v>
      </c>
      <c r="F2878" s="52" t="s">
        <v>26</v>
      </c>
      <c r="G2878" s="53"/>
    </row>
    <row r="2879">
      <c r="A2879" s="49">
        <v>44724.79694738426</v>
      </c>
      <c r="B2879" s="50">
        <v>44724.9219231713</v>
      </c>
      <c r="C2879" s="51">
        <v>1.007</v>
      </c>
      <c r="D2879" s="51">
        <v>69.0</v>
      </c>
      <c r="E2879" s="52" t="s">
        <v>25</v>
      </c>
      <c r="F2879" s="52" t="s">
        <v>26</v>
      </c>
      <c r="G2879" s="53"/>
    </row>
    <row r="2880">
      <c r="A2880" s="49">
        <v>44724.80736710648</v>
      </c>
      <c r="B2880" s="50">
        <v>44724.9323441435</v>
      </c>
      <c r="C2880" s="51">
        <v>1.007</v>
      </c>
      <c r="D2880" s="51">
        <v>69.0</v>
      </c>
      <c r="E2880" s="52" t="s">
        <v>25</v>
      </c>
      <c r="F2880" s="52" t="s">
        <v>26</v>
      </c>
      <c r="G2880" s="53"/>
    </row>
    <row r="2881">
      <c r="A2881" s="49">
        <v>44724.81778305555</v>
      </c>
      <c r="B2881" s="50">
        <v>44724.9427660532</v>
      </c>
      <c r="C2881" s="51">
        <v>1.007</v>
      </c>
      <c r="D2881" s="51">
        <v>69.0</v>
      </c>
      <c r="E2881" s="52" t="s">
        <v>25</v>
      </c>
      <c r="F2881" s="52" t="s">
        <v>26</v>
      </c>
      <c r="G2881" s="53"/>
    </row>
    <row r="2882">
      <c r="A2882" s="49">
        <v>44724.8282109838</v>
      </c>
      <c r="B2882" s="50">
        <v>44724.9531862615</v>
      </c>
      <c r="C2882" s="51">
        <v>1.007</v>
      </c>
      <c r="D2882" s="51">
        <v>69.0</v>
      </c>
      <c r="E2882" s="52" t="s">
        <v>25</v>
      </c>
      <c r="F2882" s="52" t="s">
        <v>26</v>
      </c>
      <c r="G2882" s="53"/>
    </row>
    <row r="2883">
      <c r="A2883" s="49">
        <v>44724.838626261575</v>
      </c>
      <c r="B2883" s="50">
        <v>44724.9636079745</v>
      </c>
      <c r="C2883" s="51">
        <v>1.007</v>
      </c>
      <c r="D2883" s="51">
        <v>69.0</v>
      </c>
      <c r="E2883" s="52" t="s">
        <v>25</v>
      </c>
      <c r="F2883" s="52" t="s">
        <v>26</v>
      </c>
      <c r="G2883" s="53"/>
    </row>
    <row r="2884">
      <c r="A2884" s="49">
        <v>44724.849055694445</v>
      </c>
      <c r="B2884" s="50">
        <v>44724.9740280439</v>
      </c>
      <c r="C2884" s="51">
        <v>1.007</v>
      </c>
      <c r="D2884" s="51">
        <v>69.0</v>
      </c>
      <c r="E2884" s="52" t="s">
        <v>25</v>
      </c>
      <c r="F2884" s="52" t="s">
        <v>26</v>
      </c>
      <c r="G2884" s="53"/>
    </row>
    <row r="2885">
      <c r="A2885" s="49">
        <v>44724.85947594907</v>
      </c>
      <c r="B2885" s="50">
        <v>44724.9844499884</v>
      </c>
      <c r="C2885" s="51">
        <v>1.007</v>
      </c>
      <c r="D2885" s="51">
        <v>69.0</v>
      </c>
      <c r="E2885" s="52" t="s">
        <v>25</v>
      </c>
      <c r="F2885" s="52" t="s">
        <v>26</v>
      </c>
      <c r="G2885" s="53"/>
    </row>
    <row r="2886">
      <c r="A2886" s="49">
        <v>44724.86989822917</v>
      </c>
      <c r="B2886" s="50">
        <v>44724.9948707175</v>
      </c>
      <c r="C2886" s="51">
        <v>1.007</v>
      </c>
      <c r="D2886" s="51">
        <v>69.0</v>
      </c>
      <c r="E2886" s="52" t="s">
        <v>25</v>
      </c>
      <c r="F2886" s="52" t="s">
        <v>26</v>
      </c>
      <c r="G2886" s="53"/>
    </row>
    <row r="2887">
      <c r="A2887" s="49">
        <v>44724.8803225</v>
      </c>
      <c r="B2887" s="50">
        <v>44725.0052930092</v>
      </c>
      <c r="C2887" s="51">
        <v>1.007</v>
      </c>
      <c r="D2887" s="51">
        <v>69.0</v>
      </c>
      <c r="E2887" s="52" t="s">
        <v>25</v>
      </c>
      <c r="F2887" s="52" t="s">
        <v>26</v>
      </c>
      <c r="G2887" s="53"/>
    </row>
    <row r="2888">
      <c r="A2888" s="49">
        <v>44724.8907412963</v>
      </c>
      <c r="B2888" s="50">
        <v>44725.0157149189</v>
      </c>
      <c r="C2888" s="51">
        <v>1.007</v>
      </c>
      <c r="D2888" s="51">
        <v>69.0</v>
      </c>
      <c r="E2888" s="52" t="s">
        <v>25</v>
      </c>
      <c r="F2888" s="52" t="s">
        <v>26</v>
      </c>
      <c r="G2888" s="53"/>
    </row>
    <row r="2889">
      <c r="A2889" s="49">
        <v>44724.90116326389</v>
      </c>
      <c r="B2889" s="50">
        <v>44725.0261376851</v>
      </c>
      <c r="C2889" s="51">
        <v>1.007</v>
      </c>
      <c r="D2889" s="51">
        <v>69.0</v>
      </c>
      <c r="E2889" s="52" t="s">
        <v>25</v>
      </c>
      <c r="F2889" s="52" t="s">
        <v>26</v>
      </c>
      <c r="G2889" s="53"/>
    </row>
    <row r="2890">
      <c r="A2890" s="49">
        <v>44724.91158813657</v>
      </c>
      <c r="B2890" s="50">
        <v>44725.0365593634</v>
      </c>
      <c r="C2890" s="51">
        <v>1.007</v>
      </c>
      <c r="D2890" s="51">
        <v>69.0</v>
      </c>
      <c r="E2890" s="52" t="s">
        <v>25</v>
      </c>
      <c r="F2890" s="52" t="s">
        <v>26</v>
      </c>
      <c r="G2890" s="53"/>
    </row>
    <row r="2891">
      <c r="A2891" s="49">
        <v>44724.92201993056</v>
      </c>
      <c r="B2891" s="50">
        <v>44725.0469928472</v>
      </c>
      <c r="C2891" s="51">
        <v>1.007</v>
      </c>
      <c r="D2891" s="51">
        <v>69.0</v>
      </c>
      <c r="E2891" s="52" t="s">
        <v>25</v>
      </c>
      <c r="F2891" s="52" t="s">
        <v>26</v>
      </c>
      <c r="G2891" s="53"/>
    </row>
    <row r="2892">
      <c r="A2892" s="49">
        <v>44724.93245409722</v>
      </c>
      <c r="B2892" s="50">
        <v>44725.0574267708</v>
      </c>
      <c r="C2892" s="51">
        <v>1.007</v>
      </c>
      <c r="D2892" s="51">
        <v>69.0</v>
      </c>
      <c r="E2892" s="52" t="s">
        <v>25</v>
      </c>
      <c r="F2892" s="52" t="s">
        <v>26</v>
      </c>
      <c r="G2892" s="53"/>
    </row>
    <row r="2893">
      <c r="A2893" s="49">
        <v>44724.94291820602</v>
      </c>
      <c r="B2893" s="50">
        <v>44725.0678919791</v>
      </c>
      <c r="C2893" s="51">
        <v>1.007</v>
      </c>
      <c r="D2893" s="51">
        <v>69.0</v>
      </c>
      <c r="E2893" s="52" t="s">
        <v>25</v>
      </c>
      <c r="F2893" s="52" t="s">
        <v>26</v>
      </c>
      <c r="G2893" s="53"/>
    </row>
    <row r="2894">
      <c r="A2894" s="49">
        <v>44724.9533337037</v>
      </c>
      <c r="B2894" s="50">
        <v>44725.0783132175</v>
      </c>
      <c r="C2894" s="51">
        <v>1.007</v>
      </c>
      <c r="D2894" s="51">
        <v>69.0</v>
      </c>
      <c r="E2894" s="52" t="s">
        <v>25</v>
      </c>
      <c r="F2894" s="52" t="s">
        <v>26</v>
      </c>
      <c r="G2894" s="53"/>
    </row>
    <row r="2895">
      <c r="A2895" s="49">
        <v>44724.96376165509</v>
      </c>
      <c r="B2895" s="50">
        <v>44725.0887365856</v>
      </c>
      <c r="C2895" s="51">
        <v>1.007</v>
      </c>
      <c r="D2895" s="51">
        <v>69.0</v>
      </c>
      <c r="E2895" s="52" t="s">
        <v>25</v>
      </c>
      <c r="F2895" s="52" t="s">
        <v>26</v>
      </c>
      <c r="G2895" s="53"/>
    </row>
    <row r="2896">
      <c r="A2896" s="49">
        <v>44724.97418268518</v>
      </c>
      <c r="B2896" s="50">
        <v>44725.0991561689</v>
      </c>
      <c r="C2896" s="51">
        <v>1.007</v>
      </c>
      <c r="D2896" s="51">
        <v>69.0</v>
      </c>
      <c r="E2896" s="52" t="s">
        <v>25</v>
      </c>
      <c r="F2896" s="52" t="s">
        <v>26</v>
      </c>
      <c r="G2896" s="53"/>
    </row>
    <row r="2897">
      <c r="A2897" s="49">
        <v>44724.984616435184</v>
      </c>
      <c r="B2897" s="50">
        <v>44725.1095892824</v>
      </c>
      <c r="C2897" s="51">
        <v>1.007</v>
      </c>
      <c r="D2897" s="51">
        <v>69.0</v>
      </c>
      <c r="E2897" s="52" t="s">
        <v>25</v>
      </c>
      <c r="F2897" s="52" t="s">
        <v>26</v>
      </c>
      <c r="G2897" s="53"/>
    </row>
    <row r="2898">
      <c r="A2898" s="49">
        <v>44724.99504028935</v>
      </c>
      <c r="B2898" s="50">
        <v>44725.1200098726</v>
      </c>
      <c r="C2898" s="51">
        <v>1.007</v>
      </c>
      <c r="D2898" s="51">
        <v>69.0</v>
      </c>
      <c r="E2898" s="52" t="s">
        <v>25</v>
      </c>
      <c r="F2898" s="52" t="s">
        <v>26</v>
      </c>
      <c r="G2898" s="53"/>
    </row>
    <row r="2899">
      <c r="A2899" s="49">
        <v>44725.005466284725</v>
      </c>
      <c r="B2899" s="50">
        <v>44725.1304313425</v>
      </c>
      <c r="C2899" s="51">
        <v>1.007</v>
      </c>
      <c r="D2899" s="51">
        <v>69.0</v>
      </c>
      <c r="E2899" s="52" t="s">
        <v>25</v>
      </c>
      <c r="F2899" s="52" t="s">
        <v>26</v>
      </c>
      <c r="G2899" s="53"/>
    </row>
    <row r="2900">
      <c r="A2900" s="49">
        <v>44725.01588131944</v>
      </c>
      <c r="B2900" s="50">
        <v>44725.140853287</v>
      </c>
      <c r="C2900" s="51">
        <v>1.007</v>
      </c>
      <c r="D2900" s="51">
        <v>69.0</v>
      </c>
      <c r="E2900" s="52" t="s">
        <v>25</v>
      </c>
      <c r="F2900" s="52" t="s">
        <v>26</v>
      </c>
      <c r="G2900" s="53"/>
    </row>
    <row r="2901">
      <c r="A2901" s="49">
        <v>44725.02631239583</v>
      </c>
      <c r="B2901" s="50">
        <v>44725.1512852083</v>
      </c>
      <c r="C2901" s="51">
        <v>1.007</v>
      </c>
      <c r="D2901" s="51">
        <v>69.0</v>
      </c>
      <c r="E2901" s="52" t="s">
        <v>25</v>
      </c>
      <c r="F2901" s="52" t="s">
        <v>26</v>
      </c>
      <c r="G2901" s="53"/>
    </row>
    <row r="2902">
      <c r="A2902" s="49">
        <v>44725.03672875</v>
      </c>
      <c r="B2902" s="50">
        <v>44725.1617035648</v>
      </c>
      <c r="C2902" s="51">
        <v>1.007</v>
      </c>
      <c r="D2902" s="51">
        <v>69.0</v>
      </c>
      <c r="E2902" s="52" t="s">
        <v>25</v>
      </c>
      <c r="F2902" s="52" t="s">
        <v>26</v>
      </c>
      <c r="G2902" s="53"/>
    </row>
    <row r="2903">
      <c r="A2903" s="49">
        <v>44725.0471671875</v>
      </c>
      <c r="B2903" s="50">
        <v>44725.1721362152</v>
      </c>
      <c r="C2903" s="51">
        <v>1.007</v>
      </c>
      <c r="D2903" s="51">
        <v>69.0</v>
      </c>
      <c r="E2903" s="52" t="s">
        <v>25</v>
      </c>
      <c r="F2903" s="52" t="s">
        <v>26</v>
      </c>
      <c r="G2903" s="53"/>
    </row>
    <row r="2904">
      <c r="A2904" s="49">
        <v>44725.05759040509</v>
      </c>
      <c r="B2904" s="50">
        <v>44725.1825580671</v>
      </c>
      <c r="C2904" s="51">
        <v>1.007</v>
      </c>
      <c r="D2904" s="51">
        <v>69.0</v>
      </c>
      <c r="E2904" s="52" t="s">
        <v>25</v>
      </c>
      <c r="F2904" s="52" t="s">
        <v>26</v>
      </c>
      <c r="G2904" s="53"/>
    </row>
    <row r="2905">
      <c r="A2905" s="49">
        <v>44725.06800929398</v>
      </c>
      <c r="B2905" s="50">
        <v>44725.192979618</v>
      </c>
      <c r="C2905" s="51">
        <v>1.007</v>
      </c>
      <c r="D2905" s="51">
        <v>69.0</v>
      </c>
      <c r="E2905" s="52" t="s">
        <v>25</v>
      </c>
      <c r="F2905" s="52" t="s">
        <v>26</v>
      </c>
      <c r="G2905" s="53"/>
    </row>
    <row r="2906">
      <c r="A2906" s="49">
        <v>44725.07844457176</v>
      </c>
      <c r="B2906" s="50">
        <v>44725.2034136111</v>
      </c>
      <c r="C2906" s="51">
        <v>1.007</v>
      </c>
      <c r="D2906" s="51">
        <v>69.0</v>
      </c>
      <c r="E2906" s="52" t="s">
        <v>25</v>
      </c>
      <c r="F2906" s="52" t="s">
        <v>26</v>
      </c>
      <c r="G2906" s="53"/>
    </row>
    <row r="2907">
      <c r="A2907" s="49">
        <v>44725.08885663195</v>
      </c>
      <c r="B2907" s="50">
        <v>44725.2138345486</v>
      </c>
      <c r="C2907" s="51">
        <v>1.007</v>
      </c>
      <c r="D2907" s="51">
        <v>69.0</v>
      </c>
      <c r="E2907" s="52" t="s">
        <v>25</v>
      </c>
      <c r="F2907" s="52" t="s">
        <v>26</v>
      </c>
      <c r="G2907" s="53"/>
    </row>
    <row r="2908">
      <c r="A2908" s="49">
        <v>44725.099282916664</v>
      </c>
      <c r="B2908" s="50">
        <v>44725.2242559606</v>
      </c>
      <c r="C2908" s="51">
        <v>1.006</v>
      </c>
      <c r="D2908" s="51">
        <v>69.0</v>
      </c>
      <c r="E2908" s="52" t="s">
        <v>25</v>
      </c>
      <c r="F2908" s="52" t="s">
        <v>26</v>
      </c>
      <c r="G2908" s="53"/>
    </row>
    <row r="2909">
      <c r="A2909" s="49">
        <v>44725.109704560185</v>
      </c>
      <c r="B2909" s="50">
        <v>44725.2346780902</v>
      </c>
      <c r="C2909" s="51">
        <v>1.007</v>
      </c>
      <c r="D2909" s="51">
        <v>69.0</v>
      </c>
      <c r="E2909" s="52" t="s">
        <v>25</v>
      </c>
      <c r="F2909" s="52" t="s">
        <v>26</v>
      </c>
      <c r="G2909" s="53"/>
    </row>
    <row r="2910">
      <c r="A2910" s="49">
        <v>44725.12012637731</v>
      </c>
      <c r="B2910" s="50">
        <v>44725.2450982175</v>
      </c>
      <c r="C2910" s="51">
        <v>1.007</v>
      </c>
      <c r="D2910" s="51">
        <v>69.0</v>
      </c>
      <c r="E2910" s="52" t="s">
        <v>25</v>
      </c>
      <c r="F2910" s="52" t="s">
        <v>26</v>
      </c>
      <c r="G2910" s="53"/>
    </row>
    <row r="2911">
      <c r="A2911" s="49">
        <v>44725.13054697917</v>
      </c>
      <c r="B2911" s="50">
        <v>44725.2555183912</v>
      </c>
      <c r="C2911" s="51">
        <v>1.007</v>
      </c>
      <c r="D2911" s="51">
        <v>69.0</v>
      </c>
      <c r="E2911" s="52" t="s">
        <v>25</v>
      </c>
      <c r="F2911" s="52" t="s">
        <v>26</v>
      </c>
      <c r="G2911" s="53"/>
    </row>
    <row r="2912">
      <c r="A2912" s="49">
        <v>44725.140968321764</v>
      </c>
      <c r="B2912" s="50">
        <v>44725.265940324</v>
      </c>
      <c r="C2912" s="51">
        <v>1.006</v>
      </c>
      <c r="D2912" s="51">
        <v>69.0</v>
      </c>
      <c r="E2912" s="52" t="s">
        <v>25</v>
      </c>
      <c r="F2912" s="52" t="s">
        <v>26</v>
      </c>
      <c r="G2912" s="53"/>
    </row>
    <row r="2913">
      <c r="A2913" s="49">
        <v>44725.151388750004</v>
      </c>
      <c r="B2913" s="50">
        <v>44725.2763607523</v>
      </c>
      <c r="C2913" s="51">
        <v>1.007</v>
      </c>
      <c r="D2913" s="51">
        <v>69.0</v>
      </c>
      <c r="E2913" s="52" t="s">
        <v>25</v>
      </c>
      <c r="F2913" s="52" t="s">
        <v>26</v>
      </c>
      <c r="G2913" s="53"/>
    </row>
    <row r="2914">
      <c r="A2914" s="49">
        <v>44725.161810844904</v>
      </c>
      <c r="B2914" s="50">
        <v>44725.286785081</v>
      </c>
      <c r="C2914" s="51">
        <v>1.007</v>
      </c>
      <c r="D2914" s="51">
        <v>69.0</v>
      </c>
      <c r="E2914" s="52" t="s">
        <v>25</v>
      </c>
      <c r="F2914" s="52" t="s">
        <v>26</v>
      </c>
      <c r="G2914" s="53"/>
    </row>
    <row r="2915">
      <c r="A2915" s="49">
        <v>44725.17223096065</v>
      </c>
      <c r="B2915" s="50">
        <v>44725.2972061342</v>
      </c>
      <c r="C2915" s="51">
        <v>1.007</v>
      </c>
      <c r="D2915" s="51">
        <v>69.0</v>
      </c>
      <c r="E2915" s="52" t="s">
        <v>25</v>
      </c>
      <c r="F2915" s="52" t="s">
        <v>26</v>
      </c>
      <c r="G2915" s="53"/>
    </row>
    <row r="2916">
      <c r="A2916" s="49">
        <v>44725.18265236111</v>
      </c>
      <c r="B2916" s="50">
        <v>44725.3076264699</v>
      </c>
      <c r="C2916" s="51">
        <v>1.007</v>
      </c>
      <c r="D2916" s="51">
        <v>69.0</v>
      </c>
      <c r="E2916" s="52" t="s">
        <v>25</v>
      </c>
      <c r="F2916" s="52" t="s">
        <v>26</v>
      </c>
      <c r="G2916" s="53"/>
    </row>
    <row r="2917">
      <c r="A2917" s="49">
        <v>44725.19307412037</v>
      </c>
      <c r="B2917" s="50">
        <v>44725.3180463888</v>
      </c>
      <c r="C2917" s="51">
        <v>1.007</v>
      </c>
      <c r="D2917" s="51">
        <v>69.0</v>
      </c>
      <c r="E2917" s="52" t="s">
        <v>25</v>
      </c>
      <c r="F2917" s="52" t="s">
        <v>26</v>
      </c>
      <c r="G2917" s="53"/>
    </row>
    <row r="2918">
      <c r="A2918" s="49">
        <v>44725.20351096065</v>
      </c>
      <c r="B2918" s="50">
        <v>44725.3284777662</v>
      </c>
      <c r="C2918" s="51">
        <v>1.007</v>
      </c>
      <c r="D2918" s="51">
        <v>69.0</v>
      </c>
      <c r="E2918" s="52" t="s">
        <v>25</v>
      </c>
      <c r="F2918" s="52" t="s">
        <v>26</v>
      </c>
      <c r="G2918" s="53"/>
    </row>
    <row r="2919">
      <c r="A2919" s="49">
        <v>44725.21394797454</v>
      </c>
      <c r="B2919" s="50">
        <v>44725.3389217245</v>
      </c>
      <c r="C2919" s="51">
        <v>1.007</v>
      </c>
      <c r="D2919" s="51">
        <v>69.0</v>
      </c>
      <c r="E2919" s="52" t="s">
        <v>25</v>
      </c>
      <c r="F2919" s="52" t="s">
        <v>26</v>
      </c>
      <c r="G2919" s="53"/>
    </row>
    <row r="2920">
      <c r="A2920" s="49">
        <v>44725.22436234954</v>
      </c>
      <c r="B2920" s="50">
        <v>44725.3493442824</v>
      </c>
      <c r="C2920" s="51">
        <v>1.006</v>
      </c>
      <c r="D2920" s="51">
        <v>69.0</v>
      </c>
      <c r="E2920" s="52" t="s">
        <v>25</v>
      </c>
      <c r="F2920" s="52" t="s">
        <v>26</v>
      </c>
      <c r="G2920" s="53"/>
    </row>
    <row r="2921">
      <c r="A2921" s="49">
        <v>44725.234794895834</v>
      </c>
      <c r="B2921" s="50">
        <v>44725.3597643055</v>
      </c>
      <c r="C2921" s="51">
        <v>1.007</v>
      </c>
      <c r="D2921" s="51">
        <v>69.0</v>
      </c>
      <c r="E2921" s="52" t="s">
        <v>25</v>
      </c>
      <c r="F2921" s="52" t="s">
        <v>26</v>
      </c>
      <c r="G2921" s="53"/>
    </row>
    <row r="2922">
      <c r="A2922" s="49">
        <v>44725.24522319445</v>
      </c>
      <c r="B2922" s="50">
        <v>44725.3701858912</v>
      </c>
      <c r="C2922" s="51">
        <v>1.007</v>
      </c>
      <c r="D2922" s="51">
        <v>69.0</v>
      </c>
      <c r="E2922" s="52" t="s">
        <v>25</v>
      </c>
      <c r="F2922" s="52" t="s">
        <v>26</v>
      </c>
      <c r="G2922" s="53"/>
    </row>
    <row r="2923">
      <c r="A2923" s="49">
        <v>44725.25563491898</v>
      </c>
      <c r="B2923" s="50">
        <v>44725.3806061226</v>
      </c>
      <c r="C2923" s="51">
        <v>1.007</v>
      </c>
      <c r="D2923" s="51">
        <v>69.0</v>
      </c>
      <c r="E2923" s="52" t="s">
        <v>25</v>
      </c>
      <c r="F2923" s="52" t="s">
        <v>26</v>
      </c>
      <c r="G2923" s="53"/>
    </row>
    <row r="2924">
      <c r="A2924" s="49">
        <v>44725.2660479051</v>
      </c>
      <c r="B2924" s="50">
        <v>44725.3910268402</v>
      </c>
      <c r="C2924" s="51">
        <v>1.006</v>
      </c>
      <c r="D2924" s="51">
        <v>69.0</v>
      </c>
      <c r="E2924" s="52" t="s">
        <v>25</v>
      </c>
      <c r="F2924" s="52" t="s">
        <v>26</v>
      </c>
      <c r="G2924" s="53"/>
    </row>
    <row r="2925">
      <c r="A2925" s="49">
        <v>44725.27647334491</v>
      </c>
      <c r="B2925" s="50">
        <v>44725.4014490046</v>
      </c>
      <c r="C2925" s="51">
        <v>1.007</v>
      </c>
      <c r="D2925" s="51">
        <v>69.0</v>
      </c>
      <c r="E2925" s="52" t="s">
        <v>25</v>
      </c>
      <c r="F2925" s="52" t="s">
        <v>26</v>
      </c>
      <c r="G2925" s="53"/>
    </row>
    <row r="2926">
      <c r="A2926" s="49">
        <v>44725.286900983796</v>
      </c>
      <c r="B2926" s="50">
        <v>44725.4118721296</v>
      </c>
      <c r="C2926" s="51">
        <v>1.007</v>
      </c>
      <c r="D2926" s="51">
        <v>69.0</v>
      </c>
      <c r="E2926" s="52" t="s">
        <v>25</v>
      </c>
      <c r="F2926" s="52" t="s">
        <v>26</v>
      </c>
      <c r="G2926" s="53"/>
    </row>
    <row r="2927">
      <c r="A2927" s="49">
        <v>44725.29731876157</v>
      </c>
      <c r="B2927" s="50">
        <v>44725.4222942245</v>
      </c>
      <c r="C2927" s="51">
        <v>1.007</v>
      </c>
      <c r="D2927" s="51">
        <v>69.0</v>
      </c>
      <c r="E2927" s="52" t="s">
        <v>25</v>
      </c>
      <c r="F2927" s="52" t="s">
        <v>26</v>
      </c>
      <c r="G2927" s="53"/>
    </row>
    <row r="2928">
      <c r="A2928" s="49">
        <v>44725.30773693287</v>
      </c>
      <c r="B2928" s="50">
        <v>44725.4327149652</v>
      </c>
      <c r="C2928" s="51">
        <v>1.006</v>
      </c>
      <c r="D2928" s="51">
        <v>69.0</v>
      </c>
      <c r="E2928" s="52" t="s">
        <v>25</v>
      </c>
      <c r="F2928" s="52" t="s">
        <v>26</v>
      </c>
      <c r="G2928" s="53"/>
    </row>
    <row r="2929">
      <c r="A2929" s="49">
        <v>44725.31816086806</v>
      </c>
      <c r="B2929" s="50">
        <v>44725.4431359953</v>
      </c>
      <c r="C2929" s="51">
        <v>1.007</v>
      </c>
      <c r="D2929" s="51">
        <v>69.0</v>
      </c>
      <c r="E2929" s="52" t="s">
        <v>25</v>
      </c>
      <c r="F2929" s="52" t="s">
        <v>26</v>
      </c>
      <c r="G2929" s="53"/>
    </row>
    <row r="2930">
      <c r="A2930" s="49">
        <v>44725.32857758102</v>
      </c>
      <c r="B2930" s="50">
        <v>44725.4535567824</v>
      </c>
      <c r="C2930" s="51">
        <v>1.007</v>
      </c>
      <c r="D2930" s="51">
        <v>69.0</v>
      </c>
      <c r="E2930" s="52" t="s">
        <v>25</v>
      </c>
      <c r="F2930" s="52" t="s">
        <v>26</v>
      </c>
      <c r="G2930" s="53"/>
    </row>
    <row r="2931">
      <c r="A2931" s="49">
        <v>44725.33900628472</v>
      </c>
      <c r="B2931" s="50">
        <v>44725.463989074</v>
      </c>
      <c r="C2931" s="51">
        <v>1.007</v>
      </c>
      <c r="D2931" s="51">
        <v>69.0</v>
      </c>
      <c r="E2931" s="52" t="s">
        <v>25</v>
      </c>
      <c r="F2931" s="52" t="s">
        <v>26</v>
      </c>
      <c r="G2931" s="53"/>
    </row>
    <row r="2932">
      <c r="A2932" s="49">
        <v>44725.34942762731</v>
      </c>
      <c r="B2932" s="50">
        <v>44725.474409618</v>
      </c>
      <c r="C2932" s="51">
        <v>1.006</v>
      </c>
      <c r="D2932" s="51">
        <v>69.0</v>
      </c>
      <c r="E2932" s="52" t="s">
        <v>25</v>
      </c>
      <c r="F2932" s="52" t="s">
        <v>26</v>
      </c>
      <c r="G2932" s="53"/>
    </row>
    <row r="2933">
      <c r="A2933" s="49">
        <v>44725.35985759259</v>
      </c>
      <c r="B2933" s="50">
        <v>44725.484833287</v>
      </c>
      <c r="C2933" s="51">
        <v>1.006</v>
      </c>
      <c r="D2933" s="51">
        <v>69.0</v>
      </c>
      <c r="E2933" s="52" t="s">
        <v>25</v>
      </c>
      <c r="F2933" s="52" t="s">
        <v>26</v>
      </c>
      <c r="G2933" s="53"/>
    </row>
    <row r="2934">
      <c r="A2934" s="49">
        <v>44725.37028342593</v>
      </c>
      <c r="B2934" s="50">
        <v>44725.4952559375</v>
      </c>
      <c r="C2934" s="51">
        <v>1.006</v>
      </c>
      <c r="D2934" s="51">
        <v>69.0</v>
      </c>
      <c r="E2934" s="52" t="s">
        <v>25</v>
      </c>
      <c r="F2934" s="52" t="s">
        <v>26</v>
      </c>
      <c r="G2934" s="53"/>
    </row>
    <row r="2935">
      <c r="A2935" s="49">
        <v>44725.380706111115</v>
      </c>
      <c r="B2935" s="50">
        <v>44725.5056769328</v>
      </c>
      <c r="C2935" s="51">
        <v>1.007</v>
      </c>
      <c r="D2935" s="51">
        <v>69.0</v>
      </c>
      <c r="E2935" s="52" t="s">
        <v>25</v>
      </c>
      <c r="F2935" s="52" t="s">
        <v>26</v>
      </c>
      <c r="G2935" s="53"/>
    </row>
    <row r="2936">
      <c r="A2936" s="49">
        <v>44725.39113859954</v>
      </c>
      <c r="B2936" s="50">
        <v>44725.5161094907</v>
      </c>
      <c r="C2936" s="51">
        <v>1.007</v>
      </c>
      <c r="D2936" s="51">
        <v>69.0</v>
      </c>
      <c r="E2936" s="52" t="s">
        <v>25</v>
      </c>
      <c r="F2936" s="52" t="s">
        <v>26</v>
      </c>
      <c r="G2936" s="53"/>
    </row>
    <row r="2937">
      <c r="A2937" s="49">
        <v>44725.40156709491</v>
      </c>
      <c r="B2937" s="50">
        <v>44725.5265419675</v>
      </c>
      <c r="C2937" s="51">
        <v>1.006</v>
      </c>
      <c r="D2937" s="51">
        <v>69.0</v>
      </c>
      <c r="E2937" s="52" t="s">
        <v>25</v>
      </c>
      <c r="F2937" s="52" t="s">
        <v>26</v>
      </c>
      <c r="G2937" s="53"/>
    </row>
    <row r="2938">
      <c r="A2938" s="49">
        <v>44725.41199162037</v>
      </c>
      <c r="B2938" s="50">
        <v>44725.5369617245</v>
      </c>
      <c r="C2938" s="51">
        <v>1.007</v>
      </c>
      <c r="D2938" s="51">
        <v>69.0</v>
      </c>
      <c r="E2938" s="52" t="s">
        <v>25</v>
      </c>
      <c r="F2938" s="52" t="s">
        <v>26</v>
      </c>
      <c r="G2938" s="53"/>
    </row>
    <row r="2939">
      <c r="A2939" s="49">
        <v>44725.422409583334</v>
      </c>
      <c r="B2939" s="50">
        <v>44725.5473816203</v>
      </c>
      <c r="C2939" s="51">
        <v>1.007</v>
      </c>
      <c r="D2939" s="51">
        <v>69.0</v>
      </c>
      <c r="E2939" s="52" t="s">
        <v>25</v>
      </c>
      <c r="F2939" s="52" t="s">
        <v>26</v>
      </c>
      <c r="G2939" s="53"/>
    </row>
    <row r="2940">
      <c r="A2940" s="49">
        <v>44725.432864456016</v>
      </c>
      <c r="B2940" s="50">
        <v>44725.557838206</v>
      </c>
      <c r="C2940" s="51">
        <v>1.007</v>
      </c>
      <c r="D2940" s="51">
        <v>69.0</v>
      </c>
      <c r="E2940" s="52" t="s">
        <v>25</v>
      </c>
      <c r="F2940" s="52" t="s">
        <v>26</v>
      </c>
      <c r="G2940" s="53"/>
    </row>
    <row r="2941">
      <c r="A2941" s="49">
        <v>44725.44328179398</v>
      </c>
      <c r="B2941" s="50">
        <v>44725.5682602314</v>
      </c>
      <c r="C2941" s="51">
        <v>1.007</v>
      </c>
      <c r="D2941" s="51">
        <v>69.0</v>
      </c>
      <c r="E2941" s="52" t="s">
        <v>25</v>
      </c>
      <c r="F2941" s="52" t="s">
        <v>26</v>
      </c>
      <c r="G2941" s="53"/>
    </row>
    <row r="2942">
      <c r="A2942" s="49">
        <v>44725.4537024537</v>
      </c>
      <c r="B2942" s="50">
        <v>44725.5786802199</v>
      </c>
      <c r="C2942" s="51">
        <v>1.007</v>
      </c>
      <c r="D2942" s="51">
        <v>69.0</v>
      </c>
      <c r="E2942" s="52" t="s">
        <v>25</v>
      </c>
      <c r="F2942" s="52" t="s">
        <v>26</v>
      </c>
      <c r="G2942" s="53"/>
    </row>
    <row r="2943">
      <c r="A2943" s="49">
        <v>44725.46412993055</v>
      </c>
      <c r="B2943" s="50">
        <v>44725.5891015046</v>
      </c>
      <c r="C2943" s="51">
        <v>1.007</v>
      </c>
      <c r="D2943" s="51">
        <v>69.0</v>
      </c>
      <c r="E2943" s="52" t="s">
        <v>25</v>
      </c>
      <c r="F2943" s="52" t="s">
        <v>26</v>
      </c>
      <c r="G2943" s="53"/>
    </row>
    <row r="2944">
      <c r="A2944" s="49">
        <v>44725.47455663195</v>
      </c>
      <c r="B2944" s="50">
        <v>44725.5995221064</v>
      </c>
      <c r="C2944" s="51">
        <v>1.007</v>
      </c>
      <c r="D2944" s="51">
        <v>69.0</v>
      </c>
      <c r="E2944" s="52" t="s">
        <v>25</v>
      </c>
      <c r="F2944" s="52" t="s">
        <v>26</v>
      </c>
      <c r="G2944" s="53"/>
    </row>
    <row r="2945">
      <c r="A2945" s="49">
        <v>44725.48496802083</v>
      </c>
      <c r="B2945" s="50">
        <v>44725.6099426273</v>
      </c>
      <c r="C2945" s="51">
        <v>1.007</v>
      </c>
      <c r="D2945" s="51">
        <v>69.0</v>
      </c>
      <c r="E2945" s="52" t="s">
        <v>25</v>
      </c>
      <c r="F2945" s="52" t="s">
        <v>26</v>
      </c>
      <c r="G2945" s="53"/>
    </row>
    <row r="2946">
      <c r="A2946" s="49">
        <v>44725.49539211806</v>
      </c>
      <c r="B2946" s="50">
        <v>44725.6203625925</v>
      </c>
      <c r="C2946" s="51">
        <v>1.006</v>
      </c>
      <c r="D2946" s="51">
        <v>69.0</v>
      </c>
      <c r="E2946" s="52" t="s">
        <v>25</v>
      </c>
      <c r="F2946" s="52" t="s">
        <v>26</v>
      </c>
      <c r="G2946" s="53"/>
    </row>
    <row r="2947">
      <c r="A2947" s="49">
        <v>44725.50579988426</v>
      </c>
      <c r="B2947" s="50">
        <v>44725.6307831134</v>
      </c>
      <c r="C2947" s="51">
        <v>1.007</v>
      </c>
      <c r="D2947" s="51">
        <v>69.0</v>
      </c>
      <c r="E2947" s="52" t="s">
        <v>25</v>
      </c>
      <c r="F2947" s="52" t="s">
        <v>26</v>
      </c>
      <c r="G2947" s="53"/>
    </row>
    <row r="2948">
      <c r="A2948" s="49">
        <v>44725.51622150463</v>
      </c>
      <c r="B2948" s="50">
        <v>44725.6412035185</v>
      </c>
      <c r="C2948" s="51">
        <v>1.006</v>
      </c>
      <c r="D2948" s="51">
        <v>69.0</v>
      </c>
      <c r="E2948" s="52" t="s">
        <v>25</v>
      </c>
      <c r="F2948" s="52" t="s">
        <v>26</v>
      </c>
      <c r="G2948" s="53"/>
    </row>
    <row r="2949">
      <c r="A2949" s="49">
        <v>44725.526655625</v>
      </c>
      <c r="B2949" s="50">
        <v>44725.651624699</v>
      </c>
      <c r="C2949" s="51">
        <v>1.006</v>
      </c>
      <c r="D2949" s="51">
        <v>69.0</v>
      </c>
      <c r="E2949" s="52" t="s">
        <v>25</v>
      </c>
      <c r="F2949" s="52" t="s">
        <v>26</v>
      </c>
      <c r="G2949" s="53"/>
    </row>
    <row r="2950">
      <c r="A2950" s="49">
        <v>44725.53707333333</v>
      </c>
      <c r="B2950" s="50">
        <v>44725.6620455787</v>
      </c>
      <c r="C2950" s="51">
        <v>1.006</v>
      </c>
      <c r="D2950" s="51">
        <v>69.0</v>
      </c>
      <c r="E2950" s="52" t="s">
        <v>25</v>
      </c>
      <c r="F2950" s="52" t="s">
        <v>26</v>
      </c>
      <c r="G2950" s="53"/>
    </row>
    <row r="2951">
      <c r="A2951" s="49">
        <v>44725.54749378472</v>
      </c>
      <c r="B2951" s="50">
        <v>44725.6724667129</v>
      </c>
      <c r="C2951" s="51">
        <v>1.007</v>
      </c>
      <c r="D2951" s="51">
        <v>69.0</v>
      </c>
      <c r="E2951" s="52" t="s">
        <v>25</v>
      </c>
      <c r="F2951" s="52" t="s">
        <v>26</v>
      </c>
      <c r="G2951" s="53"/>
    </row>
    <row r="2952">
      <c r="A2952" s="49">
        <v>44725.55793300926</v>
      </c>
      <c r="B2952" s="50">
        <v>44725.682900787</v>
      </c>
      <c r="C2952" s="51">
        <v>1.007</v>
      </c>
      <c r="D2952" s="51">
        <v>69.0</v>
      </c>
      <c r="E2952" s="52" t="s">
        <v>25</v>
      </c>
      <c r="F2952" s="52" t="s">
        <v>26</v>
      </c>
      <c r="G2952" s="53"/>
    </row>
    <row r="2953">
      <c r="A2953" s="49">
        <v>44725.56835934028</v>
      </c>
      <c r="B2953" s="50">
        <v>44725.6933322916</v>
      </c>
      <c r="C2953" s="51">
        <v>1.007</v>
      </c>
      <c r="D2953" s="51">
        <v>69.0</v>
      </c>
      <c r="E2953" s="52" t="s">
        <v>25</v>
      </c>
      <c r="F2953" s="52" t="s">
        <v>26</v>
      </c>
      <c r="G2953" s="53"/>
    </row>
    <row r="2954">
      <c r="A2954" s="49">
        <v>44725.57879247685</v>
      </c>
      <c r="B2954" s="50">
        <v>44725.7037636458</v>
      </c>
      <c r="C2954" s="51">
        <v>1.007</v>
      </c>
      <c r="D2954" s="51">
        <v>69.0</v>
      </c>
      <c r="E2954" s="52" t="s">
        <v>25</v>
      </c>
      <c r="F2954" s="52" t="s">
        <v>26</v>
      </c>
      <c r="G2954" s="53"/>
    </row>
    <row r="2955">
      <c r="A2955" s="49">
        <v>44725.58921640046</v>
      </c>
      <c r="B2955" s="50">
        <v>44725.71419625</v>
      </c>
      <c r="C2955" s="51">
        <v>1.007</v>
      </c>
      <c r="D2955" s="51">
        <v>69.0</v>
      </c>
      <c r="E2955" s="52" t="s">
        <v>25</v>
      </c>
      <c r="F2955" s="52" t="s">
        <v>26</v>
      </c>
      <c r="G2955" s="53"/>
    </row>
    <row r="2956">
      <c r="A2956" s="49">
        <v>44725.59963333333</v>
      </c>
      <c r="B2956" s="50">
        <v>44725.7246170949</v>
      </c>
      <c r="C2956" s="51">
        <v>1.006</v>
      </c>
      <c r="D2956" s="51">
        <v>69.0</v>
      </c>
      <c r="E2956" s="52" t="s">
        <v>25</v>
      </c>
      <c r="F2956" s="52" t="s">
        <v>26</v>
      </c>
      <c r="G2956" s="53"/>
    </row>
    <row r="2957">
      <c r="A2957" s="49">
        <v>44725.61007177083</v>
      </c>
      <c r="B2957" s="50">
        <v>44725.7350385995</v>
      </c>
      <c r="C2957" s="51">
        <v>1.007</v>
      </c>
      <c r="D2957" s="51">
        <v>69.0</v>
      </c>
      <c r="E2957" s="52" t="s">
        <v>25</v>
      </c>
      <c r="F2957" s="52" t="s">
        <v>26</v>
      </c>
      <c r="G2957" s="53"/>
    </row>
    <row r="2958">
      <c r="A2958" s="49">
        <v>44725.62048706019</v>
      </c>
      <c r="B2958" s="50">
        <v>44725.7454605555</v>
      </c>
      <c r="C2958" s="51">
        <v>1.007</v>
      </c>
      <c r="D2958" s="51">
        <v>69.0</v>
      </c>
      <c r="E2958" s="52" t="s">
        <v>25</v>
      </c>
      <c r="F2958" s="52" t="s">
        <v>26</v>
      </c>
      <c r="G2958" s="53"/>
    </row>
    <row r="2959">
      <c r="A2959" s="49">
        <v>44725.63091133102</v>
      </c>
      <c r="B2959" s="50">
        <v>44725.7558814004</v>
      </c>
      <c r="C2959" s="51">
        <v>1.006</v>
      </c>
      <c r="D2959" s="51">
        <v>70.0</v>
      </c>
      <c r="E2959" s="52" t="s">
        <v>25</v>
      </c>
      <c r="F2959" s="52" t="s">
        <v>26</v>
      </c>
      <c r="G2959" s="53"/>
    </row>
    <row r="2960">
      <c r="A2960" s="49">
        <v>44725.64132947917</v>
      </c>
      <c r="B2960" s="50">
        <v>44725.7663015856</v>
      </c>
      <c r="C2960" s="51">
        <v>1.007</v>
      </c>
      <c r="D2960" s="51">
        <v>70.0</v>
      </c>
      <c r="E2960" s="52" t="s">
        <v>25</v>
      </c>
      <c r="F2960" s="52" t="s">
        <v>26</v>
      </c>
      <c r="G2960" s="53"/>
    </row>
    <row r="2961">
      <c r="A2961" s="49">
        <v>44725.651753530095</v>
      </c>
      <c r="B2961" s="50">
        <v>44725.7767215393</v>
      </c>
      <c r="C2961" s="51">
        <v>1.007</v>
      </c>
      <c r="D2961" s="51">
        <v>70.0</v>
      </c>
      <c r="E2961" s="52" t="s">
        <v>25</v>
      </c>
      <c r="F2961" s="52" t="s">
        <v>26</v>
      </c>
      <c r="G2961" s="53"/>
    </row>
    <row r="2962">
      <c r="A2962" s="49">
        <v>44725.662172303244</v>
      </c>
      <c r="B2962" s="50">
        <v>44725.7871430208</v>
      </c>
      <c r="C2962" s="51">
        <v>1.006</v>
      </c>
      <c r="D2962" s="51">
        <v>70.0</v>
      </c>
      <c r="E2962" s="52" t="s">
        <v>25</v>
      </c>
      <c r="F2962" s="52" t="s">
        <v>26</v>
      </c>
      <c r="G2962" s="53"/>
    </row>
    <row r="2963">
      <c r="A2963" s="49">
        <v>44725.67259</v>
      </c>
      <c r="B2963" s="50">
        <v>44725.7975633796</v>
      </c>
      <c r="C2963" s="51">
        <v>1.007</v>
      </c>
      <c r="D2963" s="51">
        <v>70.0</v>
      </c>
      <c r="E2963" s="52" t="s">
        <v>25</v>
      </c>
      <c r="F2963" s="52" t="s">
        <v>26</v>
      </c>
      <c r="G2963" s="53"/>
    </row>
    <row r="2964">
      <c r="A2964" s="49">
        <v>44725.68300960648</v>
      </c>
      <c r="B2964" s="50">
        <v>44725.8079835532</v>
      </c>
      <c r="C2964" s="51">
        <v>1.006</v>
      </c>
      <c r="D2964" s="51">
        <v>70.0</v>
      </c>
      <c r="E2964" s="52" t="s">
        <v>25</v>
      </c>
      <c r="F2964" s="52" t="s">
        <v>26</v>
      </c>
      <c r="G2964" s="53"/>
    </row>
    <row r="2965">
      <c r="A2965" s="49">
        <v>44725.69342928241</v>
      </c>
      <c r="B2965" s="50">
        <v>44725.8184050926</v>
      </c>
      <c r="C2965" s="51">
        <v>1.006</v>
      </c>
      <c r="D2965" s="51">
        <v>69.0</v>
      </c>
      <c r="E2965" s="52" t="s">
        <v>25</v>
      </c>
      <c r="F2965" s="52" t="s">
        <v>26</v>
      </c>
      <c r="G2965" s="53"/>
    </row>
    <row r="2966">
      <c r="A2966" s="49">
        <v>44725.703845358796</v>
      </c>
      <c r="B2966" s="50">
        <v>44725.8288262037</v>
      </c>
      <c r="C2966" s="51">
        <v>1.006</v>
      </c>
      <c r="D2966" s="51">
        <v>70.0</v>
      </c>
      <c r="E2966" s="52" t="s">
        <v>25</v>
      </c>
      <c r="F2966" s="52" t="s">
        <v>26</v>
      </c>
      <c r="G2966" s="53"/>
    </row>
    <row r="2967">
      <c r="A2967" s="49">
        <v>44725.71426994213</v>
      </c>
      <c r="B2967" s="50">
        <v>44725.839245787</v>
      </c>
      <c r="C2967" s="51">
        <v>1.006</v>
      </c>
      <c r="D2967" s="51">
        <v>70.0</v>
      </c>
      <c r="E2967" s="52" t="s">
        <v>25</v>
      </c>
      <c r="F2967" s="52" t="s">
        <v>26</v>
      </c>
      <c r="G2967" s="53"/>
    </row>
    <row r="2968">
      <c r="A2968" s="49">
        <v>44725.72468569444</v>
      </c>
      <c r="B2968" s="50">
        <v>44725.8496679976</v>
      </c>
      <c r="C2968" s="51">
        <v>1.007</v>
      </c>
      <c r="D2968" s="51">
        <v>70.0</v>
      </c>
      <c r="E2968" s="52" t="s">
        <v>25</v>
      </c>
      <c r="F2968" s="52" t="s">
        <v>26</v>
      </c>
      <c r="G2968" s="53"/>
    </row>
    <row r="2969">
      <c r="A2969" s="49">
        <v>44725.735118125</v>
      </c>
      <c r="B2969" s="50">
        <v>44725.8600892708</v>
      </c>
      <c r="C2969" s="51">
        <v>1.007</v>
      </c>
      <c r="D2969" s="51">
        <v>70.0</v>
      </c>
      <c r="E2969" s="52" t="s">
        <v>25</v>
      </c>
      <c r="F2969" s="52" t="s">
        <v>26</v>
      </c>
      <c r="G2969" s="53"/>
    </row>
    <row r="2970">
      <c r="A2970" s="49">
        <v>44725.74553806713</v>
      </c>
      <c r="B2970" s="50">
        <v>44725.8705113888</v>
      </c>
      <c r="C2970" s="51">
        <v>1.006</v>
      </c>
      <c r="D2970" s="51">
        <v>70.0</v>
      </c>
      <c r="E2970" s="52" t="s">
        <v>25</v>
      </c>
      <c r="F2970" s="52" t="s">
        <v>26</v>
      </c>
      <c r="G2970" s="53"/>
    </row>
    <row r="2971">
      <c r="A2971" s="49">
        <v>44725.75595747685</v>
      </c>
      <c r="B2971" s="50">
        <v>44725.8809331134</v>
      </c>
      <c r="C2971" s="51">
        <v>1.007</v>
      </c>
      <c r="D2971" s="51">
        <v>70.0</v>
      </c>
      <c r="E2971" s="52" t="s">
        <v>25</v>
      </c>
      <c r="F2971" s="52" t="s">
        <v>26</v>
      </c>
      <c r="G2971" s="53"/>
    </row>
    <row r="2972">
      <c r="A2972" s="49">
        <v>44725.766406979164</v>
      </c>
      <c r="B2972" s="50">
        <v>44725.8913781828</v>
      </c>
      <c r="C2972" s="51">
        <v>1.006</v>
      </c>
      <c r="D2972" s="51">
        <v>70.0</v>
      </c>
      <c r="E2972" s="52" t="s">
        <v>25</v>
      </c>
      <c r="F2972" s="52" t="s">
        <v>26</v>
      </c>
      <c r="G2972" s="53"/>
    </row>
    <row r="2973">
      <c r="A2973" s="49">
        <v>44725.776830925926</v>
      </c>
      <c r="B2973" s="50">
        <v>44725.9017987268</v>
      </c>
      <c r="C2973" s="51">
        <v>1.007</v>
      </c>
      <c r="D2973" s="51">
        <v>70.0</v>
      </c>
      <c r="E2973" s="52" t="s">
        <v>25</v>
      </c>
      <c r="F2973" s="52" t="s">
        <v>26</v>
      </c>
      <c r="G2973" s="53"/>
    </row>
    <row r="2974">
      <c r="A2974" s="49">
        <v>44725.7872466088</v>
      </c>
      <c r="B2974" s="50">
        <v>44725.9122208101</v>
      </c>
      <c r="C2974" s="51">
        <v>1.007</v>
      </c>
      <c r="D2974" s="51">
        <v>70.0</v>
      </c>
      <c r="E2974" s="52" t="s">
        <v>25</v>
      </c>
      <c r="F2974" s="52" t="s">
        <v>26</v>
      </c>
      <c r="G2974" s="53"/>
    </row>
    <row r="2975">
      <c r="A2975" s="49">
        <v>44725.797667430554</v>
      </c>
      <c r="B2975" s="50">
        <v>44725.9226428935</v>
      </c>
      <c r="C2975" s="51">
        <v>1.006</v>
      </c>
      <c r="D2975" s="51">
        <v>70.0</v>
      </c>
      <c r="E2975" s="52" t="s">
        <v>25</v>
      </c>
      <c r="F2975" s="52" t="s">
        <v>26</v>
      </c>
      <c r="G2975" s="53"/>
    </row>
    <row r="2976">
      <c r="A2976" s="49">
        <v>44725.80811170139</v>
      </c>
      <c r="B2976" s="50">
        <v>44725.9330759953</v>
      </c>
      <c r="C2976" s="51">
        <v>1.007</v>
      </c>
      <c r="D2976" s="51">
        <v>70.0</v>
      </c>
      <c r="E2976" s="52" t="s">
        <v>25</v>
      </c>
      <c r="F2976" s="52" t="s">
        <v>26</v>
      </c>
      <c r="G2976" s="53"/>
    </row>
    <row r="2977">
      <c r="A2977" s="49">
        <v>44725.81853087963</v>
      </c>
      <c r="B2977" s="50">
        <v>44725.9435089351</v>
      </c>
      <c r="C2977" s="51">
        <v>1.006</v>
      </c>
      <c r="D2977" s="51">
        <v>70.0</v>
      </c>
      <c r="E2977" s="52" t="s">
        <v>25</v>
      </c>
      <c r="F2977" s="52" t="s">
        <v>26</v>
      </c>
      <c r="G2977" s="53"/>
    </row>
    <row r="2978">
      <c r="A2978" s="49">
        <v>44725.82898063658</v>
      </c>
      <c r="B2978" s="50">
        <v>44725.9539517476</v>
      </c>
      <c r="C2978" s="51">
        <v>1.007</v>
      </c>
      <c r="D2978" s="51">
        <v>70.0</v>
      </c>
      <c r="E2978" s="52" t="s">
        <v>25</v>
      </c>
      <c r="F2978" s="52" t="s">
        <v>26</v>
      </c>
      <c r="G2978" s="53"/>
    </row>
    <row r="2979">
      <c r="A2979" s="49">
        <v>44725.83940268519</v>
      </c>
      <c r="B2979" s="50">
        <v>44725.9643734143</v>
      </c>
      <c r="C2979" s="51">
        <v>1.007</v>
      </c>
      <c r="D2979" s="51">
        <v>70.0</v>
      </c>
      <c r="E2979" s="52" t="s">
        <v>25</v>
      </c>
      <c r="F2979" s="52" t="s">
        <v>26</v>
      </c>
      <c r="G2979" s="53"/>
    </row>
    <row r="2980">
      <c r="A2980" s="49">
        <v>44725.84982071759</v>
      </c>
      <c r="B2980" s="50">
        <v>44725.9747929513</v>
      </c>
      <c r="C2980" s="51">
        <v>1.007</v>
      </c>
      <c r="D2980" s="51">
        <v>70.0</v>
      </c>
      <c r="E2980" s="52" t="s">
        <v>25</v>
      </c>
      <c r="F2980" s="52" t="s">
        <v>26</v>
      </c>
      <c r="G2980" s="53"/>
    </row>
    <row r="2981">
      <c r="A2981" s="49">
        <v>44725.86024829861</v>
      </c>
      <c r="B2981" s="50">
        <v>44725.9852261226</v>
      </c>
      <c r="C2981" s="51">
        <v>1.007</v>
      </c>
      <c r="D2981" s="51">
        <v>70.0</v>
      </c>
      <c r="E2981" s="52" t="s">
        <v>25</v>
      </c>
      <c r="F2981" s="52" t="s">
        <v>26</v>
      </c>
      <c r="G2981" s="53"/>
    </row>
    <row r="2982">
      <c r="A2982" s="49">
        <v>44725.870676412036</v>
      </c>
      <c r="B2982" s="50">
        <v>44725.9956493634</v>
      </c>
      <c r="C2982" s="51">
        <v>1.007</v>
      </c>
      <c r="D2982" s="51">
        <v>70.0</v>
      </c>
      <c r="E2982" s="52" t="s">
        <v>25</v>
      </c>
      <c r="F2982" s="52" t="s">
        <v>26</v>
      </c>
      <c r="G2982" s="53"/>
    </row>
    <row r="2983">
      <c r="A2983" s="49">
        <v>44725.881097627316</v>
      </c>
      <c r="B2983" s="50">
        <v>44726.0060713426</v>
      </c>
      <c r="C2983" s="51">
        <v>1.007</v>
      </c>
      <c r="D2983" s="51">
        <v>70.0</v>
      </c>
      <c r="E2983" s="52" t="s">
        <v>25</v>
      </c>
      <c r="F2983" s="52" t="s">
        <v>26</v>
      </c>
      <c r="G2983" s="53"/>
    </row>
    <row r="2984">
      <c r="A2984" s="49">
        <v>44725.89152181713</v>
      </c>
      <c r="B2984" s="50">
        <v>44726.0164918981</v>
      </c>
      <c r="C2984" s="51">
        <v>1.006</v>
      </c>
      <c r="D2984" s="51">
        <v>70.0</v>
      </c>
      <c r="E2984" s="52" t="s">
        <v>25</v>
      </c>
      <c r="F2984" s="52" t="s">
        <v>26</v>
      </c>
      <c r="G2984" s="53"/>
    </row>
    <row r="2985">
      <c r="A2985" s="49">
        <v>44725.901938888885</v>
      </c>
      <c r="B2985" s="50">
        <v>44726.0269142592</v>
      </c>
      <c r="C2985" s="51">
        <v>1.006</v>
      </c>
      <c r="D2985" s="51">
        <v>70.0</v>
      </c>
      <c r="E2985" s="52" t="s">
        <v>25</v>
      </c>
      <c r="F2985" s="52" t="s">
        <v>26</v>
      </c>
      <c r="G2985" s="53"/>
    </row>
    <row r="2986">
      <c r="A2986" s="49">
        <v>44725.91235835648</v>
      </c>
      <c r="B2986" s="50">
        <v>44726.0373355439</v>
      </c>
      <c r="C2986" s="51">
        <v>1.006</v>
      </c>
      <c r="D2986" s="51">
        <v>70.0</v>
      </c>
      <c r="E2986" s="52" t="s">
        <v>25</v>
      </c>
      <c r="F2986" s="52" t="s">
        <v>26</v>
      </c>
      <c r="G2986" s="53"/>
    </row>
    <row r="2987">
      <c r="A2987" s="49">
        <v>44725.92277996527</v>
      </c>
      <c r="B2987" s="50">
        <v>44726.0477539236</v>
      </c>
      <c r="C2987" s="51">
        <v>1.006</v>
      </c>
      <c r="D2987" s="51">
        <v>70.0</v>
      </c>
      <c r="E2987" s="52" t="s">
        <v>25</v>
      </c>
      <c r="F2987" s="52" t="s">
        <v>26</v>
      </c>
      <c r="G2987" s="53"/>
    </row>
    <row r="2988">
      <c r="A2988" s="49">
        <v>44725.93319964121</v>
      </c>
      <c r="B2988" s="50">
        <v>44726.0581748148</v>
      </c>
      <c r="C2988" s="51">
        <v>1.007</v>
      </c>
      <c r="D2988" s="51">
        <v>70.0</v>
      </c>
      <c r="E2988" s="52" t="s">
        <v>25</v>
      </c>
      <c r="F2988" s="52" t="s">
        <v>26</v>
      </c>
      <c r="G2988" s="53"/>
    </row>
    <row r="2989">
      <c r="A2989" s="49">
        <v>44725.94362355324</v>
      </c>
      <c r="B2989" s="50">
        <v>44726.068595706</v>
      </c>
      <c r="C2989" s="51">
        <v>1.006</v>
      </c>
      <c r="D2989" s="51">
        <v>70.0</v>
      </c>
      <c r="E2989" s="52" t="s">
        <v>25</v>
      </c>
      <c r="F2989" s="52" t="s">
        <v>26</v>
      </c>
      <c r="G2989" s="53"/>
    </row>
    <row r="2990">
      <c r="A2990" s="49">
        <v>44725.95404159722</v>
      </c>
      <c r="B2990" s="50">
        <v>44726.0790162384</v>
      </c>
      <c r="C2990" s="51">
        <v>1.006</v>
      </c>
      <c r="D2990" s="51">
        <v>70.0</v>
      </c>
      <c r="E2990" s="52" t="s">
        <v>25</v>
      </c>
      <c r="F2990" s="52" t="s">
        <v>26</v>
      </c>
      <c r="G2990" s="53"/>
    </row>
    <row r="2991">
      <c r="A2991" s="49">
        <v>44725.96446099537</v>
      </c>
      <c r="B2991" s="50">
        <v>44726.0894377893</v>
      </c>
      <c r="C2991" s="51">
        <v>1.006</v>
      </c>
      <c r="D2991" s="51">
        <v>70.0</v>
      </c>
      <c r="E2991" s="52" t="s">
        <v>25</v>
      </c>
      <c r="F2991" s="52" t="s">
        <v>26</v>
      </c>
      <c r="G2991" s="53"/>
    </row>
    <row r="2992">
      <c r="A2992" s="49">
        <v>44725.97489387731</v>
      </c>
      <c r="B2992" s="50">
        <v>44726.0998713541</v>
      </c>
      <c r="C2992" s="51">
        <v>1.006</v>
      </c>
      <c r="D2992" s="51">
        <v>70.0</v>
      </c>
      <c r="E2992" s="52" t="s">
        <v>25</v>
      </c>
      <c r="F2992" s="52" t="s">
        <v>26</v>
      </c>
      <c r="G2992" s="53"/>
    </row>
    <row r="2993">
      <c r="A2993" s="49">
        <v>44725.98531887731</v>
      </c>
      <c r="B2993" s="50">
        <v>44726.1102910648</v>
      </c>
      <c r="C2993" s="51">
        <v>1.006</v>
      </c>
      <c r="D2993" s="51">
        <v>70.0</v>
      </c>
      <c r="E2993" s="52" t="s">
        <v>25</v>
      </c>
      <c r="F2993" s="52" t="s">
        <v>26</v>
      </c>
      <c r="G2993" s="53"/>
    </row>
    <row r="2994">
      <c r="A2994" s="49">
        <v>44725.99574013889</v>
      </c>
      <c r="B2994" s="50">
        <v>44726.1207113888</v>
      </c>
      <c r="C2994" s="51">
        <v>1.006</v>
      </c>
      <c r="D2994" s="51">
        <v>70.0</v>
      </c>
      <c r="E2994" s="52" t="s">
        <v>25</v>
      </c>
      <c r="F2994" s="52" t="s">
        <v>26</v>
      </c>
      <c r="G2994" s="53"/>
    </row>
    <row r="2995">
      <c r="A2995" s="49">
        <v>44726.00615809028</v>
      </c>
      <c r="B2995" s="50">
        <v>44726.1311309838</v>
      </c>
      <c r="C2995" s="51">
        <v>1.006</v>
      </c>
      <c r="D2995" s="51">
        <v>69.0</v>
      </c>
      <c r="E2995" s="52" t="s">
        <v>25</v>
      </c>
      <c r="F2995" s="52" t="s">
        <v>26</v>
      </c>
      <c r="G2995" s="53"/>
    </row>
    <row r="2996">
      <c r="A2996" s="49">
        <v>44726.01658002315</v>
      </c>
      <c r="B2996" s="50">
        <v>44726.1415513888</v>
      </c>
      <c r="C2996" s="51">
        <v>1.006</v>
      </c>
      <c r="D2996" s="51">
        <v>69.0</v>
      </c>
      <c r="E2996" s="52" t="s">
        <v>25</v>
      </c>
      <c r="F2996" s="52" t="s">
        <v>26</v>
      </c>
      <c r="G2996" s="53"/>
    </row>
    <row r="2997">
      <c r="A2997" s="49">
        <v>44726.02700078704</v>
      </c>
      <c r="B2997" s="50">
        <v>44726.1519725926</v>
      </c>
      <c r="C2997" s="51">
        <v>1.006</v>
      </c>
      <c r="D2997" s="51">
        <v>68.0</v>
      </c>
      <c r="E2997" s="52" t="s">
        <v>25</v>
      </c>
      <c r="F2997" s="52" t="s">
        <v>26</v>
      </c>
      <c r="G2997" s="53"/>
    </row>
    <row r="2998">
      <c r="A2998" s="49">
        <v>44726.03743510417</v>
      </c>
      <c r="B2998" s="50">
        <v>44726.1624053125</v>
      </c>
      <c r="C2998" s="51">
        <v>1.006</v>
      </c>
      <c r="D2998" s="51">
        <v>67.0</v>
      </c>
      <c r="E2998" s="52" t="s">
        <v>25</v>
      </c>
      <c r="F2998" s="52" t="s">
        <v>26</v>
      </c>
      <c r="G2998" s="53"/>
    </row>
    <row r="2999">
      <c r="A2999" s="49">
        <v>44726.047848622686</v>
      </c>
      <c r="B2999" s="50">
        <v>44726.1728271527</v>
      </c>
      <c r="C2999" s="51">
        <v>1.006</v>
      </c>
      <c r="D2999" s="51">
        <v>67.0</v>
      </c>
      <c r="E2999" s="52" t="s">
        <v>25</v>
      </c>
      <c r="F2999" s="52" t="s">
        <v>26</v>
      </c>
      <c r="G2999" s="53"/>
    </row>
    <row r="3000">
      <c r="A3000" s="49">
        <v>44726.05828269676</v>
      </c>
      <c r="B3000" s="50">
        <v>44726.1832497106</v>
      </c>
      <c r="C3000" s="51">
        <v>1.006</v>
      </c>
      <c r="D3000" s="51">
        <v>66.0</v>
      </c>
      <c r="E3000" s="52" t="s">
        <v>25</v>
      </c>
      <c r="F3000" s="52" t="s">
        <v>26</v>
      </c>
      <c r="G3000" s="53"/>
    </row>
    <row r="3001">
      <c r="A3001" s="49">
        <v>44726.068701192125</v>
      </c>
      <c r="B3001" s="50">
        <v>44726.1936712152</v>
      </c>
      <c r="C3001" s="51">
        <v>1.006</v>
      </c>
      <c r="D3001" s="51">
        <v>66.0</v>
      </c>
      <c r="E3001" s="52" t="s">
        <v>25</v>
      </c>
      <c r="F3001" s="52" t="s">
        <v>26</v>
      </c>
      <c r="G3001" s="53"/>
    </row>
    <row r="3002">
      <c r="A3002" s="49">
        <v>44726.079108391204</v>
      </c>
      <c r="B3002" s="50">
        <v>44726.2040918055</v>
      </c>
      <c r="C3002" s="51">
        <v>1.006</v>
      </c>
      <c r="D3002" s="51">
        <v>66.0</v>
      </c>
      <c r="E3002" s="52" t="s">
        <v>25</v>
      </c>
      <c r="F3002" s="52" t="s">
        <v>26</v>
      </c>
      <c r="G3002" s="53"/>
    </row>
    <row r="3003">
      <c r="A3003" s="49">
        <v>44726.08953611111</v>
      </c>
      <c r="B3003" s="50">
        <v>44726.2145130555</v>
      </c>
      <c r="C3003" s="51">
        <v>1.006</v>
      </c>
      <c r="D3003" s="51">
        <v>66.0</v>
      </c>
      <c r="E3003" s="52" t="s">
        <v>25</v>
      </c>
      <c r="F3003" s="52" t="s">
        <v>26</v>
      </c>
      <c r="G3003" s="53"/>
    </row>
    <row r="3004">
      <c r="A3004" s="49">
        <v>44726.09998997685</v>
      </c>
      <c r="B3004" s="50">
        <v>44726.2249583101</v>
      </c>
      <c r="C3004" s="51">
        <v>1.006</v>
      </c>
      <c r="D3004" s="51">
        <v>66.0</v>
      </c>
      <c r="E3004" s="52" t="s">
        <v>25</v>
      </c>
      <c r="F3004" s="52" t="s">
        <v>26</v>
      </c>
      <c r="G3004" s="53"/>
    </row>
    <row r="3005">
      <c r="A3005" s="49">
        <v>44726.11041709491</v>
      </c>
      <c r="B3005" s="50">
        <v>44726.2353914699</v>
      </c>
      <c r="C3005" s="51">
        <v>1.006</v>
      </c>
      <c r="D3005" s="51">
        <v>66.0</v>
      </c>
      <c r="E3005" s="52" t="s">
        <v>25</v>
      </c>
      <c r="F3005" s="52" t="s">
        <v>26</v>
      </c>
      <c r="G3005" s="53"/>
    </row>
    <row r="3006">
      <c r="A3006" s="49">
        <v>44726.12088465277</v>
      </c>
      <c r="B3006" s="50">
        <v>44726.2458581365</v>
      </c>
      <c r="C3006" s="51">
        <v>1.007</v>
      </c>
      <c r="D3006" s="51">
        <v>66.0</v>
      </c>
      <c r="E3006" s="52" t="s">
        <v>25</v>
      </c>
      <c r="F3006" s="52" t="s">
        <v>26</v>
      </c>
      <c r="G3006" s="53"/>
    </row>
    <row r="3007">
      <c r="A3007" s="49">
        <v>44726.13130577546</v>
      </c>
      <c r="B3007" s="50">
        <v>44726.2562794791</v>
      </c>
      <c r="C3007" s="51">
        <v>1.006</v>
      </c>
      <c r="D3007" s="51">
        <v>66.0</v>
      </c>
      <c r="E3007" s="52" t="s">
        <v>25</v>
      </c>
      <c r="F3007" s="52" t="s">
        <v>26</v>
      </c>
      <c r="G3007" s="53"/>
    </row>
    <row r="3008">
      <c r="A3008" s="49">
        <v>44726.14180788194</v>
      </c>
      <c r="B3008" s="50">
        <v>44726.2667244444</v>
      </c>
      <c r="C3008" s="51">
        <v>1.007</v>
      </c>
      <c r="D3008" s="51">
        <v>66.0</v>
      </c>
      <c r="E3008" s="52" t="s">
        <v>25</v>
      </c>
      <c r="F3008" s="52" t="s">
        <v>26</v>
      </c>
      <c r="G3008" s="53"/>
    </row>
    <row r="3009">
      <c r="A3009" s="49">
        <v>44726.1521780787</v>
      </c>
      <c r="B3009" s="50">
        <v>44726.2771564004</v>
      </c>
      <c r="C3009" s="51">
        <v>1.006</v>
      </c>
      <c r="D3009" s="51">
        <v>66.0</v>
      </c>
      <c r="E3009" s="52" t="s">
        <v>25</v>
      </c>
      <c r="F3009" s="52" t="s">
        <v>26</v>
      </c>
      <c r="G3009" s="53"/>
    </row>
    <row r="3010">
      <c r="A3010" s="49">
        <v>44726.162622592594</v>
      </c>
      <c r="B3010" s="50">
        <v>44726.2875901273</v>
      </c>
      <c r="C3010" s="51">
        <v>1.006</v>
      </c>
      <c r="D3010" s="51">
        <v>66.0</v>
      </c>
      <c r="E3010" s="52" t="s">
        <v>25</v>
      </c>
      <c r="F3010" s="52" t="s">
        <v>26</v>
      </c>
      <c r="G3010" s="53"/>
    </row>
    <row r="3011">
      <c r="A3011" s="49">
        <v>44726.17303878472</v>
      </c>
      <c r="B3011" s="50">
        <v>44726.2980106828</v>
      </c>
      <c r="C3011" s="51">
        <v>1.006</v>
      </c>
      <c r="D3011" s="51">
        <v>66.0</v>
      </c>
      <c r="E3011" s="52" t="s">
        <v>25</v>
      </c>
      <c r="F3011" s="52" t="s">
        <v>26</v>
      </c>
      <c r="G3011" s="53"/>
    </row>
    <row r="3012">
      <c r="A3012" s="49">
        <v>44726.18346741898</v>
      </c>
      <c r="B3012" s="50">
        <v>44726.3084423726</v>
      </c>
      <c r="C3012" s="51">
        <v>1.006</v>
      </c>
      <c r="D3012" s="51">
        <v>66.0</v>
      </c>
      <c r="E3012" s="52" t="s">
        <v>25</v>
      </c>
      <c r="F3012" s="52" t="s">
        <v>26</v>
      </c>
      <c r="G3012" s="53"/>
    </row>
    <row r="3013">
      <c r="A3013" s="49">
        <v>44726.19390399306</v>
      </c>
      <c r="B3013" s="50">
        <v>44726.3188735995</v>
      </c>
      <c r="C3013" s="51">
        <v>1.006</v>
      </c>
      <c r="D3013" s="51">
        <v>66.0</v>
      </c>
      <c r="E3013" s="52" t="s">
        <v>25</v>
      </c>
      <c r="F3013" s="52" t="s">
        <v>26</v>
      </c>
      <c r="G3013" s="53"/>
    </row>
    <row r="3014">
      <c r="A3014" s="49">
        <v>44726.20431670139</v>
      </c>
      <c r="B3014" s="50">
        <v>44726.3292956481</v>
      </c>
      <c r="C3014" s="51">
        <v>1.006</v>
      </c>
      <c r="D3014" s="51">
        <v>66.0</v>
      </c>
      <c r="E3014" s="52" t="s">
        <v>25</v>
      </c>
      <c r="F3014" s="52" t="s">
        <v>26</v>
      </c>
      <c r="G3014" s="53"/>
    </row>
    <row r="3015">
      <c r="A3015" s="49">
        <v>44726.21474417824</v>
      </c>
      <c r="B3015" s="50">
        <v>44726.3397169213</v>
      </c>
      <c r="C3015" s="51">
        <v>1.007</v>
      </c>
      <c r="D3015" s="51">
        <v>66.0</v>
      </c>
      <c r="E3015" s="52" t="s">
        <v>25</v>
      </c>
      <c r="F3015" s="52" t="s">
        <v>26</v>
      </c>
      <c r="G3015" s="53"/>
    </row>
    <row r="3016">
      <c r="A3016" s="49">
        <v>44726.2251666088</v>
      </c>
      <c r="B3016" s="50">
        <v>44726.3501384143</v>
      </c>
      <c r="C3016" s="51">
        <v>1.006</v>
      </c>
      <c r="D3016" s="51">
        <v>66.0</v>
      </c>
      <c r="E3016" s="52" t="s">
        <v>25</v>
      </c>
      <c r="F3016" s="52" t="s">
        <v>26</v>
      </c>
      <c r="G3016" s="53"/>
    </row>
    <row r="3017">
      <c r="A3017" s="49">
        <v>44726.23559585648</v>
      </c>
      <c r="B3017" s="50">
        <v>44726.3605708449</v>
      </c>
      <c r="C3017" s="51">
        <v>1.007</v>
      </c>
      <c r="D3017" s="51">
        <v>66.0</v>
      </c>
      <c r="E3017" s="52" t="s">
        <v>25</v>
      </c>
      <c r="F3017" s="52" t="s">
        <v>26</v>
      </c>
      <c r="G3017" s="53"/>
    </row>
    <row r="3018">
      <c r="A3018" s="49">
        <v>44726.246017638885</v>
      </c>
      <c r="B3018" s="50">
        <v>44726.3709916088</v>
      </c>
      <c r="C3018" s="51">
        <v>1.007</v>
      </c>
      <c r="D3018" s="51">
        <v>66.0</v>
      </c>
      <c r="E3018" s="52" t="s">
        <v>25</v>
      </c>
      <c r="F3018" s="52" t="s">
        <v>26</v>
      </c>
      <c r="G3018" s="53"/>
    </row>
    <row r="3019">
      <c r="A3019" s="49">
        <v>44726.25643390046</v>
      </c>
      <c r="B3019" s="50">
        <v>44726.381413125</v>
      </c>
      <c r="C3019" s="51">
        <v>1.007</v>
      </c>
      <c r="D3019" s="51">
        <v>66.0</v>
      </c>
      <c r="E3019" s="52" t="s">
        <v>25</v>
      </c>
      <c r="F3019" s="52" t="s">
        <v>26</v>
      </c>
      <c r="G3019" s="53"/>
    </row>
    <row r="3020">
      <c r="A3020" s="49">
        <v>44726.26685971065</v>
      </c>
      <c r="B3020" s="50">
        <v>44726.3918349537</v>
      </c>
      <c r="C3020" s="51">
        <v>1.006</v>
      </c>
      <c r="D3020" s="51">
        <v>66.0</v>
      </c>
      <c r="E3020" s="52" t="s">
        <v>25</v>
      </c>
      <c r="F3020" s="52" t="s">
        <v>26</v>
      </c>
      <c r="G3020" s="53"/>
    </row>
    <row r="3021">
      <c r="A3021" s="49">
        <v>44726.277284861106</v>
      </c>
      <c r="B3021" s="50">
        <v>44726.4022554861</v>
      </c>
      <c r="C3021" s="51">
        <v>1.006</v>
      </c>
      <c r="D3021" s="51">
        <v>66.0</v>
      </c>
      <c r="E3021" s="52" t="s">
        <v>25</v>
      </c>
      <c r="F3021" s="52" t="s">
        <v>26</v>
      </c>
      <c r="G3021" s="53"/>
    </row>
    <row r="3022">
      <c r="A3022" s="49">
        <v>44726.2877065162</v>
      </c>
      <c r="B3022" s="50">
        <v>44726.4126774189</v>
      </c>
      <c r="C3022" s="51">
        <v>1.007</v>
      </c>
      <c r="D3022" s="51">
        <v>66.0</v>
      </c>
      <c r="E3022" s="52" t="s">
        <v>25</v>
      </c>
      <c r="F3022" s="52" t="s">
        <v>26</v>
      </c>
      <c r="G3022" s="53"/>
    </row>
    <row r="3023">
      <c r="A3023" s="49">
        <v>44726.29812957176</v>
      </c>
      <c r="B3023" s="50">
        <v>44726.4231015393</v>
      </c>
      <c r="C3023" s="51">
        <v>1.007</v>
      </c>
      <c r="D3023" s="51">
        <v>66.0</v>
      </c>
      <c r="E3023" s="52" t="s">
        <v>25</v>
      </c>
      <c r="F3023" s="52" t="s">
        <v>26</v>
      </c>
      <c r="G3023" s="53"/>
    </row>
    <row r="3024">
      <c r="A3024" s="49">
        <v>44726.308552256945</v>
      </c>
      <c r="B3024" s="50">
        <v>44726.4335230092</v>
      </c>
      <c r="C3024" s="51">
        <v>1.007</v>
      </c>
      <c r="D3024" s="51">
        <v>66.0</v>
      </c>
      <c r="E3024" s="52" t="s">
        <v>25</v>
      </c>
      <c r="F3024" s="52" t="s">
        <v>26</v>
      </c>
      <c r="G3024" s="53"/>
    </row>
    <row r="3025">
      <c r="A3025" s="49">
        <v>44726.318972696754</v>
      </c>
      <c r="B3025" s="50">
        <v>44726.4439451504</v>
      </c>
      <c r="C3025" s="51">
        <v>1.007</v>
      </c>
      <c r="D3025" s="51">
        <v>66.0</v>
      </c>
      <c r="E3025" s="52" t="s">
        <v>25</v>
      </c>
      <c r="F3025" s="52" t="s">
        <v>26</v>
      </c>
      <c r="G3025" s="53"/>
    </row>
    <row r="3026">
      <c r="A3026" s="49">
        <v>44726.32939318287</v>
      </c>
      <c r="B3026" s="50">
        <v>44726.4543676388</v>
      </c>
      <c r="C3026" s="51">
        <v>1.007</v>
      </c>
      <c r="D3026" s="51">
        <v>66.0</v>
      </c>
      <c r="E3026" s="52" t="s">
        <v>25</v>
      </c>
      <c r="F3026" s="52" t="s">
        <v>26</v>
      </c>
      <c r="G3026" s="53"/>
    </row>
    <row r="3027">
      <c r="A3027" s="49">
        <v>44726.33981179398</v>
      </c>
      <c r="B3027" s="50">
        <v>44726.464787581</v>
      </c>
      <c r="C3027" s="51">
        <v>1.006</v>
      </c>
      <c r="D3027" s="51">
        <v>66.0</v>
      </c>
      <c r="E3027" s="52" t="s">
        <v>25</v>
      </c>
      <c r="F3027" s="52" t="s">
        <v>26</v>
      </c>
      <c r="G3027" s="53"/>
    </row>
    <row r="3028">
      <c r="A3028" s="49">
        <v>44726.350239479165</v>
      </c>
      <c r="B3028" s="50">
        <v>44726.4752085879</v>
      </c>
      <c r="C3028" s="51">
        <v>1.007</v>
      </c>
      <c r="D3028" s="51">
        <v>66.0</v>
      </c>
      <c r="E3028" s="52" t="s">
        <v>25</v>
      </c>
      <c r="F3028" s="52" t="s">
        <v>26</v>
      </c>
      <c r="G3028" s="53"/>
    </row>
    <row r="3029">
      <c r="A3029" s="49">
        <v>44726.360659074075</v>
      </c>
      <c r="B3029" s="50">
        <v>44726.4856299884</v>
      </c>
      <c r="C3029" s="51">
        <v>1.006</v>
      </c>
      <c r="D3029" s="51">
        <v>66.0</v>
      </c>
      <c r="E3029" s="52" t="s">
        <v>25</v>
      </c>
      <c r="F3029" s="52" t="s">
        <v>26</v>
      </c>
      <c r="G3029" s="53"/>
    </row>
    <row r="3030">
      <c r="A3030" s="49">
        <v>44726.371084363425</v>
      </c>
      <c r="B3030" s="50">
        <v>44726.4960502199</v>
      </c>
      <c r="C3030" s="51">
        <v>1.006</v>
      </c>
      <c r="D3030" s="51">
        <v>66.0</v>
      </c>
      <c r="E3030" s="52" t="s">
        <v>25</v>
      </c>
      <c r="F3030" s="52" t="s">
        <v>26</v>
      </c>
      <c r="G3030" s="53"/>
    </row>
    <row r="3031">
      <c r="A3031" s="49">
        <v>44726.38152077547</v>
      </c>
      <c r="B3031" s="50">
        <v>44726.5064828935</v>
      </c>
      <c r="C3031" s="51">
        <v>1.006</v>
      </c>
      <c r="D3031" s="51">
        <v>66.0</v>
      </c>
      <c r="E3031" s="52" t="s">
        <v>25</v>
      </c>
      <c r="F3031" s="52" t="s">
        <v>26</v>
      </c>
      <c r="G3031" s="53"/>
    </row>
    <row r="3032">
      <c r="A3032" s="49">
        <v>44726.39193542824</v>
      </c>
      <c r="B3032" s="50">
        <v>44726.5169027546</v>
      </c>
      <c r="C3032" s="51">
        <v>1.007</v>
      </c>
      <c r="D3032" s="51">
        <v>66.0</v>
      </c>
      <c r="E3032" s="52" t="s">
        <v>25</v>
      </c>
      <c r="F3032" s="52" t="s">
        <v>26</v>
      </c>
      <c r="G3032" s="53"/>
    </row>
    <row r="3033">
      <c r="A3033" s="49">
        <v>44726.402350902776</v>
      </c>
      <c r="B3033" s="50">
        <v>44726.5273234953</v>
      </c>
      <c r="C3033" s="51">
        <v>1.007</v>
      </c>
      <c r="D3033" s="51">
        <v>66.0</v>
      </c>
      <c r="E3033" s="52" t="s">
        <v>25</v>
      </c>
      <c r="F3033" s="52" t="s">
        <v>26</v>
      </c>
      <c r="G3033" s="53"/>
    </row>
    <row r="3034">
      <c r="A3034" s="49">
        <v>44726.41277270833</v>
      </c>
      <c r="B3034" s="50">
        <v>44726.5377450925</v>
      </c>
      <c r="C3034" s="51">
        <v>1.006</v>
      </c>
      <c r="D3034" s="51">
        <v>66.0</v>
      </c>
      <c r="E3034" s="52" t="s">
        <v>25</v>
      </c>
      <c r="F3034" s="52" t="s">
        <v>26</v>
      </c>
      <c r="G3034" s="53"/>
    </row>
    <row r="3035">
      <c r="A3035" s="49">
        <v>44726.42320665509</v>
      </c>
      <c r="B3035" s="50">
        <v>44726.5481676388</v>
      </c>
      <c r="C3035" s="51">
        <v>1.007</v>
      </c>
      <c r="D3035" s="51">
        <v>66.0</v>
      </c>
      <c r="E3035" s="52" t="s">
        <v>25</v>
      </c>
      <c r="F3035" s="52" t="s">
        <v>26</v>
      </c>
      <c r="G3035" s="53"/>
    </row>
    <row r="3036">
      <c r="A3036" s="49">
        <v>44726.43361974537</v>
      </c>
      <c r="B3036" s="50">
        <v>44726.5585895949</v>
      </c>
      <c r="C3036" s="51">
        <v>1.006</v>
      </c>
      <c r="D3036" s="51">
        <v>66.0</v>
      </c>
      <c r="E3036" s="52" t="s">
        <v>25</v>
      </c>
      <c r="F3036" s="52" t="s">
        <v>26</v>
      </c>
      <c r="G3036" s="53"/>
    </row>
    <row r="3037">
      <c r="A3037" s="49">
        <v>44726.4440434375</v>
      </c>
      <c r="B3037" s="50">
        <v>44726.5690112731</v>
      </c>
      <c r="C3037" s="51">
        <v>1.006</v>
      </c>
      <c r="D3037" s="51">
        <v>66.0</v>
      </c>
      <c r="E3037" s="52" t="s">
        <v>25</v>
      </c>
      <c r="F3037" s="52" t="s">
        <v>26</v>
      </c>
      <c r="G3037" s="53"/>
    </row>
    <row r="3038">
      <c r="A3038" s="49">
        <v>44726.454459050925</v>
      </c>
      <c r="B3038" s="50">
        <v>44726.5794306481</v>
      </c>
      <c r="C3038" s="51">
        <v>1.006</v>
      </c>
      <c r="D3038" s="51">
        <v>66.0</v>
      </c>
      <c r="E3038" s="52" t="s">
        <v>25</v>
      </c>
      <c r="F3038" s="52" t="s">
        <v>26</v>
      </c>
      <c r="G3038" s="53"/>
    </row>
    <row r="3039">
      <c r="A3039" s="49">
        <v>44726.46487282407</v>
      </c>
      <c r="B3039" s="50">
        <v>44726.5898512615</v>
      </c>
      <c r="C3039" s="51">
        <v>1.006</v>
      </c>
      <c r="D3039" s="51">
        <v>66.0</v>
      </c>
      <c r="E3039" s="52" t="s">
        <v>25</v>
      </c>
      <c r="F3039" s="52" t="s">
        <v>26</v>
      </c>
      <c r="G3039" s="53"/>
    </row>
    <row r="3040">
      <c r="A3040" s="49">
        <v>44726.47529902778</v>
      </c>
      <c r="B3040" s="50">
        <v>44726.6002718402</v>
      </c>
      <c r="C3040" s="51">
        <v>1.006</v>
      </c>
      <c r="D3040" s="51">
        <v>66.0</v>
      </c>
      <c r="E3040" s="52" t="s">
        <v>25</v>
      </c>
      <c r="F3040" s="52" t="s">
        <v>26</v>
      </c>
      <c r="G3040" s="53"/>
    </row>
    <row r="3041">
      <c r="A3041" s="49">
        <v>44726.4857221412</v>
      </c>
      <c r="B3041" s="50">
        <v>44726.6106930092</v>
      </c>
      <c r="C3041" s="51">
        <v>1.006</v>
      </c>
      <c r="D3041" s="51">
        <v>66.0</v>
      </c>
      <c r="E3041" s="52" t="s">
        <v>25</v>
      </c>
      <c r="F3041" s="52" t="s">
        <v>26</v>
      </c>
      <c r="G3041" s="53"/>
    </row>
    <row r="3042">
      <c r="A3042" s="49">
        <v>44726.496132615735</v>
      </c>
      <c r="B3042" s="50">
        <v>44726.621113287</v>
      </c>
      <c r="C3042" s="51">
        <v>1.006</v>
      </c>
      <c r="D3042" s="51">
        <v>66.0</v>
      </c>
      <c r="E3042" s="52" t="s">
        <v>25</v>
      </c>
      <c r="F3042" s="52" t="s">
        <v>26</v>
      </c>
      <c r="G3042" s="53"/>
    </row>
    <row r="3043">
      <c r="A3043" s="49">
        <v>44726.50655959491</v>
      </c>
      <c r="B3043" s="50">
        <v>44726.6315325925</v>
      </c>
      <c r="C3043" s="51">
        <v>1.007</v>
      </c>
      <c r="D3043" s="51">
        <v>66.0</v>
      </c>
      <c r="E3043" s="52" t="s">
        <v>25</v>
      </c>
      <c r="F3043" s="52" t="s">
        <v>26</v>
      </c>
      <c r="G3043" s="53"/>
    </row>
    <row r="3044">
      <c r="A3044" s="49">
        <v>44726.516977824074</v>
      </c>
      <c r="B3044" s="50">
        <v>44726.6419527083</v>
      </c>
      <c r="C3044" s="51">
        <v>1.007</v>
      </c>
      <c r="D3044" s="51">
        <v>66.0</v>
      </c>
      <c r="E3044" s="52" t="s">
        <v>25</v>
      </c>
      <c r="F3044" s="52" t="s">
        <v>26</v>
      </c>
      <c r="G3044" s="53"/>
    </row>
    <row r="3045">
      <c r="A3045" s="49">
        <v>44726.52740908565</v>
      </c>
      <c r="B3045" s="50">
        <v>44726.6523748263</v>
      </c>
      <c r="C3045" s="51">
        <v>1.007</v>
      </c>
      <c r="D3045" s="51">
        <v>66.0</v>
      </c>
      <c r="E3045" s="52" t="s">
        <v>25</v>
      </c>
      <c r="F3045" s="52" t="s">
        <v>26</v>
      </c>
      <c r="G3045" s="53"/>
    </row>
    <row r="3046">
      <c r="A3046" s="49">
        <v>44726.53782503473</v>
      </c>
      <c r="B3046" s="50">
        <v>44726.6627959375</v>
      </c>
      <c r="C3046" s="51">
        <v>1.006</v>
      </c>
      <c r="D3046" s="51">
        <v>66.0</v>
      </c>
      <c r="E3046" s="52" t="s">
        <v>25</v>
      </c>
      <c r="F3046" s="52" t="s">
        <v>26</v>
      </c>
      <c r="G3046" s="53"/>
    </row>
    <row r="3047">
      <c r="A3047" s="49">
        <v>44726.54824798611</v>
      </c>
      <c r="B3047" s="50">
        <v>44726.6732167245</v>
      </c>
      <c r="C3047" s="51">
        <v>1.007</v>
      </c>
      <c r="D3047" s="51">
        <v>66.0</v>
      </c>
      <c r="E3047" s="52" t="s">
        <v>25</v>
      </c>
      <c r="F3047" s="52" t="s">
        <v>26</v>
      </c>
      <c r="G3047" s="53"/>
    </row>
    <row r="3048">
      <c r="A3048" s="49">
        <v>44726.55866087963</v>
      </c>
      <c r="B3048" s="50">
        <v>44726.6836404282</v>
      </c>
      <c r="C3048" s="51">
        <v>1.006</v>
      </c>
      <c r="D3048" s="51">
        <v>66.0</v>
      </c>
      <c r="E3048" s="52" t="s">
        <v>25</v>
      </c>
      <c r="F3048" s="52" t="s">
        <v>26</v>
      </c>
      <c r="G3048" s="53"/>
    </row>
    <row r="3049">
      <c r="A3049" s="49">
        <v>44726.569102928246</v>
      </c>
      <c r="B3049" s="50">
        <v>44726.6940746527</v>
      </c>
      <c r="C3049" s="51">
        <v>1.006</v>
      </c>
      <c r="D3049" s="51">
        <v>66.0</v>
      </c>
      <c r="E3049" s="52" t="s">
        <v>25</v>
      </c>
      <c r="F3049" s="52" t="s">
        <v>26</v>
      </c>
      <c r="G3049" s="53"/>
    </row>
    <row r="3050">
      <c r="A3050" s="49">
        <v>44726.57954175926</v>
      </c>
      <c r="B3050" s="50">
        <v>44726.7045082638</v>
      </c>
      <c r="C3050" s="51">
        <v>1.007</v>
      </c>
      <c r="D3050" s="51">
        <v>66.0</v>
      </c>
      <c r="E3050" s="52" t="s">
        <v>25</v>
      </c>
      <c r="F3050" s="52" t="s">
        <v>26</v>
      </c>
      <c r="G3050" s="53"/>
    </row>
    <row r="3051">
      <c r="A3051" s="49">
        <v>44726.589966886575</v>
      </c>
      <c r="B3051" s="50">
        <v>44726.7149410416</v>
      </c>
      <c r="C3051" s="51">
        <v>1.006</v>
      </c>
      <c r="D3051" s="51">
        <v>66.0</v>
      </c>
      <c r="E3051" s="52" t="s">
        <v>25</v>
      </c>
      <c r="F3051" s="52" t="s">
        <v>26</v>
      </c>
      <c r="G3051" s="53"/>
    </row>
    <row r="3052">
      <c r="A3052" s="49">
        <v>44726.600387071754</v>
      </c>
      <c r="B3052" s="50">
        <v>44726.7253627083</v>
      </c>
      <c r="C3052" s="51">
        <v>1.006</v>
      </c>
      <c r="D3052" s="51">
        <v>66.0</v>
      </c>
      <c r="E3052" s="52" t="s">
        <v>25</v>
      </c>
      <c r="F3052" s="52" t="s">
        <v>26</v>
      </c>
      <c r="G3052" s="53"/>
    </row>
    <row r="3053">
      <c r="A3053" s="49">
        <v>44726.61080400463</v>
      </c>
      <c r="B3053" s="50">
        <v>44726.7357836805</v>
      </c>
      <c r="C3053" s="51">
        <v>1.007</v>
      </c>
      <c r="D3053" s="51">
        <v>66.0</v>
      </c>
      <c r="E3053" s="52" t="s">
        <v>25</v>
      </c>
      <c r="F3053" s="52" t="s">
        <v>26</v>
      </c>
      <c r="G3053" s="53"/>
    </row>
    <row r="3054">
      <c r="A3054" s="49">
        <v>44726.62123467593</v>
      </c>
      <c r="B3054" s="50">
        <v>44726.7462068171</v>
      </c>
      <c r="C3054" s="51">
        <v>1.007</v>
      </c>
      <c r="D3054" s="51">
        <v>66.0</v>
      </c>
      <c r="E3054" s="52" t="s">
        <v>25</v>
      </c>
      <c r="F3054" s="52" t="s">
        <v>26</v>
      </c>
      <c r="G3054" s="53"/>
    </row>
    <row r="3055">
      <c r="A3055" s="49">
        <v>44726.631675578705</v>
      </c>
      <c r="B3055" s="50">
        <v>44726.7566498379</v>
      </c>
      <c r="C3055" s="51">
        <v>1.006</v>
      </c>
      <c r="D3055" s="51">
        <v>66.0</v>
      </c>
      <c r="E3055" s="52" t="s">
        <v>25</v>
      </c>
      <c r="F3055" s="52" t="s">
        <v>26</v>
      </c>
      <c r="G3055" s="53"/>
    </row>
    <row r="3056">
      <c r="A3056" s="49">
        <v>44726.64211568287</v>
      </c>
      <c r="B3056" s="50">
        <v>44726.7670828935</v>
      </c>
      <c r="C3056" s="51">
        <v>1.006</v>
      </c>
      <c r="D3056" s="51">
        <v>66.0</v>
      </c>
      <c r="E3056" s="52" t="s">
        <v>25</v>
      </c>
      <c r="F3056" s="52" t="s">
        <v>26</v>
      </c>
      <c r="G3056" s="53"/>
    </row>
    <row r="3057">
      <c r="A3057" s="49">
        <v>44726.65254228009</v>
      </c>
      <c r="B3057" s="50">
        <v>44726.7775167592</v>
      </c>
      <c r="C3057" s="51">
        <v>1.006</v>
      </c>
      <c r="D3057" s="51">
        <v>66.0</v>
      </c>
      <c r="E3057" s="52" t="s">
        <v>25</v>
      </c>
      <c r="F3057" s="52" t="s">
        <v>26</v>
      </c>
      <c r="G3057" s="53"/>
    </row>
    <row r="3058">
      <c r="A3058" s="49">
        <v>44726.662969375</v>
      </c>
      <c r="B3058" s="50">
        <v>44726.7879495254</v>
      </c>
      <c r="C3058" s="51">
        <v>1.006</v>
      </c>
      <c r="D3058" s="51">
        <v>66.0</v>
      </c>
      <c r="E3058" s="52" t="s">
        <v>25</v>
      </c>
      <c r="F3058" s="52" t="s">
        <v>26</v>
      </c>
      <c r="G3058" s="53"/>
    </row>
    <row r="3059">
      <c r="A3059" s="49">
        <v>44726.67339885417</v>
      </c>
      <c r="B3059" s="50">
        <v>44726.79837125</v>
      </c>
      <c r="C3059" s="51">
        <v>1.006</v>
      </c>
      <c r="D3059" s="51">
        <v>66.0</v>
      </c>
      <c r="E3059" s="52" t="s">
        <v>25</v>
      </c>
      <c r="F3059" s="52" t="s">
        <v>26</v>
      </c>
      <c r="G3059" s="53"/>
    </row>
    <row r="3060">
      <c r="A3060" s="49">
        <v>44726.68382077546</v>
      </c>
      <c r="B3060" s="50">
        <v>44726.808792662</v>
      </c>
      <c r="C3060" s="51">
        <v>1.006</v>
      </c>
      <c r="D3060" s="51">
        <v>66.0</v>
      </c>
      <c r="E3060" s="52" t="s">
        <v>25</v>
      </c>
      <c r="F3060" s="52" t="s">
        <v>26</v>
      </c>
      <c r="G3060" s="53"/>
    </row>
    <row r="3061">
      <c r="A3061" s="49">
        <v>44726.694241053236</v>
      </c>
      <c r="B3061" s="50">
        <v>44726.8192127777</v>
      </c>
      <c r="C3061" s="51">
        <v>1.006</v>
      </c>
      <c r="D3061" s="51">
        <v>66.0</v>
      </c>
      <c r="E3061" s="52" t="s">
        <v>25</v>
      </c>
      <c r="F3061" s="52" t="s">
        <v>26</v>
      </c>
      <c r="G3061" s="53"/>
    </row>
    <row r="3062">
      <c r="A3062" s="49">
        <v>44726.70465767361</v>
      </c>
      <c r="B3062" s="50">
        <v>44726.8296342476</v>
      </c>
      <c r="C3062" s="51">
        <v>1.006</v>
      </c>
      <c r="D3062" s="51">
        <v>66.0</v>
      </c>
      <c r="E3062" s="52" t="s">
        <v>25</v>
      </c>
      <c r="F3062" s="52" t="s">
        <v>26</v>
      </c>
      <c r="G3062" s="53"/>
    </row>
    <row r="3063">
      <c r="A3063" s="49">
        <v>44726.71508545139</v>
      </c>
      <c r="B3063" s="50">
        <v>44726.8400552662</v>
      </c>
      <c r="C3063" s="51">
        <v>1.007</v>
      </c>
      <c r="D3063" s="51">
        <v>66.0</v>
      </c>
      <c r="E3063" s="52" t="s">
        <v>25</v>
      </c>
      <c r="F3063" s="52" t="s">
        <v>26</v>
      </c>
      <c r="G3063" s="53"/>
    </row>
    <row r="3064">
      <c r="A3064" s="49">
        <v>44726.72550547453</v>
      </c>
      <c r="B3064" s="50">
        <v>44726.850475787</v>
      </c>
      <c r="C3064" s="51">
        <v>1.006</v>
      </c>
      <c r="D3064" s="51">
        <v>66.0</v>
      </c>
      <c r="E3064" s="52" t="s">
        <v>25</v>
      </c>
      <c r="F3064" s="52" t="s">
        <v>26</v>
      </c>
      <c r="G3064" s="53"/>
    </row>
    <row r="3065">
      <c r="A3065" s="49">
        <v>44726.73592644676</v>
      </c>
      <c r="B3065" s="50">
        <v>44726.860896875</v>
      </c>
      <c r="C3065" s="51">
        <v>1.006</v>
      </c>
      <c r="D3065" s="51">
        <v>66.0</v>
      </c>
      <c r="E3065" s="52" t="s">
        <v>25</v>
      </c>
      <c r="F3065" s="52" t="s">
        <v>26</v>
      </c>
      <c r="G3065" s="53"/>
    </row>
    <row r="3066">
      <c r="A3066" s="49">
        <v>44726.74634747685</v>
      </c>
      <c r="B3066" s="50">
        <v>44726.8713185069</v>
      </c>
      <c r="C3066" s="51">
        <v>1.006</v>
      </c>
      <c r="D3066" s="51">
        <v>66.0</v>
      </c>
      <c r="E3066" s="52" t="s">
        <v>25</v>
      </c>
      <c r="F3066" s="52" t="s">
        <v>26</v>
      </c>
      <c r="G3066" s="53"/>
    </row>
    <row r="3067">
      <c r="A3067" s="49">
        <v>44726.75676451389</v>
      </c>
      <c r="B3067" s="50">
        <v>44726.8817395023</v>
      </c>
      <c r="C3067" s="51">
        <v>1.006</v>
      </c>
      <c r="D3067" s="51">
        <v>66.0</v>
      </c>
      <c r="E3067" s="52" t="s">
        <v>25</v>
      </c>
      <c r="F3067" s="52" t="s">
        <v>26</v>
      </c>
      <c r="G3067" s="53"/>
    </row>
    <row r="3068">
      <c r="A3068" s="49">
        <v>44726.767175092595</v>
      </c>
      <c r="B3068" s="50">
        <v>44726.8921605555</v>
      </c>
      <c r="C3068" s="51">
        <v>1.006</v>
      </c>
      <c r="D3068" s="51">
        <v>67.0</v>
      </c>
      <c r="E3068" s="52" t="s">
        <v>25</v>
      </c>
      <c r="F3068" s="52" t="s">
        <v>26</v>
      </c>
      <c r="G3068" s="53"/>
    </row>
    <row r="3069">
      <c r="A3069" s="49">
        <v>44726.777609930556</v>
      </c>
      <c r="B3069" s="50">
        <v>44726.902581875</v>
      </c>
      <c r="C3069" s="51">
        <v>1.006</v>
      </c>
      <c r="D3069" s="51">
        <v>66.0</v>
      </c>
      <c r="E3069" s="52" t="s">
        <v>25</v>
      </c>
      <c r="F3069" s="52" t="s">
        <v>26</v>
      </c>
      <c r="G3069" s="53"/>
    </row>
    <row r="3070">
      <c r="A3070" s="49">
        <v>44726.78803016203</v>
      </c>
      <c r="B3070" s="50">
        <v>44726.913003449</v>
      </c>
      <c r="C3070" s="51">
        <v>1.006</v>
      </c>
      <c r="D3070" s="51">
        <v>67.0</v>
      </c>
      <c r="E3070" s="52" t="s">
        <v>25</v>
      </c>
      <c r="F3070" s="52" t="s">
        <v>26</v>
      </c>
      <c r="G3070" s="53"/>
    </row>
    <row r="3071">
      <c r="A3071" s="49">
        <v>44726.79845123843</v>
      </c>
      <c r="B3071" s="50">
        <v>44726.9234253125</v>
      </c>
      <c r="C3071" s="51">
        <v>1.007</v>
      </c>
      <c r="D3071" s="51">
        <v>67.0</v>
      </c>
      <c r="E3071" s="52" t="s">
        <v>25</v>
      </c>
      <c r="F3071" s="52" t="s">
        <v>26</v>
      </c>
      <c r="G3071" s="53"/>
    </row>
    <row r="3072">
      <c r="A3072" s="49">
        <v>44726.80887946759</v>
      </c>
      <c r="B3072" s="50">
        <v>44726.9338464351</v>
      </c>
      <c r="C3072" s="51">
        <v>1.006</v>
      </c>
      <c r="D3072" s="51">
        <v>67.0</v>
      </c>
      <c r="E3072" s="52" t="s">
        <v>25</v>
      </c>
      <c r="F3072" s="52" t="s">
        <v>26</v>
      </c>
      <c r="G3072" s="53"/>
    </row>
    <row r="3073">
      <c r="A3073" s="49">
        <v>44726.819314189815</v>
      </c>
      <c r="B3073" s="50">
        <v>44726.944289618</v>
      </c>
      <c r="C3073" s="51">
        <v>1.006</v>
      </c>
      <c r="D3073" s="51">
        <v>67.0</v>
      </c>
      <c r="E3073" s="52" t="s">
        <v>25</v>
      </c>
      <c r="F3073" s="52" t="s">
        <v>26</v>
      </c>
      <c r="G3073" s="53"/>
    </row>
    <row r="3074">
      <c r="A3074" s="49">
        <v>44726.82972638889</v>
      </c>
      <c r="B3074" s="50">
        <v>44726.9547110069</v>
      </c>
      <c r="C3074" s="51">
        <v>1.006</v>
      </c>
      <c r="D3074" s="51">
        <v>67.0</v>
      </c>
      <c r="E3074" s="52" t="s">
        <v>25</v>
      </c>
      <c r="F3074" s="52" t="s">
        <v>26</v>
      </c>
      <c r="G3074" s="53"/>
    </row>
    <row r="3075">
      <c r="A3075" s="49">
        <v>44726.84017173611</v>
      </c>
      <c r="B3075" s="50">
        <v>44726.9651442245</v>
      </c>
      <c r="C3075" s="51">
        <v>1.006</v>
      </c>
      <c r="D3075" s="51">
        <v>67.0</v>
      </c>
      <c r="E3075" s="52" t="s">
        <v>25</v>
      </c>
      <c r="F3075" s="52" t="s">
        <v>26</v>
      </c>
      <c r="G3075" s="53"/>
    </row>
    <row r="3076">
      <c r="A3076" s="49">
        <v>44726.85059188657</v>
      </c>
      <c r="B3076" s="50">
        <v>44726.9755648842</v>
      </c>
      <c r="C3076" s="51">
        <v>1.006</v>
      </c>
      <c r="D3076" s="51">
        <v>67.0</v>
      </c>
      <c r="E3076" s="52" t="s">
        <v>25</v>
      </c>
      <c r="F3076" s="52" t="s">
        <v>26</v>
      </c>
      <c r="G3076" s="53"/>
    </row>
    <row r="3077">
      <c r="A3077" s="49">
        <v>44726.86101224537</v>
      </c>
      <c r="B3077" s="50">
        <v>44726.9859849652</v>
      </c>
      <c r="C3077" s="51">
        <v>1.007</v>
      </c>
      <c r="D3077" s="51">
        <v>67.0</v>
      </c>
      <c r="E3077" s="52" t="s">
        <v>25</v>
      </c>
      <c r="F3077" s="52" t="s">
        <v>26</v>
      </c>
      <c r="G3077" s="53"/>
    </row>
    <row r="3078">
      <c r="A3078" s="49">
        <v>44726.87143287037</v>
      </c>
      <c r="B3078" s="50">
        <v>44726.996405081</v>
      </c>
      <c r="C3078" s="51">
        <v>1.006</v>
      </c>
      <c r="D3078" s="51">
        <v>67.0</v>
      </c>
      <c r="E3078" s="52" t="s">
        <v>25</v>
      </c>
      <c r="F3078" s="52" t="s">
        <v>26</v>
      </c>
      <c r="G3078" s="53"/>
    </row>
    <row r="3079">
      <c r="A3079" s="49">
        <v>44726.881850335645</v>
      </c>
      <c r="B3079" s="50">
        <v>44727.0068236921</v>
      </c>
      <c r="C3079" s="51">
        <v>1.006</v>
      </c>
      <c r="D3079" s="51">
        <v>67.0</v>
      </c>
      <c r="E3079" s="52" t="s">
        <v>25</v>
      </c>
      <c r="F3079" s="52" t="s">
        <v>26</v>
      </c>
      <c r="G3079" s="53"/>
    </row>
    <row r="3080">
      <c r="A3080" s="49">
        <v>44726.892270462966</v>
      </c>
      <c r="B3080" s="50">
        <v>44727.0172455787</v>
      </c>
      <c r="C3080" s="51">
        <v>1.006</v>
      </c>
      <c r="D3080" s="51">
        <v>67.0</v>
      </c>
      <c r="E3080" s="52" t="s">
        <v>25</v>
      </c>
      <c r="F3080" s="52" t="s">
        <v>26</v>
      </c>
      <c r="G3080" s="53"/>
    </row>
    <row r="3081">
      <c r="A3081" s="49">
        <v>44726.90270715278</v>
      </c>
      <c r="B3081" s="50">
        <v>44727.0276776041</v>
      </c>
      <c r="C3081" s="51">
        <v>1.006</v>
      </c>
      <c r="D3081" s="51">
        <v>67.0</v>
      </c>
      <c r="E3081" s="52" t="s">
        <v>25</v>
      </c>
      <c r="F3081" s="52" t="s">
        <v>26</v>
      </c>
      <c r="G3081" s="53"/>
    </row>
    <row r="3082">
      <c r="A3082" s="49">
        <v>44726.91313103009</v>
      </c>
      <c r="B3082" s="50">
        <v>44727.0380982175</v>
      </c>
      <c r="C3082" s="51">
        <v>1.006</v>
      </c>
      <c r="D3082" s="51">
        <v>67.0</v>
      </c>
      <c r="E3082" s="52" t="s">
        <v>25</v>
      </c>
      <c r="F3082" s="52" t="s">
        <v>26</v>
      </c>
      <c r="G3082" s="53"/>
    </row>
    <row r="3083">
      <c r="A3083" s="49">
        <v>44726.92354877315</v>
      </c>
      <c r="B3083" s="50">
        <v>44727.0485178703</v>
      </c>
      <c r="C3083" s="51">
        <v>1.006</v>
      </c>
      <c r="D3083" s="51">
        <v>67.0</v>
      </c>
      <c r="E3083" s="52" t="s">
        <v>25</v>
      </c>
      <c r="F3083" s="52" t="s">
        <v>26</v>
      </c>
      <c r="G3083" s="53"/>
    </row>
    <row r="3084">
      <c r="A3084" s="49">
        <v>44726.93396571759</v>
      </c>
      <c r="B3084" s="50">
        <v>44727.0589393402</v>
      </c>
      <c r="C3084" s="51">
        <v>1.007</v>
      </c>
      <c r="D3084" s="51">
        <v>67.0</v>
      </c>
      <c r="E3084" s="52" t="s">
        <v>25</v>
      </c>
      <c r="F3084" s="52" t="s">
        <v>26</v>
      </c>
      <c r="G3084" s="53"/>
    </row>
    <row r="3085">
      <c r="A3085" s="49">
        <v>44726.944432372686</v>
      </c>
      <c r="B3085" s="50">
        <v>44727.0694062731</v>
      </c>
      <c r="C3085" s="51">
        <v>1.007</v>
      </c>
      <c r="D3085" s="51">
        <v>67.0</v>
      </c>
      <c r="E3085" s="52" t="s">
        <v>25</v>
      </c>
      <c r="F3085" s="52" t="s">
        <v>26</v>
      </c>
      <c r="G3085" s="53"/>
    </row>
    <row r="3086">
      <c r="A3086" s="49">
        <v>44726.954887789354</v>
      </c>
      <c r="B3086" s="50">
        <v>44727.0798632754</v>
      </c>
      <c r="C3086" s="51">
        <v>1.006</v>
      </c>
      <c r="D3086" s="51">
        <v>67.0</v>
      </c>
      <c r="E3086" s="52" t="s">
        <v>25</v>
      </c>
      <c r="F3086" s="52" t="s">
        <v>26</v>
      </c>
      <c r="G3086" s="53"/>
    </row>
    <row r="3087">
      <c r="A3087" s="49">
        <v>44726.965305011574</v>
      </c>
      <c r="B3087" s="50">
        <v>44727.0902837037</v>
      </c>
      <c r="C3087" s="51">
        <v>1.006</v>
      </c>
      <c r="D3087" s="51">
        <v>67.0</v>
      </c>
      <c r="E3087" s="52" t="s">
        <v>25</v>
      </c>
      <c r="F3087" s="52" t="s">
        <v>26</v>
      </c>
      <c r="G3087" s="53"/>
    </row>
    <row r="3088">
      <c r="A3088" s="49">
        <v>44726.97573628472</v>
      </c>
      <c r="B3088" s="50">
        <v>44727.100706574</v>
      </c>
      <c r="C3088" s="51">
        <v>1.007</v>
      </c>
      <c r="D3088" s="51">
        <v>67.0</v>
      </c>
      <c r="E3088" s="52" t="s">
        <v>25</v>
      </c>
      <c r="F3088" s="52" t="s">
        <v>26</v>
      </c>
      <c r="G3088" s="53"/>
    </row>
    <row r="3089">
      <c r="A3089" s="49">
        <v>44726.98630099537</v>
      </c>
      <c r="B3089" s="50">
        <v>44727.1111265972</v>
      </c>
      <c r="C3089" s="51">
        <v>1.006</v>
      </c>
      <c r="D3089" s="51">
        <v>67.0</v>
      </c>
      <c r="E3089" s="52" t="s">
        <v>25</v>
      </c>
      <c r="F3089" s="52" t="s">
        <v>26</v>
      </c>
      <c r="G3089" s="53"/>
    </row>
    <row r="3090">
      <c r="A3090" s="49">
        <v>44726.99658390046</v>
      </c>
      <c r="B3090" s="50">
        <v>44727.1215590393</v>
      </c>
      <c r="C3090" s="51">
        <v>1.006</v>
      </c>
      <c r="D3090" s="51">
        <v>67.0</v>
      </c>
      <c r="E3090" s="52" t="s">
        <v>25</v>
      </c>
      <c r="F3090" s="52" t="s">
        <v>26</v>
      </c>
      <c r="G3090" s="53"/>
    </row>
    <row r="3091">
      <c r="A3091" s="49">
        <v>44727.006993773146</v>
      </c>
      <c r="B3091" s="50">
        <v>44727.1319799652</v>
      </c>
      <c r="C3091" s="51">
        <v>1.006</v>
      </c>
      <c r="D3091" s="51">
        <v>67.0</v>
      </c>
      <c r="E3091" s="52" t="s">
        <v>25</v>
      </c>
      <c r="F3091" s="52" t="s">
        <v>26</v>
      </c>
      <c r="G3091" s="53"/>
    </row>
    <row r="3092">
      <c r="A3092" s="49">
        <v>44727.0174354051</v>
      </c>
      <c r="B3092" s="50">
        <v>44727.1424135648</v>
      </c>
      <c r="C3092" s="51">
        <v>1.006</v>
      </c>
      <c r="D3092" s="51">
        <v>67.0</v>
      </c>
      <c r="E3092" s="52" t="s">
        <v>25</v>
      </c>
      <c r="F3092" s="52" t="s">
        <v>26</v>
      </c>
      <c r="G3092" s="53"/>
    </row>
    <row r="3093">
      <c r="A3093" s="49">
        <v>44727.02787494213</v>
      </c>
      <c r="B3093" s="50">
        <v>44727.1528485648</v>
      </c>
      <c r="C3093" s="51">
        <v>1.006</v>
      </c>
      <c r="D3093" s="51">
        <v>67.0</v>
      </c>
      <c r="E3093" s="52" t="s">
        <v>25</v>
      </c>
      <c r="F3093" s="52" t="s">
        <v>26</v>
      </c>
      <c r="G3093" s="53"/>
    </row>
    <row r="3094">
      <c r="A3094" s="49">
        <v>44727.03830587963</v>
      </c>
      <c r="B3094" s="50">
        <v>44727.1632816782</v>
      </c>
      <c r="C3094" s="51">
        <v>1.006</v>
      </c>
      <c r="D3094" s="51">
        <v>67.0</v>
      </c>
      <c r="E3094" s="52" t="s">
        <v>25</v>
      </c>
      <c r="F3094" s="52" t="s">
        <v>26</v>
      </c>
      <c r="G3094" s="53"/>
    </row>
    <row r="3095">
      <c r="A3095" s="49">
        <v>44727.04874730324</v>
      </c>
      <c r="B3095" s="50">
        <v>44727.1737275925</v>
      </c>
      <c r="C3095" s="51">
        <v>1.006</v>
      </c>
      <c r="D3095" s="51">
        <v>67.0</v>
      </c>
      <c r="E3095" s="52" t="s">
        <v>25</v>
      </c>
      <c r="F3095" s="52" t="s">
        <v>26</v>
      </c>
      <c r="G3095" s="53"/>
    </row>
    <row r="3096">
      <c r="A3096" s="49">
        <v>44727.059181006945</v>
      </c>
      <c r="B3096" s="50">
        <v>44727.1841608564</v>
      </c>
      <c r="C3096" s="51">
        <v>1.006</v>
      </c>
      <c r="D3096" s="51">
        <v>67.0</v>
      </c>
      <c r="E3096" s="52" t="s">
        <v>25</v>
      </c>
      <c r="F3096" s="52" t="s">
        <v>26</v>
      </c>
      <c r="G3096" s="53"/>
    </row>
    <row r="3097">
      <c r="A3097" s="49">
        <v>44727.06962231481</v>
      </c>
      <c r="B3097" s="50">
        <v>44727.1945967245</v>
      </c>
      <c r="C3097" s="51">
        <v>1.006</v>
      </c>
      <c r="D3097" s="51">
        <v>67.0</v>
      </c>
      <c r="E3097" s="52" t="s">
        <v>25</v>
      </c>
      <c r="F3097" s="52" t="s">
        <v>26</v>
      </c>
      <c r="G3097" s="53"/>
    </row>
    <row r="3098">
      <c r="A3098" s="49">
        <v>44727.08003724537</v>
      </c>
      <c r="B3098" s="50">
        <v>44727.2050185763</v>
      </c>
      <c r="C3098" s="51">
        <v>1.006</v>
      </c>
      <c r="D3098" s="51">
        <v>67.0</v>
      </c>
      <c r="E3098" s="52" t="s">
        <v>25</v>
      </c>
      <c r="F3098" s="52" t="s">
        <v>26</v>
      </c>
      <c r="G3098" s="53"/>
    </row>
    <row r="3099">
      <c r="A3099" s="49">
        <v>44727.090459548606</v>
      </c>
      <c r="B3099" s="50">
        <v>44727.215438368</v>
      </c>
      <c r="C3099" s="51">
        <v>1.007</v>
      </c>
      <c r="D3099" s="51">
        <v>67.0</v>
      </c>
      <c r="E3099" s="52" t="s">
        <v>25</v>
      </c>
      <c r="F3099" s="52" t="s">
        <v>26</v>
      </c>
      <c r="G3099" s="53"/>
    </row>
    <row r="3100">
      <c r="A3100" s="49">
        <v>44727.10087576389</v>
      </c>
      <c r="B3100" s="50">
        <v>44727.2258594213</v>
      </c>
      <c r="C3100" s="51">
        <v>1.006</v>
      </c>
      <c r="D3100" s="51">
        <v>67.0</v>
      </c>
      <c r="E3100" s="52" t="s">
        <v>25</v>
      </c>
      <c r="F3100" s="52" t="s">
        <v>26</v>
      </c>
      <c r="G3100" s="53"/>
    </row>
    <row r="3101">
      <c r="A3101" s="49">
        <v>44727.111306238425</v>
      </c>
      <c r="B3101" s="50">
        <v>44727.2362804282</v>
      </c>
      <c r="C3101" s="51">
        <v>1.007</v>
      </c>
      <c r="D3101" s="51">
        <v>67.0</v>
      </c>
      <c r="E3101" s="52" t="s">
        <v>25</v>
      </c>
      <c r="F3101" s="52" t="s">
        <v>26</v>
      </c>
      <c r="G3101" s="53"/>
    </row>
    <row r="3102">
      <c r="A3102" s="49">
        <v>44727.12172604167</v>
      </c>
      <c r="B3102" s="50">
        <v>44727.2467015972</v>
      </c>
      <c r="C3102" s="51">
        <v>1.006</v>
      </c>
      <c r="D3102" s="51">
        <v>67.0</v>
      </c>
      <c r="E3102" s="52" t="s">
        <v>25</v>
      </c>
      <c r="F3102" s="52" t="s">
        <v>26</v>
      </c>
      <c r="G3102" s="53"/>
    </row>
    <row r="3103">
      <c r="A3103" s="49">
        <v>44727.13214637732</v>
      </c>
      <c r="B3103" s="50">
        <v>44727.2571233796</v>
      </c>
      <c r="C3103" s="51">
        <v>1.006</v>
      </c>
      <c r="D3103" s="51">
        <v>67.0</v>
      </c>
      <c r="E3103" s="52" t="s">
        <v>25</v>
      </c>
      <c r="F3103" s="52" t="s">
        <v>26</v>
      </c>
      <c r="G3103" s="53"/>
    </row>
    <row r="3104">
      <c r="A3104" s="49">
        <v>44727.14256609954</v>
      </c>
      <c r="B3104" s="50">
        <v>44727.2675446296</v>
      </c>
      <c r="C3104" s="51">
        <v>1.007</v>
      </c>
      <c r="D3104" s="51">
        <v>67.0</v>
      </c>
      <c r="E3104" s="52" t="s">
        <v>25</v>
      </c>
      <c r="F3104" s="52" t="s">
        <v>26</v>
      </c>
      <c r="G3104" s="53"/>
    </row>
    <row r="3105">
      <c r="A3105" s="49">
        <v>44727.152984456014</v>
      </c>
      <c r="B3105" s="50">
        <v>44727.2779643055</v>
      </c>
      <c r="C3105" s="51">
        <v>1.006</v>
      </c>
      <c r="D3105" s="51">
        <v>67.0</v>
      </c>
      <c r="E3105" s="52" t="s">
        <v>25</v>
      </c>
      <c r="F3105" s="52" t="s">
        <v>26</v>
      </c>
      <c r="G3105" s="53"/>
    </row>
    <row r="3106">
      <c r="A3106" s="49">
        <v>44727.16340497685</v>
      </c>
      <c r="B3106" s="50">
        <v>44727.2883858564</v>
      </c>
      <c r="C3106" s="51">
        <v>1.006</v>
      </c>
      <c r="D3106" s="51">
        <v>67.0</v>
      </c>
      <c r="E3106" s="52" t="s">
        <v>25</v>
      </c>
      <c r="F3106" s="52" t="s">
        <v>26</v>
      </c>
      <c r="G3106" s="53"/>
    </row>
    <row r="3107">
      <c r="A3107" s="49">
        <v>44727.17382689815</v>
      </c>
      <c r="B3107" s="50">
        <v>44727.2988069791</v>
      </c>
      <c r="C3107" s="51">
        <v>1.006</v>
      </c>
      <c r="D3107" s="51">
        <v>67.0</v>
      </c>
      <c r="E3107" s="52" t="s">
        <v>25</v>
      </c>
      <c r="F3107" s="52" t="s">
        <v>26</v>
      </c>
      <c r="G3107" s="53"/>
    </row>
    <row r="3108">
      <c r="A3108" s="49">
        <v>44727.18427164352</v>
      </c>
      <c r="B3108" s="50">
        <v>44727.3092510416</v>
      </c>
      <c r="C3108" s="51">
        <v>1.006</v>
      </c>
      <c r="D3108" s="51">
        <v>67.0</v>
      </c>
      <c r="E3108" s="52" t="s">
        <v>25</v>
      </c>
      <c r="F3108" s="52" t="s">
        <v>26</v>
      </c>
      <c r="G3108" s="53"/>
    </row>
    <row r="3109">
      <c r="A3109" s="49">
        <v>44727.19469171297</v>
      </c>
      <c r="B3109" s="50">
        <v>44727.3196721064</v>
      </c>
      <c r="C3109" s="51">
        <v>1.006</v>
      </c>
      <c r="D3109" s="51">
        <v>67.0</v>
      </c>
      <c r="E3109" s="52" t="s">
        <v>25</v>
      </c>
      <c r="F3109" s="52" t="s">
        <v>26</v>
      </c>
      <c r="G3109" s="53"/>
    </row>
    <row r="3110">
      <c r="A3110" s="49">
        <v>44727.20511403935</v>
      </c>
      <c r="B3110" s="50">
        <v>44727.3300916666</v>
      </c>
      <c r="C3110" s="51">
        <v>1.006</v>
      </c>
      <c r="D3110" s="51">
        <v>67.0</v>
      </c>
      <c r="E3110" s="52" t="s">
        <v>25</v>
      </c>
      <c r="F3110" s="52" t="s">
        <v>26</v>
      </c>
      <c r="G3110" s="53"/>
    </row>
    <row r="3111">
      <c r="A3111" s="49">
        <v>44727.21553208333</v>
      </c>
      <c r="B3111" s="50">
        <v>44727.3405119213</v>
      </c>
      <c r="C3111" s="51">
        <v>1.006</v>
      </c>
      <c r="D3111" s="51">
        <v>67.0</v>
      </c>
      <c r="E3111" s="52" t="s">
        <v>25</v>
      </c>
      <c r="F3111" s="52" t="s">
        <v>26</v>
      </c>
      <c r="G3111" s="53"/>
    </row>
    <row r="3112">
      <c r="A3112" s="49">
        <v>44727.22595447917</v>
      </c>
      <c r="B3112" s="50">
        <v>44727.3509323726</v>
      </c>
      <c r="C3112" s="51">
        <v>1.006</v>
      </c>
      <c r="D3112" s="51">
        <v>67.0</v>
      </c>
      <c r="E3112" s="52" t="s">
        <v>25</v>
      </c>
      <c r="F3112" s="52" t="s">
        <v>26</v>
      </c>
      <c r="G3112" s="53"/>
    </row>
    <row r="3113">
      <c r="A3113" s="49">
        <v>44727.23637846065</v>
      </c>
      <c r="B3113" s="50">
        <v>44727.361352581</v>
      </c>
      <c r="C3113" s="51">
        <v>1.006</v>
      </c>
      <c r="D3113" s="51">
        <v>67.0</v>
      </c>
      <c r="E3113" s="52" t="s">
        <v>25</v>
      </c>
      <c r="F3113" s="52" t="s">
        <v>26</v>
      </c>
      <c r="G3113" s="53"/>
    </row>
    <row r="3114">
      <c r="A3114" s="49">
        <v>44727.24679730324</v>
      </c>
      <c r="B3114" s="50">
        <v>44727.3717742708</v>
      </c>
      <c r="C3114" s="51">
        <v>1.006</v>
      </c>
      <c r="D3114" s="51">
        <v>67.0</v>
      </c>
      <c r="E3114" s="52" t="s">
        <v>25</v>
      </c>
      <c r="F3114" s="52" t="s">
        <v>26</v>
      </c>
      <c r="G3114" s="53"/>
    </row>
    <row r="3115">
      <c r="A3115" s="49">
        <v>44727.25722841435</v>
      </c>
      <c r="B3115" s="50">
        <v>44727.3822073611</v>
      </c>
      <c r="C3115" s="51">
        <v>1.006</v>
      </c>
      <c r="D3115" s="51">
        <v>67.0</v>
      </c>
      <c r="E3115" s="52" t="s">
        <v>25</v>
      </c>
      <c r="F3115" s="52" t="s">
        <v>26</v>
      </c>
      <c r="G3115" s="53"/>
    </row>
    <row r="3116">
      <c r="A3116" s="49">
        <v>44727.26766708333</v>
      </c>
      <c r="B3116" s="50">
        <v>44727.3926410763</v>
      </c>
      <c r="C3116" s="51">
        <v>1.006</v>
      </c>
      <c r="D3116" s="51">
        <v>67.0</v>
      </c>
      <c r="E3116" s="52" t="s">
        <v>25</v>
      </c>
      <c r="F3116" s="52" t="s">
        <v>26</v>
      </c>
      <c r="G3116" s="53"/>
    </row>
    <row r="3117">
      <c r="A3117" s="49">
        <v>44727.2780866088</v>
      </c>
      <c r="B3117" s="50">
        <v>44727.4030610416</v>
      </c>
      <c r="C3117" s="51">
        <v>1.006</v>
      </c>
      <c r="D3117" s="51">
        <v>67.0</v>
      </c>
      <c r="E3117" s="52" t="s">
        <v>25</v>
      </c>
      <c r="F3117" s="52" t="s">
        <v>26</v>
      </c>
      <c r="G3117" s="53"/>
    </row>
    <row r="3118">
      <c r="A3118" s="49">
        <v>44727.28853103009</v>
      </c>
      <c r="B3118" s="50">
        <v>44727.4135055787</v>
      </c>
      <c r="C3118" s="51">
        <v>1.006</v>
      </c>
      <c r="D3118" s="51">
        <v>67.0</v>
      </c>
      <c r="E3118" s="52" t="s">
        <v>25</v>
      </c>
      <c r="F3118" s="52" t="s">
        <v>26</v>
      </c>
      <c r="G3118" s="53"/>
    </row>
    <row r="3119">
      <c r="A3119" s="49">
        <v>44727.2989662037</v>
      </c>
      <c r="B3119" s="50">
        <v>44727.4239384606</v>
      </c>
      <c r="C3119" s="51">
        <v>1.006</v>
      </c>
      <c r="D3119" s="51">
        <v>67.0</v>
      </c>
      <c r="E3119" s="52" t="s">
        <v>25</v>
      </c>
      <c r="F3119" s="52" t="s">
        <v>26</v>
      </c>
      <c r="G3119" s="53"/>
    </row>
    <row r="3120">
      <c r="A3120" s="49">
        <v>44727.309381643514</v>
      </c>
      <c r="B3120" s="50">
        <v>44727.4343594213</v>
      </c>
      <c r="C3120" s="51">
        <v>1.006</v>
      </c>
      <c r="D3120" s="51">
        <v>67.0</v>
      </c>
      <c r="E3120" s="52" t="s">
        <v>25</v>
      </c>
      <c r="F3120" s="52" t="s">
        <v>26</v>
      </c>
      <c r="G3120" s="53"/>
    </row>
    <row r="3121">
      <c r="A3121" s="49">
        <v>44727.31980048611</v>
      </c>
      <c r="B3121" s="50">
        <v>44727.444780949</v>
      </c>
      <c r="C3121" s="51">
        <v>1.006</v>
      </c>
      <c r="D3121" s="51">
        <v>67.0</v>
      </c>
      <c r="E3121" s="52" t="s">
        <v>25</v>
      </c>
      <c r="F3121" s="52" t="s">
        <v>26</v>
      </c>
      <c r="G3121" s="53"/>
    </row>
    <row r="3122">
      <c r="A3122" s="49">
        <v>44727.3302280787</v>
      </c>
      <c r="B3122" s="50">
        <v>44727.455202662</v>
      </c>
      <c r="C3122" s="51">
        <v>1.006</v>
      </c>
      <c r="D3122" s="51">
        <v>67.0</v>
      </c>
      <c r="E3122" s="52" t="s">
        <v>25</v>
      </c>
      <c r="F3122" s="52" t="s">
        <v>26</v>
      </c>
      <c r="G3122" s="53"/>
    </row>
    <row r="3123">
      <c r="A3123" s="49">
        <v>44727.34064775463</v>
      </c>
      <c r="B3123" s="50">
        <v>44727.4656250115</v>
      </c>
      <c r="C3123" s="51">
        <v>1.006</v>
      </c>
      <c r="D3123" s="51">
        <v>67.0</v>
      </c>
      <c r="E3123" s="52" t="s">
        <v>25</v>
      </c>
      <c r="F3123" s="52" t="s">
        <v>26</v>
      </c>
      <c r="G3123" s="53"/>
    </row>
    <row r="3124">
      <c r="A3124" s="49">
        <v>44727.35106832176</v>
      </c>
      <c r="B3124" s="50">
        <v>44727.4760464583</v>
      </c>
      <c r="C3124" s="51">
        <v>1.006</v>
      </c>
      <c r="D3124" s="51">
        <v>67.0</v>
      </c>
      <c r="E3124" s="52" t="s">
        <v>25</v>
      </c>
      <c r="F3124" s="52" t="s">
        <v>26</v>
      </c>
      <c r="G3124" s="53"/>
    </row>
    <row r="3125">
      <c r="A3125" s="49">
        <v>44727.36148446759</v>
      </c>
      <c r="B3125" s="50">
        <v>44727.4864678356</v>
      </c>
      <c r="C3125" s="51">
        <v>1.006</v>
      </c>
      <c r="D3125" s="51">
        <v>67.0</v>
      </c>
      <c r="E3125" s="52" t="s">
        <v>25</v>
      </c>
      <c r="F3125" s="52" t="s">
        <v>26</v>
      </c>
      <c r="G3125" s="53"/>
    </row>
    <row r="3126">
      <c r="A3126" s="49">
        <v>44727.371919513884</v>
      </c>
      <c r="B3126" s="50">
        <v>44727.4968898148</v>
      </c>
      <c r="C3126" s="51">
        <v>1.006</v>
      </c>
      <c r="D3126" s="51">
        <v>67.0</v>
      </c>
      <c r="E3126" s="52" t="s">
        <v>25</v>
      </c>
      <c r="F3126" s="52" t="s">
        <v>26</v>
      </c>
      <c r="G3126" s="53"/>
    </row>
    <row r="3127">
      <c r="A3127" s="49">
        <v>44727.382333368056</v>
      </c>
      <c r="B3127" s="50">
        <v>44727.5073089699</v>
      </c>
      <c r="C3127" s="51">
        <v>1.006</v>
      </c>
      <c r="D3127" s="51">
        <v>67.0</v>
      </c>
      <c r="E3127" s="52" t="s">
        <v>25</v>
      </c>
      <c r="F3127" s="52" t="s">
        <v>26</v>
      </c>
      <c r="G3127" s="53"/>
    </row>
    <row r="3128">
      <c r="A3128" s="49">
        <v>44727.392785358796</v>
      </c>
      <c r="B3128" s="50">
        <v>44727.5177667708</v>
      </c>
      <c r="C3128" s="51">
        <v>1.006</v>
      </c>
      <c r="D3128" s="51">
        <v>67.0</v>
      </c>
      <c r="E3128" s="52" t="s">
        <v>25</v>
      </c>
      <c r="F3128" s="52" t="s">
        <v>26</v>
      </c>
      <c r="G3128" s="53"/>
    </row>
    <row r="3129">
      <c r="A3129" s="49">
        <v>44727.40324450232</v>
      </c>
      <c r="B3129" s="50">
        <v>44727.5282229745</v>
      </c>
      <c r="C3129" s="51">
        <v>1.006</v>
      </c>
      <c r="D3129" s="51">
        <v>67.0</v>
      </c>
      <c r="E3129" s="52" t="s">
        <v>25</v>
      </c>
      <c r="F3129" s="52" t="s">
        <v>26</v>
      </c>
      <c r="G3129" s="53"/>
    </row>
    <row r="3130">
      <c r="A3130" s="49">
        <v>44727.413674166666</v>
      </c>
      <c r="B3130" s="50">
        <v>44727.538645243</v>
      </c>
      <c r="C3130" s="51">
        <v>1.006</v>
      </c>
      <c r="D3130" s="51">
        <v>67.0</v>
      </c>
      <c r="E3130" s="52" t="s">
        <v>25</v>
      </c>
      <c r="F3130" s="52" t="s">
        <v>26</v>
      </c>
      <c r="G3130" s="53"/>
    </row>
    <row r="3131">
      <c r="A3131" s="49">
        <v>44727.4240908912</v>
      </c>
      <c r="B3131" s="50">
        <v>44727.5490664351</v>
      </c>
      <c r="C3131" s="51">
        <v>1.006</v>
      </c>
      <c r="D3131" s="51">
        <v>67.0</v>
      </c>
      <c r="E3131" s="52" t="s">
        <v>25</v>
      </c>
      <c r="F3131" s="52" t="s">
        <v>26</v>
      </c>
      <c r="G3131" s="53"/>
    </row>
    <row r="3132">
      <c r="A3132" s="49">
        <v>44727.43452070602</v>
      </c>
      <c r="B3132" s="50">
        <v>44727.5594879976</v>
      </c>
      <c r="C3132" s="51">
        <v>1.006</v>
      </c>
      <c r="D3132" s="51">
        <v>67.0</v>
      </c>
      <c r="E3132" s="52" t="s">
        <v>25</v>
      </c>
      <c r="F3132" s="52" t="s">
        <v>26</v>
      </c>
      <c r="G3132" s="53"/>
    </row>
    <row r="3133">
      <c r="A3133" s="49">
        <v>44727.444931921294</v>
      </c>
      <c r="B3133" s="50">
        <v>44727.5699098611</v>
      </c>
      <c r="C3133" s="51">
        <v>1.006</v>
      </c>
      <c r="D3133" s="51">
        <v>67.0</v>
      </c>
      <c r="E3133" s="52" t="s">
        <v>25</v>
      </c>
      <c r="F3133" s="52" t="s">
        <v>26</v>
      </c>
      <c r="G3133" s="53"/>
    </row>
    <row r="3134">
      <c r="A3134" s="49">
        <v>44727.45535390046</v>
      </c>
      <c r="B3134" s="50">
        <v>44727.5803314814</v>
      </c>
      <c r="C3134" s="51">
        <v>1.006</v>
      </c>
      <c r="D3134" s="51">
        <v>67.0</v>
      </c>
      <c r="E3134" s="52" t="s">
        <v>25</v>
      </c>
      <c r="F3134" s="52" t="s">
        <v>26</v>
      </c>
      <c r="G3134" s="53"/>
    </row>
    <row r="3135">
      <c r="A3135" s="49">
        <v>44727.46577790509</v>
      </c>
      <c r="B3135" s="50">
        <v>44727.5907524652</v>
      </c>
      <c r="C3135" s="51">
        <v>1.006</v>
      </c>
      <c r="D3135" s="51">
        <v>67.0</v>
      </c>
      <c r="E3135" s="52" t="s">
        <v>25</v>
      </c>
      <c r="F3135" s="52" t="s">
        <v>26</v>
      </c>
      <c r="G3135" s="53"/>
    </row>
    <row r="3136">
      <c r="A3136" s="49">
        <v>44727.47619894676</v>
      </c>
      <c r="B3136" s="50">
        <v>44727.6011732986</v>
      </c>
      <c r="C3136" s="51">
        <v>1.006</v>
      </c>
      <c r="D3136" s="51">
        <v>68.0</v>
      </c>
      <c r="E3136" s="52" t="s">
        <v>25</v>
      </c>
      <c r="F3136" s="52" t="s">
        <v>26</v>
      </c>
      <c r="G3136" s="53"/>
    </row>
    <row r="3137">
      <c r="A3137" s="49">
        <v>44727.48660753472</v>
      </c>
      <c r="B3137" s="50">
        <v>44727.6115928588</v>
      </c>
      <c r="C3137" s="51">
        <v>1.006</v>
      </c>
      <c r="D3137" s="51">
        <v>67.0</v>
      </c>
      <c r="E3137" s="52" t="s">
        <v>25</v>
      </c>
      <c r="F3137" s="52" t="s">
        <v>26</v>
      </c>
      <c r="G3137" s="53"/>
    </row>
    <row r="3138">
      <c r="A3138" s="49">
        <v>44727.49703784722</v>
      </c>
      <c r="B3138" s="50">
        <v>44727.6220147222</v>
      </c>
      <c r="C3138" s="51">
        <v>1.006</v>
      </c>
      <c r="D3138" s="51">
        <v>68.0</v>
      </c>
      <c r="E3138" s="52" t="s">
        <v>25</v>
      </c>
      <c r="F3138" s="52" t="s">
        <v>26</v>
      </c>
      <c r="G3138" s="53"/>
    </row>
    <row r="3139">
      <c r="A3139" s="49">
        <v>44727.5074697338</v>
      </c>
      <c r="B3139" s="50">
        <v>44727.6324476504</v>
      </c>
      <c r="C3139" s="51">
        <v>1.006</v>
      </c>
      <c r="D3139" s="51">
        <v>68.0</v>
      </c>
      <c r="E3139" s="52" t="s">
        <v>25</v>
      </c>
      <c r="F3139" s="52" t="s">
        <v>26</v>
      </c>
      <c r="G3139" s="53"/>
    </row>
    <row r="3140">
      <c r="A3140" s="49">
        <v>44727.51788671296</v>
      </c>
      <c r="B3140" s="50">
        <v>44727.6428684027</v>
      </c>
      <c r="C3140" s="51">
        <v>1.006</v>
      </c>
      <c r="D3140" s="51">
        <v>68.0</v>
      </c>
      <c r="E3140" s="52" t="s">
        <v>25</v>
      </c>
      <c r="F3140" s="52" t="s">
        <v>26</v>
      </c>
      <c r="G3140" s="53"/>
    </row>
    <row r="3141">
      <c r="A3141" s="49">
        <v>44727.52831226852</v>
      </c>
      <c r="B3141" s="50">
        <v>44727.6532899305</v>
      </c>
      <c r="C3141" s="51">
        <v>1.006</v>
      </c>
      <c r="D3141" s="51">
        <v>68.0</v>
      </c>
      <c r="E3141" s="52" t="s">
        <v>25</v>
      </c>
      <c r="F3141" s="52" t="s">
        <v>26</v>
      </c>
      <c r="G3141" s="53"/>
    </row>
    <row r="3142">
      <c r="A3142" s="49">
        <v>44727.53873260417</v>
      </c>
      <c r="B3142" s="50">
        <v>44727.6637115393</v>
      </c>
      <c r="C3142" s="51">
        <v>1.006</v>
      </c>
      <c r="D3142" s="51">
        <v>68.0</v>
      </c>
      <c r="E3142" s="52" t="s">
        <v>25</v>
      </c>
      <c r="F3142" s="52" t="s">
        <v>26</v>
      </c>
      <c r="G3142" s="53"/>
    </row>
    <row r="3143">
      <c r="A3143" s="49">
        <v>44727.559594861115</v>
      </c>
      <c r="B3143" s="50">
        <v>44727.6845681481</v>
      </c>
      <c r="C3143" s="51">
        <v>1.006</v>
      </c>
      <c r="D3143" s="51">
        <v>68.0</v>
      </c>
      <c r="E3143" s="52" t="s">
        <v>25</v>
      </c>
      <c r="F3143" s="52" t="s">
        <v>26</v>
      </c>
      <c r="G3143" s="53"/>
    </row>
    <row r="3144">
      <c r="A3144" s="49">
        <v>44727.57001403935</v>
      </c>
      <c r="B3144" s="50">
        <v>44727.6949879166</v>
      </c>
      <c r="C3144" s="51">
        <v>1.006</v>
      </c>
      <c r="D3144" s="51">
        <v>68.0</v>
      </c>
      <c r="E3144" s="52" t="s">
        <v>25</v>
      </c>
      <c r="F3144" s="52" t="s">
        <v>26</v>
      </c>
      <c r="G3144" s="53"/>
    </row>
    <row r="3145">
      <c r="A3145" s="49">
        <v>44727.58043915509</v>
      </c>
      <c r="B3145" s="50">
        <v>44727.7054079398</v>
      </c>
      <c r="C3145" s="51">
        <v>1.006</v>
      </c>
      <c r="D3145" s="51">
        <v>68.0</v>
      </c>
      <c r="E3145" s="52" t="s">
        <v>25</v>
      </c>
      <c r="F3145" s="52" t="s">
        <v>26</v>
      </c>
      <c r="G3145" s="53"/>
    </row>
    <row r="3146">
      <c r="A3146" s="49">
        <v>44727.59085476852</v>
      </c>
      <c r="B3146" s="50">
        <v>44727.7158281944</v>
      </c>
      <c r="C3146" s="51">
        <v>1.006</v>
      </c>
      <c r="D3146" s="51">
        <v>68.0</v>
      </c>
      <c r="E3146" s="52" t="s">
        <v>25</v>
      </c>
      <c r="F3146" s="52" t="s">
        <v>26</v>
      </c>
      <c r="G3146" s="53"/>
    </row>
    <row r="3147">
      <c r="A3147" s="49">
        <v>44727.601277546295</v>
      </c>
      <c r="B3147" s="50">
        <v>44727.7262500463</v>
      </c>
      <c r="C3147" s="51">
        <v>1.006</v>
      </c>
      <c r="D3147" s="51">
        <v>68.0</v>
      </c>
      <c r="E3147" s="52" t="s">
        <v>25</v>
      </c>
      <c r="F3147" s="52" t="s">
        <v>26</v>
      </c>
      <c r="G3147" s="53"/>
    </row>
    <row r="3148">
      <c r="A3148" s="49">
        <v>44727.61169438658</v>
      </c>
      <c r="B3148" s="50">
        <v>44727.736670949</v>
      </c>
      <c r="C3148" s="51">
        <v>1.006</v>
      </c>
      <c r="D3148" s="51">
        <v>68.0</v>
      </c>
      <c r="E3148" s="52" t="s">
        <v>25</v>
      </c>
      <c r="F3148" s="52" t="s">
        <v>26</v>
      </c>
      <c r="G3148" s="53"/>
    </row>
    <row r="3149">
      <c r="A3149" s="49">
        <v>44727.622120300926</v>
      </c>
      <c r="B3149" s="50">
        <v>44727.7470945138</v>
      </c>
      <c r="C3149" s="51">
        <v>1.006</v>
      </c>
      <c r="D3149" s="51">
        <v>68.0</v>
      </c>
      <c r="E3149" s="52" t="s">
        <v>25</v>
      </c>
      <c r="F3149" s="52" t="s">
        <v>26</v>
      </c>
      <c r="G3149" s="53"/>
    </row>
    <row r="3150">
      <c r="A3150" s="49">
        <v>44727.63256784722</v>
      </c>
      <c r="B3150" s="50">
        <v>44727.7575384838</v>
      </c>
      <c r="C3150" s="51">
        <v>1.006</v>
      </c>
      <c r="D3150" s="51">
        <v>68.0</v>
      </c>
      <c r="E3150" s="52" t="s">
        <v>25</v>
      </c>
      <c r="F3150" s="52" t="s">
        <v>26</v>
      </c>
      <c r="G3150" s="53"/>
    </row>
    <row r="3151">
      <c r="A3151" s="49">
        <v>44727.64298287037</v>
      </c>
      <c r="B3151" s="50">
        <v>44727.7679584027</v>
      </c>
      <c r="C3151" s="51">
        <v>1.006</v>
      </c>
      <c r="D3151" s="51">
        <v>68.0</v>
      </c>
      <c r="E3151" s="52" t="s">
        <v>25</v>
      </c>
      <c r="F3151" s="52" t="s">
        <v>26</v>
      </c>
      <c r="G3151" s="53"/>
    </row>
    <row r="3152">
      <c r="A3152" s="49">
        <v>44727.653404247685</v>
      </c>
      <c r="B3152" s="50">
        <v>44727.778378831</v>
      </c>
      <c r="C3152" s="51">
        <v>1.006</v>
      </c>
      <c r="D3152" s="51">
        <v>68.0</v>
      </c>
      <c r="E3152" s="52" t="s">
        <v>25</v>
      </c>
      <c r="F3152" s="52" t="s">
        <v>26</v>
      </c>
      <c r="G3152" s="53"/>
    </row>
    <row r="3153">
      <c r="A3153" s="49">
        <v>44727.663825219905</v>
      </c>
      <c r="B3153" s="50">
        <v>44727.7888003125</v>
      </c>
      <c r="C3153" s="51">
        <v>1.006</v>
      </c>
      <c r="D3153" s="51">
        <v>68.0</v>
      </c>
      <c r="E3153" s="52" t="s">
        <v>25</v>
      </c>
      <c r="F3153" s="52" t="s">
        <v>26</v>
      </c>
      <c r="G3153" s="53"/>
    </row>
    <row r="3154">
      <c r="A3154" s="49">
        <v>44727.674243518515</v>
      </c>
      <c r="B3154" s="50">
        <v>44727.7992215046</v>
      </c>
      <c r="C3154" s="51">
        <v>1.006</v>
      </c>
      <c r="D3154" s="51">
        <v>68.0</v>
      </c>
      <c r="E3154" s="52" t="s">
        <v>25</v>
      </c>
      <c r="F3154" s="52" t="s">
        <v>26</v>
      </c>
      <c r="G3154" s="53"/>
    </row>
    <row r="3155">
      <c r="A3155" s="49">
        <v>44727.684665277775</v>
      </c>
      <c r="B3155" s="50">
        <v>44727.8096408912</v>
      </c>
      <c r="C3155" s="51">
        <v>1.006</v>
      </c>
      <c r="D3155" s="51">
        <v>68.0</v>
      </c>
      <c r="E3155" s="52" t="s">
        <v>25</v>
      </c>
      <c r="F3155" s="52" t="s">
        <v>26</v>
      </c>
      <c r="G3155" s="53"/>
    </row>
    <row r="3156">
      <c r="A3156" s="49">
        <v>44727.69509371527</v>
      </c>
      <c r="B3156" s="50">
        <v>44727.8200751388</v>
      </c>
      <c r="C3156" s="51">
        <v>1.006</v>
      </c>
      <c r="D3156" s="51">
        <v>68.0</v>
      </c>
      <c r="E3156" s="52" t="s">
        <v>25</v>
      </c>
      <c r="F3156" s="52" t="s">
        <v>26</v>
      </c>
      <c r="G3156" s="53"/>
    </row>
    <row r="3157">
      <c r="A3157" s="49">
        <v>44727.70552408565</v>
      </c>
      <c r="B3157" s="50">
        <v>44727.8304966666</v>
      </c>
      <c r="C3157" s="51">
        <v>1.006</v>
      </c>
      <c r="D3157" s="51">
        <v>68.0</v>
      </c>
      <c r="E3157" s="52" t="s">
        <v>25</v>
      </c>
      <c r="F3157" s="52" t="s">
        <v>26</v>
      </c>
      <c r="G3157" s="53"/>
    </row>
    <row r="3158">
      <c r="A3158" s="49">
        <v>44727.715947731485</v>
      </c>
      <c r="B3158" s="50">
        <v>44727.8409174768</v>
      </c>
      <c r="C3158" s="51">
        <v>1.006</v>
      </c>
      <c r="D3158" s="51">
        <v>68.0</v>
      </c>
      <c r="E3158" s="52" t="s">
        <v>25</v>
      </c>
      <c r="F3158" s="52" t="s">
        <v>26</v>
      </c>
      <c r="G3158" s="53"/>
    </row>
    <row r="3159">
      <c r="A3159" s="49">
        <v>44727.72638582176</v>
      </c>
      <c r="B3159" s="50">
        <v>44727.8513611226</v>
      </c>
      <c r="C3159" s="51">
        <v>1.006</v>
      </c>
      <c r="D3159" s="51">
        <v>68.0</v>
      </c>
      <c r="E3159" s="52" t="s">
        <v>25</v>
      </c>
      <c r="F3159" s="52" t="s">
        <v>26</v>
      </c>
      <c r="G3159" s="53"/>
    </row>
    <row r="3160">
      <c r="A3160" s="49">
        <v>44727.736815868055</v>
      </c>
      <c r="B3160" s="50">
        <v>44727.8617935879</v>
      </c>
      <c r="C3160" s="51">
        <v>1.006</v>
      </c>
      <c r="D3160" s="51">
        <v>68.0</v>
      </c>
      <c r="E3160" s="52" t="s">
        <v>25</v>
      </c>
      <c r="F3160" s="52" t="s">
        <v>26</v>
      </c>
      <c r="G3160" s="53"/>
    </row>
    <row r="3161">
      <c r="A3161" s="49">
        <v>44727.74724336805</v>
      </c>
      <c r="B3161" s="50">
        <v>44727.8722124884</v>
      </c>
      <c r="C3161" s="51">
        <v>1.006</v>
      </c>
      <c r="D3161" s="51">
        <v>68.0</v>
      </c>
      <c r="E3161" s="52" t="s">
        <v>25</v>
      </c>
      <c r="F3161" s="52" t="s">
        <v>26</v>
      </c>
      <c r="G3161" s="53"/>
    </row>
    <row r="3162">
      <c r="A3162" s="49">
        <v>44727.75766502315</v>
      </c>
      <c r="B3162" s="50">
        <v>44727.882645405</v>
      </c>
      <c r="C3162" s="51">
        <v>1.006</v>
      </c>
      <c r="D3162" s="51">
        <v>68.0</v>
      </c>
      <c r="E3162" s="52" t="s">
        <v>25</v>
      </c>
      <c r="F3162" s="52" t="s">
        <v>26</v>
      </c>
      <c r="G3162" s="53"/>
    </row>
    <row r="3163">
      <c r="A3163" s="49">
        <v>44727.76810427083</v>
      </c>
      <c r="B3163" s="50">
        <v>44727.8930787268</v>
      </c>
      <c r="C3163" s="51">
        <v>1.006</v>
      </c>
      <c r="D3163" s="51">
        <v>68.0</v>
      </c>
      <c r="E3163" s="52" t="s">
        <v>25</v>
      </c>
      <c r="F3163" s="52" t="s">
        <v>26</v>
      </c>
      <c r="G3163" s="53"/>
    </row>
    <row r="3164">
      <c r="A3164" s="49">
        <v>44727.77852649306</v>
      </c>
      <c r="B3164" s="50">
        <v>44727.9034986689</v>
      </c>
      <c r="C3164" s="51">
        <v>1.006</v>
      </c>
      <c r="D3164" s="51">
        <v>68.0</v>
      </c>
      <c r="E3164" s="52" t="s">
        <v>25</v>
      </c>
      <c r="F3164" s="52" t="s">
        <v>26</v>
      </c>
      <c r="G3164" s="53"/>
    </row>
    <row r="3165">
      <c r="A3165" s="49">
        <v>44727.788945844906</v>
      </c>
      <c r="B3165" s="50">
        <v>44727.9139190393</v>
      </c>
      <c r="C3165" s="51">
        <v>1.006</v>
      </c>
      <c r="D3165" s="51">
        <v>68.0</v>
      </c>
      <c r="E3165" s="52" t="s">
        <v>25</v>
      </c>
      <c r="F3165" s="52" t="s">
        <v>26</v>
      </c>
      <c r="G3165" s="53"/>
    </row>
    <row r="3166">
      <c r="A3166" s="49">
        <v>44727.79937700232</v>
      </c>
      <c r="B3166" s="50">
        <v>44727.9243504051</v>
      </c>
      <c r="C3166" s="51">
        <v>1.006</v>
      </c>
      <c r="D3166" s="51">
        <v>68.0</v>
      </c>
      <c r="E3166" s="52" t="s">
        <v>25</v>
      </c>
      <c r="F3166" s="52" t="s">
        <v>26</v>
      </c>
      <c r="G3166" s="53"/>
    </row>
    <row r="3167">
      <c r="A3167" s="49">
        <v>44727.809796180554</v>
      </c>
      <c r="B3167" s="50">
        <v>44727.9347828009</v>
      </c>
      <c r="C3167" s="51">
        <v>1.006</v>
      </c>
      <c r="D3167" s="51">
        <v>68.0</v>
      </c>
      <c r="E3167" s="52" t="s">
        <v>25</v>
      </c>
      <c r="F3167" s="52" t="s">
        <v>26</v>
      </c>
      <c r="G3167" s="53"/>
    </row>
    <row r="3168">
      <c r="A3168" s="49">
        <v>44727.82024141204</v>
      </c>
      <c r="B3168" s="50">
        <v>44727.9452160185</v>
      </c>
      <c r="C3168" s="51">
        <v>1.006</v>
      </c>
      <c r="D3168" s="51">
        <v>68.0</v>
      </c>
      <c r="E3168" s="52" t="s">
        <v>25</v>
      </c>
      <c r="F3168" s="52" t="s">
        <v>26</v>
      </c>
      <c r="G3168" s="53"/>
    </row>
    <row r="3169">
      <c r="A3169" s="49">
        <v>44727.83066436343</v>
      </c>
      <c r="B3169" s="50">
        <v>44727.9556368518</v>
      </c>
      <c r="C3169" s="51">
        <v>1.006</v>
      </c>
      <c r="D3169" s="51">
        <v>68.0</v>
      </c>
      <c r="E3169" s="52" t="s">
        <v>25</v>
      </c>
      <c r="F3169" s="52" t="s">
        <v>26</v>
      </c>
      <c r="G3169" s="53"/>
    </row>
    <row r="3170">
      <c r="A3170" s="49">
        <v>44727.841083368054</v>
      </c>
      <c r="B3170" s="50">
        <v>44727.9660572685</v>
      </c>
      <c r="C3170" s="51">
        <v>1.006</v>
      </c>
      <c r="D3170" s="51">
        <v>68.0</v>
      </c>
      <c r="E3170" s="52" t="s">
        <v>25</v>
      </c>
      <c r="F3170" s="52" t="s">
        <v>26</v>
      </c>
      <c r="G3170" s="53"/>
    </row>
    <row r="3171">
      <c r="A3171" s="49">
        <v>44727.85153368056</v>
      </c>
      <c r="B3171" s="50">
        <v>44727.9765141666</v>
      </c>
      <c r="C3171" s="51">
        <v>1.006</v>
      </c>
      <c r="D3171" s="51">
        <v>68.0</v>
      </c>
      <c r="E3171" s="52" t="s">
        <v>25</v>
      </c>
      <c r="F3171" s="52" t="s">
        <v>26</v>
      </c>
      <c r="G3171" s="53"/>
    </row>
    <row r="3172">
      <c r="A3172" s="49">
        <v>44727.86197215278</v>
      </c>
      <c r="B3172" s="50">
        <v>44727.9869477893</v>
      </c>
      <c r="C3172" s="51">
        <v>1.006</v>
      </c>
      <c r="D3172" s="51">
        <v>68.0</v>
      </c>
      <c r="E3172" s="52" t="s">
        <v>25</v>
      </c>
      <c r="F3172" s="52" t="s">
        <v>26</v>
      </c>
      <c r="G3172" s="53"/>
    </row>
    <row r="3173">
      <c r="A3173" s="49">
        <v>44727.87239215278</v>
      </c>
      <c r="B3173" s="50">
        <v>44727.9973694791</v>
      </c>
      <c r="C3173" s="51">
        <v>1.006</v>
      </c>
      <c r="D3173" s="51">
        <v>68.0</v>
      </c>
      <c r="E3173" s="52" t="s">
        <v>25</v>
      </c>
      <c r="F3173" s="52" t="s">
        <v>26</v>
      </c>
      <c r="G3173" s="53"/>
    </row>
    <row r="3174">
      <c r="A3174" s="49">
        <v>44727.88281425926</v>
      </c>
      <c r="B3174" s="50">
        <v>44728.0077912615</v>
      </c>
      <c r="C3174" s="51">
        <v>1.006</v>
      </c>
      <c r="D3174" s="51">
        <v>68.0</v>
      </c>
      <c r="E3174" s="52" t="s">
        <v>25</v>
      </c>
      <c r="F3174" s="52" t="s">
        <v>26</v>
      </c>
      <c r="G3174" s="53"/>
    </row>
    <row r="3175">
      <c r="A3175" s="49">
        <v>44727.89325572917</v>
      </c>
      <c r="B3175" s="50">
        <v>44728.0182369676</v>
      </c>
      <c r="C3175" s="51">
        <v>1.006</v>
      </c>
      <c r="D3175" s="51">
        <v>68.0</v>
      </c>
      <c r="E3175" s="52" t="s">
        <v>25</v>
      </c>
      <c r="F3175" s="52" t="s">
        <v>26</v>
      </c>
      <c r="G3175" s="53"/>
    </row>
    <row r="3176">
      <c r="A3176" s="49">
        <v>44727.90368740741</v>
      </c>
      <c r="B3176" s="50">
        <v>44728.0286591319</v>
      </c>
      <c r="C3176" s="51">
        <v>1.006</v>
      </c>
      <c r="D3176" s="51">
        <v>68.0</v>
      </c>
      <c r="E3176" s="52" t="s">
        <v>25</v>
      </c>
      <c r="F3176" s="52" t="s">
        <v>26</v>
      </c>
      <c r="G3176" s="53"/>
    </row>
    <row r="3177">
      <c r="A3177" s="49">
        <v>44727.91411625</v>
      </c>
      <c r="B3177" s="50">
        <v>44728.0390930092</v>
      </c>
      <c r="C3177" s="51">
        <v>1.006</v>
      </c>
      <c r="D3177" s="51">
        <v>68.0</v>
      </c>
      <c r="E3177" s="52" t="s">
        <v>25</v>
      </c>
      <c r="F3177" s="52" t="s">
        <v>26</v>
      </c>
      <c r="G3177" s="53"/>
    </row>
    <row r="3178">
      <c r="A3178" s="49">
        <v>44727.924532627316</v>
      </c>
      <c r="B3178" s="50">
        <v>44728.0495138541</v>
      </c>
      <c r="C3178" s="51">
        <v>1.006</v>
      </c>
      <c r="D3178" s="51">
        <v>68.0</v>
      </c>
      <c r="E3178" s="52" t="s">
        <v>25</v>
      </c>
      <c r="F3178" s="52" t="s">
        <v>26</v>
      </c>
      <c r="G3178" s="53"/>
    </row>
    <row r="3179">
      <c r="A3179" s="49">
        <v>44727.93496453704</v>
      </c>
      <c r="B3179" s="50">
        <v>44728.0599331365</v>
      </c>
      <c r="C3179" s="51">
        <v>1.006</v>
      </c>
      <c r="D3179" s="51">
        <v>68.0</v>
      </c>
      <c r="E3179" s="52" t="s">
        <v>25</v>
      </c>
      <c r="F3179" s="52" t="s">
        <v>26</v>
      </c>
      <c r="G3179" s="53"/>
    </row>
    <row r="3180">
      <c r="A3180" s="49">
        <v>44727.94537865741</v>
      </c>
      <c r="B3180" s="50">
        <v>44728.0703535069</v>
      </c>
      <c r="C3180" s="51">
        <v>1.006</v>
      </c>
      <c r="D3180" s="51">
        <v>68.0</v>
      </c>
      <c r="E3180" s="52" t="s">
        <v>25</v>
      </c>
      <c r="F3180" s="52" t="s">
        <v>26</v>
      </c>
      <c r="G3180" s="53"/>
    </row>
    <row r="3181">
      <c r="A3181" s="49">
        <v>44727.95580157408</v>
      </c>
      <c r="B3181" s="50">
        <v>44728.0807755324</v>
      </c>
      <c r="C3181" s="51">
        <v>1.006</v>
      </c>
      <c r="D3181" s="51">
        <v>68.0</v>
      </c>
      <c r="E3181" s="52" t="s">
        <v>25</v>
      </c>
      <c r="F3181" s="52" t="s">
        <v>26</v>
      </c>
      <c r="G3181" s="53"/>
    </row>
    <row r="3182">
      <c r="A3182" s="49">
        <v>44727.966214050924</v>
      </c>
      <c r="B3182" s="50">
        <v>44728.0911974074</v>
      </c>
      <c r="C3182" s="51">
        <v>1.006</v>
      </c>
      <c r="D3182" s="51">
        <v>68.0</v>
      </c>
      <c r="E3182" s="52" t="s">
        <v>25</v>
      </c>
      <c r="F3182" s="52" t="s">
        <v>26</v>
      </c>
      <c r="G3182" s="53"/>
    </row>
    <row r="3183">
      <c r="A3183" s="49">
        <v>44727.976643761576</v>
      </c>
      <c r="B3183" s="50">
        <v>44728.1016186921</v>
      </c>
      <c r="C3183" s="51">
        <v>1.006</v>
      </c>
      <c r="D3183" s="51">
        <v>68.0</v>
      </c>
      <c r="E3183" s="52" t="s">
        <v>25</v>
      </c>
      <c r="F3183" s="52" t="s">
        <v>26</v>
      </c>
      <c r="G3183" s="53"/>
    </row>
    <row r="3184">
      <c r="A3184" s="49">
        <v>44727.987066030095</v>
      </c>
      <c r="B3184" s="50">
        <v>44728.1120390046</v>
      </c>
      <c r="C3184" s="51">
        <v>1.006</v>
      </c>
      <c r="D3184" s="51">
        <v>68.0</v>
      </c>
      <c r="E3184" s="52" t="s">
        <v>25</v>
      </c>
      <c r="F3184" s="52" t="s">
        <v>26</v>
      </c>
      <c r="G3184" s="53"/>
    </row>
    <row r="3185">
      <c r="A3185" s="49">
        <v>44727.99748643518</v>
      </c>
      <c r="B3185" s="50">
        <v>44728.1224606018</v>
      </c>
      <c r="C3185" s="51">
        <v>1.006</v>
      </c>
      <c r="D3185" s="51">
        <v>68.0</v>
      </c>
      <c r="E3185" s="52" t="s">
        <v>25</v>
      </c>
      <c r="F3185" s="52" t="s">
        <v>26</v>
      </c>
      <c r="G3185" s="53"/>
    </row>
    <row r="3186">
      <c r="A3186" s="49">
        <v>44728.00790027778</v>
      </c>
      <c r="B3186" s="50">
        <v>44728.1328822569</v>
      </c>
      <c r="C3186" s="51">
        <v>1.006</v>
      </c>
      <c r="D3186" s="51">
        <v>68.0</v>
      </c>
      <c r="E3186" s="52" t="s">
        <v>25</v>
      </c>
      <c r="F3186" s="52" t="s">
        <v>26</v>
      </c>
      <c r="G3186" s="53"/>
    </row>
    <row r="3187">
      <c r="A3187" s="49">
        <v>44728.01832636574</v>
      </c>
      <c r="B3187" s="50">
        <v>44728.1433025231</v>
      </c>
      <c r="C3187" s="51">
        <v>1.006</v>
      </c>
      <c r="D3187" s="51">
        <v>68.0</v>
      </c>
      <c r="E3187" s="52" t="s">
        <v>25</v>
      </c>
      <c r="F3187" s="52" t="s">
        <v>26</v>
      </c>
      <c r="G3187" s="53"/>
    </row>
    <row r="3188">
      <c r="A3188" s="49">
        <v>44728.028754259256</v>
      </c>
      <c r="B3188" s="50">
        <v>44728.1537358564</v>
      </c>
      <c r="C3188" s="51">
        <v>1.006</v>
      </c>
      <c r="D3188" s="51">
        <v>68.0</v>
      </c>
      <c r="E3188" s="52" t="s">
        <v>25</v>
      </c>
      <c r="F3188" s="52" t="s">
        <v>26</v>
      </c>
      <c r="G3188" s="53"/>
    </row>
    <row r="3189">
      <c r="A3189" s="49">
        <v>44728.039183483794</v>
      </c>
      <c r="B3189" s="50">
        <v>44728.1641560532</v>
      </c>
      <c r="C3189" s="51">
        <v>1.006</v>
      </c>
      <c r="D3189" s="51">
        <v>68.0</v>
      </c>
      <c r="E3189" s="52" t="s">
        <v>25</v>
      </c>
      <c r="F3189" s="52" t="s">
        <v>26</v>
      </c>
      <c r="G3189" s="53"/>
    </row>
    <row r="3190">
      <c r="A3190" s="49">
        <v>44728.04960733796</v>
      </c>
      <c r="B3190" s="50">
        <v>44728.1745764236</v>
      </c>
      <c r="C3190" s="51">
        <v>1.006</v>
      </c>
      <c r="D3190" s="51">
        <v>68.0</v>
      </c>
      <c r="E3190" s="52" t="s">
        <v>25</v>
      </c>
      <c r="F3190" s="52" t="s">
        <v>26</v>
      </c>
      <c r="G3190" s="53"/>
    </row>
    <row r="3191">
      <c r="A3191" s="49">
        <v>44728.060034050926</v>
      </c>
      <c r="B3191" s="50">
        <v>44728.1850097685</v>
      </c>
      <c r="C3191" s="51">
        <v>1.006</v>
      </c>
      <c r="D3191" s="51">
        <v>68.0</v>
      </c>
      <c r="E3191" s="52" t="s">
        <v>25</v>
      </c>
      <c r="F3191" s="52" t="s">
        <v>26</v>
      </c>
      <c r="G3191" s="53"/>
    </row>
    <row r="3192">
      <c r="A3192" s="49">
        <v>44728.07045135417</v>
      </c>
      <c r="B3192" s="50">
        <v>44728.1954295833</v>
      </c>
      <c r="C3192" s="51">
        <v>1.006</v>
      </c>
      <c r="D3192" s="51">
        <v>68.0</v>
      </c>
      <c r="E3192" s="52" t="s">
        <v>25</v>
      </c>
      <c r="F3192" s="52" t="s">
        <v>26</v>
      </c>
      <c r="G3192" s="53"/>
    </row>
    <row r="3193">
      <c r="A3193" s="49">
        <v>44728.08092219908</v>
      </c>
      <c r="B3193" s="50">
        <v>44728.2058969675</v>
      </c>
      <c r="C3193" s="51">
        <v>1.006</v>
      </c>
      <c r="D3193" s="51">
        <v>68.0</v>
      </c>
      <c r="E3193" s="52" t="s">
        <v>25</v>
      </c>
      <c r="F3193" s="52" t="s">
        <v>26</v>
      </c>
      <c r="G3193" s="53"/>
    </row>
    <row r="3194">
      <c r="A3194" s="49">
        <v>44728.09135445602</v>
      </c>
      <c r="B3194" s="50">
        <v>44728.2163303703</v>
      </c>
      <c r="C3194" s="51">
        <v>1.006</v>
      </c>
      <c r="D3194" s="51">
        <v>68.0</v>
      </c>
      <c r="E3194" s="52" t="s">
        <v>25</v>
      </c>
      <c r="F3194" s="52" t="s">
        <v>26</v>
      </c>
      <c r="G3194" s="53"/>
    </row>
    <row r="3195">
      <c r="A3195" s="49">
        <v>44728.101778703705</v>
      </c>
      <c r="B3195" s="50">
        <v>44728.2267507523</v>
      </c>
      <c r="C3195" s="51">
        <v>1.006</v>
      </c>
      <c r="D3195" s="51">
        <v>68.0</v>
      </c>
      <c r="E3195" s="52" t="s">
        <v>25</v>
      </c>
      <c r="F3195" s="52" t="s">
        <v>26</v>
      </c>
      <c r="G3195" s="53"/>
    </row>
    <row r="3196">
      <c r="A3196" s="49">
        <v>44728.112197800925</v>
      </c>
      <c r="B3196" s="50">
        <v>44728.2371724421</v>
      </c>
      <c r="C3196" s="51">
        <v>1.006</v>
      </c>
      <c r="D3196" s="51">
        <v>69.0</v>
      </c>
      <c r="E3196" s="52" t="s">
        <v>25</v>
      </c>
      <c r="F3196" s="52" t="s">
        <v>26</v>
      </c>
      <c r="G3196" s="53"/>
    </row>
    <row r="3197">
      <c r="A3197" s="49">
        <v>44728.12261626158</v>
      </c>
      <c r="B3197" s="50">
        <v>44728.2475939351</v>
      </c>
      <c r="C3197" s="51">
        <v>1.006</v>
      </c>
      <c r="D3197" s="51">
        <v>68.0</v>
      </c>
      <c r="E3197" s="52" t="s">
        <v>25</v>
      </c>
      <c r="F3197" s="52" t="s">
        <v>26</v>
      </c>
      <c r="G3197" s="53"/>
    </row>
    <row r="3198">
      <c r="A3198" s="49">
        <v>44728.13305391204</v>
      </c>
      <c r="B3198" s="50">
        <v>44728.2580269907</v>
      </c>
      <c r="C3198" s="51">
        <v>1.006</v>
      </c>
      <c r="D3198" s="51">
        <v>68.0</v>
      </c>
      <c r="E3198" s="52" t="s">
        <v>25</v>
      </c>
      <c r="F3198" s="52" t="s">
        <v>26</v>
      </c>
      <c r="G3198" s="53"/>
    </row>
    <row r="3199">
      <c r="A3199" s="49">
        <v>44728.14346886574</v>
      </c>
      <c r="B3199" s="50">
        <v>44728.2684480324</v>
      </c>
      <c r="C3199" s="51">
        <v>1.006</v>
      </c>
      <c r="D3199" s="51">
        <v>68.0</v>
      </c>
      <c r="E3199" s="52" t="s">
        <v>25</v>
      </c>
      <c r="F3199" s="52" t="s">
        <v>26</v>
      </c>
      <c r="G3199" s="53"/>
    </row>
    <row r="3200">
      <c r="A3200" s="49">
        <v>44728.15389614583</v>
      </c>
      <c r="B3200" s="50">
        <v>44728.2788698958</v>
      </c>
      <c r="C3200" s="51">
        <v>1.006</v>
      </c>
      <c r="D3200" s="51">
        <v>68.0</v>
      </c>
      <c r="E3200" s="52" t="s">
        <v>25</v>
      </c>
      <c r="F3200" s="52" t="s">
        <v>26</v>
      </c>
      <c r="G3200" s="53"/>
    </row>
    <row r="3201">
      <c r="A3201" s="49">
        <v>44728.16431392361</v>
      </c>
      <c r="B3201" s="50">
        <v>44728.2892918518</v>
      </c>
      <c r="C3201" s="51">
        <v>1.006</v>
      </c>
      <c r="D3201" s="51">
        <v>68.0</v>
      </c>
      <c r="E3201" s="52" t="s">
        <v>25</v>
      </c>
      <c r="F3201" s="52" t="s">
        <v>26</v>
      </c>
      <c r="G3201" s="53"/>
    </row>
    <row r="3202">
      <c r="A3202" s="49">
        <v>44728.174734942135</v>
      </c>
      <c r="B3202" s="50">
        <v>44728.2997143171</v>
      </c>
      <c r="C3202" s="51">
        <v>1.006</v>
      </c>
      <c r="D3202" s="51">
        <v>68.0</v>
      </c>
      <c r="E3202" s="52" t="s">
        <v>25</v>
      </c>
      <c r="F3202" s="52" t="s">
        <v>26</v>
      </c>
      <c r="G3202" s="53"/>
    </row>
    <row r="3203">
      <c r="A3203" s="49">
        <v>44728.18516768518</v>
      </c>
      <c r="B3203" s="50">
        <v>44728.3101484838</v>
      </c>
      <c r="C3203" s="51">
        <v>1.006</v>
      </c>
      <c r="D3203" s="51">
        <v>68.0</v>
      </c>
      <c r="E3203" s="52" t="s">
        <v>25</v>
      </c>
      <c r="F3203" s="52" t="s">
        <v>26</v>
      </c>
      <c r="G3203" s="53"/>
    </row>
    <row r="3204">
      <c r="A3204" s="49">
        <v>44728.19558714121</v>
      </c>
      <c r="B3204" s="50">
        <v>44728.3205692361</v>
      </c>
      <c r="C3204" s="51">
        <v>1.006</v>
      </c>
      <c r="D3204" s="51">
        <v>69.0</v>
      </c>
      <c r="E3204" s="52" t="s">
        <v>25</v>
      </c>
      <c r="F3204" s="52" t="s">
        <v>26</v>
      </c>
      <c r="G3204" s="53"/>
    </row>
    <row r="3205">
      <c r="A3205" s="49">
        <v>44728.206013206014</v>
      </c>
      <c r="B3205" s="50">
        <v>44728.3309908333</v>
      </c>
      <c r="C3205" s="51">
        <v>1.006</v>
      </c>
      <c r="D3205" s="51">
        <v>69.0</v>
      </c>
      <c r="E3205" s="52" t="s">
        <v>25</v>
      </c>
      <c r="F3205" s="52" t="s">
        <v>26</v>
      </c>
      <c r="G3205" s="53"/>
    </row>
    <row r="3206">
      <c r="A3206" s="49">
        <v>44728.21643972222</v>
      </c>
      <c r="B3206" s="50">
        <v>44728.3414140277</v>
      </c>
      <c r="C3206" s="51">
        <v>1.006</v>
      </c>
      <c r="D3206" s="51">
        <v>68.0</v>
      </c>
      <c r="E3206" s="52" t="s">
        <v>25</v>
      </c>
      <c r="F3206" s="52" t="s">
        <v>26</v>
      </c>
      <c r="G3206" s="53"/>
    </row>
    <row r="3207">
      <c r="A3207" s="49">
        <v>44728.22686094907</v>
      </c>
      <c r="B3207" s="50">
        <v>44728.3518349652</v>
      </c>
      <c r="C3207" s="51">
        <v>1.006</v>
      </c>
      <c r="D3207" s="51">
        <v>69.0</v>
      </c>
      <c r="E3207" s="52" t="s">
        <v>25</v>
      </c>
      <c r="F3207" s="52" t="s">
        <v>26</v>
      </c>
      <c r="G3207" s="53"/>
    </row>
    <row r="3208">
      <c r="A3208" s="49">
        <v>44728.23728087963</v>
      </c>
      <c r="B3208" s="50">
        <v>44728.3622560416</v>
      </c>
      <c r="C3208" s="51">
        <v>1.006</v>
      </c>
      <c r="D3208" s="51">
        <v>68.0</v>
      </c>
      <c r="E3208" s="52" t="s">
        <v>25</v>
      </c>
      <c r="F3208" s="52" t="s">
        <v>26</v>
      </c>
      <c r="G3208" s="53"/>
    </row>
    <row r="3209">
      <c r="A3209" s="49">
        <v>44728.247702569446</v>
      </c>
      <c r="B3209" s="50">
        <v>44728.3726774768</v>
      </c>
      <c r="C3209" s="51">
        <v>1.006</v>
      </c>
      <c r="D3209" s="51">
        <v>69.0</v>
      </c>
      <c r="E3209" s="52" t="s">
        <v>25</v>
      </c>
      <c r="F3209" s="52" t="s">
        <v>26</v>
      </c>
      <c r="G3209" s="53"/>
    </row>
    <row r="3210">
      <c r="A3210" s="49">
        <v>44728.25812803241</v>
      </c>
      <c r="B3210" s="50">
        <v>44728.3830976736</v>
      </c>
      <c r="C3210" s="51">
        <v>1.006</v>
      </c>
      <c r="D3210" s="51">
        <v>69.0</v>
      </c>
      <c r="E3210" s="52" t="s">
        <v>25</v>
      </c>
      <c r="F3210" s="52" t="s">
        <v>26</v>
      </c>
      <c r="G3210" s="53"/>
    </row>
    <row r="3211">
      <c r="A3211" s="49">
        <v>44728.26854611111</v>
      </c>
      <c r="B3211" s="50">
        <v>44728.3935185069</v>
      </c>
      <c r="C3211" s="51">
        <v>1.006</v>
      </c>
      <c r="D3211" s="51">
        <v>69.0</v>
      </c>
      <c r="E3211" s="52" t="s">
        <v>25</v>
      </c>
      <c r="F3211" s="52" t="s">
        <v>26</v>
      </c>
      <c r="G3211" s="53"/>
    </row>
    <row r="3212">
      <c r="A3212" s="49">
        <v>44728.278964745376</v>
      </c>
      <c r="B3212" s="50">
        <v>44728.4039406018</v>
      </c>
      <c r="C3212" s="51">
        <v>1.006</v>
      </c>
      <c r="D3212" s="51">
        <v>69.0</v>
      </c>
      <c r="E3212" s="52" t="s">
        <v>25</v>
      </c>
      <c r="F3212" s="52" t="s">
        <v>26</v>
      </c>
      <c r="G3212" s="53"/>
    </row>
    <row r="3213">
      <c r="A3213" s="49">
        <v>44728.28938901621</v>
      </c>
      <c r="B3213" s="50">
        <v>44728.4143617129</v>
      </c>
      <c r="C3213" s="51">
        <v>1.006</v>
      </c>
      <c r="D3213" s="51">
        <v>69.0</v>
      </c>
      <c r="E3213" s="52" t="s">
        <v>25</v>
      </c>
      <c r="F3213" s="52" t="s">
        <v>26</v>
      </c>
      <c r="G3213" s="53"/>
    </row>
    <row r="3214">
      <c r="A3214" s="49">
        <v>44728.29983300926</v>
      </c>
      <c r="B3214" s="50">
        <v>44728.4247958912</v>
      </c>
      <c r="C3214" s="51">
        <v>1.006</v>
      </c>
      <c r="D3214" s="51">
        <v>69.0</v>
      </c>
      <c r="E3214" s="52" t="s">
        <v>25</v>
      </c>
      <c r="F3214" s="52" t="s">
        <v>26</v>
      </c>
      <c r="G3214" s="53"/>
    </row>
    <row r="3215">
      <c r="A3215" s="49">
        <v>44728.310246423614</v>
      </c>
      <c r="B3215" s="50">
        <v>44728.4352167592</v>
      </c>
      <c r="C3215" s="51">
        <v>1.006</v>
      </c>
      <c r="D3215" s="51">
        <v>69.0</v>
      </c>
      <c r="E3215" s="52" t="s">
        <v>25</v>
      </c>
      <c r="F3215" s="52" t="s">
        <v>26</v>
      </c>
      <c r="G3215" s="53"/>
    </row>
    <row r="3216">
      <c r="A3216" s="49">
        <v>44728.320661481484</v>
      </c>
      <c r="B3216" s="50">
        <v>44728.4456378588</v>
      </c>
      <c r="C3216" s="51">
        <v>1.006</v>
      </c>
      <c r="D3216" s="51">
        <v>69.0</v>
      </c>
      <c r="E3216" s="52" t="s">
        <v>25</v>
      </c>
      <c r="F3216" s="52" t="s">
        <v>26</v>
      </c>
      <c r="G3216" s="53"/>
    </row>
    <row r="3217">
      <c r="A3217" s="49">
        <v>44728.331080578704</v>
      </c>
      <c r="B3217" s="50">
        <v>44728.4560580092</v>
      </c>
      <c r="C3217" s="51">
        <v>1.006</v>
      </c>
      <c r="D3217" s="51">
        <v>69.0</v>
      </c>
      <c r="E3217" s="52" t="s">
        <v>25</v>
      </c>
      <c r="F3217" s="52" t="s">
        <v>26</v>
      </c>
      <c r="G3217" s="53"/>
    </row>
    <row r="3218">
      <c r="A3218" s="49">
        <v>44728.341509652775</v>
      </c>
      <c r="B3218" s="50">
        <v>44728.466480243</v>
      </c>
      <c r="C3218" s="51">
        <v>1.006</v>
      </c>
      <c r="D3218" s="51">
        <v>69.0</v>
      </c>
      <c r="E3218" s="52" t="s">
        <v>25</v>
      </c>
      <c r="F3218" s="52" t="s">
        <v>26</v>
      </c>
      <c r="G3218" s="53"/>
    </row>
    <row r="3219">
      <c r="A3219" s="49">
        <v>44728.351928159726</v>
      </c>
      <c r="B3219" s="50">
        <v>44728.4768999421</v>
      </c>
      <c r="C3219" s="51">
        <v>1.006</v>
      </c>
      <c r="D3219" s="51">
        <v>69.0</v>
      </c>
      <c r="E3219" s="52" t="s">
        <v>25</v>
      </c>
      <c r="F3219" s="52" t="s">
        <v>26</v>
      </c>
      <c r="G3219" s="53"/>
    </row>
    <row r="3220">
      <c r="A3220" s="49">
        <v>44728.362347835646</v>
      </c>
      <c r="B3220" s="50">
        <v>44728.4873217361</v>
      </c>
      <c r="C3220" s="51">
        <v>1.006</v>
      </c>
      <c r="D3220" s="51">
        <v>69.0</v>
      </c>
      <c r="E3220" s="52" t="s">
        <v>25</v>
      </c>
      <c r="F3220" s="52" t="s">
        <v>26</v>
      </c>
      <c r="G3220" s="53"/>
    </row>
    <row r="3221">
      <c r="A3221" s="49">
        <v>44728.37277016204</v>
      </c>
      <c r="B3221" s="50">
        <v>44728.4977418981</v>
      </c>
      <c r="C3221" s="51">
        <v>1.006</v>
      </c>
      <c r="D3221" s="51">
        <v>69.0</v>
      </c>
      <c r="E3221" s="52" t="s">
        <v>25</v>
      </c>
      <c r="F3221" s="52" t="s">
        <v>26</v>
      </c>
      <c r="G3221" s="53"/>
    </row>
    <row r="3222">
      <c r="A3222" s="49">
        <v>44728.38320150463</v>
      </c>
      <c r="B3222" s="50">
        <v>44728.5081755902</v>
      </c>
      <c r="C3222" s="51">
        <v>1.006</v>
      </c>
      <c r="D3222" s="51">
        <v>69.0</v>
      </c>
      <c r="E3222" s="52" t="s">
        <v>25</v>
      </c>
      <c r="F3222" s="52" t="s">
        <v>26</v>
      </c>
      <c r="G3222" s="53"/>
    </row>
    <row r="3223">
      <c r="A3223" s="49">
        <v>44728.39361840278</v>
      </c>
      <c r="B3223" s="50">
        <v>44728.5185971875</v>
      </c>
      <c r="C3223" s="51">
        <v>1.006</v>
      </c>
      <c r="D3223" s="51">
        <v>69.0</v>
      </c>
      <c r="E3223" s="52" t="s">
        <v>25</v>
      </c>
      <c r="F3223" s="52" t="s">
        <v>26</v>
      </c>
      <c r="G3223" s="53"/>
    </row>
    <row r="3224">
      <c r="A3224" s="49">
        <v>44728.40403982639</v>
      </c>
      <c r="B3224" s="50">
        <v>44728.5290167013</v>
      </c>
      <c r="C3224" s="51">
        <v>1.006</v>
      </c>
      <c r="D3224" s="51">
        <v>69.0</v>
      </c>
      <c r="E3224" s="52" t="s">
        <v>25</v>
      </c>
      <c r="F3224" s="52" t="s">
        <v>26</v>
      </c>
      <c r="G3224" s="53"/>
    </row>
    <row r="3225">
      <c r="A3225" s="49">
        <v>44728.41446210648</v>
      </c>
      <c r="B3225" s="50">
        <v>44728.5394381134</v>
      </c>
      <c r="C3225" s="51">
        <v>1.006</v>
      </c>
      <c r="D3225" s="51">
        <v>69.0</v>
      </c>
      <c r="E3225" s="52" t="s">
        <v>25</v>
      </c>
      <c r="F3225" s="52" t="s">
        <v>26</v>
      </c>
      <c r="G3225" s="53"/>
    </row>
    <row r="3226">
      <c r="A3226" s="49">
        <v>44728.42488259259</v>
      </c>
      <c r="B3226" s="50">
        <v>44728.5498581828</v>
      </c>
      <c r="C3226" s="51">
        <v>1.006</v>
      </c>
      <c r="D3226" s="51">
        <v>69.0</v>
      </c>
      <c r="E3226" s="52" t="s">
        <v>25</v>
      </c>
      <c r="F3226" s="52" t="s">
        <v>26</v>
      </c>
      <c r="G3226" s="53"/>
    </row>
    <row r="3227">
      <c r="A3227" s="49">
        <v>44728.4353104051</v>
      </c>
      <c r="B3227" s="50">
        <v>44728.5602789236</v>
      </c>
      <c r="C3227" s="51">
        <v>1.006</v>
      </c>
      <c r="D3227" s="51">
        <v>69.0</v>
      </c>
      <c r="E3227" s="52" t="s">
        <v>25</v>
      </c>
      <c r="F3227" s="52" t="s">
        <v>26</v>
      </c>
      <c r="G3227" s="53"/>
    </row>
    <row r="3228">
      <c r="A3228" s="49">
        <v>44728.445723784724</v>
      </c>
      <c r="B3228" s="50">
        <v>44728.5707001273</v>
      </c>
      <c r="C3228" s="51">
        <v>1.006</v>
      </c>
      <c r="D3228" s="51">
        <v>69.0</v>
      </c>
      <c r="E3228" s="52" t="s">
        <v>25</v>
      </c>
      <c r="F3228" s="52" t="s">
        <v>26</v>
      </c>
      <c r="G3228" s="53"/>
    </row>
    <row r="3229">
      <c r="A3229" s="49">
        <v>44728.45614851852</v>
      </c>
      <c r="B3229" s="50">
        <v>44728.5811204976</v>
      </c>
      <c r="C3229" s="51">
        <v>1.006</v>
      </c>
      <c r="D3229" s="51">
        <v>69.0</v>
      </c>
      <c r="E3229" s="52" t="s">
        <v>25</v>
      </c>
      <c r="F3229" s="52" t="s">
        <v>26</v>
      </c>
      <c r="G3229" s="53"/>
    </row>
    <row r="3230">
      <c r="A3230" s="49">
        <v>44728.46655938658</v>
      </c>
      <c r="B3230" s="50">
        <v>44728.5915418865</v>
      </c>
      <c r="C3230" s="51">
        <v>1.006</v>
      </c>
      <c r="D3230" s="51">
        <v>69.0</v>
      </c>
      <c r="E3230" s="52" t="s">
        <v>25</v>
      </c>
      <c r="F3230" s="52" t="s">
        <v>26</v>
      </c>
      <c r="G3230" s="53"/>
    </row>
    <row r="3231">
      <c r="A3231" s="49">
        <v>44728.476990763884</v>
      </c>
      <c r="B3231" s="50">
        <v>44728.6019618402</v>
      </c>
      <c r="C3231" s="51">
        <v>1.006</v>
      </c>
      <c r="D3231" s="51">
        <v>69.0</v>
      </c>
      <c r="E3231" s="52" t="s">
        <v>25</v>
      </c>
      <c r="F3231" s="52" t="s">
        <v>26</v>
      </c>
      <c r="G3231" s="53"/>
    </row>
    <row r="3232">
      <c r="A3232" s="49">
        <v>44728.48740914352</v>
      </c>
      <c r="B3232" s="50">
        <v>44728.612382199</v>
      </c>
      <c r="C3232" s="51">
        <v>1.006</v>
      </c>
      <c r="D3232" s="51">
        <v>69.0</v>
      </c>
      <c r="E3232" s="52" t="s">
        <v>25</v>
      </c>
      <c r="F3232" s="52" t="s">
        <v>26</v>
      </c>
      <c r="G3232" s="53"/>
    </row>
    <row r="3233">
      <c r="A3233" s="49">
        <v>44728.49783039352</v>
      </c>
      <c r="B3233" s="50">
        <v>44728.6228039351</v>
      </c>
      <c r="C3233" s="51">
        <v>1.006</v>
      </c>
      <c r="D3233" s="51">
        <v>69.0</v>
      </c>
      <c r="E3233" s="52" t="s">
        <v>25</v>
      </c>
      <c r="F3233" s="52" t="s">
        <v>26</v>
      </c>
      <c r="G3233" s="53"/>
    </row>
    <row r="3234">
      <c r="A3234" s="49">
        <v>44728.50826048611</v>
      </c>
      <c r="B3234" s="50">
        <v>44728.6332348032</v>
      </c>
      <c r="C3234" s="51">
        <v>1.006</v>
      </c>
      <c r="D3234" s="51">
        <v>69.0</v>
      </c>
      <c r="E3234" s="52" t="s">
        <v>25</v>
      </c>
      <c r="F3234" s="52" t="s">
        <v>26</v>
      </c>
      <c r="G3234" s="53"/>
    </row>
    <row r="3235">
      <c r="A3235" s="49">
        <v>44728.51868976852</v>
      </c>
      <c r="B3235" s="50">
        <v>44728.6436672337</v>
      </c>
      <c r="C3235" s="51">
        <v>1.006</v>
      </c>
      <c r="D3235" s="51">
        <v>69.0</v>
      </c>
      <c r="E3235" s="52" t="s">
        <v>25</v>
      </c>
      <c r="F3235" s="52" t="s">
        <v>26</v>
      </c>
      <c r="G3235" s="53"/>
    </row>
    <row r="3236">
      <c r="A3236" s="49">
        <v>44728.52911025463</v>
      </c>
      <c r="B3236" s="50">
        <v>44728.6540881365</v>
      </c>
      <c r="C3236" s="51">
        <v>1.006</v>
      </c>
      <c r="D3236" s="51">
        <v>69.0</v>
      </c>
      <c r="E3236" s="52" t="s">
        <v>25</v>
      </c>
      <c r="F3236" s="52" t="s">
        <v>26</v>
      </c>
      <c r="G3236" s="53"/>
    </row>
    <row r="3237">
      <c r="A3237" s="49">
        <v>44728.539525706015</v>
      </c>
      <c r="B3237" s="50">
        <v>44728.6645085416</v>
      </c>
      <c r="C3237" s="51">
        <v>1.006</v>
      </c>
      <c r="D3237" s="51">
        <v>69.0</v>
      </c>
      <c r="E3237" s="52" t="s">
        <v>25</v>
      </c>
      <c r="F3237" s="52" t="s">
        <v>26</v>
      </c>
      <c r="G3237" s="53"/>
    </row>
    <row r="3238">
      <c r="A3238" s="49">
        <v>44728.549964652775</v>
      </c>
      <c r="B3238" s="50">
        <v>44728.6749297685</v>
      </c>
      <c r="C3238" s="51">
        <v>1.006</v>
      </c>
      <c r="D3238" s="51">
        <v>69.0</v>
      </c>
      <c r="E3238" s="52" t="s">
        <v>25</v>
      </c>
      <c r="F3238" s="52" t="s">
        <v>26</v>
      </c>
      <c r="G3238" s="53"/>
    </row>
    <row r="3239">
      <c r="A3239" s="49">
        <v>44728.560376747686</v>
      </c>
      <c r="B3239" s="50">
        <v>44728.6853522685</v>
      </c>
      <c r="C3239" s="51">
        <v>1.006</v>
      </c>
      <c r="D3239" s="51">
        <v>69.0</v>
      </c>
      <c r="E3239" s="52" t="s">
        <v>25</v>
      </c>
      <c r="F3239" s="52" t="s">
        <v>26</v>
      </c>
      <c r="G3239" s="53"/>
    </row>
    <row r="3240">
      <c r="A3240" s="49">
        <v>44728.57079712963</v>
      </c>
      <c r="B3240" s="50">
        <v>44728.6957727314</v>
      </c>
      <c r="C3240" s="51">
        <v>1.006</v>
      </c>
      <c r="D3240" s="51">
        <v>69.0</v>
      </c>
      <c r="E3240" s="52" t="s">
        <v>25</v>
      </c>
      <c r="F3240" s="52" t="s">
        <v>26</v>
      </c>
      <c r="G3240" s="53"/>
    </row>
    <row r="3241">
      <c r="A3241" s="49">
        <v>44728.581223217596</v>
      </c>
      <c r="B3241" s="50">
        <v>44728.7061940625</v>
      </c>
      <c r="C3241" s="51">
        <v>1.006</v>
      </c>
      <c r="D3241" s="51">
        <v>69.0</v>
      </c>
      <c r="E3241" s="52" t="s">
        <v>25</v>
      </c>
      <c r="F3241" s="52" t="s">
        <v>26</v>
      </c>
      <c r="G3241" s="53"/>
    </row>
    <row r="3242">
      <c r="A3242" s="49">
        <v>44728.591643078704</v>
      </c>
      <c r="B3242" s="50">
        <v>44728.7166141898</v>
      </c>
      <c r="C3242" s="51">
        <v>1.006</v>
      </c>
      <c r="D3242" s="51">
        <v>69.0</v>
      </c>
      <c r="E3242" s="52" t="s">
        <v>25</v>
      </c>
      <c r="F3242" s="52" t="s">
        <v>26</v>
      </c>
      <c r="G3242" s="53"/>
    </row>
    <row r="3243">
      <c r="A3243" s="49">
        <v>44728.602059212964</v>
      </c>
      <c r="B3243" s="50">
        <v>44728.7270359259</v>
      </c>
      <c r="C3243" s="51">
        <v>1.006</v>
      </c>
      <c r="D3243" s="51">
        <v>69.0</v>
      </c>
      <c r="E3243" s="52" t="s">
        <v>25</v>
      </c>
      <c r="F3243" s="52" t="s">
        <v>26</v>
      </c>
      <c r="G3243" s="53"/>
    </row>
    <row r="3244">
      <c r="A3244" s="49">
        <v>44728.612486655096</v>
      </c>
      <c r="B3244" s="50">
        <v>44728.7374688426</v>
      </c>
      <c r="C3244" s="51">
        <v>1.006</v>
      </c>
      <c r="D3244" s="51">
        <v>69.0</v>
      </c>
      <c r="E3244" s="52" t="s">
        <v>25</v>
      </c>
      <c r="F3244" s="52" t="s">
        <v>26</v>
      </c>
      <c r="G3244" s="53"/>
    </row>
    <row r="3245">
      <c r="A3245" s="49">
        <v>44728.622921689814</v>
      </c>
      <c r="B3245" s="50">
        <v>44728.7479010648</v>
      </c>
      <c r="C3245" s="51">
        <v>1.006</v>
      </c>
      <c r="D3245" s="51">
        <v>69.0</v>
      </c>
      <c r="E3245" s="52" t="s">
        <v>25</v>
      </c>
      <c r="F3245" s="52" t="s">
        <v>26</v>
      </c>
      <c r="G3245" s="53"/>
    </row>
    <row r="3246">
      <c r="A3246" s="49">
        <v>44728.63334746528</v>
      </c>
      <c r="B3246" s="50">
        <v>44728.7583228472</v>
      </c>
      <c r="C3246" s="51">
        <v>1.006</v>
      </c>
      <c r="D3246" s="51">
        <v>69.0</v>
      </c>
      <c r="E3246" s="52" t="s">
        <v>25</v>
      </c>
      <c r="F3246" s="52" t="s">
        <v>26</v>
      </c>
      <c r="G3246" s="53"/>
    </row>
    <row r="3247">
      <c r="A3247" s="49">
        <v>44728.64377013889</v>
      </c>
      <c r="B3247" s="50">
        <v>44728.768744537</v>
      </c>
      <c r="C3247" s="51">
        <v>1.006</v>
      </c>
      <c r="D3247" s="51">
        <v>69.0</v>
      </c>
      <c r="E3247" s="52" t="s">
        <v>25</v>
      </c>
      <c r="F3247" s="52" t="s">
        <v>26</v>
      </c>
      <c r="G3247" s="53"/>
    </row>
    <row r="3248">
      <c r="A3248" s="49">
        <v>44728.654200624995</v>
      </c>
      <c r="B3248" s="50">
        <v>44728.7791742939</v>
      </c>
      <c r="C3248" s="51">
        <v>1.006</v>
      </c>
      <c r="D3248" s="51">
        <v>69.0</v>
      </c>
      <c r="E3248" s="52" t="s">
        <v>25</v>
      </c>
      <c r="F3248" s="52" t="s">
        <v>26</v>
      </c>
      <c r="G3248" s="53"/>
    </row>
    <row r="3249">
      <c r="A3249" s="49">
        <v>44728.664672349536</v>
      </c>
      <c r="B3249" s="50">
        <v>44728.789641956</v>
      </c>
      <c r="C3249" s="51">
        <v>1.006</v>
      </c>
      <c r="D3249" s="51">
        <v>69.0</v>
      </c>
      <c r="E3249" s="52" t="s">
        <v>25</v>
      </c>
      <c r="F3249" s="52" t="s">
        <v>26</v>
      </c>
      <c r="G3249" s="53"/>
    </row>
    <row r="3250">
      <c r="A3250" s="49">
        <v>44728.675103553236</v>
      </c>
      <c r="B3250" s="50">
        <v>44728.8000753935</v>
      </c>
      <c r="C3250" s="51">
        <v>1.006</v>
      </c>
      <c r="D3250" s="51">
        <v>69.0</v>
      </c>
      <c r="E3250" s="52" t="s">
        <v>25</v>
      </c>
      <c r="F3250" s="52" t="s">
        <v>26</v>
      </c>
      <c r="G3250" s="53"/>
    </row>
    <row r="3251">
      <c r="A3251" s="49">
        <v>44728.68552269676</v>
      </c>
      <c r="B3251" s="50">
        <v>44728.8104961226</v>
      </c>
      <c r="C3251" s="51">
        <v>1.006</v>
      </c>
      <c r="D3251" s="51">
        <v>69.0</v>
      </c>
      <c r="E3251" s="52" t="s">
        <v>25</v>
      </c>
      <c r="F3251" s="52" t="s">
        <v>26</v>
      </c>
      <c r="G3251" s="53"/>
    </row>
    <row r="3252">
      <c r="A3252" s="49">
        <v>44728.695939502315</v>
      </c>
      <c r="B3252" s="50">
        <v>44728.8209163657</v>
      </c>
      <c r="C3252" s="51">
        <v>1.006</v>
      </c>
      <c r="D3252" s="51">
        <v>69.0</v>
      </c>
      <c r="E3252" s="52" t="s">
        <v>25</v>
      </c>
      <c r="F3252" s="52" t="s">
        <v>26</v>
      </c>
      <c r="G3252" s="53"/>
    </row>
    <row r="3253">
      <c r="A3253" s="49">
        <v>44728.70635849537</v>
      </c>
      <c r="B3253" s="50">
        <v>44728.8313372569</v>
      </c>
      <c r="C3253" s="51">
        <v>1.005</v>
      </c>
      <c r="D3253" s="51">
        <v>69.0</v>
      </c>
      <c r="E3253" s="52" t="s">
        <v>25</v>
      </c>
      <c r="F3253" s="52" t="s">
        <v>26</v>
      </c>
      <c r="G3253" s="53"/>
    </row>
    <row r="3254">
      <c r="A3254" s="49">
        <v>44728.71678484954</v>
      </c>
      <c r="B3254" s="50">
        <v>44728.8417574652</v>
      </c>
      <c r="C3254" s="51">
        <v>1.006</v>
      </c>
      <c r="D3254" s="51">
        <v>69.0</v>
      </c>
      <c r="E3254" s="52" t="s">
        <v>25</v>
      </c>
      <c r="F3254" s="52" t="s">
        <v>26</v>
      </c>
      <c r="G3254" s="53"/>
    </row>
    <row r="3255">
      <c r="A3255" s="49">
        <v>44728.727213668986</v>
      </c>
      <c r="B3255" s="50">
        <v>44728.8521891087</v>
      </c>
      <c r="C3255" s="51">
        <v>1.006</v>
      </c>
      <c r="D3255" s="51">
        <v>69.0</v>
      </c>
      <c r="E3255" s="52" t="s">
        <v>25</v>
      </c>
      <c r="F3255" s="52" t="s">
        <v>26</v>
      </c>
      <c r="G3255" s="53"/>
    </row>
    <row r="3256">
      <c r="A3256" s="49">
        <v>44728.73764424768</v>
      </c>
      <c r="B3256" s="50">
        <v>44728.8626222685</v>
      </c>
      <c r="C3256" s="51">
        <v>1.006</v>
      </c>
      <c r="D3256" s="51">
        <v>69.0</v>
      </c>
      <c r="E3256" s="52" t="s">
        <v>25</v>
      </c>
      <c r="F3256" s="52" t="s">
        <v>26</v>
      </c>
      <c r="G3256" s="53"/>
    </row>
    <row r="3257">
      <c r="A3257" s="49">
        <v>44728.748062824074</v>
      </c>
      <c r="B3257" s="50">
        <v>44728.873043831</v>
      </c>
      <c r="C3257" s="51">
        <v>1.006</v>
      </c>
      <c r="D3257" s="51">
        <v>69.0</v>
      </c>
      <c r="E3257" s="52" t="s">
        <v>25</v>
      </c>
      <c r="F3257" s="52" t="s">
        <v>26</v>
      </c>
      <c r="G3257" s="53"/>
    </row>
    <row r="3258">
      <c r="A3258" s="49">
        <v>44728.758489699074</v>
      </c>
      <c r="B3258" s="50">
        <v>44728.8834653703</v>
      </c>
      <c r="C3258" s="51">
        <v>1.006</v>
      </c>
      <c r="D3258" s="51">
        <v>69.0</v>
      </c>
      <c r="E3258" s="52" t="s">
        <v>25</v>
      </c>
      <c r="F3258" s="52" t="s">
        <v>26</v>
      </c>
      <c r="G3258" s="53"/>
    </row>
    <row r="3259">
      <c r="A3259" s="49">
        <v>44728.76890675926</v>
      </c>
      <c r="B3259" s="50">
        <v>44728.8938855439</v>
      </c>
      <c r="C3259" s="51">
        <v>1.006</v>
      </c>
      <c r="D3259" s="51">
        <v>69.0</v>
      </c>
      <c r="E3259" s="52" t="s">
        <v>25</v>
      </c>
      <c r="F3259" s="52" t="s">
        <v>26</v>
      </c>
      <c r="G3259" s="53"/>
    </row>
    <row r="3260">
      <c r="A3260" s="49">
        <v>44728.77933423611</v>
      </c>
      <c r="B3260" s="50">
        <v>44728.9043073842</v>
      </c>
      <c r="C3260" s="51">
        <v>1.006</v>
      </c>
      <c r="D3260" s="51">
        <v>69.0</v>
      </c>
      <c r="E3260" s="52" t="s">
        <v>25</v>
      </c>
      <c r="F3260" s="52" t="s">
        <v>26</v>
      </c>
      <c r="G3260" s="53"/>
    </row>
    <row r="3261">
      <c r="A3261" s="49">
        <v>44728.78976127315</v>
      </c>
      <c r="B3261" s="50">
        <v>44728.9147311574</v>
      </c>
      <c r="C3261" s="51">
        <v>1.006</v>
      </c>
      <c r="D3261" s="51">
        <v>69.0</v>
      </c>
      <c r="E3261" s="52" t="s">
        <v>25</v>
      </c>
      <c r="F3261" s="52" t="s">
        <v>26</v>
      </c>
      <c r="G3261" s="53"/>
    </row>
    <row r="3262">
      <c r="A3262" s="49">
        <v>44728.80017202546</v>
      </c>
      <c r="B3262" s="50">
        <v>44728.9251521527</v>
      </c>
      <c r="C3262" s="51">
        <v>1.006</v>
      </c>
      <c r="D3262" s="51">
        <v>69.0</v>
      </c>
      <c r="E3262" s="52" t="s">
        <v>25</v>
      </c>
      <c r="F3262" s="52" t="s">
        <v>26</v>
      </c>
      <c r="G3262" s="53"/>
    </row>
    <row r="3263">
      <c r="A3263" s="49">
        <v>44728.81061230324</v>
      </c>
      <c r="B3263" s="50">
        <v>44728.9355872222</v>
      </c>
      <c r="C3263" s="51">
        <v>1.006</v>
      </c>
      <c r="D3263" s="51">
        <v>69.0</v>
      </c>
      <c r="E3263" s="52" t="s">
        <v>25</v>
      </c>
      <c r="F3263" s="52" t="s">
        <v>26</v>
      </c>
      <c r="G3263" s="53"/>
    </row>
    <row r="3264">
      <c r="A3264" s="49">
        <v>44728.82103287037</v>
      </c>
      <c r="B3264" s="50">
        <v>44728.9460080671</v>
      </c>
      <c r="C3264" s="51">
        <v>1.006</v>
      </c>
      <c r="D3264" s="51">
        <v>69.0</v>
      </c>
      <c r="E3264" s="52" t="s">
        <v>25</v>
      </c>
      <c r="F3264" s="52" t="s">
        <v>26</v>
      </c>
      <c r="G3264" s="53"/>
    </row>
    <row r="3265">
      <c r="A3265" s="49">
        <v>44728.83145344908</v>
      </c>
      <c r="B3265" s="50">
        <v>44728.9564303588</v>
      </c>
      <c r="C3265" s="51">
        <v>1.006</v>
      </c>
      <c r="D3265" s="51">
        <v>69.0</v>
      </c>
      <c r="E3265" s="52" t="s">
        <v>25</v>
      </c>
      <c r="F3265" s="52" t="s">
        <v>26</v>
      </c>
      <c r="G3265" s="53"/>
    </row>
    <row r="3266">
      <c r="A3266" s="49">
        <v>44728.84186738426</v>
      </c>
      <c r="B3266" s="50">
        <v>44728.9668513194</v>
      </c>
      <c r="C3266" s="51">
        <v>1.006</v>
      </c>
      <c r="D3266" s="51">
        <v>69.0</v>
      </c>
      <c r="E3266" s="52" t="s">
        <v>25</v>
      </c>
      <c r="F3266" s="52" t="s">
        <v>26</v>
      </c>
      <c r="G3266" s="53"/>
    </row>
    <row r="3267">
      <c r="A3267" s="49">
        <v>44728.85231111111</v>
      </c>
      <c r="B3267" s="50">
        <v>44728.9772849768</v>
      </c>
      <c r="C3267" s="51">
        <v>1.006</v>
      </c>
      <c r="D3267" s="51">
        <v>69.0</v>
      </c>
      <c r="E3267" s="52" t="s">
        <v>25</v>
      </c>
      <c r="F3267" s="52" t="s">
        <v>26</v>
      </c>
      <c r="G3267" s="53"/>
    </row>
    <row r="3268">
      <c r="A3268" s="49">
        <v>44728.862734027774</v>
      </c>
      <c r="B3268" s="50">
        <v>44728.9877063425</v>
      </c>
      <c r="C3268" s="51">
        <v>1.006</v>
      </c>
      <c r="D3268" s="51">
        <v>69.0</v>
      </c>
      <c r="E3268" s="52" t="s">
        <v>25</v>
      </c>
      <c r="F3268" s="52" t="s">
        <v>26</v>
      </c>
      <c r="G3268" s="53"/>
    </row>
    <row r="3269">
      <c r="A3269" s="49">
        <v>44728.87316695602</v>
      </c>
      <c r="B3269" s="50">
        <v>44728.9981272916</v>
      </c>
      <c r="C3269" s="51">
        <v>1.006</v>
      </c>
      <c r="D3269" s="51">
        <v>69.0</v>
      </c>
      <c r="E3269" s="52" t="s">
        <v>25</v>
      </c>
      <c r="F3269" s="52" t="s">
        <v>26</v>
      </c>
      <c r="G3269" s="53"/>
    </row>
    <row r="3270">
      <c r="A3270" s="49">
        <v>44728.88360011574</v>
      </c>
      <c r="B3270" s="50">
        <v>44729.008570868</v>
      </c>
      <c r="C3270" s="51">
        <v>1.006</v>
      </c>
      <c r="D3270" s="51">
        <v>69.0</v>
      </c>
      <c r="E3270" s="52" t="s">
        <v>25</v>
      </c>
      <c r="F3270" s="52" t="s">
        <v>26</v>
      </c>
      <c r="G3270" s="53"/>
    </row>
    <row r="3271">
      <c r="A3271" s="49">
        <v>44728.89401719907</v>
      </c>
      <c r="B3271" s="50">
        <v>44729.0189921296</v>
      </c>
      <c r="C3271" s="51">
        <v>1.006</v>
      </c>
      <c r="D3271" s="51">
        <v>69.0</v>
      </c>
      <c r="E3271" s="52" t="s">
        <v>25</v>
      </c>
      <c r="F3271" s="52" t="s">
        <v>26</v>
      </c>
      <c r="G3271" s="53"/>
    </row>
    <row r="3272">
      <c r="A3272" s="49">
        <v>44728.9044440625</v>
      </c>
      <c r="B3272" s="50">
        <v>44729.0294255092</v>
      </c>
      <c r="C3272" s="51">
        <v>1.006</v>
      </c>
      <c r="D3272" s="51">
        <v>69.0</v>
      </c>
      <c r="E3272" s="52" t="s">
        <v>25</v>
      </c>
      <c r="F3272" s="52" t="s">
        <v>26</v>
      </c>
      <c r="G3272" s="53"/>
    </row>
    <row r="3273">
      <c r="A3273" s="49">
        <v>44728.914879386575</v>
      </c>
      <c r="B3273" s="50">
        <v>44729.03984728</v>
      </c>
      <c r="C3273" s="51">
        <v>1.006</v>
      </c>
      <c r="D3273" s="51">
        <v>69.0</v>
      </c>
      <c r="E3273" s="52" t="s">
        <v>25</v>
      </c>
      <c r="F3273" s="52" t="s">
        <v>26</v>
      </c>
      <c r="G3273" s="53"/>
    </row>
    <row r="3274">
      <c r="A3274" s="49">
        <v>44728.92529287037</v>
      </c>
      <c r="B3274" s="50">
        <v>44729.0502671759</v>
      </c>
      <c r="C3274" s="51">
        <v>1.006</v>
      </c>
      <c r="D3274" s="51">
        <v>69.0</v>
      </c>
      <c r="E3274" s="52" t="s">
        <v>25</v>
      </c>
      <c r="F3274" s="52" t="s">
        <v>26</v>
      </c>
      <c r="G3274" s="53"/>
    </row>
    <row r="3275">
      <c r="A3275" s="49">
        <v>44728.935714837964</v>
      </c>
      <c r="B3275" s="50">
        <v>44729.0606895254</v>
      </c>
      <c r="C3275" s="51">
        <v>1.006</v>
      </c>
      <c r="D3275" s="51">
        <v>69.0</v>
      </c>
      <c r="E3275" s="52" t="s">
        <v>25</v>
      </c>
      <c r="F3275" s="52" t="s">
        <v>26</v>
      </c>
      <c r="G3275" s="53"/>
    </row>
    <row r="3276">
      <c r="A3276" s="49">
        <v>44728.94612916667</v>
      </c>
      <c r="B3276" s="50">
        <v>44729.0711116319</v>
      </c>
      <c r="C3276" s="51">
        <v>1.006</v>
      </c>
      <c r="D3276" s="51">
        <v>69.0</v>
      </c>
      <c r="E3276" s="52" t="s">
        <v>25</v>
      </c>
      <c r="F3276" s="52" t="s">
        <v>26</v>
      </c>
      <c r="G3276" s="53"/>
    </row>
    <row r="3277">
      <c r="A3277" s="49">
        <v>44728.95655863426</v>
      </c>
      <c r="B3277" s="50">
        <v>44729.0815318402</v>
      </c>
      <c r="C3277" s="51">
        <v>1.006</v>
      </c>
      <c r="D3277" s="51">
        <v>69.0</v>
      </c>
      <c r="E3277" s="52" t="s">
        <v>25</v>
      </c>
      <c r="F3277" s="52" t="s">
        <v>26</v>
      </c>
      <c r="G3277" s="53"/>
    </row>
    <row r="3278">
      <c r="A3278" s="49">
        <v>44728.966978819444</v>
      </c>
      <c r="B3278" s="50">
        <v>44729.0919522106</v>
      </c>
      <c r="C3278" s="51">
        <v>1.006</v>
      </c>
      <c r="D3278" s="51">
        <v>69.0</v>
      </c>
      <c r="E3278" s="52" t="s">
        <v>25</v>
      </c>
      <c r="F3278" s="52" t="s">
        <v>26</v>
      </c>
      <c r="G3278" s="53"/>
    </row>
    <row r="3279">
      <c r="A3279" s="49">
        <v>44728.97740372685</v>
      </c>
      <c r="B3279" s="50">
        <v>44729.1023717939</v>
      </c>
      <c r="C3279" s="51">
        <v>1.006</v>
      </c>
      <c r="D3279" s="51">
        <v>69.0</v>
      </c>
      <c r="E3279" s="52" t="s">
        <v>25</v>
      </c>
      <c r="F3279" s="52" t="s">
        <v>26</v>
      </c>
      <c r="G3279" s="53"/>
    </row>
    <row r="3280">
      <c r="A3280" s="49">
        <v>44728.98784357639</v>
      </c>
      <c r="B3280" s="50">
        <v>44729.1128144328</v>
      </c>
      <c r="C3280" s="51">
        <v>1.006</v>
      </c>
      <c r="D3280" s="51">
        <v>69.0</v>
      </c>
      <c r="E3280" s="52" t="s">
        <v>25</v>
      </c>
      <c r="F3280" s="52" t="s">
        <v>26</v>
      </c>
      <c r="G3280" s="53"/>
    </row>
    <row r="3281">
      <c r="A3281" s="49">
        <v>44728.99826206018</v>
      </c>
      <c r="B3281" s="50">
        <v>44729.1232368171</v>
      </c>
      <c r="C3281" s="51">
        <v>1.006</v>
      </c>
      <c r="D3281" s="51">
        <v>69.0</v>
      </c>
      <c r="E3281" s="52" t="s">
        <v>25</v>
      </c>
      <c r="F3281" s="52" t="s">
        <v>26</v>
      </c>
      <c r="G3281" s="53"/>
    </row>
    <row r="3282">
      <c r="A3282" s="49">
        <v>44729.00868518518</v>
      </c>
      <c r="B3282" s="50">
        <v>44729.1336571759</v>
      </c>
      <c r="C3282" s="51">
        <v>1.006</v>
      </c>
      <c r="D3282" s="51">
        <v>69.0</v>
      </c>
      <c r="E3282" s="52" t="s">
        <v>25</v>
      </c>
      <c r="F3282" s="52" t="s">
        <v>26</v>
      </c>
      <c r="G3282" s="53"/>
    </row>
    <row r="3283">
      <c r="A3283" s="49">
        <v>44729.01911765046</v>
      </c>
      <c r="B3283" s="50">
        <v>44729.1440915046</v>
      </c>
      <c r="C3283" s="51">
        <v>1.006</v>
      </c>
      <c r="D3283" s="51">
        <v>69.0</v>
      </c>
      <c r="E3283" s="52" t="s">
        <v>25</v>
      </c>
      <c r="F3283" s="52" t="s">
        <v>26</v>
      </c>
      <c r="G3283" s="53"/>
    </row>
    <row r="3284">
      <c r="A3284" s="49">
        <v>44729.02953206019</v>
      </c>
      <c r="B3284" s="50">
        <v>44729.1545125115</v>
      </c>
      <c r="C3284" s="51">
        <v>1.005</v>
      </c>
      <c r="D3284" s="51">
        <v>69.0</v>
      </c>
      <c r="E3284" s="52" t="s">
        <v>25</v>
      </c>
      <c r="F3284" s="52" t="s">
        <v>26</v>
      </c>
      <c r="G3284" s="53"/>
    </row>
    <row r="3285">
      <c r="A3285" s="49">
        <v>44729.039952430554</v>
      </c>
      <c r="B3285" s="50">
        <v>44729.1649331828</v>
      </c>
      <c r="C3285" s="51">
        <v>1.006</v>
      </c>
      <c r="D3285" s="51">
        <v>69.0</v>
      </c>
      <c r="E3285" s="52" t="s">
        <v>25</v>
      </c>
      <c r="F3285" s="52" t="s">
        <v>26</v>
      </c>
      <c r="G3285" s="53"/>
    </row>
    <row r="3286">
      <c r="A3286" s="49">
        <v>44729.050370324076</v>
      </c>
      <c r="B3286" s="50">
        <v>44729.1753537384</v>
      </c>
      <c r="C3286" s="51">
        <v>1.006</v>
      </c>
      <c r="D3286" s="51">
        <v>69.0</v>
      </c>
      <c r="E3286" s="52" t="s">
        <v>25</v>
      </c>
      <c r="F3286" s="52" t="s">
        <v>26</v>
      </c>
      <c r="G3286" s="53"/>
    </row>
    <row r="3287">
      <c r="A3287" s="49">
        <v>44729.06079420139</v>
      </c>
      <c r="B3287" s="50">
        <v>44729.1857744675</v>
      </c>
      <c r="C3287" s="51">
        <v>1.006</v>
      </c>
      <c r="D3287" s="51">
        <v>69.0</v>
      </c>
      <c r="E3287" s="52" t="s">
        <v>25</v>
      </c>
      <c r="F3287" s="52" t="s">
        <v>26</v>
      </c>
      <c r="G3287" s="53"/>
    </row>
    <row r="3288">
      <c r="A3288" s="49">
        <v>44729.07123015047</v>
      </c>
      <c r="B3288" s="50">
        <v>44729.1961934838</v>
      </c>
      <c r="C3288" s="51">
        <v>1.006</v>
      </c>
      <c r="D3288" s="51">
        <v>69.0</v>
      </c>
      <c r="E3288" s="52" t="s">
        <v>25</v>
      </c>
      <c r="F3288" s="52" t="s">
        <v>26</v>
      </c>
      <c r="G3288" s="53"/>
    </row>
    <row r="3289">
      <c r="A3289" s="49">
        <v>44729.081634918984</v>
      </c>
      <c r="B3289" s="50">
        <v>44729.2066151967</v>
      </c>
      <c r="C3289" s="51">
        <v>1.006</v>
      </c>
      <c r="D3289" s="51">
        <v>69.0</v>
      </c>
      <c r="E3289" s="52" t="s">
        <v>25</v>
      </c>
      <c r="F3289" s="52" t="s">
        <v>26</v>
      </c>
      <c r="G3289" s="53"/>
    </row>
    <row r="3290">
      <c r="A3290" s="49">
        <v>44729.092078518515</v>
      </c>
      <c r="B3290" s="50">
        <v>44729.2170490856</v>
      </c>
      <c r="C3290" s="51">
        <v>1.006</v>
      </c>
      <c r="D3290" s="51">
        <v>69.0</v>
      </c>
      <c r="E3290" s="52" t="s">
        <v>25</v>
      </c>
      <c r="F3290" s="52" t="s">
        <v>26</v>
      </c>
      <c r="G3290" s="53"/>
    </row>
    <row r="3291">
      <c r="A3291" s="49">
        <v>44729.10249986111</v>
      </c>
      <c r="B3291" s="50">
        <v>44729.2274714699</v>
      </c>
      <c r="C3291" s="51">
        <v>1.006</v>
      </c>
      <c r="D3291" s="51">
        <v>69.0</v>
      </c>
      <c r="E3291" s="52" t="s">
        <v>25</v>
      </c>
      <c r="F3291" s="52" t="s">
        <v>26</v>
      </c>
      <c r="G3291" s="53"/>
    </row>
    <row r="3292">
      <c r="A3292" s="49">
        <v>44729.11292883102</v>
      </c>
      <c r="B3292" s="50">
        <v>44729.2379024768</v>
      </c>
      <c r="C3292" s="51">
        <v>1.006</v>
      </c>
      <c r="D3292" s="51">
        <v>69.0</v>
      </c>
      <c r="E3292" s="52" t="s">
        <v>25</v>
      </c>
      <c r="F3292" s="52" t="s">
        <v>26</v>
      </c>
      <c r="G3292" s="53"/>
    </row>
    <row r="3293">
      <c r="A3293" s="49">
        <v>44729.1233534375</v>
      </c>
      <c r="B3293" s="50">
        <v>44729.2483238541</v>
      </c>
      <c r="C3293" s="51">
        <v>1.005</v>
      </c>
      <c r="D3293" s="51">
        <v>69.0</v>
      </c>
      <c r="E3293" s="52" t="s">
        <v>25</v>
      </c>
      <c r="F3293" s="52" t="s">
        <v>26</v>
      </c>
      <c r="G3293" s="53"/>
    </row>
    <row r="3294">
      <c r="A3294" s="49">
        <v>44729.133772430556</v>
      </c>
      <c r="B3294" s="50">
        <v>44729.2587445023</v>
      </c>
      <c r="C3294" s="51">
        <v>1.006</v>
      </c>
      <c r="D3294" s="51">
        <v>69.0</v>
      </c>
      <c r="E3294" s="52" t="s">
        <v>25</v>
      </c>
      <c r="F3294" s="52" t="s">
        <v>26</v>
      </c>
      <c r="G3294" s="53"/>
    </row>
    <row r="3295">
      <c r="A3295" s="49">
        <v>44729.144195092595</v>
      </c>
      <c r="B3295" s="50">
        <v>44729.2691669444</v>
      </c>
      <c r="C3295" s="51">
        <v>1.005</v>
      </c>
      <c r="D3295" s="51">
        <v>69.0</v>
      </c>
      <c r="E3295" s="52" t="s">
        <v>25</v>
      </c>
      <c r="F3295" s="52" t="s">
        <v>26</v>
      </c>
      <c r="G3295" s="53"/>
    </row>
    <row r="3296">
      <c r="A3296" s="49">
        <v>44729.154613125</v>
      </c>
      <c r="B3296" s="50">
        <v>44729.2795876504</v>
      </c>
      <c r="C3296" s="51">
        <v>1.006</v>
      </c>
      <c r="D3296" s="51">
        <v>69.0</v>
      </c>
      <c r="E3296" s="52" t="s">
        <v>25</v>
      </c>
      <c r="F3296" s="52" t="s">
        <v>26</v>
      </c>
      <c r="G3296" s="53"/>
    </row>
    <row r="3297">
      <c r="A3297" s="49">
        <v>44729.165031122684</v>
      </c>
      <c r="B3297" s="50">
        <v>44729.2900091435</v>
      </c>
      <c r="C3297" s="51">
        <v>1.005</v>
      </c>
      <c r="D3297" s="51">
        <v>69.0</v>
      </c>
      <c r="E3297" s="52" t="s">
        <v>25</v>
      </c>
      <c r="F3297" s="52" t="s">
        <v>26</v>
      </c>
      <c r="G3297" s="53"/>
    </row>
    <row r="3298">
      <c r="A3298" s="49">
        <v>44729.17545144676</v>
      </c>
      <c r="B3298" s="50">
        <v>44729.3004303935</v>
      </c>
      <c r="C3298" s="51">
        <v>1.006</v>
      </c>
      <c r="D3298" s="51">
        <v>69.0</v>
      </c>
      <c r="E3298" s="52" t="s">
        <v>25</v>
      </c>
      <c r="F3298" s="52" t="s">
        <v>26</v>
      </c>
      <c r="G3298" s="53"/>
    </row>
    <row r="3299">
      <c r="A3299" s="49">
        <v>44729.18587591435</v>
      </c>
      <c r="B3299" s="50">
        <v>44729.3108513425</v>
      </c>
      <c r="C3299" s="51">
        <v>1.005</v>
      </c>
      <c r="D3299" s="51">
        <v>69.0</v>
      </c>
      <c r="E3299" s="52" t="s">
        <v>25</v>
      </c>
      <c r="F3299" s="52" t="s">
        <v>26</v>
      </c>
      <c r="G3299" s="53"/>
    </row>
    <row r="3300">
      <c r="A3300" s="49">
        <v>44729.196289976855</v>
      </c>
      <c r="B3300" s="50">
        <v>44729.3212730787</v>
      </c>
      <c r="C3300" s="51">
        <v>1.006</v>
      </c>
      <c r="D3300" s="51">
        <v>70.0</v>
      </c>
      <c r="E3300" s="52" t="s">
        <v>25</v>
      </c>
      <c r="F3300" s="52" t="s">
        <v>26</v>
      </c>
      <c r="G3300" s="53"/>
    </row>
    <row r="3301">
      <c r="A3301" s="49">
        <v>44729.20672199074</v>
      </c>
      <c r="B3301" s="50">
        <v>44729.3316959259</v>
      </c>
      <c r="C3301" s="51">
        <v>1.005</v>
      </c>
      <c r="D3301" s="51">
        <v>69.0</v>
      </c>
      <c r="E3301" s="52" t="s">
        <v>25</v>
      </c>
      <c r="F3301" s="52" t="s">
        <v>26</v>
      </c>
      <c r="G3301" s="53"/>
    </row>
    <row r="3302">
      <c r="A3302" s="49">
        <v>44729.217142939815</v>
      </c>
      <c r="B3302" s="50">
        <v>44729.3421151157</v>
      </c>
      <c r="C3302" s="51">
        <v>1.006</v>
      </c>
      <c r="D3302" s="51">
        <v>69.0</v>
      </c>
      <c r="E3302" s="52" t="s">
        <v>25</v>
      </c>
      <c r="F3302" s="52" t="s">
        <v>26</v>
      </c>
      <c r="G3302" s="53"/>
    </row>
    <row r="3303">
      <c r="A3303" s="49">
        <v>44729.22756277778</v>
      </c>
      <c r="B3303" s="50">
        <v>44729.3525357638</v>
      </c>
      <c r="C3303" s="51">
        <v>1.006</v>
      </c>
      <c r="D3303" s="51">
        <v>69.0</v>
      </c>
      <c r="E3303" s="52" t="s">
        <v>25</v>
      </c>
      <c r="F3303" s="52" t="s">
        <v>26</v>
      </c>
      <c r="G3303" s="53"/>
    </row>
    <row r="3304">
      <c r="A3304" s="49">
        <v>44729.23798445602</v>
      </c>
      <c r="B3304" s="50">
        <v>44729.3629568865</v>
      </c>
      <c r="C3304" s="51">
        <v>1.006</v>
      </c>
      <c r="D3304" s="51">
        <v>69.0</v>
      </c>
      <c r="E3304" s="52" t="s">
        <v>25</v>
      </c>
      <c r="F3304" s="52" t="s">
        <v>26</v>
      </c>
      <c r="G3304" s="53"/>
    </row>
    <row r="3305">
      <c r="A3305" s="49">
        <v>44729.24840261574</v>
      </c>
      <c r="B3305" s="50">
        <v>44729.373378831</v>
      </c>
      <c r="C3305" s="51">
        <v>1.006</v>
      </c>
      <c r="D3305" s="51">
        <v>69.0</v>
      </c>
      <c r="E3305" s="52" t="s">
        <v>25</v>
      </c>
      <c r="F3305" s="52" t="s">
        <v>26</v>
      </c>
      <c r="G3305" s="53"/>
    </row>
    <row r="3306">
      <c r="A3306" s="49">
        <v>44729.25883479167</v>
      </c>
      <c r="B3306" s="50">
        <v>44729.3838011342</v>
      </c>
      <c r="C3306" s="51">
        <v>1.006</v>
      </c>
      <c r="D3306" s="51">
        <v>69.0</v>
      </c>
      <c r="E3306" s="52" t="s">
        <v>25</v>
      </c>
      <c r="F3306" s="52" t="s">
        <v>26</v>
      </c>
      <c r="G3306" s="53"/>
    </row>
    <row r="3307">
      <c r="A3307" s="49">
        <v>44729.26924849537</v>
      </c>
      <c r="B3307" s="50">
        <v>44729.3942209143</v>
      </c>
      <c r="C3307" s="51">
        <v>1.006</v>
      </c>
      <c r="D3307" s="51">
        <v>70.0</v>
      </c>
      <c r="E3307" s="52" t="s">
        <v>25</v>
      </c>
      <c r="F3307" s="52" t="s">
        <v>26</v>
      </c>
      <c r="G3307" s="53"/>
    </row>
    <row r="3308">
      <c r="A3308" s="49">
        <v>44729.27965702546</v>
      </c>
      <c r="B3308" s="50">
        <v>44729.4046413541</v>
      </c>
      <c r="C3308" s="51">
        <v>1.006</v>
      </c>
      <c r="D3308" s="51">
        <v>70.0</v>
      </c>
      <c r="E3308" s="52" t="s">
        <v>25</v>
      </c>
      <c r="F3308" s="52" t="s">
        <v>26</v>
      </c>
      <c r="G3308" s="53"/>
    </row>
    <row r="3309">
      <c r="A3309" s="49">
        <v>44729.29008928241</v>
      </c>
      <c r="B3309" s="50">
        <v>44729.4150622685</v>
      </c>
      <c r="C3309" s="51">
        <v>1.005</v>
      </c>
      <c r="D3309" s="51">
        <v>70.0</v>
      </c>
      <c r="E3309" s="52" t="s">
        <v>25</v>
      </c>
      <c r="F3309" s="52" t="s">
        <v>26</v>
      </c>
      <c r="G3309" s="53"/>
    </row>
    <row r="3310">
      <c r="A3310" s="49">
        <v>44729.30053241898</v>
      </c>
      <c r="B3310" s="50">
        <v>44729.4255060069</v>
      </c>
      <c r="C3310" s="51">
        <v>1.006</v>
      </c>
      <c r="D3310" s="51">
        <v>69.0</v>
      </c>
      <c r="E3310" s="52" t="s">
        <v>25</v>
      </c>
      <c r="F3310" s="52" t="s">
        <v>26</v>
      </c>
      <c r="G3310" s="53"/>
    </row>
    <row r="3311">
      <c r="A3311" s="49">
        <v>44729.31097884259</v>
      </c>
      <c r="B3311" s="50">
        <v>44729.4359500694</v>
      </c>
      <c r="C3311" s="51">
        <v>1.006</v>
      </c>
      <c r="D3311" s="51">
        <v>70.0</v>
      </c>
      <c r="E3311" s="52" t="s">
        <v>25</v>
      </c>
      <c r="F3311" s="52" t="s">
        <v>26</v>
      </c>
      <c r="G3311" s="53"/>
    </row>
    <row r="3312">
      <c r="A3312" s="49">
        <v>44729.321398796295</v>
      </c>
      <c r="B3312" s="50">
        <v>44729.4463715972</v>
      </c>
      <c r="C3312" s="51">
        <v>1.006</v>
      </c>
      <c r="D3312" s="51">
        <v>69.0</v>
      </c>
      <c r="E3312" s="52" t="s">
        <v>25</v>
      </c>
      <c r="F3312" s="52" t="s">
        <v>26</v>
      </c>
      <c r="G3312" s="53"/>
    </row>
    <row r="3313">
      <c r="A3313" s="49">
        <v>44729.331828055554</v>
      </c>
      <c r="B3313" s="50">
        <v>44729.4568051388</v>
      </c>
      <c r="C3313" s="51">
        <v>1.006</v>
      </c>
      <c r="D3313" s="51">
        <v>69.0</v>
      </c>
      <c r="E3313" s="52" t="s">
        <v>25</v>
      </c>
      <c r="F3313" s="52" t="s">
        <v>26</v>
      </c>
      <c r="G3313" s="53"/>
    </row>
    <row r="3314">
      <c r="A3314" s="49">
        <v>44729.34225422454</v>
      </c>
      <c r="B3314" s="50">
        <v>44729.4672264351</v>
      </c>
      <c r="C3314" s="51">
        <v>1.006</v>
      </c>
      <c r="D3314" s="51">
        <v>70.0</v>
      </c>
      <c r="E3314" s="52" t="s">
        <v>25</v>
      </c>
      <c r="F3314" s="52" t="s">
        <v>26</v>
      </c>
      <c r="G3314" s="53"/>
    </row>
    <row r="3315">
      <c r="A3315" s="49">
        <v>44729.35267519676</v>
      </c>
      <c r="B3315" s="50">
        <v>44729.4776474768</v>
      </c>
      <c r="C3315" s="51">
        <v>1.005</v>
      </c>
      <c r="D3315" s="51">
        <v>69.0</v>
      </c>
      <c r="E3315" s="52" t="s">
        <v>25</v>
      </c>
      <c r="F3315" s="52" t="s">
        <v>26</v>
      </c>
      <c r="G3315" s="53"/>
    </row>
    <row r="3316">
      <c r="A3316" s="49">
        <v>44729.363101192124</v>
      </c>
      <c r="B3316" s="50">
        <v>44729.4880806597</v>
      </c>
      <c r="C3316" s="51">
        <v>1.006</v>
      </c>
      <c r="D3316" s="51">
        <v>70.0</v>
      </c>
      <c r="E3316" s="52" t="s">
        <v>25</v>
      </c>
      <c r="F3316" s="52" t="s">
        <v>26</v>
      </c>
      <c r="G3316" s="53"/>
    </row>
    <row r="3317">
      <c r="A3317" s="49">
        <v>44729.37353002315</v>
      </c>
      <c r="B3317" s="50">
        <v>44729.4985027199</v>
      </c>
      <c r="C3317" s="51">
        <v>1.006</v>
      </c>
      <c r="D3317" s="51">
        <v>70.0</v>
      </c>
      <c r="E3317" s="52" t="s">
        <v>25</v>
      </c>
      <c r="F3317" s="52" t="s">
        <v>26</v>
      </c>
      <c r="G3317" s="53"/>
    </row>
    <row r="3318">
      <c r="A3318" s="49">
        <v>44729.38395369213</v>
      </c>
      <c r="B3318" s="50">
        <v>44729.5089241666</v>
      </c>
      <c r="C3318" s="51">
        <v>1.005</v>
      </c>
      <c r="D3318" s="51">
        <v>70.0</v>
      </c>
      <c r="E3318" s="52" t="s">
        <v>25</v>
      </c>
      <c r="F3318" s="52" t="s">
        <v>26</v>
      </c>
      <c r="G3318" s="53"/>
    </row>
    <row r="3319">
      <c r="A3319" s="49">
        <v>44729.39437363426</v>
      </c>
      <c r="B3319" s="50">
        <v>44729.5193465046</v>
      </c>
      <c r="C3319" s="51">
        <v>1.005</v>
      </c>
      <c r="D3319" s="51">
        <v>70.0</v>
      </c>
      <c r="E3319" s="52" t="s">
        <v>25</v>
      </c>
      <c r="F3319" s="52" t="s">
        <v>26</v>
      </c>
      <c r="G3319" s="53"/>
    </row>
    <row r="3320">
      <c r="A3320" s="49">
        <v>44729.40479560185</v>
      </c>
      <c r="B3320" s="50">
        <v>44729.5297795949</v>
      </c>
      <c r="C3320" s="51">
        <v>1.006</v>
      </c>
      <c r="D3320" s="51">
        <v>70.0</v>
      </c>
      <c r="E3320" s="52" t="s">
        <v>25</v>
      </c>
      <c r="F3320" s="52" t="s">
        <v>26</v>
      </c>
      <c r="G3320" s="53"/>
    </row>
    <row r="3321">
      <c r="A3321" s="49">
        <v>44729.41523960648</v>
      </c>
      <c r="B3321" s="50">
        <v>44729.5402128819</v>
      </c>
      <c r="C3321" s="51">
        <v>1.005</v>
      </c>
      <c r="D3321" s="51">
        <v>70.0</v>
      </c>
      <c r="E3321" s="52" t="s">
        <v>25</v>
      </c>
      <c r="F3321" s="52" t="s">
        <v>26</v>
      </c>
      <c r="G3321" s="53"/>
    </row>
    <row r="3322">
      <c r="A3322" s="49">
        <v>44729.42566008102</v>
      </c>
      <c r="B3322" s="50">
        <v>44729.5506350925</v>
      </c>
      <c r="C3322" s="51">
        <v>1.005</v>
      </c>
      <c r="D3322" s="51">
        <v>70.0</v>
      </c>
      <c r="E3322" s="52" t="s">
        <v>25</v>
      </c>
      <c r="F3322" s="52" t="s">
        <v>26</v>
      </c>
      <c r="G3322" s="53"/>
    </row>
    <row r="3323">
      <c r="A3323" s="49">
        <v>44729.436080625004</v>
      </c>
      <c r="B3323" s="50">
        <v>44729.5610551041</v>
      </c>
      <c r="C3323" s="51">
        <v>1.006</v>
      </c>
      <c r="D3323" s="51">
        <v>70.0</v>
      </c>
      <c r="E3323" s="52" t="s">
        <v>25</v>
      </c>
      <c r="F3323" s="52" t="s">
        <v>26</v>
      </c>
      <c r="G3323" s="53"/>
    </row>
    <row r="3324">
      <c r="A3324" s="49">
        <v>44729.44651956018</v>
      </c>
      <c r="B3324" s="50">
        <v>44729.5714877777</v>
      </c>
      <c r="C3324" s="51">
        <v>1.005</v>
      </c>
      <c r="D3324" s="51">
        <v>70.0</v>
      </c>
      <c r="E3324" s="52" t="s">
        <v>25</v>
      </c>
      <c r="F3324" s="52" t="s">
        <v>26</v>
      </c>
      <c r="G3324" s="53"/>
    </row>
    <row r="3325">
      <c r="A3325" s="49">
        <v>44729.45694429398</v>
      </c>
      <c r="B3325" s="50">
        <v>44729.5819086921</v>
      </c>
      <c r="C3325" s="51">
        <v>1.006</v>
      </c>
      <c r="D3325" s="51">
        <v>70.0</v>
      </c>
      <c r="E3325" s="52" t="s">
        <v>25</v>
      </c>
      <c r="F3325" s="52" t="s">
        <v>26</v>
      </c>
      <c r="G3325" s="53"/>
    </row>
    <row r="3326">
      <c r="A3326" s="49">
        <v>44729.467361365736</v>
      </c>
      <c r="B3326" s="50">
        <v>44729.5923296296</v>
      </c>
      <c r="C3326" s="51">
        <v>1.006</v>
      </c>
      <c r="D3326" s="51">
        <v>70.0</v>
      </c>
      <c r="E3326" s="52" t="s">
        <v>25</v>
      </c>
      <c r="F3326" s="52" t="s">
        <v>26</v>
      </c>
      <c r="G3326" s="53"/>
    </row>
    <row r="3327">
      <c r="A3327" s="49">
        <v>44729.477789826386</v>
      </c>
      <c r="B3327" s="50">
        <v>44729.6027645601</v>
      </c>
      <c r="C3327" s="51">
        <v>1.005</v>
      </c>
      <c r="D3327" s="51">
        <v>70.0</v>
      </c>
      <c r="E3327" s="52" t="s">
        <v>25</v>
      </c>
      <c r="F3327" s="52" t="s">
        <v>26</v>
      </c>
      <c r="G3327" s="53"/>
    </row>
    <row r="3328">
      <c r="A3328" s="49">
        <v>44729.48821976852</v>
      </c>
      <c r="B3328" s="50">
        <v>44729.6131992476</v>
      </c>
      <c r="C3328" s="51">
        <v>1.006</v>
      </c>
      <c r="D3328" s="51">
        <v>70.0</v>
      </c>
      <c r="E3328" s="52" t="s">
        <v>25</v>
      </c>
      <c r="F3328" s="52" t="s">
        <v>26</v>
      </c>
      <c r="G3328" s="53"/>
    </row>
    <row r="3329">
      <c r="A3329" s="49">
        <v>44729.49864439815</v>
      </c>
      <c r="B3329" s="50">
        <v>44729.6236188078</v>
      </c>
      <c r="C3329" s="51">
        <v>1.006</v>
      </c>
      <c r="D3329" s="51">
        <v>70.0</v>
      </c>
      <c r="E3329" s="52" t="s">
        <v>25</v>
      </c>
      <c r="F3329" s="52" t="s">
        <v>26</v>
      </c>
      <c r="G3329" s="53"/>
    </row>
    <row r="3330">
      <c r="A3330" s="49">
        <v>44729.50906349537</v>
      </c>
      <c r="B3330" s="50">
        <v>44729.6340410416</v>
      </c>
      <c r="C3330" s="51">
        <v>1.006</v>
      </c>
      <c r="D3330" s="51">
        <v>70.0</v>
      </c>
      <c r="E3330" s="52" t="s">
        <v>25</v>
      </c>
      <c r="F3330" s="52" t="s">
        <v>26</v>
      </c>
      <c r="G3330" s="53"/>
    </row>
    <row r="3331">
      <c r="A3331" s="49">
        <v>44729.51949005787</v>
      </c>
      <c r="B3331" s="50">
        <v>44729.6444738078</v>
      </c>
      <c r="C3331" s="51">
        <v>1.006</v>
      </c>
      <c r="D3331" s="51">
        <v>70.0</v>
      </c>
      <c r="E3331" s="52" t="s">
        <v>25</v>
      </c>
      <c r="F3331" s="52" t="s">
        <v>26</v>
      </c>
      <c r="G3331" s="53"/>
    </row>
    <row r="3332">
      <c r="A3332" s="49">
        <v>44729.52993553241</v>
      </c>
      <c r="B3332" s="50">
        <v>44729.6549078356</v>
      </c>
      <c r="C3332" s="51">
        <v>1.006</v>
      </c>
      <c r="D3332" s="51">
        <v>70.0</v>
      </c>
      <c r="E3332" s="52" t="s">
        <v>25</v>
      </c>
      <c r="F3332" s="52" t="s">
        <v>26</v>
      </c>
      <c r="G3332" s="53"/>
    </row>
    <row r="3333">
      <c r="A3333" s="49">
        <v>44729.5403510301</v>
      </c>
      <c r="B3333" s="50">
        <v>44729.6653300463</v>
      </c>
      <c r="C3333" s="51">
        <v>1.005</v>
      </c>
      <c r="D3333" s="51">
        <v>70.0</v>
      </c>
      <c r="E3333" s="52" t="s">
        <v>25</v>
      </c>
      <c r="F3333" s="52" t="s">
        <v>26</v>
      </c>
      <c r="G3333" s="53"/>
    </row>
    <row r="3334">
      <c r="A3334" s="49">
        <v>44729.55077059028</v>
      </c>
      <c r="B3334" s="50">
        <v>44729.6757503588</v>
      </c>
      <c r="C3334" s="51">
        <v>1.005</v>
      </c>
      <c r="D3334" s="51">
        <v>70.0</v>
      </c>
      <c r="E3334" s="52" t="s">
        <v>25</v>
      </c>
      <c r="F3334" s="52" t="s">
        <v>26</v>
      </c>
      <c r="G3334" s="53"/>
    </row>
    <row r="3335">
      <c r="A3335" s="49">
        <v>44729.56119097222</v>
      </c>
      <c r="B3335" s="50">
        <v>44729.6861712384</v>
      </c>
      <c r="C3335" s="51">
        <v>1.005</v>
      </c>
      <c r="D3335" s="51">
        <v>70.0</v>
      </c>
      <c r="E3335" s="52" t="s">
        <v>25</v>
      </c>
      <c r="F3335" s="52" t="s">
        <v>26</v>
      </c>
      <c r="G3335" s="53"/>
    </row>
    <row r="3336">
      <c r="A3336" s="49">
        <v>44729.57162729166</v>
      </c>
      <c r="B3336" s="50">
        <v>44729.6965930208</v>
      </c>
      <c r="C3336" s="51">
        <v>1.006</v>
      </c>
      <c r="D3336" s="51">
        <v>70.0</v>
      </c>
      <c r="E3336" s="52" t="s">
        <v>25</v>
      </c>
      <c r="F3336" s="52" t="s">
        <v>26</v>
      </c>
      <c r="G3336" s="53"/>
    </row>
    <row r="3337">
      <c r="A3337" s="49">
        <v>44729.58203960648</v>
      </c>
      <c r="B3337" s="50">
        <v>44729.7070134027</v>
      </c>
      <c r="C3337" s="51">
        <v>1.005</v>
      </c>
      <c r="D3337" s="51">
        <v>70.0</v>
      </c>
      <c r="E3337" s="52" t="s">
        <v>25</v>
      </c>
      <c r="F3337" s="52" t="s">
        <v>26</v>
      </c>
      <c r="G3337" s="53"/>
    </row>
    <row r="3338">
      <c r="A3338" s="49">
        <v>44729.59246083333</v>
      </c>
      <c r="B3338" s="50">
        <v>44729.7174339351</v>
      </c>
      <c r="C3338" s="51">
        <v>1.006</v>
      </c>
      <c r="D3338" s="51">
        <v>70.0</v>
      </c>
      <c r="E3338" s="52" t="s">
        <v>25</v>
      </c>
      <c r="F3338" s="52" t="s">
        <v>26</v>
      </c>
      <c r="G3338" s="53"/>
    </row>
    <row r="3339">
      <c r="A3339" s="49">
        <v>44729.602871689814</v>
      </c>
      <c r="B3339" s="50">
        <v>44729.7278538773</v>
      </c>
      <c r="C3339" s="51">
        <v>1.006</v>
      </c>
      <c r="D3339" s="51">
        <v>70.0</v>
      </c>
      <c r="E3339" s="52" t="s">
        <v>25</v>
      </c>
      <c r="F3339" s="52" t="s">
        <v>26</v>
      </c>
      <c r="G3339" s="53"/>
    </row>
    <row r="3340">
      <c r="A3340" s="49">
        <v>44729.61330171296</v>
      </c>
      <c r="B3340" s="50">
        <v>44729.7382750926</v>
      </c>
      <c r="C3340" s="51">
        <v>1.005</v>
      </c>
      <c r="D3340" s="51">
        <v>70.0</v>
      </c>
      <c r="E3340" s="52" t="s">
        <v>25</v>
      </c>
      <c r="F3340" s="52" t="s">
        <v>26</v>
      </c>
      <c r="G3340" s="53"/>
    </row>
    <row r="3341">
      <c r="A3341" s="49">
        <v>44729.62373547454</v>
      </c>
      <c r="B3341" s="50">
        <v>44729.7487082523</v>
      </c>
      <c r="C3341" s="51">
        <v>1.006</v>
      </c>
      <c r="D3341" s="51">
        <v>70.0</v>
      </c>
      <c r="E3341" s="52" t="s">
        <v>25</v>
      </c>
      <c r="F3341" s="52" t="s">
        <v>26</v>
      </c>
      <c r="G3341" s="53"/>
    </row>
    <row r="3342">
      <c r="A3342" s="49">
        <v>44729.63418097222</v>
      </c>
      <c r="B3342" s="50">
        <v>44729.759151956</v>
      </c>
      <c r="C3342" s="51">
        <v>1.005</v>
      </c>
      <c r="D3342" s="51">
        <v>70.0</v>
      </c>
      <c r="E3342" s="52" t="s">
        <v>25</v>
      </c>
      <c r="F3342" s="52" t="s">
        <v>26</v>
      </c>
      <c r="G3342" s="53"/>
    </row>
    <row r="3343">
      <c r="A3343" s="49">
        <v>44729.64460003472</v>
      </c>
      <c r="B3343" s="50">
        <v>44729.7695731018</v>
      </c>
      <c r="C3343" s="51">
        <v>1.005</v>
      </c>
      <c r="D3343" s="51">
        <v>70.0</v>
      </c>
      <c r="E3343" s="52" t="s">
        <v>25</v>
      </c>
      <c r="F3343" s="52" t="s">
        <v>26</v>
      </c>
      <c r="G3343" s="53"/>
    </row>
    <row r="3344">
      <c r="A3344" s="49">
        <v>44729.65501371528</v>
      </c>
      <c r="B3344" s="50">
        <v>44729.7799948495</v>
      </c>
      <c r="C3344" s="51">
        <v>1.005</v>
      </c>
      <c r="D3344" s="51">
        <v>70.0</v>
      </c>
      <c r="E3344" s="52" t="s">
        <v>25</v>
      </c>
      <c r="F3344" s="52" t="s">
        <v>26</v>
      </c>
      <c r="G3344" s="53"/>
    </row>
    <row r="3345">
      <c r="A3345" s="49">
        <v>44729.66543554398</v>
      </c>
      <c r="B3345" s="50">
        <v>44729.7904151967</v>
      </c>
      <c r="C3345" s="51">
        <v>1.005</v>
      </c>
      <c r="D3345" s="51">
        <v>70.0</v>
      </c>
      <c r="E3345" s="52" t="s">
        <v>25</v>
      </c>
      <c r="F3345" s="52" t="s">
        <v>26</v>
      </c>
      <c r="G3345" s="53"/>
    </row>
    <row r="3346">
      <c r="A3346" s="49">
        <v>44729.67586378472</v>
      </c>
      <c r="B3346" s="50">
        <v>44729.8008468287</v>
      </c>
      <c r="C3346" s="51">
        <v>1.005</v>
      </c>
      <c r="D3346" s="51">
        <v>70.0</v>
      </c>
      <c r="E3346" s="52" t="s">
        <v>25</v>
      </c>
      <c r="F3346" s="52" t="s">
        <v>26</v>
      </c>
      <c r="G3346" s="53"/>
    </row>
    <row r="3347">
      <c r="A3347" s="49">
        <v>44729.68632842593</v>
      </c>
      <c r="B3347" s="50">
        <v>44729.8113006713</v>
      </c>
      <c r="C3347" s="51">
        <v>1.006</v>
      </c>
      <c r="D3347" s="51">
        <v>69.0</v>
      </c>
      <c r="E3347" s="52" t="s">
        <v>25</v>
      </c>
      <c r="F3347" s="52" t="s">
        <v>26</v>
      </c>
      <c r="G3347" s="53"/>
    </row>
    <row r="3348">
      <c r="A3348" s="49">
        <v>44729.69674951389</v>
      </c>
      <c r="B3348" s="50">
        <v>44729.8217214351</v>
      </c>
      <c r="C3348" s="51">
        <v>1.005</v>
      </c>
      <c r="D3348" s="51">
        <v>69.0</v>
      </c>
      <c r="E3348" s="52" t="s">
        <v>25</v>
      </c>
      <c r="F3348" s="52" t="s">
        <v>26</v>
      </c>
      <c r="G3348" s="53"/>
    </row>
    <row r="3349">
      <c r="A3349" s="49">
        <v>44729.707173993054</v>
      </c>
      <c r="B3349" s="50">
        <v>44729.8321426504</v>
      </c>
      <c r="C3349" s="51">
        <v>1.005</v>
      </c>
      <c r="D3349" s="51">
        <v>68.0</v>
      </c>
      <c r="E3349" s="52" t="s">
        <v>25</v>
      </c>
      <c r="F3349" s="52" t="s">
        <v>26</v>
      </c>
      <c r="G3349" s="53"/>
    </row>
    <row r="3350">
      <c r="A3350" s="49">
        <v>44729.71759231482</v>
      </c>
      <c r="B3350" s="50">
        <v>44729.8425633449</v>
      </c>
      <c r="C3350" s="51">
        <v>1.005</v>
      </c>
      <c r="D3350" s="51">
        <v>67.0</v>
      </c>
      <c r="E3350" s="52" t="s">
        <v>25</v>
      </c>
      <c r="F3350" s="52" t="s">
        <v>26</v>
      </c>
      <c r="G3350" s="53"/>
    </row>
    <row r="3351">
      <c r="A3351" s="49">
        <v>44729.72800886574</v>
      </c>
      <c r="B3351" s="50">
        <v>44729.8529835995</v>
      </c>
      <c r="C3351" s="51">
        <v>1.005</v>
      </c>
      <c r="D3351" s="51">
        <v>66.0</v>
      </c>
      <c r="E3351" s="52" t="s">
        <v>25</v>
      </c>
      <c r="F3351" s="52" t="s">
        <v>26</v>
      </c>
      <c r="G3351" s="53"/>
    </row>
    <row r="3352">
      <c r="A3352" s="49">
        <v>44729.73843228009</v>
      </c>
      <c r="B3352" s="50">
        <v>44729.8634039583</v>
      </c>
      <c r="C3352" s="51">
        <v>1.005</v>
      </c>
      <c r="D3352" s="51">
        <v>66.0</v>
      </c>
      <c r="E3352" s="52" t="s">
        <v>25</v>
      </c>
      <c r="F3352" s="52" t="s">
        <v>26</v>
      </c>
      <c r="G3352" s="53"/>
    </row>
    <row r="3353">
      <c r="A3353" s="49">
        <v>44729.748857638886</v>
      </c>
      <c r="B3353" s="50">
        <v>44729.8738257986</v>
      </c>
      <c r="C3353" s="51">
        <v>1.006</v>
      </c>
      <c r="D3353" s="51">
        <v>66.0</v>
      </c>
      <c r="E3353" s="52" t="s">
        <v>25</v>
      </c>
      <c r="F3353" s="52" t="s">
        <v>26</v>
      </c>
      <c r="G3353" s="53"/>
    </row>
    <row r="3354">
      <c r="A3354" s="49">
        <v>44729.75926934028</v>
      </c>
      <c r="B3354" s="50">
        <v>44729.8842482754</v>
      </c>
      <c r="C3354" s="51">
        <v>1.005</v>
      </c>
      <c r="D3354" s="51">
        <v>66.0</v>
      </c>
      <c r="E3354" s="52" t="s">
        <v>25</v>
      </c>
      <c r="F3354" s="52" t="s">
        <v>26</v>
      </c>
      <c r="G3354" s="53"/>
    </row>
    <row r="3355">
      <c r="A3355" s="49">
        <v>44729.76969667824</v>
      </c>
      <c r="B3355" s="50">
        <v>44729.894670243</v>
      </c>
      <c r="C3355" s="51">
        <v>1.005</v>
      </c>
      <c r="D3355" s="51">
        <v>66.0</v>
      </c>
      <c r="E3355" s="52" t="s">
        <v>25</v>
      </c>
      <c r="F3355" s="52" t="s">
        <v>26</v>
      </c>
      <c r="G3355" s="53"/>
    </row>
    <row r="3356">
      <c r="A3356" s="49">
        <v>44729.78011814815</v>
      </c>
      <c r="B3356" s="50">
        <v>44729.9050907638</v>
      </c>
      <c r="C3356" s="51">
        <v>1.006</v>
      </c>
      <c r="D3356" s="51">
        <v>66.0</v>
      </c>
      <c r="E3356" s="52" t="s">
        <v>25</v>
      </c>
      <c r="F3356" s="52" t="s">
        <v>26</v>
      </c>
      <c r="G3356" s="53"/>
    </row>
    <row r="3357">
      <c r="A3357" s="49">
        <v>44729.7905502662</v>
      </c>
      <c r="B3357" s="50">
        <v>44729.9155236689</v>
      </c>
      <c r="C3357" s="51">
        <v>1.005</v>
      </c>
      <c r="D3357" s="51">
        <v>66.0</v>
      </c>
      <c r="E3357" s="52" t="s">
        <v>25</v>
      </c>
      <c r="F3357" s="52" t="s">
        <v>26</v>
      </c>
      <c r="G3357" s="53"/>
    </row>
    <row r="3358">
      <c r="A3358" s="49">
        <v>44729.800973935184</v>
      </c>
      <c r="B3358" s="50">
        <v>44729.9259575115</v>
      </c>
      <c r="C3358" s="51">
        <v>1.006</v>
      </c>
      <c r="D3358" s="51">
        <v>66.0</v>
      </c>
      <c r="E3358" s="52" t="s">
        <v>25</v>
      </c>
      <c r="F3358" s="52" t="s">
        <v>26</v>
      </c>
      <c r="G3358" s="53"/>
    </row>
    <row r="3359">
      <c r="A3359" s="49">
        <v>44729.811395729164</v>
      </c>
      <c r="B3359" s="50">
        <v>44729.9363775115</v>
      </c>
      <c r="C3359" s="51">
        <v>1.005</v>
      </c>
      <c r="D3359" s="51">
        <v>66.0</v>
      </c>
      <c r="E3359" s="52" t="s">
        <v>25</v>
      </c>
      <c r="F3359" s="52" t="s">
        <v>26</v>
      </c>
      <c r="G3359" s="53"/>
    </row>
    <row r="3360">
      <c r="A3360" s="49">
        <v>44729.82181675926</v>
      </c>
      <c r="B3360" s="50">
        <v>44729.9467975</v>
      </c>
      <c r="C3360" s="51">
        <v>1.006</v>
      </c>
      <c r="D3360" s="51">
        <v>66.0</v>
      </c>
      <c r="E3360" s="52" t="s">
        <v>25</v>
      </c>
      <c r="F3360" s="52" t="s">
        <v>26</v>
      </c>
      <c r="G3360" s="53"/>
    </row>
    <row r="3361">
      <c r="A3361" s="49">
        <v>44729.83223732639</v>
      </c>
      <c r="B3361" s="50">
        <v>44729.9572173263</v>
      </c>
      <c r="C3361" s="51">
        <v>1.005</v>
      </c>
      <c r="D3361" s="51">
        <v>66.0</v>
      </c>
      <c r="E3361" s="52" t="s">
        <v>25</v>
      </c>
      <c r="F3361" s="52" t="s">
        <v>26</v>
      </c>
      <c r="G3361" s="53"/>
    </row>
    <row r="3362">
      <c r="A3362" s="49">
        <v>44729.8426550463</v>
      </c>
      <c r="B3362" s="50">
        <v>44729.9676384027</v>
      </c>
      <c r="C3362" s="51">
        <v>1.006</v>
      </c>
      <c r="D3362" s="51">
        <v>66.0</v>
      </c>
      <c r="E3362" s="52" t="s">
        <v>25</v>
      </c>
      <c r="F3362" s="52" t="s">
        <v>26</v>
      </c>
      <c r="G3362" s="53"/>
    </row>
    <row r="3363">
      <c r="A3363" s="49">
        <v>44729.853079374996</v>
      </c>
      <c r="B3363" s="50">
        <v>44729.9780579861</v>
      </c>
      <c r="C3363" s="51">
        <v>1.005</v>
      </c>
      <c r="D3363" s="51">
        <v>66.0</v>
      </c>
      <c r="E3363" s="52" t="s">
        <v>25</v>
      </c>
      <c r="F3363" s="52" t="s">
        <v>26</v>
      </c>
      <c r="G3363" s="53"/>
    </row>
    <row r="3364">
      <c r="A3364" s="49">
        <v>44729.86349927083</v>
      </c>
      <c r="B3364" s="50">
        <v>44729.9884787615</v>
      </c>
      <c r="C3364" s="51">
        <v>1.005</v>
      </c>
      <c r="D3364" s="51">
        <v>66.0</v>
      </c>
      <c r="E3364" s="52" t="s">
        <v>25</v>
      </c>
      <c r="F3364" s="52" t="s">
        <v>26</v>
      </c>
      <c r="G3364" s="53"/>
    </row>
    <row r="3365">
      <c r="A3365" s="49">
        <v>44729.87392733796</v>
      </c>
      <c r="B3365" s="50">
        <v>44729.9989009722</v>
      </c>
      <c r="C3365" s="51">
        <v>1.006</v>
      </c>
      <c r="D3365" s="51">
        <v>66.0</v>
      </c>
      <c r="E3365" s="52" t="s">
        <v>25</v>
      </c>
      <c r="F3365" s="52" t="s">
        <v>26</v>
      </c>
      <c r="G3365" s="53"/>
    </row>
    <row r="3366">
      <c r="A3366" s="49">
        <v>44729.88436009259</v>
      </c>
      <c r="B3366" s="50">
        <v>44730.0093332176</v>
      </c>
      <c r="C3366" s="51">
        <v>1.005</v>
      </c>
      <c r="D3366" s="51">
        <v>66.0</v>
      </c>
      <c r="E3366" s="52" t="s">
        <v>25</v>
      </c>
      <c r="F3366" s="52" t="s">
        <v>26</v>
      </c>
      <c r="G3366" s="53"/>
    </row>
    <row r="3367">
      <c r="A3367" s="49">
        <v>44729.894780092596</v>
      </c>
      <c r="B3367" s="50">
        <v>44730.0197547801</v>
      </c>
      <c r="C3367" s="51">
        <v>1.006</v>
      </c>
      <c r="D3367" s="51">
        <v>66.0</v>
      </c>
      <c r="E3367" s="52" t="s">
        <v>25</v>
      </c>
      <c r="F3367" s="52" t="s">
        <v>26</v>
      </c>
      <c r="G3367" s="53"/>
    </row>
    <row r="3368">
      <c r="A3368" s="49">
        <v>44729.90519831018</v>
      </c>
      <c r="B3368" s="50">
        <v>44730.0301757986</v>
      </c>
      <c r="C3368" s="51">
        <v>1.005</v>
      </c>
      <c r="D3368" s="51">
        <v>66.0</v>
      </c>
      <c r="E3368" s="52" t="s">
        <v>25</v>
      </c>
      <c r="F3368" s="52" t="s">
        <v>26</v>
      </c>
      <c r="G3368" s="53"/>
    </row>
    <row r="3369">
      <c r="A3369" s="49">
        <v>44729.91561646991</v>
      </c>
      <c r="B3369" s="50">
        <v>44730.0405966666</v>
      </c>
      <c r="C3369" s="51">
        <v>1.006</v>
      </c>
      <c r="D3369" s="51">
        <v>66.0</v>
      </c>
      <c r="E3369" s="52" t="s">
        <v>25</v>
      </c>
      <c r="F3369" s="52" t="s">
        <v>26</v>
      </c>
      <c r="G3369" s="53"/>
    </row>
    <row r="3370">
      <c r="A3370" s="49">
        <v>44729.926053194446</v>
      </c>
      <c r="B3370" s="50">
        <v>44730.0510277314</v>
      </c>
      <c r="C3370" s="51">
        <v>1.006</v>
      </c>
      <c r="D3370" s="51">
        <v>66.0</v>
      </c>
      <c r="E3370" s="52" t="s">
        <v>25</v>
      </c>
      <c r="F3370" s="52" t="s">
        <v>26</v>
      </c>
      <c r="G3370" s="53"/>
    </row>
    <row r="3371">
      <c r="A3371" s="49">
        <v>44729.93647188657</v>
      </c>
      <c r="B3371" s="50">
        <v>44730.0614492824</v>
      </c>
      <c r="C3371" s="51">
        <v>1.005</v>
      </c>
      <c r="D3371" s="51">
        <v>66.0</v>
      </c>
      <c r="E3371" s="52" t="s">
        <v>25</v>
      </c>
      <c r="F3371" s="52" t="s">
        <v>26</v>
      </c>
      <c r="G3371" s="53"/>
    </row>
    <row r="3372">
      <c r="A3372" s="49">
        <v>44729.946900358795</v>
      </c>
      <c r="B3372" s="50">
        <v>44730.0718720717</v>
      </c>
      <c r="C3372" s="51">
        <v>1.006</v>
      </c>
      <c r="D3372" s="51">
        <v>66.0</v>
      </c>
      <c r="E3372" s="52" t="s">
        <v>25</v>
      </c>
      <c r="F3372" s="52" t="s">
        <v>26</v>
      </c>
      <c r="G3372" s="53"/>
    </row>
    <row r="3373">
      <c r="A3373" s="49">
        <v>44729.95732140046</v>
      </c>
      <c r="B3373" s="50">
        <v>44730.0822928472</v>
      </c>
      <c r="C3373" s="51">
        <v>1.005</v>
      </c>
      <c r="D3373" s="51">
        <v>66.0</v>
      </c>
      <c r="E3373" s="52" t="s">
        <v>25</v>
      </c>
      <c r="F3373" s="52" t="s">
        <v>26</v>
      </c>
      <c r="G3373" s="53"/>
    </row>
    <row r="3374">
      <c r="A3374" s="49">
        <v>44729.967744560185</v>
      </c>
      <c r="B3374" s="50">
        <v>44730.0927162384</v>
      </c>
      <c r="C3374" s="51">
        <v>1.006</v>
      </c>
      <c r="D3374" s="51">
        <v>66.0</v>
      </c>
      <c r="E3374" s="52" t="s">
        <v>25</v>
      </c>
      <c r="F3374" s="52" t="s">
        <v>26</v>
      </c>
      <c r="G3374" s="53"/>
    </row>
    <row r="3375">
      <c r="A3375" s="49">
        <v>44729.978160439816</v>
      </c>
      <c r="B3375" s="50">
        <v>44730.1031350462</v>
      </c>
      <c r="C3375" s="51">
        <v>1.005</v>
      </c>
      <c r="D3375" s="51">
        <v>66.0</v>
      </c>
      <c r="E3375" s="52" t="s">
        <v>25</v>
      </c>
      <c r="F3375" s="52" t="s">
        <v>26</v>
      </c>
      <c r="G3375" s="53"/>
    </row>
    <row r="3376">
      <c r="A3376" s="49">
        <v>44729.988580578705</v>
      </c>
      <c r="B3376" s="50">
        <v>44730.1135567592</v>
      </c>
      <c r="C3376" s="51">
        <v>1.005</v>
      </c>
      <c r="D3376" s="51">
        <v>66.0</v>
      </c>
      <c r="E3376" s="52" t="s">
        <v>25</v>
      </c>
      <c r="F3376" s="52" t="s">
        <v>26</v>
      </c>
      <c r="G3376" s="53"/>
    </row>
    <row r="3377">
      <c r="A3377" s="49">
        <v>44729.999005405094</v>
      </c>
      <c r="B3377" s="50">
        <v>44730.1239772337</v>
      </c>
      <c r="C3377" s="51">
        <v>1.005</v>
      </c>
      <c r="D3377" s="51">
        <v>66.0</v>
      </c>
      <c r="E3377" s="52" t="s">
        <v>25</v>
      </c>
      <c r="F3377" s="52" t="s">
        <v>26</v>
      </c>
      <c r="G3377" s="53"/>
    </row>
    <row r="3378">
      <c r="A3378" s="49">
        <v>44730.009424386575</v>
      </c>
      <c r="B3378" s="50">
        <v>44730.1343974884</v>
      </c>
      <c r="C3378" s="51">
        <v>1.005</v>
      </c>
      <c r="D3378" s="51">
        <v>66.0</v>
      </c>
      <c r="E3378" s="52" t="s">
        <v>25</v>
      </c>
      <c r="F3378" s="52" t="s">
        <v>26</v>
      </c>
      <c r="G3378" s="53"/>
    </row>
    <row r="3379">
      <c r="A3379" s="49">
        <v>44730.01984702546</v>
      </c>
      <c r="B3379" s="50">
        <v>44730.1448183333</v>
      </c>
      <c r="C3379" s="51">
        <v>1.005</v>
      </c>
      <c r="D3379" s="51">
        <v>66.0</v>
      </c>
      <c r="E3379" s="52" t="s">
        <v>25</v>
      </c>
      <c r="F3379" s="52" t="s">
        <v>26</v>
      </c>
      <c r="G3379" s="53"/>
    </row>
    <row r="3380">
      <c r="A3380" s="49">
        <v>44730.030267546295</v>
      </c>
      <c r="B3380" s="50">
        <v>44730.1552400694</v>
      </c>
      <c r="C3380" s="51">
        <v>1.005</v>
      </c>
      <c r="D3380" s="51">
        <v>66.0</v>
      </c>
      <c r="E3380" s="52" t="s">
        <v>25</v>
      </c>
      <c r="F3380" s="52" t="s">
        <v>26</v>
      </c>
      <c r="G3380" s="53"/>
    </row>
    <row r="3381">
      <c r="A3381" s="49">
        <v>44730.040710127316</v>
      </c>
      <c r="B3381" s="50">
        <v>44730.1656838078</v>
      </c>
      <c r="C3381" s="51">
        <v>1.005</v>
      </c>
      <c r="D3381" s="51">
        <v>66.0</v>
      </c>
      <c r="E3381" s="52" t="s">
        <v>25</v>
      </c>
      <c r="F3381" s="52" t="s">
        <v>26</v>
      </c>
      <c r="G3381" s="53"/>
    </row>
    <row r="3382">
      <c r="A3382" s="49">
        <v>44730.051132430555</v>
      </c>
      <c r="B3382" s="50">
        <v>44730.1761056712</v>
      </c>
      <c r="C3382" s="51">
        <v>1.006</v>
      </c>
      <c r="D3382" s="51">
        <v>66.0</v>
      </c>
      <c r="E3382" s="52" t="s">
        <v>25</v>
      </c>
      <c r="F3382" s="52" t="s">
        <v>26</v>
      </c>
      <c r="G3382" s="53"/>
    </row>
    <row r="3383">
      <c r="A3383" s="49">
        <v>44730.061555671295</v>
      </c>
      <c r="B3383" s="50">
        <v>44730.1865274074</v>
      </c>
      <c r="C3383" s="51">
        <v>1.006</v>
      </c>
      <c r="D3383" s="51">
        <v>66.0</v>
      </c>
      <c r="E3383" s="52" t="s">
        <v>25</v>
      </c>
      <c r="F3383" s="52" t="s">
        <v>26</v>
      </c>
      <c r="G3383" s="53"/>
    </row>
    <row r="3384">
      <c r="A3384" s="49">
        <v>44730.07197550926</v>
      </c>
      <c r="B3384" s="50">
        <v>44730.1969598842</v>
      </c>
      <c r="C3384" s="51">
        <v>1.005</v>
      </c>
      <c r="D3384" s="51">
        <v>66.0</v>
      </c>
      <c r="E3384" s="52" t="s">
        <v>25</v>
      </c>
      <c r="F3384" s="52" t="s">
        <v>26</v>
      </c>
      <c r="G3384" s="53"/>
    </row>
    <row r="3385">
      <c r="A3385" s="49">
        <v>44730.0823971412</v>
      </c>
      <c r="B3385" s="50">
        <v>44730.2073808217</v>
      </c>
      <c r="C3385" s="51">
        <v>1.006</v>
      </c>
      <c r="D3385" s="51">
        <v>66.0</v>
      </c>
      <c r="E3385" s="52" t="s">
        <v>25</v>
      </c>
      <c r="F3385" s="52" t="s">
        <v>26</v>
      </c>
      <c r="G3385" s="53"/>
    </row>
    <row r="3386">
      <c r="A3386" s="49">
        <v>44730.092817847224</v>
      </c>
      <c r="B3386" s="50">
        <v>44730.2178012152</v>
      </c>
      <c r="C3386" s="51">
        <v>1.006</v>
      </c>
      <c r="D3386" s="51">
        <v>66.0</v>
      </c>
      <c r="E3386" s="52" t="s">
        <v>25</v>
      </c>
      <c r="F3386" s="52" t="s">
        <v>26</v>
      </c>
      <c r="G3386" s="53"/>
    </row>
    <row r="3387">
      <c r="A3387" s="49">
        <v>44730.10325230324</v>
      </c>
      <c r="B3387" s="50">
        <v>44730.2282239236</v>
      </c>
      <c r="C3387" s="51">
        <v>1.005</v>
      </c>
      <c r="D3387" s="51">
        <v>66.0</v>
      </c>
      <c r="E3387" s="52" t="s">
        <v>25</v>
      </c>
      <c r="F3387" s="52" t="s">
        <v>26</v>
      </c>
      <c r="G3387" s="53"/>
    </row>
    <row r="3388">
      <c r="A3388" s="49">
        <v>44730.1136718287</v>
      </c>
      <c r="B3388" s="50">
        <v>44730.2386448726</v>
      </c>
      <c r="C3388" s="51">
        <v>1.006</v>
      </c>
      <c r="D3388" s="51">
        <v>66.0</v>
      </c>
      <c r="E3388" s="52" t="s">
        <v>25</v>
      </c>
      <c r="F3388" s="52" t="s">
        <v>26</v>
      </c>
      <c r="G3388" s="53"/>
    </row>
    <row r="3389">
      <c r="A3389" s="49">
        <v>44730.12409217593</v>
      </c>
      <c r="B3389" s="50">
        <v>44730.2490674305</v>
      </c>
      <c r="C3389" s="51">
        <v>1.006</v>
      </c>
      <c r="D3389" s="51">
        <v>66.0</v>
      </c>
      <c r="E3389" s="52" t="s">
        <v>25</v>
      </c>
      <c r="F3389" s="52" t="s">
        <v>26</v>
      </c>
      <c r="G3389" s="53"/>
    </row>
    <row r="3390">
      <c r="A3390" s="49">
        <v>44730.134520590276</v>
      </c>
      <c r="B3390" s="50">
        <v>44730.2595001041</v>
      </c>
      <c r="C3390" s="51">
        <v>1.006</v>
      </c>
      <c r="D3390" s="51">
        <v>66.0</v>
      </c>
      <c r="E3390" s="52" t="s">
        <v>25</v>
      </c>
      <c r="F3390" s="52" t="s">
        <v>26</v>
      </c>
      <c r="G3390" s="53"/>
    </row>
    <row r="3391">
      <c r="A3391" s="49">
        <v>44730.144942858795</v>
      </c>
      <c r="B3391" s="50">
        <v>44730.2699226273</v>
      </c>
      <c r="C3391" s="51">
        <v>1.005</v>
      </c>
      <c r="D3391" s="51">
        <v>66.0</v>
      </c>
      <c r="E3391" s="52" t="s">
        <v>25</v>
      </c>
      <c r="F3391" s="52" t="s">
        <v>26</v>
      </c>
      <c r="G3391" s="53"/>
    </row>
    <row r="3392">
      <c r="A3392" s="49">
        <v>44730.15537340278</v>
      </c>
      <c r="B3392" s="50">
        <v>44730.2803458101</v>
      </c>
      <c r="C3392" s="51">
        <v>1.006</v>
      </c>
      <c r="D3392" s="51">
        <v>66.0</v>
      </c>
      <c r="E3392" s="52" t="s">
        <v>25</v>
      </c>
      <c r="F3392" s="52" t="s">
        <v>26</v>
      </c>
      <c r="G3392" s="53"/>
    </row>
    <row r="3393">
      <c r="A3393" s="49">
        <v>44730.16580357639</v>
      </c>
      <c r="B3393" s="50">
        <v>44730.2907784375</v>
      </c>
      <c r="C3393" s="51">
        <v>1.006</v>
      </c>
      <c r="D3393" s="51">
        <v>66.0</v>
      </c>
      <c r="E3393" s="52" t="s">
        <v>25</v>
      </c>
      <c r="F3393" s="52" t="s">
        <v>26</v>
      </c>
      <c r="G3393" s="53"/>
    </row>
    <row r="3394">
      <c r="A3394" s="49">
        <v>44730.17622528935</v>
      </c>
      <c r="B3394" s="50">
        <v>44730.3012002546</v>
      </c>
      <c r="C3394" s="51">
        <v>1.006</v>
      </c>
      <c r="D3394" s="51">
        <v>66.0</v>
      </c>
      <c r="E3394" s="52" t="s">
        <v>25</v>
      </c>
      <c r="F3394" s="52" t="s">
        <v>26</v>
      </c>
      <c r="G3394" s="53"/>
    </row>
    <row r="3395">
      <c r="A3395" s="49">
        <v>44730.186648738425</v>
      </c>
      <c r="B3395" s="50">
        <v>44730.3116215972</v>
      </c>
      <c r="C3395" s="51">
        <v>1.006</v>
      </c>
      <c r="D3395" s="51">
        <v>67.0</v>
      </c>
      <c r="E3395" s="52" t="s">
        <v>25</v>
      </c>
      <c r="F3395" s="52" t="s">
        <v>26</v>
      </c>
      <c r="G3395" s="53"/>
    </row>
    <row r="3396">
      <c r="A3396" s="49">
        <v>44730.197081273145</v>
      </c>
      <c r="B3396" s="50">
        <v>44730.3220547569</v>
      </c>
      <c r="C3396" s="51">
        <v>1.006</v>
      </c>
      <c r="D3396" s="51">
        <v>66.0</v>
      </c>
      <c r="E3396" s="52" t="s">
        <v>25</v>
      </c>
      <c r="F3396" s="52" t="s">
        <v>26</v>
      </c>
      <c r="G3396" s="53"/>
    </row>
    <row r="3397">
      <c r="A3397" s="49">
        <v>44730.20751342592</v>
      </c>
      <c r="B3397" s="50">
        <v>44730.3324887731</v>
      </c>
      <c r="C3397" s="51">
        <v>1.005</v>
      </c>
      <c r="D3397" s="51">
        <v>67.0</v>
      </c>
      <c r="E3397" s="52" t="s">
        <v>25</v>
      </c>
      <c r="F3397" s="52" t="s">
        <v>26</v>
      </c>
      <c r="G3397" s="53"/>
    </row>
    <row r="3398">
      <c r="A3398" s="49">
        <v>44730.21793540509</v>
      </c>
      <c r="B3398" s="50">
        <v>44730.3429098726</v>
      </c>
      <c r="C3398" s="51">
        <v>1.005</v>
      </c>
      <c r="D3398" s="51">
        <v>66.0</v>
      </c>
      <c r="E3398" s="52" t="s">
        <v>25</v>
      </c>
      <c r="F3398" s="52" t="s">
        <v>26</v>
      </c>
      <c r="G3398" s="53"/>
    </row>
    <row r="3399">
      <c r="A3399" s="49">
        <v>44730.228357291664</v>
      </c>
      <c r="B3399" s="50">
        <v>44730.353330868</v>
      </c>
      <c r="C3399" s="51">
        <v>1.006</v>
      </c>
      <c r="D3399" s="51">
        <v>66.0</v>
      </c>
      <c r="E3399" s="52" t="s">
        <v>25</v>
      </c>
      <c r="F3399" s="52" t="s">
        <v>26</v>
      </c>
      <c r="G3399" s="53"/>
    </row>
    <row r="3400">
      <c r="A3400" s="49">
        <v>44730.23878828704</v>
      </c>
      <c r="B3400" s="50">
        <v>44730.3637636574</v>
      </c>
      <c r="C3400" s="51">
        <v>1.006</v>
      </c>
      <c r="D3400" s="51">
        <v>66.0</v>
      </c>
      <c r="E3400" s="52" t="s">
        <v>25</v>
      </c>
      <c r="F3400" s="52" t="s">
        <v>26</v>
      </c>
      <c r="G3400" s="53"/>
    </row>
    <row r="3401">
      <c r="A3401" s="49">
        <v>44730.24920931713</v>
      </c>
      <c r="B3401" s="50">
        <v>44730.3741836111</v>
      </c>
      <c r="C3401" s="51">
        <v>1.006</v>
      </c>
      <c r="D3401" s="51">
        <v>67.0</v>
      </c>
      <c r="E3401" s="52" t="s">
        <v>25</v>
      </c>
      <c r="F3401" s="52" t="s">
        <v>26</v>
      </c>
      <c r="G3401" s="53"/>
    </row>
    <row r="3402">
      <c r="A3402" s="49">
        <v>44730.25962496528</v>
      </c>
      <c r="B3402" s="50">
        <v>44730.3846041319</v>
      </c>
      <c r="C3402" s="51">
        <v>1.006</v>
      </c>
      <c r="D3402" s="51">
        <v>67.0</v>
      </c>
      <c r="E3402" s="52" t="s">
        <v>25</v>
      </c>
      <c r="F3402" s="52" t="s">
        <v>26</v>
      </c>
      <c r="G3402" s="53"/>
    </row>
    <row r="3403">
      <c r="A3403" s="49">
        <v>44730.270055879635</v>
      </c>
      <c r="B3403" s="50">
        <v>44730.395027581</v>
      </c>
      <c r="C3403" s="51">
        <v>1.006</v>
      </c>
      <c r="D3403" s="51">
        <v>67.0</v>
      </c>
      <c r="E3403" s="52" t="s">
        <v>25</v>
      </c>
      <c r="F3403" s="52" t="s">
        <v>26</v>
      </c>
      <c r="G3403" s="53"/>
    </row>
    <row r="3404">
      <c r="A3404" s="49">
        <v>44730.280474467596</v>
      </c>
      <c r="B3404" s="50">
        <v>44730.4054474421</v>
      </c>
      <c r="C3404" s="51">
        <v>1.005</v>
      </c>
      <c r="D3404" s="51">
        <v>67.0</v>
      </c>
      <c r="E3404" s="52" t="s">
        <v>25</v>
      </c>
      <c r="F3404" s="52" t="s">
        <v>26</v>
      </c>
      <c r="G3404" s="53"/>
    </row>
    <row r="3405">
      <c r="A3405" s="49">
        <v>44730.29089768519</v>
      </c>
      <c r="B3405" s="50">
        <v>44730.4158673611</v>
      </c>
      <c r="C3405" s="51">
        <v>1.006</v>
      </c>
      <c r="D3405" s="51">
        <v>67.0</v>
      </c>
      <c r="E3405" s="52" t="s">
        <v>25</v>
      </c>
      <c r="F3405" s="52" t="s">
        <v>26</v>
      </c>
      <c r="G3405" s="53"/>
    </row>
    <row r="3406">
      <c r="A3406" s="49">
        <v>44730.30131609953</v>
      </c>
      <c r="B3406" s="50">
        <v>44730.4262893287</v>
      </c>
      <c r="C3406" s="51">
        <v>1.006</v>
      </c>
      <c r="D3406" s="51">
        <v>67.0</v>
      </c>
      <c r="E3406" s="52" t="s">
        <v>25</v>
      </c>
      <c r="F3406" s="52" t="s">
        <v>26</v>
      </c>
      <c r="G3406" s="53"/>
    </row>
    <row r="3407">
      <c r="A3407" s="49">
        <v>44730.31175116898</v>
      </c>
      <c r="B3407" s="50">
        <v>44730.4367239236</v>
      </c>
      <c r="C3407" s="51">
        <v>1.006</v>
      </c>
      <c r="D3407" s="51">
        <v>67.0</v>
      </c>
      <c r="E3407" s="52" t="s">
        <v>25</v>
      </c>
      <c r="F3407" s="52" t="s">
        <v>26</v>
      </c>
      <c r="G3407" s="53"/>
    </row>
    <row r="3408">
      <c r="A3408" s="49">
        <v>44730.32216880787</v>
      </c>
      <c r="B3408" s="50">
        <v>44730.4471438773</v>
      </c>
      <c r="C3408" s="51">
        <v>1.006</v>
      </c>
      <c r="D3408" s="51">
        <v>67.0</v>
      </c>
      <c r="E3408" s="52" t="s">
        <v>25</v>
      </c>
      <c r="F3408" s="52" t="s">
        <v>26</v>
      </c>
      <c r="G3408" s="53"/>
    </row>
    <row r="3409">
      <c r="A3409" s="49">
        <v>44730.33263991898</v>
      </c>
      <c r="B3409" s="50">
        <v>44730.4576125347</v>
      </c>
      <c r="C3409" s="51">
        <v>1.006</v>
      </c>
      <c r="D3409" s="51">
        <v>67.0</v>
      </c>
      <c r="E3409" s="52" t="s">
        <v>25</v>
      </c>
      <c r="F3409" s="52" t="s">
        <v>26</v>
      </c>
      <c r="G3409" s="53"/>
    </row>
    <row r="3410">
      <c r="A3410" s="49">
        <v>44730.34305914352</v>
      </c>
      <c r="B3410" s="50">
        <v>44730.468034537</v>
      </c>
      <c r="C3410" s="51">
        <v>1.006</v>
      </c>
      <c r="D3410" s="51">
        <v>67.0</v>
      </c>
      <c r="E3410" s="52" t="s">
        <v>25</v>
      </c>
      <c r="F3410" s="52" t="s">
        <v>26</v>
      </c>
      <c r="G3410" s="53"/>
    </row>
    <row r="3411">
      <c r="A3411" s="49">
        <v>44730.35348704861</v>
      </c>
      <c r="B3411" s="50">
        <v>44730.4784578703</v>
      </c>
      <c r="C3411" s="51">
        <v>1.006</v>
      </c>
      <c r="D3411" s="51">
        <v>67.0</v>
      </c>
      <c r="E3411" s="52" t="s">
        <v>25</v>
      </c>
      <c r="F3411" s="52" t="s">
        <v>26</v>
      </c>
      <c r="G3411" s="53"/>
    </row>
    <row r="3412">
      <c r="A3412" s="49">
        <v>44730.36390480324</v>
      </c>
      <c r="B3412" s="50">
        <v>44730.4888772916</v>
      </c>
      <c r="C3412" s="51">
        <v>1.006</v>
      </c>
      <c r="D3412" s="51">
        <v>67.0</v>
      </c>
      <c r="E3412" s="52" t="s">
        <v>25</v>
      </c>
      <c r="F3412" s="52" t="s">
        <v>26</v>
      </c>
      <c r="G3412" s="53"/>
    </row>
    <row r="3413">
      <c r="A3413" s="49">
        <v>44730.37432631945</v>
      </c>
      <c r="B3413" s="50">
        <v>44730.4992984143</v>
      </c>
      <c r="C3413" s="51">
        <v>1.005</v>
      </c>
      <c r="D3413" s="51">
        <v>67.0</v>
      </c>
      <c r="E3413" s="52" t="s">
        <v>25</v>
      </c>
      <c r="F3413" s="52" t="s">
        <v>26</v>
      </c>
      <c r="G3413" s="53"/>
    </row>
    <row r="3414">
      <c r="A3414" s="49">
        <v>44730.3847475</v>
      </c>
      <c r="B3414" s="50">
        <v>44730.5097190046</v>
      </c>
      <c r="C3414" s="51">
        <v>1.006</v>
      </c>
      <c r="D3414" s="51">
        <v>67.0</v>
      </c>
      <c r="E3414" s="52" t="s">
        <v>25</v>
      </c>
      <c r="F3414" s="52" t="s">
        <v>26</v>
      </c>
      <c r="G3414" s="53"/>
    </row>
    <row r="3415">
      <c r="A3415" s="49">
        <v>44730.395178252315</v>
      </c>
      <c r="B3415" s="50">
        <v>44730.520151331</v>
      </c>
      <c r="C3415" s="51">
        <v>1.006</v>
      </c>
      <c r="D3415" s="51">
        <v>67.0</v>
      </c>
      <c r="E3415" s="52" t="s">
        <v>25</v>
      </c>
      <c r="F3415" s="52" t="s">
        <v>26</v>
      </c>
      <c r="G3415" s="53"/>
    </row>
    <row r="3416">
      <c r="A3416" s="49">
        <v>44730.405599756945</v>
      </c>
      <c r="B3416" s="50">
        <v>44730.5305727314</v>
      </c>
      <c r="C3416" s="51">
        <v>1.005</v>
      </c>
      <c r="D3416" s="51">
        <v>67.0</v>
      </c>
      <c r="E3416" s="52" t="s">
        <v>25</v>
      </c>
      <c r="F3416" s="52" t="s">
        <v>26</v>
      </c>
      <c r="G3416" s="53"/>
    </row>
    <row r="3417">
      <c r="A3417" s="49">
        <v>44730.416024502316</v>
      </c>
      <c r="B3417" s="50">
        <v>44730.5409944212</v>
      </c>
      <c r="C3417" s="51">
        <v>1.006</v>
      </c>
      <c r="D3417" s="51">
        <v>67.0</v>
      </c>
      <c r="E3417" s="52" t="s">
        <v>25</v>
      </c>
      <c r="F3417" s="52" t="s">
        <v>26</v>
      </c>
      <c r="G3417" s="53"/>
    </row>
    <row r="3418">
      <c r="A3418" s="49">
        <v>44730.42644070602</v>
      </c>
      <c r="B3418" s="50">
        <v>44730.5514151041</v>
      </c>
      <c r="C3418" s="51">
        <v>1.006</v>
      </c>
      <c r="D3418" s="51">
        <v>67.0</v>
      </c>
      <c r="E3418" s="52" t="s">
        <v>25</v>
      </c>
      <c r="F3418" s="52" t="s">
        <v>26</v>
      </c>
      <c r="G3418" s="53"/>
    </row>
    <row r="3419">
      <c r="A3419" s="49">
        <v>44730.43685537037</v>
      </c>
      <c r="B3419" s="50">
        <v>44730.5618366898</v>
      </c>
      <c r="C3419" s="51">
        <v>1.005</v>
      </c>
      <c r="D3419" s="51">
        <v>67.0</v>
      </c>
      <c r="E3419" s="52" t="s">
        <v>25</v>
      </c>
      <c r="F3419" s="52" t="s">
        <v>26</v>
      </c>
      <c r="G3419" s="53"/>
    </row>
    <row r="3420">
      <c r="A3420" s="49">
        <v>44730.447278611115</v>
      </c>
      <c r="B3420" s="50">
        <v>44730.5722571875</v>
      </c>
      <c r="C3420" s="51">
        <v>1.006</v>
      </c>
      <c r="D3420" s="51">
        <v>67.0</v>
      </c>
      <c r="E3420" s="52" t="s">
        <v>25</v>
      </c>
      <c r="F3420" s="52" t="s">
        <v>26</v>
      </c>
      <c r="G3420" s="53"/>
    </row>
    <row r="3421">
      <c r="A3421" s="49">
        <v>44730.45770053241</v>
      </c>
      <c r="B3421" s="50">
        <v>44730.582677581</v>
      </c>
      <c r="C3421" s="51">
        <v>1.005</v>
      </c>
      <c r="D3421" s="51">
        <v>67.0</v>
      </c>
      <c r="E3421" s="52" t="s">
        <v>25</v>
      </c>
      <c r="F3421" s="52" t="s">
        <v>26</v>
      </c>
      <c r="G3421" s="53"/>
    </row>
    <row r="3422">
      <c r="A3422" s="49">
        <v>44730.46812568287</v>
      </c>
      <c r="B3422" s="50">
        <v>44730.593100243</v>
      </c>
      <c r="C3422" s="51">
        <v>1.006</v>
      </c>
      <c r="D3422" s="51">
        <v>67.0</v>
      </c>
      <c r="E3422" s="52" t="s">
        <v>25</v>
      </c>
      <c r="F3422" s="52" t="s">
        <v>26</v>
      </c>
      <c r="G3422" s="53"/>
    </row>
    <row r="3423">
      <c r="A3423" s="49">
        <v>44730.47853881944</v>
      </c>
      <c r="B3423" s="50">
        <v>44730.6035204398</v>
      </c>
      <c r="C3423" s="51">
        <v>1.005</v>
      </c>
      <c r="D3423" s="51">
        <v>67.0</v>
      </c>
      <c r="E3423" s="52" t="s">
        <v>25</v>
      </c>
      <c r="F3423" s="52" t="s">
        <v>26</v>
      </c>
      <c r="G3423" s="53"/>
    </row>
    <row r="3424">
      <c r="A3424" s="49">
        <v>44730.4889628588</v>
      </c>
      <c r="B3424" s="50">
        <v>44730.6139409722</v>
      </c>
      <c r="C3424" s="51">
        <v>1.005</v>
      </c>
      <c r="D3424" s="51">
        <v>67.0</v>
      </c>
      <c r="E3424" s="52" t="s">
        <v>25</v>
      </c>
      <c r="F3424" s="52" t="s">
        <v>26</v>
      </c>
      <c r="G3424" s="53"/>
    </row>
    <row r="3425">
      <c r="A3425" s="49">
        <v>44730.499396307874</v>
      </c>
      <c r="B3425" s="50">
        <v>44730.6243732523</v>
      </c>
      <c r="C3425" s="51">
        <v>1.005</v>
      </c>
      <c r="D3425" s="51">
        <v>67.0</v>
      </c>
      <c r="E3425" s="52" t="s">
        <v>25</v>
      </c>
      <c r="F3425" s="52" t="s">
        <v>26</v>
      </c>
      <c r="G3425" s="53"/>
    </row>
    <row r="3426">
      <c r="A3426" s="49">
        <v>44730.5098137037</v>
      </c>
      <c r="B3426" s="50">
        <v>44730.6347951851</v>
      </c>
      <c r="C3426" s="51">
        <v>1.006</v>
      </c>
      <c r="D3426" s="51">
        <v>67.0</v>
      </c>
      <c r="E3426" s="52" t="s">
        <v>25</v>
      </c>
      <c r="F3426" s="52" t="s">
        <v>26</v>
      </c>
      <c r="G3426" s="53"/>
    </row>
    <row r="3427">
      <c r="A3427" s="49">
        <v>44730.52025543981</v>
      </c>
      <c r="B3427" s="50">
        <v>44730.6452266087</v>
      </c>
      <c r="C3427" s="51">
        <v>1.006</v>
      </c>
      <c r="D3427" s="51">
        <v>67.0</v>
      </c>
      <c r="E3427" s="52" t="s">
        <v>25</v>
      </c>
      <c r="F3427" s="52" t="s">
        <v>26</v>
      </c>
      <c r="G3427" s="53"/>
    </row>
    <row r="3428">
      <c r="A3428" s="49">
        <v>44730.53067506944</v>
      </c>
      <c r="B3428" s="50">
        <v>44730.6556487847</v>
      </c>
      <c r="C3428" s="51">
        <v>1.006</v>
      </c>
      <c r="D3428" s="51">
        <v>67.0</v>
      </c>
      <c r="E3428" s="52" t="s">
        <v>25</v>
      </c>
      <c r="F3428" s="52" t="s">
        <v>26</v>
      </c>
      <c r="G3428" s="53"/>
    </row>
    <row r="3429">
      <c r="A3429" s="49">
        <v>44730.54109400463</v>
      </c>
      <c r="B3429" s="50">
        <v>44730.6660699189</v>
      </c>
      <c r="C3429" s="51">
        <v>1.005</v>
      </c>
      <c r="D3429" s="51">
        <v>67.0</v>
      </c>
      <c r="E3429" s="52" t="s">
        <v>25</v>
      </c>
      <c r="F3429" s="52" t="s">
        <v>26</v>
      </c>
      <c r="G3429" s="53"/>
    </row>
    <row r="3430">
      <c r="A3430" s="49">
        <v>44730.55152606481</v>
      </c>
      <c r="B3430" s="50">
        <v>44730.6764937615</v>
      </c>
      <c r="C3430" s="51">
        <v>1.005</v>
      </c>
      <c r="D3430" s="51">
        <v>67.0</v>
      </c>
      <c r="E3430" s="52" t="s">
        <v>25</v>
      </c>
      <c r="F3430" s="52" t="s">
        <v>26</v>
      </c>
      <c r="G3430" s="53"/>
    </row>
    <row r="3431">
      <c r="A3431" s="49">
        <v>44730.56194310186</v>
      </c>
      <c r="B3431" s="50">
        <v>44730.6869180092</v>
      </c>
      <c r="C3431" s="51">
        <v>1.006</v>
      </c>
      <c r="D3431" s="51">
        <v>67.0</v>
      </c>
      <c r="E3431" s="52" t="s">
        <v>25</v>
      </c>
      <c r="F3431" s="52" t="s">
        <v>26</v>
      </c>
      <c r="G3431" s="53"/>
    </row>
    <row r="3432">
      <c r="A3432" s="49">
        <v>44730.57236451389</v>
      </c>
      <c r="B3432" s="50">
        <v>44730.6973389467</v>
      </c>
      <c r="C3432" s="51">
        <v>1.006</v>
      </c>
      <c r="D3432" s="51">
        <v>67.0</v>
      </c>
      <c r="E3432" s="52" t="s">
        <v>25</v>
      </c>
      <c r="F3432" s="52" t="s">
        <v>26</v>
      </c>
      <c r="G3432" s="53"/>
    </row>
    <row r="3433">
      <c r="A3433" s="49">
        <v>44730.58279400463</v>
      </c>
      <c r="B3433" s="50">
        <v>44730.7077730324</v>
      </c>
      <c r="C3433" s="51">
        <v>1.005</v>
      </c>
      <c r="D3433" s="51">
        <v>67.0</v>
      </c>
      <c r="E3433" s="52" t="s">
        <v>25</v>
      </c>
      <c r="F3433" s="52" t="s">
        <v>26</v>
      </c>
      <c r="G3433" s="53"/>
    </row>
    <row r="3434">
      <c r="A3434" s="49">
        <v>44730.59322196759</v>
      </c>
      <c r="B3434" s="50">
        <v>44730.7181936921</v>
      </c>
      <c r="C3434" s="51">
        <v>1.006</v>
      </c>
      <c r="D3434" s="51">
        <v>67.0</v>
      </c>
      <c r="E3434" s="52" t="s">
        <v>25</v>
      </c>
      <c r="F3434" s="52" t="s">
        <v>26</v>
      </c>
      <c r="G3434" s="53"/>
    </row>
    <row r="3435">
      <c r="A3435" s="49">
        <v>44730.60364335648</v>
      </c>
      <c r="B3435" s="50">
        <v>44730.7286151157</v>
      </c>
      <c r="C3435" s="51">
        <v>1.006</v>
      </c>
      <c r="D3435" s="51">
        <v>67.0</v>
      </c>
      <c r="E3435" s="52" t="s">
        <v>25</v>
      </c>
      <c r="F3435" s="52" t="s">
        <v>26</v>
      </c>
      <c r="G3435" s="53"/>
    </row>
    <row r="3436">
      <c r="A3436" s="49">
        <v>44730.614065601854</v>
      </c>
      <c r="B3436" s="50">
        <v>44730.7390373148</v>
      </c>
      <c r="C3436" s="51">
        <v>1.006</v>
      </c>
      <c r="D3436" s="51">
        <v>67.0</v>
      </c>
      <c r="E3436" s="52" t="s">
        <v>25</v>
      </c>
      <c r="F3436" s="52" t="s">
        <v>26</v>
      </c>
      <c r="G3436" s="53"/>
    </row>
    <row r="3437">
      <c r="A3437" s="49">
        <v>44730.62449461805</v>
      </c>
      <c r="B3437" s="50">
        <v>44730.7494689467</v>
      </c>
      <c r="C3437" s="51">
        <v>1.005</v>
      </c>
      <c r="D3437" s="51">
        <v>67.0</v>
      </c>
      <c r="E3437" s="52" t="s">
        <v>25</v>
      </c>
      <c r="F3437" s="52" t="s">
        <v>26</v>
      </c>
      <c r="G3437" s="53"/>
    </row>
    <row r="3438">
      <c r="A3438" s="49">
        <v>44730.63494260417</v>
      </c>
      <c r="B3438" s="50">
        <v>44730.7599131944</v>
      </c>
      <c r="C3438" s="51">
        <v>1.005</v>
      </c>
      <c r="D3438" s="51">
        <v>67.0</v>
      </c>
      <c r="E3438" s="52" t="s">
        <v>25</v>
      </c>
      <c r="F3438" s="52" t="s">
        <v>26</v>
      </c>
      <c r="G3438" s="53"/>
    </row>
    <row r="3439">
      <c r="A3439" s="49">
        <v>44730.645373113424</v>
      </c>
      <c r="B3439" s="50">
        <v>44730.7703462963</v>
      </c>
      <c r="C3439" s="51">
        <v>1.006</v>
      </c>
      <c r="D3439" s="51">
        <v>67.0</v>
      </c>
      <c r="E3439" s="52" t="s">
        <v>25</v>
      </c>
      <c r="F3439" s="52" t="s">
        <v>26</v>
      </c>
      <c r="G3439" s="53"/>
    </row>
    <row r="3440">
      <c r="A3440" s="49">
        <v>44730.65580262731</v>
      </c>
      <c r="B3440" s="50">
        <v>44730.7807804282</v>
      </c>
      <c r="C3440" s="51">
        <v>1.006</v>
      </c>
      <c r="D3440" s="51">
        <v>67.0</v>
      </c>
      <c r="E3440" s="52" t="s">
        <v>25</v>
      </c>
      <c r="F3440" s="52" t="s">
        <v>26</v>
      </c>
      <c r="G3440" s="53"/>
    </row>
    <row r="3441">
      <c r="A3441" s="49">
        <v>44730.66622745371</v>
      </c>
      <c r="B3441" s="50">
        <v>44730.7912018981</v>
      </c>
      <c r="C3441" s="51">
        <v>1.006</v>
      </c>
      <c r="D3441" s="51">
        <v>67.0</v>
      </c>
      <c r="E3441" s="52" t="s">
        <v>25</v>
      </c>
      <c r="F3441" s="52" t="s">
        <v>26</v>
      </c>
      <c r="G3441" s="53"/>
    </row>
    <row r="3442">
      <c r="A3442" s="49">
        <v>44730.67665065972</v>
      </c>
      <c r="B3442" s="50">
        <v>44730.8016232407</v>
      </c>
      <c r="C3442" s="51">
        <v>1.006</v>
      </c>
      <c r="D3442" s="51">
        <v>67.0</v>
      </c>
      <c r="E3442" s="52" t="s">
        <v>25</v>
      </c>
      <c r="F3442" s="52" t="s">
        <v>26</v>
      </c>
      <c r="G3442" s="53"/>
    </row>
    <row r="3443">
      <c r="A3443" s="49">
        <v>44730.687061840275</v>
      </c>
      <c r="B3443" s="50">
        <v>44730.8120443981</v>
      </c>
      <c r="C3443" s="51">
        <v>1.006</v>
      </c>
      <c r="D3443" s="51">
        <v>67.0</v>
      </c>
      <c r="E3443" s="52" t="s">
        <v>25</v>
      </c>
      <c r="F3443" s="52" t="s">
        <v>26</v>
      </c>
      <c r="G3443" s="53"/>
    </row>
    <row r="3444">
      <c r="A3444" s="49">
        <v>44730.697494259264</v>
      </c>
      <c r="B3444" s="50">
        <v>44730.8224650347</v>
      </c>
      <c r="C3444" s="51">
        <v>1.006</v>
      </c>
      <c r="D3444" s="51">
        <v>67.0</v>
      </c>
      <c r="E3444" s="52" t="s">
        <v>25</v>
      </c>
      <c r="F3444" s="52" t="s">
        <v>26</v>
      </c>
      <c r="G3444" s="53"/>
    </row>
    <row r="3445">
      <c r="A3445" s="49">
        <v>44730.70791334491</v>
      </c>
      <c r="B3445" s="50">
        <v>44730.8328849884</v>
      </c>
      <c r="C3445" s="51">
        <v>1.005</v>
      </c>
      <c r="D3445" s="51">
        <v>67.0</v>
      </c>
      <c r="E3445" s="52" t="s">
        <v>25</v>
      </c>
      <c r="F3445" s="52" t="s">
        <v>26</v>
      </c>
      <c r="G3445" s="53"/>
    </row>
    <row r="3446">
      <c r="A3446" s="49">
        <v>44730.71833005787</v>
      </c>
      <c r="B3446" s="50">
        <v>44730.8433059375</v>
      </c>
      <c r="C3446" s="51">
        <v>1.006</v>
      </c>
      <c r="D3446" s="51">
        <v>67.0</v>
      </c>
      <c r="E3446" s="52" t="s">
        <v>25</v>
      </c>
      <c r="F3446" s="52" t="s">
        <v>26</v>
      </c>
      <c r="G3446" s="53"/>
    </row>
    <row r="3447">
      <c r="A3447" s="49">
        <v>44730.72874805555</v>
      </c>
      <c r="B3447" s="50">
        <v>44730.8537278125</v>
      </c>
      <c r="C3447" s="51">
        <v>1.006</v>
      </c>
      <c r="D3447" s="51">
        <v>67.0</v>
      </c>
      <c r="E3447" s="52" t="s">
        <v>25</v>
      </c>
      <c r="F3447" s="52" t="s">
        <v>26</v>
      </c>
      <c r="G3447" s="53"/>
    </row>
    <row r="3448">
      <c r="A3448" s="49">
        <v>44730.73916833333</v>
      </c>
      <c r="B3448" s="50">
        <v>44730.8641492129</v>
      </c>
      <c r="C3448" s="51">
        <v>1.006</v>
      </c>
      <c r="D3448" s="51">
        <v>67.0</v>
      </c>
      <c r="E3448" s="52" t="s">
        <v>25</v>
      </c>
      <c r="F3448" s="52" t="s">
        <v>26</v>
      </c>
      <c r="G3448" s="53"/>
    </row>
    <row r="3449">
      <c r="A3449" s="49">
        <v>44730.74959607639</v>
      </c>
      <c r="B3449" s="50">
        <v>44730.8745708333</v>
      </c>
      <c r="C3449" s="51">
        <v>1.006</v>
      </c>
      <c r="D3449" s="51">
        <v>67.0</v>
      </c>
      <c r="E3449" s="52" t="s">
        <v>25</v>
      </c>
      <c r="F3449" s="52" t="s">
        <v>26</v>
      </c>
      <c r="G3449" s="53"/>
    </row>
    <row r="3450">
      <c r="A3450" s="49">
        <v>44730.76001460648</v>
      </c>
      <c r="B3450" s="50">
        <v>44730.8849919675</v>
      </c>
      <c r="C3450" s="51">
        <v>1.006</v>
      </c>
      <c r="D3450" s="51">
        <v>67.0</v>
      </c>
      <c r="E3450" s="52" t="s">
        <v>25</v>
      </c>
      <c r="F3450" s="52" t="s">
        <v>26</v>
      </c>
      <c r="G3450" s="53"/>
    </row>
    <row r="3451">
      <c r="A3451" s="49">
        <v>44730.77043849537</v>
      </c>
      <c r="B3451" s="50">
        <v>44730.8954122106</v>
      </c>
      <c r="C3451" s="51">
        <v>1.006</v>
      </c>
      <c r="D3451" s="51">
        <v>67.0</v>
      </c>
      <c r="E3451" s="52" t="s">
        <v>25</v>
      </c>
      <c r="F3451" s="52" t="s">
        <v>26</v>
      </c>
      <c r="G3451" s="53"/>
    </row>
    <row r="3452">
      <c r="A3452" s="49">
        <v>44730.78085267361</v>
      </c>
      <c r="B3452" s="50">
        <v>44730.9058345023</v>
      </c>
      <c r="C3452" s="51">
        <v>1.006</v>
      </c>
      <c r="D3452" s="51">
        <v>67.0</v>
      </c>
      <c r="E3452" s="52" t="s">
        <v>25</v>
      </c>
      <c r="F3452" s="52" t="s">
        <v>26</v>
      </c>
      <c r="G3452" s="53"/>
    </row>
    <row r="3453">
      <c r="A3453" s="49">
        <v>44730.79128269676</v>
      </c>
      <c r="B3453" s="50">
        <v>44730.9162563078</v>
      </c>
      <c r="C3453" s="51">
        <v>1.006</v>
      </c>
      <c r="D3453" s="51">
        <v>67.0</v>
      </c>
      <c r="E3453" s="52" t="s">
        <v>25</v>
      </c>
      <c r="F3453" s="52" t="s">
        <v>26</v>
      </c>
      <c r="G3453" s="53"/>
    </row>
    <row r="3454">
      <c r="A3454" s="49">
        <v>44730.801703425925</v>
      </c>
      <c r="B3454" s="50">
        <v>44730.926678287</v>
      </c>
      <c r="C3454" s="51">
        <v>1.006</v>
      </c>
      <c r="D3454" s="51">
        <v>67.0</v>
      </c>
      <c r="E3454" s="52" t="s">
        <v>25</v>
      </c>
      <c r="F3454" s="52" t="s">
        <v>26</v>
      </c>
      <c r="G3454" s="53"/>
    </row>
    <row r="3455">
      <c r="A3455" s="49">
        <v>44730.812123738426</v>
      </c>
      <c r="B3455" s="50">
        <v>44730.9370993287</v>
      </c>
      <c r="C3455" s="51">
        <v>1.006</v>
      </c>
      <c r="D3455" s="51">
        <v>67.0</v>
      </c>
      <c r="E3455" s="52" t="s">
        <v>25</v>
      </c>
      <c r="F3455" s="52" t="s">
        <v>26</v>
      </c>
      <c r="G3455" s="53"/>
    </row>
    <row r="3456">
      <c r="A3456" s="49">
        <v>44730.822538125</v>
      </c>
      <c r="B3456" s="50">
        <v>44730.9475206018</v>
      </c>
      <c r="C3456" s="51">
        <v>1.005</v>
      </c>
      <c r="D3456" s="51">
        <v>68.0</v>
      </c>
      <c r="E3456" s="52" t="s">
        <v>25</v>
      </c>
      <c r="F3456" s="52" t="s">
        <v>26</v>
      </c>
      <c r="G3456" s="53"/>
    </row>
    <row r="3457">
      <c r="A3457" s="49">
        <v>44730.832969745374</v>
      </c>
      <c r="B3457" s="50">
        <v>44730.9579406828</v>
      </c>
      <c r="C3457" s="51">
        <v>1.006</v>
      </c>
      <c r="D3457" s="51">
        <v>68.0</v>
      </c>
      <c r="E3457" s="52" t="s">
        <v>25</v>
      </c>
      <c r="F3457" s="52" t="s">
        <v>26</v>
      </c>
      <c r="G3457" s="53"/>
    </row>
    <row r="3458">
      <c r="A3458" s="49">
        <v>44730.84338902778</v>
      </c>
      <c r="B3458" s="50">
        <v>44730.9683632638</v>
      </c>
      <c r="C3458" s="51">
        <v>1.006</v>
      </c>
      <c r="D3458" s="51">
        <v>67.0</v>
      </c>
      <c r="E3458" s="52" t="s">
        <v>25</v>
      </c>
      <c r="F3458" s="52" t="s">
        <v>26</v>
      </c>
      <c r="G3458" s="53"/>
    </row>
    <row r="3459">
      <c r="A3459" s="49">
        <v>44730.85382167824</v>
      </c>
      <c r="B3459" s="50">
        <v>44730.9787974652</v>
      </c>
      <c r="C3459" s="51">
        <v>1.005</v>
      </c>
      <c r="D3459" s="51">
        <v>68.0</v>
      </c>
      <c r="E3459" s="52" t="s">
        <v>25</v>
      </c>
      <c r="F3459" s="52" t="s">
        <v>26</v>
      </c>
      <c r="G3459" s="53"/>
    </row>
    <row r="3460">
      <c r="A3460" s="49">
        <v>44730.86426379629</v>
      </c>
      <c r="B3460" s="50">
        <v>44730.9892426273</v>
      </c>
      <c r="C3460" s="51">
        <v>1.006</v>
      </c>
      <c r="D3460" s="51">
        <v>68.0</v>
      </c>
      <c r="E3460" s="52" t="s">
        <v>25</v>
      </c>
      <c r="F3460" s="52" t="s">
        <v>26</v>
      </c>
      <c r="G3460" s="53"/>
    </row>
    <row r="3461">
      <c r="A3461" s="49">
        <v>44730.87467923611</v>
      </c>
      <c r="B3461" s="50">
        <v>44730.9996631828</v>
      </c>
      <c r="C3461" s="51">
        <v>1.006</v>
      </c>
      <c r="D3461" s="51">
        <v>68.0</v>
      </c>
      <c r="E3461" s="52" t="s">
        <v>25</v>
      </c>
      <c r="F3461" s="52" t="s">
        <v>26</v>
      </c>
      <c r="G3461" s="53"/>
    </row>
    <row r="3462">
      <c r="A3462" s="49">
        <v>44730.88511053241</v>
      </c>
      <c r="B3462" s="50">
        <v>44731.0100827083</v>
      </c>
      <c r="C3462" s="51">
        <v>1.006</v>
      </c>
      <c r="D3462" s="51">
        <v>68.0</v>
      </c>
      <c r="E3462" s="52" t="s">
        <v>25</v>
      </c>
      <c r="F3462" s="52" t="s">
        <v>26</v>
      </c>
      <c r="G3462" s="53"/>
    </row>
    <row r="3463">
      <c r="A3463" s="49">
        <v>44730.89553548611</v>
      </c>
      <c r="B3463" s="50">
        <v>44731.020504375</v>
      </c>
      <c r="C3463" s="51">
        <v>1.005</v>
      </c>
      <c r="D3463" s="51">
        <v>68.0</v>
      </c>
      <c r="E3463" s="52" t="s">
        <v>25</v>
      </c>
      <c r="F3463" s="52" t="s">
        <v>26</v>
      </c>
      <c r="G3463" s="53"/>
    </row>
    <row r="3464">
      <c r="A3464" s="49">
        <v>44730.9059537037</v>
      </c>
      <c r="B3464" s="50">
        <v>44731.0309258449</v>
      </c>
      <c r="C3464" s="51">
        <v>1.005</v>
      </c>
      <c r="D3464" s="51">
        <v>68.0</v>
      </c>
      <c r="E3464" s="52" t="s">
        <v>25</v>
      </c>
      <c r="F3464" s="52" t="s">
        <v>26</v>
      </c>
      <c r="G3464" s="53"/>
    </row>
    <row r="3465">
      <c r="A3465" s="49">
        <v>44730.91639290509</v>
      </c>
      <c r="B3465" s="50">
        <v>44731.0413708101</v>
      </c>
      <c r="C3465" s="51">
        <v>1.005</v>
      </c>
      <c r="D3465" s="51">
        <v>68.0</v>
      </c>
      <c r="E3465" s="52" t="s">
        <v>25</v>
      </c>
      <c r="F3465" s="52" t="s">
        <v>26</v>
      </c>
      <c r="G3465" s="53"/>
    </row>
    <row r="3466">
      <c r="A3466" s="49">
        <v>44730.926820057866</v>
      </c>
      <c r="B3466" s="50">
        <v>44731.0518028819</v>
      </c>
      <c r="C3466" s="51">
        <v>1.006</v>
      </c>
      <c r="D3466" s="51">
        <v>68.0</v>
      </c>
      <c r="E3466" s="52" t="s">
        <v>25</v>
      </c>
      <c r="F3466" s="52" t="s">
        <v>26</v>
      </c>
      <c r="G3466" s="53"/>
    </row>
    <row r="3467">
      <c r="A3467" s="49">
        <v>44730.9372569213</v>
      </c>
      <c r="B3467" s="50">
        <v>44731.062225405</v>
      </c>
      <c r="C3467" s="51">
        <v>1.005</v>
      </c>
      <c r="D3467" s="51">
        <v>68.0</v>
      </c>
      <c r="E3467" s="52" t="s">
        <v>25</v>
      </c>
      <c r="F3467" s="52" t="s">
        <v>26</v>
      </c>
      <c r="G3467" s="53"/>
    </row>
    <row r="3468">
      <c r="A3468" s="49">
        <v>44730.94769777778</v>
      </c>
      <c r="B3468" s="50">
        <v>44731.0726695486</v>
      </c>
      <c r="C3468" s="51">
        <v>1.005</v>
      </c>
      <c r="D3468" s="51">
        <v>68.0</v>
      </c>
      <c r="E3468" s="52" t="s">
        <v>25</v>
      </c>
      <c r="F3468" s="52" t="s">
        <v>26</v>
      </c>
      <c r="G3468" s="53"/>
    </row>
    <row r="3469">
      <c r="A3469" s="49">
        <v>44730.95811828704</v>
      </c>
      <c r="B3469" s="50">
        <v>44731.0830904282</v>
      </c>
      <c r="C3469" s="51">
        <v>1.006</v>
      </c>
      <c r="D3469" s="51">
        <v>68.0</v>
      </c>
      <c r="E3469" s="52" t="s">
        <v>25</v>
      </c>
      <c r="F3469" s="52" t="s">
        <v>26</v>
      </c>
      <c r="G3469" s="53"/>
    </row>
    <row r="3470">
      <c r="A3470" s="49">
        <v>44730.96853569444</v>
      </c>
      <c r="B3470" s="50">
        <v>44731.0935096064</v>
      </c>
      <c r="C3470" s="51">
        <v>1.006</v>
      </c>
      <c r="D3470" s="51">
        <v>68.0</v>
      </c>
      <c r="E3470" s="52" t="s">
        <v>25</v>
      </c>
      <c r="F3470" s="52" t="s">
        <v>26</v>
      </c>
      <c r="G3470" s="53"/>
    </row>
    <row r="3471">
      <c r="A3471" s="49">
        <v>44730.97895395833</v>
      </c>
      <c r="B3471" s="50">
        <v>44731.1039315046</v>
      </c>
      <c r="C3471" s="51">
        <v>1.006</v>
      </c>
      <c r="D3471" s="51">
        <v>68.0</v>
      </c>
      <c r="E3471" s="52" t="s">
        <v>25</v>
      </c>
      <c r="F3471" s="52" t="s">
        <v>26</v>
      </c>
      <c r="G3471" s="53"/>
    </row>
    <row r="3472">
      <c r="A3472" s="49">
        <v>44730.98938359953</v>
      </c>
      <c r="B3472" s="50">
        <v>44731.1143647222</v>
      </c>
      <c r="C3472" s="51">
        <v>1.005</v>
      </c>
      <c r="D3472" s="51">
        <v>68.0</v>
      </c>
      <c r="E3472" s="52" t="s">
        <v>25</v>
      </c>
      <c r="F3472" s="52" t="s">
        <v>26</v>
      </c>
      <c r="G3472" s="53"/>
    </row>
    <row r="3473">
      <c r="A3473" s="49">
        <v>44730.999802025464</v>
      </c>
      <c r="B3473" s="50">
        <v>44731.1247855671</v>
      </c>
      <c r="C3473" s="51">
        <v>1.006</v>
      </c>
      <c r="D3473" s="51">
        <v>68.0</v>
      </c>
      <c r="E3473" s="52" t="s">
        <v>25</v>
      </c>
      <c r="F3473" s="52" t="s">
        <v>26</v>
      </c>
      <c r="G3473" s="53"/>
    </row>
    <row r="3474">
      <c r="A3474" s="49">
        <v>44731.0102375</v>
      </c>
      <c r="B3474" s="50">
        <v>44731.1352086226</v>
      </c>
      <c r="C3474" s="51">
        <v>1.006</v>
      </c>
      <c r="D3474" s="51">
        <v>68.0</v>
      </c>
      <c r="E3474" s="52" t="s">
        <v>25</v>
      </c>
      <c r="F3474" s="52" t="s">
        <v>26</v>
      </c>
      <c r="G3474" s="53"/>
    </row>
    <row r="3475">
      <c r="A3475" s="49">
        <v>44731.02065619213</v>
      </c>
      <c r="B3475" s="50">
        <v>44731.1456293287</v>
      </c>
      <c r="C3475" s="51">
        <v>1.005</v>
      </c>
      <c r="D3475" s="51">
        <v>68.0</v>
      </c>
      <c r="E3475" s="52" t="s">
        <v>25</v>
      </c>
      <c r="F3475" s="52" t="s">
        <v>26</v>
      </c>
      <c r="G3475" s="53"/>
    </row>
    <row r="3476">
      <c r="A3476" s="49">
        <v>44731.03107412037</v>
      </c>
      <c r="B3476" s="50">
        <v>44731.1560505671</v>
      </c>
      <c r="C3476" s="51">
        <v>1.005</v>
      </c>
      <c r="D3476" s="51">
        <v>68.0</v>
      </c>
      <c r="E3476" s="52" t="s">
        <v>25</v>
      </c>
      <c r="F3476" s="52" t="s">
        <v>26</v>
      </c>
      <c r="G3476" s="53"/>
    </row>
    <row r="3477">
      <c r="A3477" s="49">
        <v>44731.04150553241</v>
      </c>
      <c r="B3477" s="50">
        <v>44731.1664837384</v>
      </c>
      <c r="C3477" s="51">
        <v>1.006</v>
      </c>
      <c r="D3477" s="51">
        <v>68.0</v>
      </c>
      <c r="E3477" s="52" t="s">
        <v>25</v>
      </c>
      <c r="F3477" s="52" t="s">
        <v>26</v>
      </c>
      <c r="G3477" s="53"/>
    </row>
    <row r="3478">
      <c r="A3478" s="49">
        <v>44731.05193332176</v>
      </c>
      <c r="B3478" s="50">
        <v>44731.1769043981</v>
      </c>
      <c r="C3478" s="51">
        <v>1.005</v>
      </c>
      <c r="D3478" s="51">
        <v>68.0</v>
      </c>
      <c r="E3478" s="52" t="s">
        <v>25</v>
      </c>
      <c r="F3478" s="52" t="s">
        <v>26</v>
      </c>
      <c r="G3478" s="53"/>
    </row>
    <row r="3479">
      <c r="A3479" s="49">
        <v>44731.06235224537</v>
      </c>
      <c r="B3479" s="50">
        <v>44731.1873253125</v>
      </c>
      <c r="C3479" s="51">
        <v>1.006</v>
      </c>
      <c r="D3479" s="51">
        <v>68.0</v>
      </c>
      <c r="E3479" s="52" t="s">
        <v>25</v>
      </c>
      <c r="F3479" s="52" t="s">
        <v>26</v>
      </c>
      <c r="G3479" s="53"/>
    </row>
    <row r="3480">
      <c r="A3480" s="49">
        <v>44731.0727843287</v>
      </c>
      <c r="B3480" s="50">
        <v>44731.1977576851</v>
      </c>
      <c r="C3480" s="51">
        <v>1.005</v>
      </c>
      <c r="D3480" s="51">
        <v>68.0</v>
      </c>
      <c r="E3480" s="52" t="s">
        <v>25</v>
      </c>
      <c r="F3480" s="52" t="s">
        <v>26</v>
      </c>
      <c r="G3480" s="53"/>
    </row>
    <row r="3481">
      <c r="A3481" s="49">
        <v>44731.083203622686</v>
      </c>
      <c r="B3481" s="50">
        <v>44731.2081792592</v>
      </c>
      <c r="C3481" s="51">
        <v>1.005</v>
      </c>
      <c r="D3481" s="51">
        <v>68.0</v>
      </c>
      <c r="E3481" s="52" t="s">
        <v>25</v>
      </c>
      <c r="F3481" s="52" t="s">
        <v>26</v>
      </c>
      <c r="G3481" s="53"/>
    </row>
    <row r="3482">
      <c r="A3482" s="49">
        <v>44731.09362966435</v>
      </c>
      <c r="B3482" s="50">
        <v>44731.218613287</v>
      </c>
      <c r="C3482" s="51">
        <v>1.006</v>
      </c>
      <c r="D3482" s="51">
        <v>68.0</v>
      </c>
      <c r="E3482" s="52" t="s">
        <v>25</v>
      </c>
      <c r="F3482" s="52" t="s">
        <v>26</v>
      </c>
      <c r="G3482" s="53"/>
    </row>
    <row r="3483">
      <c r="A3483" s="49">
        <v>44731.104062997685</v>
      </c>
      <c r="B3483" s="50">
        <v>44731.2290364351</v>
      </c>
      <c r="C3483" s="51">
        <v>1.005</v>
      </c>
      <c r="D3483" s="51">
        <v>68.0</v>
      </c>
      <c r="E3483" s="52" t="s">
        <v>25</v>
      </c>
      <c r="F3483" s="52" t="s">
        <v>26</v>
      </c>
      <c r="G3483" s="53"/>
    </row>
    <row r="3484">
      <c r="A3484" s="49">
        <v>44731.11450064815</v>
      </c>
      <c r="B3484" s="50">
        <v>44731.2394698958</v>
      </c>
      <c r="C3484" s="51">
        <v>1.005</v>
      </c>
      <c r="D3484" s="51">
        <v>68.0</v>
      </c>
      <c r="E3484" s="52" t="s">
        <v>25</v>
      </c>
      <c r="F3484" s="52" t="s">
        <v>26</v>
      </c>
      <c r="G3484" s="53"/>
    </row>
    <row r="3485">
      <c r="A3485" s="49">
        <v>44731.124911481485</v>
      </c>
      <c r="B3485" s="50">
        <v>44731.2498915046</v>
      </c>
      <c r="C3485" s="51">
        <v>1.006</v>
      </c>
      <c r="D3485" s="51">
        <v>68.0</v>
      </c>
      <c r="E3485" s="52" t="s">
        <v>25</v>
      </c>
      <c r="F3485" s="52" t="s">
        <v>26</v>
      </c>
      <c r="G3485" s="53"/>
    </row>
    <row r="3486">
      <c r="A3486" s="49">
        <v>44731.13533001157</v>
      </c>
      <c r="B3486" s="50">
        <v>44731.2603116782</v>
      </c>
      <c r="C3486" s="51">
        <v>1.006</v>
      </c>
      <c r="D3486" s="51">
        <v>68.0</v>
      </c>
      <c r="E3486" s="52" t="s">
        <v>25</v>
      </c>
      <c r="F3486" s="52" t="s">
        <v>26</v>
      </c>
      <c r="G3486" s="53"/>
    </row>
    <row r="3487">
      <c r="A3487" s="49">
        <v>44731.14575344908</v>
      </c>
      <c r="B3487" s="50">
        <v>44731.2707330092</v>
      </c>
      <c r="C3487" s="51">
        <v>1.006</v>
      </c>
      <c r="D3487" s="51">
        <v>68.0</v>
      </c>
      <c r="E3487" s="52" t="s">
        <v>25</v>
      </c>
      <c r="F3487" s="52" t="s">
        <v>26</v>
      </c>
      <c r="G3487" s="53"/>
    </row>
    <row r="3488">
      <c r="A3488" s="49">
        <v>44731.15618491898</v>
      </c>
      <c r="B3488" s="50">
        <v>44731.2811656828</v>
      </c>
      <c r="C3488" s="51">
        <v>1.006</v>
      </c>
      <c r="D3488" s="51">
        <v>68.0</v>
      </c>
      <c r="E3488" s="52" t="s">
        <v>25</v>
      </c>
      <c r="F3488" s="52" t="s">
        <v>26</v>
      </c>
      <c r="G3488" s="53"/>
    </row>
    <row r="3489">
      <c r="A3489" s="49">
        <v>44731.16663331019</v>
      </c>
      <c r="B3489" s="50">
        <v>44731.2916104282</v>
      </c>
      <c r="C3489" s="51">
        <v>1.006</v>
      </c>
      <c r="D3489" s="51">
        <v>68.0</v>
      </c>
      <c r="E3489" s="52" t="s">
        <v>25</v>
      </c>
      <c r="F3489" s="52" t="s">
        <v>26</v>
      </c>
      <c r="G3489" s="53"/>
    </row>
    <row r="3490">
      <c r="A3490" s="49">
        <v>44731.17704894676</v>
      </c>
      <c r="B3490" s="50">
        <v>44731.3020322685</v>
      </c>
      <c r="C3490" s="51">
        <v>1.005</v>
      </c>
      <c r="D3490" s="51">
        <v>68.0</v>
      </c>
      <c r="E3490" s="52" t="s">
        <v>25</v>
      </c>
      <c r="F3490" s="52" t="s">
        <v>26</v>
      </c>
      <c r="G3490" s="53"/>
    </row>
    <row r="3491">
      <c r="A3491" s="49">
        <v>44731.1874928125</v>
      </c>
      <c r="B3491" s="50">
        <v>44731.3124656134</v>
      </c>
      <c r="C3491" s="51">
        <v>1.005</v>
      </c>
      <c r="D3491" s="51">
        <v>68.0</v>
      </c>
      <c r="E3491" s="52" t="s">
        <v>25</v>
      </c>
      <c r="F3491" s="52" t="s">
        <v>26</v>
      </c>
      <c r="G3491" s="53"/>
    </row>
    <row r="3492">
      <c r="A3492" s="49">
        <v>44731.1979096875</v>
      </c>
      <c r="B3492" s="50">
        <v>44731.3228878125</v>
      </c>
      <c r="C3492" s="51">
        <v>1.005</v>
      </c>
      <c r="D3492" s="51">
        <v>68.0</v>
      </c>
      <c r="E3492" s="52" t="s">
        <v>25</v>
      </c>
      <c r="F3492" s="52" t="s">
        <v>26</v>
      </c>
      <c r="G3492" s="53"/>
    </row>
    <row r="3493">
      <c r="A3493" s="49">
        <v>44731.2083296875</v>
      </c>
      <c r="B3493" s="50">
        <v>44731.3333082986</v>
      </c>
      <c r="C3493" s="51">
        <v>1.005</v>
      </c>
      <c r="D3493" s="51">
        <v>68.0</v>
      </c>
      <c r="E3493" s="52" t="s">
        <v>25</v>
      </c>
      <c r="F3493" s="52" t="s">
        <v>26</v>
      </c>
      <c r="G3493" s="53"/>
    </row>
    <row r="3494">
      <c r="A3494" s="49">
        <v>44731.21875028935</v>
      </c>
      <c r="B3494" s="50">
        <v>44731.3437298958</v>
      </c>
      <c r="C3494" s="51">
        <v>1.005</v>
      </c>
      <c r="D3494" s="51">
        <v>68.0</v>
      </c>
      <c r="E3494" s="52" t="s">
        <v>25</v>
      </c>
      <c r="F3494" s="52" t="s">
        <v>26</v>
      </c>
      <c r="G3494" s="53"/>
    </row>
    <row r="3495">
      <c r="A3495" s="49">
        <v>44731.22917199074</v>
      </c>
      <c r="B3495" s="50">
        <v>44731.3541501157</v>
      </c>
      <c r="C3495" s="51">
        <v>1.005</v>
      </c>
      <c r="D3495" s="51">
        <v>68.0</v>
      </c>
      <c r="E3495" s="52" t="s">
        <v>25</v>
      </c>
      <c r="F3495" s="52" t="s">
        <v>26</v>
      </c>
      <c r="G3495" s="53"/>
    </row>
    <row r="3496">
      <c r="A3496" s="49">
        <v>44731.23960001157</v>
      </c>
      <c r="B3496" s="50">
        <v>44731.3645723495</v>
      </c>
      <c r="C3496" s="51">
        <v>1.005</v>
      </c>
      <c r="D3496" s="51">
        <v>68.0</v>
      </c>
      <c r="E3496" s="52" t="s">
        <v>25</v>
      </c>
      <c r="F3496" s="52" t="s">
        <v>26</v>
      </c>
      <c r="G3496" s="53"/>
    </row>
    <row r="3497">
      <c r="A3497" s="49">
        <v>44731.250021342596</v>
      </c>
      <c r="B3497" s="50">
        <v>44731.374993287</v>
      </c>
      <c r="C3497" s="51">
        <v>1.006</v>
      </c>
      <c r="D3497" s="51">
        <v>68.0</v>
      </c>
      <c r="E3497" s="52" t="s">
        <v>25</v>
      </c>
      <c r="F3497" s="52" t="s">
        <v>26</v>
      </c>
      <c r="G3497" s="53"/>
    </row>
    <row r="3498">
      <c r="A3498" s="49">
        <v>44731.26046608796</v>
      </c>
      <c r="B3498" s="50">
        <v>44731.3854378472</v>
      </c>
      <c r="C3498" s="51">
        <v>1.005</v>
      </c>
      <c r="D3498" s="51">
        <v>68.0</v>
      </c>
      <c r="E3498" s="52" t="s">
        <v>25</v>
      </c>
      <c r="F3498" s="52" t="s">
        <v>26</v>
      </c>
      <c r="G3498" s="53"/>
    </row>
    <row r="3499">
      <c r="A3499" s="49">
        <v>44731.27088589121</v>
      </c>
      <c r="B3499" s="50">
        <v>44731.3958577199</v>
      </c>
      <c r="C3499" s="51">
        <v>1.006</v>
      </c>
      <c r="D3499" s="51">
        <v>68.0</v>
      </c>
      <c r="E3499" s="52" t="s">
        <v>25</v>
      </c>
      <c r="F3499" s="52" t="s">
        <v>26</v>
      </c>
      <c r="G3499" s="53"/>
    </row>
    <row r="3500">
      <c r="A3500" s="49">
        <v>44731.28130584491</v>
      </c>
      <c r="B3500" s="50">
        <v>44731.4062786805</v>
      </c>
      <c r="C3500" s="51">
        <v>1.005</v>
      </c>
      <c r="D3500" s="51">
        <v>68.0</v>
      </c>
      <c r="E3500" s="52" t="s">
        <v>25</v>
      </c>
      <c r="F3500" s="52" t="s">
        <v>26</v>
      </c>
      <c r="G3500" s="53"/>
    </row>
    <row r="3501">
      <c r="A3501" s="49">
        <v>44731.29173789352</v>
      </c>
      <c r="B3501" s="50">
        <v>44731.4167117129</v>
      </c>
      <c r="C3501" s="51">
        <v>1.006</v>
      </c>
      <c r="D3501" s="51">
        <v>68.0</v>
      </c>
      <c r="E3501" s="52" t="s">
        <v>25</v>
      </c>
      <c r="F3501" s="52" t="s">
        <v>26</v>
      </c>
      <c r="G3501" s="53"/>
    </row>
    <row r="3502">
      <c r="A3502" s="49">
        <v>44731.302172129625</v>
      </c>
      <c r="B3502" s="50">
        <v>44731.4271438078</v>
      </c>
      <c r="C3502" s="51">
        <v>1.005</v>
      </c>
      <c r="D3502" s="51">
        <v>68.0</v>
      </c>
      <c r="E3502" s="52" t="s">
        <v>25</v>
      </c>
      <c r="F3502" s="52" t="s">
        <v>26</v>
      </c>
      <c r="G3502" s="53"/>
    </row>
    <row r="3503">
      <c r="A3503" s="49">
        <v>44731.312636006944</v>
      </c>
      <c r="B3503" s="50">
        <v>44731.4376105092</v>
      </c>
      <c r="C3503" s="51">
        <v>1.005</v>
      </c>
      <c r="D3503" s="51">
        <v>68.0</v>
      </c>
      <c r="E3503" s="52" t="s">
        <v>25</v>
      </c>
      <c r="F3503" s="52" t="s">
        <v>26</v>
      </c>
      <c r="G3503" s="53"/>
    </row>
    <row r="3504">
      <c r="A3504" s="49">
        <v>44731.323061296294</v>
      </c>
      <c r="B3504" s="50">
        <v>44731.448042824</v>
      </c>
      <c r="C3504" s="51">
        <v>1.005</v>
      </c>
      <c r="D3504" s="51">
        <v>68.0</v>
      </c>
      <c r="E3504" s="52" t="s">
        <v>25</v>
      </c>
      <c r="F3504" s="52" t="s">
        <v>26</v>
      </c>
      <c r="G3504" s="53"/>
    </row>
    <row r="3505">
      <c r="A3505" s="49">
        <v>44731.333503761576</v>
      </c>
      <c r="B3505" s="50">
        <v>44731.45847603</v>
      </c>
      <c r="C3505" s="51">
        <v>1.005</v>
      </c>
      <c r="D3505" s="51">
        <v>68.0</v>
      </c>
      <c r="E3505" s="52" t="s">
        <v>25</v>
      </c>
      <c r="F3505" s="52" t="s">
        <v>26</v>
      </c>
      <c r="G3505" s="53"/>
    </row>
    <row r="3506">
      <c r="A3506" s="49">
        <v>44731.343925243054</v>
      </c>
      <c r="B3506" s="50">
        <v>44731.4688976388</v>
      </c>
      <c r="C3506" s="51">
        <v>1.006</v>
      </c>
      <c r="D3506" s="51">
        <v>68.0</v>
      </c>
      <c r="E3506" s="52" t="s">
        <v>25</v>
      </c>
      <c r="F3506" s="52" t="s">
        <v>26</v>
      </c>
      <c r="G3506" s="53"/>
    </row>
    <row r="3507">
      <c r="A3507" s="49">
        <v>44731.354346875</v>
      </c>
      <c r="B3507" s="50">
        <v>44731.4793197453</v>
      </c>
      <c r="C3507" s="51">
        <v>1.006</v>
      </c>
      <c r="D3507" s="51">
        <v>68.0</v>
      </c>
      <c r="E3507" s="52" t="s">
        <v>25</v>
      </c>
      <c r="F3507" s="52" t="s">
        <v>26</v>
      </c>
      <c r="G3507" s="53"/>
    </row>
    <row r="3508">
      <c r="A3508" s="49">
        <v>44731.36476340277</v>
      </c>
      <c r="B3508" s="50">
        <v>44731.4897406018</v>
      </c>
      <c r="C3508" s="51">
        <v>1.005</v>
      </c>
      <c r="D3508" s="51">
        <v>68.0</v>
      </c>
      <c r="E3508" s="52" t="s">
        <v>25</v>
      </c>
      <c r="F3508" s="52" t="s">
        <v>26</v>
      </c>
      <c r="G3508" s="53"/>
    </row>
    <row r="3509">
      <c r="A3509" s="49">
        <v>44731.375184062505</v>
      </c>
      <c r="B3509" s="50">
        <v>44731.5001614236</v>
      </c>
      <c r="C3509" s="51">
        <v>1.005</v>
      </c>
      <c r="D3509" s="51">
        <v>68.0</v>
      </c>
      <c r="E3509" s="52" t="s">
        <v>25</v>
      </c>
      <c r="F3509" s="52" t="s">
        <v>26</v>
      </c>
      <c r="G3509" s="53"/>
    </row>
    <row r="3510">
      <c r="A3510" s="49">
        <v>44731.38559902778</v>
      </c>
      <c r="B3510" s="50">
        <v>44731.5105825463</v>
      </c>
      <c r="C3510" s="51">
        <v>1.005</v>
      </c>
      <c r="D3510" s="51">
        <v>68.0</v>
      </c>
      <c r="E3510" s="52" t="s">
        <v>25</v>
      </c>
      <c r="F3510" s="52" t="s">
        <v>26</v>
      </c>
      <c r="G3510" s="53"/>
    </row>
    <row r="3511">
      <c r="A3511" s="49">
        <v>44731.396034363424</v>
      </c>
      <c r="B3511" s="50">
        <v>44731.5210147685</v>
      </c>
      <c r="C3511" s="51">
        <v>1.005</v>
      </c>
      <c r="D3511" s="51">
        <v>68.0</v>
      </c>
      <c r="E3511" s="52" t="s">
        <v>25</v>
      </c>
      <c r="F3511" s="52" t="s">
        <v>26</v>
      </c>
      <c r="G3511" s="53"/>
    </row>
    <row r="3512">
      <c r="A3512" s="49">
        <v>44731.40645765046</v>
      </c>
      <c r="B3512" s="50">
        <v>44731.5314336805</v>
      </c>
      <c r="C3512" s="51">
        <v>1.005</v>
      </c>
      <c r="D3512" s="51">
        <v>68.0</v>
      </c>
      <c r="E3512" s="52" t="s">
        <v>25</v>
      </c>
      <c r="F3512" s="52" t="s">
        <v>26</v>
      </c>
      <c r="G3512" s="53"/>
    </row>
    <row r="3513">
      <c r="A3513" s="49">
        <v>44731.41687429398</v>
      </c>
      <c r="B3513" s="50">
        <v>44731.5418543402</v>
      </c>
      <c r="C3513" s="51">
        <v>1.005</v>
      </c>
      <c r="D3513" s="51">
        <v>68.0</v>
      </c>
      <c r="E3513" s="52" t="s">
        <v>25</v>
      </c>
      <c r="F3513" s="52" t="s">
        <v>26</v>
      </c>
      <c r="G3513" s="53"/>
    </row>
    <row r="3514">
      <c r="A3514" s="49">
        <v>44731.42729591436</v>
      </c>
      <c r="B3514" s="50">
        <v>44731.5522753588</v>
      </c>
      <c r="C3514" s="51">
        <v>1.005</v>
      </c>
      <c r="D3514" s="51">
        <v>68.0</v>
      </c>
      <c r="E3514" s="52" t="s">
        <v>25</v>
      </c>
      <c r="F3514" s="52" t="s">
        <v>26</v>
      </c>
      <c r="G3514" s="53"/>
    </row>
    <row r="3515">
      <c r="A3515" s="49">
        <v>44731.43772215278</v>
      </c>
      <c r="B3515" s="50">
        <v>44731.5626965277</v>
      </c>
      <c r="C3515" s="51">
        <v>1.005</v>
      </c>
      <c r="D3515" s="51">
        <v>68.0</v>
      </c>
      <c r="E3515" s="52" t="s">
        <v>25</v>
      </c>
      <c r="F3515" s="52" t="s">
        <v>26</v>
      </c>
      <c r="G3515" s="53"/>
    </row>
    <row r="3516">
      <c r="A3516" s="49">
        <v>44731.44814394676</v>
      </c>
      <c r="B3516" s="50">
        <v>44731.5731186574</v>
      </c>
      <c r="C3516" s="51">
        <v>1.005</v>
      </c>
      <c r="D3516" s="51">
        <v>68.0</v>
      </c>
      <c r="E3516" s="52" t="s">
        <v>25</v>
      </c>
      <c r="F3516" s="52" t="s">
        <v>26</v>
      </c>
      <c r="G3516" s="53"/>
    </row>
    <row r="3517">
      <c r="A3517" s="49">
        <v>44731.45856636574</v>
      </c>
      <c r="B3517" s="50">
        <v>44731.58354228</v>
      </c>
      <c r="C3517" s="51">
        <v>1.005</v>
      </c>
      <c r="D3517" s="51">
        <v>68.0</v>
      </c>
      <c r="E3517" s="52" t="s">
        <v>25</v>
      </c>
      <c r="F3517" s="52" t="s">
        <v>26</v>
      </c>
      <c r="G3517" s="53"/>
    </row>
    <row r="3518">
      <c r="A3518" s="49">
        <v>44731.4689799537</v>
      </c>
      <c r="B3518" s="50">
        <v>44731.5939640625</v>
      </c>
      <c r="C3518" s="51">
        <v>1.006</v>
      </c>
      <c r="D3518" s="51">
        <v>68.0</v>
      </c>
      <c r="E3518" s="52" t="s">
        <v>25</v>
      </c>
      <c r="F3518" s="52" t="s">
        <v>26</v>
      </c>
      <c r="G3518" s="53"/>
    </row>
    <row r="3519">
      <c r="A3519" s="49">
        <v>44731.4794118287</v>
      </c>
      <c r="B3519" s="50">
        <v>44731.60438603</v>
      </c>
      <c r="C3519" s="51">
        <v>1.005</v>
      </c>
      <c r="D3519" s="51">
        <v>68.0</v>
      </c>
      <c r="E3519" s="52" t="s">
        <v>25</v>
      </c>
      <c r="F3519" s="52" t="s">
        <v>26</v>
      </c>
      <c r="G3519" s="53"/>
    </row>
    <row r="3520">
      <c r="A3520" s="49">
        <v>44731.48985778935</v>
      </c>
      <c r="B3520" s="50">
        <v>44731.6148318634</v>
      </c>
      <c r="C3520" s="51">
        <v>1.006</v>
      </c>
      <c r="D3520" s="51">
        <v>68.0</v>
      </c>
      <c r="E3520" s="52" t="s">
        <v>25</v>
      </c>
      <c r="F3520" s="52" t="s">
        <v>26</v>
      </c>
      <c r="G3520" s="53"/>
    </row>
    <row r="3521">
      <c r="A3521" s="49">
        <v>44731.500291874996</v>
      </c>
      <c r="B3521" s="50">
        <v>44731.625264618</v>
      </c>
      <c r="C3521" s="51">
        <v>1.006</v>
      </c>
      <c r="D3521" s="51">
        <v>68.0</v>
      </c>
      <c r="E3521" s="52" t="s">
        <v>25</v>
      </c>
      <c r="F3521" s="52" t="s">
        <v>26</v>
      </c>
      <c r="G3521" s="53"/>
    </row>
    <row r="3522">
      <c r="A3522" s="49">
        <v>44731.51071209491</v>
      </c>
      <c r="B3522" s="50">
        <v>44731.6356860532</v>
      </c>
      <c r="C3522" s="51">
        <v>1.005</v>
      </c>
      <c r="D3522" s="51">
        <v>68.0</v>
      </c>
      <c r="E3522" s="52" t="s">
        <v>25</v>
      </c>
      <c r="F3522" s="52" t="s">
        <v>26</v>
      </c>
      <c r="G3522" s="53"/>
    </row>
    <row r="3523">
      <c r="A3523" s="49">
        <v>44731.52112553241</v>
      </c>
      <c r="B3523" s="50">
        <v>44731.6461074652</v>
      </c>
      <c r="C3523" s="51">
        <v>1.005</v>
      </c>
      <c r="D3523" s="51">
        <v>68.0</v>
      </c>
      <c r="E3523" s="52" t="s">
        <v>25</v>
      </c>
      <c r="F3523" s="52" t="s">
        <v>26</v>
      </c>
      <c r="G3523" s="53"/>
    </row>
    <row r="3524">
      <c r="A3524" s="49">
        <v>44731.53155636574</v>
      </c>
      <c r="B3524" s="50">
        <v>44731.6565406018</v>
      </c>
      <c r="C3524" s="51">
        <v>1.006</v>
      </c>
      <c r="D3524" s="51">
        <v>68.0</v>
      </c>
      <c r="E3524" s="52" t="s">
        <v>25</v>
      </c>
      <c r="F3524" s="52" t="s">
        <v>26</v>
      </c>
      <c r="G3524" s="53"/>
    </row>
    <row r="3525">
      <c r="A3525" s="49">
        <v>44731.54198716435</v>
      </c>
      <c r="B3525" s="50">
        <v>44731.666961875</v>
      </c>
      <c r="C3525" s="51">
        <v>1.005</v>
      </c>
      <c r="D3525" s="51">
        <v>68.0</v>
      </c>
      <c r="E3525" s="52" t="s">
        <v>25</v>
      </c>
      <c r="F3525" s="52" t="s">
        <v>26</v>
      </c>
      <c r="G3525" s="53"/>
    </row>
    <row r="3526">
      <c r="A3526" s="49">
        <v>44731.5524184838</v>
      </c>
      <c r="B3526" s="50">
        <v>44731.6773952199</v>
      </c>
      <c r="C3526" s="51">
        <v>1.005</v>
      </c>
      <c r="D3526" s="51">
        <v>68.0</v>
      </c>
      <c r="E3526" s="52" t="s">
        <v>25</v>
      </c>
      <c r="F3526" s="52" t="s">
        <v>26</v>
      </c>
      <c r="G3526" s="53"/>
    </row>
    <row r="3527">
      <c r="A3527" s="49">
        <v>44731.56285548611</v>
      </c>
      <c r="B3527" s="50">
        <v>44731.6878289583</v>
      </c>
      <c r="C3527" s="51">
        <v>1.005</v>
      </c>
      <c r="D3527" s="51">
        <v>68.0</v>
      </c>
      <c r="E3527" s="52" t="s">
        <v>25</v>
      </c>
      <c r="F3527" s="52" t="s">
        <v>26</v>
      </c>
      <c r="G3527" s="53"/>
    </row>
    <row r="3528">
      <c r="A3528" s="49">
        <v>44731.573277372685</v>
      </c>
      <c r="B3528" s="50">
        <v>44731.6982512384</v>
      </c>
      <c r="C3528" s="51">
        <v>1.005</v>
      </c>
      <c r="D3528" s="51">
        <v>68.0</v>
      </c>
      <c r="E3528" s="52" t="s">
        <v>25</v>
      </c>
      <c r="F3528" s="52" t="s">
        <v>26</v>
      </c>
      <c r="G3528" s="53"/>
    </row>
    <row r="3529">
      <c r="A3529" s="49">
        <v>44731.583711168976</v>
      </c>
      <c r="B3529" s="50">
        <v>44731.7086837615</v>
      </c>
      <c r="C3529" s="51">
        <v>1.005</v>
      </c>
      <c r="D3529" s="51">
        <v>68.0</v>
      </c>
      <c r="E3529" s="52" t="s">
        <v>25</v>
      </c>
      <c r="F3529" s="52" t="s">
        <v>26</v>
      </c>
      <c r="G3529" s="53"/>
    </row>
    <row r="3530">
      <c r="A3530" s="49">
        <v>44731.594129930556</v>
      </c>
      <c r="B3530" s="50">
        <v>44731.7191042013</v>
      </c>
      <c r="C3530" s="51">
        <v>1.005</v>
      </c>
      <c r="D3530" s="51">
        <v>68.0</v>
      </c>
      <c r="E3530" s="52" t="s">
        <v>25</v>
      </c>
      <c r="F3530" s="52" t="s">
        <v>26</v>
      </c>
      <c r="G3530" s="53"/>
    </row>
    <row r="3531">
      <c r="A3531" s="49">
        <v>44731.60456255787</v>
      </c>
      <c r="B3531" s="50">
        <v>44731.7295370254</v>
      </c>
      <c r="C3531" s="51">
        <v>1.006</v>
      </c>
      <c r="D3531" s="51">
        <v>68.0</v>
      </c>
      <c r="E3531" s="52" t="s">
        <v>25</v>
      </c>
      <c r="F3531" s="52" t="s">
        <v>26</v>
      </c>
      <c r="G3531" s="53"/>
    </row>
    <row r="3532">
      <c r="A3532" s="49">
        <v>44731.61498741899</v>
      </c>
      <c r="B3532" s="50">
        <v>44731.7399700115</v>
      </c>
      <c r="C3532" s="51">
        <v>1.005</v>
      </c>
      <c r="D3532" s="51">
        <v>68.0</v>
      </c>
      <c r="E3532" s="52" t="s">
        <v>25</v>
      </c>
      <c r="F3532" s="52" t="s">
        <v>26</v>
      </c>
      <c r="G3532" s="53"/>
    </row>
    <row r="3533">
      <c r="A3533" s="49">
        <v>44731.625405625</v>
      </c>
      <c r="B3533" s="50">
        <v>44731.7503906828</v>
      </c>
      <c r="C3533" s="51">
        <v>1.005</v>
      </c>
      <c r="D3533" s="51">
        <v>68.0</v>
      </c>
      <c r="E3533" s="52" t="s">
        <v>25</v>
      </c>
      <c r="F3533" s="52" t="s">
        <v>26</v>
      </c>
      <c r="G3533" s="53"/>
    </row>
    <row r="3534">
      <c r="A3534" s="49">
        <v>44731.63583770834</v>
      </c>
      <c r="B3534" s="50">
        <v>44731.7608113425</v>
      </c>
      <c r="C3534" s="51">
        <v>1.005</v>
      </c>
      <c r="D3534" s="51">
        <v>68.0</v>
      </c>
      <c r="E3534" s="52" t="s">
        <v>25</v>
      </c>
      <c r="F3534" s="52" t="s">
        <v>26</v>
      </c>
      <c r="G3534" s="53"/>
    </row>
    <row r="3535">
      <c r="A3535" s="49">
        <v>44731.646260127316</v>
      </c>
      <c r="B3535" s="50">
        <v>44731.7712321875</v>
      </c>
      <c r="C3535" s="51">
        <v>1.005</v>
      </c>
      <c r="D3535" s="51">
        <v>68.0</v>
      </c>
      <c r="E3535" s="52" t="s">
        <v>25</v>
      </c>
      <c r="F3535" s="52" t="s">
        <v>26</v>
      </c>
      <c r="G3535" s="53"/>
    </row>
    <row r="3536">
      <c r="A3536" s="49">
        <v>44731.656707766204</v>
      </c>
      <c r="B3536" s="50">
        <v>44731.7816787847</v>
      </c>
      <c r="C3536" s="51">
        <v>1.005</v>
      </c>
      <c r="D3536" s="51">
        <v>68.0</v>
      </c>
      <c r="E3536" s="52" t="s">
        <v>25</v>
      </c>
      <c r="F3536" s="52" t="s">
        <v>26</v>
      </c>
      <c r="G3536" s="53"/>
    </row>
    <row r="3537">
      <c r="A3537" s="49">
        <v>44731.667125821754</v>
      </c>
      <c r="B3537" s="50">
        <v>44731.7920980092</v>
      </c>
      <c r="C3537" s="51">
        <v>1.005</v>
      </c>
      <c r="D3537" s="51">
        <v>68.0</v>
      </c>
      <c r="E3537" s="52" t="s">
        <v>25</v>
      </c>
      <c r="F3537" s="52" t="s">
        <v>26</v>
      </c>
      <c r="G3537" s="53"/>
    </row>
    <row r="3538">
      <c r="A3538" s="49">
        <v>44731.677541875004</v>
      </c>
      <c r="B3538" s="50">
        <v>44731.8025184606</v>
      </c>
      <c r="C3538" s="51">
        <v>1.005</v>
      </c>
      <c r="D3538" s="51">
        <v>68.0</v>
      </c>
      <c r="E3538" s="52" t="s">
        <v>25</v>
      </c>
      <c r="F3538" s="52" t="s">
        <v>26</v>
      </c>
      <c r="G3538" s="53"/>
    </row>
    <row r="3539">
      <c r="A3539" s="49">
        <v>44731.68798094908</v>
      </c>
      <c r="B3539" s="50">
        <v>44731.8129511574</v>
      </c>
      <c r="C3539" s="51">
        <v>1.005</v>
      </c>
      <c r="D3539" s="51">
        <v>68.0</v>
      </c>
      <c r="E3539" s="52" t="s">
        <v>25</v>
      </c>
      <c r="F3539" s="52" t="s">
        <v>26</v>
      </c>
      <c r="G3539" s="53"/>
    </row>
    <row r="3540">
      <c r="A3540" s="49">
        <v>44731.69842503472</v>
      </c>
      <c r="B3540" s="50">
        <v>44731.8233964814</v>
      </c>
      <c r="C3540" s="51">
        <v>1.005</v>
      </c>
      <c r="D3540" s="51">
        <v>68.0</v>
      </c>
      <c r="E3540" s="52" t="s">
        <v>25</v>
      </c>
      <c r="F3540" s="52" t="s">
        <v>26</v>
      </c>
      <c r="G3540" s="53"/>
    </row>
    <row r="3541">
      <c r="A3541" s="49">
        <v>44731.708841087966</v>
      </c>
      <c r="B3541" s="50">
        <v>44731.8338182754</v>
      </c>
      <c r="C3541" s="51">
        <v>1.005</v>
      </c>
      <c r="D3541" s="51">
        <v>68.0</v>
      </c>
      <c r="E3541" s="52" t="s">
        <v>25</v>
      </c>
      <c r="F3541" s="52" t="s">
        <v>26</v>
      </c>
      <c r="G3541" s="53"/>
    </row>
    <row r="3542">
      <c r="A3542" s="49">
        <v>44731.71926435185</v>
      </c>
      <c r="B3542" s="50">
        <v>44731.8442372106</v>
      </c>
      <c r="C3542" s="51">
        <v>1.005</v>
      </c>
      <c r="D3542" s="51">
        <v>68.0</v>
      </c>
      <c r="E3542" s="52" t="s">
        <v>25</v>
      </c>
      <c r="F3542" s="52" t="s">
        <v>26</v>
      </c>
      <c r="G3542" s="53"/>
    </row>
    <row r="3543">
      <c r="A3543" s="49">
        <v>44731.729686886574</v>
      </c>
      <c r="B3543" s="50">
        <v>44731.85465875</v>
      </c>
      <c r="C3543" s="51">
        <v>1.005</v>
      </c>
      <c r="D3543" s="51">
        <v>68.0</v>
      </c>
      <c r="E3543" s="52" t="s">
        <v>25</v>
      </c>
      <c r="F3543" s="52" t="s">
        <v>26</v>
      </c>
      <c r="G3543" s="53"/>
    </row>
    <row r="3544">
      <c r="A3544" s="49">
        <v>44731.74010693287</v>
      </c>
      <c r="B3544" s="50">
        <v>44731.8650805787</v>
      </c>
      <c r="C3544" s="51">
        <v>1.005</v>
      </c>
      <c r="D3544" s="51">
        <v>68.0</v>
      </c>
      <c r="E3544" s="52" t="s">
        <v>25</v>
      </c>
      <c r="F3544" s="52" t="s">
        <v>26</v>
      </c>
      <c r="G3544" s="53"/>
    </row>
    <row r="3545">
      <c r="A3545" s="49">
        <v>44731.75052659722</v>
      </c>
      <c r="B3545" s="50">
        <v>44731.8755021296</v>
      </c>
      <c r="C3545" s="51">
        <v>1.005</v>
      </c>
      <c r="D3545" s="51">
        <v>68.0</v>
      </c>
      <c r="E3545" s="52" t="s">
        <v>25</v>
      </c>
      <c r="F3545" s="52" t="s">
        <v>26</v>
      </c>
      <c r="G3545" s="53"/>
    </row>
    <row r="3546">
      <c r="A3546" s="49">
        <v>44731.760943587964</v>
      </c>
      <c r="B3546" s="50">
        <v>44731.8859245486</v>
      </c>
      <c r="C3546" s="51">
        <v>1.005</v>
      </c>
      <c r="D3546" s="51">
        <v>68.0</v>
      </c>
      <c r="E3546" s="52" t="s">
        <v>25</v>
      </c>
      <c r="F3546" s="52" t="s">
        <v>26</v>
      </c>
      <c r="G3546" s="53"/>
    </row>
    <row r="3547">
      <c r="A3547" s="49">
        <v>44731.77137306713</v>
      </c>
      <c r="B3547" s="50">
        <v>44731.8963447106</v>
      </c>
      <c r="C3547" s="51">
        <v>1.005</v>
      </c>
      <c r="D3547" s="51">
        <v>68.0</v>
      </c>
      <c r="E3547" s="52" t="s">
        <v>25</v>
      </c>
      <c r="F3547" s="52" t="s">
        <v>26</v>
      </c>
      <c r="G3547" s="53"/>
    </row>
    <row r="3548">
      <c r="A3548" s="49">
        <v>44731.78179475694</v>
      </c>
      <c r="B3548" s="50">
        <v>44731.9067645949</v>
      </c>
      <c r="C3548" s="51">
        <v>1.005</v>
      </c>
      <c r="D3548" s="51">
        <v>69.0</v>
      </c>
      <c r="E3548" s="52" t="s">
        <v>25</v>
      </c>
      <c r="F3548" s="52" t="s">
        <v>26</v>
      </c>
      <c r="G3548" s="53"/>
    </row>
    <row r="3549">
      <c r="A3549" s="49">
        <v>44731.79222478009</v>
      </c>
      <c r="B3549" s="50">
        <v>44731.9171968865</v>
      </c>
      <c r="C3549" s="51">
        <v>1.005</v>
      </c>
      <c r="D3549" s="51">
        <v>68.0</v>
      </c>
      <c r="E3549" s="52" t="s">
        <v>25</v>
      </c>
      <c r="F3549" s="52" t="s">
        <v>26</v>
      </c>
      <c r="G3549" s="53"/>
    </row>
    <row r="3550">
      <c r="A3550" s="49">
        <v>44731.80265938657</v>
      </c>
      <c r="B3550" s="50">
        <v>44731.927632118</v>
      </c>
      <c r="C3550" s="51">
        <v>1.005</v>
      </c>
      <c r="D3550" s="51">
        <v>68.0</v>
      </c>
      <c r="E3550" s="52" t="s">
        <v>25</v>
      </c>
      <c r="F3550" s="52" t="s">
        <v>26</v>
      </c>
      <c r="G3550" s="53"/>
    </row>
    <row r="3551">
      <c r="A3551" s="49">
        <v>44731.813084953705</v>
      </c>
      <c r="B3551" s="50">
        <v>44731.9380645717</v>
      </c>
      <c r="C3551" s="51">
        <v>1.005</v>
      </c>
      <c r="D3551" s="51">
        <v>69.0</v>
      </c>
      <c r="E3551" s="52" t="s">
        <v>25</v>
      </c>
      <c r="F3551" s="52" t="s">
        <v>26</v>
      </c>
      <c r="G3551" s="53"/>
    </row>
    <row r="3552">
      <c r="A3552" s="49">
        <v>44731.82350886574</v>
      </c>
      <c r="B3552" s="50">
        <v>44731.9484838078</v>
      </c>
      <c r="C3552" s="51">
        <v>1.005</v>
      </c>
      <c r="D3552" s="51">
        <v>69.0</v>
      </c>
      <c r="E3552" s="52" t="s">
        <v>25</v>
      </c>
      <c r="F3552" s="52" t="s">
        <v>26</v>
      </c>
      <c r="G3552" s="53"/>
    </row>
    <row r="3553">
      <c r="A3553" s="49">
        <v>44731.83393267361</v>
      </c>
      <c r="B3553" s="50">
        <v>44731.9589059606</v>
      </c>
      <c r="C3553" s="51">
        <v>1.005</v>
      </c>
      <c r="D3553" s="51">
        <v>69.0</v>
      </c>
      <c r="E3553" s="52" t="s">
        <v>25</v>
      </c>
      <c r="F3553" s="52" t="s">
        <v>26</v>
      </c>
      <c r="G3553" s="53"/>
    </row>
    <row r="3554">
      <c r="A3554" s="49">
        <v>44731.84435622685</v>
      </c>
      <c r="B3554" s="50">
        <v>44731.9693283564</v>
      </c>
      <c r="C3554" s="51">
        <v>1.005</v>
      </c>
      <c r="D3554" s="51">
        <v>69.0</v>
      </c>
      <c r="E3554" s="52" t="s">
        <v>25</v>
      </c>
      <c r="F3554" s="52" t="s">
        <v>26</v>
      </c>
      <c r="G3554" s="53"/>
    </row>
    <row r="3555">
      <c r="A3555" s="49">
        <v>44731.85477723379</v>
      </c>
      <c r="B3555" s="50">
        <v>44731.9797498263</v>
      </c>
      <c r="C3555" s="51">
        <v>1.005</v>
      </c>
      <c r="D3555" s="51">
        <v>69.0</v>
      </c>
      <c r="E3555" s="52" t="s">
        <v>25</v>
      </c>
      <c r="F3555" s="52" t="s">
        <v>26</v>
      </c>
      <c r="G3555" s="53"/>
    </row>
    <row r="3556">
      <c r="A3556" s="49">
        <v>44731.86519597222</v>
      </c>
      <c r="B3556" s="50">
        <v>44731.9901715972</v>
      </c>
      <c r="C3556" s="51">
        <v>1.005</v>
      </c>
      <c r="D3556" s="51">
        <v>69.0</v>
      </c>
      <c r="E3556" s="52" t="s">
        <v>25</v>
      </c>
      <c r="F3556" s="52" t="s">
        <v>26</v>
      </c>
      <c r="G3556" s="53"/>
    </row>
    <row r="3557">
      <c r="A3557" s="49">
        <v>44731.875614386576</v>
      </c>
      <c r="B3557" s="50">
        <v>44732.000592662</v>
      </c>
      <c r="C3557" s="51">
        <v>1.005</v>
      </c>
      <c r="D3557" s="51">
        <v>69.0</v>
      </c>
      <c r="E3557" s="52" t="s">
        <v>25</v>
      </c>
      <c r="F3557" s="52" t="s">
        <v>26</v>
      </c>
      <c r="G3557" s="53"/>
    </row>
    <row r="3558">
      <c r="A3558" s="49">
        <v>44731.88604320602</v>
      </c>
      <c r="B3558" s="50">
        <v>44732.0110151504</v>
      </c>
      <c r="C3558" s="51">
        <v>1.005</v>
      </c>
      <c r="D3558" s="51">
        <v>69.0</v>
      </c>
      <c r="E3558" s="52" t="s">
        <v>25</v>
      </c>
      <c r="F3558" s="52" t="s">
        <v>26</v>
      </c>
      <c r="G3558" s="53"/>
    </row>
    <row r="3559">
      <c r="A3559" s="49">
        <v>44731.89646737269</v>
      </c>
      <c r="B3559" s="50">
        <v>44732.0214353819</v>
      </c>
      <c r="C3559" s="51">
        <v>1.005</v>
      </c>
      <c r="D3559" s="51">
        <v>69.0</v>
      </c>
      <c r="E3559" s="52" t="s">
        <v>25</v>
      </c>
      <c r="F3559" s="52" t="s">
        <v>26</v>
      </c>
      <c r="G3559" s="53"/>
    </row>
    <row r="3560">
      <c r="A3560" s="49">
        <v>44731.90688071759</v>
      </c>
      <c r="B3560" s="50">
        <v>44732.0318542824</v>
      </c>
      <c r="C3560" s="51">
        <v>1.005</v>
      </c>
      <c r="D3560" s="51">
        <v>69.0</v>
      </c>
      <c r="E3560" s="52" t="s">
        <v>25</v>
      </c>
      <c r="F3560" s="52" t="s">
        <v>26</v>
      </c>
      <c r="G3560" s="53"/>
    </row>
    <row r="3561">
      <c r="A3561" s="49">
        <v>44731.91730490741</v>
      </c>
      <c r="B3561" s="50">
        <v>44732.0422759606</v>
      </c>
      <c r="C3561" s="51">
        <v>1.005</v>
      </c>
      <c r="D3561" s="51">
        <v>69.0</v>
      </c>
      <c r="E3561" s="52" t="s">
        <v>25</v>
      </c>
      <c r="F3561" s="52" t="s">
        <v>26</v>
      </c>
      <c r="G3561" s="53"/>
    </row>
    <row r="3562">
      <c r="A3562" s="49">
        <v>44731.92772158565</v>
      </c>
      <c r="B3562" s="50">
        <v>44732.0526982754</v>
      </c>
      <c r="C3562" s="51">
        <v>1.005</v>
      </c>
      <c r="D3562" s="51">
        <v>69.0</v>
      </c>
      <c r="E3562" s="52" t="s">
        <v>25</v>
      </c>
      <c r="F3562" s="52" t="s">
        <v>26</v>
      </c>
      <c r="G3562" s="53"/>
    </row>
    <row r="3563">
      <c r="A3563" s="49">
        <v>44731.9381346875</v>
      </c>
      <c r="B3563" s="50">
        <v>44732.0631192129</v>
      </c>
      <c r="C3563" s="51">
        <v>1.005</v>
      </c>
      <c r="D3563" s="51">
        <v>69.0</v>
      </c>
      <c r="E3563" s="52" t="s">
        <v>25</v>
      </c>
      <c r="F3563" s="52" t="s">
        <v>26</v>
      </c>
      <c r="G3563" s="53"/>
    </row>
    <row r="3564">
      <c r="A3564" s="49">
        <v>44731.94857153935</v>
      </c>
      <c r="B3564" s="50">
        <v>44732.0735406944</v>
      </c>
      <c r="C3564" s="51">
        <v>1.006</v>
      </c>
      <c r="D3564" s="51">
        <v>69.0</v>
      </c>
      <c r="E3564" s="52" t="s">
        <v>25</v>
      </c>
      <c r="F3564" s="52" t="s">
        <v>26</v>
      </c>
      <c r="G3564" s="53"/>
    </row>
    <row r="3565">
      <c r="A3565" s="49">
        <v>44731.958990520834</v>
      </c>
      <c r="B3565" s="50">
        <v>44732.083962199</v>
      </c>
      <c r="C3565" s="51">
        <v>1.005</v>
      </c>
      <c r="D3565" s="51">
        <v>69.0</v>
      </c>
      <c r="E3565" s="52" t="s">
        <v>25</v>
      </c>
      <c r="F3565" s="52" t="s">
        <v>26</v>
      </c>
      <c r="G3565" s="53"/>
    </row>
    <row r="3566">
      <c r="A3566" s="49">
        <v>44731.96941005787</v>
      </c>
      <c r="B3566" s="50">
        <v>44732.0943825</v>
      </c>
      <c r="C3566" s="51">
        <v>1.005</v>
      </c>
      <c r="D3566" s="51">
        <v>69.0</v>
      </c>
      <c r="E3566" s="52" t="s">
        <v>25</v>
      </c>
      <c r="F3566" s="52" t="s">
        <v>26</v>
      </c>
      <c r="G3566" s="53"/>
    </row>
    <row r="3567">
      <c r="A3567" s="49">
        <v>44731.97983009259</v>
      </c>
      <c r="B3567" s="50">
        <v>44732.1048039583</v>
      </c>
      <c r="C3567" s="51">
        <v>1.005</v>
      </c>
      <c r="D3567" s="51">
        <v>69.0</v>
      </c>
      <c r="E3567" s="52" t="s">
        <v>25</v>
      </c>
      <c r="F3567" s="52" t="s">
        <v>26</v>
      </c>
      <c r="G3567" s="53"/>
    </row>
    <row r="3568">
      <c r="A3568" s="49">
        <v>44731.99025113426</v>
      </c>
      <c r="B3568" s="50">
        <v>44732.1152250231</v>
      </c>
      <c r="C3568" s="51">
        <v>1.005</v>
      </c>
      <c r="D3568" s="51">
        <v>69.0</v>
      </c>
      <c r="E3568" s="52" t="s">
        <v>25</v>
      </c>
      <c r="F3568" s="52" t="s">
        <v>26</v>
      </c>
      <c r="G3568" s="53"/>
    </row>
    <row r="3569">
      <c r="A3569" s="49">
        <v>44732.00066726852</v>
      </c>
      <c r="B3569" s="50">
        <v>44732.1256477546</v>
      </c>
      <c r="C3569" s="51">
        <v>1.005</v>
      </c>
      <c r="D3569" s="51">
        <v>69.0</v>
      </c>
      <c r="E3569" s="52" t="s">
        <v>25</v>
      </c>
      <c r="F3569" s="52" t="s">
        <v>26</v>
      </c>
      <c r="G3569" s="53"/>
    </row>
    <row r="3570">
      <c r="A3570" s="49">
        <v>44732.01110876157</v>
      </c>
      <c r="B3570" s="50">
        <v>44732.1360819791</v>
      </c>
      <c r="C3570" s="51">
        <v>1.005</v>
      </c>
      <c r="D3570" s="51">
        <v>69.0</v>
      </c>
      <c r="E3570" s="52" t="s">
        <v>25</v>
      </c>
      <c r="F3570" s="52" t="s">
        <v>26</v>
      </c>
      <c r="G3570" s="53"/>
    </row>
    <row r="3571">
      <c r="A3571" s="49">
        <v>44732.02153023148</v>
      </c>
      <c r="B3571" s="50">
        <v>44732.1465022338</v>
      </c>
      <c r="C3571" s="51">
        <v>1.005</v>
      </c>
      <c r="D3571" s="51">
        <v>69.0</v>
      </c>
      <c r="E3571" s="52" t="s">
        <v>25</v>
      </c>
      <c r="F3571" s="52" t="s">
        <v>26</v>
      </c>
      <c r="G3571" s="53"/>
    </row>
    <row r="3572">
      <c r="A3572" s="49">
        <v>44732.03194149306</v>
      </c>
      <c r="B3572" s="50">
        <v>44732.1569232523</v>
      </c>
      <c r="C3572" s="51">
        <v>1.005</v>
      </c>
      <c r="D3572" s="51">
        <v>69.0</v>
      </c>
      <c r="E3572" s="52" t="s">
        <v>25</v>
      </c>
      <c r="F3572" s="52" t="s">
        <v>26</v>
      </c>
      <c r="G3572" s="53"/>
    </row>
    <row r="3573">
      <c r="A3573" s="49">
        <v>44732.04237247685</v>
      </c>
      <c r="B3573" s="50">
        <v>44732.167354074</v>
      </c>
      <c r="C3573" s="51">
        <v>1.005</v>
      </c>
      <c r="D3573" s="51">
        <v>69.0</v>
      </c>
      <c r="E3573" s="52" t="s">
        <v>25</v>
      </c>
      <c r="F3573" s="52" t="s">
        <v>26</v>
      </c>
      <c r="G3573" s="53"/>
    </row>
    <row r="3574">
      <c r="A3574" s="49">
        <v>44732.05279420139</v>
      </c>
      <c r="B3574" s="50">
        <v>44732.1777746296</v>
      </c>
      <c r="C3574" s="51">
        <v>1.005</v>
      </c>
      <c r="D3574" s="51">
        <v>69.0</v>
      </c>
      <c r="E3574" s="52" t="s">
        <v>25</v>
      </c>
      <c r="F3574" s="52" t="s">
        <v>26</v>
      </c>
      <c r="G3574" s="53"/>
    </row>
    <row r="3575">
      <c r="A3575" s="49">
        <v>44732.06322645833</v>
      </c>
      <c r="B3575" s="50">
        <v>44732.1881959375</v>
      </c>
      <c r="C3575" s="51">
        <v>1.005</v>
      </c>
      <c r="D3575" s="51">
        <v>69.0</v>
      </c>
      <c r="E3575" s="52" t="s">
        <v>25</v>
      </c>
      <c r="F3575" s="52" t="s">
        <v>26</v>
      </c>
      <c r="G3575" s="53"/>
    </row>
    <row r="3576">
      <c r="A3576" s="49">
        <v>44732.07364107639</v>
      </c>
      <c r="B3576" s="50">
        <v>44732.1986181018</v>
      </c>
      <c r="C3576" s="51">
        <v>1.005</v>
      </c>
      <c r="D3576" s="51">
        <v>69.0</v>
      </c>
      <c r="E3576" s="52" t="s">
        <v>25</v>
      </c>
      <c r="F3576" s="52" t="s">
        <v>26</v>
      </c>
      <c r="G3576" s="53"/>
    </row>
    <row r="3577">
      <c r="A3577" s="49">
        <v>44732.08406258102</v>
      </c>
      <c r="B3577" s="50">
        <v>44732.2090387384</v>
      </c>
      <c r="C3577" s="51">
        <v>1.005</v>
      </c>
      <c r="D3577" s="51">
        <v>69.0</v>
      </c>
      <c r="E3577" s="52" t="s">
        <v>25</v>
      </c>
      <c r="F3577" s="52" t="s">
        <v>26</v>
      </c>
      <c r="G3577" s="53"/>
    </row>
    <row r="3578">
      <c r="A3578" s="49">
        <v>44732.09450003473</v>
      </c>
      <c r="B3578" s="50">
        <v>44732.2194728356</v>
      </c>
      <c r="C3578" s="51">
        <v>1.005</v>
      </c>
      <c r="D3578" s="51">
        <v>69.0</v>
      </c>
      <c r="E3578" s="52" t="s">
        <v>25</v>
      </c>
      <c r="F3578" s="52" t="s">
        <v>26</v>
      </c>
      <c r="G3578" s="53"/>
    </row>
    <row r="3579">
      <c r="A3579" s="49">
        <v>44732.10491997685</v>
      </c>
      <c r="B3579" s="50">
        <v>44732.2298954051</v>
      </c>
      <c r="C3579" s="51">
        <v>1.005</v>
      </c>
      <c r="D3579" s="51">
        <v>69.0</v>
      </c>
      <c r="E3579" s="52" t="s">
        <v>25</v>
      </c>
      <c r="F3579" s="52" t="s">
        <v>26</v>
      </c>
      <c r="G3579" s="53"/>
    </row>
    <row r="3580">
      <c r="A3580" s="49">
        <v>44732.11534097222</v>
      </c>
      <c r="B3580" s="50">
        <v>44732.2403172569</v>
      </c>
      <c r="C3580" s="51">
        <v>1.005</v>
      </c>
      <c r="D3580" s="51">
        <v>69.0</v>
      </c>
      <c r="E3580" s="52" t="s">
        <v>25</v>
      </c>
      <c r="F3580" s="52" t="s">
        <v>26</v>
      </c>
      <c r="G3580" s="53"/>
    </row>
    <row r="3581">
      <c r="A3581" s="49">
        <v>44732.12577782407</v>
      </c>
      <c r="B3581" s="50">
        <v>44732.250750405</v>
      </c>
      <c r="C3581" s="51">
        <v>1.006</v>
      </c>
      <c r="D3581" s="51">
        <v>69.0</v>
      </c>
      <c r="E3581" s="52" t="s">
        <v>25</v>
      </c>
      <c r="F3581" s="52" t="s">
        <v>26</v>
      </c>
      <c r="G3581" s="53"/>
    </row>
    <row r="3582">
      <c r="A3582" s="49">
        <v>44732.136201064815</v>
      </c>
      <c r="B3582" s="50">
        <v>44732.2611715046</v>
      </c>
      <c r="C3582" s="51">
        <v>1.005</v>
      </c>
      <c r="D3582" s="51">
        <v>69.0</v>
      </c>
      <c r="E3582" s="52" t="s">
        <v>25</v>
      </c>
      <c r="F3582" s="52" t="s">
        <v>26</v>
      </c>
      <c r="G3582" s="53"/>
    </row>
    <row r="3583">
      <c r="A3583" s="49">
        <v>44732.14662175926</v>
      </c>
      <c r="B3583" s="50">
        <v>44732.2715923379</v>
      </c>
      <c r="C3583" s="51">
        <v>1.005</v>
      </c>
      <c r="D3583" s="51">
        <v>69.0</v>
      </c>
      <c r="E3583" s="52" t="s">
        <v>25</v>
      </c>
      <c r="F3583" s="52" t="s">
        <v>26</v>
      </c>
      <c r="G3583" s="53"/>
    </row>
    <row r="3584">
      <c r="A3584" s="49">
        <v>44732.15703688657</v>
      </c>
      <c r="B3584" s="50">
        <v>44732.2820137152</v>
      </c>
      <c r="C3584" s="51">
        <v>1.005</v>
      </c>
      <c r="D3584" s="51">
        <v>69.0</v>
      </c>
      <c r="E3584" s="52" t="s">
        <v>25</v>
      </c>
      <c r="F3584" s="52" t="s">
        <v>26</v>
      </c>
      <c r="G3584" s="53"/>
    </row>
    <row r="3585">
      <c r="A3585" s="49">
        <v>44732.167477361116</v>
      </c>
      <c r="B3585" s="50">
        <v>44732.2924466203</v>
      </c>
      <c r="C3585" s="51">
        <v>1.005</v>
      </c>
      <c r="D3585" s="51">
        <v>69.0</v>
      </c>
      <c r="E3585" s="52" t="s">
        <v>25</v>
      </c>
      <c r="F3585" s="52" t="s">
        <v>26</v>
      </c>
      <c r="G3585" s="53"/>
    </row>
    <row r="3586">
      <c r="A3586" s="49">
        <v>44732.17789532407</v>
      </c>
      <c r="B3586" s="50">
        <v>44732.3028697453</v>
      </c>
      <c r="C3586" s="51">
        <v>1.005</v>
      </c>
      <c r="D3586" s="51">
        <v>69.0</v>
      </c>
      <c r="E3586" s="52" t="s">
        <v>25</v>
      </c>
      <c r="F3586" s="52" t="s">
        <v>26</v>
      </c>
      <c r="G3586" s="53"/>
    </row>
    <row r="3587">
      <c r="A3587" s="49">
        <v>44732.1883312963</v>
      </c>
      <c r="B3587" s="50">
        <v>44732.3133023495</v>
      </c>
      <c r="C3587" s="51">
        <v>1.005</v>
      </c>
      <c r="D3587" s="51">
        <v>69.0</v>
      </c>
      <c r="E3587" s="52" t="s">
        <v>25</v>
      </c>
      <c r="F3587" s="52" t="s">
        <v>26</v>
      </c>
      <c r="G3587" s="53"/>
    </row>
    <row r="3588">
      <c r="A3588" s="49">
        <v>44732.19875833333</v>
      </c>
      <c r="B3588" s="50">
        <v>44732.3237333333</v>
      </c>
      <c r="C3588" s="51">
        <v>1.005</v>
      </c>
      <c r="D3588" s="51">
        <v>69.0</v>
      </c>
      <c r="E3588" s="52" t="s">
        <v>25</v>
      </c>
      <c r="F3588" s="52" t="s">
        <v>26</v>
      </c>
      <c r="G3588" s="53"/>
    </row>
    <row r="3589">
      <c r="A3589" s="49">
        <v>44732.209171875</v>
      </c>
      <c r="B3589" s="50">
        <v>44732.3341534259</v>
      </c>
      <c r="C3589" s="51">
        <v>1.005</v>
      </c>
      <c r="D3589" s="51">
        <v>69.0</v>
      </c>
      <c r="E3589" s="52" t="s">
        <v>25</v>
      </c>
      <c r="F3589" s="52" t="s">
        <v>26</v>
      </c>
      <c r="G3589" s="53"/>
    </row>
    <row r="3590">
      <c r="A3590" s="49">
        <v>44732.21960267361</v>
      </c>
      <c r="B3590" s="50">
        <v>44732.3445736689</v>
      </c>
      <c r="C3590" s="51">
        <v>1.005</v>
      </c>
      <c r="D3590" s="51">
        <v>69.0</v>
      </c>
      <c r="E3590" s="52" t="s">
        <v>25</v>
      </c>
      <c r="F3590" s="52" t="s">
        <v>26</v>
      </c>
      <c r="G3590" s="53"/>
    </row>
    <row r="3591">
      <c r="A3591" s="49">
        <v>44732.230025509256</v>
      </c>
      <c r="B3591" s="50">
        <v>44732.3549945601</v>
      </c>
      <c r="C3591" s="51">
        <v>1.005</v>
      </c>
      <c r="D3591" s="51">
        <v>69.0</v>
      </c>
      <c r="E3591" s="52" t="s">
        <v>25</v>
      </c>
      <c r="F3591" s="52" t="s">
        <v>26</v>
      </c>
      <c r="G3591" s="53"/>
    </row>
    <row r="3592">
      <c r="A3592" s="49">
        <v>44732.24044203704</v>
      </c>
      <c r="B3592" s="50">
        <v>44732.3654169097</v>
      </c>
      <c r="C3592" s="51">
        <v>1.005</v>
      </c>
      <c r="D3592" s="51">
        <v>69.0</v>
      </c>
      <c r="E3592" s="52" t="s">
        <v>25</v>
      </c>
      <c r="F3592" s="52" t="s">
        <v>26</v>
      </c>
      <c r="G3592" s="53"/>
    </row>
    <row r="3593">
      <c r="A3593" s="49">
        <v>44732.25086454861</v>
      </c>
      <c r="B3593" s="50">
        <v>44732.3758371759</v>
      </c>
      <c r="C3593" s="51">
        <v>1.005</v>
      </c>
      <c r="D3593" s="51">
        <v>69.0</v>
      </c>
      <c r="E3593" s="52" t="s">
        <v>25</v>
      </c>
      <c r="F3593" s="52" t="s">
        <v>26</v>
      </c>
      <c r="G3593" s="53"/>
    </row>
    <row r="3594">
      <c r="A3594" s="49">
        <v>44732.261283368054</v>
      </c>
      <c r="B3594" s="50">
        <v>44732.3862566666</v>
      </c>
      <c r="C3594" s="51">
        <v>1.005</v>
      </c>
      <c r="D3594" s="51">
        <v>69.0</v>
      </c>
      <c r="E3594" s="52" t="s">
        <v>25</v>
      </c>
      <c r="F3594" s="52" t="s">
        <v>26</v>
      </c>
      <c r="G3594" s="53"/>
    </row>
    <row r="3595">
      <c r="A3595" s="49">
        <v>44732.27171680555</v>
      </c>
      <c r="B3595" s="50">
        <v>44732.3966900925</v>
      </c>
      <c r="C3595" s="51">
        <v>1.005</v>
      </c>
      <c r="D3595" s="51">
        <v>69.0</v>
      </c>
      <c r="E3595" s="52" t="s">
        <v>25</v>
      </c>
      <c r="F3595" s="52" t="s">
        <v>26</v>
      </c>
      <c r="G3595" s="53"/>
    </row>
    <row r="3596">
      <c r="A3596" s="49">
        <v>44732.28213608796</v>
      </c>
      <c r="B3596" s="50">
        <v>44732.4071093171</v>
      </c>
      <c r="C3596" s="51">
        <v>1.005</v>
      </c>
      <c r="D3596" s="51">
        <v>69.0</v>
      </c>
      <c r="E3596" s="52" t="s">
        <v>25</v>
      </c>
      <c r="F3596" s="52" t="s">
        <v>26</v>
      </c>
      <c r="G3596" s="53"/>
    </row>
    <row r="3597">
      <c r="A3597" s="49">
        <v>44732.29255832176</v>
      </c>
      <c r="B3597" s="50">
        <v>44732.4175301273</v>
      </c>
      <c r="C3597" s="51">
        <v>1.005</v>
      </c>
      <c r="D3597" s="51">
        <v>69.0</v>
      </c>
      <c r="E3597" s="52" t="s">
        <v>25</v>
      </c>
      <c r="F3597" s="52" t="s">
        <v>26</v>
      </c>
      <c r="G3597" s="53"/>
    </row>
    <row r="3598">
      <c r="A3598" s="49">
        <v>44732.30297949074</v>
      </c>
      <c r="B3598" s="50">
        <v>44732.4279516666</v>
      </c>
      <c r="C3598" s="51">
        <v>1.005</v>
      </c>
      <c r="D3598" s="51">
        <v>69.0</v>
      </c>
      <c r="E3598" s="52" t="s">
        <v>25</v>
      </c>
      <c r="F3598" s="52" t="s">
        <v>26</v>
      </c>
      <c r="G3598" s="53"/>
    </row>
    <row r="3599">
      <c r="A3599" s="49">
        <v>44732.31340587963</v>
      </c>
      <c r="B3599" s="50">
        <v>44732.4383722222</v>
      </c>
      <c r="C3599" s="51">
        <v>1.005</v>
      </c>
      <c r="D3599" s="51">
        <v>69.0</v>
      </c>
      <c r="E3599" s="52" t="s">
        <v>25</v>
      </c>
      <c r="F3599" s="52" t="s">
        <v>26</v>
      </c>
      <c r="G3599" s="53"/>
    </row>
    <row r="3600">
      <c r="A3600" s="49">
        <v>44732.323847430554</v>
      </c>
      <c r="B3600" s="50">
        <v>44732.4488050347</v>
      </c>
      <c r="C3600" s="51">
        <v>1.005</v>
      </c>
      <c r="D3600" s="51">
        <v>69.0</v>
      </c>
      <c r="E3600" s="52" t="s">
        <v>25</v>
      </c>
      <c r="F3600" s="52" t="s">
        <v>26</v>
      </c>
      <c r="G3600" s="53"/>
    </row>
    <row r="3601">
      <c r="A3601" s="49">
        <v>44732.334250810185</v>
      </c>
      <c r="B3601" s="50">
        <v>44732.459226875</v>
      </c>
      <c r="C3601" s="51">
        <v>1.005</v>
      </c>
      <c r="D3601" s="51">
        <v>69.0</v>
      </c>
      <c r="E3601" s="52" t="s">
        <v>25</v>
      </c>
      <c r="F3601" s="52" t="s">
        <v>26</v>
      </c>
      <c r="G3601" s="53"/>
    </row>
    <row r="3602">
      <c r="A3602" s="49">
        <v>44732.34468967593</v>
      </c>
      <c r="B3602" s="50">
        <v>44732.4696605555</v>
      </c>
      <c r="C3602" s="51">
        <v>1.005</v>
      </c>
      <c r="D3602" s="51">
        <v>69.0</v>
      </c>
      <c r="E3602" s="52" t="s">
        <v>25</v>
      </c>
      <c r="F3602" s="52" t="s">
        <v>26</v>
      </c>
      <c r="G3602" s="53"/>
    </row>
    <row r="3603">
      <c r="A3603" s="49">
        <v>44732.355111412035</v>
      </c>
      <c r="B3603" s="50">
        <v>44732.4800809259</v>
      </c>
      <c r="C3603" s="51">
        <v>1.005</v>
      </c>
      <c r="D3603" s="51">
        <v>69.0</v>
      </c>
      <c r="E3603" s="52" t="s">
        <v>25</v>
      </c>
      <c r="F3603" s="52" t="s">
        <v>26</v>
      </c>
      <c r="G3603" s="53"/>
    </row>
    <row r="3604">
      <c r="A3604" s="49">
        <v>44732.36553123842</v>
      </c>
      <c r="B3604" s="50">
        <v>44732.4905031134</v>
      </c>
      <c r="C3604" s="51">
        <v>1.005</v>
      </c>
      <c r="D3604" s="51">
        <v>69.0</v>
      </c>
      <c r="E3604" s="52" t="s">
        <v>25</v>
      </c>
      <c r="F3604" s="52" t="s">
        <v>26</v>
      </c>
      <c r="G3604" s="53"/>
    </row>
    <row r="3605">
      <c r="A3605" s="49">
        <v>44732.375957951386</v>
      </c>
      <c r="B3605" s="50">
        <v>44732.5009359259</v>
      </c>
      <c r="C3605" s="51">
        <v>1.005</v>
      </c>
      <c r="D3605" s="51">
        <v>69.0</v>
      </c>
      <c r="E3605" s="52" t="s">
        <v>25</v>
      </c>
      <c r="F3605" s="52" t="s">
        <v>26</v>
      </c>
      <c r="G3605" s="53"/>
    </row>
    <row r="3606">
      <c r="A3606" s="49">
        <v>44732.386378310184</v>
      </c>
      <c r="B3606" s="50">
        <v>44732.5113572801</v>
      </c>
      <c r="C3606" s="51">
        <v>1.005</v>
      </c>
      <c r="D3606" s="51">
        <v>69.0</v>
      </c>
      <c r="E3606" s="52" t="s">
        <v>25</v>
      </c>
      <c r="F3606" s="52" t="s">
        <v>26</v>
      </c>
      <c r="G3606" s="53"/>
    </row>
    <row r="3607">
      <c r="A3607" s="49">
        <v>44732.39680297454</v>
      </c>
      <c r="B3607" s="50">
        <v>44732.5217768518</v>
      </c>
      <c r="C3607" s="51">
        <v>1.005</v>
      </c>
      <c r="D3607" s="51">
        <v>69.0</v>
      </c>
      <c r="E3607" s="52" t="s">
        <v>25</v>
      </c>
      <c r="F3607" s="52" t="s">
        <v>26</v>
      </c>
      <c r="G3607" s="53"/>
    </row>
    <row r="3608">
      <c r="A3608" s="49">
        <v>44732.40723005787</v>
      </c>
      <c r="B3608" s="50">
        <v>44732.5321970833</v>
      </c>
      <c r="C3608" s="51">
        <v>1.005</v>
      </c>
      <c r="D3608" s="51">
        <v>69.0</v>
      </c>
      <c r="E3608" s="52" t="s">
        <v>25</v>
      </c>
      <c r="F3608" s="52" t="s">
        <v>26</v>
      </c>
      <c r="G3608" s="53"/>
    </row>
    <row r="3609">
      <c r="A3609" s="49">
        <v>44732.4176452199</v>
      </c>
      <c r="B3609" s="50">
        <v>44732.5426185185</v>
      </c>
      <c r="C3609" s="51">
        <v>1.005</v>
      </c>
      <c r="D3609" s="51">
        <v>69.0</v>
      </c>
      <c r="E3609" s="52" t="s">
        <v>25</v>
      </c>
      <c r="F3609" s="52" t="s">
        <v>26</v>
      </c>
      <c r="G3609" s="53"/>
    </row>
    <row r="3610">
      <c r="A3610" s="49">
        <v>44732.42806237268</v>
      </c>
      <c r="B3610" s="50">
        <v>44732.5530403125</v>
      </c>
      <c r="C3610" s="51">
        <v>1.005</v>
      </c>
      <c r="D3610" s="51">
        <v>69.0</v>
      </c>
      <c r="E3610" s="52" t="s">
        <v>25</v>
      </c>
      <c r="F3610" s="52" t="s">
        <v>26</v>
      </c>
      <c r="G3610" s="53"/>
    </row>
    <row r="3611">
      <c r="A3611" s="49">
        <v>44732.43847981481</v>
      </c>
      <c r="B3611" s="50">
        <v>44732.563461655</v>
      </c>
      <c r="C3611" s="51">
        <v>1.006</v>
      </c>
      <c r="D3611" s="51">
        <v>69.0</v>
      </c>
      <c r="E3611" s="52" t="s">
        <v>25</v>
      </c>
      <c r="F3611" s="52" t="s">
        <v>26</v>
      </c>
      <c r="G3611" s="53"/>
    </row>
    <row r="3612">
      <c r="A3612" s="49">
        <v>44732.44891136574</v>
      </c>
      <c r="B3612" s="50">
        <v>44732.5738842361</v>
      </c>
      <c r="C3612" s="51">
        <v>1.005</v>
      </c>
      <c r="D3612" s="51">
        <v>69.0</v>
      </c>
      <c r="E3612" s="52" t="s">
        <v>25</v>
      </c>
      <c r="F3612" s="52" t="s">
        <v>26</v>
      </c>
      <c r="G3612" s="53"/>
    </row>
    <row r="3613">
      <c r="A3613" s="49">
        <v>44732.459329398145</v>
      </c>
      <c r="B3613" s="50">
        <v>44732.5843060648</v>
      </c>
      <c r="C3613" s="51">
        <v>1.005</v>
      </c>
      <c r="D3613" s="51">
        <v>69.0</v>
      </c>
      <c r="E3613" s="52" t="s">
        <v>25</v>
      </c>
      <c r="F3613" s="52" t="s">
        <v>26</v>
      </c>
      <c r="G3613" s="53"/>
    </row>
    <row r="3614">
      <c r="A3614" s="49">
        <v>44732.46974800926</v>
      </c>
      <c r="B3614" s="50">
        <v>44732.5947285879</v>
      </c>
      <c r="C3614" s="51">
        <v>1.006</v>
      </c>
      <c r="D3614" s="51">
        <v>69.0</v>
      </c>
      <c r="E3614" s="52" t="s">
        <v>25</v>
      </c>
      <c r="F3614" s="52" t="s">
        <v>26</v>
      </c>
      <c r="G3614" s="53"/>
    </row>
    <row r="3615">
      <c r="A3615" s="49">
        <v>44732.48018006944</v>
      </c>
      <c r="B3615" s="50">
        <v>44732.6051490162</v>
      </c>
      <c r="C3615" s="51">
        <v>1.005</v>
      </c>
      <c r="D3615" s="51">
        <v>69.0</v>
      </c>
      <c r="E3615" s="52" t="s">
        <v>25</v>
      </c>
      <c r="F3615" s="52" t="s">
        <v>26</v>
      </c>
      <c r="G3615" s="53"/>
    </row>
    <row r="3616">
      <c r="A3616" s="49">
        <v>44732.490598738426</v>
      </c>
      <c r="B3616" s="50">
        <v>44732.6155705671</v>
      </c>
      <c r="C3616" s="51">
        <v>1.005</v>
      </c>
      <c r="D3616" s="51">
        <v>69.0</v>
      </c>
      <c r="E3616" s="52" t="s">
        <v>25</v>
      </c>
      <c r="F3616" s="52" t="s">
        <v>26</v>
      </c>
      <c r="G3616" s="53"/>
    </row>
    <row r="3617">
      <c r="A3617" s="49">
        <v>44732.50101954861</v>
      </c>
      <c r="B3617" s="50">
        <v>44732.6259911689</v>
      </c>
      <c r="C3617" s="51">
        <v>1.005</v>
      </c>
      <c r="D3617" s="51">
        <v>69.0</v>
      </c>
      <c r="E3617" s="52" t="s">
        <v>25</v>
      </c>
      <c r="F3617" s="52" t="s">
        <v>26</v>
      </c>
      <c r="G3617" s="53"/>
    </row>
    <row r="3618">
      <c r="A3618" s="49">
        <v>44732.51143834491</v>
      </c>
      <c r="B3618" s="50">
        <v>44732.63641228</v>
      </c>
      <c r="C3618" s="51">
        <v>1.005</v>
      </c>
      <c r="D3618" s="51">
        <v>69.0</v>
      </c>
      <c r="E3618" s="52" t="s">
        <v>25</v>
      </c>
      <c r="F3618" s="52" t="s">
        <v>26</v>
      </c>
      <c r="G3618" s="53"/>
    </row>
    <row r="3619">
      <c r="A3619" s="49">
        <v>44732.52185619213</v>
      </c>
      <c r="B3619" s="50">
        <v>44732.64683353</v>
      </c>
      <c r="C3619" s="51">
        <v>1.005</v>
      </c>
      <c r="D3619" s="51">
        <v>69.0</v>
      </c>
      <c r="E3619" s="52" t="s">
        <v>25</v>
      </c>
      <c r="F3619" s="52" t="s">
        <v>26</v>
      </c>
      <c r="G3619" s="53"/>
    </row>
    <row r="3620">
      <c r="A3620" s="49">
        <v>44732.532285810186</v>
      </c>
      <c r="B3620" s="50">
        <v>44732.6572570833</v>
      </c>
      <c r="C3620" s="51">
        <v>1.006</v>
      </c>
      <c r="D3620" s="51">
        <v>69.0</v>
      </c>
      <c r="E3620" s="52" t="s">
        <v>25</v>
      </c>
      <c r="F3620" s="52" t="s">
        <v>26</v>
      </c>
      <c r="G3620" s="53"/>
    </row>
    <row r="3621">
      <c r="A3621" s="49">
        <v>44732.542704363426</v>
      </c>
      <c r="B3621" s="50">
        <v>44732.6676778935</v>
      </c>
      <c r="C3621" s="51">
        <v>1.005</v>
      </c>
      <c r="D3621" s="51">
        <v>69.0</v>
      </c>
      <c r="E3621" s="52" t="s">
        <v>25</v>
      </c>
      <c r="F3621" s="52" t="s">
        <v>26</v>
      </c>
      <c r="G3621" s="53"/>
    </row>
    <row r="3622">
      <c r="A3622" s="49">
        <v>44732.55314289352</v>
      </c>
      <c r="B3622" s="50">
        <v>44732.6781093518</v>
      </c>
      <c r="C3622" s="51">
        <v>1.005</v>
      </c>
      <c r="D3622" s="51">
        <v>69.0</v>
      </c>
      <c r="E3622" s="52" t="s">
        <v>25</v>
      </c>
      <c r="F3622" s="52" t="s">
        <v>26</v>
      </c>
      <c r="G3622" s="53"/>
    </row>
    <row r="3623">
      <c r="A3623" s="49">
        <v>44732.563555914356</v>
      </c>
      <c r="B3623" s="50">
        <v>44732.6885287152</v>
      </c>
      <c r="C3623" s="51">
        <v>1.005</v>
      </c>
      <c r="D3623" s="51">
        <v>69.0</v>
      </c>
      <c r="E3623" s="52" t="s">
        <v>25</v>
      </c>
      <c r="F3623" s="52" t="s">
        <v>26</v>
      </c>
      <c r="G3623" s="53"/>
    </row>
    <row r="3624">
      <c r="A3624" s="49">
        <v>44732.5739741088</v>
      </c>
      <c r="B3624" s="50">
        <v>44732.6989489004</v>
      </c>
      <c r="C3624" s="51">
        <v>1.005</v>
      </c>
      <c r="D3624" s="51">
        <v>69.0</v>
      </c>
      <c r="E3624" s="52" t="s">
        <v>25</v>
      </c>
      <c r="F3624" s="52" t="s">
        <v>26</v>
      </c>
      <c r="G3624" s="53"/>
    </row>
    <row r="3625">
      <c r="A3625" s="49">
        <v>44732.58439142361</v>
      </c>
      <c r="B3625" s="50">
        <v>44732.7093706944</v>
      </c>
      <c r="C3625" s="51">
        <v>1.005</v>
      </c>
      <c r="D3625" s="51">
        <v>69.0</v>
      </c>
      <c r="E3625" s="52" t="s">
        <v>25</v>
      </c>
      <c r="F3625" s="52" t="s">
        <v>26</v>
      </c>
      <c r="G3625" s="53"/>
    </row>
    <row r="3626">
      <c r="A3626" s="49">
        <v>44732.5948209375</v>
      </c>
      <c r="B3626" s="50">
        <v>44732.7198040393</v>
      </c>
      <c r="C3626" s="51">
        <v>1.005</v>
      </c>
      <c r="D3626" s="51">
        <v>69.0</v>
      </c>
      <c r="E3626" s="52" t="s">
        <v>25</v>
      </c>
      <c r="F3626" s="52" t="s">
        <v>26</v>
      </c>
      <c r="G3626" s="53"/>
    </row>
    <row r="3627">
      <c r="A3627" s="49">
        <v>44732.60524733797</v>
      </c>
      <c r="B3627" s="50">
        <v>44732.7302242708</v>
      </c>
      <c r="C3627" s="51">
        <v>1.005</v>
      </c>
      <c r="D3627" s="51">
        <v>69.0</v>
      </c>
      <c r="E3627" s="52" t="s">
        <v>25</v>
      </c>
      <c r="F3627" s="52" t="s">
        <v>26</v>
      </c>
      <c r="G3627" s="53"/>
    </row>
    <row r="3628">
      <c r="A3628" s="49">
        <v>44732.61567625</v>
      </c>
      <c r="B3628" s="50">
        <v>44732.7406476157</v>
      </c>
      <c r="C3628" s="51">
        <v>1.005</v>
      </c>
      <c r="D3628" s="51">
        <v>69.0</v>
      </c>
      <c r="E3628" s="52" t="s">
        <v>25</v>
      </c>
      <c r="F3628" s="52" t="s">
        <v>26</v>
      </c>
      <c r="G3628" s="53"/>
    </row>
    <row r="3629">
      <c r="A3629" s="49">
        <v>44732.626107511576</v>
      </c>
      <c r="B3629" s="50">
        <v>44732.7510811921</v>
      </c>
      <c r="C3629" s="51">
        <v>1.005</v>
      </c>
      <c r="D3629" s="51">
        <v>69.0</v>
      </c>
      <c r="E3629" s="52" t="s">
        <v>25</v>
      </c>
      <c r="F3629" s="52" t="s">
        <v>26</v>
      </c>
      <c r="G3629" s="53"/>
    </row>
    <row r="3630">
      <c r="A3630" s="49">
        <v>44732.636530868054</v>
      </c>
      <c r="B3630" s="50">
        <v>44732.7615021412</v>
      </c>
      <c r="C3630" s="51">
        <v>1.005</v>
      </c>
      <c r="D3630" s="51">
        <v>69.0</v>
      </c>
      <c r="E3630" s="52" t="s">
        <v>25</v>
      </c>
      <c r="F3630" s="52" t="s">
        <v>26</v>
      </c>
      <c r="G3630" s="53"/>
    </row>
    <row r="3631">
      <c r="A3631" s="49">
        <v>44732.64695200232</v>
      </c>
      <c r="B3631" s="50">
        <v>44732.7719249537</v>
      </c>
      <c r="C3631" s="51">
        <v>1.005</v>
      </c>
      <c r="D3631" s="51">
        <v>69.0</v>
      </c>
      <c r="E3631" s="52" t="s">
        <v>25</v>
      </c>
      <c r="F3631" s="52" t="s">
        <v>26</v>
      </c>
      <c r="G3631" s="53"/>
    </row>
    <row r="3632">
      <c r="A3632" s="49">
        <v>44732.65737127315</v>
      </c>
      <c r="B3632" s="50">
        <v>44732.7823457638</v>
      </c>
      <c r="C3632" s="51">
        <v>1.005</v>
      </c>
      <c r="D3632" s="51">
        <v>69.0</v>
      </c>
      <c r="E3632" s="52" t="s">
        <v>25</v>
      </c>
      <c r="F3632" s="52" t="s">
        <v>26</v>
      </c>
      <c r="G3632" s="53"/>
    </row>
    <row r="3633">
      <c r="A3633" s="49">
        <v>44732.66779575231</v>
      </c>
      <c r="B3633" s="50">
        <v>44732.7927669444</v>
      </c>
      <c r="C3633" s="51">
        <v>1.005</v>
      </c>
      <c r="D3633" s="51">
        <v>69.0</v>
      </c>
      <c r="E3633" s="52" t="s">
        <v>25</v>
      </c>
      <c r="F3633" s="52" t="s">
        <v>26</v>
      </c>
      <c r="G3633" s="53"/>
    </row>
    <row r="3634">
      <c r="A3634" s="49">
        <v>44732.67821210648</v>
      </c>
      <c r="B3634" s="50">
        <v>44732.8031880555</v>
      </c>
      <c r="C3634" s="51">
        <v>1.005</v>
      </c>
      <c r="D3634" s="51">
        <v>69.0</v>
      </c>
      <c r="E3634" s="52" t="s">
        <v>25</v>
      </c>
      <c r="F3634" s="52" t="s">
        <v>26</v>
      </c>
      <c r="G3634" s="53"/>
    </row>
    <row r="3635">
      <c r="A3635" s="49">
        <v>44732.68863792824</v>
      </c>
      <c r="B3635" s="50">
        <v>44732.8136105439</v>
      </c>
      <c r="C3635" s="51">
        <v>1.005</v>
      </c>
      <c r="D3635" s="51">
        <v>69.0</v>
      </c>
      <c r="E3635" s="52" t="s">
        <v>25</v>
      </c>
      <c r="F3635" s="52" t="s">
        <v>26</v>
      </c>
      <c r="G3635" s="53"/>
    </row>
    <row r="3636">
      <c r="A3636" s="49">
        <v>44732.69907047454</v>
      </c>
      <c r="B3636" s="50">
        <v>44732.8240436689</v>
      </c>
      <c r="C3636" s="51">
        <v>1.005</v>
      </c>
      <c r="D3636" s="51">
        <v>69.0</v>
      </c>
      <c r="E3636" s="52" t="s">
        <v>25</v>
      </c>
      <c r="F3636" s="52" t="s">
        <v>26</v>
      </c>
      <c r="G3636" s="53"/>
    </row>
    <row r="3637">
      <c r="A3637" s="49">
        <v>44732.70949144676</v>
      </c>
      <c r="B3637" s="50">
        <v>44732.8344631365</v>
      </c>
      <c r="C3637" s="51">
        <v>1.005</v>
      </c>
      <c r="D3637" s="51">
        <v>69.0</v>
      </c>
      <c r="E3637" s="52" t="s">
        <v>25</v>
      </c>
      <c r="F3637" s="52" t="s">
        <v>26</v>
      </c>
      <c r="G3637" s="53"/>
    </row>
    <row r="3638">
      <c r="A3638" s="49">
        <v>44732.71991355324</v>
      </c>
      <c r="B3638" s="50">
        <v>44732.8448821875</v>
      </c>
      <c r="C3638" s="51">
        <v>1.005</v>
      </c>
      <c r="D3638" s="51">
        <v>69.0</v>
      </c>
      <c r="E3638" s="52" t="s">
        <v>25</v>
      </c>
      <c r="F3638" s="52" t="s">
        <v>26</v>
      </c>
      <c r="G3638" s="53"/>
    </row>
    <row r="3639">
      <c r="A3639" s="49">
        <v>44732.730346122684</v>
      </c>
      <c r="B3639" s="50">
        <v>44732.8553156365</v>
      </c>
      <c r="C3639" s="51">
        <v>1.005</v>
      </c>
      <c r="D3639" s="51">
        <v>69.0</v>
      </c>
      <c r="E3639" s="52" t="s">
        <v>25</v>
      </c>
      <c r="F3639" s="52" t="s">
        <v>26</v>
      </c>
      <c r="G3639" s="53"/>
    </row>
    <row r="3640">
      <c r="A3640" s="49">
        <v>44732.74076351852</v>
      </c>
      <c r="B3640" s="50">
        <v>44732.8657382754</v>
      </c>
      <c r="C3640" s="51">
        <v>1.005</v>
      </c>
      <c r="D3640" s="51">
        <v>69.0</v>
      </c>
      <c r="E3640" s="52" t="s">
        <v>25</v>
      </c>
      <c r="F3640" s="52" t="s">
        <v>26</v>
      </c>
      <c r="G3640" s="53"/>
    </row>
    <row r="3641">
      <c r="A3641" s="49">
        <v>44732.75118099537</v>
      </c>
      <c r="B3641" s="50">
        <v>44732.8761579976</v>
      </c>
      <c r="C3641" s="51">
        <v>1.005</v>
      </c>
      <c r="D3641" s="51">
        <v>69.0</v>
      </c>
      <c r="E3641" s="52" t="s">
        <v>25</v>
      </c>
      <c r="F3641" s="52" t="s">
        <v>26</v>
      </c>
      <c r="G3641" s="53"/>
    </row>
    <row r="3642">
      <c r="A3642" s="49">
        <v>44732.76160946759</v>
      </c>
      <c r="B3642" s="50">
        <v>44732.886579618</v>
      </c>
      <c r="C3642" s="51">
        <v>1.005</v>
      </c>
      <c r="D3642" s="51">
        <v>69.0</v>
      </c>
      <c r="E3642" s="52" t="s">
        <v>25</v>
      </c>
      <c r="F3642" s="52" t="s">
        <v>26</v>
      </c>
      <c r="G3642" s="53"/>
    </row>
    <row r="3643">
      <c r="A3643" s="49">
        <v>44732.77203122685</v>
      </c>
      <c r="B3643" s="50">
        <v>44732.8970011226</v>
      </c>
      <c r="C3643" s="51">
        <v>1.005</v>
      </c>
      <c r="D3643" s="51">
        <v>69.0</v>
      </c>
      <c r="E3643" s="52" t="s">
        <v>25</v>
      </c>
      <c r="F3643" s="52" t="s">
        <v>26</v>
      </c>
      <c r="G3643" s="53"/>
    </row>
    <row r="3644">
      <c r="A3644" s="49">
        <v>44732.78244967593</v>
      </c>
      <c r="B3644" s="50">
        <v>44732.9074232291</v>
      </c>
      <c r="C3644" s="51">
        <v>1.005</v>
      </c>
      <c r="D3644" s="51">
        <v>69.0</v>
      </c>
      <c r="E3644" s="52" t="s">
        <v>25</v>
      </c>
      <c r="F3644" s="52" t="s">
        <v>26</v>
      </c>
      <c r="G3644" s="53"/>
    </row>
    <row r="3645">
      <c r="A3645" s="49">
        <v>44732.79287260417</v>
      </c>
      <c r="B3645" s="50">
        <v>44732.9178455324</v>
      </c>
      <c r="C3645" s="51">
        <v>1.005</v>
      </c>
      <c r="D3645" s="51">
        <v>69.0</v>
      </c>
      <c r="E3645" s="52" t="s">
        <v>25</v>
      </c>
      <c r="F3645" s="52" t="s">
        <v>26</v>
      </c>
      <c r="G3645" s="53"/>
    </row>
    <row r="3646">
      <c r="A3646" s="49">
        <v>44732.80330827546</v>
      </c>
      <c r="B3646" s="50">
        <v>44732.9282771412</v>
      </c>
      <c r="C3646" s="51">
        <v>1.005</v>
      </c>
      <c r="D3646" s="51">
        <v>69.0</v>
      </c>
      <c r="E3646" s="52" t="s">
        <v>25</v>
      </c>
      <c r="F3646" s="52" t="s">
        <v>26</v>
      </c>
      <c r="G3646" s="53"/>
    </row>
    <row r="3647">
      <c r="A3647" s="49">
        <v>44732.81372815972</v>
      </c>
      <c r="B3647" s="50">
        <v>44732.9386979398</v>
      </c>
      <c r="C3647" s="51">
        <v>1.005</v>
      </c>
      <c r="D3647" s="51">
        <v>69.0</v>
      </c>
      <c r="E3647" s="52" t="s">
        <v>25</v>
      </c>
      <c r="F3647" s="52" t="s">
        <v>26</v>
      </c>
      <c r="G3647" s="53"/>
    </row>
    <row r="3648">
      <c r="A3648" s="49">
        <v>44732.8241810301</v>
      </c>
      <c r="B3648" s="50">
        <v>44732.9491540972</v>
      </c>
      <c r="C3648" s="51">
        <v>1.005</v>
      </c>
      <c r="D3648" s="51">
        <v>69.0</v>
      </c>
      <c r="E3648" s="52" t="s">
        <v>25</v>
      </c>
      <c r="F3648" s="52" t="s">
        <v>26</v>
      </c>
      <c r="G3648" s="53"/>
    </row>
    <row r="3649">
      <c r="A3649" s="49">
        <v>44732.834597141205</v>
      </c>
      <c r="B3649" s="50">
        <v>44732.9595762963</v>
      </c>
      <c r="C3649" s="51">
        <v>1.005</v>
      </c>
      <c r="D3649" s="51">
        <v>69.0</v>
      </c>
      <c r="E3649" s="52" t="s">
        <v>25</v>
      </c>
      <c r="F3649" s="52" t="s">
        <v>26</v>
      </c>
      <c r="G3649" s="53"/>
    </row>
    <row r="3650">
      <c r="A3650" s="49">
        <v>44732.84501800926</v>
      </c>
      <c r="B3650" s="50">
        <v>44732.9699965277</v>
      </c>
      <c r="C3650" s="51">
        <v>1.005</v>
      </c>
      <c r="D3650" s="51">
        <v>69.0</v>
      </c>
      <c r="E3650" s="52" t="s">
        <v>25</v>
      </c>
      <c r="F3650" s="52" t="s">
        <v>26</v>
      </c>
      <c r="G3650" s="53"/>
    </row>
    <row r="3651">
      <c r="A3651" s="49">
        <v>44732.85544883102</v>
      </c>
      <c r="B3651" s="50">
        <v>44732.9804173495</v>
      </c>
      <c r="C3651" s="51">
        <v>1.005</v>
      </c>
      <c r="D3651" s="51">
        <v>69.0</v>
      </c>
      <c r="E3651" s="52" t="s">
        <v>25</v>
      </c>
      <c r="F3651" s="52" t="s">
        <v>26</v>
      </c>
      <c r="G3651" s="53"/>
    </row>
    <row r="3652">
      <c r="A3652" s="49">
        <v>44732.86588855324</v>
      </c>
      <c r="B3652" s="50">
        <v>44732.9908626967</v>
      </c>
      <c r="C3652" s="51">
        <v>1.005</v>
      </c>
      <c r="D3652" s="51">
        <v>69.0</v>
      </c>
      <c r="E3652" s="52" t="s">
        <v>25</v>
      </c>
      <c r="F3652" s="52" t="s">
        <v>26</v>
      </c>
      <c r="G3652" s="53"/>
    </row>
    <row r="3653">
      <c r="A3653" s="49">
        <v>44732.876316828704</v>
      </c>
      <c r="B3653" s="50">
        <v>44733.0012937615</v>
      </c>
      <c r="C3653" s="51">
        <v>1.005</v>
      </c>
      <c r="D3653" s="51">
        <v>69.0</v>
      </c>
      <c r="E3653" s="52" t="s">
        <v>25</v>
      </c>
      <c r="F3653" s="52" t="s">
        <v>26</v>
      </c>
      <c r="G3653" s="53"/>
    </row>
    <row r="3654">
      <c r="A3654" s="49">
        <v>44732.88674971065</v>
      </c>
      <c r="B3654" s="50">
        <v>44733.011725081</v>
      </c>
      <c r="C3654" s="51">
        <v>1.005</v>
      </c>
      <c r="D3654" s="51">
        <v>69.0</v>
      </c>
      <c r="E3654" s="52" t="s">
        <v>25</v>
      </c>
      <c r="F3654" s="52" t="s">
        <v>26</v>
      </c>
      <c r="G3654" s="53"/>
    </row>
    <row r="3655">
      <c r="A3655" s="49">
        <v>44732.89716565972</v>
      </c>
      <c r="B3655" s="50">
        <v>44733.0221473263</v>
      </c>
      <c r="C3655" s="51">
        <v>1.005</v>
      </c>
      <c r="D3655" s="51">
        <v>69.0</v>
      </c>
      <c r="E3655" s="52" t="s">
        <v>25</v>
      </c>
      <c r="F3655" s="52" t="s">
        <v>26</v>
      </c>
      <c r="G3655" s="53"/>
    </row>
    <row r="3656">
      <c r="A3656" s="49">
        <v>44732.90760424768</v>
      </c>
      <c r="B3656" s="50">
        <v>44733.0325914351</v>
      </c>
      <c r="C3656" s="51">
        <v>1.005</v>
      </c>
      <c r="D3656" s="51">
        <v>69.0</v>
      </c>
      <c r="E3656" s="52" t="s">
        <v>25</v>
      </c>
      <c r="F3656" s="52" t="s">
        <v>26</v>
      </c>
      <c r="G3656" s="53"/>
    </row>
    <row r="3657">
      <c r="A3657" s="49">
        <v>44732.918044502316</v>
      </c>
      <c r="B3657" s="50">
        <v>44733.0430219791</v>
      </c>
      <c r="C3657" s="51">
        <v>1.005</v>
      </c>
      <c r="D3657" s="51">
        <v>69.0</v>
      </c>
      <c r="E3657" s="52" t="s">
        <v>25</v>
      </c>
      <c r="F3657" s="52" t="s">
        <v>26</v>
      </c>
      <c r="G3657" s="53"/>
    </row>
    <row r="3658">
      <c r="A3658" s="49">
        <v>44732.92846273148</v>
      </c>
      <c r="B3658" s="50">
        <v>44733.0534424537</v>
      </c>
      <c r="C3658" s="51">
        <v>1.005</v>
      </c>
      <c r="D3658" s="51">
        <v>69.0</v>
      </c>
      <c r="E3658" s="52" t="s">
        <v>25</v>
      </c>
      <c r="F3658" s="52" t="s">
        <v>26</v>
      </c>
      <c r="G3658" s="53"/>
    </row>
    <row r="3659">
      <c r="A3659" s="49">
        <v>44732.93888619213</v>
      </c>
      <c r="B3659" s="50">
        <v>44733.063863287</v>
      </c>
      <c r="C3659" s="51">
        <v>1.005</v>
      </c>
      <c r="D3659" s="51">
        <v>69.0</v>
      </c>
      <c r="E3659" s="52" t="s">
        <v>25</v>
      </c>
      <c r="F3659" s="52" t="s">
        <v>26</v>
      </c>
      <c r="G3659" s="53"/>
    </row>
    <row r="3660">
      <c r="A3660" s="49">
        <v>44732.94931092593</v>
      </c>
      <c r="B3660" s="50">
        <v>44733.0742867592</v>
      </c>
      <c r="C3660" s="51">
        <v>1.005</v>
      </c>
      <c r="D3660" s="51">
        <v>69.0</v>
      </c>
      <c r="E3660" s="52" t="s">
        <v>25</v>
      </c>
      <c r="F3660" s="52" t="s">
        <v>26</v>
      </c>
      <c r="G3660" s="53"/>
    </row>
    <row r="3661">
      <c r="A3661" s="49">
        <v>44732.95973503472</v>
      </c>
      <c r="B3661" s="50">
        <v>44733.084707905</v>
      </c>
      <c r="C3661" s="51">
        <v>1.005</v>
      </c>
      <c r="D3661" s="51">
        <v>69.0</v>
      </c>
      <c r="E3661" s="52" t="s">
        <v>25</v>
      </c>
      <c r="F3661" s="52" t="s">
        <v>26</v>
      </c>
      <c r="G3661" s="53"/>
    </row>
    <row r="3662">
      <c r="A3662" s="49">
        <v>44732.970144583334</v>
      </c>
      <c r="B3662" s="50">
        <v>44733.0951306481</v>
      </c>
      <c r="C3662" s="51">
        <v>1.005</v>
      </c>
      <c r="D3662" s="51">
        <v>69.0</v>
      </c>
      <c r="E3662" s="52" t="s">
        <v>25</v>
      </c>
      <c r="F3662" s="52" t="s">
        <v>26</v>
      </c>
      <c r="G3662" s="53"/>
    </row>
    <row r="3663">
      <c r="A3663" s="49">
        <v>44732.980579386574</v>
      </c>
      <c r="B3663" s="50">
        <v>44733.105552037</v>
      </c>
      <c r="C3663" s="51">
        <v>1.005</v>
      </c>
      <c r="D3663" s="51">
        <v>69.0</v>
      </c>
      <c r="E3663" s="52" t="s">
        <v>25</v>
      </c>
      <c r="F3663" s="52" t="s">
        <v>26</v>
      </c>
      <c r="G3663" s="53"/>
    </row>
    <row r="3664">
      <c r="A3664" s="49">
        <v>44732.990997754634</v>
      </c>
      <c r="B3664" s="50">
        <v>44733.1159741319</v>
      </c>
      <c r="C3664" s="51">
        <v>1.005</v>
      </c>
      <c r="D3664" s="51">
        <v>69.0</v>
      </c>
      <c r="E3664" s="52" t="s">
        <v>25</v>
      </c>
      <c r="F3664" s="52" t="s">
        <v>26</v>
      </c>
      <c r="G3664" s="53"/>
    </row>
    <row r="3665">
      <c r="A3665" s="49">
        <v>44733.00141979167</v>
      </c>
      <c r="B3665" s="50">
        <v>44733.1263944444</v>
      </c>
      <c r="C3665" s="51">
        <v>1.005</v>
      </c>
      <c r="D3665" s="51">
        <v>69.0</v>
      </c>
      <c r="E3665" s="52" t="s">
        <v>25</v>
      </c>
      <c r="F3665" s="52" t="s">
        <v>26</v>
      </c>
      <c r="G3665" s="53"/>
    </row>
    <row r="3666">
      <c r="A3666" s="49">
        <v>44733.01184510416</v>
      </c>
      <c r="B3666" s="50">
        <v>44733.136827662</v>
      </c>
      <c r="C3666" s="51">
        <v>1.005</v>
      </c>
      <c r="D3666" s="51">
        <v>69.0</v>
      </c>
      <c r="E3666" s="52" t="s">
        <v>25</v>
      </c>
      <c r="F3666" s="52" t="s">
        <v>26</v>
      </c>
      <c r="G3666" s="53"/>
    </row>
    <row r="3667">
      <c r="A3667" s="49">
        <v>44733.022264687505</v>
      </c>
      <c r="B3667" s="50">
        <v>44733.147247905</v>
      </c>
      <c r="C3667" s="51">
        <v>1.005</v>
      </c>
      <c r="D3667" s="51">
        <v>69.0</v>
      </c>
      <c r="E3667" s="52" t="s">
        <v>25</v>
      </c>
      <c r="F3667" s="52" t="s">
        <v>26</v>
      </c>
      <c r="G3667" s="53"/>
    </row>
    <row r="3668">
      <c r="A3668" s="49">
        <v>44733.03269811343</v>
      </c>
      <c r="B3668" s="50">
        <v>44733.1576800925</v>
      </c>
      <c r="C3668" s="51">
        <v>1.005</v>
      </c>
      <c r="D3668" s="51">
        <v>69.0</v>
      </c>
      <c r="E3668" s="52" t="s">
        <v>25</v>
      </c>
      <c r="F3668" s="52" t="s">
        <v>26</v>
      </c>
      <c r="G3668" s="53"/>
    </row>
    <row r="3669">
      <c r="A3669" s="49">
        <v>44733.04311675926</v>
      </c>
      <c r="B3669" s="50">
        <v>44733.1681007986</v>
      </c>
      <c r="C3669" s="51">
        <v>1.005</v>
      </c>
      <c r="D3669" s="51">
        <v>69.0</v>
      </c>
      <c r="E3669" s="52" t="s">
        <v>25</v>
      </c>
      <c r="F3669" s="52" t="s">
        <v>26</v>
      </c>
      <c r="G3669" s="53"/>
    </row>
    <row r="3670">
      <c r="A3670" s="49">
        <v>44733.05354871528</v>
      </c>
      <c r="B3670" s="50">
        <v>44733.1785226273</v>
      </c>
      <c r="C3670" s="51">
        <v>1.005</v>
      </c>
      <c r="D3670" s="51">
        <v>69.0</v>
      </c>
      <c r="E3670" s="52" t="s">
        <v>25</v>
      </c>
      <c r="F3670" s="52" t="s">
        <v>26</v>
      </c>
      <c r="G3670" s="53"/>
    </row>
    <row r="3671">
      <c r="A3671" s="49">
        <v>44733.063968703704</v>
      </c>
      <c r="B3671" s="50">
        <v>44733.1889428356</v>
      </c>
      <c r="C3671" s="51">
        <v>1.005</v>
      </c>
      <c r="D3671" s="51">
        <v>69.0</v>
      </c>
      <c r="E3671" s="52" t="s">
        <v>25</v>
      </c>
      <c r="F3671" s="52" t="s">
        <v>26</v>
      </c>
      <c r="G3671" s="53"/>
    </row>
    <row r="3672">
      <c r="A3672" s="49">
        <v>44733.07437894676</v>
      </c>
      <c r="B3672" s="50">
        <v>44733.1993615625</v>
      </c>
      <c r="C3672" s="51">
        <v>1.005</v>
      </c>
      <c r="D3672" s="51">
        <v>69.0</v>
      </c>
      <c r="E3672" s="52" t="s">
        <v>25</v>
      </c>
      <c r="F3672" s="52" t="s">
        <v>26</v>
      </c>
      <c r="G3672" s="53"/>
    </row>
    <row r="3673">
      <c r="A3673" s="49">
        <v>44733.0848090625</v>
      </c>
      <c r="B3673" s="50">
        <v>44733.209782118</v>
      </c>
      <c r="C3673" s="51">
        <v>1.005</v>
      </c>
      <c r="D3673" s="51">
        <v>69.0</v>
      </c>
      <c r="E3673" s="52" t="s">
        <v>25</v>
      </c>
      <c r="F3673" s="52" t="s">
        <v>26</v>
      </c>
      <c r="G3673" s="53"/>
    </row>
    <row r="3674">
      <c r="A3674" s="49">
        <v>44733.09523792824</v>
      </c>
      <c r="B3674" s="50">
        <v>44733.2202148264</v>
      </c>
      <c r="C3674" s="51">
        <v>1.005</v>
      </c>
      <c r="D3674" s="51">
        <v>69.0</v>
      </c>
      <c r="E3674" s="52" t="s">
        <v>25</v>
      </c>
      <c r="F3674" s="52" t="s">
        <v>26</v>
      </c>
      <c r="G3674" s="53"/>
    </row>
    <row r="3675">
      <c r="A3675" s="49">
        <v>44733.10565744213</v>
      </c>
      <c r="B3675" s="50">
        <v>44733.2306370254</v>
      </c>
      <c r="C3675" s="51">
        <v>1.005</v>
      </c>
      <c r="D3675" s="51">
        <v>69.0</v>
      </c>
      <c r="E3675" s="52" t="s">
        <v>25</v>
      </c>
      <c r="F3675" s="52" t="s">
        <v>26</v>
      </c>
      <c r="G3675" s="53"/>
    </row>
    <row r="3676">
      <c r="A3676" s="49">
        <v>44733.116081307875</v>
      </c>
      <c r="B3676" s="50">
        <v>44733.2410555902</v>
      </c>
      <c r="C3676" s="51">
        <v>1.005</v>
      </c>
      <c r="D3676" s="51">
        <v>69.0</v>
      </c>
      <c r="E3676" s="52" t="s">
        <v>25</v>
      </c>
      <c r="F3676" s="52" t="s">
        <v>26</v>
      </c>
      <c r="G3676" s="53"/>
    </row>
    <row r="3677">
      <c r="A3677" s="49">
        <v>44733.12650118055</v>
      </c>
      <c r="B3677" s="50">
        <v>44733.2514753472</v>
      </c>
      <c r="C3677" s="51">
        <v>1.005</v>
      </c>
      <c r="D3677" s="51">
        <v>69.0</v>
      </c>
      <c r="E3677" s="52" t="s">
        <v>25</v>
      </c>
      <c r="F3677" s="52" t="s">
        <v>26</v>
      </c>
      <c r="G3677" s="53"/>
    </row>
    <row r="3678">
      <c r="A3678" s="49">
        <v>44733.1369237037</v>
      </c>
      <c r="B3678" s="50">
        <v>44733.2618974189</v>
      </c>
      <c r="C3678" s="51">
        <v>1.005</v>
      </c>
      <c r="D3678" s="51">
        <v>69.0</v>
      </c>
      <c r="E3678" s="52" t="s">
        <v>25</v>
      </c>
      <c r="F3678" s="52" t="s">
        <v>26</v>
      </c>
      <c r="G3678" s="53"/>
    </row>
    <row r="3679">
      <c r="A3679" s="49">
        <v>44733.14734439815</v>
      </c>
      <c r="B3679" s="50">
        <v>44733.2723193865</v>
      </c>
      <c r="C3679" s="51">
        <v>1.005</v>
      </c>
      <c r="D3679" s="51">
        <v>69.0</v>
      </c>
      <c r="E3679" s="52" t="s">
        <v>25</v>
      </c>
      <c r="F3679" s="52" t="s">
        <v>26</v>
      </c>
      <c r="G3679" s="53"/>
    </row>
    <row r="3680">
      <c r="A3680" s="49">
        <v>44733.15777658565</v>
      </c>
      <c r="B3680" s="50">
        <v>44733.2827530902</v>
      </c>
      <c r="C3680" s="51">
        <v>1.005</v>
      </c>
      <c r="D3680" s="51">
        <v>69.0</v>
      </c>
      <c r="E3680" s="52" t="s">
        <v>25</v>
      </c>
      <c r="F3680" s="52" t="s">
        <v>26</v>
      </c>
      <c r="G3680" s="53"/>
    </row>
    <row r="3681">
      <c r="A3681" s="49">
        <v>44733.1681968287</v>
      </c>
      <c r="B3681" s="50">
        <v>44733.2931744213</v>
      </c>
      <c r="C3681" s="51">
        <v>1.005</v>
      </c>
      <c r="D3681" s="51">
        <v>69.0</v>
      </c>
      <c r="E3681" s="52" t="s">
        <v>25</v>
      </c>
      <c r="F3681" s="52" t="s">
        <v>26</v>
      </c>
      <c r="G3681" s="53"/>
    </row>
    <row r="3682">
      <c r="A3682" s="49">
        <v>44733.178609826384</v>
      </c>
      <c r="B3682" s="50">
        <v>44733.3035953125</v>
      </c>
      <c r="C3682" s="51">
        <v>1.005</v>
      </c>
      <c r="D3682" s="51">
        <v>69.0</v>
      </c>
      <c r="E3682" s="52" t="s">
        <v>25</v>
      </c>
      <c r="F3682" s="52" t="s">
        <v>26</v>
      </c>
      <c r="G3682" s="53"/>
    </row>
    <row r="3683">
      <c r="A3683" s="49">
        <v>44733.18904383102</v>
      </c>
      <c r="B3683" s="50">
        <v>44733.314017662</v>
      </c>
      <c r="C3683" s="51">
        <v>1.005</v>
      </c>
      <c r="D3683" s="51">
        <v>69.0</v>
      </c>
      <c r="E3683" s="52" t="s">
        <v>25</v>
      </c>
      <c r="F3683" s="52" t="s">
        <v>26</v>
      </c>
      <c r="G3683" s="53"/>
    </row>
    <row r="3684">
      <c r="A3684" s="49">
        <v>44733.1994647338</v>
      </c>
      <c r="B3684" s="50">
        <v>44733.324440243</v>
      </c>
      <c r="C3684" s="51">
        <v>1.005</v>
      </c>
      <c r="D3684" s="51">
        <v>69.0</v>
      </c>
      <c r="E3684" s="52" t="s">
        <v>25</v>
      </c>
      <c r="F3684" s="52" t="s">
        <v>26</v>
      </c>
      <c r="G3684" s="53"/>
    </row>
    <row r="3685">
      <c r="A3685" s="49">
        <v>44733.20989873842</v>
      </c>
      <c r="B3685" s="50">
        <v>44733.3348623842</v>
      </c>
      <c r="C3685" s="51">
        <v>1.005</v>
      </c>
      <c r="D3685" s="51">
        <v>69.0</v>
      </c>
      <c r="E3685" s="52" t="s">
        <v>25</v>
      </c>
      <c r="F3685" s="52" t="s">
        <v>26</v>
      </c>
      <c r="G3685" s="53"/>
    </row>
    <row r="3686">
      <c r="A3686" s="49">
        <v>44733.2203336574</v>
      </c>
      <c r="B3686" s="50">
        <v>44733.3453071064</v>
      </c>
      <c r="C3686" s="51">
        <v>1.005</v>
      </c>
      <c r="D3686" s="51">
        <v>69.0</v>
      </c>
      <c r="E3686" s="52" t="s">
        <v>25</v>
      </c>
      <c r="F3686" s="52" t="s">
        <v>26</v>
      </c>
      <c r="G3686" s="53"/>
    </row>
    <row r="3687">
      <c r="A3687" s="49">
        <v>44733.23075335648</v>
      </c>
      <c r="B3687" s="50">
        <v>44733.3557288425</v>
      </c>
      <c r="C3687" s="51">
        <v>1.005</v>
      </c>
      <c r="D3687" s="51">
        <v>69.0</v>
      </c>
      <c r="E3687" s="52" t="s">
        <v>25</v>
      </c>
      <c r="F3687" s="52" t="s">
        <v>26</v>
      </c>
      <c r="G3687" s="53"/>
    </row>
    <row r="3688">
      <c r="A3688" s="49">
        <v>44733.24118081019</v>
      </c>
      <c r="B3688" s="50">
        <v>44733.3661615162</v>
      </c>
      <c r="C3688" s="51">
        <v>1.005</v>
      </c>
      <c r="D3688" s="51">
        <v>69.0</v>
      </c>
      <c r="E3688" s="52" t="s">
        <v>25</v>
      </c>
      <c r="F3688" s="52" t="s">
        <v>26</v>
      </c>
      <c r="G3688" s="53"/>
    </row>
    <row r="3689">
      <c r="A3689" s="49">
        <v>44733.251623206015</v>
      </c>
      <c r="B3689" s="50">
        <v>44733.3765944907</v>
      </c>
      <c r="C3689" s="51">
        <v>1.005</v>
      </c>
      <c r="D3689" s="51">
        <v>69.0</v>
      </c>
      <c r="E3689" s="52" t="s">
        <v>25</v>
      </c>
      <c r="F3689" s="52" t="s">
        <v>26</v>
      </c>
      <c r="G3689" s="53"/>
    </row>
    <row r="3690">
      <c r="A3690" s="49">
        <v>44733.26205651621</v>
      </c>
      <c r="B3690" s="50">
        <v>44733.3870261342</v>
      </c>
      <c r="C3690" s="51">
        <v>1.005</v>
      </c>
      <c r="D3690" s="51">
        <v>69.0</v>
      </c>
      <c r="E3690" s="52" t="s">
        <v>25</v>
      </c>
      <c r="F3690" s="52" t="s">
        <v>26</v>
      </c>
      <c r="G3690" s="53"/>
    </row>
    <row r="3691">
      <c r="A3691" s="49">
        <v>44733.27248564815</v>
      </c>
      <c r="B3691" s="50">
        <v>44733.3974591435</v>
      </c>
      <c r="C3691" s="51">
        <v>1.005</v>
      </c>
      <c r="D3691" s="51">
        <v>69.0</v>
      </c>
      <c r="E3691" s="52" t="s">
        <v>25</v>
      </c>
      <c r="F3691" s="52" t="s">
        <v>26</v>
      </c>
      <c r="G3691" s="53"/>
    </row>
    <row r="3692">
      <c r="A3692" s="49">
        <v>44733.28291255787</v>
      </c>
      <c r="B3692" s="50">
        <v>44733.4078904282</v>
      </c>
      <c r="C3692" s="51">
        <v>1.005</v>
      </c>
      <c r="D3692" s="51">
        <v>69.0</v>
      </c>
      <c r="E3692" s="52" t="s">
        <v>25</v>
      </c>
      <c r="F3692" s="52" t="s">
        <v>26</v>
      </c>
      <c r="G3692" s="53"/>
    </row>
    <row r="3693">
      <c r="A3693" s="49">
        <v>44733.29333408565</v>
      </c>
      <c r="B3693" s="50">
        <v>44733.4183120254</v>
      </c>
      <c r="C3693" s="51">
        <v>1.005</v>
      </c>
      <c r="D3693" s="51">
        <v>69.0</v>
      </c>
      <c r="E3693" s="52" t="s">
        <v>25</v>
      </c>
      <c r="F3693" s="52" t="s">
        <v>26</v>
      </c>
      <c r="G3693" s="53"/>
    </row>
    <row r="3694">
      <c r="A3694" s="49">
        <v>44733.30376127315</v>
      </c>
      <c r="B3694" s="50">
        <v>44733.4287321527</v>
      </c>
      <c r="C3694" s="51">
        <v>1.005</v>
      </c>
      <c r="D3694" s="51">
        <v>69.0</v>
      </c>
      <c r="E3694" s="52" t="s">
        <v>25</v>
      </c>
      <c r="F3694" s="52" t="s">
        <v>26</v>
      </c>
      <c r="G3694" s="53"/>
    </row>
    <row r="3695">
      <c r="A3695" s="49">
        <v>44733.31418390047</v>
      </c>
      <c r="B3695" s="50">
        <v>44733.4391527314</v>
      </c>
      <c r="C3695" s="51">
        <v>1.005</v>
      </c>
      <c r="D3695" s="51">
        <v>69.0</v>
      </c>
      <c r="E3695" s="52" t="s">
        <v>25</v>
      </c>
      <c r="F3695" s="52" t="s">
        <v>26</v>
      </c>
      <c r="G3695" s="53"/>
    </row>
    <row r="3696">
      <c r="A3696" s="49">
        <v>44733.32461738426</v>
      </c>
      <c r="B3696" s="50">
        <v>44733.4495864004</v>
      </c>
      <c r="C3696" s="51">
        <v>1.005</v>
      </c>
      <c r="D3696" s="51">
        <v>69.0</v>
      </c>
      <c r="E3696" s="52" t="s">
        <v>25</v>
      </c>
      <c r="F3696" s="52" t="s">
        <v>26</v>
      </c>
      <c r="G3696" s="53"/>
    </row>
    <row r="3697">
      <c r="A3697" s="49">
        <v>44733.33503476852</v>
      </c>
      <c r="B3697" s="50">
        <v>44733.4600086111</v>
      </c>
      <c r="C3697" s="51">
        <v>1.005</v>
      </c>
      <c r="D3697" s="51">
        <v>69.0</v>
      </c>
      <c r="E3697" s="52" t="s">
        <v>25</v>
      </c>
      <c r="F3697" s="52" t="s">
        <v>26</v>
      </c>
      <c r="G3697" s="53"/>
    </row>
    <row r="3698">
      <c r="A3698" s="49">
        <v>44733.345455567134</v>
      </c>
      <c r="B3698" s="50">
        <v>44733.470429456</v>
      </c>
      <c r="C3698" s="51">
        <v>1.005</v>
      </c>
      <c r="D3698" s="51">
        <v>69.0</v>
      </c>
      <c r="E3698" s="52" t="s">
        <v>25</v>
      </c>
      <c r="F3698" s="52" t="s">
        <v>26</v>
      </c>
      <c r="G3698" s="53"/>
    </row>
    <row r="3699">
      <c r="A3699" s="49">
        <v>44733.35587775463</v>
      </c>
      <c r="B3699" s="50">
        <v>44733.4808488078</v>
      </c>
      <c r="C3699" s="51">
        <v>1.005</v>
      </c>
      <c r="D3699" s="51">
        <v>69.0</v>
      </c>
      <c r="E3699" s="52" t="s">
        <v>25</v>
      </c>
      <c r="F3699" s="52" t="s">
        <v>26</v>
      </c>
      <c r="G3699" s="53"/>
    </row>
    <row r="3700">
      <c r="A3700" s="49">
        <v>44733.366297534725</v>
      </c>
      <c r="B3700" s="50">
        <v>44733.491272037</v>
      </c>
      <c r="C3700" s="51">
        <v>1.005</v>
      </c>
      <c r="D3700" s="51">
        <v>69.0</v>
      </c>
      <c r="E3700" s="52" t="s">
        <v>25</v>
      </c>
      <c r="F3700" s="52" t="s">
        <v>26</v>
      </c>
      <c r="G3700" s="53"/>
    </row>
    <row r="3701">
      <c r="A3701" s="49">
        <v>44733.37671622685</v>
      </c>
      <c r="B3701" s="50">
        <v>44733.5016924305</v>
      </c>
      <c r="C3701" s="51">
        <v>1.005</v>
      </c>
      <c r="D3701" s="51">
        <v>69.0</v>
      </c>
      <c r="E3701" s="52" t="s">
        <v>25</v>
      </c>
      <c r="F3701" s="52" t="s">
        <v>26</v>
      </c>
      <c r="G3701" s="53"/>
    </row>
    <row r="3702">
      <c r="A3702" s="49">
        <v>44733.38713831019</v>
      </c>
      <c r="B3702" s="50">
        <v>44733.5121137037</v>
      </c>
      <c r="C3702" s="51">
        <v>1.005</v>
      </c>
      <c r="D3702" s="51">
        <v>69.0</v>
      </c>
      <c r="E3702" s="52" t="s">
        <v>25</v>
      </c>
      <c r="F3702" s="52" t="s">
        <v>26</v>
      </c>
      <c r="G3702" s="53"/>
    </row>
    <row r="3703">
      <c r="A3703" s="49">
        <v>44733.397558125</v>
      </c>
      <c r="B3703" s="50">
        <v>44733.5225350231</v>
      </c>
      <c r="C3703" s="51">
        <v>1.005</v>
      </c>
      <c r="D3703" s="51">
        <v>69.0</v>
      </c>
      <c r="E3703" s="52" t="s">
        <v>25</v>
      </c>
      <c r="F3703" s="52" t="s">
        <v>26</v>
      </c>
      <c r="G3703" s="53"/>
    </row>
    <row r="3704">
      <c r="A3704" s="49">
        <v>44733.40797180556</v>
      </c>
      <c r="B3704" s="50">
        <v>44733.5329568055</v>
      </c>
      <c r="C3704" s="51">
        <v>1.005</v>
      </c>
      <c r="D3704" s="51">
        <v>69.0</v>
      </c>
      <c r="E3704" s="52" t="s">
        <v>25</v>
      </c>
      <c r="F3704" s="52" t="s">
        <v>26</v>
      </c>
      <c r="G3704" s="53"/>
    </row>
    <row r="3705">
      <c r="A3705" s="49">
        <v>44733.41843866898</v>
      </c>
      <c r="B3705" s="50">
        <v>44733.5434122453</v>
      </c>
      <c r="C3705" s="51">
        <v>1.005</v>
      </c>
      <c r="D3705" s="51">
        <v>69.0</v>
      </c>
      <c r="E3705" s="52" t="s">
        <v>25</v>
      </c>
      <c r="F3705" s="52" t="s">
        <v>26</v>
      </c>
      <c r="G3705" s="53"/>
    </row>
    <row r="3706">
      <c r="A3706" s="49">
        <v>44733.42888222222</v>
      </c>
      <c r="B3706" s="50">
        <v>44733.5538575578</v>
      </c>
      <c r="C3706" s="51">
        <v>1.005</v>
      </c>
      <c r="D3706" s="51">
        <v>69.0</v>
      </c>
      <c r="E3706" s="52" t="s">
        <v>25</v>
      </c>
      <c r="F3706" s="52" t="s">
        <v>26</v>
      </c>
      <c r="G3706" s="53"/>
    </row>
    <row r="3707">
      <c r="A3707" s="49">
        <v>44733.439299641206</v>
      </c>
      <c r="B3707" s="50">
        <v>44733.5642814467</v>
      </c>
      <c r="C3707" s="51">
        <v>1.005</v>
      </c>
      <c r="D3707" s="51">
        <v>69.0</v>
      </c>
      <c r="E3707" s="52" t="s">
        <v>25</v>
      </c>
      <c r="F3707" s="52" t="s">
        <v>26</v>
      </c>
      <c r="G3707" s="53"/>
    </row>
    <row r="3708">
      <c r="A3708" s="49">
        <v>44733.44972372685</v>
      </c>
      <c r="B3708" s="50">
        <v>44733.5747017939</v>
      </c>
      <c r="C3708" s="51">
        <v>1.005</v>
      </c>
      <c r="D3708" s="51">
        <v>69.0</v>
      </c>
      <c r="E3708" s="52" t="s">
        <v>25</v>
      </c>
      <c r="F3708" s="52" t="s">
        <v>26</v>
      </c>
      <c r="G3708" s="53"/>
    </row>
    <row r="3709">
      <c r="A3709" s="49">
        <v>44733.4601582176</v>
      </c>
      <c r="B3709" s="50">
        <v>44733.5851250231</v>
      </c>
      <c r="C3709" s="51">
        <v>1.005</v>
      </c>
      <c r="D3709" s="51">
        <v>69.0</v>
      </c>
      <c r="E3709" s="52" t="s">
        <v>25</v>
      </c>
      <c r="F3709" s="52" t="s">
        <v>26</v>
      </c>
      <c r="G3709" s="53"/>
    </row>
    <row r="3710">
      <c r="A3710" s="49">
        <v>44733.470571516205</v>
      </c>
      <c r="B3710" s="50">
        <v>44733.5955453472</v>
      </c>
      <c r="C3710" s="51">
        <v>1.005</v>
      </c>
      <c r="D3710" s="51">
        <v>69.0</v>
      </c>
      <c r="E3710" s="52" t="s">
        <v>25</v>
      </c>
      <c r="F3710" s="52" t="s">
        <v>26</v>
      </c>
      <c r="G3710" s="53"/>
    </row>
    <row r="3711">
      <c r="A3711" s="49">
        <v>44733.48099038194</v>
      </c>
      <c r="B3711" s="50">
        <v>44733.6059656944</v>
      </c>
      <c r="C3711" s="51">
        <v>1.005</v>
      </c>
      <c r="D3711" s="51">
        <v>69.0</v>
      </c>
      <c r="E3711" s="52" t="s">
        <v>25</v>
      </c>
      <c r="F3711" s="52" t="s">
        <v>26</v>
      </c>
      <c r="G3711" s="53"/>
    </row>
    <row r="3712">
      <c r="A3712" s="49">
        <v>44733.4914203125</v>
      </c>
      <c r="B3712" s="50">
        <v>44733.6163976851</v>
      </c>
      <c r="C3712" s="51">
        <v>1.005</v>
      </c>
      <c r="D3712" s="51">
        <v>69.0</v>
      </c>
      <c r="E3712" s="52" t="s">
        <v>25</v>
      </c>
      <c r="F3712" s="52" t="s">
        <v>26</v>
      </c>
      <c r="G3712" s="53"/>
    </row>
    <row r="3713">
      <c r="A3713" s="49">
        <v>44733.501853912036</v>
      </c>
      <c r="B3713" s="50">
        <v>44733.6268290972</v>
      </c>
      <c r="C3713" s="51">
        <v>1.005</v>
      </c>
      <c r="D3713" s="51">
        <v>69.0</v>
      </c>
      <c r="E3713" s="52" t="s">
        <v>25</v>
      </c>
      <c r="F3713" s="52" t="s">
        <v>26</v>
      </c>
      <c r="G3713" s="53"/>
    </row>
    <row r="3714">
      <c r="A3714" s="49">
        <v>44733.512284004624</v>
      </c>
      <c r="B3714" s="50">
        <v>44733.637262662</v>
      </c>
      <c r="C3714" s="51">
        <v>1.005</v>
      </c>
      <c r="D3714" s="51">
        <v>69.0</v>
      </c>
      <c r="E3714" s="52" t="s">
        <v>25</v>
      </c>
      <c r="F3714" s="52" t="s">
        <v>26</v>
      </c>
      <c r="G3714" s="53"/>
    </row>
    <row r="3715">
      <c r="A3715" s="49">
        <v>44733.522725393515</v>
      </c>
      <c r="B3715" s="50">
        <v>44733.647705868</v>
      </c>
      <c r="C3715" s="51">
        <v>1.005</v>
      </c>
      <c r="D3715" s="51">
        <v>69.0</v>
      </c>
      <c r="E3715" s="52" t="s">
        <v>25</v>
      </c>
      <c r="F3715" s="52" t="s">
        <v>26</v>
      </c>
      <c r="G3715" s="53"/>
    </row>
    <row r="3716">
      <c r="A3716" s="49">
        <v>44733.53314372685</v>
      </c>
      <c r="B3716" s="50">
        <v>44733.6581265393</v>
      </c>
      <c r="C3716" s="51">
        <v>1.005</v>
      </c>
      <c r="D3716" s="51">
        <v>69.0</v>
      </c>
      <c r="E3716" s="52" t="s">
        <v>25</v>
      </c>
      <c r="F3716" s="52" t="s">
        <v>26</v>
      </c>
      <c r="G3716" s="53"/>
    </row>
    <row r="3717">
      <c r="A3717" s="49">
        <v>44733.54357770833</v>
      </c>
      <c r="B3717" s="50">
        <v>44733.6685462615</v>
      </c>
      <c r="C3717" s="51">
        <v>1.005</v>
      </c>
      <c r="D3717" s="51">
        <v>69.0</v>
      </c>
      <c r="E3717" s="52" t="s">
        <v>25</v>
      </c>
      <c r="F3717" s="52" t="s">
        <v>26</v>
      </c>
      <c r="G3717" s="53"/>
    </row>
    <row r="3718">
      <c r="A3718" s="49">
        <v>44733.553996331015</v>
      </c>
      <c r="B3718" s="50">
        <v>44733.6789688426</v>
      </c>
      <c r="C3718" s="51">
        <v>1.005</v>
      </c>
      <c r="D3718" s="51">
        <v>69.0</v>
      </c>
      <c r="E3718" s="52" t="s">
        <v>25</v>
      </c>
      <c r="F3718" s="52" t="s">
        <v>26</v>
      </c>
      <c r="G3718" s="53"/>
    </row>
    <row r="3719">
      <c r="A3719" s="49">
        <v>44733.564414293985</v>
      </c>
      <c r="B3719" s="50">
        <v>44733.6893922222</v>
      </c>
      <c r="C3719" s="51">
        <v>1.005</v>
      </c>
      <c r="D3719" s="51">
        <v>69.0</v>
      </c>
      <c r="E3719" s="52" t="s">
        <v>25</v>
      </c>
      <c r="F3719" s="52" t="s">
        <v>26</v>
      </c>
      <c r="G3719" s="53"/>
    </row>
    <row r="3720">
      <c r="A3720" s="49">
        <v>44733.57483027778</v>
      </c>
      <c r="B3720" s="50">
        <v>44733.6998125926</v>
      </c>
      <c r="C3720" s="51">
        <v>1.005</v>
      </c>
      <c r="D3720" s="51">
        <v>69.0</v>
      </c>
      <c r="E3720" s="52" t="s">
        <v>25</v>
      </c>
      <c r="F3720" s="52" t="s">
        <v>26</v>
      </c>
      <c r="G3720" s="53"/>
    </row>
    <row r="3721">
      <c r="A3721" s="49">
        <v>44733.58528543981</v>
      </c>
      <c r="B3721" s="50">
        <v>44733.7102588194</v>
      </c>
      <c r="C3721" s="51">
        <v>1.005</v>
      </c>
      <c r="D3721" s="51">
        <v>69.0</v>
      </c>
      <c r="E3721" s="52" t="s">
        <v>25</v>
      </c>
      <c r="F3721" s="52" t="s">
        <v>26</v>
      </c>
      <c r="G3721" s="53"/>
    </row>
    <row r="3722">
      <c r="A3722" s="49">
        <v>44733.59570203704</v>
      </c>
      <c r="B3722" s="50">
        <v>44733.7206784259</v>
      </c>
      <c r="C3722" s="51">
        <v>1.005</v>
      </c>
      <c r="D3722" s="51">
        <v>69.0</v>
      </c>
      <c r="E3722" s="52" t="s">
        <v>25</v>
      </c>
      <c r="F3722" s="52" t="s">
        <v>26</v>
      </c>
      <c r="G3722" s="53"/>
    </row>
    <row r="3723">
      <c r="A3723" s="49">
        <v>44733.60611883102</v>
      </c>
      <c r="B3723" s="50">
        <v>44733.7311009837</v>
      </c>
      <c r="C3723" s="51">
        <v>1.005</v>
      </c>
      <c r="D3723" s="51">
        <v>69.0</v>
      </c>
      <c r="E3723" s="52" t="s">
        <v>25</v>
      </c>
      <c r="F3723" s="52" t="s">
        <v>26</v>
      </c>
      <c r="G3723" s="53"/>
    </row>
    <row r="3724">
      <c r="A3724" s="49">
        <v>44733.61653763889</v>
      </c>
      <c r="B3724" s="50">
        <v>44733.7415224074</v>
      </c>
      <c r="C3724" s="51">
        <v>1.005</v>
      </c>
      <c r="D3724" s="51">
        <v>69.0</v>
      </c>
      <c r="E3724" s="52" t="s">
        <v>25</v>
      </c>
      <c r="F3724" s="52" t="s">
        <v>26</v>
      </c>
      <c r="G3724" s="53"/>
    </row>
    <row r="3725">
      <c r="A3725" s="49">
        <v>44733.62696256944</v>
      </c>
      <c r="B3725" s="50">
        <v>44733.7519440046</v>
      </c>
      <c r="C3725" s="51">
        <v>1.005</v>
      </c>
      <c r="D3725" s="51">
        <v>69.0</v>
      </c>
      <c r="E3725" s="52" t="s">
        <v>25</v>
      </c>
      <c r="F3725" s="52" t="s">
        <v>26</v>
      </c>
      <c r="G3725" s="53"/>
    </row>
    <row r="3726">
      <c r="A3726" s="49">
        <v>44733.637399976855</v>
      </c>
      <c r="B3726" s="50">
        <v>44733.7623759606</v>
      </c>
      <c r="C3726" s="51">
        <v>1.005</v>
      </c>
      <c r="D3726" s="51">
        <v>69.0</v>
      </c>
      <c r="E3726" s="52" t="s">
        <v>25</v>
      </c>
      <c r="F3726" s="52" t="s">
        <v>26</v>
      </c>
      <c r="G3726" s="53"/>
    </row>
    <row r="3727">
      <c r="A3727" s="49">
        <v>44733.647838819445</v>
      </c>
      <c r="B3727" s="50">
        <v>44733.7728095833</v>
      </c>
      <c r="C3727" s="51">
        <v>1.005</v>
      </c>
      <c r="D3727" s="51">
        <v>69.0</v>
      </c>
      <c r="E3727" s="52" t="s">
        <v>25</v>
      </c>
      <c r="F3727" s="52" t="s">
        <v>26</v>
      </c>
      <c r="G3727" s="53"/>
    </row>
    <row r="3728">
      <c r="A3728" s="49">
        <v>44733.658254050926</v>
      </c>
      <c r="B3728" s="50">
        <v>44733.7832295138</v>
      </c>
      <c r="C3728" s="51">
        <v>1.005</v>
      </c>
      <c r="D3728" s="51">
        <v>69.0</v>
      </c>
      <c r="E3728" s="52" t="s">
        <v>25</v>
      </c>
      <c r="F3728" s="52" t="s">
        <v>26</v>
      </c>
      <c r="G3728" s="53"/>
    </row>
    <row r="3729">
      <c r="A3729" s="49">
        <v>44733.668678449074</v>
      </c>
      <c r="B3729" s="50">
        <v>44733.7936500578</v>
      </c>
      <c r="C3729" s="51">
        <v>1.005</v>
      </c>
      <c r="D3729" s="51">
        <v>69.0</v>
      </c>
      <c r="E3729" s="52" t="s">
        <v>25</v>
      </c>
      <c r="F3729" s="52" t="s">
        <v>26</v>
      </c>
      <c r="G3729" s="53"/>
    </row>
    <row r="3730">
      <c r="A3730" s="49">
        <v>44733.67909875</v>
      </c>
      <c r="B3730" s="50">
        <v>44733.8040717476</v>
      </c>
      <c r="C3730" s="51">
        <v>1.005</v>
      </c>
      <c r="D3730" s="51">
        <v>69.0</v>
      </c>
      <c r="E3730" s="52" t="s">
        <v>25</v>
      </c>
      <c r="F3730" s="52" t="s">
        <v>26</v>
      </c>
      <c r="G3730" s="53"/>
    </row>
    <row r="3731">
      <c r="A3731" s="49">
        <v>44733.68951592593</v>
      </c>
      <c r="B3731" s="50">
        <v>44733.8144931828</v>
      </c>
      <c r="C3731" s="51">
        <v>1.005</v>
      </c>
      <c r="D3731" s="51">
        <v>69.0</v>
      </c>
      <c r="E3731" s="52" t="s">
        <v>25</v>
      </c>
      <c r="F3731" s="52" t="s">
        <v>26</v>
      </c>
      <c r="G3731" s="53"/>
    </row>
    <row r="3732">
      <c r="A3732" s="49">
        <v>44733.699938645834</v>
      </c>
      <c r="B3732" s="50">
        <v>44733.8249121412</v>
      </c>
      <c r="C3732" s="51">
        <v>1.005</v>
      </c>
      <c r="D3732" s="51">
        <v>69.0</v>
      </c>
      <c r="E3732" s="52" t="s">
        <v>25</v>
      </c>
      <c r="F3732" s="52" t="s">
        <v>26</v>
      </c>
      <c r="G3732" s="53"/>
    </row>
    <row r="3733">
      <c r="A3733" s="49">
        <v>44733.710361157406</v>
      </c>
      <c r="B3733" s="50">
        <v>44733.8353430092</v>
      </c>
      <c r="C3733" s="51">
        <v>1.005</v>
      </c>
      <c r="D3733" s="51">
        <v>69.0</v>
      </c>
      <c r="E3733" s="52" t="s">
        <v>25</v>
      </c>
      <c r="F3733" s="52" t="s">
        <v>26</v>
      </c>
      <c r="G3733" s="53"/>
    </row>
    <row r="3734">
      <c r="A3734" s="49">
        <v>44733.72078123843</v>
      </c>
      <c r="B3734" s="50">
        <v>44733.8457648495</v>
      </c>
      <c r="C3734" s="51">
        <v>1.005</v>
      </c>
      <c r="D3734" s="51">
        <v>69.0</v>
      </c>
      <c r="E3734" s="52" t="s">
        <v>25</v>
      </c>
      <c r="F3734" s="52" t="s">
        <v>26</v>
      </c>
      <c r="G3734" s="53"/>
    </row>
    <row r="3735">
      <c r="A3735" s="49">
        <v>44733.731201608796</v>
      </c>
      <c r="B3735" s="50">
        <v>44733.8561863078</v>
      </c>
      <c r="C3735" s="51">
        <v>1.005</v>
      </c>
      <c r="D3735" s="51">
        <v>69.0</v>
      </c>
      <c r="E3735" s="52" t="s">
        <v>25</v>
      </c>
      <c r="F3735" s="52" t="s">
        <v>26</v>
      </c>
      <c r="G3735" s="53"/>
    </row>
    <row r="3736">
      <c r="A3736" s="49">
        <v>44733.74163446759</v>
      </c>
      <c r="B3736" s="50">
        <v>44733.8666078009</v>
      </c>
      <c r="C3736" s="51">
        <v>1.005</v>
      </c>
      <c r="D3736" s="51">
        <v>69.0</v>
      </c>
      <c r="E3736" s="52" t="s">
        <v>25</v>
      </c>
      <c r="F3736" s="52" t="s">
        <v>26</v>
      </c>
      <c r="G3736" s="53"/>
    </row>
    <row r="3737">
      <c r="A3737" s="49">
        <v>44733.752058645834</v>
      </c>
      <c r="B3737" s="50">
        <v>44733.8770412037</v>
      </c>
      <c r="C3737" s="51">
        <v>1.005</v>
      </c>
      <c r="D3737" s="51">
        <v>69.0</v>
      </c>
      <c r="E3737" s="52" t="s">
        <v>25</v>
      </c>
      <c r="F3737" s="52" t="s">
        <v>26</v>
      </c>
      <c r="G3737" s="53"/>
    </row>
    <row r="3738">
      <c r="A3738" s="49">
        <v>44733.762487175925</v>
      </c>
      <c r="B3738" s="50">
        <v>44733.8874629976</v>
      </c>
      <c r="C3738" s="51">
        <v>1.005</v>
      </c>
      <c r="D3738" s="51">
        <v>69.0</v>
      </c>
      <c r="E3738" s="52" t="s">
        <v>25</v>
      </c>
      <c r="F3738" s="52" t="s">
        <v>26</v>
      </c>
      <c r="G3738" s="53"/>
    </row>
    <row r="3739">
      <c r="A3739" s="49">
        <v>44733.772909189815</v>
      </c>
      <c r="B3739" s="50">
        <v>44733.8978832754</v>
      </c>
      <c r="C3739" s="51">
        <v>1.005</v>
      </c>
      <c r="D3739" s="51">
        <v>69.0</v>
      </c>
      <c r="E3739" s="52" t="s">
        <v>25</v>
      </c>
      <c r="F3739" s="52" t="s">
        <v>26</v>
      </c>
      <c r="G3739" s="53"/>
    </row>
    <row r="3740">
      <c r="A3740" s="49">
        <v>44733.78332954861</v>
      </c>
      <c r="B3740" s="50">
        <v>44733.9083043402</v>
      </c>
      <c r="C3740" s="51">
        <v>1.005</v>
      </c>
      <c r="D3740" s="51">
        <v>69.0</v>
      </c>
      <c r="E3740" s="52" t="s">
        <v>25</v>
      </c>
      <c r="F3740" s="52" t="s">
        <v>26</v>
      </c>
      <c r="G3740" s="53"/>
    </row>
    <row r="3741">
      <c r="A3741" s="49">
        <v>44733.79375350694</v>
      </c>
      <c r="B3741" s="50">
        <v>44733.9187255324</v>
      </c>
      <c r="C3741" s="51">
        <v>1.005</v>
      </c>
      <c r="D3741" s="51">
        <v>69.0</v>
      </c>
      <c r="E3741" s="52" t="s">
        <v>25</v>
      </c>
      <c r="F3741" s="52" t="s">
        <v>26</v>
      </c>
      <c r="G3741" s="53"/>
    </row>
    <row r="3742">
      <c r="A3742" s="49">
        <v>44733.804181886575</v>
      </c>
      <c r="B3742" s="50">
        <v>44733.929158449</v>
      </c>
      <c r="C3742" s="51">
        <v>1.005</v>
      </c>
      <c r="D3742" s="51">
        <v>69.0</v>
      </c>
      <c r="E3742" s="52" t="s">
        <v>25</v>
      </c>
      <c r="F3742" s="52" t="s">
        <v>26</v>
      </c>
      <c r="G3742" s="53"/>
    </row>
    <row r="3743">
      <c r="A3743" s="49">
        <v>44733.814601377315</v>
      </c>
      <c r="B3743" s="50">
        <v>44733.9395796643</v>
      </c>
      <c r="C3743" s="51">
        <v>1.005</v>
      </c>
      <c r="D3743" s="51">
        <v>69.0</v>
      </c>
      <c r="E3743" s="52" t="s">
        <v>25</v>
      </c>
      <c r="F3743" s="52" t="s">
        <v>26</v>
      </c>
      <c r="G3743" s="53"/>
    </row>
    <row r="3744">
      <c r="A3744" s="49">
        <v>44733.82502880787</v>
      </c>
      <c r="B3744" s="50">
        <v>44733.9500011111</v>
      </c>
      <c r="C3744" s="51">
        <v>1.005</v>
      </c>
      <c r="D3744" s="51">
        <v>69.0</v>
      </c>
      <c r="E3744" s="52" t="s">
        <v>25</v>
      </c>
      <c r="F3744" s="52" t="s">
        <v>26</v>
      </c>
      <c r="G3744" s="53"/>
    </row>
    <row r="3745">
      <c r="A3745" s="49">
        <v>44733.83544744213</v>
      </c>
      <c r="B3745" s="50">
        <v>44733.9604213078</v>
      </c>
      <c r="C3745" s="51">
        <v>1.005</v>
      </c>
      <c r="D3745" s="51">
        <v>69.0</v>
      </c>
      <c r="E3745" s="52" t="s">
        <v>25</v>
      </c>
      <c r="F3745" s="52" t="s">
        <v>26</v>
      </c>
      <c r="G3745" s="53"/>
    </row>
    <row r="3746">
      <c r="A3746" s="49">
        <v>44733.84586627314</v>
      </c>
      <c r="B3746" s="50">
        <v>44733.970842662</v>
      </c>
      <c r="C3746" s="51">
        <v>1.005</v>
      </c>
      <c r="D3746" s="51">
        <v>69.0</v>
      </c>
      <c r="E3746" s="52" t="s">
        <v>25</v>
      </c>
      <c r="F3746" s="52" t="s">
        <v>26</v>
      </c>
      <c r="G3746" s="53"/>
    </row>
    <row r="3747">
      <c r="A3747" s="49">
        <v>44733.85628314815</v>
      </c>
      <c r="B3747" s="50">
        <v>44733.9812625694</v>
      </c>
      <c r="C3747" s="51">
        <v>1.005</v>
      </c>
      <c r="D3747" s="51">
        <v>69.0</v>
      </c>
      <c r="E3747" s="52" t="s">
        <v>25</v>
      </c>
      <c r="F3747" s="52" t="s">
        <v>26</v>
      </c>
      <c r="G3747" s="53"/>
    </row>
    <row r="3748">
      <c r="A3748" s="49">
        <v>44733.866729016205</v>
      </c>
      <c r="B3748" s="50">
        <v>44733.9917072222</v>
      </c>
      <c r="C3748" s="51">
        <v>1.005</v>
      </c>
      <c r="D3748" s="51">
        <v>69.0</v>
      </c>
      <c r="E3748" s="52" t="s">
        <v>25</v>
      </c>
      <c r="F3748" s="52" t="s">
        <v>26</v>
      </c>
      <c r="G3748" s="53"/>
    </row>
    <row r="3749">
      <c r="A3749" s="49">
        <v>44733.87715900463</v>
      </c>
      <c r="B3749" s="50">
        <v>44734.0021396759</v>
      </c>
      <c r="C3749" s="51">
        <v>1.005</v>
      </c>
      <c r="D3749" s="51">
        <v>69.0</v>
      </c>
      <c r="E3749" s="52" t="s">
        <v>25</v>
      </c>
      <c r="F3749" s="52" t="s">
        <v>26</v>
      </c>
      <c r="G3749" s="53"/>
    </row>
    <row r="3750">
      <c r="A3750" s="49">
        <v>44733.88757918982</v>
      </c>
      <c r="B3750" s="50">
        <v>44734.0125605787</v>
      </c>
      <c r="C3750" s="51">
        <v>1.005</v>
      </c>
      <c r="D3750" s="51">
        <v>69.0</v>
      </c>
      <c r="E3750" s="52" t="s">
        <v>25</v>
      </c>
      <c r="F3750" s="52" t="s">
        <v>26</v>
      </c>
      <c r="G3750" s="53"/>
    </row>
    <row r="3751">
      <c r="A3751" s="49">
        <v>44733.8980118287</v>
      </c>
      <c r="B3751" s="50">
        <v>44734.0229836458</v>
      </c>
      <c r="C3751" s="51">
        <v>1.005</v>
      </c>
      <c r="D3751" s="51">
        <v>69.0</v>
      </c>
      <c r="E3751" s="52" t="s">
        <v>25</v>
      </c>
      <c r="F3751" s="52" t="s">
        <v>26</v>
      </c>
      <c r="G3751" s="53"/>
    </row>
    <row r="3752">
      <c r="A3752" s="49">
        <v>44733.908440810184</v>
      </c>
      <c r="B3752" s="50">
        <v>44734.0334161458</v>
      </c>
      <c r="C3752" s="51">
        <v>1.005</v>
      </c>
      <c r="D3752" s="51">
        <v>69.0</v>
      </c>
      <c r="E3752" s="52" t="s">
        <v>25</v>
      </c>
      <c r="F3752" s="52" t="s">
        <v>26</v>
      </c>
      <c r="G3752" s="53"/>
    </row>
    <row r="3753">
      <c r="A3753" s="49">
        <v>44733.9188630787</v>
      </c>
      <c r="B3753" s="50">
        <v>44734.0438378125</v>
      </c>
      <c r="C3753" s="51">
        <v>1.005</v>
      </c>
      <c r="D3753" s="51">
        <v>70.0</v>
      </c>
      <c r="E3753" s="52" t="s">
        <v>25</v>
      </c>
      <c r="F3753" s="52" t="s">
        <v>26</v>
      </c>
      <c r="G3753" s="53"/>
    </row>
    <row r="3754">
      <c r="A3754" s="49">
        <v>44733.92931207176</v>
      </c>
      <c r="B3754" s="50">
        <v>44734.0542930324</v>
      </c>
      <c r="C3754" s="51">
        <v>1.005</v>
      </c>
      <c r="D3754" s="51">
        <v>69.0</v>
      </c>
      <c r="E3754" s="52" t="s">
        <v>25</v>
      </c>
      <c r="F3754" s="52" t="s">
        <v>26</v>
      </c>
      <c r="G3754" s="53"/>
    </row>
    <row r="3755">
      <c r="A3755" s="49">
        <v>44733.939727199075</v>
      </c>
      <c r="B3755" s="50">
        <v>44734.0647140509</v>
      </c>
      <c r="C3755" s="51">
        <v>1.005</v>
      </c>
      <c r="D3755" s="51">
        <v>69.0</v>
      </c>
      <c r="E3755" s="52" t="s">
        <v>25</v>
      </c>
      <c r="F3755" s="52" t="s">
        <v>26</v>
      </c>
      <c r="G3755" s="53"/>
    </row>
    <row r="3756">
      <c r="A3756" s="49">
        <v>44733.950165567134</v>
      </c>
      <c r="B3756" s="50">
        <v>44734.0751468634</v>
      </c>
      <c r="C3756" s="51">
        <v>1.005</v>
      </c>
      <c r="D3756" s="51">
        <v>70.0</v>
      </c>
      <c r="E3756" s="52" t="s">
        <v>25</v>
      </c>
      <c r="F3756" s="52" t="s">
        <v>26</v>
      </c>
      <c r="G3756" s="53"/>
    </row>
    <row r="3757">
      <c r="A3757" s="49">
        <v>44733.96062459491</v>
      </c>
      <c r="B3757" s="50">
        <v>44734.0856018287</v>
      </c>
      <c r="C3757" s="51">
        <v>1.005</v>
      </c>
      <c r="D3757" s="51">
        <v>70.0</v>
      </c>
      <c r="E3757" s="52" t="s">
        <v>25</v>
      </c>
      <c r="F3757" s="52" t="s">
        <v>26</v>
      </c>
      <c r="G3757" s="53"/>
    </row>
    <row r="3758">
      <c r="A3758" s="49">
        <v>44733.97103869213</v>
      </c>
      <c r="B3758" s="50">
        <v>44734.0960217013</v>
      </c>
      <c r="C3758" s="51">
        <v>1.005</v>
      </c>
      <c r="D3758" s="51">
        <v>70.0</v>
      </c>
      <c r="E3758" s="52" t="s">
        <v>25</v>
      </c>
      <c r="F3758" s="52" t="s">
        <v>26</v>
      </c>
      <c r="G3758" s="53"/>
    </row>
    <row r="3759">
      <c r="A3759" s="49">
        <v>44733.98146711805</v>
      </c>
      <c r="B3759" s="50">
        <v>44734.1064421759</v>
      </c>
      <c r="C3759" s="51">
        <v>1.005</v>
      </c>
      <c r="D3759" s="51">
        <v>70.0</v>
      </c>
      <c r="E3759" s="52" t="s">
        <v>25</v>
      </c>
      <c r="F3759" s="52" t="s">
        <v>26</v>
      </c>
      <c r="G3759" s="53"/>
    </row>
    <row r="3760">
      <c r="A3760" s="49">
        <v>44733.991889502315</v>
      </c>
      <c r="B3760" s="50">
        <v>44734.1168645601</v>
      </c>
      <c r="C3760" s="51">
        <v>1.005</v>
      </c>
      <c r="D3760" s="51">
        <v>69.0</v>
      </c>
      <c r="E3760" s="52" t="s">
        <v>25</v>
      </c>
      <c r="F3760" s="52" t="s">
        <v>26</v>
      </c>
      <c r="G3760" s="53"/>
    </row>
    <row r="3761">
      <c r="A3761" s="49">
        <v>44734.00231009259</v>
      </c>
      <c r="B3761" s="50">
        <v>44734.1272874884</v>
      </c>
      <c r="C3761" s="51">
        <v>1.005</v>
      </c>
      <c r="D3761" s="51">
        <v>70.0</v>
      </c>
      <c r="E3761" s="52" t="s">
        <v>25</v>
      </c>
      <c r="F3761" s="52" t="s">
        <v>26</v>
      </c>
      <c r="G3761" s="53"/>
    </row>
    <row r="3762">
      <c r="A3762" s="49">
        <v>44734.01274467593</v>
      </c>
      <c r="B3762" s="50">
        <v>44734.1377187152</v>
      </c>
      <c r="C3762" s="51">
        <v>1.005</v>
      </c>
      <c r="D3762" s="51">
        <v>69.0</v>
      </c>
      <c r="E3762" s="52" t="s">
        <v>25</v>
      </c>
      <c r="F3762" s="52" t="s">
        <v>26</v>
      </c>
      <c r="G3762" s="53"/>
    </row>
    <row r="3763">
      <c r="A3763" s="49">
        <v>44734.02316285879</v>
      </c>
      <c r="B3763" s="50">
        <v>44734.1481394444</v>
      </c>
      <c r="C3763" s="51">
        <v>1.005</v>
      </c>
      <c r="D3763" s="51">
        <v>70.0</v>
      </c>
      <c r="E3763" s="52" t="s">
        <v>25</v>
      </c>
      <c r="F3763" s="52" t="s">
        <v>26</v>
      </c>
      <c r="G3763" s="53"/>
    </row>
    <row r="3764">
      <c r="A3764" s="49">
        <v>44734.03358667824</v>
      </c>
      <c r="B3764" s="50">
        <v>44734.1585597222</v>
      </c>
      <c r="C3764" s="51">
        <v>1.005</v>
      </c>
      <c r="D3764" s="51">
        <v>70.0</v>
      </c>
      <c r="E3764" s="52" t="s">
        <v>25</v>
      </c>
      <c r="F3764" s="52" t="s">
        <v>26</v>
      </c>
      <c r="G3764" s="53"/>
    </row>
    <row r="3765">
      <c r="A3765" s="49">
        <v>44734.044005821765</v>
      </c>
      <c r="B3765" s="50">
        <v>44734.1689824768</v>
      </c>
      <c r="C3765" s="51">
        <v>1.005</v>
      </c>
      <c r="D3765" s="51">
        <v>70.0</v>
      </c>
      <c r="E3765" s="52" t="s">
        <v>25</v>
      </c>
      <c r="F3765" s="52" t="s">
        <v>26</v>
      </c>
      <c r="G3765" s="53"/>
    </row>
    <row r="3766">
      <c r="A3766" s="49">
        <v>44734.054424375005</v>
      </c>
      <c r="B3766" s="50">
        <v>44734.1794020833</v>
      </c>
      <c r="C3766" s="51">
        <v>1.005</v>
      </c>
      <c r="D3766" s="51">
        <v>70.0</v>
      </c>
      <c r="E3766" s="52" t="s">
        <v>25</v>
      </c>
      <c r="F3766" s="52" t="s">
        <v>26</v>
      </c>
      <c r="G3766" s="53"/>
    </row>
    <row r="3767">
      <c r="A3767" s="49">
        <v>44734.06484195602</v>
      </c>
      <c r="B3767" s="50">
        <v>44734.1898243402</v>
      </c>
      <c r="C3767" s="51">
        <v>1.005</v>
      </c>
      <c r="D3767" s="51">
        <v>70.0</v>
      </c>
      <c r="E3767" s="52" t="s">
        <v>25</v>
      </c>
      <c r="F3767" s="52" t="s">
        <v>26</v>
      </c>
      <c r="G3767" s="53"/>
    </row>
    <row r="3768">
      <c r="A3768" s="49">
        <v>44734.07527516204</v>
      </c>
      <c r="B3768" s="50">
        <v>44734.2002475694</v>
      </c>
      <c r="C3768" s="51">
        <v>1.005</v>
      </c>
      <c r="D3768" s="51">
        <v>70.0</v>
      </c>
      <c r="E3768" s="52" t="s">
        <v>25</v>
      </c>
      <c r="F3768" s="52" t="s">
        <v>26</v>
      </c>
      <c r="G3768" s="53"/>
    </row>
    <row r="3769">
      <c r="A3769" s="49">
        <v>44734.08570243056</v>
      </c>
      <c r="B3769" s="50">
        <v>44734.210681574</v>
      </c>
      <c r="C3769" s="51">
        <v>1.005</v>
      </c>
      <c r="D3769" s="51">
        <v>70.0</v>
      </c>
      <c r="E3769" s="52" t="s">
        <v>25</v>
      </c>
      <c r="F3769" s="52" t="s">
        <v>26</v>
      </c>
      <c r="G3769" s="53"/>
    </row>
    <row r="3770">
      <c r="A3770" s="49">
        <v>44734.096135810185</v>
      </c>
      <c r="B3770" s="50">
        <v>44734.2211031597</v>
      </c>
      <c r="C3770" s="51">
        <v>1.005</v>
      </c>
      <c r="D3770" s="51">
        <v>70.0</v>
      </c>
      <c r="E3770" s="52" t="s">
        <v>25</v>
      </c>
      <c r="F3770" s="52" t="s">
        <v>26</v>
      </c>
      <c r="G3770" s="53"/>
    </row>
    <row r="3771">
      <c r="A3771" s="49">
        <v>44734.106549386575</v>
      </c>
      <c r="B3771" s="50">
        <v>44734.2315244907</v>
      </c>
      <c r="C3771" s="51">
        <v>1.005</v>
      </c>
      <c r="D3771" s="51">
        <v>70.0</v>
      </c>
      <c r="E3771" s="52" t="s">
        <v>25</v>
      </c>
      <c r="F3771" s="52" t="s">
        <v>26</v>
      </c>
      <c r="G3771" s="53"/>
    </row>
    <row r="3772">
      <c r="A3772" s="49">
        <v>44734.11696811343</v>
      </c>
      <c r="B3772" s="50">
        <v>44734.2419457986</v>
      </c>
      <c r="C3772" s="51">
        <v>1.005</v>
      </c>
      <c r="D3772" s="51">
        <v>70.0</v>
      </c>
      <c r="E3772" s="52" t="s">
        <v>25</v>
      </c>
      <c r="F3772" s="52" t="s">
        <v>26</v>
      </c>
      <c r="G3772" s="53"/>
    </row>
    <row r="3773">
      <c r="A3773" s="49">
        <v>44734.12740539352</v>
      </c>
      <c r="B3773" s="50">
        <v>44734.2523776736</v>
      </c>
      <c r="C3773" s="51">
        <v>1.005</v>
      </c>
      <c r="D3773" s="51">
        <v>70.0</v>
      </c>
      <c r="E3773" s="52" t="s">
        <v>25</v>
      </c>
      <c r="F3773" s="52" t="s">
        <v>26</v>
      </c>
      <c r="G3773" s="53"/>
    </row>
    <row r="3774">
      <c r="A3774" s="49">
        <v>44734.13782398148</v>
      </c>
      <c r="B3774" s="50">
        <v>44734.2627990625</v>
      </c>
      <c r="C3774" s="51">
        <v>1.005</v>
      </c>
      <c r="D3774" s="51">
        <v>70.0</v>
      </c>
      <c r="E3774" s="52" t="s">
        <v>25</v>
      </c>
      <c r="F3774" s="52" t="s">
        <v>26</v>
      </c>
      <c r="G3774" s="53"/>
    </row>
    <row r="3775">
      <c r="A3775" s="49">
        <v>44734.14825371528</v>
      </c>
      <c r="B3775" s="50">
        <v>44734.2732318865</v>
      </c>
      <c r="C3775" s="51">
        <v>1.005</v>
      </c>
      <c r="D3775" s="51">
        <v>70.0</v>
      </c>
      <c r="E3775" s="52" t="s">
        <v>25</v>
      </c>
      <c r="F3775" s="52" t="s">
        <v>26</v>
      </c>
      <c r="G3775" s="53"/>
    </row>
    <row r="3776">
      <c r="A3776" s="49">
        <v>44734.158671122685</v>
      </c>
      <c r="B3776" s="50">
        <v>44734.2836543171</v>
      </c>
      <c r="C3776" s="51">
        <v>1.005</v>
      </c>
      <c r="D3776" s="51">
        <v>70.0</v>
      </c>
      <c r="E3776" s="52" t="s">
        <v>25</v>
      </c>
      <c r="F3776" s="52" t="s">
        <v>26</v>
      </c>
      <c r="G3776" s="53"/>
    </row>
    <row r="3777">
      <c r="A3777" s="49">
        <v>44734.16908900463</v>
      </c>
      <c r="B3777" s="50">
        <v>44734.2940749305</v>
      </c>
      <c r="C3777" s="51">
        <v>1.005</v>
      </c>
      <c r="D3777" s="51">
        <v>70.0</v>
      </c>
      <c r="E3777" s="52" t="s">
        <v>25</v>
      </c>
      <c r="F3777" s="52" t="s">
        <v>26</v>
      </c>
      <c r="G3777" s="53"/>
    </row>
    <row r="3778">
      <c r="A3778" s="49">
        <v>44734.17952082176</v>
      </c>
      <c r="B3778" s="50">
        <v>44734.304496574</v>
      </c>
      <c r="C3778" s="51">
        <v>1.005</v>
      </c>
      <c r="D3778" s="51">
        <v>70.0</v>
      </c>
      <c r="E3778" s="52" t="s">
        <v>25</v>
      </c>
      <c r="F3778" s="52" t="s">
        <v>26</v>
      </c>
      <c r="G3778" s="53"/>
    </row>
    <row r="3779">
      <c r="A3779" s="49">
        <v>44734.18993953704</v>
      </c>
      <c r="B3779" s="50">
        <v>44734.314918993</v>
      </c>
      <c r="C3779" s="51">
        <v>1.005</v>
      </c>
      <c r="D3779" s="51">
        <v>70.0</v>
      </c>
      <c r="E3779" s="52" t="s">
        <v>25</v>
      </c>
      <c r="F3779" s="52" t="s">
        <v>26</v>
      </c>
      <c r="G3779" s="53"/>
    </row>
    <row r="3780">
      <c r="A3780" s="49">
        <v>44734.20036207176</v>
      </c>
      <c r="B3780" s="50">
        <v>44734.325340243</v>
      </c>
      <c r="C3780" s="51">
        <v>1.005</v>
      </c>
      <c r="D3780" s="51">
        <v>70.0</v>
      </c>
      <c r="E3780" s="52" t="s">
        <v>25</v>
      </c>
      <c r="F3780" s="52" t="s">
        <v>26</v>
      </c>
      <c r="G3780" s="53"/>
    </row>
    <row r="3781">
      <c r="A3781" s="49">
        <v>44734.210791122685</v>
      </c>
      <c r="B3781" s="50">
        <v>44734.3357621296</v>
      </c>
      <c r="C3781" s="51">
        <v>1.005</v>
      </c>
      <c r="D3781" s="51">
        <v>70.0</v>
      </c>
      <c r="E3781" s="52" t="s">
        <v>25</v>
      </c>
      <c r="F3781" s="52" t="s">
        <v>26</v>
      </c>
      <c r="G3781" s="53"/>
    </row>
    <row r="3782">
      <c r="A3782" s="49">
        <v>44734.22120693287</v>
      </c>
      <c r="B3782" s="50">
        <v>44734.3461821643</v>
      </c>
      <c r="C3782" s="51">
        <v>1.005</v>
      </c>
      <c r="D3782" s="51">
        <v>70.0</v>
      </c>
      <c r="E3782" s="52" t="s">
        <v>25</v>
      </c>
      <c r="F3782" s="52" t="s">
        <v>26</v>
      </c>
      <c r="G3782" s="53"/>
    </row>
    <row r="3783">
      <c r="A3783" s="49">
        <v>44734.23162736111</v>
      </c>
      <c r="B3783" s="50">
        <v>44734.3566038541</v>
      </c>
      <c r="C3783" s="51">
        <v>1.005</v>
      </c>
      <c r="D3783" s="51">
        <v>70.0</v>
      </c>
      <c r="E3783" s="52" t="s">
        <v>25</v>
      </c>
      <c r="F3783" s="52" t="s">
        <v>26</v>
      </c>
      <c r="G3783" s="53"/>
    </row>
    <row r="3784">
      <c r="A3784" s="49">
        <v>44734.24205059028</v>
      </c>
      <c r="B3784" s="50">
        <v>44734.3670247453</v>
      </c>
      <c r="C3784" s="51">
        <v>1.005</v>
      </c>
      <c r="D3784" s="51">
        <v>70.0</v>
      </c>
      <c r="E3784" s="52" t="s">
        <v>25</v>
      </c>
      <c r="F3784" s="52" t="s">
        <v>26</v>
      </c>
      <c r="G3784" s="53"/>
    </row>
    <row r="3785">
      <c r="A3785" s="49">
        <v>44734.2524708912</v>
      </c>
      <c r="B3785" s="50">
        <v>44734.3774471643</v>
      </c>
      <c r="C3785" s="51">
        <v>1.005</v>
      </c>
      <c r="D3785" s="51">
        <v>70.0</v>
      </c>
      <c r="E3785" s="52" t="s">
        <v>25</v>
      </c>
      <c r="F3785" s="52" t="s">
        <v>26</v>
      </c>
      <c r="G3785" s="53"/>
    </row>
    <row r="3786">
      <c r="A3786" s="49">
        <v>44734.262886041666</v>
      </c>
      <c r="B3786" s="50">
        <v>44734.3878685416</v>
      </c>
      <c r="C3786" s="51">
        <v>1.005</v>
      </c>
      <c r="D3786" s="51">
        <v>70.0</v>
      </c>
      <c r="E3786" s="52" t="s">
        <v>25</v>
      </c>
      <c r="F3786" s="52" t="s">
        <v>26</v>
      </c>
      <c r="G3786" s="53"/>
    </row>
    <row r="3787">
      <c r="A3787" s="49">
        <v>44734.273316481485</v>
      </c>
      <c r="B3787" s="50">
        <v>44734.3982896296</v>
      </c>
      <c r="C3787" s="51">
        <v>1.005</v>
      </c>
      <c r="D3787" s="51">
        <v>70.0</v>
      </c>
      <c r="E3787" s="52" t="s">
        <v>25</v>
      </c>
      <c r="F3787" s="52" t="s">
        <v>26</v>
      </c>
      <c r="G3787" s="53"/>
    </row>
    <row r="3788">
      <c r="A3788" s="49">
        <v>44734.28372378473</v>
      </c>
      <c r="B3788" s="50">
        <v>44734.4087096064</v>
      </c>
      <c r="C3788" s="51">
        <v>1.005</v>
      </c>
      <c r="D3788" s="51">
        <v>70.0</v>
      </c>
      <c r="E3788" s="52" t="s">
        <v>25</v>
      </c>
      <c r="F3788" s="52" t="s">
        <v>26</v>
      </c>
      <c r="G3788" s="53"/>
    </row>
    <row r="3789">
      <c r="A3789" s="49">
        <v>44734.294156504635</v>
      </c>
      <c r="B3789" s="50">
        <v>44734.4191310185</v>
      </c>
      <c r="C3789" s="51">
        <v>1.005</v>
      </c>
      <c r="D3789" s="51">
        <v>70.0</v>
      </c>
      <c r="E3789" s="52" t="s">
        <v>25</v>
      </c>
      <c r="F3789" s="52" t="s">
        <v>26</v>
      </c>
      <c r="G3789" s="53"/>
    </row>
    <row r="3790">
      <c r="A3790" s="49">
        <v>44734.30459960648</v>
      </c>
      <c r="B3790" s="50">
        <v>44734.4295751851</v>
      </c>
      <c r="C3790" s="51">
        <v>1.005</v>
      </c>
      <c r="D3790" s="51">
        <v>70.0</v>
      </c>
      <c r="E3790" s="52" t="s">
        <v>25</v>
      </c>
      <c r="F3790" s="52" t="s">
        <v>26</v>
      </c>
      <c r="G3790" s="53"/>
    </row>
    <row r="3791">
      <c r="A3791" s="49">
        <v>44734.31501693287</v>
      </c>
      <c r="B3791" s="50">
        <v>44734.4399973379</v>
      </c>
      <c r="C3791" s="51">
        <v>1.005</v>
      </c>
      <c r="D3791" s="51">
        <v>70.0</v>
      </c>
      <c r="E3791" s="52" t="s">
        <v>25</v>
      </c>
      <c r="F3791" s="52" t="s">
        <v>26</v>
      </c>
      <c r="G3791" s="53"/>
    </row>
    <row r="3792">
      <c r="A3792" s="49">
        <v>44734.32544299768</v>
      </c>
      <c r="B3792" s="50">
        <v>44734.4504186458</v>
      </c>
      <c r="C3792" s="51">
        <v>1.005</v>
      </c>
      <c r="D3792" s="51">
        <v>70.0</v>
      </c>
      <c r="E3792" s="52" t="s">
        <v>25</v>
      </c>
      <c r="F3792" s="52" t="s">
        <v>26</v>
      </c>
      <c r="G3792" s="53"/>
    </row>
    <row r="3793">
      <c r="A3793" s="49">
        <v>44734.33586561342</v>
      </c>
      <c r="B3793" s="50">
        <v>44734.460838993</v>
      </c>
      <c r="C3793" s="51">
        <v>1.005</v>
      </c>
      <c r="D3793" s="51">
        <v>70.0</v>
      </c>
      <c r="E3793" s="52" t="s">
        <v>25</v>
      </c>
      <c r="F3793" s="52" t="s">
        <v>26</v>
      </c>
      <c r="G3793" s="53"/>
    </row>
    <row r="3794">
      <c r="A3794" s="49">
        <v>44734.346296759264</v>
      </c>
      <c r="B3794" s="50">
        <v>44734.4712734375</v>
      </c>
      <c r="C3794" s="51">
        <v>1.005</v>
      </c>
      <c r="D3794" s="51">
        <v>70.0</v>
      </c>
      <c r="E3794" s="52" t="s">
        <v>25</v>
      </c>
      <c r="F3794" s="52" t="s">
        <v>26</v>
      </c>
      <c r="G3794" s="53"/>
    </row>
    <row r="3795">
      <c r="A3795" s="49">
        <v>44734.35673460648</v>
      </c>
      <c r="B3795" s="50">
        <v>44734.4817189467</v>
      </c>
      <c r="C3795" s="51">
        <v>1.005</v>
      </c>
      <c r="D3795" s="51">
        <v>70.0</v>
      </c>
      <c r="E3795" s="52" t="s">
        <v>25</v>
      </c>
      <c r="F3795" s="52" t="s">
        <v>26</v>
      </c>
      <c r="G3795" s="53"/>
    </row>
    <row r="3796">
      <c r="A3796" s="49">
        <v>44734.3671530787</v>
      </c>
      <c r="B3796" s="50">
        <v>44734.4921397569</v>
      </c>
      <c r="C3796" s="51">
        <v>1.005</v>
      </c>
      <c r="D3796" s="51">
        <v>70.0</v>
      </c>
      <c r="E3796" s="52" t="s">
        <v>25</v>
      </c>
      <c r="F3796" s="52" t="s">
        <v>26</v>
      </c>
      <c r="G3796" s="53"/>
    </row>
    <row r="3797">
      <c r="A3797" s="49">
        <v>44734.37757560185</v>
      </c>
      <c r="B3797" s="50">
        <v>44734.5025598495</v>
      </c>
      <c r="C3797" s="51">
        <v>1.005</v>
      </c>
      <c r="D3797" s="51">
        <v>70.0</v>
      </c>
      <c r="E3797" s="52" t="s">
        <v>25</v>
      </c>
      <c r="F3797" s="52" t="s">
        <v>26</v>
      </c>
      <c r="G3797" s="53"/>
    </row>
    <row r="3798">
      <c r="A3798" s="49">
        <v>44734.38800866898</v>
      </c>
      <c r="B3798" s="50">
        <v>44734.5129827314</v>
      </c>
      <c r="C3798" s="51">
        <v>1.005</v>
      </c>
      <c r="D3798" s="51">
        <v>70.0</v>
      </c>
      <c r="E3798" s="52" t="s">
        <v>25</v>
      </c>
      <c r="F3798" s="52" t="s">
        <v>26</v>
      </c>
      <c r="G3798" s="53"/>
    </row>
    <row r="3799">
      <c r="A3799" s="49">
        <v>44734.398428761575</v>
      </c>
      <c r="B3799" s="50">
        <v>44734.5234029629</v>
      </c>
      <c r="C3799" s="51">
        <v>1.005</v>
      </c>
      <c r="D3799" s="51">
        <v>70.0</v>
      </c>
      <c r="E3799" s="52" t="s">
        <v>25</v>
      </c>
      <c r="F3799" s="52" t="s">
        <v>26</v>
      </c>
      <c r="G3799" s="53"/>
    </row>
    <row r="3800">
      <c r="A3800" s="49">
        <v>44734.40884939815</v>
      </c>
      <c r="B3800" s="50">
        <v>44734.5338246412</v>
      </c>
      <c r="C3800" s="51">
        <v>1.005</v>
      </c>
      <c r="D3800" s="51">
        <v>70.0</v>
      </c>
      <c r="E3800" s="52" t="s">
        <v>25</v>
      </c>
      <c r="F3800" s="52" t="s">
        <v>26</v>
      </c>
      <c r="G3800" s="53"/>
    </row>
    <row r="3801">
      <c r="A3801" s="49">
        <v>44734.41927084491</v>
      </c>
      <c r="B3801" s="50">
        <v>44734.544245949</v>
      </c>
      <c r="C3801" s="51">
        <v>1.005</v>
      </c>
      <c r="D3801" s="51">
        <v>70.0</v>
      </c>
      <c r="E3801" s="52" t="s">
        <v>25</v>
      </c>
      <c r="F3801" s="52" t="s">
        <v>26</v>
      </c>
      <c r="G3801" s="53"/>
    </row>
    <row r="3802">
      <c r="A3802" s="49">
        <v>44734.429728773146</v>
      </c>
      <c r="B3802" s="50">
        <v>44734.5547148842</v>
      </c>
      <c r="C3802" s="51">
        <v>1.005</v>
      </c>
      <c r="D3802" s="51">
        <v>70.0</v>
      </c>
      <c r="E3802" s="52" t="s">
        <v>25</v>
      </c>
      <c r="F3802" s="52" t="s">
        <v>26</v>
      </c>
      <c r="G3802" s="53"/>
    </row>
    <row r="3803">
      <c r="A3803" s="49">
        <v>44734.44015524306</v>
      </c>
      <c r="B3803" s="50">
        <v>44734.5651347106</v>
      </c>
      <c r="C3803" s="51">
        <v>1.005</v>
      </c>
      <c r="D3803" s="51">
        <v>70.0</v>
      </c>
      <c r="E3803" s="52" t="s">
        <v>25</v>
      </c>
      <c r="F3803" s="52" t="s">
        <v>26</v>
      </c>
      <c r="G3803" s="53"/>
    </row>
    <row r="3804">
      <c r="A3804" s="49">
        <v>44734.45057239583</v>
      </c>
      <c r="B3804" s="50">
        <v>44734.5755561111</v>
      </c>
      <c r="C3804" s="51">
        <v>1.005</v>
      </c>
      <c r="D3804" s="51">
        <v>70.0</v>
      </c>
      <c r="E3804" s="52" t="s">
        <v>25</v>
      </c>
      <c r="F3804" s="52" t="s">
        <v>26</v>
      </c>
      <c r="G3804" s="53"/>
    </row>
    <row r="3805">
      <c r="A3805" s="49">
        <v>44734.460995891204</v>
      </c>
      <c r="B3805" s="50">
        <v>44734.5859765393</v>
      </c>
      <c r="C3805" s="51">
        <v>1.005</v>
      </c>
      <c r="D3805" s="51">
        <v>70.0</v>
      </c>
      <c r="E3805" s="52" t="s">
        <v>25</v>
      </c>
      <c r="F3805" s="52" t="s">
        <v>26</v>
      </c>
      <c r="G3805" s="53"/>
    </row>
    <row r="3806">
      <c r="A3806" s="49">
        <v>44734.47147096065</v>
      </c>
      <c r="B3806" s="50">
        <v>44734.5964451157</v>
      </c>
      <c r="C3806" s="51">
        <v>1.005</v>
      </c>
      <c r="D3806" s="51">
        <v>70.0</v>
      </c>
      <c r="E3806" s="52" t="s">
        <v>25</v>
      </c>
      <c r="F3806" s="52" t="s">
        <v>26</v>
      </c>
      <c r="G3806" s="53"/>
    </row>
    <row r="3807">
      <c r="A3807" s="49">
        <v>44734.48192796296</v>
      </c>
      <c r="B3807" s="50">
        <v>44734.6069002314</v>
      </c>
      <c r="C3807" s="51">
        <v>1.005</v>
      </c>
      <c r="D3807" s="51">
        <v>70.0</v>
      </c>
      <c r="E3807" s="52" t="s">
        <v>25</v>
      </c>
      <c r="F3807" s="52" t="s">
        <v>26</v>
      </c>
      <c r="G3807" s="53"/>
    </row>
    <row r="3808">
      <c r="A3808" s="49">
        <v>44734.49233501157</v>
      </c>
      <c r="B3808" s="50">
        <v>44734.6173213425</v>
      </c>
      <c r="C3808" s="51">
        <v>1.005</v>
      </c>
      <c r="D3808" s="51">
        <v>70.0</v>
      </c>
      <c r="E3808" s="52" t="s">
        <v>25</v>
      </c>
      <c r="F3808" s="52" t="s">
        <v>26</v>
      </c>
      <c r="G3808" s="53"/>
    </row>
    <row r="3809">
      <c r="A3809" s="49">
        <v>44734.50277998843</v>
      </c>
      <c r="B3809" s="50">
        <v>44734.6277546875</v>
      </c>
      <c r="C3809" s="51">
        <v>1.005</v>
      </c>
      <c r="D3809" s="51">
        <v>70.0</v>
      </c>
      <c r="E3809" s="52" t="s">
        <v>25</v>
      </c>
      <c r="F3809" s="52" t="s">
        <v>26</v>
      </c>
      <c r="G3809" s="53"/>
    </row>
    <row r="3810">
      <c r="A3810" s="49">
        <v>44734.51319909722</v>
      </c>
      <c r="B3810" s="50">
        <v>44734.6381745833</v>
      </c>
      <c r="C3810" s="51">
        <v>1.005</v>
      </c>
      <c r="D3810" s="51">
        <v>70.0</v>
      </c>
      <c r="E3810" s="52" t="s">
        <v>25</v>
      </c>
      <c r="F3810" s="52" t="s">
        <v>26</v>
      </c>
      <c r="G3810" s="53"/>
    </row>
    <row r="3811">
      <c r="A3811" s="49">
        <v>44734.52361775463</v>
      </c>
      <c r="B3811" s="50">
        <v>44734.648596875</v>
      </c>
      <c r="C3811" s="51">
        <v>1.005</v>
      </c>
      <c r="D3811" s="51">
        <v>70.0</v>
      </c>
      <c r="E3811" s="52" t="s">
        <v>25</v>
      </c>
      <c r="F3811" s="52" t="s">
        <v>26</v>
      </c>
      <c r="G3811" s="53"/>
    </row>
    <row r="3812">
      <c r="A3812" s="49">
        <v>44734.534036875004</v>
      </c>
      <c r="B3812" s="50">
        <v>44734.6590172916</v>
      </c>
      <c r="C3812" s="51">
        <v>1.005</v>
      </c>
      <c r="D3812" s="51">
        <v>70.0</v>
      </c>
      <c r="E3812" s="52" t="s">
        <v>25</v>
      </c>
      <c r="F3812" s="52" t="s">
        <v>26</v>
      </c>
      <c r="G3812" s="53"/>
    </row>
    <row r="3813">
      <c r="A3813" s="49">
        <v>44734.54446534722</v>
      </c>
      <c r="B3813" s="50">
        <v>44734.6694388078</v>
      </c>
      <c r="C3813" s="51">
        <v>1.005</v>
      </c>
      <c r="D3813" s="51">
        <v>70.0</v>
      </c>
      <c r="E3813" s="52" t="s">
        <v>25</v>
      </c>
      <c r="F3813" s="52" t="s">
        <v>26</v>
      </c>
      <c r="G3813" s="53"/>
    </row>
    <row r="3814">
      <c r="A3814" s="49">
        <v>44734.554883854165</v>
      </c>
      <c r="B3814" s="50">
        <v>44734.6798583796</v>
      </c>
      <c r="C3814" s="51">
        <v>1.005</v>
      </c>
      <c r="D3814" s="51">
        <v>70.0</v>
      </c>
      <c r="E3814" s="52" t="s">
        <v>25</v>
      </c>
      <c r="F3814" s="52" t="s">
        <v>26</v>
      </c>
      <c r="G3814" s="53"/>
    </row>
    <row r="3815">
      <c r="A3815" s="49">
        <v>44734.56530627314</v>
      </c>
      <c r="B3815" s="50">
        <v>44734.6902810879</v>
      </c>
      <c r="C3815" s="51">
        <v>1.005</v>
      </c>
      <c r="D3815" s="51">
        <v>70.0</v>
      </c>
      <c r="E3815" s="52" t="s">
        <v>25</v>
      </c>
      <c r="F3815" s="52" t="s">
        <v>26</v>
      </c>
      <c r="G3815" s="53"/>
    </row>
    <row r="3816">
      <c r="A3816" s="49">
        <v>44734.575727442134</v>
      </c>
      <c r="B3816" s="50">
        <v>44734.7007028703</v>
      </c>
      <c r="C3816" s="51">
        <v>1.005</v>
      </c>
      <c r="D3816" s="51">
        <v>70.0</v>
      </c>
      <c r="E3816" s="52" t="s">
        <v>25</v>
      </c>
      <c r="F3816" s="52" t="s">
        <v>26</v>
      </c>
      <c r="G3816" s="53"/>
    </row>
    <row r="3817">
      <c r="A3817" s="49">
        <v>44734.58614520833</v>
      </c>
      <c r="B3817" s="50">
        <v>44734.7111228935</v>
      </c>
      <c r="C3817" s="51">
        <v>1.005</v>
      </c>
      <c r="D3817" s="51">
        <v>69.0</v>
      </c>
      <c r="E3817" s="52" t="s">
        <v>25</v>
      </c>
      <c r="F3817" s="52" t="s">
        <v>26</v>
      </c>
      <c r="G3817" s="53"/>
    </row>
    <row r="3818">
      <c r="A3818" s="49">
        <v>44734.596587314816</v>
      </c>
      <c r="B3818" s="50">
        <v>44734.7215680902</v>
      </c>
      <c r="C3818" s="51">
        <v>1.005</v>
      </c>
      <c r="D3818" s="51">
        <v>68.0</v>
      </c>
      <c r="E3818" s="52" t="s">
        <v>25</v>
      </c>
      <c r="F3818" s="52" t="s">
        <v>26</v>
      </c>
      <c r="G3818" s="53"/>
    </row>
    <row r="3819">
      <c r="A3819" s="49">
        <v>44734.60700809028</v>
      </c>
      <c r="B3819" s="50">
        <v>44734.7319897106</v>
      </c>
      <c r="C3819" s="51">
        <v>1.005</v>
      </c>
      <c r="D3819" s="51">
        <v>67.0</v>
      </c>
      <c r="E3819" s="52" t="s">
        <v>25</v>
      </c>
      <c r="F3819" s="52" t="s">
        <v>26</v>
      </c>
      <c r="G3819" s="53"/>
    </row>
    <row r="3820">
      <c r="A3820" s="49">
        <v>44734.61742733796</v>
      </c>
      <c r="B3820" s="50">
        <v>44734.7424117361</v>
      </c>
      <c r="C3820" s="51">
        <v>1.005</v>
      </c>
      <c r="D3820" s="51">
        <v>67.0</v>
      </c>
      <c r="E3820" s="52" t="s">
        <v>25</v>
      </c>
      <c r="F3820" s="52" t="s">
        <v>26</v>
      </c>
      <c r="G3820" s="53"/>
    </row>
    <row r="3821">
      <c r="A3821" s="49">
        <v>44734.62786096065</v>
      </c>
      <c r="B3821" s="50">
        <v>44734.7528333564</v>
      </c>
      <c r="C3821" s="51">
        <v>1.005</v>
      </c>
      <c r="D3821" s="51">
        <v>66.0</v>
      </c>
      <c r="E3821" s="52" t="s">
        <v>25</v>
      </c>
      <c r="F3821" s="52" t="s">
        <v>26</v>
      </c>
      <c r="G3821" s="53"/>
    </row>
    <row r="3822">
      <c r="A3822" s="49">
        <v>44734.63827920139</v>
      </c>
      <c r="B3822" s="50">
        <v>44734.7632546643</v>
      </c>
      <c r="C3822" s="51">
        <v>1.005</v>
      </c>
      <c r="D3822" s="51">
        <v>66.0</v>
      </c>
      <c r="E3822" s="52" t="s">
        <v>25</v>
      </c>
      <c r="F3822" s="52" t="s">
        <v>26</v>
      </c>
      <c r="G3822" s="53"/>
    </row>
    <row r="3823">
      <c r="A3823" s="49">
        <v>44734.648708622684</v>
      </c>
      <c r="B3823" s="50">
        <v>44734.773675625</v>
      </c>
      <c r="C3823" s="51">
        <v>1.005</v>
      </c>
      <c r="D3823" s="51">
        <v>66.0</v>
      </c>
      <c r="E3823" s="52" t="s">
        <v>25</v>
      </c>
      <c r="F3823" s="52" t="s">
        <v>26</v>
      </c>
      <c r="G3823" s="53"/>
    </row>
    <row r="3824">
      <c r="A3824" s="49">
        <v>44734.65913189815</v>
      </c>
      <c r="B3824" s="50">
        <v>44734.7841094907</v>
      </c>
      <c r="C3824" s="51">
        <v>1.005</v>
      </c>
      <c r="D3824" s="51">
        <v>66.0</v>
      </c>
      <c r="E3824" s="52" t="s">
        <v>25</v>
      </c>
      <c r="F3824" s="52" t="s">
        <v>26</v>
      </c>
      <c r="G3824" s="53"/>
    </row>
    <row r="3825">
      <c r="A3825" s="49">
        <v>44734.66954737269</v>
      </c>
      <c r="B3825" s="50">
        <v>44734.7945316666</v>
      </c>
      <c r="C3825" s="51">
        <v>1.005</v>
      </c>
      <c r="D3825" s="51">
        <v>66.0</v>
      </c>
      <c r="E3825" s="52" t="s">
        <v>25</v>
      </c>
      <c r="F3825" s="52" t="s">
        <v>26</v>
      </c>
      <c r="G3825" s="53"/>
    </row>
    <row r="3826">
      <c r="A3826" s="49">
        <v>44734.67996847222</v>
      </c>
      <c r="B3826" s="50">
        <v>44734.8049534953</v>
      </c>
      <c r="C3826" s="51">
        <v>1.005</v>
      </c>
      <c r="D3826" s="51">
        <v>66.0</v>
      </c>
      <c r="E3826" s="52" t="s">
        <v>25</v>
      </c>
      <c r="F3826" s="52" t="s">
        <v>26</v>
      </c>
      <c r="G3826" s="53"/>
    </row>
    <row r="3827">
      <c r="A3827" s="49">
        <v>44734.6903934375</v>
      </c>
      <c r="B3827" s="50">
        <v>44734.815375</v>
      </c>
      <c r="C3827" s="51">
        <v>1.005</v>
      </c>
      <c r="D3827" s="51">
        <v>66.0</v>
      </c>
      <c r="E3827" s="52" t="s">
        <v>25</v>
      </c>
      <c r="F3827" s="52" t="s">
        <v>26</v>
      </c>
      <c r="G3827" s="53"/>
    </row>
    <row r="3828">
      <c r="A3828" s="49">
        <v>44734.70082021991</v>
      </c>
      <c r="B3828" s="50">
        <v>44734.8257961111</v>
      </c>
      <c r="C3828" s="51">
        <v>1.005</v>
      </c>
      <c r="D3828" s="51">
        <v>66.0</v>
      </c>
      <c r="E3828" s="52" t="s">
        <v>25</v>
      </c>
      <c r="F3828" s="52" t="s">
        <v>26</v>
      </c>
      <c r="G3828" s="53"/>
    </row>
    <row r="3829">
      <c r="A3829" s="49">
        <v>44734.71124076389</v>
      </c>
      <c r="B3829" s="50">
        <v>44734.8362183912</v>
      </c>
      <c r="C3829" s="51">
        <v>1.005</v>
      </c>
      <c r="D3829" s="51">
        <v>66.0</v>
      </c>
      <c r="E3829" s="52" t="s">
        <v>25</v>
      </c>
      <c r="F3829" s="52" t="s">
        <v>26</v>
      </c>
      <c r="G3829" s="53"/>
    </row>
    <row r="3830">
      <c r="A3830" s="49">
        <v>44734.72166416667</v>
      </c>
      <c r="B3830" s="50">
        <v>44734.8466402199</v>
      </c>
      <c r="C3830" s="51">
        <v>1.005</v>
      </c>
      <c r="D3830" s="51">
        <v>66.0</v>
      </c>
      <c r="E3830" s="52" t="s">
        <v>25</v>
      </c>
      <c r="F3830" s="52" t="s">
        <v>26</v>
      </c>
      <c r="G3830" s="53"/>
    </row>
    <row r="3831">
      <c r="A3831" s="49">
        <v>44734.73207421297</v>
      </c>
      <c r="B3831" s="50">
        <v>44734.8570603819</v>
      </c>
      <c r="C3831" s="51">
        <v>1.005</v>
      </c>
      <c r="D3831" s="51">
        <v>66.0</v>
      </c>
      <c r="E3831" s="52" t="s">
        <v>25</v>
      </c>
      <c r="F3831" s="52" t="s">
        <v>26</v>
      </c>
      <c r="G3831" s="53"/>
    </row>
    <row r="3832">
      <c r="A3832" s="49">
        <v>44734.742509131946</v>
      </c>
      <c r="B3832" s="50">
        <v>44734.8674927893</v>
      </c>
      <c r="C3832" s="51">
        <v>1.005</v>
      </c>
      <c r="D3832" s="51">
        <v>66.0</v>
      </c>
      <c r="E3832" s="52" t="s">
        <v>25</v>
      </c>
      <c r="F3832" s="52" t="s">
        <v>26</v>
      </c>
      <c r="G3832" s="53"/>
    </row>
    <row r="3833">
      <c r="A3833" s="49">
        <v>44734.75293729166</v>
      </c>
      <c r="B3833" s="50">
        <v>44734.8779136458</v>
      </c>
      <c r="C3833" s="51">
        <v>1.005</v>
      </c>
      <c r="D3833" s="51">
        <v>66.0</v>
      </c>
      <c r="E3833" s="52" t="s">
        <v>25</v>
      </c>
      <c r="F3833" s="52" t="s">
        <v>26</v>
      </c>
      <c r="G3833" s="53"/>
    </row>
    <row r="3834">
      <c r="A3834" s="49">
        <v>44734.76335622685</v>
      </c>
      <c r="B3834" s="50">
        <v>44734.8883355902</v>
      </c>
      <c r="C3834" s="51">
        <v>1.005</v>
      </c>
      <c r="D3834" s="51">
        <v>66.0</v>
      </c>
      <c r="E3834" s="52" t="s">
        <v>25</v>
      </c>
      <c r="F3834" s="52" t="s">
        <v>26</v>
      </c>
      <c r="G3834" s="53"/>
    </row>
    <row r="3835">
      <c r="A3835" s="49">
        <v>44734.77377642361</v>
      </c>
      <c r="B3835" s="50">
        <v>44734.8987560416</v>
      </c>
      <c r="C3835" s="51">
        <v>1.005</v>
      </c>
      <c r="D3835" s="51">
        <v>66.0</v>
      </c>
      <c r="E3835" s="52" t="s">
        <v>25</v>
      </c>
      <c r="F3835" s="52" t="s">
        <v>26</v>
      </c>
      <c r="G3835" s="53"/>
    </row>
    <row r="3836">
      <c r="A3836" s="49">
        <v>44734.78421153935</v>
      </c>
      <c r="B3836" s="50">
        <v>44734.9091886342</v>
      </c>
      <c r="C3836" s="51">
        <v>1.005</v>
      </c>
      <c r="D3836" s="51">
        <v>66.0</v>
      </c>
      <c r="E3836" s="52" t="s">
        <v>25</v>
      </c>
      <c r="F3836" s="52" t="s">
        <v>26</v>
      </c>
      <c r="G3836" s="53"/>
    </row>
    <row r="3837">
      <c r="A3837" s="49">
        <v>44734.79463283565</v>
      </c>
      <c r="B3837" s="50">
        <v>44734.9196102546</v>
      </c>
      <c r="C3837" s="51">
        <v>1.005</v>
      </c>
      <c r="D3837" s="51">
        <v>66.0</v>
      </c>
      <c r="E3837" s="52" t="s">
        <v>25</v>
      </c>
      <c r="F3837" s="52" t="s">
        <v>26</v>
      </c>
      <c r="G3837" s="53"/>
    </row>
    <row r="3838">
      <c r="A3838" s="49">
        <v>44734.80505704861</v>
      </c>
      <c r="B3838" s="50">
        <v>44734.930032743</v>
      </c>
      <c r="C3838" s="51">
        <v>1.005</v>
      </c>
      <c r="D3838" s="51">
        <v>66.0</v>
      </c>
      <c r="E3838" s="52" t="s">
        <v>25</v>
      </c>
      <c r="F3838" s="52" t="s">
        <v>26</v>
      </c>
      <c r="G3838" s="53"/>
    </row>
    <row r="3839">
      <c r="A3839" s="49">
        <v>44734.8154787963</v>
      </c>
      <c r="B3839" s="50">
        <v>44734.9404541898</v>
      </c>
      <c r="C3839" s="51">
        <v>1.005</v>
      </c>
      <c r="D3839" s="51">
        <v>66.0</v>
      </c>
      <c r="E3839" s="52" t="s">
        <v>25</v>
      </c>
      <c r="F3839" s="52" t="s">
        <v>26</v>
      </c>
      <c r="G3839" s="53"/>
    </row>
    <row r="3840">
      <c r="A3840" s="49">
        <v>44734.82589953704</v>
      </c>
      <c r="B3840" s="50">
        <v>44734.9508737963</v>
      </c>
      <c r="C3840" s="51">
        <v>1.005</v>
      </c>
      <c r="D3840" s="51">
        <v>66.0</v>
      </c>
      <c r="E3840" s="52" t="s">
        <v>25</v>
      </c>
      <c r="F3840" s="52" t="s">
        <v>26</v>
      </c>
      <c r="G3840" s="53"/>
    </row>
    <row r="3841">
      <c r="A3841" s="49">
        <v>44734.8363253125</v>
      </c>
      <c r="B3841" s="50">
        <v>44734.961294537</v>
      </c>
      <c r="C3841" s="51">
        <v>1.005</v>
      </c>
      <c r="D3841" s="51">
        <v>66.0</v>
      </c>
      <c r="E3841" s="52" t="s">
        <v>25</v>
      </c>
      <c r="F3841" s="52" t="s">
        <v>26</v>
      </c>
      <c r="G3841" s="53"/>
    </row>
    <row r="3842">
      <c r="A3842" s="49">
        <v>44734.84674479166</v>
      </c>
      <c r="B3842" s="50">
        <v>44734.9717170486</v>
      </c>
      <c r="C3842" s="51">
        <v>1.005</v>
      </c>
      <c r="D3842" s="51">
        <v>66.0</v>
      </c>
      <c r="E3842" s="52" t="s">
        <v>25</v>
      </c>
      <c r="F3842" s="52" t="s">
        <v>26</v>
      </c>
      <c r="G3842" s="53"/>
    </row>
    <row r="3843">
      <c r="A3843" s="49">
        <v>44734.857173171295</v>
      </c>
      <c r="B3843" s="50">
        <v>44734.982150324</v>
      </c>
      <c r="C3843" s="51">
        <v>1.005</v>
      </c>
      <c r="D3843" s="51">
        <v>66.0</v>
      </c>
      <c r="E3843" s="52" t="s">
        <v>25</v>
      </c>
      <c r="F3843" s="52" t="s">
        <v>26</v>
      </c>
      <c r="G3843" s="53"/>
    </row>
    <row r="3844">
      <c r="A3844" s="49">
        <v>44734.867590486116</v>
      </c>
      <c r="B3844" s="50">
        <v>44734.9925717939</v>
      </c>
      <c r="C3844" s="51">
        <v>1.005</v>
      </c>
      <c r="D3844" s="51">
        <v>66.0</v>
      </c>
      <c r="E3844" s="52" t="s">
        <v>25</v>
      </c>
      <c r="F3844" s="52" t="s">
        <v>26</v>
      </c>
      <c r="G3844" s="53"/>
    </row>
    <row r="3845">
      <c r="A3845" s="49">
        <v>44734.878017939816</v>
      </c>
      <c r="B3845" s="50">
        <v>44735.0029935995</v>
      </c>
      <c r="C3845" s="51">
        <v>1.005</v>
      </c>
      <c r="D3845" s="51">
        <v>66.0</v>
      </c>
      <c r="E3845" s="52" t="s">
        <v>25</v>
      </c>
      <c r="F3845" s="52" t="s">
        <v>26</v>
      </c>
      <c r="G3845" s="53"/>
    </row>
    <row r="3846">
      <c r="A3846" s="49">
        <v>44734.88844033565</v>
      </c>
      <c r="B3846" s="50">
        <v>44735.0134164467</v>
      </c>
      <c r="C3846" s="51">
        <v>1.005</v>
      </c>
      <c r="D3846" s="51">
        <v>66.0</v>
      </c>
      <c r="E3846" s="52" t="s">
        <v>25</v>
      </c>
      <c r="F3846" s="52" t="s">
        <v>26</v>
      </c>
      <c r="G3846" s="53"/>
    </row>
    <row r="3847">
      <c r="A3847" s="49">
        <v>44734.89886120371</v>
      </c>
      <c r="B3847" s="50">
        <v>44735.0238374884</v>
      </c>
      <c r="C3847" s="51">
        <v>1.005</v>
      </c>
      <c r="D3847" s="51">
        <v>66.0</v>
      </c>
      <c r="E3847" s="52" t="s">
        <v>25</v>
      </c>
      <c r="F3847" s="52" t="s">
        <v>26</v>
      </c>
      <c r="G3847" s="53"/>
    </row>
    <row r="3848">
      <c r="A3848" s="49">
        <v>44734.90928168982</v>
      </c>
      <c r="B3848" s="50">
        <v>44735.0342599421</v>
      </c>
      <c r="C3848" s="51">
        <v>1.005</v>
      </c>
      <c r="D3848" s="51">
        <v>66.0</v>
      </c>
      <c r="E3848" s="52" t="s">
        <v>25</v>
      </c>
      <c r="F3848" s="52" t="s">
        <v>26</v>
      </c>
      <c r="G3848" s="53"/>
    </row>
    <row r="3849">
      <c r="A3849" s="49">
        <v>44734.91970085648</v>
      </c>
      <c r="B3849" s="50">
        <v>44735.0446820949</v>
      </c>
      <c r="C3849" s="51">
        <v>1.005</v>
      </c>
      <c r="D3849" s="51">
        <v>66.0</v>
      </c>
      <c r="E3849" s="52" t="s">
        <v>25</v>
      </c>
      <c r="F3849" s="52" t="s">
        <v>26</v>
      </c>
      <c r="G3849" s="53"/>
    </row>
    <row r="3850">
      <c r="A3850" s="49">
        <v>44734.93013289352</v>
      </c>
      <c r="B3850" s="50">
        <v>44735.0551045717</v>
      </c>
      <c r="C3850" s="51">
        <v>1.005</v>
      </c>
      <c r="D3850" s="51">
        <v>66.0</v>
      </c>
      <c r="E3850" s="52" t="s">
        <v>25</v>
      </c>
      <c r="F3850" s="52" t="s">
        <v>26</v>
      </c>
      <c r="G3850" s="53"/>
    </row>
    <row r="3851">
      <c r="A3851" s="49">
        <v>44734.94056956019</v>
      </c>
      <c r="B3851" s="50">
        <v>44735.065539155</v>
      </c>
      <c r="C3851" s="51">
        <v>1.005</v>
      </c>
      <c r="D3851" s="51">
        <v>66.0</v>
      </c>
      <c r="E3851" s="52" t="s">
        <v>25</v>
      </c>
      <c r="F3851" s="52" t="s">
        <v>26</v>
      </c>
      <c r="G3851" s="53"/>
    </row>
    <row r="3852">
      <c r="A3852" s="49">
        <v>44734.95098663194</v>
      </c>
      <c r="B3852" s="50">
        <v>44735.0759601851</v>
      </c>
      <c r="C3852" s="51">
        <v>1.005</v>
      </c>
      <c r="D3852" s="51">
        <v>66.0</v>
      </c>
      <c r="E3852" s="52" t="s">
        <v>25</v>
      </c>
      <c r="F3852" s="52" t="s">
        <v>26</v>
      </c>
      <c r="G3852" s="53"/>
    </row>
    <row r="3853">
      <c r="A3853" s="49">
        <v>44734.96140888889</v>
      </c>
      <c r="B3853" s="50">
        <v>44735.0863805324</v>
      </c>
      <c r="C3853" s="51">
        <v>1.005</v>
      </c>
      <c r="D3853" s="51">
        <v>66.0</v>
      </c>
      <c r="E3853" s="52" t="s">
        <v>25</v>
      </c>
      <c r="F3853" s="52" t="s">
        <v>26</v>
      </c>
      <c r="G3853" s="53"/>
    </row>
    <row r="3854">
      <c r="A3854" s="49">
        <v>44734.971825</v>
      </c>
      <c r="B3854" s="50">
        <v>44735.0968016551</v>
      </c>
      <c r="C3854" s="51">
        <v>1.005</v>
      </c>
      <c r="D3854" s="51">
        <v>66.0</v>
      </c>
      <c r="E3854" s="52" t="s">
        <v>25</v>
      </c>
      <c r="F3854" s="52" t="s">
        <v>26</v>
      </c>
      <c r="G3854" s="53"/>
    </row>
    <row r="3855">
      <c r="A3855" s="49">
        <v>44734.98224706019</v>
      </c>
      <c r="B3855" s="50">
        <v>44735.1072234722</v>
      </c>
      <c r="C3855" s="51">
        <v>1.005</v>
      </c>
      <c r="D3855" s="51">
        <v>66.0</v>
      </c>
      <c r="E3855" s="52" t="s">
        <v>25</v>
      </c>
      <c r="F3855" s="52" t="s">
        <v>26</v>
      </c>
      <c r="G3855" s="53"/>
    </row>
    <row r="3856">
      <c r="A3856" s="49">
        <v>44734.99267611111</v>
      </c>
      <c r="B3856" s="50">
        <v>44735.1176558796</v>
      </c>
      <c r="C3856" s="51">
        <v>1.005</v>
      </c>
      <c r="D3856" s="51">
        <v>66.0</v>
      </c>
      <c r="E3856" s="52" t="s">
        <v>25</v>
      </c>
      <c r="F3856" s="52" t="s">
        <v>26</v>
      </c>
      <c r="G3856" s="53"/>
    </row>
    <row r="3857">
      <c r="A3857" s="49">
        <v>44735.003115011576</v>
      </c>
      <c r="B3857" s="50">
        <v>44735.1280776388</v>
      </c>
      <c r="C3857" s="51">
        <v>1.005</v>
      </c>
      <c r="D3857" s="51">
        <v>66.0</v>
      </c>
      <c r="E3857" s="52" t="s">
        <v>25</v>
      </c>
      <c r="F3857" s="52" t="s">
        <v>26</v>
      </c>
      <c r="G3857" s="53"/>
    </row>
    <row r="3858">
      <c r="A3858" s="49">
        <v>44735.01353415509</v>
      </c>
      <c r="B3858" s="50">
        <v>44735.1384979398</v>
      </c>
      <c r="C3858" s="51">
        <v>1.005</v>
      </c>
      <c r="D3858" s="51">
        <v>66.0</v>
      </c>
      <c r="E3858" s="52" t="s">
        <v>25</v>
      </c>
      <c r="F3858" s="52" t="s">
        <v>26</v>
      </c>
      <c r="G3858" s="53"/>
    </row>
    <row r="3859">
      <c r="A3859" s="49">
        <v>44735.02394402778</v>
      </c>
      <c r="B3859" s="50">
        <v>44735.1489195254</v>
      </c>
      <c r="C3859" s="51">
        <v>1.005</v>
      </c>
      <c r="D3859" s="51">
        <v>66.0</v>
      </c>
      <c r="E3859" s="52" t="s">
        <v>25</v>
      </c>
      <c r="F3859" s="52" t="s">
        <v>26</v>
      </c>
      <c r="G3859" s="53"/>
    </row>
    <row r="3860">
      <c r="A3860" s="49">
        <v>44735.03436579861</v>
      </c>
      <c r="B3860" s="50">
        <v>44735.1593418865</v>
      </c>
      <c r="C3860" s="51">
        <v>1.005</v>
      </c>
      <c r="D3860" s="51">
        <v>66.0</v>
      </c>
      <c r="E3860" s="52" t="s">
        <v>25</v>
      </c>
      <c r="F3860" s="52" t="s">
        <v>26</v>
      </c>
      <c r="G3860" s="53"/>
    </row>
    <row r="3861">
      <c r="A3861" s="49">
        <v>44735.044782337965</v>
      </c>
      <c r="B3861" s="50">
        <v>44735.1697627777</v>
      </c>
      <c r="C3861" s="51">
        <v>1.005</v>
      </c>
      <c r="D3861" s="51">
        <v>66.0</v>
      </c>
      <c r="E3861" s="52" t="s">
        <v>25</v>
      </c>
      <c r="F3861" s="52" t="s">
        <v>26</v>
      </c>
      <c r="G3861" s="53"/>
    </row>
    <row r="3862">
      <c r="A3862" s="49">
        <v>44735.05520931713</v>
      </c>
      <c r="B3862" s="50">
        <v>44735.1801831365</v>
      </c>
      <c r="C3862" s="51">
        <v>1.005</v>
      </c>
      <c r="D3862" s="51">
        <v>66.0</v>
      </c>
      <c r="E3862" s="52" t="s">
        <v>25</v>
      </c>
      <c r="F3862" s="52" t="s">
        <v>26</v>
      </c>
      <c r="G3862" s="53"/>
    </row>
    <row r="3863">
      <c r="A3863" s="49">
        <v>44735.065626261574</v>
      </c>
      <c r="B3863" s="50">
        <v>44735.1906049421</v>
      </c>
      <c r="C3863" s="51">
        <v>1.005</v>
      </c>
      <c r="D3863" s="51">
        <v>66.0</v>
      </c>
      <c r="E3863" s="52" t="s">
        <v>25</v>
      </c>
      <c r="F3863" s="52" t="s">
        <v>26</v>
      </c>
      <c r="G3863" s="53"/>
    </row>
    <row r="3864">
      <c r="A3864" s="49">
        <v>44735.07604930556</v>
      </c>
      <c r="B3864" s="50">
        <v>44735.2010253125</v>
      </c>
      <c r="C3864" s="51">
        <v>1.005</v>
      </c>
      <c r="D3864" s="51">
        <v>66.0</v>
      </c>
      <c r="E3864" s="52" t="s">
        <v>25</v>
      </c>
      <c r="F3864" s="52" t="s">
        <v>26</v>
      </c>
      <c r="G3864" s="53"/>
    </row>
    <row r="3865">
      <c r="A3865" s="49">
        <v>44735.086479398145</v>
      </c>
      <c r="B3865" s="50">
        <v>44735.2114578125</v>
      </c>
      <c r="C3865" s="51">
        <v>1.005</v>
      </c>
      <c r="D3865" s="51">
        <v>66.0</v>
      </c>
      <c r="E3865" s="52" t="s">
        <v>25</v>
      </c>
      <c r="F3865" s="52" t="s">
        <v>26</v>
      </c>
      <c r="G3865" s="53"/>
    </row>
    <row r="3866">
      <c r="A3866" s="49">
        <v>44735.09690096065</v>
      </c>
      <c r="B3866" s="50">
        <v>44735.2218794444</v>
      </c>
      <c r="C3866" s="51">
        <v>1.005</v>
      </c>
      <c r="D3866" s="51">
        <v>66.0</v>
      </c>
      <c r="E3866" s="52" t="s">
        <v>25</v>
      </c>
      <c r="F3866" s="52" t="s">
        <v>26</v>
      </c>
      <c r="G3866" s="53"/>
    </row>
    <row r="3867">
      <c r="A3867" s="49">
        <v>44735.10732180555</v>
      </c>
      <c r="B3867" s="50">
        <v>44735.2322998263</v>
      </c>
      <c r="C3867" s="51">
        <v>1.005</v>
      </c>
      <c r="D3867" s="51">
        <v>66.0</v>
      </c>
      <c r="E3867" s="52" t="s">
        <v>25</v>
      </c>
      <c r="F3867" s="52" t="s">
        <v>26</v>
      </c>
      <c r="G3867" s="53"/>
    </row>
    <row r="3868">
      <c r="A3868" s="49">
        <v>44735.117741793976</v>
      </c>
      <c r="B3868" s="50">
        <v>44735.2427199305</v>
      </c>
      <c r="C3868" s="51">
        <v>1.005</v>
      </c>
      <c r="D3868" s="51">
        <v>66.0</v>
      </c>
      <c r="E3868" s="52" t="s">
        <v>25</v>
      </c>
      <c r="F3868" s="52" t="s">
        <v>26</v>
      </c>
      <c r="G3868" s="53"/>
    </row>
    <row r="3869">
      <c r="A3869" s="49">
        <v>44735.1281628588</v>
      </c>
      <c r="B3869" s="50">
        <v>44735.2531405555</v>
      </c>
      <c r="C3869" s="51">
        <v>1.005</v>
      </c>
      <c r="D3869" s="51">
        <v>66.0</v>
      </c>
      <c r="E3869" s="52" t="s">
        <v>25</v>
      </c>
      <c r="F3869" s="52" t="s">
        <v>26</v>
      </c>
      <c r="G3869" s="53"/>
    </row>
    <row r="3870">
      <c r="A3870" s="49">
        <v>44735.13859162037</v>
      </c>
      <c r="B3870" s="50">
        <v>44735.2635630902</v>
      </c>
      <c r="C3870" s="51">
        <v>1.005</v>
      </c>
      <c r="D3870" s="51">
        <v>66.0</v>
      </c>
      <c r="E3870" s="52" t="s">
        <v>25</v>
      </c>
      <c r="F3870" s="52" t="s">
        <v>26</v>
      </c>
      <c r="G3870" s="53"/>
    </row>
    <row r="3871">
      <c r="A3871" s="49">
        <v>44735.1490091088</v>
      </c>
      <c r="B3871" s="50">
        <v>44735.2739843171</v>
      </c>
      <c r="C3871" s="51">
        <v>1.005</v>
      </c>
      <c r="D3871" s="51">
        <v>66.0</v>
      </c>
      <c r="E3871" s="52" t="s">
        <v>25</v>
      </c>
      <c r="F3871" s="52" t="s">
        <v>26</v>
      </c>
      <c r="G3871" s="53"/>
    </row>
    <row r="3872">
      <c r="A3872" s="49">
        <v>44735.15942443287</v>
      </c>
      <c r="B3872" s="50">
        <v>44735.2844072569</v>
      </c>
      <c r="C3872" s="51">
        <v>1.005</v>
      </c>
      <c r="D3872" s="51">
        <v>66.0</v>
      </c>
      <c r="E3872" s="52" t="s">
        <v>25</v>
      </c>
      <c r="F3872" s="52" t="s">
        <v>26</v>
      </c>
      <c r="G3872" s="53"/>
    </row>
    <row r="3873">
      <c r="A3873" s="49">
        <v>44735.16986366898</v>
      </c>
      <c r="B3873" s="50">
        <v>44735.2948394212</v>
      </c>
      <c r="C3873" s="51">
        <v>1.005</v>
      </c>
      <c r="D3873" s="51">
        <v>66.0</v>
      </c>
      <c r="E3873" s="52" t="s">
        <v>25</v>
      </c>
      <c r="F3873" s="52" t="s">
        <v>26</v>
      </c>
      <c r="G3873" s="53"/>
    </row>
    <row r="3874">
      <c r="A3874" s="49">
        <v>44735.18030024305</v>
      </c>
      <c r="B3874" s="50">
        <v>44735.3052706597</v>
      </c>
      <c r="C3874" s="51">
        <v>1.005</v>
      </c>
      <c r="D3874" s="51">
        <v>66.0</v>
      </c>
      <c r="E3874" s="52" t="s">
        <v>25</v>
      </c>
      <c r="F3874" s="52" t="s">
        <v>26</v>
      </c>
      <c r="G3874" s="53"/>
    </row>
    <row r="3875">
      <c r="A3875" s="49">
        <v>44735.19071796296</v>
      </c>
      <c r="B3875" s="50">
        <v>44735.3156910995</v>
      </c>
      <c r="C3875" s="51">
        <v>1.005</v>
      </c>
      <c r="D3875" s="51">
        <v>66.0</v>
      </c>
      <c r="E3875" s="52" t="s">
        <v>25</v>
      </c>
      <c r="F3875" s="52" t="s">
        <v>26</v>
      </c>
      <c r="G3875" s="53"/>
    </row>
    <row r="3876">
      <c r="A3876" s="49">
        <v>44735.20113611111</v>
      </c>
      <c r="B3876" s="50">
        <v>44735.3261214351</v>
      </c>
      <c r="C3876" s="51">
        <v>1.005</v>
      </c>
      <c r="D3876" s="51">
        <v>66.0</v>
      </c>
      <c r="E3876" s="52" t="s">
        <v>25</v>
      </c>
      <c r="F3876" s="52" t="s">
        <v>26</v>
      </c>
      <c r="G3876" s="53"/>
    </row>
    <row r="3877">
      <c r="A3877" s="49">
        <v>44735.2115580324</v>
      </c>
      <c r="B3877" s="50">
        <v>44735.3365420833</v>
      </c>
      <c r="C3877" s="51">
        <v>1.005</v>
      </c>
      <c r="D3877" s="51">
        <v>66.0</v>
      </c>
      <c r="E3877" s="52" t="s">
        <v>25</v>
      </c>
      <c r="F3877" s="52" t="s">
        <v>26</v>
      </c>
      <c r="G3877" s="53"/>
    </row>
    <row r="3878">
      <c r="A3878" s="49">
        <v>44735.22199074074</v>
      </c>
      <c r="B3878" s="50">
        <v>44735.3469647453</v>
      </c>
      <c r="C3878" s="51">
        <v>1.005</v>
      </c>
      <c r="D3878" s="51">
        <v>66.0</v>
      </c>
      <c r="E3878" s="52" t="s">
        <v>25</v>
      </c>
      <c r="F3878" s="52" t="s">
        <v>26</v>
      </c>
      <c r="G3878" s="53"/>
    </row>
    <row r="3879">
      <c r="A3879" s="49">
        <v>44735.23241084491</v>
      </c>
      <c r="B3879" s="50">
        <v>44735.3573860301</v>
      </c>
      <c r="C3879" s="51">
        <v>1.005</v>
      </c>
      <c r="D3879" s="51">
        <v>66.0</v>
      </c>
      <c r="E3879" s="52" t="s">
        <v>25</v>
      </c>
      <c r="F3879" s="52" t="s">
        <v>26</v>
      </c>
      <c r="G3879" s="53"/>
    </row>
    <row r="3880">
      <c r="A3880" s="49">
        <v>44735.24283038195</v>
      </c>
      <c r="B3880" s="50">
        <v>44735.3678068865</v>
      </c>
      <c r="C3880" s="51">
        <v>1.005</v>
      </c>
      <c r="D3880" s="51">
        <v>66.0</v>
      </c>
      <c r="E3880" s="52" t="s">
        <v>25</v>
      </c>
      <c r="F3880" s="52" t="s">
        <v>26</v>
      </c>
      <c r="G3880" s="53"/>
    </row>
    <row r="3881">
      <c r="A3881" s="49">
        <v>44735.25326996528</v>
      </c>
      <c r="B3881" s="50">
        <v>44735.3782498958</v>
      </c>
      <c r="C3881" s="51">
        <v>1.005</v>
      </c>
      <c r="D3881" s="51">
        <v>66.0</v>
      </c>
      <c r="E3881" s="52" t="s">
        <v>25</v>
      </c>
      <c r="F3881" s="52" t="s">
        <v>26</v>
      </c>
      <c r="G3881" s="53"/>
    </row>
    <row r="3882">
      <c r="A3882" s="49">
        <v>44735.26370888889</v>
      </c>
      <c r="B3882" s="50">
        <v>44735.3886816898</v>
      </c>
      <c r="C3882" s="51">
        <v>1.005</v>
      </c>
      <c r="D3882" s="51">
        <v>66.0</v>
      </c>
      <c r="E3882" s="52" t="s">
        <v>25</v>
      </c>
      <c r="F3882" s="52" t="s">
        <v>26</v>
      </c>
      <c r="G3882" s="53"/>
    </row>
    <row r="3883">
      <c r="A3883" s="49">
        <v>44735.27457349537</v>
      </c>
      <c r="B3883" s="50">
        <v>44735.3991026157</v>
      </c>
      <c r="C3883" s="51">
        <v>1.005</v>
      </c>
      <c r="D3883" s="51">
        <v>67.0</v>
      </c>
      <c r="E3883" s="52" t="s">
        <v>25</v>
      </c>
      <c r="F3883" s="52" t="s">
        <v>26</v>
      </c>
      <c r="G3883" s="53"/>
    </row>
    <row r="3884">
      <c r="A3884" s="49">
        <v>44735.28454949074</v>
      </c>
      <c r="B3884" s="50">
        <v>44735.4095233449</v>
      </c>
      <c r="C3884" s="51">
        <v>1.005</v>
      </c>
      <c r="D3884" s="51">
        <v>67.0</v>
      </c>
      <c r="E3884" s="52" t="s">
        <v>25</v>
      </c>
      <c r="F3884" s="52" t="s">
        <v>26</v>
      </c>
      <c r="G3884" s="53"/>
    </row>
    <row r="3885">
      <c r="A3885" s="49">
        <v>44735.29497081018</v>
      </c>
      <c r="B3885" s="50">
        <v>44735.4199443055</v>
      </c>
      <c r="C3885" s="51">
        <v>1.005</v>
      </c>
      <c r="D3885" s="51">
        <v>67.0</v>
      </c>
      <c r="E3885" s="52" t="s">
        <v>25</v>
      </c>
      <c r="F3885" s="52" t="s">
        <v>26</v>
      </c>
      <c r="G3885" s="53"/>
    </row>
    <row r="3886">
      <c r="A3886" s="49">
        <v>44735.30538953704</v>
      </c>
      <c r="B3886" s="50">
        <v>44735.4303639467</v>
      </c>
      <c r="C3886" s="51">
        <v>1.005</v>
      </c>
      <c r="D3886" s="51">
        <v>67.0</v>
      </c>
      <c r="E3886" s="52" t="s">
        <v>25</v>
      </c>
      <c r="F3886" s="52" t="s">
        <v>26</v>
      </c>
      <c r="G3886" s="53"/>
    </row>
    <row r="3887">
      <c r="A3887" s="49">
        <v>44735.31582200232</v>
      </c>
      <c r="B3887" s="50">
        <v>44735.4407843518</v>
      </c>
      <c r="C3887" s="51">
        <v>1.005</v>
      </c>
      <c r="D3887" s="51">
        <v>67.0</v>
      </c>
      <c r="E3887" s="52" t="s">
        <v>25</v>
      </c>
      <c r="F3887" s="52" t="s">
        <v>26</v>
      </c>
      <c r="G3887" s="53"/>
    </row>
    <row r="3888">
      <c r="A3888" s="49">
        <v>44735.32622920139</v>
      </c>
      <c r="B3888" s="50">
        <v>44735.4512061342</v>
      </c>
      <c r="C3888" s="51">
        <v>1.005</v>
      </c>
      <c r="D3888" s="51">
        <v>67.0</v>
      </c>
      <c r="E3888" s="52" t="s">
        <v>25</v>
      </c>
      <c r="F3888" s="52" t="s">
        <v>26</v>
      </c>
      <c r="G3888" s="53"/>
    </row>
    <row r="3889">
      <c r="A3889" s="49">
        <v>44735.336655046296</v>
      </c>
      <c r="B3889" s="50">
        <v>44735.4616275926</v>
      </c>
      <c r="C3889" s="51">
        <v>1.005</v>
      </c>
      <c r="D3889" s="51">
        <v>67.0</v>
      </c>
      <c r="E3889" s="52" t="s">
        <v>25</v>
      </c>
      <c r="F3889" s="52" t="s">
        <v>26</v>
      </c>
      <c r="G3889" s="53"/>
    </row>
    <row r="3890">
      <c r="A3890" s="49">
        <v>44735.347083726854</v>
      </c>
      <c r="B3890" s="50">
        <v>44735.4720481018</v>
      </c>
      <c r="C3890" s="51">
        <v>1.005</v>
      </c>
      <c r="D3890" s="51">
        <v>67.0</v>
      </c>
      <c r="E3890" s="52" t="s">
        <v>25</v>
      </c>
      <c r="F3890" s="52" t="s">
        <v>26</v>
      </c>
      <c r="G3890" s="53"/>
    </row>
    <row r="3891">
      <c r="A3891" s="49">
        <v>44735.357498935184</v>
      </c>
      <c r="B3891" s="50">
        <v>44735.4824692824</v>
      </c>
      <c r="C3891" s="51">
        <v>1.005</v>
      </c>
      <c r="D3891" s="51">
        <v>67.0</v>
      </c>
      <c r="E3891" s="52" t="s">
        <v>25</v>
      </c>
      <c r="F3891" s="52" t="s">
        <v>26</v>
      </c>
      <c r="G3891" s="53"/>
    </row>
    <row r="3892">
      <c r="A3892" s="49">
        <v>44735.3679180787</v>
      </c>
      <c r="B3892" s="50">
        <v>44735.4928885879</v>
      </c>
      <c r="C3892" s="51">
        <v>1.005</v>
      </c>
      <c r="D3892" s="51">
        <v>67.0</v>
      </c>
      <c r="E3892" s="52" t="s">
        <v>25</v>
      </c>
      <c r="F3892" s="52" t="s">
        <v>26</v>
      </c>
      <c r="G3892" s="53"/>
    </row>
    <row r="3893">
      <c r="A3893" s="49">
        <v>44735.378334189816</v>
      </c>
      <c r="B3893" s="50">
        <v>44735.503312905</v>
      </c>
      <c r="C3893" s="51">
        <v>1.005</v>
      </c>
      <c r="D3893" s="51">
        <v>67.0</v>
      </c>
      <c r="E3893" s="52" t="s">
        <v>25</v>
      </c>
      <c r="F3893" s="52" t="s">
        <v>26</v>
      </c>
      <c r="G3893" s="53"/>
    </row>
    <row r="3894">
      <c r="A3894" s="49">
        <v>44735.38875569444</v>
      </c>
      <c r="B3894" s="50">
        <v>44735.5137358217</v>
      </c>
      <c r="C3894" s="51">
        <v>1.005</v>
      </c>
      <c r="D3894" s="51">
        <v>67.0</v>
      </c>
      <c r="E3894" s="52" t="s">
        <v>25</v>
      </c>
      <c r="F3894" s="52" t="s">
        <v>26</v>
      </c>
      <c r="G3894" s="53"/>
    </row>
    <row r="3895">
      <c r="A3895" s="49">
        <v>44735.40963207176</v>
      </c>
      <c r="B3895" s="50">
        <v>44735.5346021296</v>
      </c>
      <c r="C3895" s="51">
        <v>1.005</v>
      </c>
      <c r="D3895" s="51">
        <v>67.0</v>
      </c>
      <c r="E3895" s="52" t="s">
        <v>25</v>
      </c>
      <c r="F3895" s="52" t="s">
        <v>26</v>
      </c>
      <c r="G3895" s="53"/>
    </row>
    <row r="3896">
      <c r="A3896" s="49">
        <v>44735.42005489583</v>
      </c>
      <c r="B3896" s="50">
        <v>44735.5450360995</v>
      </c>
      <c r="C3896" s="51">
        <v>1.005</v>
      </c>
      <c r="D3896" s="51">
        <v>67.0</v>
      </c>
      <c r="E3896" s="52" t="s">
        <v>25</v>
      </c>
      <c r="F3896" s="52" t="s">
        <v>26</v>
      </c>
      <c r="G3896" s="53"/>
    </row>
    <row r="3897">
      <c r="A3897" s="49">
        <v>44735.43048737269</v>
      </c>
      <c r="B3897" s="50">
        <v>44735.5554580787</v>
      </c>
      <c r="C3897" s="51">
        <v>1.005</v>
      </c>
      <c r="D3897" s="51">
        <v>67.0</v>
      </c>
      <c r="E3897" s="52" t="s">
        <v>25</v>
      </c>
      <c r="F3897" s="52" t="s">
        <v>26</v>
      </c>
      <c r="G3897" s="53"/>
    </row>
    <row r="3898">
      <c r="A3898" s="49">
        <v>44735.44091103009</v>
      </c>
      <c r="B3898" s="50">
        <v>44735.5658793865</v>
      </c>
      <c r="C3898" s="51">
        <v>1.005</v>
      </c>
      <c r="D3898" s="51">
        <v>67.0</v>
      </c>
      <c r="E3898" s="52" t="s">
        <v>25</v>
      </c>
      <c r="F3898" s="52" t="s">
        <v>26</v>
      </c>
      <c r="G3898" s="53"/>
    </row>
    <row r="3899">
      <c r="A3899" s="49">
        <v>44735.45132951389</v>
      </c>
      <c r="B3899" s="50">
        <v>44735.5763020717</v>
      </c>
      <c r="C3899" s="51">
        <v>1.005</v>
      </c>
      <c r="D3899" s="51">
        <v>67.0</v>
      </c>
      <c r="E3899" s="52" t="s">
        <v>25</v>
      </c>
      <c r="F3899" s="52" t="s">
        <v>26</v>
      </c>
      <c r="G3899" s="53"/>
    </row>
    <row r="3900">
      <c r="A3900" s="49">
        <v>44735.461752187504</v>
      </c>
      <c r="B3900" s="50">
        <v>44735.5867221643</v>
      </c>
      <c r="C3900" s="51">
        <v>1.005</v>
      </c>
      <c r="D3900" s="51">
        <v>67.0</v>
      </c>
      <c r="E3900" s="52" t="s">
        <v>25</v>
      </c>
      <c r="F3900" s="52" t="s">
        <v>26</v>
      </c>
      <c r="G3900" s="53"/>
    </row>
    <row r="3901">
      <c r="A3901" s="49">
        <v>44735.47217209491</v>
      </c>
      <c r="B3901" s="50">
        <v>44735.5971441551</v>
      </c>
      <c r="C3901" s="51">
        <v>1.005</v>
      </c>
      <c r="D3901" s="51">
        <v>67.0</v>
      </c>
      <c r="E3901" s="52" t="s">
        <v>25</v>
      </c>
      <c r="F3901" s="52" t="s">
        <v>26</v>
      </c>
      <c r="G3901" s="53"/>
    </row>
    <row r="3902">
      <c r="A3902" s="49">
        <v>44735.48260939815</v>
      </c>
      <c r="B3902" s="50">
        <v>44735.6075765393</v>
      </c>
      <c r="C3902" s="51">
        <v>1.005</v>
      </c>
      <c r="D3902" s="51">
        <v>67.0</v>
      </c>
      <c r="E3902" s="52" t="s">
        <v>25</v>
      </c>
      <c r="F3902" s="52" t="s">
        <v>26</v>
      </c>
      <c r="G3902" s="53"/>
    </row>
    <row r="3903">
      <c r="A3903" s="49">
        <v>44735.493018946756</v>
      </c>
      <c r="B3903" s="50">
        <v>44735.6179969213</v>
      </c>
      <c r="C3903" s="51">
        <v>1.005</v>
      </c>
      <c r="D3903" s="51">
        <v>67.0</v>
      </c>
      <c r="E3903" s="52" t="s">
        <v>25</v>
      </c>
      <c r="F3903" s="52" t="s">
        <v>26</v>
      </c>
      <c r="G3903" s="53"/>
    </row>
    <row r="3904">
      <c r="A3904" s="49">
        <v>44735.50343611111</v>
      </c>
      <c r="B3904" s="50">
        <v>44735.6284179861</v>
      </c>
      <c r="C3904" s="51">
        <v>1.005</v>
      </c>
      <c r="D3904" s="51">
        <v>67.0</v>
      </c>
      <c r="E3904" s="52" t="s">
        <v>25</v>
      </c>
      <c r="F3904" s="52" t="s">
        <v>26</v>
      </c>
      <c r="G3904" s="53"/>
    </row>
    <row r="3905">
      <c r="A3905" s="49">
        <v>44735.513857881946</v>
      </c>
      <c r="B3905" s="50">
        <v>44735.6388382291</v>
      </c>
      <c r="C3905" s="51">
        <v>1.005</v>
      </c>
      <c r="D3905" s="51">
        <v>67.0</v>
      </c>
      <c r="E3905" s="52" t="s">
        <v>25</v>
      </c>
      <c r="F3905" s="52" t="s">
        <v>26</v>
      </c>
      <c r="G3905" s="53"/>
    </row>
    <row r="3906">
      <c r="A3906" s="49">
        <v>44735.524285520834</v>
      </c>
      <c r="B3906" s="50">
        <v>44735.6492597801</v>
      </c>
      <c r="C3906" s="51">
        <v>1.005</v>
      </c>
      <c r="D3906" s="51">
        <v>67.0</v>
      </c>
      <c r="E3906" s="52" t="s">
        <v>25</v>
      </c>
      <c r="F3906" s="52" t="s">
        <v>26</v>
      </c>
      <c r="G3906" s="53"/>
    </row>
    <row r="3907">
      <c r="A3907" s="49">
        <v>44735.534717835646</v>
      </c>
      <c r="B3907" s="50">
        <v>44735.6596928819</v>
      </c>
      <c r="C3907" s="51">
        <v>1.005</v>
      </c>
      <c r="D3907" s="51">
        <v>67.0</v>
      </c>
      <c r="E3907" s="52" t="s">
        <v>25</v>
      </c>
      <c r="F3907" s="52" t="s">
        <v>26</v>
      </c>
      <c r="G3907" s="53"/>
    </row>
    <row r="3908">
      <c r="A3908" s="49">
        <v>44735.54513619213</v>
      </c>
      <c r="B3908" s="50">
        <v>44735.6701142476</v>
      </c>
      <c r="C3908" s="51">
        <v>1.005</v>
      </c>
      <c r="D3908" s="51">
        <v>67.0</v>
      </c>
      <c r="E3908" s="52" t="s">
        <v>25</v>
      </c>
      <c r="F3908" s="52" t="s">
        <v>26</v>
      </c>
      <c r="G3908" s="53"/>
    </row>
    <row r="3909">
      <c r="A3909" s="49">
        <v>44735.555577465275</v>
      </c>
      <c r="B3909" s="50">
        <v>44735.6805477083</v>
      </c>
      <c r="C3909" s="51">
        <v>1.005</v>
      </c>
      <c r="D3909" s="51">
        <v>67.0</v>
      </c>
      <c r="E3909" s="52" t="s">
        <v>25</v>
      </c>
      <c r="F3909" s="52" t="s">
        <v>26</v>
      </c>
      <c r="G3909" s="53"/>
    </row>
    <row r="3910">
      <c r="A3910" s="49">
        <v>44735.56599284722</v>
      </c>
      <c r="B3910" s="50">
        <v>44735.6909709953</v>
      </c>
      <c r="C3910" s="51">
        <v>1.005</v>
      </c>
      <c r="D3910" s="51">
        <v>67.0</v>
      </c>
      <c r="E3910" s="52" t="s">
        <v>25</v>
      </c>
      <c r="F3910" s="52" t="s">
        <v>26</v>
      </c>
      <c r="G3910" s="53"/>
    </row>
    <row r="3911">
      <c r="A3911" s="49">
        <v>44735.576412106486</v>
      </c>
      <c r="B3911" s="50">
        <v>44735.7013927083</v>
      </c>
      <c r="C3911" s="51">
        <v>1.005</v>
      </c>
      <c r="D3911" s="51">
        <v>67.0</v>
      </c>
      <c r="E3911" s="52" t="s">
        <v>25</v>
      </c>
      <c r="F3911" s="52" t="s">
        <v>26</v>
      </c>
      <c r="G3911" s="53"/>
    </row>
    <row r="3912">
      <c r="A3912" s="49">
        <v>44735.5868457176</v>
      </c>
      <c r="B3912" s="50">
        <v>44735.7118245138</v>
      </c>
      <c r="C3912" s="51">
        <v>1.005</v>
      </c>
      <c r="D3912" s="51">
        <v>67.0</v>
      </c>
      <c r="E3912" s="52" t="s">
        <v>25</v>
      </c>
      <c r="F3912" s="52" t="s">
        <v>26</v>
      </c>
      <c r="G3912" s="53"/>
    </row>
    <row r="3913">
      <c r="A3913" s="49">
        <v>44735.5972858912</v>
      </c>
      <c r="B3913" s="50">
        <v>44735.7222587268</v>
      </c>
      <c r="C3913" s="51">
        <v>1.005</v>
      </c>
      <c r="D3913" s="51">
        <v>67.0</v>
      </c>
      <c r="E3913" s="52" t="s">
        <v>25</v>
      </c>
      <c r="F3913" s="52" t="s">
        <v>26</v>
      </c>
      <c r="G3913" s="53"/>
    </row>
    <row r="3914">
      <c r="A3914" s="49">
        <v>44735.60770458334</v>
      </c>
      <c r="B3914" s="50">
        <v>44735.7326797685</v>
      </c>
      <c r="C3914" s="51">
        <v>1.005</v>
      </c>
      <c r="D3914" s="51">
        <v>67.0</v>
      </c>
      <c r="E3914" s="52" t="s">
        <v>25</v>
      </c>
      <c r="F3914" s="52" t="s">
        <v>26</v>
      </c>
      <c r="G3914" s="53"/>
    </row>
    <row r="3915">
      <c r="A3915" s="49">
        <v>44735.618121770836</v>
      </c>
      <c r="B3915" s="50">
        <v>44735.7431008449</v>
      </c>
      <c r="C3915" s="51">
        <v>1.005</v>
      </c>
      <c r="D3915" s="51">
        <v>67.0</v>
      </c>
      <c r="E3915" s="52" t="s">
        <v>25</v>
      </c>
      <c r="F3915" s="52" t="s">
        <v>26</v>
      </c>
      <c r="G3915" s="53"/>
    </row>
    <row r="3916">
      <c r="A3916" s="49">
        <v>44735.62854493056</v>
      </c>
      <c r="B3916" s="50">
        <v>44735.753521412</v>
      </c>
      <c r="C3916" s="51">
        <v>1.005</v>
      </c>
      <c r="D3916" s="51">
        <v>67.0</v>
      </c>
      <c r="E3916" s="52" t="s">
        <v>25</v>
      </c>
      <c r="F3916" s="52" t="s">
        <v>26</v>
      </c>
      <c r="G3916" s="53"/>
    </row>
    <row r="3917">
      <c r="A3917" s="49">
        <v>44735.63896414352</v>
      </c>
      <c r="B3917" s="50">
        <v>44735.7639432407</v>
      </c>
      <c r="C3917" s="51">
        <v>1.005</v>
      </c>
      <c r="D3917" s="51">
        <v>67.0</v>
      </c>
      <c r="E3917" s="52" t="s">
        <v>25</v>
      </c>
      <c r="F3917" s="52" t="s">
        <v>26</v>
      </c>
      <c r="G3917" s="53"/>
    </row>
    <row r="3918">
      <c r="A3918" s="49">
        <v>44735.64939721065</v>
      </c>
      <c r="B3918" s="50">
        <v>44735.774364618</v>
      </c>
      <c r="C3918" s="51">
        <v>1.005</v>
      </c>
      <c r="D3918" s="51">
        <v>67.0</v>
      </c>
      <c r="E3918" s="52" t="s">
        <v>25</v>
      </c>
      <c r="F3918" s="52" t="s">
        <v>26</v>
      </c>
      <c r="G3918" s="53"/>
    </row>
    <row r="3919">
      <c r="A3919" s="49">
        <v>44735.65981469907</v>
      </c>
      <c r="B3919" s="50">
        <v>44735.7847851388</v>
      </c>
      <c r="C3919" s="51">
        <v>1.005</v>
      </c>
      <c r="D3919" s="51">
        <v>67.0</v>
      </c>
      <c r="E3919" s="52" t="s">
        <v>25</v>
      </c>
      <c r="F3919" s="52" t="s">
        <v>26</v>
      </c>
      <c r="G3919" s="53"/>
    </row>
    <row r="3920">
      <c r="A3920" s="49">
        <v>44735.67023403935</v>
      </c>
      <c r="B3920" s="50">
        <v>44735.7952078819</v>
      </c>
      <c r="C3920" s="51">
        <v>1.005</v>
      </c>
      <c r="D3920" s="51">
        <v>67.0</v>
      </c>
      <c r="E3920" s="52" t="s">
        <v>25</v>
      </c>
      <c r="F3920" s="52" t="s">
        <v>26</v>
      </c>
      <c r="G3920" s="53"/>
    </row>
    <row r="3921">
      <c r="A3921" s="49">
        <v>44735.68064653935</v>
      </c>
      <c r="B3921" s="50">
        <v>44735.8056299421</v>
      </c>
      <c r="C3921" s="51">
        <v>1.005</v>
      </c>
      <c r="D3921" s="51">
        <v>67.0</v>
      </c>
      <c r="E3921" s="52" t="s">
        <v>25</v>
      </c>
      <c r="F3921" s="52" t="s">
        <v>26</v>
      </c>
      <c r="G3921" s="53"/>
    </row>
    <row r="3922">
      <c r="A3922" s="49">
        <v>44735.69108130787</v>
      </c>
      <c r="B3922" s="50">
        <v>44735.81605125</v>
      </c>
      <c r="C3922" s="51">
        <v>1.005</v>
      </c>
      <c r="D3922" s="51">
        <v>67.0</v>
      </c>
      <c r="E3922" s="52" t="s">
        <v>25</v>
      </c>
      <c r="F3922" s="52" t="s">
        <v>26</v>
      </c>
      <c r="G3922" s="53"/>
    </row>
    <row r="3923">
      <c r="A3923" s="49">
        <v>44735.70148866899</v>
      </c>
      <c r="B3923" s="50">
        <v>44735.8264711111</v>
      </c>
      <c r="C3923" s="51">
        <v>1.005</v>
      </c>
      <c r="D3923" s="51">
        <v>67.0</v>
      </c>
      <c r="E3923" s="52" t="s">
        <v>25</v>
      </c>
      <c r="F3923" s="52" t="s">
        <v>26</v>
      </c>
      <c r="G3923" s="53"/>
    </row>
    <row r="3924">
      <c r="A3924" s="49">
        <v>44735.71193068287</v>
      </c>
      <c r="B3924" s="50">
        <v>44735.8369041319</v>
      </c>
      <c r="C3924" s="51">
        <v>1.005</v>
      </c>
      <c r="D3924" s="51">
        <v>67.0</v>
      </c>
      <c r="E3924" s="52" t="s">
        <v>25</v>
      </c>
      <c r="F3924" s="52" t="s">
        <v>26</v>
      </c>
      <c r="G3924" s="53"/>
    </row>
    <row r="3925">
      <c r="A3925" s="49">
        <v>44735.72235232639</v>
      </c>
      <c r="B3925" s="50">
        <v>44735.8473243981</v>
      </c>
      <c r="C3925" s="51">
        <v>1.005</v>
      </c>
      <c r="D3925" s="51">
        <v>67.0</v>
      </c>
      <c r="E3925" s="52" t="s">
        <v>25</v>
      </c>
      <c r="F3925" s="52" t="s">
        <v>26</v>
      </c>
      <c r="G3925" s="53"/>
    </row>
    <row r="3926">
      <c r="A3926" s="49">
        <v>44735.732762025465</v>
      </c>
      <c r="B3926" s="50">
        <v>44735.8577436111</v>
      </c>
      <c r="C3926" s="51">
        <v>1.005</v>
      </c>
      <c r="D3926" s="51">
        <v>67.0</v>
      </c>
      <c r="E3926" s="52" t="s">
        <v>25</v>
      </c>
      <c r="F3926" s="52" t="s">
        <v>26</v>
      </c>
      <c r="G3926" s="53"/>
    </row>
    <row r="3927">
      <c r="A3927" s="49">
        <v>44735.743179745376</v>
      </c>
      <c r="B3927" s="50">
        <v>44735.8681642939</v>
      </c>
      <c r="C3927" s="51">
        <v>1.005</v>
      </c>
      <c r="D3927" s="51">
        <v>67.0</v>
      </c>
      <c r="E3927" s="52" t="s">
        <v>25</v>
      </c>
      <c r="F3927" s="52" t="s">
        <v>26</v>
      </c>
      <c r="G3927" s="53"/>
    </row>
    <row r="3928">
      <c r="A3928" s="49">
        <v>44735.753615381946</v>
      </c>
      <c r="B3928" s="50">
        <v>44735.8785860185</v>
      </c>
      <c r="C3928" s="51">
        <v>1.005</v>
      </c>
      <c r="D3928" s="51">
        <v>67.0</v>
      </c>
      <c r="E3928" s="52" t="s">
        <v>25</v>
      </c>
      <c r="F3928" s="52" t="s">
        <v>26</v>
      </c>
      <c r="G3928" s="53"/>
    </row>
    <row r="3929">
      <c r="A3929" s="49">
        <v>44735.76404546296</v>
      </c>
      <c r="B3929" s="50">
        <v>44735.8890182986</v>
      </c>
      <c r="C3929" s="51">
        <v>1.005</v>
      </c>
      <c r="D3929" s="51">
        <v>67.0</v>
      </c>
      <c r="E3929" s="52" t="s">
        <v>25</v>
      </c>
      <c r="F3929" s="52" t="s">
        <v>26</v>
      </c>
      <c r="G3929" s="53"/>
    </row>
    <row r="3930">
      <c r="A3930" s="49">
        <v>44735.77447578704</v>
      </c>
      <c r="B3930" s="50">
        <v>44735.8994511574</v>
      </c>
      <c r="C3930" s="51">
        <v>1.005</v>
      </c>
      <c r="D3930" s="51">
        <v>67.0</v>
      </c>
      <c r="E3930" s="52" t="s">
        <v>25</v>
      </c>
      <c r="F3930" s="52" t="s">
        <v>26</v>
      </c>
      <c r="G3930" s="53"/>
    </row>
    <row r="3931">
      <c r="A3931" s="49">
        <v>44735.784906886576</v>
      </c>
      <c r="B3931" s="50">
        <v>44735.9098846527</v>
      </c>
      <c r="C3931" s="51">
        <v>1.005</v>
      </c>
      <c r="D3931" s="51">
        <v>67.0</v>
      </c>
      <c r="E3931" s="52" t="s">
        <v>25</v>
      </c>
      <c r="F3931" s="52" t="s">
        <v>26</v>
      </c>
      <c r="G3931" s="53"/>
    </row>
    <row r="3932">
      <c r="A3932" s="49">
        <v>44735.795340474535</v>
      </c>
      <c r="B3932" s="50">
        <v>44735.9203148842</v>
      </c>
      <c r="C3932" s="51">
        <v>1.005</v>
      </c>
      <c r="D3932" s="51">
        <v>67.0</v>
      </c>
      <c r="E3932" s="52" t="s">
        <v>25</v>
      </c>
      <c r="F3932" s="52" t="s">
        <v>26</v>
      </c>
      <c r="G3932" s="53"/>
    </row>
    <row r="3933">
      <c r="A3933" s="49">
        <v>44735.80576837963</v>
      </c>
      <c r="B3933" s="50">
        <v>44735.930748993</v>
      </c>
      <c r="C3933" s="51">
        <v>1.005</v>
      </c>
      <c r="D3933" s="51">
        <v>67.0</v>
      </c>
      <c r="E3933" s="52" t="s">
        <v>25</v>
      </c>
      <c r="F3933" s="52" t="s">
        <v>26</v>
      </c>
      <c r="G3933" s="53"/>
    </row>
    <row r="3934">
      <c r="A3934" s="49">
        <v>44735.81619809028</v>
      </c>
      <c r="B3934" s="50">
        <v>44735.9411704745</v>
      </c>
      <c r="C3934" s="51">
        <v>1.005</v>
      </c>
      <c r="D3934" s="51">
        <v>67.0</v>
      </c>
      <c r="E3934" s="52" t="s">
        <v>25</v>
      </c>
      <c r="F3934" s="52" t="s">
        <v>26</v>
      </c>
      <c r="G3934" s="53"/>
    </row>
    <row r="3935">
      <c r="A3935" s="49">
        <v>44735.826617557876</v>
      </c>
      <c r="B3935" s="50">
        <v>44735.9515914004</v>
      </c>
      <c r="C3935" s="51">
        <v>1.005</v>
      </c>
      <c r="D3935" s="51">
        <v>67.0</v>
      </c>
      <c r="E3935" s="52" t="s">
        <v>25</v>
      </c>
      <c r="F3935" s="52" t="s">
        <v>26</v>
      </c>
      <c r="G3935" s="53"/>
    </row>
    <row r="3936">
      <c r="A3936" s="49">
        <v>44735.83703831019</v>
      </c>
      <c r="B3936" s="50">
        <v>44735.9620121759</v>
      </c>
      <c r="C3936" s="51">
        <v>1.005</v>
      </c>
      <c r="D3936" s="51">
        <v>67.0</v>
      </c>
      <c r="E3936" s="52" t="s">
        <v>25</v>
      </c>
      <c r="F3936" s="52" t="s">
        <v>26</v>
      </c>
      <c r="G3936" s="53"/>
    </row>
    <row r="3937">
      <c r="A3937" s="49">
        <v>44735.84747141204</v>
      </c>
      <c r="B3937" s="50">
        <v>44735.9724461574</v>
      </c>
      <c r="C3937" s="51">
        <v>1.005</v>
      </c>
      <c r="D3937" s="51">
        <v>67.0</v>
      </c>
      <c r="E3937" s="52" t="s">
        <v>25</v>
      </c>
      <c r="F3937" s="52" t="s">
        <v>26</v>
      </c>
      <c r="G3937" s="53"/>
    </row>
    <row r="3938">
      <c r="A3938" s="49">
        <v>44735.85791626158</v>
      </c>
      <c r="B3938" s="50">
        <v>44735.982889699</v>
      </c>
      <c r="C3938" s="51">
        <v>1.005</v>
      </c>
      <c r="D3938" s="51">
        <v>67.0</v>
      </c>
      <c r="E3938" s="52" t="s">
        <v>25</v>
      </c>
      <c r="F3938" s="52" t="s">
        <v>26</v>
      </c>
      <c r="G3938" s="53"/>
    </row>
    <row r="3939">
      <c r="A3939" s="49">
        <v>44735.868335694446</v>
      </c>
      <c r="B3939" s="50">
        <v>44735.9933101504</v>
      </c>
      <c r="C3939" s="51">
        <v>1.005</v>
      </c>
      <c r="D3939" s="51">
        <v>67.0</v>
      </c>
      <c r="E3939" s="52" t="s">
        <v>25</v>
      </c>
      <c r="F3939" s="52" t="s">
        <v>26</v>
      </c>
      <c r="G3939" s="53"/>
    </row>
    <row r="3940">
      <c r="A3940" s="49">
        <v>44735.878758900464</v>
      </c>
      <c r="B3940" s="50">
        <v>44736.0037324768</v>
      </c>
      <c r="C3940" s="51">
        <v>1.005</v>
      </c>
      <c r="D3940" s="51">
        <v>67.0</v>
      </c>
      <c r="E3940" s="52" t="s">
        <v>25</v>
      </c>
      <c r="F3940" s="52" t="s">
        <v>26</v>
      </c>
      <c r="G3940" s="53"/>
    </row>
    <row r="3941">
      <c r="A3941" s="49">
        <v>44735.889213229166</v>
      </c>
      <c r="B3941" s="50">
        <v>44736.0141891087</v>
      </c>
      <c r="C3941" s="51">
        <v>1.005</v>
      </c>
      <c r="D3941" s="51">
        <v>67.0</v>
      </c>
      <c r="E3941" s="52" t="s">
        <v>25</v>
      </c>
      <c r="F3941" s="52" t="s">
        <v>26</v>
      </c>
      <c r="G3941" s="53"/>
    </row>
    <row r="3942">
      <c r="A3942" s="49">
        <v>44735.89964722222</v>
      </c>
      <c r="B3942" s="50">
        <v>44736.0246219097</v>
      </c>
      <c r="C3942" s="51">
        <v>1.005</v>
      </c>
      <c r="D3942" s="51">
        <v>67.0</v>
      </c>
      <c r="E3942" s="52" t="s">
        <v>25</v>
      </c>
      <c r="F3942" s="52" t="s">
        <v>26</v>
      </c>
      <c r="G3942" s="53"/>
    </row>
    <row r="3943">
      <c r="A3943" s="49">
        <v>44735.91007135417</v>
      </c>
      <c r="B3943" s="50">
        <v>44736.035041956</v>
      </c>
      <c r="C3943" s="51">
        <v>1.005</v>
      </c>
      <c r="D3943" s="51">
        <v>67.0</v>
      </c>
      <c r="E3943" s="52" t="s">
        <v>25</v>
      </c>
      <c r="F3943" s="52" t="s">
        <v>26</v>
      </c>
      <c r="G3943" s="53"/>
    </row>
    <row r="3944">
      <c r="A3944" s="49">
        <v>44735.92049055555</v>
      </c>
      <c r="B3944" s="50">
        <v>44736.0454618287</v>
      </c>
      <c r="C3944" s="51">
        <v>1.005</v>
      </c>
      <c r="D3944" s="51">
        <v>67.0</v>
      </c>
      <c r="E3944" s="52" t="s">
        <v>25</v>
      </c>
      <c r="F3944" s="52" t="s">
        <v>26</v>
      </c>
      <c r="G3944" s="53"/>
    </row>
    <row r="3945">
      <c r="A3945" s="49">
        <v>44735.93091009259</v>
      </c>
      <c r="B3945" s="50">
        <v>44736.055883831</v>
      </c>
      <c r="C3945" s="51">
        <v>1.005</v>
      </c>
      <c r="D3945" s="51">
        <v>67.0</v>
      </c>
      <c r="E3945" s="52" t="s">
        <v>25</v>
      </c>
      <c r="F3945" s="52" t="s">
        <v>26</v>
      </c>
      <c r="G3945" s="53"/>
    </row>
    <row r="3946">
      <c r="A3946" s="49">
        <v>44735.94135434028</v>
      </c>
      <c r="B3946" s="50">
        <v>44736.0663291435</v>
      </c>
      <c r="C3946" s="51">
        <v>1.005</v>
      </c>
      <c r="D3946" s="51">
        <v>67.0</v>
      </c>
      <c r="E3946" s="52" t="s">
        <v>25</v>
      </c>
      <c r="F3946" s="52" t="s">
        <v>26</v>
      </c>
      <c r="G3946" s="53"/>
    </row>
    <row r="3947">
      <c r="A3947" s="49">
        <v>44735.951776319445</v>
      </c>
      <c r="B3947" s="50">
        <v>44736.0767500925</v>
      </c>
      <c r="C3947" s="51">
        <v>1.005</v>
      </c>
      <c r="D3947" s="51">
        <v>67.0</v>
      </c>
      <c r="E3947" s="52" t="s">
        <v>25</v>
      </c>
      <c r="F3947" s="52" t="s">
        <v>26</v>
      </c>
      <c r="G3947" s="53"/>
    </row>
    <row r="3948">
      <c r="A3948" s="49">
        <v>44735.962200532405</v>
      </c>
      <c r="B3948" s="50">
        <v>44736.0871821875</v>
      </c>
      <c r="C3948" s="51">
        <v>1.005</v>
      </c>
      <c r="D3948" s="51">
        <v>67.0</v>
      </c>
      <c r="E3948" s="52" t="s">
        <v>25</v>
      </c>
      <c r="F3948" s="52" t="s">
        <v>26</v>
      </c>
      <c r="G3948" s="53"/>
    </row>
    <row r="3949">
      <c r="A3949" s="49">
        <v>44735.972637280094</v>
      </c>
      <c r="B3949" s="50">
        <v>44736.0976030324</v>
      </c>
      <c r="C3949" s="51">
        <v>1.005</v>
      </c>
      <c r="D3949" s="51">
        <v>67.0</v>
      </c>
      <c r="E3949" s="52" t="s">
        <v>25</v>
      </c>
      <c r="F3949" s="52" t="s">
        <v>26</v>
      </c>
      <c r="G3949" s="53"/>
    </row>
    <row r="3950">
      <c r="A3950" s="49">
        <v>44735.98304247685</v>
      </c>
      <c r="B3950" s="50">
        <v>44736.1080260648</v>
      </c>
      <c r="C3950" s="51">
        <v>1.005</v>
      </c>
      <c r="D3950" s="51">
        <v>67.0</v>
      </c>
      <c r="E3950" s="52" t="s">
        <v>25</v>
      </c>
      <c r="F3950" s="52" t="s">
        <v>26</v>
      </c>
      <c r="G3950" s="53"/>
    </row>
    <row r="3951">
      <c r="A3951" s="49">
        <v>44735.993477303244</v>
      </c>
      <c r="B3951" s="50">
        <v>44736.1184487268</v>
      </c>
      <c r="C3951" s="51">
        <v>1.005</v>
      </c>
      <c r="D3951" s="51">
        <v>67.0</v>
      </c>
      <c r="E3951" s="52" t="s">
        <v>25</v>
      </c>
      <c r="F3951" s="52" t="s">
        <v>26</v>
      </c>
      <c r="G3951" s="53"/>
    </row>
    <row r="3952">
      <c r="A3952" s="49">
        <v>44736.00389461806</v>
      </c>
      <c r="B3952" s="50">
        <v>44736.1288712731</v>
      </c>
      <c r="C3952" s="51">
        <v>1.005</v>
      </c>
      <c r="D3952" s="51">
        <v>67.0</v>
      </c>
      <c r="E3952" s="52" t="s">
        <v>25</v>
      </c>
      <c r="F3952" s="52" t="s">
        <v>26</v>
      </c>
      <c r="G3952" s="53"/>
    </row>
    <row r="3953">
      <c r="A3953" s="49">
        <v>44736.01431679398</v>
      </c>
      <c r="B3953" s="50">
        <v>44736.1392923958</v>
      </c>
      <c r="C3953" s="51">
        <v>1.005</v>
      </c>
      <c r="D3953" s="51">
        <v>67.0</v>
      </c>
      <c r="E3953" s="52" t="s">
        <v>25</v>
      </c>
      <c r="F3953" s="52" t="s">
        <v>26</v>
      </c>
      <c r="G3953" s="53"/>
    </row>
    <row r="3954">
      <c r="A3954" s="49">
        <v>44736.02474084491</v>
      </c>
      <c r="B3954" s="50">
        <v>44736.1497128009</v>
      </c>
      <c r="C3954" s="51">
        <v>1.005</v>
      </c>
      <c r="D3954" s="51">
        <v>67.0</v>
      </c>
      <c r="E3954" s="52" t="s">
        <v>25</v>
      </c>
      <c r="F3954" s="52" t="s">
        <v>26</v>
      </c>
      <c r="G3954" s="53"/>
    </row>
    <row r="3955">
      <c r="A3955" s="49">
        <v>44736.03517296296</v>
      </c>
      <c r="B3955" s="50">
        <v>44736.1601455671</v>
      </c>
      <c r="C3955" s="51">
        <v>1.005</v>
      </c>
      <c r="D3955" s="51">
        <v>68.0</v>
      </c>
      <c r="E3955" s="52" t="s">
        <v>25</v>
      </c>
      <c r="F3955" s="52" t="s">
        <v>26</v>
      </c>
      <c r="G3955" s="53"/>
    </row>
    <row r="3956">
      <c r="A3956" s="49">
        <v>44736.04561335648</v>
      </c>
      <c r="B3956" s="50">
        <v>44736.1705903472</v>
      </c>
      <c r="C3956" s="51">
        <v>1.005</v>
      </c>
      <c r="D3956" s="51">
        <v>68.0</v>
      </c>
      <c r="E3956" s="52" t="s">
        <v>25</v>
      </c>
      <c r="F3956" s="52" t="s">
        <v>26</v>
      </c>
      <c r="G3956" s="53"/>
    </row>
    <row r="3957">
      <c r="A3957" s="49">
        <v>44736.056035173606</v>
      </c>
      <c r="B3957" s="50">
        <v>44736.1810117245</v>
      </c>
      <c r="C3957" s="51">
        <v>1.005</v>
      </c>
      <c r="D3957" s="51">
        <v>68.0</v>
      </c>
      <c r="E3957" s="52" t="s">
        <v>25</v>
      </c>
      <c r="F3957" s="52" t="s">
        <v>26</v>
      </c>
      <c r="G3957" s="53"/>
    </row>
    <row r="3958">
      <c r="A3958" s="49">
        <v>44736.066468958335</v>
      </c>
      <c r="B3958" s="50">
        <v>44736.1914422453</v>
      </c>
      <c r="C3958" s="51">
        <v>1.005</v>
      </c>
      <c r="D3958" s="51">
        <v>68.0</v>
      </c>
      <c r="E3958" s="52" t="s">
        <v>25</v>
      </c>
      <c r="F3958" s="52" t="s">
        <v>26</v>
      </c>
      <c r="G3958" s="53"/>
    </row>
    <row r="3959">
      <c r="A3959" s="49">
        <v>44736.076885636576</v>
      </c>
      <c r="B3959" s="50">
        <v>44736.2018639814</v>
      </c>
      <c r="C3959" s="51">
        <v>1.005</v>
      </c>
      <c r="D3959" s="51">
        <v>68.0</v>
      </c>
      <c r="E3959" s="52" t="s">
        <v>25</v>
      </c>
      <c r="F3959" s="52" t="s">
        <v>26</v>
      </c>
      <c r="G3959" s="53"/>
    </row>
    <row r="3960">
      <c r="A3960" s="49">
        <v>44736.08730130787</v>
      </c>
      <c r="B3960" s="50">
        <v>44736.2122854051</v>
      </c>
      <c r="C3960" s="51">
        <v>1.005</v>
      </c>
      <c r="D3960" s="51">
        <v>68.0</v>
      </c>
      <c r="E3960" s="52" t="s">
        <v>25</v>
      </c>
      <c r="F3960" s="52" t="s">
        <v>26</v>
      </c>
      <c r="G3960" s="53"/>
    </row>
    <row r="3961">
      <c r="A3961" s="49">
        <v>44736.09773386574</v>
      </c>
      <c r="B3961" s="50">
        <v>44736.2227188426</v>
      </c>
      <c r="C3961" s="51">
        <v>1.005</v>
      </c>
      <c r="D3961" s="51">
        <v>68.0</v>
      </c>
      <c r="E3961" s="52" t="s">
        <v>25</v>
      </c>
      <c r="F3961" s="52" t="s">
        <v>26</v>
      </c>
      <c r="G3961" s="53"/>
    </row>
    <row r="3962">
      <c r="A3962" s="49">
        <v>44736.10816459491</v>
      </c>
      <c r="B3962" s="50">
        <v>44736.2331404745</v>
      </c>
      <c r="C3962" s="51">
        <v>1.005</v>
      </c>
      <c r="D3962" s="51">
        <v>68.0</v>
      </c>
      <c r="E3962" s="52" t="s">
        <v>25</v>
      </c>
      <c r="F3962" s="52" t="s">
        <v>26</v>
      </c>
      <c r="G3962" s="53"/>
    </row>
    <row r="3963">
      <c r="A3963" s="49">
        <v>44736.11858159723</v>
      </c>
      <c r="B3963" s="50">
        <v>44736.2435609027</v>
      </c>
      <c r="C3963" s="51">
        <v>1.005</v>
      </c>
      <c r="D3963" s="51">
        <v>68.0</v>
      </c>
      <c r="E3963" s="52" t="s">
        <v>25</v>
      </c>
      <c r="F3963" s="52" t="s">
        <v>26</v>
      </c>
      <c r="G3963" s="53"/>
    </row>
    <row r="3964">
      <c r="A3964" s="49">
        <v>44736.129016377316</v>
      </c>
      <c r="B3964" s="50">
        <v>44736.2539936342</v>
      </c>
      <c r="C3964" s="51">
        <v>1.005</v>
      </c>
      <c r="D3964" s="51">
        <v>68.0</v>
      </c>
      <c r="E3964" s="52" t="s">
        <v>25</v>
      </c>
      <c r="F3964" s="52" t="s">
        <v>26</v>
      </c>
      <c r="G3964" s="53"/>
    </row>
    <row r="3965">
      <c r="A3965" s="49">
        <v>44736.13943405093</v>
      </c>
      <c r="B3965" s="50">
        <v>44736.2644131828</v>
      </c>
      <c r="C3965" s="51">
        <v>1.005</v>
      </c>
      <c r="D3965" s="51">
        <v>68.0</v>
      </c>
      <c r="E3965" s="52" t="s">
        <v>25</v>
      </c>
      <c r="F3965" s="52" t="s">
        <v>26</v>
      </c>
      <c r="G3965" s="53"/>
    </row>
    <row r="3966">
      <c r="A3966" s="49">
        <v>44736.149865115745</v>
      </c>
      <c r="B3966" s="50">
        <v>44736.2748347685</v>
      </c>
      <c r="C3966" s="51">
        <v>1.005</v>
      </c>
      <c r="D3966" s="51">
        <v>68.0</v>
      </c>
      <c r="E3966" s="52" t="s">
        <v>25</v>
      </c>
      <c r="F3966" s="52" t="s">
        <v>26</v>
      </c>
      <c r="G3966" s="53"/>
    </row>
    <row r="3967">
      <c r="A3967" s="49">
        <v>44736.16028304398</v>
      </c>
      <c r="B3967" s="50">
        <v>44736.2852562963</v>
      </c>
      <c r="C3967" s="51">
        <v>1.005</v>
      </c>
      <c r="D3967" s="51">
        <v>68.0</v>
      </c>
      <c r="E3967" s="52" t="s">
        <v>25</v>
      </c>
      <c r="F3967" s="52" t="s">
        <v>26</v>
      </c>
      <c r="G3967" s="53"/>
    </row>
    <row r="3968">
      <c r="A3968" s="49">
        <v>44736.170714884254</v>
      </c>
      <c r="B3968" s="50">
        <v>44736.2956897801</v>
      </c>
      <c r="C3968" s="51">
        <v>1.005</v>
      </c>
      <c r="D3968" s="51">
        <v>68.0</v>
      </c>
      <c r="E3968" s="52" t="s">
        <v>25</v>
      </c>
      <c r="F3968" s="52" t="s">
        <v>26</v>
      </c>
      <c r="G3968" s="53"/>
    </row>
    <row r="3969">
      <c r="A3969" s="49">
        <v>44736.18112898148</v>
      </c>
      <c r="B3969" s="50">
        <v>44736.3061106018</v>
      </c>
      <c r="C3969" s="51">
        <v>1.005</v>
      </c>
      <c r="D3969" s="51">
        <v>68.0</v>
      </c>
      <c r="E3969" s="52" t="s">
        <v>25</v>
      </c>
      <c r="F3969" s="52" t="s">
        <v>26</v>
      </c>
      <c r="G3969" s="53"/>
    </row>
    <row r="3970">
      <c r="A3970" s="49">
        <v>44736.19154759259</v>
      </c>
      <c r="B3970" s="50">
        <v>44736.3165305555</v>
      </c>
      <c r="C3970" s="51">
        <v>1.005</v>
      </c>
      <c r="D3970" s="51">
        <v>68.0</v>
      </c>
      <c r="E3970" s="52" t="s">
        <v>25</v>
      </c>
      <c r="F3970" s="52" t="s">
        <v>26</v>
      </c>
      <c r="G3970" s="53"/>
    </row>
    <row r="3971">
      <c r="A3971" s="49">
        <v>44736.20197912037</v>
      </c>
      <c r="B3971" s="50">
        <v>44736.3269527314</v>
      </c>
      <c r="C3971" s="51">
        <v>1.005</v>
      </c>
      <c r="D3971" s="51">
        <v>68.0</v>
      </c>
      <c r="E3971" s="52" t="s">
        <v>25</v>
      </c>
      <c r="F3971" s="52" t="s">
        <v>26</v>
      </c>
      <c r="G3971" s="53"/>
    </row>
    <row r="3972">
      <c r="A3972" s="49">
        <v>44736.21240240741</v>
      </c>
      <c r="B3972" s="50">
        <v>44736.3373748495</v>
      </c>
      <c r="C3972" s="51">
        <v>1.005</v>
      </c>
      <c r="D3972" s="51">
        <v>68.0</v>
      </c>
      <c r="E3972" s="52" t="s">
        <v>25</v>
      </c>
      <c r="F3972" s="52" t="s">
        <v>26</v>
      </c>
      <c r="G3972" s="53"/>
    </row>
    <row r="3973">
      <c r="A3973" s="49">
        <v>44736.222823310185</v>
      </c>
      <c r="B3973" s="50">
        <v>44736.3477946064</v>
      </c>
      <c r="C3973" s="51">
        <v>1.005</v>
      </c>
      <c r="D3973" s="51">
        <v>68.0</v>
      </c>
      <c r="E3973" s="52" t="s">
        <v>25</v>
      </c>
      <c r="F3973" s="52" t="s">
        <v>26</v>
      </c>
      <c r="G3973" s="53"/>
    </row>
    <row r="3974">
      <c r="A3974" s="49">
        <v>44736.233238333334</v>
      </c>
      <c r="B3974" s="50">
        <v>44736.3582165856</v>
      </c>
      <c r="C3974" s="51">
        <v>1.005</v>
      </c>
      <c r="D3974" s="51">
        <v>68.0</v>
      </c>
      <c r="E3974" s="52" t="s">
        <v>25</v>
      </c>
      <c r="F3974" s="52" t="s">
        <v>26</v>
      </c>
      <c r="G3974" s="53"/>
    </row>
    <row r="3975">
      <c r="A3975" s="49">
        <v>44736.24368189815</v>
      </c>
      <c r="B3975" s="50">
        <v>44736.3686600925</v>
      </c>
      <c r="C3975" s="51">
        <v>1.005</v>
      </c>
      <c r="D3975" s="51">
        <v>68.0</v>
      </c>
      <c r="E3975" s="52" t="s">
        <v>25</v>
      </c>
      <c r="F3975" s="52" t="s">
        <v>26</v>
      </c>
      <c r="G3975" s="53"/>
    </row>
    <row r="3976">
      <c r="A3976" s="49">
        <v>44736.25411380787</v>
      </c>
      <c r="B3976" s="50">
        <v>44736.3790815046</v>
      </c>
      <c r="C3976" s="51">
        <v>1.005</v>
      </c>
      <c r="D3976" s="51">
        <v>68.0</v>
      </c>
      <c r="E3976" s="52" t="s">
        <v>25</v>
      </c>
      <c r="F3976" s="52" t="s">
        <v>26</v>
      </c>
      <c r="G3976" s="53"/>
    </row>
    <row r="3977">
      <c r="A3977" s="49">
        <v>44736.264526643514</v>
      </c>
      <c r="B3977" s="50">
        <v>44736.3895054629</v>
      </c>
      <c r="C3977" s="51">
        <v>1.005</v>
      </c>
      <c r="D3977" s="51">
        <v>68.0</v>
      </c>
      <c r="E3977" s="52" t="s">
        <v>25</v>
      </c>
      <c r="F3977" s="52" t="s">
        <v>26</v>
      </c>
      <c r="G3977" s="53"/>
    </row>
    <row r="3978">
      <c r="A3978" s="49">
        <v>44736.274958368056</v>
      </c>
      <c r="B3978" s="50">
        <v>44736.3999373958</v>
      </c>
      <c r="C3978" s="51">
        <v>1.005</v>
      </c>
      <c r="D3978" s="51">
        <v>68.0</v>
      </c>
      <c r="E3978" s="52" t="s">
        <v>25</v>
      </c>
      <c r="F3978" s="52" t="s">
        <v>26</v>
      </c>
      <c r="G3978" s="53"/>
    </row>
    <row r="3979">
      <c r="A3979" s="49">
        <v>44736.2853730787</v>
      </c>
      <c r="B3979" s="50">
        <v>44736.4103573148</v>
      </c>
      <c r="C3979" s="51">
        <v>1.005</v>
      </c>
      <c r="D3979" s="51">
        <v>68.0</v>
      </c>
      <c r="E3979" s="52" t="s">
        <v>25</v>
      </c>
      <c r="F3979" s="52" t="s">
        <v>26</v>
      </c>
      <c r="G3979" s="53"/>
    </row>
    <row r="3980">
      <c r="A3980" s="49">
        <v>44736.29580740741</v>
      </c>
      <c r="B3980" s="50">
        <v>44736.4207777314</v>
      </c>
      <c r="C3980" s="51">
        <v>1.005</v>
      </c>
      <c r="D3980" s="51">
        <v>68.0</v>
      </c>
      <c r="E3980" s="52" t="s">
        <v>25</v>
      </c>
      <c r="F3980" s="52" t="s">
        <v>26</v>
      </c>
      <c r="G3980" s="53"/>
    </row>
    <row r="3981">
      <c r="A3981" s="49">
        <v>44736.306238715275</v>
      </c>
      <c r="B3981" s="50">
        <v>44736.4312111689</v>
      </c>
      <c r="C3981" s="51">
        <v>1.005</v>
      </c>
      <c r="D3981" s="51">
        <v>68.0</v>
      </c>
      <c r="E3981" s="52" t="s">
        <v>25</v>
      </c>
      <c r="F3981" s="52" t="s">
        <v>26</v>
      </c>
      <c r="G3981" s="53"/>
    </row>
    <row r="3982">
      <c r="A3982" s="49">
        <v>44736.31665609954</v>
      </c>
      <c r="B3982" s="50">
        <v>44736.4416344097</v>
      </c>
      <c r="C3982" s="51">
        <v>1.005</v>
      </c>
      <c r="D3982" s="51">
        <v>68.0</v>
      </c>
      <c r="E3982" s="52" t="s">
        <v>25</v>
      </c>
      <c r="F3982" s="52" t="s">
        <v>26</v>
      </c>
      <c r="G3982" s="53"/>
    </row>
    <row r="3983">
      <c r="A3983" s="49">
        <v>44736.327076747686</v>
      </c>
      <c r="B3983" s="50">
        <v>44736.4520549189</v>
      </c>
      <c r="C3983" s="51">
        <v>1.005</v>
      </c>
      <c r="D3983" s="51">
        <v>68.0</v>
      </c>
      <c r="E3983" s="52" t="s">
        <v>25</v>
      </c>
      <c r="F3983" s="52" t="s">
        <v>26</v>
      </c>
      <c r="G3983" s="53"/>
    </row>
    <row r="3984">
      <c r="A3984" s="49">
        <v>44736.337506435186</v>
      </c>
      <c r="B3984" s="50">
        <v>44736.4624767013</v>
      </c>
      <c r="C3984" s="51">
        <v>1.005</v>
      </c>
      <c r="D3984" s="51">
        <v>68.0</v>
      </c>
      <c r="E3984" s="52" t="s">
        <v>25</v>
      </c>
      <c r="F3984" s="52" t="s">
        <v>26</v>
      </c>
      <c r="G3984" s="53"/>
    </row>
    <row r="3985">
      <c r="A3985" s="49">
        <v>44736.3479355787</v>
      </c>
      <c r="B3985" s="50">
        <v>44736.4729104629</v>
      </c>
      <c r="C3985" s="51">
        <v>1.005</v>
      </c>
      <c r="D3985" s="51">
        <v>68.0</v>
      </c>
      <c r="E3985" s="52" t="s">
        <v>25</v>
      </c>
      <c r="F3985" s="52" t="s">
        <v>26</v>
      </c>
      <c r="G3985" s="53"/>
    </row>
    <row r="3986">
      <c r="A3986" s="49">
        <v>44736.358353460644</v>
      </c>
      <c r="B3986" s="50">
        <v>44736.4833301157</v>
      </c>
      <c r="C3986" s="51">
        <v>1.005</v>
      </c>
      <c r="D3986" s="51">
        <v>68.0</v>
      </c>
      <c r="E3986" s="52" t="s">
        <v>25</v>
      </c>
      <c r="F3986" s="52" t="s">
        <v>26</v>
      </c>
      <c r="G3986" s="53"/>
    </row>
    <row r="3987">
      <c r="A3987" s="49">
        <v>44736.36877436342</v>
      </c>
      <c r="B3987" s="50">
        <v>44736.4937518518</v>
      </c>
      <c r="C3987" s="51">
        <v>1.005</v>
      </c>
      <c r="D3987" s="51">
        <v>68.0</v>
      </c>
      <c r="E3987" s="52" t="s">
        <v>25</v>
      </c>
      <c r="F3987" s="52" t="s">
        <v>26</v>
      </c>
      <c r="G3987" s="53"/>
    </row>
    <row r="3988">
      <c r="A3988" s="49">
        <v>44736.37918979167</v>
      </c>
      <c r="B3988" s="50">
        <v>44736.5041736805</v>
      </c>
      <c r="C3988" s="51">
        <v>1.005</v>
      </c>
      <c r="D3988" s="51">
        <v>68.0</v>
      </c>
      <c r="E3988" s="52" t="s">
        <v>25</v>
      </c>
      <c r="F3988" s="52" t="s">
        <v>26</v>
      </c>
      <c r="G3988" s="53"/>
    </row>
    <row r="3989">
      <c r="A3989" s="49">
        <v>44736.38961891204</v>
      </c>
      <c r="B3989" s="50">
        <v>44736.5145935879</v>
      </c>
      <c r="C3989" s="51">
        <v>1.005</v>
      </c>
      <c r="D3989" s="51">
        <v>68.0</v>
      </c>
      <c r="E3989" s="52" t="s">
        <v>25</v>
      </c>
      <c r="F3989" s="52" t="s">
        <v>26</v>
      </c>
      <c r="G3989" s="53"/>
    </row>
    <row r="3990">
      <c r="A3990" s="49">
        <v>44736.40003975695</v>
      </c>
      <c r="B3990" s="50">
        <v>44736.5250148611</v>
      </c>
      <c r="C3990" s="51">
        <v>1.005</v>
      </c>
      <c r="D3990" s="51">
        <v>68.0</v>
      </c>
      <c r="E3990" s="52" t="s">
        <v>25</v>
      </c>
      <c r="F3990" s="52" t="s">
        <v>26</v>
      </c>
      <c r="G3990" s="53"/>
    </row>
    <row r="3991">
      <c r="A3991" s="49">
        <v>44736.41045989584</v>
      </c>
      <c r="B3991" s="50">
        <v>44736.5354357291</v>
      </c>
      <c r="C3991" s="51">
        <v>1.005</v>
      </c>
      <c r="D3991" s="51">
        <v>68.0</v>
      </c>
      <c r="E3991" s="52" t="s">
        <v>25</v>
      </c>
      <c r="F3991" s="52" t="s">
        <v>26</v>
      </c>
      <c r="G3991" s="53"/>
    </row>
    <row r="3992">
      <c r="A3992" s="49">
        <v>44736.420879513884</v>
      </c>
      <c r="B3992" s="50">
        <v>44736.5458572453</v>
      </c>
      <c r="C3992" s="51">
        <v>1.005</v>
      </c>
      <c r="D3992" s="51">
        <v>68.0</v>
      </c>
      <c r="E3992" s="52" t="s">
        <v>25</v>
      </c>
      <c r="F3992" s="52" t="s">
        <v>26</v>
      </c>
      <c r="G3992" s="53"/>
    </row>
    <row r="3993">
      <c r="A3993" s="49">
        <v>44736.431306921295</v>
      </c>
      <c r="B3993" s="50">
        <v>44736.556279456</v>
      </c>
      <c r="C3993" s="51">
        <v>1.005</v>
      </c>
      <c r="D3993" s="51">
        <v>68.0</v>
      </c>
      <c r="E3993" s="52" t="s">
        <v>25</v>
      </c>
      <c r="F3993" s="52" t="s">
        <v>26</v>
      </c>
      <c r="G3993" s="53"/>
    </row>
    <row r="3994">
      <c r="A3994" s="49">
        <v>44736.44172548611</v>
      </c>
      <c r="B3994" s="50">
        <v>44736.5666998379</v>
      </c>
      <c r="C3994" s="51">
        <v>1.005</v>
      </c>
      <c r="D3994" s="51">
        <v>68.0</v>
      </c>
      <c r="E3994" s="52" t="s">
        <v>25</v>
      </c>
      <c r="F3994" s="52" t="s">
        <v>26</v>
      </c>
      <c r="G3994" s="53"/>
    </row>
    <row r="3995">
      <c r="A3995" s="49">
        <v>44736.45217010417</v>
      </c>
      <c r="B3995" s="50">
        <v>44736.5771445254</v>
      </c>
      <c r="C3995" s="51">
        <v>1.005</v>
      </c>
      <c r="D3995" s="51">
        <v>68.0</v>
      </c>
      <c r="E3995" s="52" t="s">
        <v>25</v>
      </c>
      <c r="F3995" s="52" t="s">
        <v>26</v>
      </c>
      <c r="G3995" s="53"/>
    </row>
    <row r="3996">
      <c r="A3996" s="49">
        <v>44736.46258850694</v>
      </c>
      <c r="B3996" s="50">
        <v>44736.5875646296</v>
      </c>
      <c r="C3996" s="51">
        <v>1.005</v>
      </c>
      <c r="D3996" s="51">
        <v>68.0</v>
      </c>
      <c r="E3996" s="52" t="s">
        <v>25</v>
      </c>
      <c r="F3996" s="52" t="s">
        <v>26</v>
      </c>
      <c r="G3996" s="53"/>
    </row>
    <row r="3997">
      <c r="A3997" s="49">
        <v>44736.473008587964</v>
      </c>
      <c r="B3997" s="50">
        <v>44736.5979841203</v>
      </c>
      <c r="C3997" s="51">
        <v>1.005</v>
      </c>
      <c r="D3997" s="51">
        <v>68.0</v>
      </c>
      <c r="E3997" s="52" t="s">
        <v>25</v>
      </c>
      <c r="F3997" s="52" t="s">
        <v>26</v>
      </c>
      <c r="G3997" s="53"/>
    </row>
    <row r="3998">
      <c r="A3998" s="49">
        <v>44736.48342917824</v>
      </c>
      <c r="B3998" s="50">
        <v>44736.6084060879</v>
      </c>
      <c r="C3998" s="51">
        <v>1.005</v>
      </c>
      <c r="D3998" s="51">
        <v>68.0</v>
      </c>
      <c r="E3998" s="52" t="s">
        <v>25</v>
      </c>
      <c r="F3998" s="52" t="s">
        <v>26</v>
      </c>
      <c r="G3998" s="53"/>
    </row>
    <row r="3999">
      <c r="A3999" s="49">
        <v>44736.493858472226</v>
      </c>
      <c r="B3999" s="50">
        <v>44736.6188387847</v>
      </c>
      <c r="C3999" s="51">
        <v>1.005</v>
      </c>
      <c r="D3999" s="51">
        <v>68.0</v>
      </c>
      <c r="E3999" s="52" t="s">
        <v>25</v>
      </c>
      <c r="F3999" s="52" t="s">
        <v>26</v>
      </c>
      <c r="G3999" s="53"/>
    </row>
    <row r="4000">
      <c r="A4000" s="49">
        <v>44736.50428734954</v>
      </c>
      <c r="B4000" s="50">
        <v>44736.6292595138</v>
      </c>
      <c r="C4000" s="51">
        <v>1.005</v>
      </c>
      <c r="D4000" s="51">
        <v>68.0</v>
      </c>
      <c r="E4000" s="52" t="s">
        <v>25</v>
      </c>
      <c r="F4000" s="52" t="s">
        <v>26</v>
      </c>
      <c r="G4000" s="53"/>
    </row>
    <row r="4001">
      <c r="A4001" s="49">
        <v>44736.5147072338</v>
      </c>
      <c r="B4001" s="50">
        <v>44736.6396814236</v>
      </c>
      <c r="C4001" s="51">
        <v>1.005</v>
      </c>
      <c r="D4001" s="51">
        <v>68.0</v>
      </c>
      <c r="E4001" s="52" t="s">
        <v>25</v>
      </c>
      <c r="F4001" s="52" t="s">
        <v>26</v>
      </c>
      <c r="G4001" s="53"/>
    </row>
    <row r="4002">
      <c r="A4002" s="49">
        <v>44736.52512644676</v>
      </c>
      <c r="B4002" s="50">
        <v>44736.6501038541</v>
      </c>
      <c r="C4002" s="51">
        <v>1.005</v>
      </c>
      <c r="D4002" s="51">
        <v>68.0</v>
      </c>
      <c r="E4002" s="52" t="s">
        <v>25</v>
      </c>
      <c r="F4002" s="52" t="s">
        <v>26</v>
      </c>
      <c r="G4002" s="53"/>
    </row>
    <row r="4003">
      <c r="A4003" s="49">
        <v>44736.535569687505</v>
      </c>
      <c r="B4003" s="50">
        <v>44736.6605480439</v>
      </c>
      <c r="C4003" s="51">
        <v>1.005</v>
      </c>
      <c r="D4003" s="51">
        <v>68.0</v>
      </c>
      <c r="E4003" s="52" t="s">
        <v>25</v>
      </c>
      <c r="F4003" s="52" t="s">
        <v>26</v>
      </c>
      <c r="G4003" s="53"/>
    </row>
    <row r="4004">
      <c r="A4004" s="49">
        <v>44736.54598309028</v>
      </c>
      <c r="B4004" s="50">
        <v>44736.6709688773</v>
      </c>
      <c r="C4004" s="51">
        <v>1.005</v>
      </c>
      <c r="D4004" s="51">
        <v>68.0</v>
      </c>
      <c r="E4004" s="52" t="s">
        <v>25</v>
      </c>
      <c r="F4004" s="52" t="s">
        <v>26</v>
      </c>
      <c r="G4004" s="53"/>
    </row>
    <row r="4005">
      <c r="A4005" s="49">
        <v>44736.55641616898</v>
      </c>
      <c r="B4005" s="50">
        <v>44736.6813900926</v>
      </c>
      <c r="C4005" s="51">
        <v>1.005</v>
      </c>
      <c r="D4005" s="51">
        <v>68.0</v>
      </c>
      <c r="E4005" s="52" t="s">
        <v>25</v>
      </c>
      <c r="F4005" s="52" t="s">
        <v>26</v>
      </c>
      <c r="G4005" s="53"/>
    </row>
    <row r="4006">
      <c r="A4006" s="49">
        <v>44736.56683596065</v>
      </c>
      <c r="B4006" s="50">
        <v>44736.6918117361</v>
      </c>
      <c r="C4006" s="51">
        <v>1.005</v>
      </c>
      <c r="D4006" s="51">
        <v>68.0</v>
      </c>
      <c r="E4006" s="52" t="s">
        <v>25</v>
      </c>
      <c r="F4006" s="52" t="s">
        <v>26</v>
      </c>
      <c r="G4006" s="53"/>
    </row>
    <row r="4007">
      <c r="A4007" s="49">
        <v>44736.57725104167</v>
      </c>
      <c r="B4007" s="50">
        <v>44736.7022311689</v>
      </c>
      <c r="C4007" s="51">
        <v>1.005</v>
      </c>
      <c r="D4007" s="51">
        <v>68.0</v>
      </c>
      <c r="E4007" s="52" t="s">
        <v>25</v>
      </c>
      <c r="F4007" s="52" t="s">
        <v>26</v>
      </c>
      <c r="G4007" s="53"/>
    </row>
    <row r="4008">
      <c r="A4008" s="49">
        <v>44736.58767652778</v>
      </c>
      <c r="B4008" s="50">
        <v>44736.7126524189</v>
      </c>
      <c r="C4008" s="51">
        <v>1.005</v>
      </c>
      <c r="D4008" s="51">
        <v>68.0</v>
      </c>
      <c r="E4008" s="52" t="s">
        <v>25</v>
      </c>
      <c r="F4008" s="52" t="s">
        <v>26</v>
      </c>
      <c r="G4008" s="53"/>
    </row>
    <row r="4009">
      <c r="A4009" s="49">
        <v>44736.598109212966</v>
      </c>
      <c r="B4009" s="50">
        <v>44736.7230834259</v>
      </c>
      <c r="C4009" s="51">
        <v>1.005</v>
      </c>
      <c r="D4009" s="51">
        <v>68.0</v>
      </c>
      <c r="E4009" s="52" t="s">
        <v>25</v>
      </c>
      <c r="F4009" s="52" t="s">
        <v>26</v>
      </c>
      <c r="G4009" s="53"/>
    </row>
    <row r="4010">
      <c r="A4010" s="49">
        <v>44736.608520752314</v>
      </c>
      <c r="B4010" s="50">
        <v>44736.7335051736</v>
      </c>
      <c r="C4010" s="51">
        <v>1.005</v>
      </c>
      <c r="D4010" s="51">
        <v>68.0</v>
      </c>
      <c r="E4010" s="52" t="s">
        <v>25</v>
      </c>
      <c r="F4010" s="52" t="s">
        <v>26</v>
      </c>
      <c r="G4010" s="53"/>
    </row>
    <row r="4011">
      <c r="A4011" s="49">
        <v>44736.61895118056</v>
      </c>
      <c r="B4011" s="50">
        <v>44736.743926574</v>
      </c>
      <c r="C4011" s="51">
        <v>1.005</v>
      </c>
      <c r="D4011" s="51">
        <v>68.0</v>
      </c>
      <c r="E4011" s="52" t="s">
        <v>25</v>
      </c>
      <c r="F4011" s="52" t="s">
        <v>26</v>
      </c>
      <c r="G4011" s="53"/>
    </row>
    <row r="4012">
      <c r="A4012" s="49">
        <v>44736.62937534723</v>
      </c>
      <c r="B4012" s="50">
        <v>44736.7543480208</v>
      </c>
      <c r="C4012" s="51">
        <v>1.005</v>
      </c>
      <c r="D4012" s="51">
        <v>68.0</v>
      </c>
      <c r="E4012" s="52" t="s">
        <v>25</v>
      </c>
      <c r="F4012" s="52" t="s">
        <v>26</v>
      </c>
      <c r="G4012" s="53"/>
    </row>
    <row r="4013">
      <c r="A4013" s="49">
        <v>44736.639810312496</v>
      </c>
      <c r="B4013" s="50">
        <v>44736.7647935648</v>
      </c>
      <c r="C4013" s="51">
        <v>1.005</v>
      </c>
      <c r="D4013" s="51">
        <v>68.0</v>
      </c>
      <c r="E4013" s="52" t="s">
        <v>25</v>
      </c>
      <c r="F4013" s="52" t="s">
        <v>26</v>
      </c>
      <c r="G4013" s="53"/>
    </row>
    <row r="4014">
      <c r="A4014" s="49">
        <v>44736.65023135417</v>
      </c>
      <c r="B4014" s="50">
        <v>44736.7752140393</v>
      </c>
      <c r="C4014" s="51">
        <v>1.005</v>
      </c>
      <c r="D4014" s="51">
        <v>68.0</v>
      </c>
      <c r="E4014" s="52" t="s">
        <v>25</v>
      </c>
      <c r="F4014" s="52" t="s">
        <v>26</v>
      </c>
      <c r="G4014" s="53"/>
    </row>
    <row r="4015">
      <c r="A4015" s="49">
        <v>44736.660661145834</v>
      </c>
      <c r="B4015" s="50">
        <v>44736.7856357638</v>
      </c>
      <c r="C4015" s="51">
        <v>1.005</v>
      </c>
      <c r="D4015" s="51">
        <v>68.0</v>
      </c>
      <c r="E4015" s="52" t="s">
        <v>25</v>
      </c>
      <c r="F4015" s="52" t="s">
        <v>26</v>
      </c>
      <c r="G4015" s="53"/>
    </row>
    <row r="4016">
      <c r="A4016" s="49">
        <v>44736.67108076389</v>
      </c>
      <c r="B4016" s="50">
        <v>44736.7960567013</v>
      </c>
      <c r="C4016" s="51">
        <v>1.005</v>
      </c>
      <c r="D4016" s="51">
        <v>68.0</v>
      </c>
      <c r="E4016" s="52" t="s">
        <v>25</v>
      </c>
      <c r="F4016" s="52" t="s">
        <v>26</v>
      </c>
      <c r="G4016" s="53"/>
    </row>
    <row r="4017">
      <c r="A4017" s="49">
        <v>44736.68150233796</v>
      </c>
      <c r="B4017" s="50">
        <v>44736.8064781018</v>
      </c>
      <c r="C4017" s="51">
        <v>1.005</v>
      </c>
      <c r="D4017" s="51">
        <v>68.0</v>
      </c>
      <c r="E4017" s="52" t="s">
        <v>25</v>
      </c>
      <c r="F4017" s="52" t="s">
        <v>26</v>
      </c>
      <c r="G4017" s="53"/>
    </row>
    <row r="4018">
      <c r="A4018" s="49">
        <v>44736.69192188657</v>
      </c>
      <c r="B4018" s="50">
        <v>44736.8169007986</v>
      </c>
      <c r="C4018" s="51">
        <v>1.005</v>
      </c>
      <c r="D4018" s="51">
        <v>68.0</v>
      </c>
      <c r="E4018" s="52" t="s">
        <v>25</v>
      </c>
      <c r="F4018" s="52" t="s">
        <v>26</v>
      </c>
      <c r="G4018" s="53"/>
    </row>
    <row r="4019">
      <c r="A4019" s="49">
        <v>44736.702349189814</v>
      </c>
      <c r="B4019" s="50">
        <v>44736.8273334027</v>
      </c>
      <c r="C4019" s="51">
        <v>1.005</v>
      </c>
      <c r="D4019" s="51">
        <v>68.0</v>
      </c>
      <c r="E4019" s="52" t="s">
        <v>25</v>
      </c>
      <c r="F4019" s="52" t="s">
        <v>26</v>
      </c>
      <c r="G4019" s="53"/>
    </row>
    <row r="4020">
      <c r="A4020" s="49">
        <v>44736.71278084491</v>
      </c>
      <c r="B4020" s="50">
        <v>44736.8377537037</v>
      </c>
      <c r="C4020" s="51">
        <v>1.005</v>
      </c>
      <c r="D4020" s="51">
        <v>68.0</v>
      </c>
      <c r="E4020" s="52" t="s">
        <v>25</v>
      </c>
      <c r="F4020" s="52" t="s">
        <v>26</v>
      </c>
      <c r="G4020" s="53"/>
    </row>
    <row r="4021">
      <c r="A4021" s="49">
        <v>44736.723199988424</v>
      </c>
      <c r="B4021" s="50">
        <v>44736.8481740277</v>
      </c>
      <c r="C4021" s="51">
        <v>1.005</v>
      </c>
      <c r="D4021" s="51">
        <v>68.0</v>
      </c>
      <c r="E4021" s="52" t="s">
        <v>25</v>
      </c>
      <c r="F4021" s="52" t="s">
        <v>26</v>
      </c>
      <c r="G4021" s="53"/>
    </row>
    <row r="4022">
      <c r="A4022" s="49">
        <v>44736.733619363426</v>
      </c>
      <c r="B4022" s="50">
        <v>44736.8585937847</v>
      </c>
      <c r="C4022" s="51">
        <v>1.005</v>
      </c>
      <c r="D4022" s="51">
        <v>68.0</v>
      </c>
      <c r="E4022" s="52" t="s">
        <v>25</v>
      </c>
      <c r="F4022" s="52" t="s">
        <v>26</v>
      </c>
      <c r="G4022" s="53"/>
    </row>
    <row r="4023">
      <c r="A4023" s="49">
        <v>44736.74404064815</v>
      </c>
      <c r="B4023" s="50">
        <v>44736.8690143634</v>
      </c>
      <c r="C4023" s="51">
        <v>1.005</v>
      </c>
      <c r="D4023" s="51">
        <v>68.0</v>
      </c>
      <c r="E4023" s="52" t="s">
        <v>25</v>
      </c>
      <c r="F4023" s="52" t="s">
        <v>26</v>
      </c>
      <c r="G4023" s="53"/>
    </row>
    <row r="4024">
      <c r="A4024" s="49">
        <v>44736.75446070602</v>
      </c>
      <c r="B4024" s="50">
        <v>44736.8794357176</v>
      </c>
      <c r="C4024" s="51">
        <v>1.005</v>
      </c>
      <c r="D4024" s="51">
        <v>68.0</v>
      </c>
      <c r="E4024" s="52" t="s">
        <v>25</v>
      </c>
      <c r="F4024" s="52" t="s">
        <v>26</v>
      </c>
      <c r="G4024" s="53"/>
    </row>
    <row r="4025">
      <c r="A4025" s="49">
        <v>44736.76489074074</v>
      </c>
      <c r="B4025" s="50">
        <v>44736.8898681828</v>
      </c>
      <c r="C4025" s="51">
        <v>1.005</v>
      </c>
      <c r="D4025" s="51">
        <v>68.0</v>
      </c>
      <c r="E4025" s="52" t="s">
        <v>25</v>
      </c>
      <c r="F4025" s="52" t="s">
        <v>26</v>
      </c>
      <c r="G4025" s="53"/>
    </row>
    <row r="4026">
      <c r="A4026" s="49">
        <v>44736.775306446754</v>
      </c>
      <c r="B4026" s="50">
        <v>44736.9002881944</v>
      </c>
      <c r="C4026" s="51">
        <v>1.005</v>
      </c>
      <c r="D4026" s="51">
        <v>68.0</v>
      </c>
      <c r="E4026" s="52" t="s">
        <v>25</v>
      </c>
      <c r="F4026" s="52" t="s">
        <v>26</v>
      </c>
      <c r="G4026" s="53"/>
    </row>
    <row r="4027">
      <c r="A4027" s="49">
        <v>44736.78572648148</v>
      </c>
      <c r="B4027" s="50">
        <v>44736.9107083333</v>
      </c>
      <c r="C4027" s="51">
        <v>1.005</v>
      </c>
      <c r="D4027" s="51">
        <v>68.0</v>
      </c>
      <c r="E4027" s="52" t="s">
        <v>25</v>
      </c>
      <c r="F4027" s="52" t="s">
        <v>26</v>
      </c>
      <c r="G4027" s="53"/>
    </row>
    <row r="4028">
      <c r="A4028" s="49">
        <v>44736.79614494213</v>
      </c>
      <c r="B4028" s="50">
        <v>44736.9211299074</v>
      </c>
      <c r="C4028" s="51">
        <v>1.005</v>
      </c>
      <c r="D4028" s="51">
        <v>68.0</v>
      </c>
      <c r="E4028" s="52" t="s">
        <v>25</v>
      </c>
      <c r="F4028" s="52" t="s">
        <v>26</v>
      </c>
      <c r="G4028" s="53"/>
    </row>
    <row r="4029">
      <c r="A4029" s="49">
        <v>44736.80656662037</v>
      </c>
      <c r="B4029" s="50">
        <v>44736.9315510532</v>
      </c>
      <c r="C4029" s="51">
        <v>1.005</v>
      </c>
      <c r="D4029" s="51">
        <v>68.0</v>
      </c>
      <c r="E4029" s="52" t="s">
        <v>25</v>
      </c>
      <c r="F4029" s="52" t="s">
        <v>26</v>
      </c>
      <c r="G4029" s="53"/>
    </row>
    <row r="4030">
      <c r="A4030" s="49">
        <v>44736.8169978588</v>
      </c>
      <c r="B4030" s="50">
        <v>44736.9419712615</v>
      </c>
      <c r="C4030" s="51">
        <v>1.005</v>
      </c>
      <c r="D4030" s="51">
        <v>68.0</v>
      </c>
      <c r="E4030" s="52" t="s">
        <v>25</v>
      </c>
      <c r="F4030" s="52" t="s">
        <v>26</v>
      </c>
      <c r="G4030" s="53"/>
    </row>
    <row r="4031">
      <c r="A4031" s="49">
        <v>44736.8274090162</v>
      </c>
      <c r="B4031" s="50">
        <v>44736.9523922106</v>
      </c>
      <c r="C4031" s="51">
        <v>1.005</v>
      </c>
      <c r="D4031" s="51">
        <v>68.0</v>
      </c>
      <c r="E4031" s="52" t="s">
        <v>25</v>
      </c>
      <c r="F4031" s="52" t="s">
        <v>26</v>
      </c>
      <c r="G4031" s="53"/>
    </row>
    <row r="4032">
      <c r="A4032" s="49">
        <v>44736.83784057871</v>
      </c>
      <c r="B4032" s="50">
        <v>44736.9628157407</v>
      </c>
      <c r="C4032" s="51">
        <v>1.005</v>
      </c>
      <c r="D4032" s="51">
        <v>68.0</v>
      </c>
      <c r="E4032" s="52" t="s">
        <v>25</v>
      </c>
      <c r="F4032" s="52" t="s">
        <v>26</v>
      </c>
      <c r="G4032" s="53"/>
    </row>
    <row r="4033">
      <c r="A4033" s="49">
        <v>44736.84825859954</v>
      </c>
      <c r="B4033" s="50">
        <v>44736.9732382407</v>
      </c>
      <c r="C4033" s="51">
        <v>1.005</v>
      </c>
      <c r="D4033" s="51">
        <v>68.0</v>
      </c>
      <c r="E4033" s="52" t="s">
        <v>25</v>
      </c>
      <c r="F4033" s="52" t="s">
        <v>26</v>
      </c>
      <c r="G4033" s="53"/>
    </row>
    <row r="4034">
      <c r="A4034" s="49">
        <v>44736.85870302083</v>
      </c>
      <c r="B4034" s="50">
        <v>44736.983660243</v>
      </c>
      <c r="C4034" s="51">
        <v>1.005</v>
      </c>
      <c r="D4034" s="51">
        <v>68.0</v>
      </c>
      <c r="E4034" s="52" t="s">
        <v>25</v>
      </c>
      <c r="F4034" s="52" t="s">
        <v>26</v>
      </c>
      <c r="G4034" s="53"/>
    </row>
    <row r="4035">
      <c r="A4035" s="49">
        <v>44736.86911319444</v>
      </c>
      <c r="B4035" s="50">
        <v>44736.9940804514</v>
      </c>
      <c r="C4035" s="51">
        <v>1.005</v>
      </c>
      <c r="D4035" s="51">
        <v>68.0</v>
      </c>
      <c r="E4035" s="52" t="s">
        <v>25</v>
      </c>
      <c r="F4035" s="52" t="s">
        <v>26</v>
      </c>
      <c r="G4035" s="53"/>
    </row>
    <row r="4036">
      <c r="A4036" s="49">
        <v>44736.879527060184</v>
      </c>
      <c r="B4036" s="50">
        <v>44737.0045019213</v>
      </c>
      <c r="C4036" s="51">
        <v>1.005</v>
      </c>
      <c r="D4036" s="51">
        <v>68.0</v>
      </c>
      <c r="E4036" s="52" t="s">
        <v>25</v>
      </c>
      <c r="F4036" s="52" t="s">
        <v>26</v>
      </c>
      <c r="G4036" s="53"/>
    </row>
    <row r="4037">
      <c r="A4037" s="49">
        <v>44736.88995563657</v>
      </c>
      <c r="B4037" s="50">
        <v>44737.0149336805</v>
      </c>
      <c r="C4037" s="51">
        <v>1.005</v>
      </c>
      <c r="D4037" s="51">
        <v>68.0</v>
      </c>
      <c r="E4037" s="52" t="s">
        <v>25</v>
      </c>
      <c r="F4037" s="52" t="s">
        <v>26</v>
      </c>
      <c r="G4037" s="53"/>
    </row>
    <row r="4038">
      <c r="A4038" s="49">
        <v>44736.90037451389</v>
      </c>
      <c r="B4038" s="50">
        <v>44737.0253550463</v>
      </c>
      <c r="C4038" s="51">
        <v>1.005</v>
      </c>
      <c r="D4038" s="51">
        <v>68.0</v>
      </c>
      <c r="E4038" s="52" t="s">
        <v>25</v>
      </c>
      <c r="F4038" s="52" t="s">
        <v>26</v>
      </c>
      <c r="G4038" s="53"/>
    </row>
    <row r="4039">
      <c r="A4039" s="49">
        <v>44736.9108034838</v>
      </c>
      <c r="B4039" s="50">
        <v>44737.035776493</v>
      </c>
      <c r="C4039" s="51">
        <v>1.005</v>
      </c>
      <c r="D4039" s="51">
        <v>68.0</v>
      </c>
      <c r="E4039" s="52" t="s">
        <v>25</v>
      </c>
      <c r="F4039" s="52" t="s">
        <v>26</v>
      </c>
      <c r="G4039" s="53"/>
    </row>
    <row r="4040">
      <c r="A4040" s="49">
        <v>44736.92126231482</v>
      </c>
      <c r="B4040" s="50">
        <v>44737.0462324074</v>
      </c>
      <c r="C4040" s="51">
        <v>1.005</v>
      </c>
      <c r="D4040" s="51">
        <v>68.0</v>
      </c>
      <c r="E4040" s="52" t="s">
        <v>25</v>
      </c>
      <c r="F4040" s="52" t="s">
        <v>26</v>
      </c>
      <c r="G4040" s="53"/>
    </row>
    <row r="4041">
      <c r="A4041" s="49">
        <v>44736.931680856476</v>
      </c>
      <c r="B4041" s="50">
        <v>44737.0566536689</v>
      </c>
      <c r="C4041" s="51">
        <v>1.005</v>
      </c>
      <c r="D4041" s="51">
        <v>68.0</v>
      </c>
      <c r="E4041" s="52" t="s">
        <v>25</v>
      </c>
      <c r="F4041" s="52" t="s">
        <v>26</v>
      </c>
      <c r="G4041" s="53"/>
    </row>
    <row r="4042">
      <c r="A4042" s="49">
        <v>44736.94209564815</v>
      </c>
      <c r="B4042" s="50">
        <v>44737.0670771296</v>
      </c>
      <c r="C4042" s="51">
        <v>1.005</v>
      </c>
      <c r="D4042" s="51">
        <v>68.0</v>
      </c>
      <c r="E4042" s="52" t="s">
        <v>25</v>
      </c>
      <c r="F4042" s="52" t="s">
        <v>26</v>
      </c>
      <c r="G4042" s="53"/>
    </row>
    <row r="4043">
      <c r="A4043" s="49">
        <v>44736.95252402777</v>
      </c>
      <c r="B4043" s="50">
        <v>44737.0774986226</v>
      </c>
      <c r="C4043" s="51">
        <v>1.005</v>
      </c>
      <c r="D4043" s="51">
        <v>68.0</v>
      </c>
      <c r="E4043" s="52" t="s">
        <v>25</v>
      </c>
      <c r="F4043" s="52" t="s">
        <v>26</v>
      </c>
      <c r="G4043" s="53"/>
    </row>
    <row r="4044">
      <c r="A4044" s="49">
        <v>44736.962944189814</v>
      </c>
      <c r="B4044" s="50">
        <v>44737.0879192013</v>
      </c>
      <c r="C4044" s="51">
        <v>1.005</v>
      </c>
      <c r="D4044" s="51">
        <v>68.0</v>
      </c>
      <c r="E4044" s="52" t="s">
        <v>25</v>
      </c>
      <c r="F4044" s="52" t="s">
        <v>26</v>
      </c>
      <c r="G4044" s="53"/>
    </row>
    <row r="4045">
      <c r="A4045" s="49">
        <v>44736.973365937505</v>
      </c>
      <c r="B4045" s="50">
        <v>44737.0983402314</v>
      </c>
      <c r="C4045" s="51">
        <v>1.005</v>
      </c>
      <c r="D4045" s="51">
        <v>68.0</v>
      </c>
      <c r="E4045" s="52" t="s">
        <v>25</v>
      </c>
      <c r="F4045" s="52" t="s">
        <v>26</v>
      </c>
      <c r="G4045" s="53"/>
    </row>
    <row r="4046">
      <c r="A4046" s="49">
        <v>44736.9837865625</v>
      </c>
      <c r="B4046" s="50">
        <v>44737.1087613426</v>
      </c>
      <c r="C4046" s="51">
        <v>1.005</v>
      </c>
      <c r="D4046" s="51">
        <v>69.0</v>
      </c>
      <c r="E4046" s="52" t="s">
        <v>25</v>
      </c>
      <c r="F4046" s="52" t="s">
        <v>26</v>
      </c>
      <c r="G4046" s="53"/>
    </row>
    <row r="4047">
      <c r="A4047" s="49">
        <v>44736.99421222223</v>
      </c>
      <c r="B4047" s="50">
        <v>44737.1191933217</v>
      </c>
      <c r="C4047" s="51">
        <v>1.005</v>
      </c>
      <c r="D4047" s="51">
        <v>69.0</v>
      </c>
      <c r="E4047" s="52" t="s">
        <v>25</v>
      </c>
      <c r="F4047" s="52" t="s">
        <v>26</v>
      </c>
      <c r="G4047" s="53"/>
    </row>
    <row r="4048">
      <c r="A4048" s="49">
        <v>44737.004643078704</v>
      </c>
      <c r="B4048" s="50">
        <v>44737.1296151967</v>
      </c>
      <c r="C4048" s="51">
        <v>1.005</v>
      </c>
      <c r="D4048" s="51">
        <v>69.0</v>
      </c>
      <c r="E4048" s="52" t="s">
        <v>25</v>
      </c>
      <c r="F4048" s="52" t="s">
        <v>26</v>
      </c>
      <c r="G4048" s="53"/>
    </row>
    <row r="4049">
      <c r="A4049" s="49">
        <v>44737.015073125</v>
      </c>
      <c r="B4049" s="50">
        <v>44737.1400473148</v>
      </c>
      <c r="C4049" s="51">
        <v>1.005</v>
      </c>
      <c r="D4049" s="51">
        <v>69.0</v>
      </c>
      <c r="E4049" s="52" t="s">
        <v>25</v>
      </c>
      <c r="F4049" s="52" t="s">
        <v>26</v>
      </c>
      <c r="G4049" s="53"/>
    </row>
    <row r="4050">
      <c r="A4050" s="49">
        <v>44737.025490115746</v>
      </c>
      <c r="B4050" s="50">
        <v>44737.1504694328</v>
      </c>
      <c r="C4050" s="51">
        <v>1.005</v>
      </c>
      <c r="D4050" s="51">
        <v>69.0</v>
      </c>
      <c r="E4050" s="52" t="s">
        <v>25</v>
      </c>
      <c r="F4050" s="52" t="s">
        <v>26</v>
      </c>
      <c r="G4050" s="53"/>
    </row>
    <row r="4051">
      <c r="A4051" s="49">
        <v>44737.03591767361</v>
      </c>
      <c r="B4051" s="50">
        <v>44737.1608900231</v>
      </c>
      <c r="C4051" s="51">
        <v>1.005</v>
      </c>
      <c r="D4051" s="51">
        <v>69.0</v>
      </c>
      <c r="E4051" s="52" t="s">
        <v>25</v>
      </c>
      <c r="F4051" s="52" t="s">
        <v>26</v>
      </c>
      <c r="G4051" s="53"/>
    </row>
    <row r="4052">
      <c r="A4052" s="49">
        <v>44737.04634047454</v>
      </c>
      <c r="B4052" s="50">
        <v>44737.1713109143</v>
      </c>
      <c r="C4052" s="51">
        <v>1.005</v>
      </c>
      <c r="D4052" s="51">
        <v>69.0</v>
      </c>
      <c r="E4052" s="52" t="s">
        <v>25</v>
      </c>
      <c r="F4052" s="52" t="s">
        <v>26</v>
      </c>
      <c r="G4052" s="53"/>
    </row>
    <row r="4053">
      <c r="A4053" s="49">
        <v>44737.05675721065</v>
      </c>
      <c r="B4053" s="50">
        <v>44737.1817428703</v>
      </c>
      <c r="C4053" s="51">
        <v>1.005</v>
      </c>
      <c r="D4053" s="51">
        <v>69.0</v>
      </c>
      <c r="E4053" s="52" t="s">
        <v>25</v>
      </c>
      <c r="F4053" s="52" t="s">
        <v>26</v>
      </c>
      <c r="G4053" s="53"/>
    </row>
    <row r="4054">
      <c r="A4054" s="49">
        <v>44737.067197199074</v>
      </c>
      <c r="B4054" s="50">
        <v>44737.1921648958</v>
      </c>
      <c r="C4054" s="51">
        <v>1.005</v>
      </c>
      <c r="D4054" s="51">
        <v>69.0</v>
      </c>
      <c r="E4054" s="52" t="s">
        <v>25</v>
      </c>
      <c r="F4054" s="52" t="s">
        <v>26</v>
      </c>
      <c r="G4054" s="53"/>
    </row>
    <row r="4055">
      <c r="A4055" s="49">
        <v>44737.07760989583</v>
      </c>
      <c r="B4055" s="50">
        <v>44737.2025871759</v>
      </c>
      <c r="C4055" s="51">
        <v>1.005</v>
      </c>
      <c r="D4055" s="51">
        <v>69.0</v>
      </c>
      <c r="E4055" s="52" t="s">
        <v>25</v>
      </c>
      <c r="F4055" s="52" t="s">
        <v>26</v>
      </c>
      <c r="G4055" s="53"/>
    </row>
    <row r="4056">
      <c r="A4056" s="49">
        <v>44737.08803671296</v>
      </c>
      <c r="B4056" s="50">
        <v>44737.2130202199</v>
      </c>
      <c r="C4056" s="51">
        <v>1.005</v>
      </c>
      <c r="D4056" s="51">
        <v>69.0</v>
      </c>
      <c r="E4056" s="52" t="s">
        <v>25</v>
      </c>
      <c r="F4056" s="52" t="s">
        <v>26</v>
      </c>
      <c r="G4056" s="53"/>
    </row>
    <row r="4057">
      <c r="A4057" s="49">
        <v>44737.098482974536</v>
      </c>
      <c r="B4057" s="50">
        <v>44737.2234542014</v>
      </c>
      <c r="C4057" s="51">
        <v>1.005</v>
      </c>
      <c r="D4057" s="51">
        <v>69.0</v>
      </c>
      <c r="E4057" s="52" t="s">
        <v>25</v>
      </c>
      <c r="F4057" s="52" t="s">
        <v>26</v>
      </c>
      <c r="G4057" s="53"/>
    </row>
    <row r="4058">
      <c r="A4058" s="49">
        <v>44737.108899328705</v>
      </c>
      <c r="B4058" s="50">
        <v>44737.2338752893</v>
      </c>
      <c r="C4058" s="51">
        <v>1.005</v>
      </c>
      <c r="D4058" s="51">
        <v>69.0</v>
      </c>
      <c r="E4058" s="52" t="s">
        <v>25</v>
      </c>
      <c r="F4058" s="52" t="s">
        <v>26</v>
      </c>
      <c r="G4058" s="53"/>
    </row>
    <row r="4059">
      <c r="A4059" s="49">
        <v>44737.119317731485</v>
      </c>
      <c r="B4059" s="50">
        <v>44737.2442981828</v>
      </c>
      <c r="C4059" s="51">
        <v>1.005</v>
      </c>
      <c r="D4059" s="51">
        <v>69.0</v>
      </c>
      <c r="E4059" s="52" t="s">
        <v>25</v>
      </c>
      <c r="F4059" s="52" t="s">
        <v>26</v>
      </c>
      <c r="G4059" s="53"/>
    </row>
    <row r="4060">
      <c r="A4060" s="49">
        <v>44737.12973961806</v>
      </c>
      <c r="B4060" s="50">
        <v>44737.2547197569</v>
      </c>
      <c r="C4060" s="51">
        <v>1.005</v>
      </c>
      <c r="D4060" s="51">
        <v>69.0</v>
      </c>
      <c r="E4060" s="52" t="s">
        <v>25</v>
      </c>
      <c r="F4060" s="52" t="s">
        <v>26</v>
      </c>
      <c r="G4060" s="53"/>
    </row>
    <row r="4061">
      <c r="A4061" s="49">
        <v>44737.14016574074</v>
      </c>
      <c r="B4061" s="50">
        <v>44737.2651417245</v>
      </c>
      <c r="C4061" s="51">
        <v>1.005</v>
      </c>
      <c r="D4061" s="51">
        <v>69.0</v>
      </c>
      <c r="E4061" s="52" t="s">
        <v>25</v>
      </c>
      <c r="F4061" s="52" t="s">
        <v>26</v>
      </c>
      <c r="G4061" s="53"/>
    </row>
    <row r="4062">
      <c r="A4062" s="49">
        <v>44737.150587372686</v>
      </c>
      <c r="B4062" s="50">
        <v>44737.2755625</v>
      </c>
      <c r="C4062" s="51">
        <v>1.004</v>
      </c>
      <c r="D4062" s="51">
        <v>69.0</v>
      </c>
      <c r="E4062" s="52" t="s">
        <v>25</v>
      </c>
      <c r="F4062" s="52" t="s">
        <v>26</v>
      </c>
      <c r="G4062" s="53"/>
    </row>
    <row r="4063">
      <c r="A4063" s="49">
        <v>44737.1610178588</v>
      </c>
      <c r="B4063" s="50">
        <v>44737.28599625</v>
      </c>
      <c r="C4063" s="51">
        <v>1.005</v>
      </c>
      <c r="D4063" s="51">
        <v>69.0</v>
      </c>
      <c r="E4063" s="52" t="s">
        <v>25</v>
      </c>
      <c r="F4063" s="52" t="s">
        <v>26</v>
      </c>
      <c r="G4063" s="53"/>
    </row>
    <row r="4064">
      <c r="A4064" s="49">
        <v>44737.171442743056</v>
      </c>
      <c r="B4064" s="50">
        <v>44737.2964153125</v>
      </c>
      <c r="C4064" s="51">
        <v>1.005</v>
      </c>
      <c r="D4064" s="51">
        <v>69.0</v>
      </c>
      <c r="E4064" s="52" t="s">
        <v>25</v>
      </c>
      <c r="F4064" s="52" t="s">
        <v>26</v>
      </c>
      <c r="G4064" s="53"/>
    </row>
    <row r="4065">
      <c r="A4065" s="49">
        <v>44737.181858993055</v>
      </c>
      <c r="B4065" s="50">
        <v>44737.3068380787</v>
      </c>
      <c r="C4065" s="51">
        <v>1.005</v>
      </c>
      <c r="D4065" s="51">
        <v>69.0</v>
      </c>
      <c r="E4065" s="52" t="s">
        <v>25</v>
      </c>
      <c r="F4065" s="52" t="s">
        <v>26</v>
      </c>
      <c r="G4065" s="53"/>
    </row>
    <row r="4066">
      <c r="A4066" s="49">
        <v>44737.192286527774</v>
      </c>
      <c r="B4066" s="50">
        <v>44737.317259699</v>
      </c>
      <c r="C4066" s="51">
        <v>1.005</v>
      </c>
      <c r="D4066" s="51">
        <v>69.0</v>
      </c>
      <c r="E4066" s="52" t="s">
        <v>25</v>
      </c>
      <c r="F4066" s="52" t="s">
        <v>26</v>
      </c>
      <c r="G4066" s="53"/>
    </row>
    <row r="4067">
      <c r="A4067" s="49">
        <v>44737.20270768518</v>
      </c>
      <c r="B4067" s="50">
        <v>44737.3276810185</v>
      </c>
      <c r="C4067" s="51">
        <v>1.005</v>
      </c>
      <c r="D4067" s="51">
        <v>69.0</v>
      </c>
      <c r="E4067" s="52" t="s">
        <v>25</v>
      </c>
      <c r="F4067" s="52" t="s">
        <v>26</v>
      </c>
      <c r="G4067" s="53"/>
    </row>
    <row r="4068">
      <c r="A4068" s="49">
        <v>44737.21313130787</v>
      </c>
      <c r="B4068" s="50">
        <v>44737.3381024305</v>
      </c>
      <c r="C4068" s="51">
        <v>1.005</v>
      </c>
      <c r="D4068" s="51">
        <v>69.0</v>
      </c>
      <c r="E4068" s="52" t="s">
        <v>25</v>
      </c>
      <c r="F4068" s="52" t="s">
        <v>26</v>
      </c>
      <c r="G4068" s="53"/>
    </row>
    <row r="4069">
      <c r="A4069" s="49">
        <v>44737.2235469213</v>
      </c>
      <c r="B4069" s="50">
        <v>44737.3485245138</v>
      </c>
      <c r="C4069" s="51">
        <v>1.005</v>
      </c>
      <c r="D4069" s="51">
        <v>69.0</v>
      </c>
      <c r="E4069" s="52" t="s">
        <v>25</v>
      </c>
      <c r="F4069" s="52" t="s">
        <v>26</v>
      </c>
      <c r="G4069" s="53"/>
    </row>
    <row r="4070">
      <c r="A4070" s="49">
        <v>44737.23397269676</v>
      </c>
      <c r="B4070" s="50">
        <v>44737.3589455902</v>
      </c>
      <c r="C4070" s="51">
        <v>1.005</v>
      </c>
      <c r="D4070" s="51">
        <v>69.0</v>
      </c>
      <c r="E4070" s="52" t="s">
        <v>25</v>
      </c>
      <c r="F4070" s="52" t="s">
        <v>26</v>
      </c>
      <c r="G4070" s="53"/>
    </row>
    <row r="4071">
      <c r="A4071" s="49">
        <v>44737.24438413195</v>
      </c>
      <c r="B4071" s="50">
        <v>44737.3693645601</v>
      </c>
      <c r="C4071" s="51">
        <v>1.005</v>
      </c>
      <c r="D4071" s="51">
        <v>69.0</v>
      </c>
      <c r="E4071" s="52" t="s">
        <v>25</v>
      </c>
      <c r="F4071" s="52" t="s">
        <v>26</v>
      </c>
      <c r="G4071" s="53"/>
    </row>
    <row r="4072">
      <c r="A4072" s="49">
        <v>44737.254811736115</v>
      </c>
      <c r="B4072" s="50">
        <v>44737.379784456</v>
      </c>
      <c r="C4072" s="51">
        <v>1.005</v>
      </c>
      <c r="D4072" s="51">
        <v>69.0</v>
      </c>
      <c r="E4072" s="52" t="s">
        <v>25</v>
      </c>
      <c r="F4072" s="52" t="s">
        <v>26</v>
      </c>
      <c r="G4072" s="53"/>
    </row>
    <row r="4073">
      <c r="A4073" s="49">
        <v>44737.26522199074</v>
      </c>
      <c r="B4073" s="50">
        <v>44737.3902070138</v>
      </c>
      <c r="C4073" s="51">
        <v>1.005</v>
      </c>
      <c r="D4073" s="51">
        <v>69.0</v>
      </c>
      <c r="E4073" s="52" t="s">
        <v>25</v>
      </c>
      <c r="F4073" s="52" t="s">
        <v>26</v>
      </c>
      <c r="G4073" s="53"/>
    </row>
    <row r="4074">
      <c r="A4074" s="49">
        <v>44737.27566050926</v>
      </c>
      <c r="B4074" s="50">
        <v>44737.4006266088</v>
      </c>
      <c r="C4074" s="51">
        <v>1.005</v>
      </c>
      <c r="D4074" s="51">
        <v>69.0</v>
      </c>
      <c r="E4074" s="52" t="s">
        <v>25</v>
      </c>
      <c r="F4074" s="52" t="s">
        <v>26</v>
      </c>
      <c r="G4074" s="53"/>
    </row>
    <row r="4075">
      <c r="A4075" s="49">
        <v>44737.28607207176</v>
      </c>
      <c r="B4075" s="50">
        <v>44737.4110458564</v>
      </c>
      <c r="C4075" s="51">
        <v>1.005</v>
      </c>
      <c r="D4075" s="51">
        <v>69.0</v>
      </c>
      <c r="E4075" s="52" t="s">
        <v>25</v>
      </c>
      <c r="F4075" s="52" t="s">
        <v>26</v>
      </c>
      <c r="G4075" s="53"/>
    </row>
    <row r="4076">
      <c r="A4076" s="49">
        <v>44737.29649565972</v>
      </c>
      <c r="B4076" s="50">
        <v>44737.4214670254</v>
      </c>
      <c r="C4076" s="51">
        <v>1.005</v>
      </c>
      <c r="D4076" s="51">
        <v>69.0</v>
      </c>
      <c r="E4076" s="52" t="s">
        <v>25</v>
      </c>
      <c r="F4076" s="52" t="s">
        <v>26</v>
      </c>
      <c r="G4076" s="53"/>
    </row>
    <row r="4077">
      <c r="A4077" s="49">
        <v>44737.30690732639</v>
      </c>
      <c r="B4077" s="50">
        <v>44737.4318891088</v>
      </c>
      <c r="C4077" s="51">
        <v>1.005</v>
      </c>
      <c r="D4077" s="51">
        <v>69.0</v>
      </c>
      <c r="E4077" s="52" t="s">
        <v>25</v>
      </c>
      <c r="F4077" s="52" t="s">
        <v>26</v>
      </c>
      <c r="G4077" s="53"/>
    </row>
    <row r="4078">
      <c r="A4078" s="49">
        <v>44737.31733775463</v>
      </c>
      <c r="B4078" s="50">
        <v>44737.4423113541</v>
      </c>
      <c r="C4078" s="51">
        <v>1.005</v>
      </c>
      <c r="D4078" s="51">
        <v>69.0</v>
      </c>
      <c r="E4078" s="52" t="s">
        <v>25</v>
      </c>
      <c r="F4078" s="52" t="s">
        <v>26</v>
      </c>
      <c r="G4078" s="53"/>
    </row>
    <row r="4079">
      <c r="A4079" s="49">
        <v>44737.32775902778</v>
      </c>
      <c r="B4079" s="50">
        <v>44737.4527341435</v>
      </c>
      <c r="C4079" s="51">
        <v>1.005</v>
      </c>
      <c r="D4079" s="51">
        <v>69.0</v>
      </c>
      <c r="E4079" s="52" t="s">
        <v>25</v>
      </c>
      <c r="F4079" s="52" t="s">
        <v>26</v>
      </c>
      <c r="G4079" s="53"/>
    </row>
    <row r="4080">
      <c r="A4080" s="49">
        <v>44737.33817320602</v>
      </c>
      <c r="B4080" s="50">
        <v>44737.4631558912</v>
      </c>
      <c r="C4080" s="51">
        <v>1.005</v>
      </c>
      <c r="D4080" s="51">
        <v>69.0</v>
      </c>
      <c r="E4080" s="52" t="s">
        <v>25</v>
      </c>
      <c r="F4080" s="52" t="s">
        <v>26</v>
      </c>
      <c r="G4080" s="53"/>
    </row>
    <row r="4081">
      <c r="A4081" s="49">
        <v>44737.34861528935</v>
      </c>
      <c r="B4081" s="50">
        <v>44737.4735995717</v>
      </c>
      <c r="C4081" s="51">
        <v>1.005</v>
      </c>
      <c r="D4081" s="51">
        <v>69.0</v>
      </c>
      <c r="E4081" s="52" t="s">
        <v>25</v>
      </c>
      <c r="F4081" s="52" t="s">
        <v>26</v>
      </c>
      <c r="G4081" s="53"/>
    </row>
    <row r="4082">
      <c r="A4082" s="49">
        <v>44737.35905025463</v>
      </c>
      <c r="B4082" s="50">
        <v>44737.4840317129</v>
      </c>
      <c r="C4082" s="51">
        <v>1.005</v>
      </c>
      <c r="D4082" s="51">
        <v>69.0</v>
      </c>
      <c r="E4082" s="52" t="s">
        <v>25</v>
      </c>
      <c r="F4082" s="52" t="s">
        <v>26</v>
      </c>
      <c r="G4082" s="53"/>
    </row>
    <row r="4083">
      <c r="A4083" s="49">
        <v>44737.36947884259</v>
      </c>
      <c r="B4083" s="50">
        <v>44737.4944531713</v>
      </c>
      <c r="C4083" s="51">
        <v>1.005</v>
      </c>
      <c r="D4083" s="51">
        <v>69.0</v>
      </c>
      <c r="E4083" s="52" t="s">
        <v>25</v>
      </c>
      <c r="F4083" s="52" t="s">
        <v>26</v>
      </c>
      <c r="G4083" s="53"/>
    </row>
    <row r="4084">
      <c r="A4084" s="49">
        <v>44737.37989581018</v>
      </c>
      <c r="B4084" s="50">
        <v>44737.5048747569</v>
      </c>
      <c r="C4084" s="51">
        <v>1.005</v>
      </c>
      <c r="D4084" s="51">
        <v>69.0</v>
      </c>
      <c r="E4084" s="52" t="s">
        <v>25</v>
      </c>
      <c r="F4084" s="52" t="s">
        <v>26</v>
      </c>
      <c r="G4084" s="53"/>
    </row>
    <row r="4085">
      <c r="A4085" s="49">
        <v>44737.390327175926</v>
      </c>
      <c r="B4085" s="50">
        <v>44737.5153084259</v>
      </c>
      <c r="C4085" s="51">
        <v>1.005</v>
      </c>
      <c r="D4085" s="51">
        <v>69.0</v>
      </c>
      <c r="E4085" s="52" t="s">
        <v>25</v>
      </c>
      <c r="F4085" s="52" t="s">
        <v>26</v>
      </c>
      <c r="G4085" s="53"/>
    </row>
    <row r="4086">
      <c r="A4086" s="49">
        <v>44737.40075077546</v>
      </c>
      <c r="B4086" s="50">
        <v>44737.5257303819</v>
      </c>
      <c r="C4086" s="51">
        <v>1.005</v>
      </c>
      <c r="D4086" s="51">
        <v>69.0</v>
      </c>
      <c r="E4086" s="52" t="s">
        <v>25</v>
      </c>
      <c r="F4086" s="52" t="s">
        <v>26</v>
      </c>
      <c r="G4086" s="53"/>
    </row>
    <row r="4087">
      <c r="A4087" s="49">
        <v>44737.41118793981</v>
      </c>
      <c r="B4087" s="50">
        <v>44737.53616228</v>
      </c>
      <c r="C4087" s="51">
        <v>1.005</v>
      </c>
      <c r="D4087" s="51">
        <v>69.0</v>
      </c>
      <c r="E4087" s="52" t="s">
        <v>25</v>
      </c>
      <c r="F4087" s="52" t="s">
        <v>26</v>
      </c>
      <c r="G4087" s="53"/>
    </row>
    <row r="4088">
      <c r="A4088" s="49">
        <v>44737.421609467594</v>
      </c>
      <c r="B4088" s="50">
        <v>44737.5465850115</v>
      </c>
      <c r="C4088" s="51">
        <v>1.005</v>
      </c>
      <c r="D4088" s="51">
        <v>69.0</v>
      </c>
      <c r="E4088" s="52" t="s">
        <v>25</v>
      </c>
      <c r="F4088" s="52" t="s">
        <v>26</v>
      </c>
      <c r="G4088" s="53"/>
    </row>
    <row r="4089">
      <c r="A4089" s="49">
        <v>44737.432033969904</v>
      </c>
      <c r="B4089" s="50">
        <v>44737.5570074305</v>
      </c>
      <c r="C4089" s="51">
        <v>1.005</v>
      </c>
      <c r="D4089" s="51">
        <v>69.0</v>
      </c>
      <c r="E4089" s="52" t="s">
        <v>25</v>
      </c>
      <c r="F4089" s="52" t="s">
        <v>26</v>
      </c>
      <c r="G4089" s="53"/>
    </row>
    <row r="4090">
      <c r="A4090" s="49">
        <v>44737.442447905094</v>
      </c>
      <c r="B4090" s="50">
        <v>44737.567428449</v>
      </c>
      <c r="C4090" s="51">
        <v>1.005</v>
      </c>
      <c r="D4090" s="51">
        <v>69.0</v>
      </c>
      <c r="E4090" s="52" t="s">
        <v>25</v>
      </c>
      <c r="F4090" s="52" t="s">
        <v>26</v>
      </c>
      <c r="G4090" s="53"/>
    </row>
    <row r="4091">
      <c r="A4091" s="49">
        <v>44737.452874305556</v>
      </c>
      <c r="B4091" s="50">
        <v>44737.5778494328</v>
      </c>
      <c r="C4091" s="51">
        <v>1.005</v>
      </c>
      <c r="D4091" s="51">
        <v>69.0</v>
      </c>
      <c r="E4091" s="52" t="s">
        <v>25</v>
      </c>
      <c r="F4091" s="52" t="s">
        <v>26</v>
      </c>
      <c r="G4091" s="53"/>
    </row>
    <row r="4092">
      <c r="A4092" s="49">
        <v>44737.46329425926</v>
      </c>
      <c r="B4092" s="50">
        <v>44737.5882707986</v>
      </c>
      <c r="C4092" s="51">
        <v>1.005</v>
      </c>
      <c r="D4092" s="51">
        <v>69.0</v>
      </c>
      <c r="E4092" s="52" t="s">
        <v>25</v>
      </c>
      <c r="F4092" s="52" t="s">
        <v>26</v>
      </c>
      <c r="G4092" s="53"/>
    </row>
    <row r="4093">
      <c r="A4093" s="49">
        <v>44737.473714444444</v>
      </c>
      <c r="B4093" s="50">
        <v>44737.5986917245</v>
      </c>
      <c r="C4093" s="51">
        <v>1.005</v>
      </c>
      <c r="D4093" s="51">
        <v>69.0</v>
      </c>
      <c r="E4093" s="52" t="s">
        <v>25</v>
      </c>
      <c r="F4093" s="52" t="s">
        <v>26</v>
      </c>
      <c r="G4093" s="53"/>
    </row>
    <row r="4094">
      <c r="A4094" s="49">
        <v>44737.484129502314</v>
      </c>
      <c r="B4094" s="50">
        <v>44737.6091127199</v>
      </c>
      <c r="C4094" s="51">
        <v>1.005</v>
      </c>
      <c r="D4094" s="51">
        <v>69.0</v>
      </c>
      <c r="E4094" s="52" t="s">
        <v>25</v>
      </c>
      <c r="F4094" s="52" t="s">
        <v>26</v>
      </c>
      <c r="G4094" s="53"/>
    </row>
    <row r="4095">
      <c r="A4095" s="49">
        <v>44737.4945824537</v>
      </c>
      <c r="B4095" s="50">
        <v>44737.6195566319</v>
      </c>
      <c r="C4095" s="51">
        <v>1.005</v>
      </c>
      <c r="D4095" s="51">
        <v>69.0</v>
      </c>
      <c r="E4095" s="52" t="s">
        <v>25</v>
      </c>
      <c r="F4095" s="52" t="s">
        <v>26</v>
      </c>
      <c r="G4095" s="53"/>
    </row>
    <row r="4096">
      <c r="A4096" s="49">
        <v>44737.50500414352</v>
      </c>
      <c r="B4096" s="50">
        <v>44737.6299773032</v>
      </c>
      <c r="C4096" s="51">
        <v>1.005</v>
      </c>
      <c r="D4096" s="51">
        <v>69.0</v>
      </c>
      <c r="E4096" s="52" t="s">
        <v>25</v>
      </c>
      <c r="F4096" s="52" t="s">
        <v>26</v>
      </c>
      <c r="G4096" s="53"/>
    </row>
    <row r="4097">
      <c r="A4097" s="49">
        <v>44737.51542275463</v>
      </c>
      <c r="B4097" s="50">
        <v>44737.6403965046</v>
      </c>
      <c r="C4097" s="51">
        <v>1.005</v>
      </c>
      <c r="D4097" s="51">
        <v>69.0</v>
      </c>
      <c r="E4097" s="52" t="s">
        <v>25</v>
      </c>
      <c r="F4097" s="52" t="s">
        <v>26</v>
      </c>
      <c r="G4097" s="53"/>
    </row>
    <row r="4098">
      <c r="A4098" s="49">
        <v>44737.525841967596</v>
      </c>
      <c r="B4098" s="50">
        <v>44737.6508187615</v>
      </c>
      <c r="C4098" s="51">
        <v>1.004</v>
      </c>
      <c r="D4098" s="51">
        <v>69.0</v>
      </c>
      <c r="E4098" s="52" t="s">
        <v>25</v>
      </c>
      <c r="F4098" s="52" t="s">
        <v>26</v>
      </c>
      <c r="G4098" s="53"/>
    </row>
    <row r="4099">
      <c r="A4099" s="49">
        <v>44737.53628703704</v>
      </c>
      <c r="B4099" s="50">
        <v>44737.6612636458</v>
      </c>
      <c r="C4099" s="51">
        <v>1.005</v>
      </c>
      <c r="D4099" s="51">
        <v>69.0</v>
      </c>
      <c r="E4099" s="52" t="s">
        <v>25</v>
      </c>
      <c r="F4099" s="52" t="s">
        <v>26</v>
      </c>
      <c r="G4099" s="53"/>
    </row>
    <row r="4100">
      <c r="A4100" s="49">
        <v>44737.54670673611</v>
      </c>
      <c r="B4100" s="50">
        <v>44737.671685081</v>
      </c>
      <c r="C4100" s="51">
        <v>1.005</v>
      </c>
      <c r="D4100" s="51">
        <v>69.0</v>
      </c>
      <c r="E4100" s="52" t="s">
        <v>25</v>
      </c>
      <c r="F4100" s="52" t="s">
        <v>26</v>
      </c>
      <c r="G4100" s="53"/>
    </row>
    <row r="4101">
      <c r="A4101" s="49">
        <v>44737.55712179399</v>
      </c>
      <c r="B4101" s="50">
        <v>44737.6821057523</v>
      </c>
      <c r="C4101" s="51">
        <v>1.005</v>
      </c>
      <c r="D4101" s="51">
        <v>69.0</v>
      </c>
      <c r="E4101" s="52" t="s">
        <v>25</v>
      </c>
      <c r="F4101" s="52" t="s">
        <v>26</v>
      </c>
      <c r="G4101" s="53"/>
    </row>
    <row r="4102">
      <c r="A4102" s="49">
        <v>44737.56755119213</v>
      </c>
      <c r="B4102" s="50">
        <v>44737.6925257754</v>
      </c>
      <c r="C4102" s="51">
        <v>1.005</v>
      </c>
      <c r="D4102" s="51">
        <v>69.0</v>
      </c>
      <c r="E4102" s="52" t="s">
        <v>25</v>
      </c>
      <c r="F4102" s="52" t="s">
        <v>26</v>
      </c>
      <c r="G4102" s="53"/>
    </row>
    <row r="4103">
      <c r="A4103" s="49">
        <v>44737.577971377315</v>
      </c>
      <c r="B4103" s="50">
        <v>44737.7029473263</v>
      </c>
      <c r="C4103" s="51">
        <v>1.005</v>
      </c>
      <c r="D4103" s="51">
        <v>69.0</v>
      </c>
      <c r="E4103" s="52" t="s">
        <v>25</v>
      </c>
      <c r="F4103" s="52" t="s">
        <v>26</v>
      </c>
      <c r="G4103" s="53"/>
    </row>
    <row r="4104">
      <c r="A4104" s="49">
        <v>44737.5883894213</v>
      </c>
      <c r="B4104" s="50">
        <v>44737.7133702662</v>
      </c>
      <c r="C4104" s="51">
        <v>1.005</v>
      </c>
      <c r="D4104" s="51">
        <v>69.0</v>
      </c>
      <c r="E4104" s="52" t="s">
        <v>25</v>
      </c>
      <c r="F4104" s="52" t="s">
        <v>26</v>
      </c>
      <c r="G4104" s="53"/>
    </row>
    <row r="4105">
      <c r="A4105" s="49">
        <v>44737.59881516204</v>
      </c>
      <c r="B4105" s="50">
        <v>44737.7237904166</v>
      </c>
      <c r="C4105" s="51">
        <v>1.005</v>
      </c>
      <c r="D4105" s="51">
        <v>69.0</v>
      </c>
      <c r="E4105" s="52" t="s">
        <v>25</v>
      </c>
      <c r="F4105" s="52" t="s">
        <v>26</v>
      </c>
      <c r="G4105" s="53"/>
    </row>
    <row r="4106">
      <c r="A4106" s="49">
        <v>44737.60923991898</v>
      </c>
      <c r="B4106" s="50">
        <v>44737.7342122569</v>
      </c>
      <c r="C4106" s="51">
        <v>1.005</v>
      </c>
      <c r="D4106" s="51">
        <v>69.0</v>
      </c>
      <c r="E4106" s="52" t="s">
        <v>25</v>
      </c>
      <c r="F4106" s="52" t="s">
        <v>26</v>
      </c>
      <c r="G4106" s="53"/>
    </row>
    <row r="4107">
      <c r="A4107" s="49">
        <v>44737.61965689815</v>
      </c>
      <c r="B4107" s="50">
        <v>44737.7446318287</v>
      </c>
      <c r="C4107" s="51">
        <v>1.005</v>
      </c>
      <c r="D4107" s="51">
        <v>69.0</v>
      </c>
      <c r="E4107" s="52" t="s">
        <v>25</v>
      </c>
      <c r="F4107" s="52" t="s">
        <v>26</v>
      </c>
      <c r="G4107" s="53"/>
    </row>
    <row r="4108">
      <c r="A4108" s="49">
        <v>44737.630075925925</v>
      </c>
      <c r="B4108" s="50">
        <v>44737.7550546875</v>
      </c>
      <c r="C4108" s="51">
        <v>1.005</v>
      </c>
      <c r="D4108" s="51">
        <v>69.0</v>
      </c>
      <c r="E4108" s="52" t="s">
        <v>25</v>
      </c>
      <c r="F4108" s="52" t="s">
        <v>26</v>
      </c>
      <c r="G4108" s="53"/>
    </row>
    <row r="4109">
      <c r="A4109" s="49">
        <v>44737.64055797453</v>
      </c>
      <c r="B4109" s="50">
        <v>44737.7654882754</v>
      </c>
      <c r="C4109" s="51">
        <v>1.005</v>
      </c>
      <c r="D4109" s="51">
        <v>69.0</v>
      </c>
      <c r="E4109" s="52" t="s">
        <v>25</v>
      </c>
      <c r="F4109" s="52" t="s">
        <v>26</v>
      </c>
      <c r="G4109" s="53"/>
    </row>
    <row r="4110">
      <c r="A4110" s="49">
        <v>44737.65092425926</v>
      </c>
      <c r="B4110" s="50">
        <v>44737.7759084722</v>
      </c>
      <c r="C4110" s="51">
        <v>1.005</v>
      </c>
      <c r="D4110" s="51">
        <v>69.0</v>
      </c>
      <c r="E4110" s="52" t="s">
        <v>25</v>
      </c>
      <c r="F4110" s="52" t="s">
        <v>26</v>
      </c>
      <c r="G4110" s="53"/>
    </row>
    <row r="4111">
      <c r="A4111" s="49">
        <v>44737.66134520833</v>
      </c>
      <c r="B4111" s="50">
        <v>44737.7863286226</v>
      </c>
      <c r="C4111" s="51">
        <v>1.005</v>
      </c>
      <c r="D4111" s="51">
        <v>69.0</v>
      </c>
      <c r="E4111" s="52" t="s">
        <v>25</v>
      </c>
      <c r="F4111" s="52" t="s">
        <v>26</v>
      </c>
      <c r="G4111" s="53"/>
    </row>
    <row r="4112">
      <c r="A4112" s="49">
        <v>44737.67177533565</v>
      </c>
      <c r="B4112" s="50">
        <v>44737.7967504745</v>
      </c>
      <c r="C4112" s="51">
        <v>1.005</v>
      </c>
      <c r="D4112" s="51">
        <v>69.0</v>
      </c>
      <c r="E4112" s="52" t="s">
        <v>25</v>
      </c>
      <c r="F4112" s="52" t="s">
        <v>26</v>
      </c>
      <c r="G4112" s="53"/>
    </row>
    <row r="4113">
      <c r="A4113" s="49">
        <v>44737.68219648148</v>
      </c>
      <c r="B4113" s="50">
        <v>44737.8071713425</v>
      </c>
      <c r="C4113" s="51">
        <v>1.005</v>
      </c>
      <c r="D4113" s="51">
        <v>69.0</v>
      </c>
      <c r="E4113" s="52" t="s">
        <v>25</v>
      </c>
      <c r="F4113" s="52" t="s">
        <v>26</v>
      </c>
      <c r="G4113" s="53"/>
    </row>
    <row r="4114">
      <c r="A4114" s="49">
        <v>44737.69262053241</v>
      </c>
      <c r="B4114" s="50">
        <v>44737.8175920486</v>
      </c>
      <c r="C4114" s="51">
        <v>1.005</v>
      </c>
      <c r="D4114" s="51">
        <v>69.0</v>
      </c>
      <c r="E4114" s="52" t="s">
        <v>25</v>
      </c>
      <c r="F4114" s="52" t="s">
        <v>26</v>
      </c>
      <c r="G4114" s="53"/>
    </row>
    <row r="4115">
      <c r="A4115" s="49">
        <v>44737.70303684028</v>
      </c>
      <c r="B4115" s="50">
        <v>44737.8280129976</v>
      </c>
      <c r="C4115" s="51">
        <v>1.005</v>
      </c>
      <c r="D4115" s="51">
        <v>69.0</v>
      </c>
      <c r="E4115" s="52" t="s">
        <v>25</v>
      </c>
      <c r="F4115" s="52" t="s">
        <v>26</v>
      </c>
      <c r="G4115" s="53"/>
    </row>
    <row r="4116">
      <c r="A4116" s="49">
        <v>44737.713456701385</v>
      </c>
      <c r="B4116" s="50">
        <v>44737.8384324189</v>
      </c>
      <c r="C4116" s="51">
        <v>1.005</v>
      </c>
      <c r="D4116" s="51">
        <v>69.0</v>
      </c>
      <c r="E4116" s="52" t="s">
        <v>25</v>
      </c>
      <c r="F4116" s="52" t="s">
        <v>26</v>
      </c>
      <c r="G4116" s="53"/>
    </row>
    <row r="4117">
      <c r="A4117" s="49">
        <v>44737.7238769213</v>
      </c>
      <c r="B4117" s="50">
        <v>44737.8488537731</v>
      </c>
      <c r="C4117" s="51">
        <v>1.005</v>
      </c>
      <c r="D4117" s="51">
        <v>69.0</v>
      </c>
      <c r="E4117" s="52" t="s">
        <v>25</v>
      </c>
      <c r="F4117" s="52" t="s">
        <v>26</v>
      </c>
      <c r="G4117" s="53"/>
    </row>
    <row r="4118">
      <c r="A4118" s="49">
        <v>44737.734305046295</v>
      </c>
      <c r="B4118" s="50">
        <v>44737.8592780324</v>
      </c>
      <c r="C4118" s="51">
        <v>1.005</v>
      </c>
      <c r="D4118" s="51">
        <v>69.0</v>
      </c>
      <c r="E4118" s="52" t="s">
        <v>25</v>
      </c>
      <c r="F4118" s="52" t="s">
        <v>26</v>
      </c>
      <c r="G4118" s="53"/>
    </row>
    <row r="4119">
      <c r="A4119" s="49">
        <v>44737.74471766203</v>
      </c>
      <c r="B4119" s="50">
        <v>44737.8696982291</v>
      </c>
      <c r="C4119" s="51">
        <v>1.005</v>
      </c>
      <c r="D4119" s="51">
        <v>69.0</v>
      </c>
      <c r="E4119" s="52" t="s">
        <v>25</v>
      </c>
      <c r="F4119" s="52" t="s">
        <v>26</v>
      </c>
      <c r="G4119" s="53"/>
    </row>
    <row r="4120">
      <c r="A4120" s="49">
        <v>44737.75514104166</v>
      </c>
      <c r="B4120" s="50">
        <v>44737.8801173263</v>
      </c>
      <c r="C4120" s="51">
        <v>1.005</v>
      </c>
      <c r="D4120" s="51">
        <v>69.0</v>
      </c>
      <c r="E4120" s="52" t="s">
        <v>25</v>
      </c>
      <c r="F4120" s="52" t="s">
        <v>26</v>
      </c>
      <c r="G4120" s="53"/>
    </row>
    <row r="4121">
      <c r="A4121" s="49">
        <v>44737.76555589121</v>
      </c>
      <c r="B4121" s="50">
        <v>44737.8905380555</v>
      </c>
      <c r="C4121" s="51">
        <v>1.005</v>
      </c>
      <c r="D4121" s="51">
        <v>69.0</v>
      </c>
      <c r="E4121" s="52" t="s">
        <v>25</v>
      </c>
      <c r="F4121" s="52" t="s">
        <v>26</v>
      </c>
      <c r="G4121" s="53"/>
    </row>
    <row r="4122">
      <c r="A4122" s="49">
        <v>44737.77598506944</v>
      </c>
      <c r="B4122" s="50">
        <v>44737.9009604629</v>
      </c>
      <c r="C4122" s="51">
        <v>1.005</v>
      </c>
      <c r="D4122" s="51">
        <v>69.0</v>
      </c>
      <c r="E4122" s="52" t="s">
        <v>25</v>
      </c>
      <c r="F4122" s="52" t="s">
        <v>26</v>
      </c>
      <c r="G4122" s="53"/>
    </row>
    <row r="4123">
      <c r="A4123" s="49">
        <v>44737.786407604166</v>
      </c>
      <c r="B4123" s="50">
        <v>44737.9113813194</v>
      </c>
      <c r="C4123" s="51">
        <v>1.005</v>
      </c>
      <c r="D4123" s="51">
        <v>69.0</v>
      </c>
      <c r="E4123" s="52" t="s">
        <v>25</v>
      </c>
      <c r="F4123" s="52" t="s">
        <v>26</v>
      </c>
      <c r="G4123" s="53"/>
    </row>
    <row r="4124">
      <c r="A4124" s="49">
        <v>44737.796827847225</v>
      </c>
      <c r="B4124" s="50">
        <v>44737.9218016435</v>
      </c>
      <c r="C4124" s="51">
        <v>1.005</v>
      </c>
      <c r="D4124" s="51">
        <v>69.0</v>
      </c>
      <c r="E4124" s="52" t="s">
        <v>25</v>
      </c>
      <c r="F4124" s="52" t="s">
        <v>26</v>
      </c>
      <c r="G4124" s="53"/>
    </row>
    <row r="4125">
      <c r="A4125" s="49">
        <v>44737.80724366898</v>
      </c>
      <c r="B4125" s="50">
        <v>44737.9322242361</v>
      </c>
      <c r="C4125" s="51">
        <v>1.004</v>
      </c>
      <c r="D4125" s="51">
        <v>69.0</v>
      </c>
      <c r="E4125" s="52" t="s">
        <v>25</v>
      </c>
      <c r="F4125" s="52" t="s">
        <v>26</v>
      </c>
      <c r="G4125" s="53"/>
    </row>
    <row r="4126">
      <c r="A4126" s="49">
        <v>44737.81769673611</v>
      </c>
      <c r="B4126" s="50">
        <v>44737.9426698379</v>
      </c>
      <c r="C4126" s="51">
        <v>1.005</v>
      </c>
      <c r="D4126" s="51">
        <v>69.0</v>
      </c>
      <c r="E4126" s="52" t="s">
        <v>25</v>
      </c>
      <c r="F4126" s="52" t="s">
        <v>26</v>
      </c>
      <c r="G4126" s="53"/>
    </row>
    <row r="4127">
      <c r="A4127" s="49">
        <v>44737.82811682871</v>
      </c>
      <c r="B4127" s="50">
        <v>44737.9530924189</v>
      </c>
      <c r="C4127" s="51">
        <v>1.005</v>
      </c>
      <c r="D4127" s="51">
        <v>69.0</v>
      </c>
      <c r="E4127" s="52" t="s">
        <v>25</v>
      </c>
      <c r="F4127" s="52" t="s">
        <v>26</v>
      </c>
      <c r="G4127" s="53"/>
    </row>
    <row r="4128">
      <c r="A4128" s="49">
        <v>44737.83854170139</v>
      </c>
      <c r="B4128" s="50">
        <v>44737.9635129166</v>
      </c>
      <c r="C4128" s="51">
        <v>1.005</v>
      </c>
      <c r="D4128" s="51">
        <v>69.0</v>
      </c>
      <c r="E4128" s="52" t="s">
        <v>25</v>
      </c>
      <c r="F4128" s="52" t="s">
        <v>26</v>
      </c>
      <c r="G4128" s="53"/>
    </row>
    <row r="4129">
      <c r="A4129" s="49">
        <v>44737.84897341435</v>
      </c>
      <c r="B4129" s="50">
        <v>44737.9739451736</v>
      </c>
      <c r="C4129" s="51">
        <v>1.005</v>
      </c>
      <c r="D4129" s="51">
        <v>69.0</v>
      </c>
      <c r="E4129" s="52" t="s">
        <v>25</v>
      </c>
      <c r="F4129" s="52" t="s">
        <v>26</v>
      </c>
      <c r="G4129" s="53"/>
    </row>
    <row r="4130">
      <c r="A4130" s="49">
        <v>44737.859395844906</v>
      </c>
      <c r="B4130" s="50">
        <v>44737.9843680555</v>
      </c>
      <c r="C4130" s="51">
        <v>1.005</v>
      </c>
      <c r="D4130" s="51">
        <v>69.0</v>
      </c>
      <c r="E4130" s="52" t="s">
        <v>25</v>
      </c>
      <c r="F4130" s="52" t="s">
        <v>26</v>
      </c>
      <c r="G4130" s="53"/>
    </row>
    <row r="4131">
      <c r="A4131" s="49">
        <v>44737.869821817134</v>
      </c>
      <c r="B4131" s="50">
        <v>44737.9948014814</v>
      </c>
      <c r="C4131" s="51">
        <v>1.005</v>
      </c>
      <c r="D4131" s="51">
        <v>69.0</v>
      </c>
      <c r="E4131" s="52" t="s">
        <v>25</v>
      </c>
      <c r="F4131" s="52" t="s">
        <v>26</v>
      </c>
      <c r="G4131" s="53"/>
    </row>
    <row r="4132">
      <c r="A4132" s="49">
        <v>44737.880248333335</v>
      </c>
      <c r="B4132" s="50">
        <v>44738.0052228703</v>
      </c>
      <c r="C4132" s="51">
        <v>1.005</v>
      </c>
      <c r="D4132" s="51">
        <v>69.0</v>
      </c>
      <c r="E4132" s="52" t="s">
        <v>25</v>
      </c>
      <c r="F4132" s="52" t="s">
        <v>26</v>
      </c>
      <c r="G4132" s="53"/>
    </row>
    <row r="4133">
      <c r="A4133" s="49">
        <v>44737.890669155095</v>
      </c>
      <c r="B4133" s="50">
        <v>44738.0156449537</v>
      </c>
      <c r="C4133" s="51">
        <v>1.005</v>
      </c>
      <c r="D4133" s="51">
        <v>69.0</v>
      </c>
      <c r="E4133" s="52" t="s">
        <v>25</v>
      </c>
      <c r="F4133" s="52" t="s">
        <v>26</v>
      </c>
      <c r="G4133" s="53"/>
    </row>
    <row r="4134">
      <c r="A4134" s="49">
        <v>44737.90108270833</v>
      </c>
      <c r="B4134" s="50">
        <v>44738.0260679629</v>
      </c>
      <c r="C4134" s="51">
        <v>1.004</v>
      </c>
      <c r="D4134" s="51">
        <v>69.0</v>
      </c>
      <c r="E4134" s="52" t="s">
        <v>25</v>
      </c>
      <c r="F4134" s="52" t="s">
        <v>26</v>
      </c>
      <c r="G4134" s="53"/>
    </row>
    <row r="4135">
      <c r="A4135" s="49">
        <v>44737.91151489584</v>
      </c>
      <c r="B4135" s="50">
        <v>44738.0364898032</v>
      </c>
      <c r="C4135" s="51">
        <v>1.005</v>
      </c>
      <c r="D4135" s="51">
        <v>69.0</v>
      </c>
      <c r="E4135" s="52" t="s">
        <v>25</v>
      </c>
      <c r="F4135" s="52" t="s">
        <v>26</v>
      </c>
      <c r="G4135" s="53"/>
    </row>
    <row r="4136">
      <c r="A4136" s="49">
        <v>44737.921949421296</v>
      </c>
      <c r="B4136" s="50">
        <v>44738.0469225115</v>
      </c>
      <c r="C4136" s="51">
        <v>1.005</v>
      </c>
      <c r="D4136" s="51">
        <v>69.0</v>
      </c>
      <c r="E4136" s="52" t="s">
        <v>25</v>
      </c>
      <c r="F4136" s="52" t="s">
        <v>26</v>
      </c>
      <c r="G4136" s="53"/>
    </row>
    <row r="4137">
      <c r="A4137" s="49">
        <v>44737.9323659375</v>
      </c>
      <c r="B4137" s="50">
        <v>44738.0573421296</v>
      </c>
      <c r="C4137" s="51">
        <v>1.005</v>
      </c>
      <c r="D4137" s="51">
        <v>69.0</v>
      </c>
      <c r="E4137" s="52" t="s">
        <v>25</v>
      </c>
      <c r="F4137" s="52" t="s">
        <v>26</v>
      </c>
      <c r="G4137" s="53"/>
    </row>
    <row r="4138">
      <c r="A4138" s="49">
        <v>44737.94279480324</v>
      </c>
      <c r="B4138" s="50">
        <v>44738.067774456</v>
      </c>
      <c r="C4138" s="51">
        <v>1.005</v>
      </c>
      <c r="D4138" s="51">
        <v>69.0</v>
      </c>
      <c r="E4138" s="52" t="s">
        <v>25</v>
      </c>
      <c r="F4138" s="52" t="s">
        <v>26</v>
      </c>
      <c r="G4138" s="53"/>
    </row>
    <row r="4139">
      <c r="A4139" s="49">
        <v>44737.953211886575</v>
      </c>
      <c r="B4139" s="50">
        <v>44738.078195949</v>
      </c>
      <c r="C4139" s="51">
        <v>1.005</v>
      </c>
      <c r="D4139" s="51">
        <v>69.0</v>
      </c>
      <c r="E4139" s="52" t="s">
        <v>25</v>
      </c>
      <c r="F4139" s="52" t="s">
        <v>26</v>
      </c>
      <c r="G4139" s="53"/>
    </row>
    <row r="4140">
      <c r="A4140" s="49">
        <v>44737.96364472222</v>
      </c>
      <c r="B4140" s="50">
        <v>44738.0886184027</v>
      </c>
      <c r="C4140" s="51">
        <v>1.005</v>
      </c>
      <c r="D4140" s="51">
        <v>69.0</v>
      </c>
      <c r="E4140" s="52" t="s">
        <v>25</v>
      </c>
      <c r="F4140" s="52" t="s">
        <v>26</v>
      </c>
      <c r="G4140" s="53"/>
    </row>
    <row r="4141">
      <c r="A4141" s="49">
        <v>44737.97406577546</v>
      </c>
      <c r="B4141" s="50">
        <v>44738.0990393634</v>
      </c>
      <c r="C4141" s="51">
        <v>1.005</v>
      </c>
      <c r="D4141" s="51">
        <v>69.0</v>
      </c>
      <c r="E4141" s="52" t="s">
        <v>25</v>
      </c>
      <c r="F4141" s="52" t="s">
        <v>26</v>
      </c>
      <c r="G4141" s="53"/>
    </row>
    <row r="4142">
      <c r="A4142" s="49">
        <v>44737.98448611111</v>
      </c>
      <c r="B4142" s="50">
        <v>44738.1094591782</v>
      </c>
      <c r="C4142" s="51">
        <v>1.005</v>
      </c>
      <c r="D4142" s="51">
        <v>69.0</v>
      </c>
      <c r="E4142" s="52" t="s">
        <v>25</v>
      </c>
      <c r="F4142" s="52" t="s">
        <v>26</v>
      </c>
      <c r="G4142" s="53"/>
    </row>
    <row r="4143">
      <c r="A4143" s="49">
        <v>44737.99490435186</v>
      </c>
      <c r="B4143" s="50">
        <v>44738.1198806713</v>
      </c>
      <c r="C4143" s="51">
        <v>1.005</v>
      </c>
      <c r="D4143" s="51">
        <v>69.0</v>
      </c>
      <c r="E4143" s="52" t="s">
        <v>25</v>
      </c>
      <c r="F4143" s="52" t="s">
        <v>26</v>
      </c>
      <c r="G4143" s="53"/>
    </row>
    <row r="4144">
      <c r="A4144" s="49">
        <v>44738.005325300925</v>
      </c>
      <c r="B4144" s="50">
        <v>44738.1303014236</v>
      </c>
      <c r="C4144" s="51">
        <v>1.005</v>
      </c>
      <c r="D4144" s="51">
        <v>69.0</v>
      </c>
      <c r="E4144" s="52" t="s">
        <v>25</v>
      </c>
      <c r="F4144" s="52" t="s">
        <v>26</v>
      </c>
      <c r="G4144" s="53"/>
    </row>
    <row r="4145">
      <c r="A4145" s="49">
        <v>44738.01574664352</v>
      </c>
      <c r="B4145" s="50">
        <v>44738.1407218171</v>
      </c>
      <c r="C4145" s="51">
        <v>1.005</v>
      </c>
      <c r="D4145" s="51">
        <v>69.0</v>
      </c>
      <c r="E4145" s="52" t="s">
        <v>25</v>
      </c>
      <c r="F4145" s="52" t="s">
        <v>26</v>
      </c>
      <c r="G4145" s="53"/>
    </row>
    <row r="4146">
      <c r="A4146" s="49">
        <v>44738.026163726856</v>
      </c>
      <c r="B4146" s="50">
        <v>44738.1511414699</v>
      </c>
      <c r="C4146" s="51">
        <v>1.005</v>
      </c>
      <c r="D4146" s="51">
        <v>69.0</v>
      </c>
      <c r="E4146" s="52" t="s">
        <v>25</v>
      </c>
      <c r="F4146" s="52" t="s">
        <v>26</v>
      </c>
      <c r="G4146" s="53"/>
    </row>
    <row r="4147">
      <c r="A4147" s="49">
        <v>44738.0366074537</v>
      </c>
      <c r="B4147" s="50">
        <v>44738.1615761805</v>
      </c>
      <c r="C4147" s="51">
        <v>1.005</v>
      </c>
      <c r="D4147" s="51">
        <v>69.0</v>
      </c>
      <c r="E4147" s="52" t="s">
        <v>25</v>
      </c>
      <c r="F4147" s="52" t="s">
        <v>26</v>
      </c>
      <c r="G4147" s="53"/>
    </row>
    <row r="4148">
      <c r="A4148" s="49">
        <v>44738.0470241088</v>
      </c>
      <c r="B4148" s="50">
        <v>44738.1719976736</v>
      </c>
      <c r="C4148" s="51">
        <v>1.005</v>
      </c>
      <c r="D4148" s="51">
        <v>69.0</v>
      </c>
      <c r="E4148" s="52" t="s">
        <v>25</v>
      </c>
      <c r="F4148" s="52" t="s">
        <v>26</v>
      </c>
      <c r="G4148" s="53"/>
    </row>
    <row r="4149">
      <c r="A4149" s="49">
        <v>44738.05743898149</v>
      </c>
      <c r="B4149" s="50">
        <v>44738.1824193402</v>
      </c>
      <c r="C4149" s="51">
        <v>1.005</v>
      </c>
      <c r="D4149" s="51">
        <v>69.0</v>
      </c>
      <c r="E4149" s="52" t="s">
        <v>25</v>
      </c>
      <c r="F4149" s="52" t="s">
        <v>26</v>
      </c>
      <c r="G4149" s="53"/>
    </row>
    <row r="4150">
      <c r="A4150" s="49">
        <v>44738.06786795139</v>
      </c>
      <c r="B4150" s="50">
        <v>44738.192838831</v>
      </c>
      <c r="C4150" s="51">
        <v>1.005</v>
      </c>
      <c r="D4150" s="51">
        <v>69.0</v>
      </c>
      <c r="E4150" s="52" t="s">
        <v>25</v>
      </c>
      <c r="F4150" s="52" t="s">
        <v>26</v>
      </c>
      <c r="G4150" s="53"/>
    </row>
    <row r="4151">
      <c r="A4151" s="49">
        <v>44738.078285717595</v>
      </c>
      <c r="B4151" s="50">
        <v>44738.2032595138</v>
      </c>
      <c r="C4151" s="51">
        <v>1.005</v>
      </c>
      <c r="D4151" s="51">
        <v>69.0</v>
      </c>
      <c r="E4151" s="52" t="s">
        <v>25</v>
      </c>
      <c r="F4151" s="52" t="s">
        <v>26</v>
      </c>
      <c r="G4151" s="53"/>
    </row>
    <row r="4152">
      <c r="A4152" s="49">
        <v>44738.08870619213</v>
      </c>
      <c r="B4152" s="50">
        <v>44738.2136800115</v>
      </c>
      <c r="C4152" s="51">
        <v>1.005</v>
      </c>
      <c r="D4152" s="51">
        <v>69.0</v>
      </c>
      <c r="E4152" s="52" t="s">
        <v>25</v>
      </c>
      <c r="F4152" s="52" t="s">
        <v>26</v>
      </c>
      <c r="G4152" s="53"/>
    </row>
    <row r="4153">
      <c r="A4153" s="49">
        <v>44738.09912662037</v>
      </c>
      <c r="B4153" s="50">
        <v>44738.2241010879</v>
      </c>
      <c r="C4153" s="51">
        <v>1.005</v>
      </c>
      <c r="D4153" s="51">
        <v>70.0</v>
      </c>
      <c r="E4153" s="52" t="s">
        <v>25</v>
      </c>
      <c r="F4153" s="52" t="s">
        <v>26</v>
      </c>
      <c r="G4153" s="53"/>
    </row>
    <row r="4154">
      <c r="A4154" s="49">
        <v>44738.10954733797</v>
      </c>
      <c r="B4154" s="50">
        <v>44738.2345242939</v>
      </c>
      <c r="C4154" s="51">
        <v>1.005</v>
      </c>
      <c r="D4154" s="51">
        <v>69.0</v>
      </c>
      <c r="E4154" s="52" t="s">
        <v>25</v>
      </c>
      <c r="F4154" s="52" t="s">
        <v>26</v>
      </c>
      <c r="G4154" s="53"/>
    </row>
    <row r="4155">
      <c r="A4155" s="49">
        <v>44738.11997078704</v>
      </c>
      <c r="B4155" s="50">
        <v>44738.2449432754</v>
      </c>
      <c r="C4155" s="51">
        <v>1.005</v>
      </c>
      <c r="D4155" s="51">
        <v>69.0</v>
      </c>
      <c r="E4155" s="52" t="s">
        <v>25</v>
      </c>
      <c r="F4155" s="52" t="s">
        <v>26</v>
      </c>
      <c r="G4155" s="53"/>
    </row>
    <row r="4156">
      <c r="A4156" s="49">
        <v>44738.1304013426</v>
      </c>
      <c r="B4156" s="50">
        <v>44738.2553751851</v>
      </c>
      <c r="C4156" s="51">
        <v>1.005</v>
      </c>
      <c r="D4156" s="51">
        <v>69.0</v>
      </c>
      <c r="E4156" s="52" t="s">
        <v>25</v>
      </c>
      <c r="F4156" s="52" t="s">
        <v>26</v>
      </c>
      <c r="G4156" s="53"/>
    </row>
    <row r="4157">
      <c r="A4157" s="49">
        <v>44738.14083310185</v>
      </c>
      <c r="B4157" s="50">
        <v>44738.2658085301</v>
      </c>
      <c r="C4157" s="51">
        <v>1.005</v>
      </c>
      <c r="D4157" s="51">
        <v>69.0</v>
      </c>
      <c r="E4157" s="52" t="s">
        <v>25</v>
      </c>
      <c r="F4157" s="52" t="s">
        <v>26</v>
      </c>
      <c r="G4157" s="53"/>
    </row>
    <row r="4158">
      <c r="A4158" s="49">
        <v>44738.15126215278</v>
      </c>
      <c r="B4158" s="50">
        <v>44738.276242037</v>
      </c>
      <c r="C4158" s="51">
        <v>1.005</v>
      </c>
      <c r="D4158" s="51">
        <v>70.0</v>
      </c>
      <c r="E4158" s="52" t="s">
        <v>25</v>
      </c>
      <c r="F4158" s="52" t="s">
        <v>26</v>
      </c>
      <c r="G4158" s="53"/>
    </row>
    <row r="4159">
      <c r="A4159" s="49">
        <v>44738.16168075231</v>
      </c>
      <c r="B4159" s="50">
        <v>44738.2866611226</v>
      </c>
      <c r="C4159" s="51">
        <v>1.005</v>
      </c>
      <c r="D4159" s="51">
        <v>70.0</v>
      </c>
      <c r="E4159" s="52" t="s">
        <v>25</v>
      </c>
      <c r="F4159" s="52" t="s">
        <v>26</v>
      </c>
      <c r="G4159" s="53"/>
    </row>
    <row r="4160">
      <c r="A4160" s="49">
        <v>44738.17210278935</v>
      </c>
      <c r="B4160" s="50">
        <v>44738.2970823495</v>
      </c>
      <c r="C4160" s="51">
        <v>1.005</v>
      </c>
      <c r="D4160" s="51">
        <v>70.0</v>
      </c>
      <c r="E4160" s="52" t="s">
        <v>25</v>
      </c>
      <c r="F4160" s="52" t="s">
        <v>26</v>
      </c>
      <c r="G4160" s="53"/>
    </row>
    <row r="4161">
      <c r="A4161" s="49">
        <v>44738.182517546295</v>
      </c>
      <c r="B4161" s="50">
        <v>44738.3075023842</v>
      </c>
      <c r="C4161" s="51">
        <v>1.005</v>
      </c>
      <c r="D4161" s="51">
        <v>69.0</v>
      </c>
      <c r="E4161" s="52" t="s">
        <v>25</v>
      </c>
      <c r="F4161" s="52" t="s">
        <v>26</v>
      </c>
      <c r="G4161" s="53"/>
    </row>
    <row r="4162">
      <c r="A4162" s="49">
        <v>44738.19296201388</v>
      </c>
      <c r="B4162" s="50">
        <v>44738.3179351967</v>
      </c>
      <c r="C4162" s="51">
        <v>1.005</v>
      </c>
      <c r="D4162" s="51">
        <v>70.0</v>
      </c>
      <c r="E4162" s="52" t="s">
        <v>25</v>
      </c>
      <c r="F4162" s="52" t="s">
        <v>26</v>
      </c>
      <c r="G4162" s="53"/>
    </row>
    <row r="4163">
      <c r="A4163" s="49">
        <v>44738.20339297454</v>
      </c>
      <c r="B4163" s="50">
        <v>44738.3283675694</v>
      </c>
      <c r="C4163" s="51">
        <v>1.005</v>
      </c>
      <c r="D4163" s="51">
        <v>70.0</v>
      </c>
      <c r="E4163" s="52" t="s">
        <v>25</v>
      </c>
      <c r="F4163" s="52" t="s">
        <v>26</v>
      </c>
      <c r="G4163" s="53"/>
    </row>
    <row r="4164">
      <c r="A4164" s="49">
        <v>44738.21381502315</v>
      </c>
      <c r="B4164" s="50">
        <v>44738.3387904629</v>
      </c>
      <c r="C4164" s="51">
        <v>1.005</v>
      </c>
      <c r="D4164" s="51">
        <v>70.0</v>
      </c>
      <c r="E4164" s="52" t="s">
        <v>25</v>
      </c>
      <c r="F4164" s="52" t="s">
        <v>26</v>
      </c>
      <c r="G4164" s="53"/>
    </row>
    <row r="4165">
      <c r="A4165" s="49">
        <v>44738.2242365625</v>
      </c>
      <c r="B4165" s="50">
        <v>44738.3492108449</v>
      </c>
      <c r="C4165" s="51">
        <v>1.005</v>
      </c>
      <c r="D4165" s="51">
        <v>70.0</v>
      </c>
      <c r="E4165" s="52" t="s">
        <v>25</v>
      </c>
      <c r="F4165" s="52" t="s">
        <v>26</v>
      </c>
      <c r="G4165" s="53"/>
    </row>
    <row r="4166">
      <c r="A4166" s="49">
        <v>44738.23465438657</v>
      </c>
      <c r="B4166" s="50">
        <v>44738.3596325</v>
      </c>
      <c r="C4166" s="51">
        <v>1.005</v>
      </c>
      <c r="D4166" s="51">
        <v>70.0</v>
      </c>
      <c r="E4166" s="52" t="s">
        <v>25</v>
      </c>
      <c r="F4166" s="52" t="s">
        <v>26</v>
      </c>
      <c r="G4166" s="53"/>
    </row>
    <row r="4167">
      <c r="A4167" s="49">
        <v>44738.24507193287</v>
      </c>
      <c r="B4167" s="50">
        <v>44738.3700528588</v>
      </c>
      <c r="C4167" s="51">
        <v>1.004</v>
      </c>
      <c r="D4167" s="51">
        <v>70.0</v>
      </c>
      <c r="E4167" s="52" t="s">
        <v>25</v>
      </c>
      <c r="F4167" s="52" t="s">
        <v>26</v>
      </c>
      <c r="G4167" s="53"/>
    </row>
    <row r="4168">
      <c r="A4168" s="49">
        <v>44738.25550108796</v>
      </c>
      <c r="B4168" s="50">
        <v>44738.3804741203</v>
      </c>
      <c r="C4168" s="51">
        <v>1.005</v>
      </c>
      <c r="D4168" s="51">
        <v>70.0</v>
      </c>
      <c r="E4168" s="52" t="s">
        <v>25</v>
      </c>
      <c r="F4168" s="52" t="s">
        <v>26</v>
      </c>
      <c r="G4168" s="53"/>
    </row>
    <row r="4169">
      <c r="A4169" s="49">
        <v>44738.2659212963</v>
      </c>
      <c r="B4169" s="50">
        <v>44738.39089478</v>
      </c>
      <c r="C4169" s="51">
        <v>1.005</v>
      </c>
      <c r="D4169" s="51">
        <v>69.0</v>
      </c>
      <c r="E4169" s="52" t="s">
        <v>25</v>
      </c>
      <c r="F4169" s="52" t="s">
        <v>26</v>
      </c>
      <c r="G4169" s="53"/>
    </row>
    <row r="4170">
      <c r="A4170" s="49">
        <v>44738.27634363426</v>
      </c>
      <c r="B4170" s="50">
        <v>44738.4013148842</v>
      </c>
      <c r="C4170" s="51">
        <v>1.005</v>
      </c>
      <c r="D4170" s="51">
        <v>70.0</v>
      </c>
      <c r="E4170" s="52" t="s">
        <v>25</v>
      </c>
      <c r="F4170" s="52" t="s">
        <v>26</v>
      </c>
      <c r="G4170" s="53"/>
    </row>
    <row r="4171">
      <c r="A4171" s="49">
        <v>44738.28676511574</v>
      </c>
      <c r="B4171" s="50">
        <v>44738.4117356597</v>
      </c>
      <c r="C4171" s="51">
        <v>1.005</v>
      </c>
      <c r="D4171" s="51">
        <v>69.0</v>
      </c>
      <c r="E4171" s="52" t="s">
        <v>25</v>
      </c>
      <c r="F4171" s="52" t="s">
        <v>26</v>
      </c>
      <c r="G4171" s="53"/>
    </row>
    <row r="4172">
      <c r="A4172" s="49">
        <v>44738.297186365744</v>
      </c>
      <c r="B4172" s="50">
        <v>44738.4221563425</v>
      </c>
      <c r="C4172" s="51">
        <v>1.004</v>
      </c>
      <c r="D4172" s="51">
        <v>70.0</v>
      </c>
      <c r="E4172" s="52" t="s">
        <v>25</v>
      </c>
      <c r="F4172" s="52" t="s">
        <v>26</v>
      </c>
      <c r="G4172" s="53"/>
    </row>
    <row r="4173">
      <c r="A4173" s="49">
        <v>44738.30760385416</v>
      </c>
      <c r="B4173" s="50">
        <v>44738.432577199</v>
      </c>
      <c r="C4173" s="51">
        <v>1.004</v>
      </c>
      <c r="D4173" s="51">
        <v>70.0</v>
      </c>
      <c r="E4173" s="52" t="s">
        <v>25</v>
      </c>
      <c r="F4173" s="52" t="s">
        <v>26</v>
      </c>
      <c r="G4173" s="53"/>
    </row>
    <row r="4174">
      <c r="A4174" s="49">
        <v>44738.31802950232</v>
      </c>
      <c r="B4174" s="50">
        <v>44738.4429990046</v>
      </c>
      <c r="C4174" s="51">
        <v>1.005</v>
      </c>
      <c r="D4174" s="51">
        <v>70.0</v>
      </c>
      <c r="E4174" s="52" t="s">
        <v>25</v>
      </c>
      <c r="F4174" s="52" t="s">
        <v>26</v>
      </c>
      <c r="G4174" s="53"/>
    </row>
    <row r="4175">
      <c r="A4175" s="49">
        <v>44738.32844846065</v>
      </c>
      <c r="B4175" s="50">
        <v>44738.4534195254</v>
      </c>
      <c r="C4175" s="51">
        <v>1.004</v>
      </c>
      <c r="D4175" s="51">
        <v>70.0</v>
      </c>
      <c r="E4175" s="52" t="s">
        <v>25</v>
      </c>
      <c r="F4175" s="52" t="s">
        <v>26</v>
      </c>
      <c r="G4175" s="53"/>
    </row>
    <row r="4176">
      <c r="A4176" s="49">
        <v>44738.33886903935</v>
      </c>
      <c r="B4176" s="50">
        <v>44738.4638417129</v>
      </c>
      <c r="C4176" s="51">
        <v>1.005</v>
      </c>
      <c r="D4176" s="51">
        <v>70.0</v>
      </c>
      <c r="E4176" s="52" t="s">
        <v>25</v>
      </c>
      <c r="F4176" s="52" t="s">
        <v>26</v>
      </c>
      <c r="G4176" s="53"/>
    </row>
    <row r="4177">
      <c r="A4177" s="49">
        <v>44738.34928425926</v>
      </c>
      <c r="B4177" s="50">
        <v>44738.4742623495</v>
      </c>
      <c r="C4177" s="51">
        <v>1.005</v>
      </c>
      <c r="D4177" s="51">
        <v>70.0</v>
      </c>
      <c r="E4177" s="52" t="s">
        <v>25</v>
      </c>
      <c r="F4177" s="52" t="s">
        <v>26</v>
      </c>
      <c r="G4177" s="53"/>
    </row>
    <row r="4178">
      <c r="A4178" s="49">
        <v>44738.35971775463</v>
      </c>
      <c r="B4178" s="50">
        <v>44738.4846935995</v>
      </c>
      <c r="C4178" s="51">
        <v>1.004</v>
      </c>
      <c r="D4178" s="51">
        <v>70.0</v>
      </c>
      <c r="E4178" s="52" t="s">
        <v>25</v>
      </c>
      <c r="F4178" s="52" t="s">
        <v>26</v>
      </c>
      <c r="G4178" s="53"/>
    </row>
    <row r="4179">
      <c r="A4179" s="49">
        <v>44738.37014585648</v>
      </c>
      <c r="B4179" s="50">
        <v>44738.4951160416</v>
      </c>
      <c r="C4179" s="51">
        <v>1.004</v>
      </c>
      <c r="D4179" s="51">
        <v>70.0</v>
      </c>
      <c r="E4179" s="52" t="s">
        <v>25</v>
      </c>
      <c r="F4179" s="52" t="s">
        <v>26</v>
      </c>
      <c r="G4179" s="53"/>
    </row>
    <row r="4180">
      <c r="A4180" s="49">
        <v>44738.380567037035</v>
      </c>
      <c r="B4180" s="50">
        <v>44738.5055344328</v>
      </c>
      <c r="C4180" s="51">
        <v>1.004</v>
      </c>
      <c r="D4180" s="51">
        <v>70.0</v>
      </c>
      <c r="E4180" s="52" t="s">
        <v>25</v>
      </c>
      <c r="F4180" s="52" t="s">
        <v>26</v>
      </c>
      <c r="G4180" s="53"/>
    </row>
    <row r="4181">
      <c r="A4181" s="49">
        <v>44738.39098603009</v>
      </c>
      <c r="B4181" s="50">
        <v>44738.5159571064</v>
      </c>
      <c r="C4181" s="51">
        <v>1.005</v>
      </c>
      <c r="D4181" s="51">
        <v>70.0</v>
      </c>
      <c r="E4181" s="52" t="s">
        <v>25</v>
      </c>
      <c r="F4181" s="52" t="s">
        <v>26</v>
      </c>
      <c r="G4181" s="53"/>
    </row>
    <row r="4182">
      <c r="A4182" s="49">
        <v>44738.40139608797</v>
      </c>
      <c r="B4182" s="50">
        <v>44738.526378993</v>
      </c>
      <c r="C4182" s="51">
        <v>1.005</v>
      </c>
      <c r="D4182" s="51">
        <v>70.0</v>
      </c>
      <c r="E4182" s="52" t="s">
        <v>25</v>
      </c>
      <c r="F4182" s="52" t="s">
        <v>26</v>
      </c>
      <c r="G4182" s="53"/>
    </row>
    <row r="4183">
      <c r="A4183" s="49">
        <v>44738.411834074075</v>
      </c>
      <c r="B4183" s="50">
        <v>44738.5368111342</v>
      </c>
      <c r="C4183" s="51">
        <v>1.005</v>
      </c>
      <c r="D4183" s="51">
        <v>70.0</v>
      </c>
      <c r="E4183" s="52" t="s">
        <v>25</v>
      </c>
      <c r="F4183" s="52" t="s">
        <v>26</v>
      </c>
      <c r="G4183" s="53"/>
    </row>
    <row r="4184">
      <c r="A4184" s="49">
        <v>44738.42227098379</v>
      </c>
      <c r="B4184" s="50">
        <v>44738.5472442476</v>
      </c>
      <c r="C4184" s="51">
        <v>1.005</v>
      </c>
      <c r="D4184" s="51">
        <v>70.0</v>
      </c>
      <c r="E4184" s="52" t="s">
        <v>25</v>
      </c>
      <c r="F4184" s="52" t="s">
        <v>26</v>
      </c>
      <c r="G4184" s="53"/>
    </row>
    <row r="4185">
      <c r="A4185" s="49">
        <v>44738.43269339121</v>
      </c>
      <c r="B4185" s="50">
        <v>44738.5576650115</v>
      </c>
      <c r="C4185" s="51">
        <v>1.004</v>
      </c>
      <c r="D4185" s="51">
        <v>70.0</v>
      </c>
      <c r="E4185" s="52" t="s">
        <v>25</v>
      </c>
      <c r="F4185" s="52" t="s">
        <v>26</v>
      </c>
      <c r="G4185" s="53"/>
    </row>
    <row r="4186">
      <c r="A4186" s="49">
        <v>44738.44311399305</v>
      </c>
      <c r="B4186" s="50">
        <v>44738.5680859143</v>
      </c>
      <c r="C4186" s="51">
        <v>1.005</v>
      </c>
      <c r="D4186" s="51">
        <v>70.0</v>
      </c>
      <c r="E4186" s="52" t="s">
        <v>25</v>
      </c>
      <c r="F4186" s="52" t="s">
        <v>26</v>
      </c>
      <c r="G4186" s="53"/>
    </row>
    <row r="4187">
      <c r="A4187" s="49">
        <v>44738.45353196759</v>
      </c>
      <c r="B4187" s="50">
        <v>44738.5785063541</v>
      </c>
      <c r="C4187" s="51">
        <v>1.004</v>
      </c>
      <c r="D4187" s="51">
        <v>70.0</v>
      </c>
      <c r="E4187" s="52" t="s">
        <v>25</v>
      </c>
      <c r="F4187" s="52" t="s">
        <v>26</v>
      </c>
      <c r="G4187" s="53"/>
    </row>
    <row r="4188">
      <c r="A4188" s="49">
        <v>44738.46395694444</v>
      </c>
      <c r="B4188" s="50">
        <v>44738.5889274537</v>
      </c>
      <c r="C4188" s="51">
        <v>1.005</v>
      </c>
      <c r="D4188" s="51">
        <v>70.0</v>
      </c>
      <c r="E4188" s="52" t="s">
        <v>25</v>
      </c>
      <c r="F4188" s="52" t="s">
        <v>26</v>
      </c>
      <c r="G4188" s="53"/>
    </row>
    <row r="4189">
      <c r="A4189" s="49">
        <v>44738.4743762037</v>
      </c>
      <c r="B4189" s="50">
        <v>44738.599348831</v>
      </c>
      <c r="C4189" s="51">
        <v>1.004</v>
      </c>
      <c r="D4189" s="51">
        <v>70.0</v>
      </c>
      <c r="E4189" s="52" t="s">
        <v>25</v>
      </c>
      <c r="F4189" s="52" t="s">
        <v>26</v>
      </c>
      <c r="G4189" s="53"/>
    </row>
    <row r="4190">
      <c r="A4190" s="49">
        <v>44738.484806886576</v>
      </c>
      <c r="B4190" s="50">
        <v>44738.609779699</v>
      </c>
      <c r="C4190" s="51">
        <v>1.005</v>
      </c>
      <c r="D4190" s="51">
        <v>70.0</v>
      </c>
      <c r="E4190" s="52" t="s">
        <v>25</v>
      </c>
      <c r="F4190" s="52" t="s">
        <v>26</v>
      </c>
      <c r="G4190" s="53"/>
    </row>
    <row r="4191">
      <c r="A4191" s="49">
        <v>44738.495230347224</v>
      </c>
      <c r="B4191" s="50">
        <v>44738.620199618</v>
      </c>
      <c r="C4191" s="51">
        <v>1.005</v>
      </c>
      <c r="D4191" s="51">
        <v>70.0</v>
      </c>
      <c r="E4191" s="52" t="s">
        <v>25</v>
      </c>
      <c r="F4191" s="52" t="s">
        <v>26</v>
      </c>
      <c r="G4191" s="53"/>
    </row>
    <row r="4192">
      <c r="A4192" s="49">
        <v>44738.50565131944</v>
      </c>
      <c r="B4192" s="50">
        <v>44738.6306213425</v>
      </c>
      <c r="C4192" s="51">
        <v>1.005</v>
      </c>
      <c r="D4192" s="51">
        <v>70.0</v>
      </c>
      <c r="E4192" s="52" t="s">
        <v>25</v>
      </c>
      <c r="F4192" s="52" t="s">
        <v>26</v>
      </c>
      <c r="G4192" s="53"/>
    </row>
    <row r="4193">
      <c r="A4193" s="49">
        <v>44738.51607254629</v>
      </c>
      <c r="B4193" s="50">
        <v>44738.6410421643</v>
      </c>
      <c r="C4193" s="51">
        <v>1.005</v>
      </c>
      <c r="D4193" s="51">
        <v>70.0</v>
      </c>
      <c r="E4193" s="52" t="s">
        <v>25</v>
      </c>
      <c r="F4193" s="52" t="s">
        <v>26</v>
      </c>
      <c r="G4193" s="53"/>
    </row>
    <row r="4194">
      <c r="A4194" s="49">
        <v>44738.526490833334</v>
      </c>
      <c r="B4194" s="50">
        <v>44738.6514637037</v>
      </c>
      <c r="C4194" s="51">
        <v>1.005</v>
      </c>
      <c r="D4194" s="51">
        <v>70.0</v>
      </c>
      <c r="E4194" s="52" t="s">
        <v>25</v>
      </c>
      <c r="F4194" s="52" t="s">
        <v>26</v>
      </c>
      <c r="G4194" s="53"/>
    </row>
    <row r="4195">
      <c r="A4195" s="49">
        <v>44738.53691210649</v>
      </c>
      <c r="B4195" s="50">
        <v>44738.6618860185</v>
      </c>
      <c r="C4195" s="51">
        <v>1.005</v>
      </c>
      <c r="D4195" s="51">
        <v>70.0</v>
      </c>
      <c r="E4195" s="52" t="s">
        <v>25</v>
      </c>
      <c r="F4195" s="52" t="s">
        <v>26</v>
      </c>
      <c r="G4195" s="53"/>
    </row>
    <row r="4196">
      <c r="A4196" s="49">
        <v>44738.54733581019</v>
      </c>
      <c r="B4196" s="50">
        <v>44738.6723068981</v>
      </c>
      <c r="C4196" s="51">
        <v>1.005</v>
      </c>
      <c r="D4196" s="51">
        <v>70.0</v>
      </c>
      <c r="E4196" s="52" t="s">
        <v>25</v>
      </c>
      <c r="F4196" s="52" t="s">
        <v>26</v>
      </c>
      <c r="G4196" s="53"/>
    </row>
    <row r="4197">
      <c r="A4197" s="49">
        <v>44738.55774364583</v>
      </c>
      <c r="B4197" s="50">
        <v>44738.6827282291</v>
      </c>
      <c r="C4197" s="51">
        <v>1.004</v>
      </c>
      <c r="D4197" s="51">
        <v>70.0</v>
      </c>
      <c r="E4197" s="52" t="s">
        <v>25</v>
      </c>
      <c r="F4197" s="52" t="s">
        <v>26</v>
      </c>
      <c r="G4197" s="53"/>
    </row>
    <row r="4198">
      <c r="A4198" s="49">
        <v>44738.56817020834</v>
      </c>
      <c r="B4198" s="50">
        <v>44738.6931492708</v>
      </c>
      <c r="C4198" s="51">
        <v>1.004</v>
      </c>
      <c r="D4198" s="51">
        <v>69.0</v>
      </c>
      <c r="E4198" s="52" t="s">
        <v>25</v>
      </c>
      <c r="F4198" s="52" t="s">
        <v>26</v>
      </c>
      <c r="G4198" s="53"/>
    </row>
    <row r="4199">
      <c r="A4199" s="49">
        <v>44738.578598368054</v>
      </c>
      <c r="B4199" s="50">
        <v>44738.7035707754</v>
      </c>
      <c r="C4199" s="51">
        <v>1.004</v>
      </c>
      <c r="D4199" s="51">
        <v>69.0</v>
      </c>
      <c r="E4199" s="52" t="s">
        <v>25</v>
      </c>
      <c r="F4199" s="52" t="s">
        <v>26</v>
      </c>
      <c r="G4199" s="53"/>
    </row>
    <row r="4200">
      <c r="A4200" s="49">
        <v>44738.58902443287</v>
      </c>
      <c r="B4200" s="50">
        <v>44738.7140019907</v>
      </c>
      <c r="C4200" s="51">
        <v>1.005</v>
      </c>
      <c r="D4200" s="51">
        <v>68.0</v>
      </c>
      <c r="E4200" s="52" t="s">
        <v>25</v>
      </c>
      <c r="F4200" s="52" t="s">
        <v>26</v>
      </c>
      <c r="G4200" s="53"/>
    </row>
    <row r="4201">
      <c r="A4201" s="49">
        <v>44738.59944341435</v>
      </c>
      <c r="B4201" s="50">
        <v>44738.7244214467</v>
      </c>
      <c r="C4201" s="51">
        <v>1.005</v>
      </c>
      <c r="D4201" s="51">
        <v>67.0</v>
      </c>
      <c r="E4201" s="52" t="s">
        <v>25</v>
      </c>
      <c r="F4201" s="52" t="s">
        <v>26</v>
      </c>
      <c r="G4201" s="53"/>
    </row>
    <row r="4202">
      <c r="A4202" s="49">
        <v>44738.60988398148</v>
      </c>
      <c r="B4202" s="50">
        <v>44738.7348541088</v>
      </c>
      <c r="C4202" s="51">
        <v>1.005</v>
      </c>
      <c r="D4202" s="51">
        <v>66.0</v>
      </c>
      <c r="E4202" s="52" t="s">
        <v>25</v>
      </c>
      <c r="F4202" s="52" t="s">
        <v>26</v>
      </c>
      <c r="G4202" s="53"/>
    </row>
    <row r="4203">
      <c r="A4203" s="49">
        <v>44738.620299629634</v>
      </c>
      <c r="B4203" s="50">
        <v>44738.7452755555</v>
      </c>
      <c r="C4203" s="51">
        <v>1.005</v>
      </c>
      <c r="D4203" s="51">
        <v>66.0</v>
      </c>
      <c r="E4203" s="52" t="s">
        <v>25</v>
      </c>
      <c r="F4203" s="52" t="s">
        <v>26</v>
      </c>
      <c r="G4203" s="53"/>
    </row>
    <row r="4204">
      <c r="A4204" s="49">
        <v>44738.63072991898</v>
      </c>
      <c r="B4204" s="50">
        <v>44738.7557084606</v>
      </c>
      <c r="C4204" s="51">
        <v>1.005</v>
      </c>
      <c r="D4204" s="51">
        <v>66.0</v>
      </c>
      <c r="E4204" s="52" t="s">
        <v>25</v>
      </c>
      <c r="F4204" s="52" t="s">
        <v>26</v>
      </c>
      <c r="G4204" s="53"/>
    </row>
    <row r="4205">
      <c r="A4205" s="49">
        <v>44738.64115604167</v>
      </c>
      <c r="B4205" s="50">
        <v>44738.7661281713</v>
      </c>
      <c r="C4205" s="51">
        <v>1.005</v>
      </c>
      <c r="D4205" s="51">
        <v>66.0</v>
      </c>
      <c r="E4205" s="52" t="s">
        <v>25</v>
      </c>
      <c r="F4205" s="52" t="s">
        <v>26</v>
      </c>
      <c r="G4205" s="53"/>
    </row>
    <row r="4206">
      <c r="A4206" s="49">
        <v>44738.65159061343</v>
      </c>
      <c r="B4206" s="50">
        <v>44738.7765632523</v>
      </c>
      <c r="C4206" s="51">
        <v>1.005</v>
      </c>
      <c r="D4206" s="51">
        <v>66.0</v>
      </c>
      <c r="E4206" s="52" t="s">
        <v>25</v>
      </c>
      <c r="F4206" s="52" t="s">
        <v>26</v>
      </c>
      <c r="G4206" s="53"/>
    </row>
    <row r="4207">
      <c r="A4207" s="49">
        <v>44738.66201075232</v>
      </c>
      <c r="B4207" s="50">
        <v>44738.7869835416</v>
      </c>
      <c r="C4207" s="51">
        <v>1.005</v>
      </c>
      <c r="D4207" s="51">
        <v>66.0</v>
      </c>
      <c r="E4207" s="52" t="s">
        <v>25</v>
      </c>
      <c r="F4207" s="52" t="s">
        <v>26</v>
      </c>
      <c r="G4207" s="53"/>
    </row>
    <row r="4208">
      <c r="A4208" s="49">
        <v>44738.672449895836</v>
      </c>
      <c r="B4208" s="50">
        <v>44738.7974163541</v>
      </c>
      <c r="C4208" s="51">
        <v>1.005</v>
      </c>
      <c r="D4208" s="51">
        <v>66.0</v>
      </c>
      <c r="E4208" s="52" t="s">
        <v>25</v>
      </c>
      <c r="F4208" s="52" t="s">
        <v>26</v>
      </c>
      <c r="G4208" s="53"/>
    </row>
    <row r="4209">
      <c r="A4209" s="49">
        <v>44738.68286707176</v>
      </c>
      <c r="B4209" s="50">
        <v>44738.8078375231</v>
      </c>
      <c r="C4209" s="51">
        <v>1.005</v>
      </c>
      <c r="D4209" s="51">
        <v>66.0</v>
      </c>
      <c r="E4209" s="52" t="s">
        <v>25</v>
      </c>
      <c r="F4209" s="52" t="s">
        <v>26</v>
      </c>
      <c r="G4209" s="53"/>
    </row>
    <row r="4210">
      <c r="A4210" s="49">
        <v>44738.69328677084</v>
      </c>
      <c r="B4210" s="50">
        <v>44738.8182592014</v>
      </c>
      <c r="C4210" s="51">
        <v>1.005</v>
      </c>
      <c r="D4210" s="51">
        <v>66.0</v>
      </c>
      <c r="E4210" s="52" t="s">
        <v>25</v>
      </c>
      <c r="F4210" s="52" t="s">
        <v>26</v>
      </c>
      <c r="G4210" s="53"/>
    </row>
    <row r="4211">
      <c r="A4211" s="49">
        <v>44738.70370974537</v>
      </c>
      <c r="B4211" s="50">
        <v>44738.8286802546</v>
      </c>
      <c r="C4211" s="51">
        <v>1.005</v>
      </c>
      <c r="D4211" s="51">
        <v>66.0</v>
      </c>
      <c r="E4211" s="52" t="s">
        <v>25</v>
      </c>
      <c r="F4211" s="52" t="s">
        <v>26</v>
      </c>
      <c r="G4211" s="53"/>
    </row>
    <row r="4212">
      <c r="A4212" s="49">
        <v>44738.714132442125</v>
      </c>
      <c r="B4212" s="50">
        <v>44738.8391004282</v>
      </c>
      <c r="C4212" s="51">
        <v>1.005</v>
      </c>
      <c r="D4212" s="51">
        <v>66.0</v>
      </c>
      <c r="E4212" s="52" t="s">
        <v>25</v>
      </c>
      <c r="F4212" s="52" t="s">
        <v>26</v>
      </c>
      <c r="G4212" s="53"/>
    </row>
    <row r="4213">
      <c r="A4213" s="49">
        <v>44738.72455108796</v>
      </c>
      <c r="B4213" s="50">
        <v>44738.8495214814</v>
      </c>
      <c r="C4213" s="51">
        <v>1.005</v>
      </c>
      <c r="D4213" s="51">
        <v>66.0</v>
      </c>
      <c r="E4213" s="52" t="s">
        <v>25</v>
      </c>
      <c r="F4213" s="52" t="s">
        <v>26</v>
      </c>
      <c r="G4213" s="53"/>
    </row>
    <row r="4214">
      <c r="A4214" s="49">
        <v>44738.73496980324</v>
      </c>
      <c r="B4214" s="50">
        <v>44738.8599433564</v>
      </c>
      <c r="C4214" s="51">
        <v>1.005</v>
      </c>
      <c r="D4214" s="51">
        <v>66.0</v>
      </c>
      <c r="E4214" s="52" t="s">
        <v>25</v>
      </c>
      <c r="F4214" s="52" t="s">
        <v>26</v>
      </c>
      <c r="G4214" s="53"/>
    </row>
    <row r="4215">
      <c r="A4215" s="49">
        <v>44738.74538591436</v>
      </c>
      <c r="B4215" s="50">
        <v>44738.8703658449</v>
      </c>
      <c r="C4215" s="51">
        <v>1.005</v>
      </c>
      <c r="D4215" s="51">
        <v>66.0</v>
      </c>
      <c r="E4215" s="52" t="s">
        <v>25</v>
      </c>
      <c r="F4215" s="52" t="s">
        <v>26</v>
      </c>
      <c r="G4215" s="53"/>
    </row>
    <row r="4216">
      <c r="A4216" s="49">
        <v>44738.75581697917</v>
      </c>
      <c r="B4216" s="50">
        <v>44738.8807865162</v>
      </c>
      <c r="C4216" s="51">
        <v>1.005</v>
      </c>
      <c r="D4216" s="51">
        <v>66.0</v>
      </c>
      <c r="E4216" s="52" t="s">
        <v>25</v>
      </c>
      <c r="F4216" s="52" t="s">
        <v>26</v>
      </c>
      <c r="G4216" s="53"/>
    </row>
    <row r="4217">
      <c r="A4217" s="49">
        <v>44738.76622821759</v>
      </c>
      <c r="B4217" s="50">
        <v>44738.8912053819</v>
      </c>
      <c r="C4217" s="51">
        <v>1.005</v>
      </c>
      <c r="D4217" s="51">
        <v>66.0</v>
      </c>
      <c r="E4217" s="52" t="s">
        <v>25</v>
      </c>
      <c r="F4217" s="52" t="s">
        <v>26</v>
      </c>
      <c r="G4217" s="53"/>
    </row>
    <row r="4218">
      <c r="A4218" s="49">
        <v>44738.77665596065</v>
      </c>
      <c r="B4218" s="50">
        <v>44738.9016272916</v>
      </c>
      <c r="C4218" s="51">
        <v>1.005</v>
      </c>
      <c r="D4218" s="51">
        <v>66.0</v>
      </c>
      <c r="E4218" s="52" t="s">
        <v>25</v>
      </c>
      <c r="F4218" s="52" t="s">
        <v>26</v>
      </c>
      <c r="G4218" s="53"/>
    </row>
    <row r="4219">
      <c r="A4219" s="49">
        <v>44738.78707351851</v>
      </c>
      <c r="B4219" s="50">
        <v>44738.9120479051</v>
      </c>
      <c r="C4219" s="51">
        <v>1.005</v>
      </c>
      <c r="D4219" s="51">
        <v>66.0</v>
      </c>
      <c r="E4219" s="52" t="s">
        <v>25</v>
      </c>
      <c r="F4219" s="52" t="s">
        <v>26</v>
      </c>
      <c r="G4219" s="53"/>
    </row>
    <row r="4220">
      <c r="A4220" s="49">
        <v>44738.79749701389</v>
      </c>
      <c r="B4220" s="50">
        <v>44738.9224706713</v>
      </c>
      <c r="C4220" s="51">
        <v>1.005</v>
      </c>
      <c r="D4220" s="51">
        <v>66.0</v>
      </c>
      <c r="E4220" s="52" t="s">
        <v>25</v>
      </c>
      <c r="F4220" s="52" t="s">
        <v>26</v>
      </c>
      <c r="G4220" s="53"/>
    </row>
    <row r="4221">
      <c r="A4221" s="49">
        <v>44738.80791553241</v>
      </c>
      <c r="B4221" s="50">
        <v>44738.9328917592</v>
      </c>
      <c r="C4221" s="51">
        <v>1.005</v>
      </c>
      <c r="D4221" s="51">
        <v>66.0</v>
      </c>
      <c r="E4221" s="52" t="s">
        <v>25</v>
      </c>
      <c r="F4221" s="52" t="s">
        <v>26</v>
      </c>
      <c r="G4221" s="53"/>
    </row>
    <row r="4222">
      <c r="A4222" s="49">
        <v>44738.818331793984</v>
      </c>
      <c r="B4222" s="50">
        <v>44738.9433135069</v>
      </c>
      <c r="C4222" s="51">
        <v>1.005</v>
      </c>
      <c r="D4222" s="51">
        <v>66.0</v>
      </c>
      <c r="E4222" s="52" t="s">
        <v>25</v>
      </c>
      <c r="F4222" s="52" t="s">
        <v>26</v>
      </c>
      <c r="G4222" s="53"/>
    </row>
    <row r="4223">
      <c r="A4223" s="49">
        <v>44738.82877386574</v>
      </c>
      <c r="B4223" s="50">
        <v>44738.953746655</v>
      </c>
      <c r="C4223" s="51">
        <v>1.005</v>
      </c>
      <c r="D4223" s="51">
        <v>66.0</v>
      </c>
      <c r="E4223" s="52" t="s">
        <v>25</v>
      </c>
      <c r="F4223" s="52" t="s">
        <v>26</v>
      </c>
      <c r="G4223" s="53"/>
    </row>
    <row r="4224">
      <c r="A4224" s="49">
        <v>44738.83918914352</v>
      </c>
      <c r="B4224" s="50">
        <v>44738.9641672685</v>
      </c>
      <c r="C4224" s="51">
        <v>1.005</v>
      </c>
      <c r="D4224" s="51">
        <v>66.0</v>
      </c>
      <c r="E4224" s="52" t="s">
        <v>25</v>
      </c>
      <c r="F4224" s="52" t="s">
        <v>26</v>
      </c>
      <c r="G4224" s="53"/>
    </row>
    <row r="4225">
      <c r="A4225" s="49">
        <v>44738.84961046296</v>
      </c>
      <c r="B4225" s="50">
        <v>44738.9745897337</v>
      </c>
      <c r="C4225" s="51">
        <v>1.005</v>
      </c>
      <c r="D4225" s="51">
        <v>66.0</v>
      </c>
      <c r="E4225" s="52" t="s">
        <v>25</v>
      </c>
      <c r="F4225" s="52" t="s">
        <v>26</v>
      </c>
      <c r="G4225" s="53"/>
    </row>
    <row r="4226">
      <c r="A4226" s="49">
        <v>44738.86003855324</v>
      </c>
      <c r="B4226" s="50">
        <v>44738.9850125347</v>
      </c>
      <c r="C4226" s="51">
        <v>1.004</v>
      </c>
      <c r="D4226" s="51">
        <v>66.0</v>
      </c>
      <c r="E4226" s="52" t="s">
        <v>25</v>
      </c>
      <c r="F4226" s="52" t="s">
        <v>26</v>
      </c>
      <c r="G4226" s="53"/>
    </row>
    <row r="4227">
      <c r="A4227" s="49">
        <v>44738.870455358796</v>
      </c>
      <c r="B4227" s="50">
        <v>44738.9954327893</v>
      </c>
      <c r="C4227" s="51">
        <v>1.005</v>
      </c>
      <c r="D4227" s="51">
        <v>66.0</v>
      </c>
      <c r="E4227" s="52" t="s">
        <v>25</v>
      </c>
      <c r="F4227" s="52" t="s">
        <v>26</v>
      </c>
      <c r="G4227" s="53"/>
    </row>
    <row r="4228">
      <c r="A4228" s="49">
        <v>44738.880883935184</v>
      </c>
      <c r="B4228" s="50">
        <v>44739.005854618</v>
      </c>
      <c r="C4228" s="51">
        <v>1.005</v>
      </c>
      <c r="D4228" s="51">
        <v>66.0</v>
      </c>
      <c r="E4228" s="52" t="s">
        <v>25</v>
      </c>
      <c r="F4228" s="52" t="s">
        <v>26</v>
      </c>
      <c r="G4228" s="53"/>
    </row>
    <row r="4229">
      <c r="A4229" s="49">
        <v>44738.89129866898</v>
      </c>
      <c r="B4229" s="50">
        <v>44739.0162744791</v>
      </c>
      <c r="C4229" s="51">
        <v>1.005</v>
      </c>
      <c r="D4229" s="51">
        <v>66.0</v>
      </c>
      <c r="E4229" s="52" t="s">
        <v>25</v>
      </c>
      <c r="F4229" s="52" t="s">
        <v>26</v>
      </c>
      <c r="G4229" s="53"/>
    </row>
    <row r="4230">
      <c r="A4230" s="49">
        <v>44738.90172394676</v>
      </c>
      <c r="B4230" s="50">
        <v>44739.0266955092</v>
      </c>
      <c r="C4230" s="51">
        <v>1.005</v>
      </c>
      <c r="D4230" s="51">
        <v>66.0</v>
      </c>
      <c r="E4230" s="52" t="s">
        <v>25</v>
      </c>
      <c r="F4230" s="52" t="s">
        <v>26</v>
      </c>
      <c r="G4230" s="53"/>
    </row>
    <row r="4231">
      <c r="A4231" s="49">
        <v>44738.91213943287</v>
      </c>
      <c r="B4231" s="50">
        <v>44739.0371172222</v>
      </c>
      <c r="C4231" s="51">
        <v>1.005</v>
      </c>
      <c r="D4231" s="51">
        <v>66.0</v>
      </c>
      <c r="E4231" s="52" t="s">
        <v>25</v>
      </c>
      <c r="F4231" s="52" t="s">
        <v>26</v>
      </c>
      <c r="G4231" s="53"/>
    </row>
    <row r="4232">
      <c r="A4232" s="49">
        <v>44738.9225830787</v>
      </c>
      <c r="B4232" s="50">
        <v>44739.0475501967</v>
      </c>
      <c r="C4232" s="51">
        <v>1.005</v>
      </c>
      <c r="D4232" s="51">
        <v>66.0</v>
      </c>
      <c r="E4232" s="52" t="s">
        <v>25</v>
      </c>
      <c r="F4232" s="52" t="s">
        <v>26</v>
      </c>
      <c r="G4232" s="53"/>
    </row>
    <row r="4233">
      <c r="A4233" s="49">
        <v>44738.932997766206</v>
      </c>
      <c r="B4233" s="50">
        <v>44739.0579703935</v>
      </c>
      <c r="C4233" s="51">
        <v>1.005</v>
      </c>
      <c r="D4233" s="51">
        <v>66.0</v>
      </c>
      <c r="E4233" s="52" t="s">
        <v>25</v>
      </c>
      <c r="F4233" s="52" t="s">
        <v>26</v>
      </c>
      <c r="G4233" s="53"/>
    </row>
    <row r="4234">
      <c r="A4234" s="49">
        <v>44738.943420069445</v>
      </c>
      <c r="B4234" s="50">
        <v>44739.0683921527</v>
      </c>
      <c r="C4234" s="51">
        <v>1.005</v>
      </c>
      <c r="D4234" s="51">
        <v>66.0</v>
      </c>
      <c r="E4234" s="52" t="s">
        <v>25</v>
      </c>
      <c r="F4234" s="52" t="s">
        <v>26</v>
      </c>
      <c r="G4234" s="53"/>
    </row>
    <row r="4235">
      <c r="A4235" s="49">
        <v>44738.953831782404</v>
      </c>
      <c r="B4235" s="50">
        <v>44739.0788113888</v>
      </c>
      <c r="C4235" s="51">
        <v>1.005</v>
      </c>
      <c r="D4235" s="51">
        <v>66.0</v>
      </c>
      <c r="E4235" s="52" t="s">
        <v>25</v>
      </c>
      <c r="F4235" s="52" t="s">
        <v>26</v>
      </c>
      <c r="G4235" s="53"/>
    </row>
    <row r="4236">
      <c r="A4236" s="49">
        <v>44738.96427199074</v>
      </c>
      <c r="B4236" s="50">
        <v>44739.0892444213</v>
      </c>
      <c r="C4236" s="51">
        <v>1.005</v>
      </c>
      <c r="D4236" s="51">
        <v>66.0</v>
      </c>
      <c r="E4236" s="52" t="s">
        <v>25</v>
      </c>
      <c r="F4236" s="52" t="s">
        <v>26</v>
      </c>
      <c r="G4236" s="53"/>
    </row>
    <row r="4237">
      <c r="A4237" s="49">
        <v>44738.974683761575</v>
      </c>
      <c r="B4237" s="50">
        <v>44739.0996645254</v>
      </c>
      <c r="C4237" s="51">
        <v>1.005</v>
      </c>
      <c r="D4237" s="51">
        <v>66.0</v>
      </c>
      <c r="E4237" s="52" t="s">
        <v>25</v>
      </c>
      <c r="F4237" s="52" t="s">
        <v>26</v>
      </c>
      <c r="G4237" s="53"/>
    </row>
    <row r="4238">
      <c r="A4238" s="49">
        <v>44738.98511142361</v>
      </c>
      <c r="B4238" s="50">
        <v>44739.1100846412</v>
      </c>
      <c r="C4238" s="51">
        <v>1.005</v>
      </c>
      <c r="D4238" s="51">
        <v>67.0</v>
      </c>
      <c r="E4238" s="52" t="s">
        <v>25</v>
      </c>
      <c r="F4238" s="52" t="s">
        <v>26</v>
      </c>
      <c r="G4238" s="53"/>
    </row>
    <row r="4239">
      <c r="A4239" s="49">
        <v>44738.99552885417</v>
      </c>
      <c r="B4239" s="50">
        <v>44739.1205059259</v>
      </c>
      <c r="C4239" s="51">
        <v>1.005</v>
      </c>
      <c r="D4239" s="51">
        <v>67.0</v>
      </c>
      <c r="E4239" s="52" t="s">
        <v>25</v>
      </c>
      <c r="F4239" s="52" t="s">
        <v>26</v>
      </c>
      <c r="G4239" s="53"/>
    </row>
    <row r="4240">
      <c r="A4240" s="49">
        <v>44739.00596761574</v>
      </c>
      <c r="B4240" s="50">
        <v>44739.1309384953</v>
      </c>
      <c r="C4240" s="51">
        <v>1.005</v>
      </c>
      <c r="D4240" s="51">
        <v>67.0</v>
      </c>
      <c r="E4240" s="52" t="s">
        <v>25</v>
      </c>
      <c r="F4240" s="52" t="s">
        <v>26</v>
      </c>
      <c r="G4240" s="53"/>
    </row>
    <row r="4241">
      <c r="A4241" s="49">
        <v>44739.01639597223</v>
      </c>
      <c r="B4241" s="50">
        <v>44739.1413715046</v>
      </c>
      <c r="C4241" s="51">
        <v>1.005</v>
      </c>
      <c r="D4241" s="51">
        <v>67.0</v>
      </c>
      <c r="E4241" s="52" t="s">
        <v>25</v>
      </c>
      <c r="F4241" s="52" t="s">
        <v>26</v>
      </c>
      <c r="G4241" s="53"/>
    </row>
    <row r="4242">
      <c r="A4242" s="49">
        <v>44739.026824456014</v>
      </c>
      <c r="B4242" s="50">
        <v>44739.1517919213</v>
      </c>
      <c r="C4242" s="51">
        <v>1.005</v>
      </c>
      <c r="D4242" s="51">
        <v>67.0</v>
      </c>
      <c r="E4242" s="52" t="s">
        <v>25</v>
      </c>
      <c r="F4242" s="52" t="s">
        <v>26</v>
      </c>
      <c r="G4242" s="53"/>
    </row>
    <row r="4243">
      <c r="A4243" s="49">
        <v>44739.03723782407</v>
      </c>
      <c r="B4243" s="50">
        <v>44739.1622131944</v>
      </c>
      <c r="C4243" s="51">
        <v>1.005</v>
      </c>
      <c r="D4243" s="51">
        <v>67.0</v>
      </c>
      <c r="E4243" s="52" t="s">
        <v>25</v>
      </c>
      <c r="F4243" s="52" t="s">
        <v>26</v>
      </c>
      <c r="G4243" s="53"/>
    </row>
    <row r="4244">
      <c r="A4244" s="49">
        <v>44739.04766394676</v>
      </c>
      <c r="B4244" s="50">
        <v>44739.17263478</v>
      </c>
      <c r="C4244" s="51">
        <v>1.005</v>
      </c>
      <c r="D4244" s="51">
        <v>67.0</v>
      </c>
      <c r="E4244" s="52" t="s">
        <v>25</v>
      </c>
      <c r="F4244" s="52" t="s">
        <v>26</v>
      </c>
      <c r="G4244" s="53"/>
    </row>
    <row r="4245">
      <c r="A4245" s="49">
        <v>44739.058083020835</v>
      </c>
      <c r="B4245" s="50">
        <v>44739.1830560069</v>
      </c>
      <c r="C4245" s="51">
        <v>1.005</v>
      </c>
      <c r="D4245" s="51">
        <v>67.0</v>
      </c>
      <c r="E4245" s="52" t="s">
        <v>25</v>
      </c>
      <c r="F4245" s="52" t="s">
        <v>26</v>
      </c>
      <c r="G4245" s="53"/>
    </row>
    <row r="4246">
      <c r="A4246" s="49">
        <v>44739.06850417824</v>
      </c>
      <c r="B4246" s="50">
        <v>44739.1934789351</v>
      </c>
      <c r="C4246" s="51">
        <v>1.005</v>
      </c>
      <c r="D4246" s="51">
        <v>67.0</v>
      </c>
      <c r="E4246" s="52" t="s">
        <v>25</v>
      </c>
      <c r="F4246" s="52" t="s">
        <v>26</v>
      </c>
      <c r="G4246" s="53"/>
    </row>
    <row r="4247">
      <c r="A4247" s="49">
        <v>44739.078920810185</v>
      </c>
      <c r="B4247" s="50">
        <v>44739.2038991203</v>
      </c>
      <c r="C4247" s="51">
        <v>1.005</v>
      </c>
      <c r="D4247" s="51">
        <v>67.0</v>
      </c>
      <c r="E4247" s="52" t="s">
        <v>25</v>
      </c>
      <c r="F4247" s="52" t="s">
        <v>26</v>
      </c>
      <c r="G4247" s="53"/>
    </row>
    <row r="4248">
      <c r="A4248" s="49">
        <v>44739.08935542824</v>
      </c>
      <c r="B4248" s="50">
        <v>44739.2143313194</v>
      </c>
      <c r="C4248" s="51">
        <v>1.005</v>
      </c>
      <c r="D4248" s="51">
        <v>67.0</v>
      </c>
      <c r="E4248" s="52" t="s">
        <v>25</v>
      </c>
      <c r="F4248" s="52" t="s">
        <v>26</v>
      </c>
      <c r="G4248" s="53"/>
    </row>
    <row r="4249">
      <c r="A4249" s="49">
        <v>44739.09979421296</v>
      </c>
      <c r="B4249" s="50">
        <v>44739.2247655787</v>
      </c>
      <c r="C4249" s="51">
        <v>1.005</v>
      </c>
      <c r="D4249" s="51">
        <v>67.0</v>
      </c>
      <c r="E4249" s="52" t="s">
        <v>25</v>
      </c>
      <c r="F4249" s="52" t="s">
        <v>26</v>
      </c>
      <c r="G4249" s="53"/>
    </row>
    <row r="4250">
      <c r="A4250" s="49">
        <v>44739.110217928246</v>
      </c>
      <c r="B4250" s="50">
        <v>44739.235197824</v>
      </c>
      <c r="C4250" s="51">
        <v>1.005</v>
      </c>
      <c r="D4250" s="51">
        <v>67.0</v>
      </c>
      <c r="E4250" s="52" t="s">
        <v>25</v>
      </c>
      <c r="F4250" s="52" t="s">
        <v>26</v>
      </c>
      <c r="G4250" s="53"/>
    </row>
    <row r="4251">
      <c r="A4251" s="49">
        <v>44739.12063592592</v>
      </c>
      <c r="B4251" s="50">
        <v>44739.2456167013</v>
      </c>
      <c r="C4251" s="51">
        <v>1.005</v>
      </c>
      <c r="D4251" s="51">
        <v>67.0</v>
      </c>
      <c r="E4251" s="52" t="s">
        <v>25</v>
      </c>
      <c r="F4251" s="52" t="s">
        <v>26</v>
      </c>
      <c r="G4251" s="53"/>
    </row>
    <row r="4252">
      <c r="A4252" s="49">
        <v>44739.131065740745</v>
      </c>
      <c r="B4252" s="50">
        <v>44739.2560398495</v>
      </c>
      <c r="C4252" s="51">
        <v>1.005</v>
      </c>
      <c r="D4252" s="51">
        <v>67.0</v>
      </c>
      <c r="E4252" s="52" t="s">
        <v>25</v>
      </c>
      <c r="F4252" s="52" t="s">
        <v>26</v>
      </c>
      <c r="G4252" s="53"/>
    </row>
    <row r="4253">
      <c r="A4253" s="49">
        <v>44739.14148402778</v>
      </c>
      <c r="B4253" s="50">
        <v>44739.2664597916</v>
      </c>
      <c r="C4253" s="51">
        <v>1.005</v>
      </c>
      <c r="D4253" s="51">
        <v>67.0</v>
      </c>
      <c r="E4253" s="52" t="s">
        <v>25</v>
      </c>
      <c r="F4253" s="52" t="s">
        <v>26</v>
      </c>
      <c r="G4253" s="53"/>
    </row>
    <row r="4254">
      <c r="A4254" s="49">
        <v>44739.15192851852</v>
      </c>
      <c r="B4254" s="50">
        <v>44739.2769044791</v>
      </c>
      <c r="C4254" s="51">
        <v>1.005</v>
      </c>
      <c r="D4254" s="51">
        <v>67.0</v>
      </c>
      <c r="E4254" s="52" t="s">
        <v>25</v>
      </c>
      <c r="F4254" s="52" t="s">
        <v>26</v>
      </c>
      <c r="G4254" s="53"/>
    </row>
    <row r="4255">
      <c r="A4255" s="49">
        <v>44739.162351770836</v>
      </c>
      <c r="B4255" s="50">
        <v>44739.2873254398</v>
      </c>
      <c r="C4255" s="51">
        <v>1.005</v>
      </c>
      <c r="D4255" s="51">
        <v>67.0</v>
      </c>
      <c r="E4255" s="52" t="s">
        <v>25</v>
      </c>
      <c r="F4255" s="52" t="s">
        <v>26</v>
      </c>
      <c r="G4255" s="53"/>
    </row>
    <row r="4256">
      <c r="A4256" s="49">
        <v>44739.17276616898</v>
      </c>
      <c r="B4256" s="50">
        <v>44739.2977478356</v>
      </c>
      <c r="C4256" s="51">
        <v>1.005</v>
      </c>
      <c r="D4256" s="51">
        <v>67.0</v>
      </c>
      <c r="E4256" s="52" t="s">
        <v>25</v>
      </c>
      <c r="F4256" s="52" t="s">
        <v>26</v>
      </c>
      <c r="G4256" s="53"/>
    </row>
    <row r="4257">
      <c r="A4257" s="49">
        <v>44739.18320162037</v>
      </c>
      <c r="B4257" s="50">
        <v>44739.3081680671</v>
      </c>
      <c r="C4257" s="51">
        <v>1.005</v>
      </c>
      <c r="D4257" s="51">
        <v>67.0</v>
      </c>
      <c r="E4257" s="52" t="s">
        <v>25</v>
      </c>
      <c r="F4257" s="52" t="s">
        <v>26</v>
      </c>
      <c r="G4257" s="53"/>
    </row>
    <row r="4258">
      <c r="A4258" s="49">
        <v>44739.19360722222</v>
      </c>
      <c r="B4258" s="50">
        <v>44739.3185890046</v>
      </c>
      <c r="C4258" s="51">
        <v>1.005</v>
      </c>
      <c r="D4258" s="51">
        <v>67.0</v>
      </c>
      <c r="E4258" s="52" t="s">
        <v>25</v>
      </c>
      <c r="F4258" s="52" t="s">
        <v>26</v>
      </c>
      <c r="G4258" s="53"/>
    </row>
    <row r="4259">
      <c r="A4259" s="49">
        <v>44739.20404765046</v>
      </c>
      <c r="B4259" s="50">
        <v>44739.3290221527</v>
      </c>
      <c r="C4259" s="51">
        <v>1.005</v>
      </c>
      <c r="D4259" s="51">
        <v>67.0</v>
      </c>
      <c r="E4259" s="52" t="s">
        <v>25</v>
      </c>
      <c r="F4259" s="52" t="s">
        <v>26</v>
      </c>
      <c r="G4259" s="53"/>
    </row>
    <row r="4260">
      <c r="A4260" s="49">
        <v>44739.214463171294</v>
      </c>
      <c r="B4260" s="50">
        <v>44739.3394442708</v>
      </c>
      <c r="C4260" s="51">
        <v>1.005</v>
      </c>
      <c r="D4260" s="51">
        <v>67.0</v>
      </c>
      <c r="E4260" s="52" t="s">
        <v>25</v>
      </c>
      <c r="F4260" s="52" t="s">
        <v>26</v>
      </c>
      <c r="G4260" s="53"/>
    </row>
    <row r="4261">
      <c r="A4261" s="49">
        <v>44739.22490619213</v>
      </c>
      <c r="B4261" s="50">
        <v>44739.3498793981</v>
      </c>
      <c r="C4261" s="51">
        <v>1.005</v>
      </c>
      <c r="D4261" s="51">
        <v>67.0</v>
      </c>
      <c r="E4261" s="52" t="s">
        <v>25</v>
      </c>
      <c r="F4261" s="52" t="s">
        <v>26</v>
      </c>
      <c r="G4261" s="53"/>
    </row>
    <row r="4262">
      <c r="A4262" s="49">
        <v>44739.23532868056</v>
      </c>
      <c r="B4262" s="50">
        <v>44739.3603</v>
      </c>
      <c r="C4262" s="51">
        <v>1.005</v>
      </c>
      <c r="D4262" s="51">
        <v>67.0</v>
      </c>
      <c r="E4262" s="52" t="s">
        <v>25</v>
      </c>
      <c r="F4262" s="52" t="s">
        <v>26</v>
      </c>
      <c r="G4262" s="53"/>
    </row>
    <row r="4263">
      <c r="A4263" s="49">
        <v>44739.24574953703</v>
      </c>
      <c r="B4263" s="50">
        <v>44739.3707195717</v>
      </c>
      <c r="C4263" s="51">
        <v>1.005</v>
      </c>
      <c r="D4263" s="51">
        <v>67.0</v>
      </c>
      <c r="E4263" s="52" t="s">
        <v>25</v>
      </c>
      <c r="F4263" s="52" t="s">
        <v>26</v>
      </c>
      <c r="G4263" s="53"/>
    </row>
    <row r="4264">
      <c r="A4264" s="49">
        <v>44739.25619246528</v>
      </c>
      <c r="B4264" s="50">
        <v>44739.3811634259</v>
      </c>
      <c r="C4264" s="51">
        <v>1.005</v>
      </c>
      <c r="D4264" s="51">
        <v>67.0</v>
      </c>
      <c r="E4264" s="52" t="s">
        <v>25</v>
      </c>
      <c r="F4264" s="52" t="s">
        <v>26</v>
      </c>
      <c r="G4264" s="53"/>
    </row>
    <row r="4265">
      <c r="A4265" s="49">
        <v>44739.26660556713</v>
      </c>
      <c r="B4265" s="50">
        <v>44739.3915827083</v>
      </c>
      <c r="C4265" s="51">
        <v>1.005</v>
      </c>
      <c r="D4265" s="51">
        <v>67.0</v>
      </c>
      <c r="E4265" s="52" t="s">
        <v>25</v>
      </c>
      <c r="F4265" s="52" t="s">
        <v>26</v>
      </c>
      <c r="G4265" s="53"/>
    </row>
    <row r="4266">
      <c r="A4266" s="49">
        <v>44739.27703670139</v>
      </c>
      <c r="B4266" s="50">
        <v>44739.4020031944</v>
      </c>
      <c r="C4266" s="51">
        <v>1.005</v>
      </c>
      <c r="D4266" s="51">
        <v>67.0</v>
      </c>
      <c r="E4266" s="52" t="s">
        <v>25</v>
      </c>
      <c r="F4266" s="52" t="s">
        <v>26</v>
      </c>
      <c r="G4266" s="53"/>
    </row>
    <row r="4267">
      <c r="A4267" s="49">
        <v>44739.28745667824</v>
      </c>
      <c r="B4267" s="50">
        <v>44739.4124245486</v>
      </c>
      <c r="C4267" s="51">
        <v>1.005</v>
      </c>
      <c r="D4267" s="51">
        <v>67.0</v>
      </c>
      <c r="E4267" s="52" t="s">
        <v>25</v>
      </c>
      <c r="F4267" s="52" t="s">
        <v>26</v>
      </c>
      <c r="G4267" s="53"/>
    </row>
    <row r="4268">
      <c r="A4268" s="49">
        <v>44739.29788972222</v>
      </c>
      <c r="B4268" s="50">
        <v>44739.4228579398</v>
      </c>
      <c r="C4268" s="51">
        <v>1.005</v>
      </c>
      <c r="D4268" s="51">
        <v>67.0</v>
      </c>
      <c r="E4268" s="52" t="s">
        <v>25</v>
      </c>
      <c r="F4268" s="52" t="s">
        <v>26</v>
      </c>
      <c r="G4268" s="53"/>
    </row>
    <row r="4269">
      <c r="A4269" s="49">
        <v>44739.30830993055</v>
      </c>
      <c r="B4269" s="50">
        <v>44739.4332792939</v>
      </c>
      <c r="C4269" s="51">
        <v>1.005</v>
      </c>
      <c r="D4269" s="51">
        <v>67.0</v>
      </c>
      <c r="E4269" s="52" t="s">
        <v>25</v>
      </c>
      <c r="F4269" s="52" t="s">
        <v>26</v>
      </c>
      <c r="G4269" s="53"/>
    </row>
    <row r="4270">
      <c r="A4270" s="49">
        <v>44739.31872814815</v>
      </c>
      <c r="B4270" s="50">
        <v>44739.4437004514</v>
      </c>
      <c r="C4270" s="51">
        <v>1.005</v>
      </c>
      <c r="D4270" s="51">
        <v>67.0</v>
      </c>
      <c r="E4270" s="52" t="s">
        <v>25</v>
      </c>
      <c r="F4270" s="52" t="s">
        <v>26</v>
      </c>
      <c r="G4270" s="53"/>
    </row>
    <row r="4271">
      <c r="A4271" s="49">
        <v>44739.329148564815</v>
      </c>
      <c r="B4271" s="50">
        <v>44739.4541217129</v>
      </c>
      <c r="C4271" s="51">
        <v>1.005</v>
      </c>
      <c r="D4271" s="51">
        <v>67.0</v>
      </c>
      <c r="E4271" s="52" t="s">
        <v>25</v>
      </c>
      <c r="F4271" s="52" t="s">
        <v>26</v>
      </c>
      <c r="G4271" s="53"/>
    </row>
    <row r="4272">
      <c r="A4272" s="49">
        <v>44739.339577210645</v>
      </c>
      <c r="B4272" s="50">
        <v>44739.4645442708</v>
      </c>
      <c r="C4272" s="51">
        <v>1.005</v>
      </c>
      <c r="D4272" s="51">
        <v>67.0</v>
      </c>
      <c r="E4272" s="52" t="s">
        <v>25</v>
      </c>
      <c r="F4272" s="52" t="s">
        <v>26</v>
      </c>
      <c r="G4272" s="53"/>
    </row>
    <row r="4273">
      <c r="A4273" s="49">
        <v>44739.349981666666</v>
      </c>
      <c r="B4273" s="50">
        <v>44739.4749645254</v>
      </c>
      <c r="C4273" s="51">
        <v>1.005</v>
      </c>
      <c r="D4273" s="51">
        <v>67.0</v>
      </c>
      <c r="E4273" s="52" t="s">
        <v>25</v>
      </c>
      <c r="F4273" s="52" t="s">
        <v>26</v>
      </c>
      <c r="G4273" s="53"/>
    </row>
    <row r="4274">
      <c r="A4274" s="49">
        <v>44739.360412291666</v>
      </c>
      <c r="B4274" s="50">
        <v>44739.485385</v>
      </c>
      <c r="C4274" s="51">
        <v>1.005</v>
      </c>
      <c r="D4274" s="51">
        <v>67.0</v>
      </c>
      <c r="E4274" s="52" t="s">
        <v>25</v>
      </c>
      <c r="F4274" s="52" t="s">
        <v>26</v>
      </c>
      <c r="G4274" s="53"/>
    </row>
    <row r="4275">
      <c r="A4275" s="49">
        <v>44739.370839317126</v>
      </c>
      <c r="B4275" s="50">
        <v>44739.4958157175</v>
      </c>
      <c r="C4275" s="51">
        <v>1.005</v>
      </c>
      <c r="D4275" s="51">
        <v>67.0</v>
      </c>
      <c r="E4275" s="52" t="s">
        <v>25</v>
      </c>
      <c r="F4275" s="52" t="s">
        <v>26</v>
      </c>
      <c r="G4275" s="53"/>
    </row>
    <row r="4276">
      <c r="A4276" s="49">
        <v>44739.381262696756</v>
      </c>
      <c r="B4276" s="50">
        <v>44739.5062377662</v>
      </c>
      <c r="C4276" s="51">
        <v>1.005</v>
      </c>
      <c r="D4276" s="51">
        <v>67.0</v>
      </c>
      <c r="E4276" s="52" t="s">
        <v>25</v>
      </c>
      <c r="F4276" s="52" t="s">
        <v>26</v>
      </c>
      <c r="G4276" s="53"/>
    </row>
    <row r="4277">
      <c r="A4277" s="49">
        <v>44739.39168804398</v>
      </c>
      <c r="B4277" s="50">
        <v>44739.5166598842</v>
      </c>
      <c r="C4277" s="51">
        <v>1.005</v>
      </c>
      <c r="D4277" s="51">
        <v>67.0</v>
      </c>
      <c r="E4277" s="52" t="s">
        <v>25</v>
      </c>
      <c r="F4277" s="52" t="s">
        <v>26</v>
      </c>
      <c r="G4277" s="53"/>
    </row>
    <row r="4278">
      <c r="A4278" s="49">
        <v>44739.40211350695</v>
      </c>
      <c r="B4278" s="50">
        <v>44739.5270823379</v>
      </c>
      <c r="C4278" s="51">
        <v>1.005</v>
      </c>
      <c r="D4278" s="51">
        <v>67.0</v>
      </c>
      <c r="E4278" s="52" t="s">
        <v>25</v>
      </c>
      <c r="F4278" s="52" t="s">
        <v>26</v>
      </c>
      <c r="G4278" s="53"/>
    </row>
    <row r="4279">
      <c r="A4279" s="49">
        <v>44739.41253185185</v>
      </c>
      <c r="B4279" s="50">
        <v>44739.5375038773</v>
      </c>
      <c r="C4279" s="51">
        <v>1.005</v>
      </c>
      <c r="D4279" s="51">
        <v>67.0</v>
      </c>
      <c r="E4279" s="52" t="s">
        <v>25</v>
      </c>
      <c r="F4279" s="52" t="s">
        <v>26</v>
      </c>
      <c r="G4279" s="53"/>
    </row>
    <row r="4280">
      <c r="A4280" s="49">
        <v>44739.422950057866</v>
      </c>
      <c r="B4280" s="50">
        <v>44739.5479236921</v>
      </c>
      <c r="C4280" s="51">
        <v>1.005</v>
      </c>
      <c r="D4280" s="51">
        <v>67.0</v>
      </c>
      <c r="E4280" s="52" t="s">
        <v>25</v>
      </c>
      <c r="F4280" s="52" t="s">
        <v>26</v>
      </c>
      <c r="G4280" s="53"/>
    </row>
    <row r="4281">
      <c r="A4281" s="49">
        <v>44739.43337263889</v>
      </c>
      <c r="B4281" s="50">
        <v>44739.5583440393</v>
      </c>
      <c r="C4281" s="51">
        <v>1.005</v>
      </c>
      <c r="D4281" s="51">
        <v>67.0</v>
      </c>
      <c r="E4281" s="52" t="s">
        <v>25</v>
      </c>
      <c r="F4281" s="52" t="s">
        <v>26</v>
      </c>
      <c r="G4281" s="53"/>
    </row>
    <row r="4282">
      <c r="A4282" s="49">
        <v>44739.44379949074</v>
      </c>
      <c r="B4282" s="50">
        <v>44739.5687665509</v>
      </c>
      <c r="C4282" s="51">
        <v>1.005</v>
      </c>
      <c r="D4282" s="51">
        <v>67.0</v>
      </c>
      <c r="E4282" s="52" t="s">
        <v>25</v>
      </c>
      <c r="F4282" s="52" t="s">
        <v>26</v>
      </c>
      <c r="G4282" s="53"/>
    </row>
    <row r="4283">
      <c r="A4283" s="49">
        <v>44739.45420474537</v>
      </c>
      <c r="B4283" s="50">
        <v>44739.579185868</v>
      </c>
      <c r="C4283" s="51">
        <v>1.005</v>
      </c>
      <c r="D4283" s="51">
        <v>67.0</v>
      </c>
      <c r="E4283" s="52" t="s">
        <v>25</v>
      </c>
      <c r="F4283" s="52" t="s">
        <v>26</v>
      </c>
      <c r="G4283" s="53"/>
    </row>
    <row r="4284">
      <c r="A4284" s="49">
        <v>44739.46463162037</v>
      </c>
      <c r="B4284" s="50">
        <v>44739.589606574</v>
      </c>
      <c r="C4284" s="51">
        <v>1.005</v>
      </c>
      <c r="D4284" s="51">
        <v>67.0</v>
      </c>
      <c r="E4284" s="52" t="s">
        <v>25</v>
      </c>
      <c r="F4284" s="52" t="s">
        <v>26</v>
      </c>
      <c r="G4284" s="53"/>
    </row>
    <row r="4285">
      <c r="A4285" s="49">
        <v>44739.47504672453</v>
      </c>
      <c r="B4285" s="50">
        <v>44739.600028993</v>
      </c>
      <c r="C4285" s="51">
        <v>1.005</v>
      </c>
      <c r="D4285" s="51">
        <v>67.0</v>
      </c>
      <c r="E4285" s="52" t="s">
        <v>25</v>
      </c>
      <c r="F4285" s="52" t="s">
        <v>26</v>
      </c>
      <c r="G4285" s="53"/>
    </row>
    <row r="4286">
      <c r="A4286" s="49">
        <v>44739.4854778588</v>
      </c>
      <c r="B4286" s="50">
        <v>44739.610452581</v>
      </c>
      <c r="C4286" s="51">
        <v>1.005</v>
      </c>
      <c r="D4286" s="51">
        <v>67.0</v>
      </c>
      <c r="E4286" s="52" t="s">
        <v>25</v>
      </c>
      <c r="F4286" s="52" t="s">
        <v>26</v>
      </c>
      <c r="G4286" s="53"/>
    </row>
    <row r="4287">
      <c r="A4287" s="49">
        <v>44739.49589976852</v>
      </c>
      <c r="B4287" s="50">
        <v>44739.6208728703</v>
      </c>
      <c r="C4287" s="51">
        <v>1.005</v>
      </c>
      <c r="D4287" s="51">
        <v>67.0</v>
      </c>
      <c r="E4287" s="52" t="s">
        <v>25</v>
      </c>
      <c r="F4287" s="52" t="s">
        <v>26</v>
      </c>
      <c r="G4287" s="53"/>
    </row>
    <row r="4288">
      <c r="A4288" s="49">
        <v>44739.506331145836</v>
      </c>
      <c r="B4288" s="50">
        <v>44739.6313045486</v>
      </c>
      <c r="C4288" s="51">
        <v>1.005</v>
      </c>
      <c r="D4288" s="51">
        <v>67.0</v>
      </c>
      <c r="E4288" s="52" t="s">
        <v>25</v>
      </c>
      <c r="F4288" s="52" t="s">
        <v>26</v>
      </c>
      <c r="G4288" s="53"/>
    </row>
    <row r="4289">
      <c r="A4289" s="49">
        <v>44739.51675350695</v>
      </c>
      <c r="B4289" s="50">
        <v>44739.6417256134</v>
      </c>
      <c r="C4289" s="51">
        <v>1.005</v>
      </c>
      <c r="D4289" s="51">
        <v>67.0</v>
      </c>
      <c r="E4289" s="52" t="s">
        <v>25</v>
      </c>
      <c r="F4289" s="52" t="s">
        <v>26</v>
      </c>
      <c r="G4289" s="53"/>
    </row>
    <row r="4290">
      <c r="A4290" s="49">
        <v>44739.527169560184</v>
      </c>
      <c r="B4290" s="50">
        <v>44739.6521468171</v>
      </c>
      <c r="C4290" s="51">
        <v>1.005</v>
      </c>
      <c r="D4290" s="51">
        <v>67.0</v>
      </c>
      <c r="E4290" s="52" t="s">
        <v>25</v>
      </c>
      <c r="F4290" s="52" t="s">
        <v>26</v>
      </c>
      <c r="G4290" s="53"/>
    </row>
    <row r="4291">
      <c r="A4291" s="49">
        <v>44739.537606770835</v>
      </c>
      <c r="B4291" s="50">
        <v>44739.6625779398</v>
      </c>
      <c r="C4291" s="51">
        <v>1.005</v>
      </c>
      <c r="D4291" s="51">
        <v>67.0</v>
      </c>
      <c r="E4291" s="52" t="s">
        <v>25</v>
      </c>
      <c r="F4291" s="52" t="s">
        <v>26</v>
      </c>
      <c r="G4291" s="53"/>
    </row>
    <row r="4292">
      <c r="A4292" s="49">
        <v>44739.54803731482</v>
      </c>
      <c r="B4292" s="50">
        <v>44739.6730110532</v>
      </c>
      <c r="C4292" s="51">
        <v>1.005</v>
      </c>
      <c r="D4292" s="51">
        <v>67.0</v>
      </c>
      <c r="E4292" s="52" t="s">
        <v>25</v>
      </c>
      <c r="F4292" s="52" t="s">
        <v>26</v>
      </c>
      <c r="G4292" s="53"/>
    </row>
    <row r="4293">
      <c r="A4293" s="49">
        <v>44739.55845841435</v>
      </c>
      <c r="B4293" s="50">
        <v>44739.6834308333</v>
      </c>
      <c r="C4293" s="51">
        <v>1.005</v>
      </c>
      <c r="D4293" s="51">
        <v>67.0</v>
      </c>
      <c r="E4293" s="52" t="s">
        <v>25</v>
      </c>
      <c r="F4293" s="52" t="s">
        <v>26</v>
      </c>
      <c r="G4293" s="53"/>
    </row>
    <row r="4294">
      <c r="A4294" s="49">
        <v>44739.56887990741</v>
      </c>
      <c r="B4294" s="50">
        <v>44739.6938502546</v>
      </c>
      <c r="C4294" s="51">
        <v>1.005</v>
      </c>
      <c r="D4294" s="51">
        <v>67.0</v>
      </c>
      <c r="E4294" s="52" t="s">
        <v>25</v>
      </c>
      <c r="F4294" s="52" t="s">
        <v>26</v>
      </c>
      <c r="G4294" s="53"/>
    </row>
    <row r="4295">
      <c r="A4295" s="49">
        <v>44739.57929292824</v>
      </c>
      <c r="B4295" s="50">
        <v>44739.7042714583</v>
      </c>
      <c r="C4295" s="51">
        <v>1.005</v>
      </c>
      <c r="D4295" s="51">
        <v>67.0</v>
      </c>
      <c r="E4295" s="52" t="s">
        <v>25</v>
      </c>
      <c r="F4295" s="52" t="s">
        <v>26</v>
      </c>
      <c r="G4295" s="53"/>
    </row>
    <row r="4296">
      <c r="A4296" s="49">
        <v>44739.58972354166</v>
      </c>
      <c r="B4296" s="50">
        <v>44739.7147048842</v>
      </c>
      <c r="C4296" s="51">
        <v>1.005</v>
      </c>
      <c r="D4296" s="51">
        <v>67.0</v>
      </c>
      <c r="E4296" s="52" t="s">
        <v>25</v>
      </c>
      <c r="F4296" s="52" t="s">
        <v>26</v>
      </c>
      <c r="G4296" s="53"/>
    </row>
    <row r="4297">
      <c r="A4297" s="49">
        <v>44739.60015912037</v>
      </c>
      <c r="B4297" s="50">
        <v>44739.7251378703</v>
      </c>
      <c r="C4297" s="51">
        <v>1.005</v>
      </c>
      <c r="D4297" s="51">
        <v>67.0</v>
      </c>
      <c r="E4297" s="52" t="s">
        <v>25</v>
      </c>
      <c r="F4297" s="52" t="s">
        <v>26</v>
      </c>
      <c r="G4297" s="53"/>
    </row>
    <row r="4298">
      <c r="A4298" s="49">
        <v>44739.61061203704</v>
      </c>
      <c r="B4298" s="50">
        <v>44739.735582118</v>
      </c>
      <c r="C4298" s="51">
        <v>1.005</v>
      </c>
      <c r="D4298" s="51">
        <v>67.0</v>
      </c>
      <c r="E4298" s="52" t="s">
        <v>25</v>
      </c>
      <c r="F4298" s="52" t="s">
        <v>26</v>
      </c>
      <c r="G4298" s="53"/>
    </row>
    <row r="4299">
      <c r="A4299" s="49">
        <v>44739.621041527775</v>
      </c>
      <c r="B4299" s="50">
        <v>44739.7460170833</v>
      </c>
      <c r="C4299" s="51">
        <v>1.005</v>
      </c>
      <c r="D4299" s="51">
        <v>67.0</v>
      </c>
      <c r="E4299" s="52" t="s">
        <v>25</v>
      </c>
      <c r="F4299" s="52" t="s">
        <v>26</v>
      </c>
      <c r="G4299" s="53"/>
    </row>
    <row r="4300">
      <c r="A4300" s="49">
        <v>44739.6314681713</v>
      </c>
      <c r="B4300" s="50">
        <v>44739.7564486111</v>
      </c>
      <c r="C4300" s="51">
        <v>1.005</v>
      </c>
      <c r="D4300" s="51">
        <v>67.0</v>
      </c>
      <c r="E4300" s="52" t="s">
        <v>25</v>
      </c>
      <c r="F4300" s="52" t="s">
        <v>26</v>
      </c>
      <c r="G4300" s="53"/>
    </row>
    <row r="4301">
      <c r="A4301" s="49">
        <v>44739.64189107639</v>
      </c>
      <c r="B4301" s="50">
        <v>44739.7668688657</v>
      </c>
      <c r="C4301" s="51">
        <v>1.005</v>
      </c>
      <c r="D4301" s="51">
        <v>68.0</v>
      </c>
      <c r="E4301" s="52" t="s">
        <v>25</v>
      </c>
      <c r="F4301" s="52" t="s">
        <v>26</v>
      </c>
      <c r="G4301" s="53"/>
    </row>
    <row r="4302">
      <c r="A4302" s="49">
        <v>44739.65231627315</v>
      </c>
      <c r="B4302" s="50">
        <v>44739.7772892824</v>
      </c>
      <c r="C4302" s="51">
        <v>1.005</v>
      </c>
      <c r="D4302" s="51">
        <v>67.0</v>
      </c>
      <c r="E4302" s="52" t="s">
        <v>25</v>
      </c>
      <c r="F4302" s="52" t="s">
        <v>26</v>
      </c>
      <c r="G4302" s="53"/>
    </row>
    <row r="4303">
      <c r="A4303" s="49">
        <v>44739.662736875005</v>
      </c>
      <c r="B4303" s="50">
        <v>44739.787709375</v>
      </c>
      <c r="C4303" s="51">
        <v>1.005</v>
      </c>
      <c r="D4303" s="51">
        <v>67.0</v>
      </c>
      <c r="E4303" s="52" t="s">
        <v>25</v>
      </c>
      <c r="F4303" s="52" t="s">
        <v>26</v>
      </c>
      <c r="G4303" s="53"/>
    </row>
    <row r="4304">
      <c r="A4304" s="49">
        <v>44739.67317091435</v>
      </c>
      <c r="B4304" s="50">
        <v>44739.7981431713</v>
      </c>
      <c r="C4304" s="51">
        <v>1.005</v>
      </c>
      <c r="D4304" s="51">
        <v>68.0</v>
      </c>
      <c r="E4304" s="52" t="s">
        <v>25</v>
      </c>
      <c r="F4304" s="52" t="s">
        <v>26</v>
      </c>
      <c r="G4304" s="53"/>
    </row>
    <row r="4305">
      <c r="A4305" s="49">
        <v>44739.683586875</v>
      </c>
      <c r="B4305" s="50">
        <v>44739.8085654976</v>
      </c>
      <c r="C4305" s="51">
        <v>1.005</v>
      </c>
      <c r="D4305" s="51">
        <v>68.0</v>
      </c>
      <c r="E4305" s="52" t="s">
        <v>25</v>
      </c>
      <c r="F4305" s="52" t="s">
        <v>26</v>
      </c>
      <c r="G4305" s="53"/>
    </row>
    <row r="4306">
      <c r="A4306" s="49">
        <v>44739.6940109375</v>
      </c>
      <c r="B4306" s="50">
        <v>44739.8189860995</v>
      </c>
      <c r="C4306" s="51">
        <v>1.005</v>
      </c>
      <c r="D4306" s="51">
        <v>68.0</v>
      </c>
      <c r="E4306" s="52" t="s">
        <v>25</v>
      </c>
      <c r="F4306" s="52" t="s">
        <v>26</v>
      </c>
      <c r="G4306" s="53"/>
    </row>
    <row r="4307">
      <c r="A4307" s="49">
        <v>44739.704429432866</v>
      </c>
      <c r="B4307" s="50">
        <v>44739.8294073611</v>
      </c>
      <c r="C4307" s="51">
        <v>1.005</v>
      </c>
      <c r="D4307" s="51">
        <v>68.0</v>
      </c>
      <c r="E4307" s="52" t="s">
        <v>25</v>
      </c>
      <c r="F4307" s="52" t="s">
        <v>26</v>
      </c>
      <c r="G4307" s="53"/>
    </row>
    <row r="4308">
      <c r="A4308" s="49">
        <v>44739.71485236111</v>
      </c>
      <c r="B4308" s="50">
        <v>44739.8398278009</v>
      </c>
      <c r="C4308" s="51">
        <v>1.005</v>
      </c>
      <c r="D4308" s="51">
        <v>68.0</v>
      </c>
      <c r="E4308" s="52" t="s">
        <v>25</v>
      </c>
      <c r="F4308" s="52" t="s">
        <v>26</v>
      </c>
      <c r="G4308" s="53"/>
    </row>
    <row r="4309">
      <c r="A4309" s="49">
        <v>44739.72527446759</v>
      </c>
      <c r="B4309" s="50">
        <v>44739.8502480439</v>
      </c>
      <c r="C4309" s="51">
        <v>1.005</v>
      </c>
      <c r="D4309" s="51">
        <v>68.0</v>
      </c>
      <c r="E4309" s="52" t="s">
        <v>25</v>
      </c>
      <c r="F4309" s="52" t="s">
        <v>26</v>
      </c>
      <c r="G4309" s="53"/>
    </row>
    <row r="4310">
      <c r="A4310" s="49">
        <v>44739.73569923612</v>
      </c>
      <c r="B4310" s="50">
        <v>44739.8606687384</v>
      </c>
      <c r="C4310" s="51">
        <v>1.005</v>
      </c>
      <c r="D4310" s="51">
        <v>68.0</v>
      </c>
      <c r="E4310" s="52" t="s">
        <v>25</v>
      </c>
      <c r="F4310" s="52" t="s">
        <v>26</v>
      </c>
      <c r="G4310" s="53"/>
    </row>
    <row r="4311">
      <c r="A4311" s="49">
        <v>44739.74610862268</v>
      </c>
      <c r="B4311" s="50">
        <v>44739.8710901273</v>
      </c>
      <c r="C4311" s="51">
        <v>1.005</v>
      </c>
      <c r="D4311" s="51">
        <v>68.0</v>
      </c>
      <c r="E4311" s="52" t="s">
        <v>25</v>
      </c>
      <c r="F4311" s="52" t="s">
        <v>26</v>
      </c>
      <c r="G4311" s="53"/>
    </row>
    <row r="4312">
      <c r="A4312" s="49">
        <v>44739.75654615741</v>
      </c>
      <c r="B4312" s="50">
        <v>44739.8815121643</v>
      </c>
      <c r="C4312" s="51">
        <v>1.005</v>
      </c>
      <c r="D4312" s="51">
        <v>68.0</v>
      </c>
      <c r="E4312" s="52" t="s">
        <v>25</v>
      </c>
      <c r="F4312" s="52" t="s">
        <v>26</v>
      </c>
      <c r="G4312" s="53"/>
    </row>
    <row r="4313">
      <c r="A4313" s="49">
        <v>44739.7669887963</v>
      </c>
      <c r="B4313" s="50">
        <v>44739.8919672106</v>
      </c>
      <c r="C4313" s="51">
        <v>1.005</v>
      </c>
      <c r="D4313" s="51">
        <v>68.0</v>
      </c>
      <c r="E4313" s="52" t="s">
        <v>25</v>
      </c>
      <c r="F4313" s="52" t="s">
        <v>26</v>
      </c>
      <c r="G4313" s="53"/>
    </row>
    <row r="4314">
      <c r="A4314" s="49">
        <v>44739.777405625</v>
      </c>
      <c r="B4314" s="50">
        <v>44739.9023873726</v>
      </c>
      <c r="C4314" s="51">
        <v>1.005</v>
      </c>
      <c r="D4314" s="51">
        <v>68.0</v>
      </c>
      <c r="E4314" s="52" t="s">
        <v>25</v>
      </c>
      <c r="F4314" s="52" t="s">
        <v>26</v>
      </c>
      <c r="G4314" s="53"/>
    </row>
    <row r="4315">
      <c r="A4315" s="49">
        <v>44739.78783298611</v>
      </c>
      <c r="B4315" s="50">
        <v>44739.9128093055</v>
      </c>
      <c r="C4315" s="51">
        <v>1.005</v>
      </c>
      <c r="D4315" s="51">
        <v>68.0</v>
      </c>
      <c r="E4315" s="52" t="s">
        <v>25</v>
      </c>
      <c r="F4315" s="52" t="s">
        <v>26</v>
      </c>
      <c r="G4315" s="53"/>
    </row>
    <row r="4316">
      <c r="A4316" s="49">
        <v>44739.798261620366</v>
      </c>
      <c r="B4316" s="50">
        <v>44739.9232318055</v>
      </c>
      <c r="C4316" s="51">
        <v>1.005</v>
      </c>
      <c r="D4316" s="51">
        <v>68.0</v>
      </c>
      <c r="E4316" s="52" t="s">
        <v>25</v>
      </c>
      <c r="F4316" s="52" t="s">
        <v>26</v>
      </c>
      <c r="G4316" s="53"/>
    </row>
    <row r="4317">
      <c r="A4317" s="49">
        <v>44739.808680381946</v>
      </c>
      <c r="B4317" s="50">
        <v>44739.9336527777</v>
      </c>
      <c r="C4317" s="51">
        <v>1.005</v>
      </c>
      <c r="D4317" s="51">
        <v>68.0</v>
      </c>
      <c r="E4317" s="52" t="s">
        <v>25</v>
      </c>
      <c r="F4317" s="52" t="s">
        <v>26</v>
      </c>
      <c r="G4317" s="53"/>
    </row>
    <row r="4318">
      <c r="A4318" s="49">
        <v>44739.81910115741</v>
      </c>
      <c r="B4318" s="50">
        <v>44739.9440722106</v>
      </c>
      <c r="C4318" s="51">
        <v>1.005</v>
      </c>
      <c r="D4318" s="51">
        <v>68.0</v>
      </c>
      <c r="E4318" s="52" t="s">
        <v>25</v>
      </c>
      <c r="F4318" s="52" t="s">
        <v>26</v>
      </c>
      <c r="G4318" s="53"/>
    </row>
    <row r="4319">
      <c r="A4319" s="49">
        <v>44739.829515150464</v>
      </c>
      <c r="B4319" s="50">
        <v>44739.9544934838</v>
      </c>
      <c r="C4319" s="51">
        <v>1.005</v>
      </c>
      <c r="D4319" s="51">
        <v>68.0</v>
      </c>
      <c r="E4319" s="52" t="s">
        <v>25</v>
      </c>
      <c r="F4319" s="52" t="s">
        <v>26</v>
      </c>
      <c r="G4319" s="53"/>
    </row>
    <row r="4320">
      <c r="A4320" s="49">
        <v>44739.83994439815</v>
      </c>
      <c r="B4320" s="50">
        <v>44739.964915</v>
      </c>
      <c r="C4320" s="51">
        <v>1.005</v>
      </c>
      <c r="D4320" s="51">
        <v>68.0</v>
      </c>
      <c r="E4320" s="52" t="s">
        <v>25</v>
      </c>
      <c r="F4320" s="52" t="s">
        <v>26</v>
      </c>
      <c r="G4320" s="53"/>
    </row>
    <row r="4321">
      <c r="A4321" s="49">
        <v>44739.850358125</v>
      </c>
      <c r="B4321" s="50">
        <v>44739.9753351157</v>
      </c>
      <c r="C4321" s="51">
        <v>1.005</v>
      </c>
      <c r="D4321" s="51">
        <v>68.0</v>
      </c>
      <c r="E4321" s="52" t="s">
        <v>25</v>
      </c>
      <c r="F4321" s="52" t="s">
        <v>26</v>
      </c>
      <c r="G4321" s="53"/>
    </row>
    <row r="4322">
      <c r="A4322" s="49">
        <v>44739.860786261575</v>
      </c>
      <c r="B4322" s="50">
        <v>44739.9857571296</v>
      </c>
      <c r="C4322" s="51">
        <v>1.005</v>
      </c>
      <c r="D4322" s="51">
        <v>68.0</v>
      </c>
      <c r="E4322" s="52" t="s">
        <v>25</v>
      </c>
      <c r="F4322" s="52" t="s">
        <v>26</v>
      </c>
      <c r="G4322" s="53"/>
    </row>
    <row r="4323">
      <c r="A4323" s="49">
        <v>44739.8712009375</v>
      </c>
      <c r="B4323" s="50">
        <v>44739.9961770833</v>
      </c>
      <c r="C4323" s="51">
        <v>1.005</v>
      </c>
      <c r="D4323" s="51">
        <v>68.0</v>
      </c>
      <c r="E4323" s="52" t="s">
        <v>25</v>
      </c>
      <c r="F4323" s="52" t="s">
        <v>26</v>
      </c>
      <c r="G4323" s="53"/>
    </row>
    <row r="4324">
      <c r="A4324" s="49">
        <v>44739.88162768519</v>
      </c>
      <c r="B4324" s="50">
        <v>44740.0065978588</v>
      </c>
      <c r="C4324" s="51">
        <v>1.005</v>
      </c>
      <c r="D4324" s="51">
        <v>68.0</v>
      </c>
      <c r="E4324" s="52" t="s">
        <v>25</v>
      </c>
      <c r="F4324" s="52" t="s">
        <v>26</v>
      </c>
      <c r="G4324" s="53"/>
    </row>
    <row r="4325">
      <c r="A4325" s="49">
        <v>44739.89204060185</v>
      </c>
      <c r="B4325" s="50">
        <v>44740.0170202314</v>
      </c>
      <c r="C4325" s="51">
        <v>1.005</v>
      </c>
      <c r="D4325" s="51">
        <v>68.0</v>
      </c>
      <c r="E4325" s="52" t="s">
        <v>25</v>
      </c>
      <c r="F4325" s="52" t="s">
        <v>26</v>
      </c>
      <c r="G4325" s="53"/>
    </row>
    <row r="4326">
      <c r="A4326" s="49">
        <v>44739.90246596065</v>
      </c>
      <c r="B4326" s="50">
        <v>44740.0274412615</v>
      </c>
      <c r="C4326" s="51">
        <v>1.005</v>
      </c>
      <c r="D4326" s="51">
        <v>68.0</v>
      </c>
      <c r="E4326" s="52" t="s">
        <v>25</v>
      </c>
      <c r="F4326" s="52" t="s">
        <v>26</v>
      </c>
      <c r="G4326" s="53"/>
    </row>
    <row r="4327">
      <c r="A4327" s="49">
        <v>44739.912885729165</v>
      </c>
      <c r="B4327" s="50">
        <v>44740.0378616898</v>
      </c>
      <c r="C4327" s="51">
        <v>1.005</v>
      </c>
      <c r="D4327" s="51">
        <v>68.0</v>
      </c>
      <c r="E4327" s="52" t="s">
        <v>25</v>
      </c>
      <c r="F4327" s="52" t="s">
        <v>26</v>
      </c>
      <c r="G4327" s="53"/>
    </row>
    <row r="4328">
      <c r="A4328" s="49">
        <v>44739.92330361111</v>
      </c>
      <c r="B4328" s="50">
        <v>44740.0482806365</v>
      </c>
      <c r="C4328" s="51">
        <v>1.005</v>
      </c>
      <c r="D4328" s="51">
        <v>68.0</v>
      </c>
      <c r="E4328" s="52" t="s">
        <v>25</v>
      </c>
      <c r="F4328" s="52" t="s">
        <v>26</v>
      </c>
      <c r="G4328" s="53"/>
    </row>
    <row r="4329">
      <c r="A4329" s="49">
        <v>44739.93373059027</v>
      </c>
      <c r="B4329" s="50">
        <v>44740.0587013888</v>
      </c>
      <c r="C4329" s="51">
        <v>1.005</v>
      </c>
      <c r="D4329" s="51">
        <v>68.0</v>
      </c>
      <c r="E4329" s="52" t="s">
        <v>25</v>
      </c>
      <c r="F4329" s="52" t="s">
        <v>26</v>
      </c>
      <c r="G4329" s="53"/>
    </row>
    <row r="4330">
      <c r="A4330" s="49">
        <v>44739.944163645836</v>
      </c>
      <c r="B4330" s="50">
        <v>44740.0691356828</v>
      </c>
      <c r="C4330" s="51">
        <v>1.005</v>
      </c>
      <c r="D4330" s="51">
        <v>68.0</v>
      </c>
      <c r="E4330" s="52" t="s">
        <v>25</v>
      </c>
      <c r="F4330" s="52" t="s">
        <v>26</v>
      </c>
      <c r="G4330" s="53"/>
    </row>
    <row r="4331">
      <c r="A4331" s="49">
        <v>44739.95460116898</v>
      </c>
      <c r="B4331" s="50">
        <v>44740.0795693402</v>
      </c>
      <c r="C4331" s="51">
        <v>1.005</v>
      </c>
      <c r="D4331" s="51">
        <v>68.0</v>
      </c>
      <c r="E4331" s="52" t="s">
        <v>25</v>
      </c>
      <c r="F4331" s="52" t="s">
        <v>26</v>
      </c>
      <c r="G4331" s="53"/>
    </row>
    <row r="4332">
      <c r="A4332" s="49">
        <v>44739.96500972222</v>
      </c>
      <c r="B4332" s="50">
        <v>44740.0899904282</v>
      </c>
      <c r="C4332" s="51">
        <v>1.005</v>
      </c>
      <c r="D4332" s="51">
        <v>68.0</v>
      </c>
      <c r="E4332" s="52" t="s">
        <v>25</v>
      </c>
      <c r="F4332" s="52" t="s">
        <v>26</v>
      </c>
      <c r="G4332" s="53"/>
    </row>
    <row r="4333">
      <c r="A4333" s="49">
        <v>44739.975435625005</v>
      </c>
      <c r="B4333" s="50">
        <v>44740.1004108449</v>
      </c>
      <c r="C4333" s="51">
        <v>1.005</v>
      </c>
      <c r="D4333" s="51">
        <v>68.0</v>
      </c>
      <c r="E4333" s="52" t="s">
        <v>25</v>
      </c>
      <c r="F4333" s="52" t="s">
        <v>26</v>
      </c>
      <c r="G4333" s="53"/>
    </row>
    <row r="4334">
      <c r="A4334" s="49">
        <v>44739.98585489583</v>
      </c>
      <c r="B4334" s="50">
        <v>44740.1108334027</v>
      </c>
      <c r="C4334" s="51">
        <v>1.005</v>
      </c>
      <c r="D4334" s="51">
        <v>68.0</v>
      </c>
      <c r="E4334" s="52" t="s">
        <v>25</v>
      </c>
      <c r="F4334" s="52" t="s">
        <v>26</v>
      </c>
      <c r="G4334" s="53"/>
    </row>
    <row r="4335">
      <c r="A4335" s="49">
        <v>44739.99630716435</v>
      </c>
      <c r="B4335" s="50">
        <v>44740.1212789583</v>
      </c>
      <c r="C4335" s="51">
        <v>1.005</v>
      </c>
      <c r="D4335" s="51">
        <v>68.0</v>
      </c>
      <c r="E4335" s="52" t="s">
        <v>25</v>
      </c>
      <c r="F4335" s="52" t="s">
        <v>26</v>
      </c>
      <c r="G4335" s="53"/>
    </row>
    <row r="4336">
      <c r="A4336" s="49">
        <v>44740.00671734953</v>
      </c>
      <c r="B4336" s="50">
        <v>44740.1317008217</v>
      </c>
      <c r="C4336" s="51">
        <v>1.005</v>
      </c>
      <c r="D4336" s="51">
        <v>68.0</v>
      </c>
      <c r="E4336" s="52" t="s">
        <v>25</v>
      </c>
      <c r="F4336" s="52" t="s">
        <v>26</v>
      </c>
      <c r="G4336" s="53"/>
    </row>
    <row r="4337">
      <c r="A4337" s="49">
        <v>44740.01714715278</v>
      </c>
      <c r="B4337" s="50">
        <v>44740.1421223379</v>
      </c>
      <c r="C4337" s="51">
        <v>1.005</v>
      </c>
      <c r="D4337" s="51">
        <v>68.0</v>
      </c>
      <c r="E4337" s="52" t="s">
        <v>25</v>
      </c>
      <c r="F4337" s="52" t="s">
        <v>26</v>
      </c>
      <c r="G4337" s="53"/>
    </row>
    <row r="4338">
      <c r="A4338" s="49">
        <v>44740.02757605324</v>
      </c>
      <c r="B4338" s="50">
        <v>44740.152544456</v>
      </c>
      <c r="C4338" s="51">
        <v>1.005</v>
      </c>
      <c r="D4338" s="51">
        <v>68.0</v>
      </c>
      <c r="E4338" s="52" t="s">
        <v>25</v>
      </c>
      <c r="F4338" s="52" t="s">
        <v>26</v>
      </c>
      <c r="G4338" s="53"/>
    </row>
    <row r="4339">
      <c r="A4339" s="49">
        <v>44740.03798609954</v>
      </c>
      <c r="B4339" s="50">
        <v>44740.1629655902</v>
      </c>
      <c r="C4339" s="51">
        <v>1.005</v>
      </c>
      <c r="D4339" s="51">
        <v>68.0</v>
      </c>
      <c r="E4339" s="52" t="s">
        <v>25</v>
      </c>
      <c r="F4339" s="52" t="s">
        <v>26</v>
      </c>
      <c r="G4339" s="53"/>
    </row>
    <row r="4340">
      <c r="A4340" s="49">
        <v>44740.04841050926</v>
      </c>
      <c r="B4340" s="50">
        <v>44740.1733853356</v>
      </c>
      <c r="C4340" s="51">
        <v>1.005</v>
      </c>
      <c r="D4340" s="51">
        <v>68.0</v>
      </c>
      <c r="E4340" s="52" t="s">
        <v>25</v>
      </c>
      <c r="F4340" s="52" t="s">
        <v>26</v>
      </c>
      <c r="G4340" s="53"/>
    </row>
    <row r="4341">
      <c r="A4341" s="49">
        <v>44740.058824907406</v>
      </c>
      <c r="B4341" s="50">
        <v>44740.1838063541</v>
      </c>
      <c r="C4341" s="51">
        <v>1.005</v>
      </c>
      <c r="D4341" s="51">
        <v>68.0</v>
      </c>
      <c r="E4341" s="52" t="s">
        <v>25</v>
      </c>
      <c r="F4341" s="52" t="s">
        <v>26</v>
      </c>
      <c r="G4341" s="53"/>
    </row>
    <row r="4342">
      <c r="A4342" s="49">
        <v>44740.06925648148</v>
      </c>
      <c r="B4342" s="50">
        <v>44740.1942260069</v>
      </c>
      <c r="C4342" s="51">
        <v>1.005</v>
      </c>
      <c r="D4342" s="51">
        <v>68.0</v>
      </c>
      <c r="E4342" s="52" t="s">
        <v>25</v>
      </c>
      <c r="F4342" s="52" t="s">
        <v>26</v>
      </c>
      <c r="G4342" s="53"/>
    </row>
    <row r="4343">
      <c r="A4343" s="49">
        <v>44740.07968726852</v>
      </c>
      <c r="B4343" s="50">
        <v>44740.2046582754</v>
      </c>
      <c r="C4343" s="51">
        <v>1.005</v>
      </c>
      <c r="D4343" s="51">
        <v>68.0</v>
      </c>
      <c r="E4343" s="52" t="s">
        <v>25</v>
      </c>
      <c r="F4343" s="52" t="s">
        <v>26</v>
      </c>
      <c r="G4343" s="53"/>
    </row>
    <row r="4344">
      <c r="A4344" s="49">
        <v>44740.090100636575</v>
      </c>
      <c r="B4344" s="50">
        <v>44740.2150791666</v>
      </c>
      <c r="C4344" s="51">
        <v>1.005</v>
      </c>
      <c r="D4344" s="51">
        <v>68.0</v>
      </c>
      <c r="E4344" s="52" t="s">
        <v>25</v>
      </c>
      <c r="F4344" s="52" t="s">
        <v>26</v>
      </c>
      <c r="G4344" s="53"/>
    </row>
    <row r="4345">
      <c r="A4345" s="49">
        <v>44740.10052449074</v>
      </c>
      <c r="B4345" s="50">
        <v>44740.2255006134</v>
      </c>
      <c r="C4345" s="51">
        <v>1.005</v>
      </c>
      <c r="D4345" s="51">
        <v>68.0</v>
      </c>
      <c r="E4345" s="52" t="s">
        <v>25</v>
      </c>
      <c r="F4345" s="52" t="s">
        <v>26</v>
      </c>
      <c r="G4345" s="53"/>
    </row>
    <row r="4346">
      <c r="A4346" s="49">
        <v>44740.11093972222</v>
      </c>
      <c r="B4346" s="50">
        <v>44740.23592125</v>
      </c>
      <c r="C4346" s="51">
        <v>1.005</v>
      </c>
      <c r="D4346" s="51">
        <v>68.0</v>
      </c>
      <c r="E4346" s="52" t="s">
        <v>25</v>
      </c>
      <c r="F4346" s="52" t="s">
        <v>26</v>
      </c>
      <c r="G4346" s="53"/>
    </row>
    <row r="4347">
      <c r="A4347" s="49">
        <v>44740.12136975695</v>
      </c>
      <c r="B4347" s="50">
        <v>44740.2463425</v>
      </c>
      <c r="C4347" s="51">
        <v>1.005</v>
      </c>
      <c r="D4347" s="51">
        <v>68.0</v>
      </c>
      <c r="E4347" s="52" t="s">
        <v>25</v>
      </c>
      <c r="F4347" s="52" t="s">
        <v>26</v>
      </c>
      <c r="G4347" s="53"/>
    </row>
    <row r="4348">
      <c r="A4348" s="49">
        <v>44740.13178930555</v>
      </c>
      <c r="B4348" s="50">
        <v>44740.2567637615</v>
      </c>
      <c r="C4348" s="51">
        <v>1.005</v>
      </c>
      <c r="D4348" s="51">
        <v>68.0</v>
      </c>
      <c r="E4348" s="52" t="s">
        <v>25</v>
      </c>
      <c r="F4348" s="52" t="s">
        <v>26</v>
      </c>
      <c r="G4348" s="53"/>
    </row>
    <row r="4349">
      <c r="A4349" s="49">
        <v>44740.14220321759</v>
      </c>
      <c r="B4349" s="50">
        <v>44740.2671855787</v>
      </c>
      <c r="C4349" s="51">
        <v>1.005</v>
      </c>
      <c r="D4349" s="51">
        <v>68.0</v>
      </c>
      <c r="E4349" s="52" t="s">
        <v>25</v>
      </c>
      <c r="F4349" s="52" t="s">
        <v>26</v>
      </c>
      <c r="G4349" s="53"/>
    </row>
    <row r="4350">
      <c r="A4350" s="49">
        <v>44740.15262851852</v>
      </c>
      <c r="B4350" s="50">
        <v>44740.2776074421</v>
      </c>
      <c r="C4350" s="51">
        <v>1.005</v>
      </c>
      <c r="D4350" s="51">
        <v>68.0</v>
      </c>
      <c r="E4350" s="52" t="s">
        <v>25</v>
      </c>
      <c r="F4350" s="52" t="s">
        <v>26</v>
      </c>
      <c r="G4350" s="53"/>
    </row>
    <row r="4351">
      <c r="A4351" s="49">
        <v>44740.16305959491</v>
      </c>
      <c r="B4351" s="50">
        <v>44740.2880275578</v>
      </c>
      <c r="C4351" s="51">
        <v>1.005</v>
      </c>
      <c r="D4351" s="51">
        <v>68.0</v>
      </c>
      <c r="E4351" s="52" t="s">
        <v>25</v>
      </c>
      <c r="F4351" s="52" t="s">
        <v>26</v>
      </c>
      <c r="G4351" s="53"/>
    </row>
    <row r="4352">
      <c r="A4352" s="49">
        <v>44740.17347252315</v>
      </c>
      <c r="B4352" s="50">
        <v>44740.2984487268</v>
      </c>
      <c r="C4352" s="51">
        <v>1.004</v>
      </c>
      <c r="D4352" s="51">
        <v>68.0</v>
      </c>
      <c r="E4352" s="52" t="s">
        <v>25</v>
      </c>
      <c r="F4352" s="52" t="s">
        <v>26</v>
      </c>
      <c r="G4352" s="53"/>
    </row>
    <row r="4353">
      <c r="A4353" s="49">
        <v>44740.18389635417</v>
      </c>
      <c r="B4353" s="50">
        <v>44740.3088694097</v>
      </c>
      <c r="C4353" s="51">
        <v>1.005</v>
      </c>
      <c r="D4353" s="51">
        <v>68.0</v>
      </c>
      <c r="E4353" s="52" t="s">
        <v>25</v>
      </c>
      <c r="F4353" s="52" t="s">
        <v>26</v>
      </c>
      <c r="G4353" s="53"/>
    </row>
    <row r="4354">
      <c r="A4354" s="49">
        <v>44740.19431604167</v>
      </c>
      <c r="B4354" s="50">
        <v>44740.3192892245</v>
      </c>
      <c r="C4354" s="51">
        <v>1.005</v>
      </c>
      <c r="D4354" s="51">
        <v>68.0</v>
      </c>
      <c r="E4354" s="52" t="s">
        <v>25</v>
      </c>
      <c r="F4354" s="52" t="s">
        <v>26</v>
      </c>
      <c r="G4354" s="53"/>
    </row>
    <row r="4355">
      <c r="A4355" s="49">
        <v>44740.20473650463</v>
      </c>
      <c r="B4355" s="50">
        <v>44740.3297122453</v>
      </c>
      <c r="C4355" s="51">
        <v>1.005</v>
      </c>
      <c r="D4355" s="51">
        <v>68.0</v>
      </c>
      <c r="E4355" s="52" t="s">
        <v>25</v>
      </c>
      <c r="F4355" s="52" t="s">
        <v>26</v>
      </c>
      <c r="G4355" s="53"/>
    </row>
    <row r="4356">
      <c r="A4356" s="49">
        <v>44740.21517473379</v>
      </c>
      <c r="B4356" s="50">
        <v>44740.3401455439</v>
      </c>
      <c r="C4356" s="51">
        <v>1.005</v>
      </c>
      <c r="D4356" s="51">
        <v>68.0</v>
      </c>
      <c r="E4356" s="52" t="s">
        <v>25</v>
      </c>
      <c r="F4356" s="52" t="s">
        <v>26</v>
      </c>
      <c r="G4356" s="53"/>
    </row>
    <row r="4357">
      <c r="A4357" s="49">
        <v>44740.22558991898</v>
      </c>
      <c r="B4357" s="50">
        <v>44740.3505675</v>
      </c>
      <c r="C4357" s="51">
        <v>1.005</v>
      </c>
      <c r="D4357" s="51">
        <v>69.0</v>
      </c>
      <c r="E4357" s="52" t="s">
        <v>25</v>
      </c>
      <c r="F4357" s="52" t="s">
        <v>26</v>
      </c>
      <c r="G4357" s="53"/>
    </row>
    <row r="4358">
      <c r="A4358" s="49">
        <v>44740.23601861111</v>
      </c>
      <c r="B4358" s="50">
        <v>44740.3609880902</v>
      </c>
      <c r="C4358" s="51">
        <v>1.005</v>
      </c>
      <c r="D4358" s="51">
        <v>69.0</v>
      </c>
      <c r="E4358" s="52" t="s">
        <v>25</v>
      </c>
      <c r="F4358" s="52" t="s">
        <v>26</v>
      </c>
      <c r="G4358" s="53"/>
    </row>
    <row r="4359">
      <c r="A4359" s="49">
        <v>44740.24643667824</v>
      </c>
      <c r="B4359" s="50">
        <v>44740.371409155</v>
      </c>
      <c r="C4359" s="51">
        <v>1.005</v>
      </c>
      <c r="D4359" s="51">
        <v>68.0</v>
      </c>
      <c r="E4359" s="52" t="s">
        <v>25</v>
      </c>
      <c r="F4359" s="52" t="s">
        <v>26</v>
      </c>
      <c r="G4359" s="53"/>
    </row>
    <row r="4360">
      <c r="A4360" s="49">
        <v>44740.256858333334</v>
      </c>
      <c r="B4360" s="50">
        <v>44740.3818299768</v>
      </c>
      <c r="C4360" s="51">
        <v>1.005</v>
      </c>
      <c r="D4360" s="51">
        <v>69.0</v>
      </c>
      <c r="E4360" s="52" t="s">
        <v>25</v>
      </c>
      <c r="F4360" s="52" t="s">
        <v>26</v>
      </c>
      <c r="G4360" s="53"/>
    </row>
    <row r="4361">
      <c r="A4361" s="49">
        <v>44740.26727438657</v>
      </c>
      <c r="B4361" s="50">
        <v>44740.3922521643</v>
      </c>
      <c r="C4361" s="51">
        <v>1.005</v>
      </c>
      <c r="D4361" s="51">
        <v>69.0</v>
      </c>
      <c r="E4361" s="52" t="s">
        <v>25</v>
      </c>
      <c r="F4361" s="52" t="s">
        <v>26</v>
      </c>
      <c r="G4361" s="53"/>
    </row>
    <row r="4362">
      <c r="A4362" s="49">
        <v>44740.277707430556</v>
      </c>
      <c r="B4362" s="50">
        <v>44740.4026852893</v>
      </c>
      <c r="C4362" s="51">
        <v>1.005</v>
      </c>
      <c r="D4362" s="51">
        <v>69.0</v>
      </c>
      <c r="E4362" s="52" t="s">
        <v>25</v>
      </c>
      <c r="F4362" s="52" t="s">
        <v>26</v>
      </c>
      <c r="G4362" s="53"/>
    </row>
    <row r="4363">
      <c r="A4363" s="49">
        <v>44740.28813342593</v>
      </c>
      <c r="B4363" s="50">
        <v>44740.4131067129</v>
      </c>
      <c r="C4363" s="51">
        <v>1.005</v>
      </c>
      <c r="D4363" s="51">
        <v>69.0</v>
      </c>
      <c r="E4363" s="52" t="s">
        <v>25</v>
      </c>
      <c r="F4363" s="52" t="s">
        <v>26</v>
      </c>
      <c r="G4363" s="53"/>
    </row>
    <row r="4364">
      <c r="A4364" s="49">
        <v>44740.29856380787</v>
      </c>
      <c r="B4364" s="50">
        <v>44740.4235405324</v>
      </c>
      <c r="C4364" s="51">
        <v>1.005</v>
      </c>
      <c r="D4364" s="51">
        <v>69.0</v>
      </c>
      <c r="E4364" s="52" t="s">
        <v>25</v>
      </c>
      <c r="F4364" s="52" t="s">
        <v>26</v>
      </c>
      <c r="G4364" s="53"/>
    </row>
    <row r="4365">
      <c r="A4365" s="49">
        <v>44740.30898634259</v>
      </c>
      <c r="B4365" s="50">
        <v>44740.433961331</v>
      </c>
      <c r="C4365" s="51">
        <v>1.005</v>
      </c>
      <c r="D4365" s="51">
        <v>69.0</v>
      </c>
      <c r="E4365" s="52" t="s">
        <v>25</v>
      </c>
      <c r="F4365" s="52" t="s">
        <v>26</v>
      </c>
      <c r="G4365" s="53"/>
    </row>
    <row r="4366">
      <c r="A4366" s="49">
        <v>44740.31940445602</v>
      </c>
      <c r="B4366" s="50">
        <v>44740.4443792129</v>
      </c>
      <c r="C4366" s="51">
        <v>1.005</v>
      </c>
      <c r="D4366" s="51">
        <v>69.0</v>
      </c>
      <c r="E4366" s="52" t="s">
        <v>25</v>
      </c>
      <c r="F4366" s="52" t="s">
        <v>26</v>
      </c>
      <c r="G4366" s="53"/>
    </row>
    <row r="4367">
      <c r="A4367" s="49">
        <v>44740.32982666667</v>
      </c>
      <c r="B4367" s="50">
        <v>44740.4548000231</v>
      </c>
      <c r="C4367" s="51">
        <v>1.005</v>
      </c>
      <c r="D4367" s="51">
        <v>69.0</v>
      </c>
      <c r="E4367" s="52" t="s">
        <v>25</v>
      </c>
      <c r="F4367" s="52" t="s">
        <v>26</v>
      </c>
      <c r="G4367" s="53"/>
    </row>
    <row r="4368">
      <c r="A4368" s="49">
        <v>44740.340244363426</v>
      </c>
      <c r="B4368" s="50">
        <v>44740.465221331</v>
      </c>
      <c r="C4368" s="51">
        <v>1.005</v>
      </c>
      <c r="D4368" s="51">
        <v>69.0</v>
      </c>
      <c r="E4368" s="52" t="s">
        <v>25</v>
      </c>
      <c r="F4368" s="52" t="s">
        <v>26</v>
      </c>
      <c r="G4368" s="53"/>
    </row>
    <row r="4369">
      <c r="A4369" s="49">
        <v>44740.350672291665</v>
      </c>
      <c r="B4369" s="50">
        <v>44740.475642581</v>
      </c>
      <c r="C4369" s="51">
        <v>1.005</v>
      </c>
      <c r="D4369" s="51">
        <v>69.0</v>
      </c>
      <c r="E4369" s="52" t="s">
        <v>25</v>
      </c>
      <c r="F4369" s="52" t="s">
        <v>26</v>
      </c>
      <c r="G4369" s="53"/>
    </row>
    <row r="4370">
      <c r="A4370" s="49">
        <v>44740.3610996875</v>
      </c>
      <c r="B4370" s="50">
        <v>44740.4860759143</v>
      </c>
      <c r="C4370" s="51">
        <v>1.004</v>
      </c>
      <c r="D4370" s="51">
        <v>69.0</v>
      </c>
      <c r="E4370" s="52" t="s">
        <v>25</v>
      </c>
      <c r="F4370" s="52" t="s">
        <v>26</v>
      </c>
      <c r="G4370" s="53"/>
    </row>
    <row r="4371">
      <c r="A4371" s="49">
        <v>44740.371528090276</v>
      </c>
      <c r="B4371" s="50">
        <v>44740.4964962847</v>
      </c>
      <c r="C4371" s="51">
        <v>1.005</v>
      </c>
      <c r="D4371" s="51">
        <v>69.0</v>
      </c>
      <c r="E4371" s="52" t="s">
        <v>25</v>
      </c>
      <c r="F4371" s="52" t="s">
        <v>26</v>
      </c>
      <c r="G4371" s="53"/>
    </row>
    <row r="4372">
      <c r="A4372" s="49">
        <v>44740.38195678241</v>
      </c>
      <c r="B4372" s="50">
        <v>44740.5069292939</v>
      </c>
      <c r="C4372" s="51">
        <v>1.005</v>
      </c>
      <c r="D4372" s="51">
        <v>69.0</v>
      </c>
      <c r="E4372" s="52" t="s">
        <v>25</v>
      </c>
      <c r="F4372" s="52" t="s">
        <v>26</v>
      </c>
      <c r="G4372" s="53"/>
    </row>
    <row r="4373">
      <c r="A4373" s="49">
        <v>44740.39237263889</v>
      </c>
      <c r="B4373" s="50">
        <v>44740.5173512731</v>
      </c>
      <c r="C4373" s="51">
        <v>1.005</v>
      </c>
      <c r="D4373" s="51">
        <v>69.0</v>
      </c>
      <c r="E4373" s="52" t="s">
        <v>25</v>
      </c>
      <c r="F4373" s="52" t="s">
        <v>26</v>
      </c>
      <c r="G4373" s="53"/>
    </row>
    <row r="4374">
      <c r="A4374" s="49">
        <v>44740.40280391204</v>
      </c>
      <c r="B4374" s="50">
        <v>44740.5277713541</v>
      </c>
      <c r="C4374" s="51">
        <v>1.005</v>
      </c>
      <c r="D4374" s="51">
        <v>69.0</v>
      </c>
      <c r="E4374" s="52" t="s">
        <v>25</v>
      </c>
      <c r="F4374" s="52" t="s">
        <v>26</v>
      </c>
      <c r="G4374" s="53"/>
    </row>
    <row r="4375">
      <c r="A4375" s="49">
        <v>44740.41322809028</v>
      </c>
      <c r="B4375" s="50">
        <v>44740.5382056713</v>
      </c>
      <c r="C4375" s="51">
        <v>1.005</v>
      </c>
      <c r="D4375" s="51">
        <v>69.0</v>
      </c>
      <c r="E4375" s="52" t="s">
        <v>25</v>
      </c>
      <c r="F4375" s="52" t="s">
        <v>26</v>
      </c>
      <c r="G4375" s="53"/>
    </row>
    <row r="4376">
      <c r="A4376" s="49">
        <v>44740.42365829861</v>
      </c>
      <c r="B4376" s="50">
        <v>44740.5486260185</v>
      </c>
      <c r="C4376" s="51">
        <v>1.005</v>
      </c>
      <c r="D4376" s="51">
        <v>69.0</v>
      </c>
      <c r="E4376" s="52" t="s">
        <v>25</v>
      </c>
      <c r="F4376" s="52" t="s">
        <v>26</v>
      </c>
      <c r="G4376" s="53"/>
    </row>
    <row r="4377">
      <c r="A4377" s="49">
        <v>44740.434084513894</v>
      </c>
      <c r="B4377" s="50">
        <v>44740.5590593402</v>
      </c>
      <c r="C4377" s="51">
        <v>1.005</v>
      </c>
      <c r="D4377" s="51">
        <v>69.0</v>
      </c>
      <c r="E4377" s="52" t="s">
        <v>25</v>
      </c>
      <c r="F4377" s="52" t="s">
        <v>26</v>
      </c>
      <c r="G4377" s="53"/>
    </row>
    <row r="4378">
      <c r="A4378" s="49">
        <v>44740.44451108796</v>
      </c>
      <c r="B4378" s="50">
        <v>44740.5694824189</v>
      </c>
      <c r="C4378" s="51">
        <v>1.005</v>
      </c>
      <c r="D4378" s="51">
        <v>69.0</v>
      </c>
      <c r="E4378" s="52" t="s">
        <v>25</v>
      </c>
      <c r="F4378" s="52" t="s">
        <v>26</v>
      </c>
      <c r="G4378" s="53"/>
    </row>
    <row r="4379">
      <c r="A4379" s="49">
        <v>44740.45495078704</v>
      </c>
      <c r="B4379" s="50">
        <v>44740.5799158101</v>
      </c>
      <c r="C4379" s="51">
        <v>1.005</v>
      </c>
      <c r="D4379" s="51">
        <v>69.0</v>
      </c>
      <c r="E4379" s="52" t="s">
        <v>25</v>
      </c>
      <c r="F4379" s="52" t="s">
        <v>26</v>
      </c>
      <c r="G4379" s="53"/>
    </row>
    <row r="4380">
      <c r="A4380" s="49">
        <v>44740.4653790625</v>
      </c>
      <c r="B4380" s="50">
        <v>44740.5903492824</v>
      </c>
      <c r="C4380" s="51">
        <v>1.005</v>
      </c>
      <c r="D4380" s="51">
        <v>69.0</v>
      </c>
      <c r="E4380" s="52" t="s">
        <v>25</v>
      </c>
      <c r="F4380" s="52" t="s">
        <v>26</v>
      </c>
      <c r="G4380" s="53"/>
    </row>
    <row r="4381">
      <c r="A4381" s="49">
        <v>44740.47579671296</v>
      </c>
      <c r="B4381" s="50">
        <v>44740.6007691666</v>
      </c>
      <c r="C4381" s="51">
        <v>1.005</v>
      </c>
      <c r="D4381" s="51">
        <v>69.0</v>
      </c>
      <c r="E4381" s="52" t="s">
        <v>25</v>
      </c>
      <c r="F4381" s="52" t="s">
        <v>26</v>
      </c>
      <c r="G4381" s="53"/>
    </row>
    <row r="4382">
      <c r="A4382" s="49">
        <v>44740.486211689815</v>
      </c>
      <c r="B4382" s="50">
        <v>44740.6111895601</v>
      </c>
      <c r="C4382" s="51">
        <v>1.005</v>
      </c>
      <c r="D4382" s="51">
        <v>69.0</v>
      </c>
      <c r="E4382" s="52" t="s">
        <v>25</v>
      </c>
      <c r="F4382" s="52" t="s">
        <v>26</v>
      </c>
      <c r="G4382" s="53"/>
    </row>
    <row r="4383">
      <c r="A4383" s="49">
        <v>44740.49664199074</v>
      </c>
      <c r="B4383" s="50">
        <v>44740.6216113426</v>
      </c>
      <c r="C4383" s="51">
        <v>1.005</v>
      </c>
      <c r="D4383" s="51">
        <v>69.0</v>
      </c>
      <c r="E4383" s="52" t="s">
        <v>25</v>
      </c>
      <c r="F4383" s="52" t="s">
        <v>26</v>
      </c>
      <c r="G4383" s="53"/>
    </row>
    <row r="4384">
      <c r="A4384" s="49">
        <v>44740.5070725</v>
      </c>
      <c r="B4384" s="50">
        <v>44740.6320448148</v>
      </c>
      <c r="C4384" s="51">
        <v>1.005</v>
      </c>
      <c r="D4384" s="51">
        <v>69.0</v>
      </c>
      <c r="E4384" s="52" t="s">
        <v>25</v>
      </c>
      <c r="F4384" s="52" t="s">
        <v>26</v>
      </c>
      <c r="G4384" s="53"/>
    </row>
    <row r="4385">
      <c r="A4385" s="49">
        <v>44740.51752547454</v>
      </c>
      <c r="B4385" s="50">
        <v>44740.6424794213</v>
      </c>
      <c r="C4385" s="51">
        <v>1.005</v>
      </c>
      <c r="D4385" s="51">
        <v>69.0</v>
      </c>
      <c r="E4385" s="52" t="s">
        <v>25</v>
      </c>
      <c r="F4385" s="52" t="s">
        <v>26</v>
      </c>
      <c r="G4385" s="53"/>
    </row>
    <row r="4386">
      <c r="A4386" s="49">
        <v>44740.5279278125</v>
      </c>
      <c r="B4386" s="50">
        <v>44740.6529013078</v>
      </c>
      <c r="C4386" s="51">
        <v>1.005</v>
      </c>
      <c r="D4386" s="51">
        <v>69.0</v>
      </c>
      <c r="E4386" s="52" t="s">
        <v>25</v>
      </c>
      <c r="F4386" s="52" t="s">
        <v>26</v>
      </c>
      <c r="G4386" s="53"/>
    </row>
    <row r="4387">
      <c r="A4387" s="49">
        <v>44740.538351157404</v>
      </c>
      <c r="B4387" s="50">
        <v>44740.6633213541</v>
      </c>
      <c r="C4387" s="51">
        <v>1.005</v>
      </c>
      <c r="D4387" s="51">
        <v>69.0</v>
      </c>
      <c r="E4387" s="52" t="s">
        <v>25</v>
      </c>
      <c r="F4387" s="52" t="s">
        <v>26</v>
      </c>
      <c r="G4387" s="53"/>
    </row>
    <row r="4388">
      <c r="A4388" s="49">
        <v>44740.5487819213</v>
      </c>
      <c r="B4388" s="50">
        <v>44740.6737419212</v>
      </c>
      <c r="C4388" s="51">
        <v>1.005</v>
      </c>
      <c r="D4388" s="51">
        <v>69.0</v>
      </c>
      <c r="E4388" s="52" t="s">
        <v>25</v>
      </c>
      <c r="F4388" s="52" t="s">
        <v>26</v>
      </c>
      <c r="G4388" s="53"/>
    </row>
    <row r="4389">
      <c r="A4389" s="49">
        <v>44740.559190810185</v>
      </c>
      <c r="B4389" s="50">
        <v>44740.6841636921</v>
      </c>
      <c r="C4389" s="51">
        <v>1.005</v>
      </c>
      <c r="D4389" s="51">
        <v>69.0</v>
      </c>
      <c r="E4389" s="52" t="s">
        <v>25</v>
      </c>
      <c r="F4389" s="52" t="s">
        <v>26</v>
      </c>
      <c r="G4389" s="53"/>
    </row>
    <row r="4390">
      <c r="A4390" s="49">
        <v>44740.569614444445</v>
      </c>
      <c r="B4390" s="50">
        <v>44740.6945848958</v>
      </c>
      <c r="C4390" s="51">
        <v>1.005</v>
      </c>
      <c r="D4390" s="51">
        <v>69.0</v>
      </c>
      <c r="E4390" s="52" t="s">
        <v>25</v>
      </c>
      <c r="F4390" s="52" t="s">
        <v>26</v>
      </c>
      <c r="G4390" s="53"/>
    </row>
    <row r="4391">
      <c r="A4391" s="49">
        <v>44740.58002849537</v>
      </c>
      <c r="B4391" s="50">
        <v>44740.7050070949</v>
      </c>
      <c r="C4391" s="51">
        <v>1.005</v>
      </c>
      <c r="D4391" s="51">
        <v>69.0</v>
      </c>
      <c r="E4391" s="52" t="s">
        <v>25</v>
      </c>
      <c r="F4391" s="52" t="s">
        <v>26</v>
      </c>
      <c r="G4391" s="53"/>
    </row>
    <row r="4392">
      <c r="A4392" s="49">
        <v>44740.590454143516</v>
      </c>
      <c r="B4392" s="50">
        <v>44740.7154275578</v>
      </c>
      <c r="C4392" s="51">
        <v>1.004</v>
      </c>
      <c r="D4392" s="51">
        <v>69.0</v>
      </c>
      <c r="E4392" s="52" t="s">
        <v>25</v>
      </c>
      <c r="F4392" s="52" t="s">
        <v>26</v>
      </c>
      <c r="G4392" s="53"/>
    </row>
    <row r="4393">
      <c r="A4393" s="49">
        <v>44740.60086679398</v>
      </c>
      <c r="B4393" s="50">
        <v>44740.7258477314</v>
      </c>
      <c r="C4393" s="51">
        <v>1.005</v>
      </c>
      <c r="D4393" s="51">
        <v>69.0</v>
      </c>
      <c r="E4393" s="52" t="s">
        <v>25</v>
      </c>
      <c r="F4393" s="52" t="s">
        <v>26</v>
      </c>
      <c r="G4393" s="53"/>
    </row>
    <row r="4394">
      <c r="A4394" s="49">
        <v>44740.61129663195</v>
      </c>
      <c r="B4394" s="50">
        <v>44740.7362687962</v>
      </c>
      <c r="C4394" s="51">
        <v>1.005</v>
      </c>
      <c r="D4394" s="51">
        <v>69.0</v>
      </c>
      <c r="E4394" s="52" t="s">
        <v>25</v>
      </c>
      <c r="F4394" s="52" t="s">
        <v>26</v>
      </c>
      <c r="G4394" s="53"/>
    </row>
    <row r="4395">
      <c r="A4395" s="49">
        <v>44740.62172688657</v>
      </c>
      <c r="B4395" s="50">
        <v>44740.7467014814</v>
      </c>
      <c r="C4395" s="51">
        <v>1.005</v>
      </c>
      <c r="D4395" s="51">
        <v>69.0</v>
      </c>
      <c r="E4395" s="52" t="s">
        <v>25</v>
      </c>
      <c r="F4395" s="52" t="s">
        <v>26</v>
      </c>
      <c r="G4395" s="53"/>
    </row>
    <row r="4396">
      <c r="A4396" s="49">
        <v>44740.63214565972</v>
      </c>
      <c r="B4396" s="50">
        <v>44740.7571228588</v>
      </c>
      <c r="C4396" s="51">
        <v>1.005</v>
      </c>
      <c r="D4396" s="51">
        <v>69.0</v>
      </c>
      <c r="E4396" s="52" t="s">
        <v>25</v>
      </c>
      <c r="F4396" s="52" t="s">
        <v>26</v>
      </c>
      <c r="G4396" s="53"/>
    </row>
    <row r="4397">
      <c r="A4397" s="49">
        <v>44740.64256662037</v>
      </c>
      <c r="B4397" s="50">
        <v>44740.7675438426</v>
      </c>
      <c r="C4397" s="51">
        <v>1.004</v>
      </c>
      <c r="D4397" s="51">
        <v>69.0</v>
      </c>
      <c r="E4397" s="52" t="s">
        <v>25</v>
      </c>
      <c r="F4397" s="52" t="s">
        <v>26</v>
      </c>
      <c r="G4397" s="53"/>
    </row>
    <row r="4398">
      <c r="A4398" s="49">
        <v>44740.65300773148</v>
      </c>
      <c r="B4398" s="50">
        <v>44740.7779764699</v>
      </c>
      <c r="C4398" s="51">
        <v>1.005</v>
      </c>
      <c r="D4398" s="51">
        <v>69.0</v>
      </c>
      <c r="E4398" s="52" t="s">
        <v>25</v>
      </c>
      <c r="F4398" s="52" t="s">
        <v>26</v>
      </c>
      <c r="G4398" s="53"/>
    </row>
    <row r="4399">
      <c r="A4399" s="49">
        <v>44740.66342621528</v>
      </c>
      <c r="B4399" s="50">
        <v>44740.7883979282</v>
      </c>
      <c r="C4399" s="51">
        <v>1.005</v>
      </c>
      <c r="D4399" s="51">
        <v>69.0</v>
      </c>
      <c r="E4399" s="52" t="s">
        <v>25</v>
      </c>
      <c r="F4399" s="52" t="s">
        <v>26</v>
      </c>
      <c r="G4399" s="53"/>
    </row>
    <row r="4400">
      <c r="A4400" s="49">
        <v>44740.67386570602</v>
      </c>
      <c r="B4400" s="50">
        <v>44740.7988320833</v>
      </c>
      <c r="C4400" s="51">
        <v>1.005</v>
      </c>
      <c r="D4400" s="51">
        <v>69.0</v>
      </c>
      <c r="E4400" s="52" t="s">
        <v>25</v>
      </c>
      <c r="F4400" s="52" t="s">
        <v>26</v>
      </c>
      <c r="G4400" s="53"/>
    </row>
    <row r="4401">
      <c r="A4401" s="49">
        <v>44740.68428336806</v>
      </c>
      <c r="B4401" s="50">
        <v>44740.8092533449</v>
      </c>
      <c r="C4401" s="51">
        <v>1.004</v>
      </c>
      <c r="D4401" s="51">
        <v>69.0</v>
      </c>
      <c r="E4401" s="52" t="s">
        <v>25</v>
      </c>
      <c r="F4401" s="52" t="s">
        <v>26</v>
      </c>
      <c r="G4401" s="53"/>
    </row>
    <row r="4402">
      <c r="A4402" s="49">
        <v>44740.69470641203</v>
      </c>
      <c r="B4402" s="50">
        <v>44740.8196843171</v>
      </c>
      <c r="C4402" s="51">
        <v>1.005</v>
      </c>
      <c r="D4402" s="51">
        <v>69.0</v>
      </c>
      <c r="E4402" s="52" t="s">
        <v>25</v>
      </c>
      <c r="F4402" s="52" t="s">
        <v>26</v>
      </c>
      <c r="G4402" s="53"/>
    </row>
    <row r="4403">
      <c r="A4403" s="49">
        <v>44740.70513501157</v>
      </c>
      <c r="B4403" s="50">
        <v>44740.8301048148</v>
      </c>
      <c r="C4403" s="51">
        <v>1.005</v>
      </c>
      <c r="D4403" s="51">
        <v>69.0</v>
      </c>
      <c r="E4403" s="52" t="s">
        <v>25</v>
      </c>
      <c r="F4403" s="52" t="s">
        <v>26</v>
      </c>
      <c r="G4403" s="53"/>
    </row>
    <row r="4404">
      <c r="A4404" s="49">
        <v>44740.71554747685</v>
      </c>
      <c r="B4404" s="50">
        <v>44740.8405255324</v>
      </c>
      <c r="C4404" s="51">
        <v>1.005</v>
      </c>
      <c r="D4404" s="51">
        <v>69.0</v>
      </c>
      <c r="E4404" s="52" t="s">
        <v>25</v>
      </c>
      <c r="F4404" s="52" t="s">
        <v>26</v>
      </c>
      <c r="G4404" s="53"/>
    </row>
    <row r="4405">
      <c r="A4405" s="49">
        <v>44740.72597449074</v>
      </c>
      <c r="B4405" s="50">
        <v>44740.8509476273</v>
      </c>
      <c r="C4405" s="51">
        <v>1.005</v>
      </c>
      <c r="D4405" s="51">
        <v>69.0</v>
      </c>
      <c r="E4405" s="52" t="s">
        <v>25</v>
      </c>
      <c r="F4405" s="52" t="s">
        <v>26</v>
      </c>
      <c r="G4405" s="53"/>
    </row>
    <row r="4406">
      <c r="A4406" s="49">
        <v>44740.73639959491</v>
      </c>
      <c r="B4406" s="50">
        <v>44740.861368368</v>
      </c>
      <c r="C4406" s="51">
        <v>1.004</v>
      </c>
      <c r="D4406" s="51">
        <v>69.0</v>
      </c>
      <c r="E4406" s="52" t="s">
        <v>25</v>
      </c>
      <c r="F4406" s="52" t="s">
        <v>26</v>
      </c>
      <c r="G4406" s="53"/>
    </row>
    <row r="4407">
      <c r="A4407" s="49">
        <v>44740.74681519676</v>
      </c>
      <c r="B4407" s="50">
        <v>44740.8717897338</v>
      </c>
      <c r="C4407" s="51">
        <v>1.005</v>
      </c>
      <c r="D4407" s="51">
        <v>69.0</v>
      </c>
      <c r="E4407" s="52" t="s">
        <v>25</v>
      </c>
      <c r="F4407" s="52" t="s">
        <v>26</v>
      </c>
      <c r="G4407" s="53"/>
    </row>
    <row r="4408">
      <c r="A4408" s="49">
        <v>44740.75723771991</v>
      </c>
      <c r="B4408" s="50">
        <v>44740.882210868</v>
      </c>
      <c r="C4408" s="51">
        <v>1.005</v>
      </c>
      <c r="D4408" s="51">
        <v>69.0</v>
      </c>
      <c r="E4408" s="52" t="s">
        <v>25</v>
      </c>
      <c r="F4408" s="52" t="s">
        <v>26</v>
      </c>
      <c r="G4408" s="53"/>
    </row>
    <row r="4409">
      <c r="A4409" s="49">
        <v>44740.767658599536</v>
      </c>
      <c r="B4409" s="50">
        <v>44740.8926309027</v>
      </c>
      <c r="C4409" s="51">
        <v>1.005</v>
      </c>
      <c r="D4409" s="51">
        <v>69.0</v>
      </c>
      <c r="E4409" s="52" t="s">
        <v>25</v>
      </c>
      <c r="F4409" s="52" t="s">
        <v>26</v>
      </c>
      <c r="G4409" s="53"/>
    </row>
    <row r="4410">
      <c r="A4410" s="49">
        <v>44740.778072615736</v>
      </c>
      <c r="B4410" s="50">
        <v>44740.903052199</v>
      </c>
      <c r="C4410" s="51">
        <v>1.005</v>
      </c>
      <c r="D4410" s="51">
        <v>69.0</v>
      </c>
      <c r="E4410" s="52" t="s">
        <v>25</v>
      </c>
      <c r="F4410" s="52" t="s">
        <v>26</v>
      </c>
      <c r="G4410" s="53"/>
    </row>
    <row r="4411">
      <c r="A4411" s="49">
        <v>44740.78849847222</v>
      </c>
      <c r="B4411" s="50">
        <v>44740.9134732986</v>
      </c>
      <c r="C4411" s="51">
        <v>1.004</v>
      </c>
      <c r="D4411" s="51">
        <v>69.0</v>
      </c>
      <c r="E4411" s="52" t="s">
        <v>25</v>
      </c>
      <c r="F4411" s="52" t="s">
        <v>26</v>
      </c>
      <c r="G4411" s="53"/>
    </row>
    <row r="4412">
      <c r="A4412" s="49">
        <v>44740.7989211574</v>
      </c>
      <c r="B4412" s="50">
        <v>44740.9238939583</v>
      </c>
      <c r="C4412" s="51">
        <v>1.005</v>
      </c>
      <c r="D4412" s="51">
        <v>69.0</v>
      </c>
      <c r="E4412" s="52" t="s">
        <v>25</v>
      </c>
      <c r="F4412" s="52" t="s">
        <v>26</v>
      </c>
      <c r="G4412" s="53"/>
    </row>
    <row r="4413">
      <c r="A4413" s="49">
        <v>44740.8093568287</v>
      </c>
      <c r="B4413" s="50">
        <v>44740.9343282175</v>
      </c>
      <c r="C4413" s="51">
        <v>1.005</v>
      </c>
      <c r="D4413" s="51">
        <v>69.0</v>
      </c>
      <c r="E4413" s="52" t="s">
        <v>25</v>
      </c>
      <c r="F4413" s="52" t="s">
        <v>26</v>
      </c>
      <c r="G4413" s="53"/>
    </row>
    <row r="4414">
      <c r="A4414" s="49">
        <v>44740.81977011574</v>
      </c>
      <c r="B4414" s="50">
        <v>44740.9447480787</v>
      </c>
      <c r="C4414" s="51">
        <v>1.005</v>
      </c>
      <c r="D4414" s="51">
        <v>69.0</v>
      </c>
      <c r="E4414" s="52" t="s">
        <v>25</v>
      </c>
      <c r="F4414" s="52" t="s">
        <v>26</v>
      </c>
      <c r="G4414" s="53"/>
    </row>
    <row r="4415">
      <c r="A4415" s="49">
        <v>44740.83019756945</v>
      </c>
      <c r="B4415" s="50">
        <v>44740.9551697569</v>
      </c>
      <c r="C4415" s="51">
        <v>1.005</v>
      </c>
      <c r="D4415" s="51">
        <v>69.0</v>
      </c>
      <c r="E4415" s="52" t="s">
        <v>25</v>
      </c>
      <c r="F4415" s="52" t="s">
        <v>26</v>
      </c>
      <c r="G4415" s="53"/>
    </row>
    <row r="4416">
      <c r="A4416" s="49">
        <v>44740.840620752315</v>
      </c>
      <c r="B4416" s="50">
        <v>44740.9655917245</v>
      </c>
      <c r="C4416" s="51">
        <v>1.005</v>
      </c>
      <c r="D4416" s="51">
        <v>69.0</v>
      </c>
      <c r="E4416" s="52" t="s">
        <v>25</v>
      </c>
      <c r="F4416" s="52" t="s">
        <v>26</v>
      </c>
      <c r="G4416" s="53"/>
    </row>
    <row r="4417">
      <c r="A4417" s="49">
        <v>44740.85104167824</v>
      </c>
      <c r="B4417" s="50">
        <v>44740.9760110532</v>
      </c>
      <c r="C4417" s="51">
        <v>1.004</v>
      </c>
      <c r="D4417" s="51">
        <v>69.0</v>
      </c>
      <c r="E4417" s="52" t="s">
        <v>25</v>
      </c>
      <c r="F4417" s="52" t="s">
        <v>26</v>
      </c>
      <c r="G4417" s="53"/>
    </row>
    <row r="4418">
      <c r="A4418" s="49">
        <v>44740.86147537037</v>
      </c>
      <c r="B4418" s="50">
        <v>44740.98644603</v>
      </c>
      <c r="C4418" s="51">
        <v>1.005</v>
      </c>
      <c r="D4418" s="51">
        <v>69.0</v>
      </c>
      <c r="E4418" s="52" t="s">
        <v>25</v>
      </c>
      <c r="F4418" s="52" t="s">
        <v>26</v>
      </c>
      <c r="G4418" s="53"/>
    </row>
    <row r="4419">
      <c r="A4419" s="49">
        <v>44740.87189116898</v>
      </c>
      <c r="B4419" s="50">
        <v>44740.9968672453</v>
      </c>
      <c r="C4419" s="51">
        <v>1.005</v>
      </c>
      <c r="D4419" s="51">
        <v>69.0</v>
      </c>
      <c r="E4419" s="52" t="s">
        <v>25</v>
      </c>
      <c r="F4419" s="52" t="s">
        <v>26</v>
      </c>
      <c r="G4419" s="53"/>
    </row>
    <row r="4420">
      <c r="A4420" s="49">
        <v>44740.8823180787</v>
      </c>
      <c r="B4420" s="50">
        <v>44741.0072882638</v>
      </c>
      <c r="C4420" s="51">
        <v>1.004</v>
      </c>
      <c r="D4420" s="51">
        <v>69.0</v>
      </c>
      <c r="E4420" s="52" t="s">
        <v>25</v>
      </c>
      <c r="F4420" s="52" t="s">
        <v>26</v>
      </c>
      <c r="G4420" s="53"/>
    </row>
    <row r="4421">
      <c r="A4421" s="49">
        <v>44740.89275190972</v>
      </c>
      <c r="B4421" s="50">
        <v>44741.017721574</v>
      </c>
      <c r="C4421" s="51">
        <v>1.005</v>
      </c>
      <c r="D4421" s="51">
        <v>69.0</v>
      </c>
      <c r="E4421" s="52" t="s">
        <v>25</v>
      </c>
      <c r="F4421" s="52" t="s">
        <v>26</v>
      </c>
      <c r="G4421" s="53"/>
    </row>
    <row r="4422">
      <c r="A4422" s="49">
        <v>44740.903171122685</v>
      </c>
      <c r="B4422" s="50">
        <v>44741.0281445601</v>
      </c>
      <c r="C4422" s="51">
        <v>1.005</v>
      </c>
      <c r="D4422" s="51">
        <v>69.0</v>
      </c>
      <c r="E4422" s="52" t="s">
        <v>25</v>
      </c>
      <c r="F4422" s="52" t="s">
        <v>26</v>
      </c>
      <c r="G4422" s="53"/>
    </row>
    <row r="4423">
      <c r="A4423" s="49">
        <v>44740.91359609953</v>
      </c>
      <c r="B4423" s="50">
        <v>44741.0385652199</v>
      </c>
      <c r="C4423" s="51">
        <v>1.005</v>
      </c>
      <c r="D4423" s="51">
        <v>69.0</v>
      </c>
      <c r="E4423" s="52" t="s">
        <v>25</v>
      </c>
      <c r="F4423" s="52" t="s">
        <v>26</v>
      </c>
      <c r="G4423" s="53"/>
    </row>
    <row r="4424">
      <c r="A4424" s="49">
        <v>44740.924012731484</v>
      </c>
      <c r="B4424" s="50">
        <v>44741.048987199</v>
      </c>
      <c r="C4424" s="51">
        <v>1.005</v>
      </c>
      <c r="D4424" s="51">
        <v>69.0</v>
      </c>
      <c r="E4424" s="52" t="s">
        <v>25</v>
      </c>
      <c r="F4424" s="52" t="s">
        <v>26</v>
      </c>
      <c r="G4424" s="53"/>
    </row>
    <row r="4425">
      <c r="A4425" s="49">
        <v>44740.93443233796</v>
      </c>
      <c r="B4425" s="50">
        <v>44741.0594072106</v>
      </c>
      <c r="C4425" s="51">
        <v>1.005</v>
      </c>
      <c r="D4425" s="51">
        <v>69.0</v>
      </c>
      <c r="E4425" s="52" t="s">
        <v>25</v>
      </c>
      <c r="F4425" s="52" t="s">
        <v>26</v>
      </c>
      <c r="G4425" s="53"/>
    </row>
    <row r="4426">
      <c r="A4426" s="49">
        <v>44740.94485372685</v>
      </c>
      <c r="B4426" s="50">
        <v>44741.069828125</v>
      </c>
      <c r="C4426" s="51">
        <v>1.005</v>
      </c>
      <c r="D4426" s="51">
        <v>69.0</v>
      </c>
      <c r="E4426" s="52" t="s">
        <v>25</v>
      </c>
      <c r="F4426" s="52" t="s">
        <v>26</v>
      </c>
      <c r="G4426" s="53"/>
    </row>
    <row r="4427">
      <c r="A4427" s="49">
        <v>44740.95527737269</v>
      </c>
      <c r="B4427" s="50">
        <v>44741.0802514583</v>
      </c>
      <c r="C4427" s="51">
        <v>1.005</v>
      </c>
      <c r="D4427" s="51">
        <v>69.0</v>
      </c>
      <c r="E4427" s="52" t="s">
        <v>25</v>
      </c>
      <c r="F4427" s="52" t="s">
        <v>26</v>
      </c>
      <c r="G4427" s="53"/>
    </row>
    <row r="4428">
      <c r="A4428" s="49">
        <v>44740.96569629629</v>
      </c>
      <c r="B4428" s="50">
        <v>44741.0906738657</v>
      </c>
      <c r="C4428" s="51">
        <v>1.005</v>
      </c>
      <c r="D4428" s="51">
        <v>69.0</v>
      </c>
      <c r="E4428" s="52" t="s">
        <v>25</v>
      </c>
      <c r="F4428" s="52" t="s">
        <v>26</v>
      </c>
      <c r="G4428" s="53"/>
    </row>
    <row r="4429">
      <c r="A4429" s="49">
        <v>44740.97612290509</v>
      </c>
      <c r="B4429" s="50">
        <v>44741.1010942824</v>
      </c>
      <c r="C4429" s="51">
        <v>1.005</v>
      </c>
      <c r="D4429" s="51">
        <v>69.0</v>
      </c>
      <c r="E4429" s="52" t="s">
        <v>25</v>
      </c>
      <c r="F4429" s="52" t="s">
        <v>26</v>
      </c>
      <c r="G4429" s="53"/>
    </row>
    <row r="4430">
      <c r="A4430" s="49">
        <v>44740.98654711805</v>
      </c>
      <c r="B4430" s="50">
        <v>44741.111526956</v>
      </c>
      <c r="C4430" s="51">
        <v>1.004</v>
      </c>
      <c r="D4430" s="51">
        <v>69.0</v>
      </c>
      <c r="E4430" s="52" t="s">
        <v>25</v>
      </c>
      <c r="F4430" s="52" t="s">
        <v>26</v>
      </c>
      <c r="G4430" s="53"/>
    </row>
    <row r="4431">
      <c r="A4431" s="49">
        <v>44740.9969784375</v>
      </c>
      <c r="B4431" s="50">
        <v>44741.1219481944</v>
      </c>
      <c r="C4431" s="51">
        <v>1.005</v>
      </c>
      <c r="D4431" s="51">
        <v>69.0</v>
      </c>
      <c r="E4431" s="52" t="s">
        <v>25</v>
      </c>
      <c r="F4431" s="52" t="s">
        <v>26</v>
      </c>
      <c r="G4431" s="53"/>
    </row>
    <row r="4432">
      <c r="A4432" s="49">
        <v>44741.00741200232</v>
      </c>
      <c r="B4432" s="50">
        <v>44741.1323930555</v>
      </c>
      <c r="C4432" s="51">
        <v>1.005</v>
      </c>
      <c r="D4432" s="51">
        <v>69.0</v>
      </c>
      <c r="E4432" s="52" t="s">
        <v>25</v>
      </c>
      <c r="F4432" s="52" t="s">
        <v>26</v>
      </c>
      <c r="G4432" s="53"/>
    </row>
    <row r="4433">
      <c r="A4433" s="49">
        <v>44741.01785118056</v>
      </c>
      <c r="B4433" s="50">
        <v>44741.1428266666</v>
      </c>
      <c r="C4433" s="51">
        <v>1.005</v>
      </c>
      <c r="D4433" s="51">
        <v>69.0</v>
      </c>
      <c r="E4433" s="52" t="s">
        <v>25</v>
      </c>
      <c r="F4433" s="52" t="s">
        <v>26</v>
      </c>
      <c r="G4433" s="53"/>
    </row>
    <row r="4434">
      <c r="A4434" s="49">
        <v>44741.028275613426</v>
      </c>
      <c r="B4434" s="50">
        <v>44741.1532472569</v>
      </c>
      <c r="C4434" s="51">
        <v>1.005</v>
      </c>
      <c r="D4434" s="51">
        <v>69.0</v>
      </c>
      <c r="E4434" s="52" t="s">
        <v>25</v>
      </c>
      <c r="F4434" s="52" t="s">
        <v>26</v>
      </c>
      <c r="G4434" s="53"/>
    </row>
    <row r="4435">
      <c r="A4435" s="49">
        <v>44741.038692800925</v>
      </c>
      <c r="B4435" s="50">
        <v>44741.1636707638</v>
      </c>
      <c r="C4435" s="51">
        <v>1.004</v>
      </c>
      <c r="D4435" s="51">
        <v>69.0</v>
      </c>
      <c r="E4435" s="52" t="s">
        <v>25</v>
      </c>
      <c r="F4435" s="52" t="s">
        <v>26</v>
      </c>
      <c r="G4435" s="53"/>
    </row>
    <row r="4436">
      <c r="A4436" s="49">
        <v>44741.049118020834</v>
      </c>
      <c r="B4436" s="50">
        <v>44741.1740921759</v>
      </c>
      <c r="C4436" s="51">
        <v>1.005</v>
      </c>
      <c r="D4436" s="51">
        <v>69.0</v>
      </c>
      <c r="E4436" s="52" t="s">
        <v>25</v>
      </c>
      <c r="F4436" s="52" t="s">
        <v>26</v>
      </c>
      <c r="G4436" s="53"/>
    </row>
    <row r="4437">
      <c r="A4437" s="49">
        <v>44741.059536608795</v>
      </c>
      <c r="B4437" s="50">
        <v>44741.1845128935</v>
      </c>
      <c r="C4437" s="51">
        <v>1.005</v>
      </c>
      <c r="D4437" s="51">
        <v>69.0</v>
      </c>
      <c r="E4437" s="52" t="s">
        <v>25</v>
      </c>
      <c r="F4437" s="52" t="s">
        <v>26</v>
      </c>
      <c r="G4437" s="53"/>
    </row>
    <row r="4438">
      <c r="A4438" s="49">
        <v>44741.07017049768</v>
      </c>
      <c r="B4438" s="50">
        <v>44741.1949361226</v>
      </c>
      <c r="C4438" s="51">
        <v>1.005</v>
      </c>
      <c r="D4438" s="51">
        <v>69.0</v>
      </c>
      <c r="E4438" s="52" t="s">
        <v>25</v>
      </c>
      <c r="F4438" s="52" t="s">
        <v>26</v>
      </c>
      <c r="G4438" s="53"/>
    </row>
    <row r="4439">
      <c r="A4439" s="49">
        <v>44741.08037920139</v>
      </c>
      <c r="B4439" s="50">
        <v>44741.2053569791</v>
      </c>
      <c r="C4439" s="51">
        <v>1.005</v>
      </c>
      <c r="D4439" s="51">
        <v>69.0</v>
      </c>
      <c r="E4439" s="52" t="s">
        <v>25</v>
      </c>
      <c r="F4439" s="52" t="s">
        <v>26</v>
      </c>
      <c r="G4439" s="53"/>
    </row>
    <row r="4440">
      <c r="A4440" s="49">
        <v>44741.09082084491</v>
      </c>
      <c r="B4440" s="50">
        <v>44741.2157898032</v>
      </c>
      <c r="C4440" s="51">
        <v>1.005</v>
      </c>
      <c r="D4440" s="51">
        <v>69.0</v>
      </c>
      <c r="E4440" s="52" t="s">
        <v>25</v>
      </c>
      <c r="F4440" s="52" t="s">
        <v>26</v>
      </c>
      <c r="G4440" s="53"/>
    </row>
    <row r="4441">
      <c r="A4441" s="49">
        <v>44741.101254884255</v>
      </c>
      <c r="B4441" s="50">
        <v>44741.2262326967</v>
      </c>
      <c r="C4441" s="51">
        <v>1.005</v>
      </c>
      <c r="D4441" s="51">
        <v>69.0</v>
      </c>
      <c r="E4441" s="52" t="s">
        <v>25</v>
      </c>
      <c r="F4441" s="52" t="s">
        <v>26</v>
      </c>
      <c r="G4441" s="53"/>
    </row>
    <row r="4442">
      <c r="A4442" s="49">
        <v>44741.11169875</v>
      </c>
      <c r="B4442" s="50">
        <v>44741.2366529629</v>
      </c>
      <c r="C4442" s="51">
        <v>1.005</v>
      </c>
      <c r="D4442" s="51">
        <v>69.0</v>
      </c>
      <c r="E4442" s="52" t="s">
        <v>25</v>
      </c>
      <c r="F4442" s="52" t="s">
        <v>26</v>
      </c>
      <c r="G4442" s="53"/>
    </row>
    <row r="4443">
      <c r="A4443" s="49">
        <v>44741.12210313657</v>
      </c>
      <c r="B4443" s="50">
        <v>44741.2470745949</v>
      </c>
      <c r="C4443" s="51">
        <v>1.005</v>
      </c>
      <c r="D4443" s="51">
        <v>69.0</v>
      </c>
      <c r="E4443" s="52" t="s">
        <v>25</v>
      </c>
      <c r="F4443" s="52" t="s">
        <v>26</v>
      </c>
      <c r="G4443" s="53"/>
    </row>
    <row r="4444">
      <c r="A4444" s="49">
        <v>44741.13251592593</v>
      </c>
      <c r="B4444" s="50">
        <v>44741.2574943171</v>
      </c>
      <c r="C4444" s="51">
        <v>1.005</v>
      </c>
      <c r="D4444" s="51">
        <v>69.0</v>
      </c>
      <c r="E4444" s="52" t="s">
        <v>25</v>
      </c>
      <c r="F4444" s="52" t="s">
        <v>26</v>
      </c>
      <c r="G4444" s="53"/>
    </row>
    <row r="4445">
      <c r="A4445" s="49">
        <v>44741.142940543985</v>
      </c>
      <c r="B4445" s="50">
        <v>44741.2679164004</v>
      </c>
      <c r="C4445" s="51">
        <v>1.004</v>
      </c>
      <c r="D4445" s="51">
        <v>69.0</v>
      </c>
      <c r="E4445" s="52" t="s">
        <v>25</v>
      </c>
      <c r="F4445" s="52" t="s">
        <v>26</v>
      </c>
      <c r="G4445" s="53"/>
    </row>
    <row r="4446">
      <c r="A4446" s="49">
        <v>44741.15336364583</v>
      </c>
      <c r="B4446" s="50">
        <v>44741.2783381713</v>
      </c>
      <c r="C4446" s="51">
        <v>1.004</v>
      </c>
      <c r="D4446" s="51">
        <v>69.0</v>
      </c>
      <c r="E4446" s="52" t="s">
        <v>25</v>
      </c>
      <c r="F4446" s="52" t="s">
        <v>26</v>
      </c>
      <c r="G4446" s="53"/>
    </row>
    <row r="4447">
      <c r="A4447" s="49">
        <v>44741.163787881946</v>
      </c>
      <c r="B4447" s="50">
        <v>44741.2887597338</v>
      </c>
      <c r="C4447" s="51">
        <v>1.005</v>
      </c>
      <c r="D4447" s="51">
        <v>69.0</v>
      </c>
      <c r="E4447" s="52" t="s">
        <v>25</v>
      </c>
      <c r="F4447" s="52" t="s">
        <v>26</v>
      </c>
      <c r="G4447" s="53"/>
    </row>
    <row r="4448">
      <c r="A4448" s="49">
        <v>44741.174208067125</v>
      </c>
      <c r="B4448" s="50">
        <v>44741.2991802083</v>
      </c>
      <c r="C4448" s="51">
        <v>1.005</v>
      </c>
      <c r="D4448" s="51">
        <v>69.0</v>
      </c>
      <c r="E4448" s="52" t="s">
        <v>25</v>
      </c>
      <c r="F4448" s="52" t="s">
        <v>26</v>
      </c>
      <c r="G4448" s="53"/>
    </row>
    <row r="4449">
      <c r="A4449" s="49">
        <v>44741.18463820602</v>
      </c>
      <c r="B4449" s="50">
        <v>44741.3096007176</v>
      </c>
      <c r="C4449" s="51">
        <v>1.005</v>
      </c>
      <c r="D4449" s="51">
        <v>69.0</v>
      </c>
      <c r="E4449" s="52" t="s">
        <v>25</v>
      </c>
      <c r="F4449" s="52" t="s">
        <v>26</v>
      </c>
      <c r="G4449" s="53"/>
    </row>
    <row r="4450">
      <c r="A4450" s="49">
        <v>44741.19504438658</v>
      </c>
      <c r="B4450" s="50">
        <v>44741.3200214351</v>
      </c>
      <c r="C4450" s="51">
        <v>1.005</v>
      </c>
      <c r="D4450" s="51">
        <v>69.0</v>
      </c>
      <c r="E4450" s="52" t="s">
        <v>25</v>
      </c>
      <c r="F4450" s="52" t="s">
        <v>26</v>
      </c>
      <c r="G4450" s="53"/>
    </row>
    <row r="4451">
      <c r="A4451" s="49">
        <v>44741.205617858795</v>
      </c>
      <c r="B4451" s="50">
        <v>44741.3304548958</v>
      </c>
      <c r="C4451" s="51">
        <v>1.005</v>
      </c>
      <c r="D4451" s="51">
        <v>69.0</v>
      </c>
      <c r="E4451" s="52" t="s">
        <v>25</v>
      </c>
      <c r="F4451" s="52" t="s">
        <v>26</v>
      </c>
      <c r="G4451" s="53"/>
    </row>
    <row r="4452">
      <c r="A4452" s="49">
        <v>44741.21590459491</v>
      </c>
      <c r="B4452" s="50">
        <v>44741.3408765277</v>
      </c>
      <c r="C4452" s="51">
        <v>1.005</v>
      </c>
      <c r="D4452" s="51">
        <v>69.0</v>
      </c>
      <c r="E4452" s="52" t="s">
        <v>25</v>
      </c>
      <c r="F4452" s="52" t="s">
        <v>26</v>
      </c>
      <c r="G4452" s="53"/>
    </row>
    <row r="4453">
      <c r="A4453" s="49">
        <v>44741.2263247338</v>
      </c>
      <c r="B4453" s="50">
        <v>44741.3512982291</v>
      </c>
      <c r="C4453" s="51">
        <v>1.005</v>
      </c>
      <c r="D4453" s="51">
        <v>69.0</v>
      </c>
      <c r="E4453" s="52" t="s">
        <v>25</v>
      </c>
      <c r="F4453" s="52" t="s">
        <v>26</v>
      </c>
      <c r="G4453" s="53"/>
    </row>
    <row r="4454">
      <c r="A4454" s="49">
        <v>44741.236746759256</v>
      </c>
      <c r="B4454" s="50">
        <v>44741.3617202314</v>
      </c>
      <c r="C4454" s="51">
        <v>1.004</v>
      </c>
      <c r="D4454" s="51">
        <v>69.0</v>
      </c>
      <c r="E4454" s="52" t="s">
        <v>25</v>
      </c>
      <c r="F4454" s="52" t="s">
        <v>26</v>
      </c>
      <c r="G4454" s="53"/>
    </row>
    <row r="4455">
      <c r="A4455" s="49">
        <v>44741.24716271991</v>
      </c>
      <c r="B4455" s="50">
        <v>44741.3721422685</v>
      </c>
      <c r="C4455" s="51">
        <v>1.005</v>
      </c>
      <c r="D4455" s="51">
        <v>69.0</v>
      </c>
      <c r="E4455" s="52" t="s">
        <v>25</v>
      </c>
      <c r="F4455" s="52" t="s">
        <v>26</v>
      </c>
      <c r="G4455" s="53"/>
    </row>
    <row r="4456">
      <c r="A4456" s="49">
        <v>44741.25758733797</v>
      </c>
      <c r="B4456" s="50">
        <v>44741.3825632175</v>
      </c>
      <c r="C4456" s="51">
        <v>1.004</v>
      </c>
      <c r="D4456" s="51">
        <v>69.0</v>
      </c>
      <c r="E4456" s="52" t="s">
        <v>25</v>
      </c>
      <c r="F4456" s="52" t="s">
        <v>26</v>
      </c>
      <c r="G4456" s="53"/>
    </row>
    <row r="4457">
      <c r="A4457" s="49">
        <v>44741.26801344907</v>
      </c>
      <c r="B4457" s="50">
        <v>44741.3929836805</v>
      </c>
      <c r="C4457" s="51">
        <v>1.004</v>
      </c>
      <c r="D4457" s="51">
        <v>69.0</v>
      </c>
      <c r="E4457" s="52" t="s">
        <v>25</v>
      </c>
      <c r="F4457" s="52" t="s">
        <v>26</v>
      </c>
      <c r="G4457" s="53"/>
    </row>
    <row r="4458">
      <c r="A4458" s="49">
        <v>44741.27843228009</v>
      </c>
      <c r="B4458" s="50">
        <v>44741.4034041203</v>
      </c>
      <c r="C4458" s="51">
        <v>1.005</v>
      </c>
      <c r="D4458" s="51">
        <v>69.0</v>
      </c>
      <c r="E4458" s="52" t="s">
        <v>25</v>
      </c>
      <c r="F4458" s="52" t="s">
        <v>26</v>
      </c>
      <c r="G4458" s="53"/>
    </row>
    <row r="4459">
      <c r="A4459" s="49">
        <v>44741.28884538195</v>
      </c>
      <c r="B4459" s="50">
        <v>44741.4138249305</v>
      </c>
      <c r="C4459" s="51">
        <v>1.005</v>
      </c>
      <c r="D4459" s="51">
        <v>69.0</v>
      </c>
      <c r="E4459" s="52" t="s">
        <v>25</v>
      </c>
      <c r="F4459" s="52" t="s">
        <v>26</v>
      </c>
      <c r="G4459" s="53"/>
    </row>
    <row r="4460">
      <c r="A4460" s="49">
        <v>44741.29927025463</v>
      </c>
      <c r="B4460" s="50">
        <v>44741.4242448958</v>
      </c>
      <c r="C4460" s="51">
        <v>1.005</v>
      </c>
      <c r="D4460" s="51">
        <v>69.0</v>
      </c>
      <c r="E4460" s="52" t="s">
        <v>25</v>
      </c>
      <c r="F4460" s="52" t="s">
        <v>26</v>
      </c>
      <c r="G4460" s="53"/>
    </row>
    <row r="4461">
      <c r="A4461" s="49">
        <v>44741.30968953704</v>
      </c>
      <c r="B4461" s="50">
        <v>44741.4346691203</v>
      </c>
      <c r="C4461" s="51">
        <v>1.005</v>
      </c>
      <c r="D4461" s="51">
        <v>69.0</v>
      </c>
      <c r="E4461" s="52" t="s">
        <v>25</v>
      </c>
      <c r="F4461" s="52" t="s">
        <v>26</v>
      </c>
      <c r="G4461" s="53"/>
    </row>
    <row r="4462">
      <c r="A4462" s="49">
        <v>44741.32011482639</v>
      </c>
      <c r="B4462" s="50">
        <v>44741.4450916203</v>
      </c>
      <c r="C4462" s="51">
        <v>1.004</v>
      </c>
      <c r="D4462" s="51">
        <v>69.0</v>
      </c>
      <c r="E4462" s="52" t="s">
        <v>25</v>
      </c>
      <c r="F4462" s="52" t="s">
        <v>26</v>
      </c>
      <c r="G4462" s="53"/>
    </row>
    <row r="4463">
      <c r="A4463" s="49">
        <v>44741.33054407407</v>
      </c>
      <c r="B4463" s="50">
        <v>44741.4555123958</v>
      </c>
      <c r="C4463" s="51">
        <v>1.005</v>
      </c>
      <c r="D4463" s="51">
        <v>69.0</v>
      </c>
      <c r="E4463" s="52" t="s">
        <v>25</v>
      </c>
      <c r="F4463" s="52" t="s">
        <v>26</v>
      </c>
      <c r="G4463" s="53"/>
    </row>
    <row r="4464">
      <c r="A4464" s="49">
        <v>44741.340961249996</v>
      </c>
      <c r="B4464" s="50">
        <v>44741.4659324074</v>
      </c>
      <c r="C4464" s="51">
        <v>1.005</v>
      </c>
      <c r="D4464" s="51">
        <v>69.0</v>
      </c>
      <c r="E4464" s="52" t="s">
        <v>25</v>
      </c>
      <c r="F4464" s="52" t="s">
        <v>26</v>
      </c>
      <c r="G4464" s="53"/>
    </row>
    <row r="4465">
      <c r="A4465" s="49">
        <v>44741.35138108797</v>
      </c>
      <c r="B4465" s="50">
        <v>44741.4763519444</v>
      </c>
      <c r="C4465" s="51">
        <v>1.004</v>
      </c>
      <c r="D4465" s="51">
        <v>69.0</v>
      </c>
      <c r="E4465" s="52" t="s">
        <v>25</v>
      </c>
      <c r="F4465" s="52" t="s">
        <v>26</v>
      </c>
      <c r="G4465" s="53"/>
    </row>
    <row r="4466">
      <c r="A4466" s="49">
        <v>44741.36179037037</v>
      </c>
      <c r="B4466" s="50">
        <v>44741.4867733912</v>
      </c>
      <c r="C4466" s="51">
        <v>1.004</v>
      </c>
      <c r="D4466" s="51">
        <v>69.0</v>
      </c>
      <c r="E4466" s="52" t="s">
        <v>25</v>
      </c>
      <c r="F4466" s="52" t="s">
        <v>26</v>
      </c>
      <c r="G4466" s="53"/>
    </row>
    <row r="4467">
      <c r="A4467" s="49">
        <v>44741.372219745375</v>
      </c>
      <c r="B4467" s="50">
        <v>44741.4971931828</v>
      </c>
      <c r="C4467" s="51">
        <v>1.004</v>
      </c>
      <c r="D4467" s="51">
        <v>69.0</v>
      </c>
      <c r="E4467" s="52" t="s">
        <v>25</v>
      </c>
      <c r="F4467" s="52" t="s">
        <v>26</v>
      </c>
      <c r="G4467" s="53"/>
    </row>
    <row r="4468">
      <c r="A4468" s="49">
        <v>44741.38264471065</v>
      </c>
      <c r="B4468" s="50">
        <v>44741.507615868</v>
      </c>
      <c r="C4468" s="51">
        <v>1.005</v>
      </c>
      <c r="D4468" s="51">
        <v>69.0</v>
      </c>
      <c r="E4468" s="52" t="s">
        <v>25</v>
      </c>
      <c r="F4468" s="52" t="s">
        <v>26</v>
      </c>
      <c r="G4468" s="53"/>
    </row>
    <row r="4469">
      <c r="A4469" s="49">
        <v>44741.39306899306</v>
      </c>
      <c r="B4469" s="50">
        <v>44741.5180366435</v>
      </c>
      <c r="C4469" s="51">
        <v>1.004</v>
      </c>
      <c r="D4469" s="51">
        <v>69.0</v>
      </c>
      <c r="E4469" s="52" t="s">
        <v>25</v>
      </c>
      <c r="F4469" s="52" t="s">
        <v>26</v>
      </c>
      <c r="G4469" s="53"/>
    </row>
    <row r="4470">
      <c r="A4470" s="49">
        <v>44741.403485925926</v>
      </c>
      <c r="B4470" s="50">
        <v>44741.5284583912</v>
      </c>
      <c r="C4470" s="51">
        <v>1.005</v>
      </c>
      <c r="D4470" s="51">
        <v>69.0</v>
      </c>
      <c r="E4470" s="52" t="s">
        <v>25</v>
      </c>
      <c r="F4470" s="52" t="s">
        <v>26</v>
      </c>
      <c r="G4470" s="53"/>
    </row>
    <row r="4471">
      <c r="A4471" s="49">
        <v>44741.41390917824</v>
      </c>
      <c r="B4471" s="50">
        <v>44741.5388818402</v>
      </c>
      <c r="C4471" s="51">
        <v>1.005</v>
      </c>
      <c r="D4471" s="51">
        <v>69.0</v>
      </c>
      <c r="E4471" s="52" t="s">
        <v>25</v>
      </c>
      <c r="F4471" s="52" t="s">
        <v>26</v>
      </c>
      <c r="G4471" s="53"/>
    </row>
    <row r="4472">
      <c r="A4472" s="49">
        <v>44741.42433081019</v>
      </c>
      <c r="B4472" s="50">
        <v>44741.5493121296</v>
      </c>
      <c r="C4472" s="51">
        <v>1.004</v>
      </c>
      <c r="D4472" s="51">
        <v>69.0</v>
      </c>
      <c r="E4472" s="52" t="s">
        <v>25</v>
      </c>
      <c r="F4472" s="52" t="s">
        <v>26</v>
      </c>
      <c r="G4472" s="53"/>
    </row>
    <row r="4473">
      <c r="A4473" s="49">
        <v>44741.43476038195</v>
      </c>
      <c r="B4473" s="50">
        <v>44741.5597343981</v>
      </c>
      <c r="C4473" s="51">
        <v>1.004</v>
      </c>
      <c r="D4473" s="51">
        <v>69.0</v>
      </c>
      <c r="E4473" s="52" t="s">
        <v>25</v>
      </c>
      <c r="F4473" s="52" t="s">
        <v>26</v>
      </c>
      <c r="G4473" s="53"/>
    </row>
    <row r="4474">
      <c r="A4474" s="49">
        <v>44741.44518065972</v>
      </c>
      <c r="B4474" s="50">
        <v>44741.570155</v>
      </c>
      <c r="C4474" s="51">
        <v>1.005</v>
      </c>
      <c r="D4474" s="51">
        <v>69.0</v>
      </c>
      <c r="E4474" s="52" t="s">
        <v>25</v>
      </c>
      <c r="F4474" s="52" t="s">
        <v>26</v>
      </c>
      <c r="G4474" s="53"/>
    </row>
    <row r="4475">
      <c r="A4475" s="49">
        <v>44741.45560130787</v>
      </c>
      <c r="B4475" s="50">
        <v>44741.5805757638</v>
      </c>
      <c r="C4475" s="51">
        <v>1.005</v>
      </c>
      <c r="D4475" s="51">
        <v>69.0</v>
      </c>
      <c r="E4475" s="52" t="s">
        <v>25</v>
      </c>
      <c r="F4475" s="52" t="s">
        <v>26</v>
      </c>
      <c r="G4475" s="53"/>
    </row>
    <row r="4476">
      <c r="A4476" s="49">
        <v>44741.4660265162</v>
      </c>
      <c r="B4476" s="50">
        <v>44741.5909981018</v>
      </c>
      <c r="C4476" s="51">
        <v>1.004</v>
      </c>
      <c r="D4476" s="51">
        <v>70.0</v>
      </c>
      <c r="E4476" s="52" t="s">
        <v>25</v>
      </c>
      <c r="F4476" s="52" t="s">
        <v>26</v>
      </c>
      <c r="G4476" s="53"/>
    </row>
    <row r="4477">
      <c r="A4477" s="49">
        <v>44741.476448726855</v>
      </c>
      <c r="B4477" s="50">
        <v>44741.6014303125</v>
      </c>
      <c r="C4477" s="51">
        <v>1.005</v>
      </c>
      <c r="D4477" s="51">
        <v>69.0</v>
      </c>
      <c r="E4477" s="52" t="s">
        <v>25</v>
      </c>
      <c r="F4477" s="52" t="s">
        <v>26</v>
      </c>
      <c r="G4477" s="53"/>
    </row>
    <row r="4478">
      <c r="A4478" s="49">
        <v>44741.48687258102</v>
      </c>
      <c r="B4478" s="50">
        <v>44741.6118512268</v>
      </c>
      <c r="C4478" s="51">
        <v>1.004</v>
      </c>
      <c r="D4478" s="51">
        <v>70.0</v>
      </c>
      <c r="E4478" s="52" t="s">
        <v>25</v>
      </c>
      <c r="F4478" s="52" t="s">
        <v>26</v>
      </c>
      <c r="G4478" s="53"/>
    </row>
    <row r="4479">
      <c r="A4479" s="49">
        <v>44741.497293506945</v>
      </c>
      <c r="B4479" s="50">
        <v>44741.6222730439</v>
      </c>
      <c r="C4479" s="51">
        <v>1.005</v>
      </c>
      <c r="D4479" s="51">
        <v>70.0</v>
      </c>
      <c r="E4479" s="52" t="s">
        <v>25</v>
      </c>
      <c r="F4479" s="52" t="s">
        <v>26</v>
      </c>
      <c r="G4479" s="53"/>
    </row>
    <row r="4480">
      <c r="A4480" s="49">
        <v>44741.50772045139</v>
      </c>
      <c r="B4480" s="50">
        <v>44741.6326949421</v>
      </c>
      <c r="C4480" s="51">
        <v>1.005</v>
      </c>
      <c r="D4480" s="51">
        <v>70.0</v>
      </c>
      <c r="E4480" s="52" t="s">
        <v>25</v>
      </c>
      <c r="F4480" s="52" t="s">
        <v>26</v>
      </c>
      <c r="G4480" s="53"/>
    </row>
    <row r="4481">
      <c r="A4481" s="49">
        <v>44741.51814162037</v>
      </c>
      <c r="B4481" s="50">
        <v>44741.6431151273</v>
      </c>
      <c r="C4481" s="51">
        <v>1.005</v>
      </c>
      <c r="D4481" s="51">
        <v>70.0</v>
      </c>
      <c r="E4481" s="52" t="s">
        <v>25</v>
      </c>
      <c r="F4481" s="52" t="s">
        <v>26</v>
      </c>
      <c r="G4481" s="53"/>
    </row>
    <row r="4482">
      <c r="A4482" s="49">
        <v>44741.52856465278</v>
      </c>
      <c r="B4482" s="50">
        <v>44741.6535370717</v>
      </c>
      <c r="C4482" s="51">
        <v>1.005</v>
      </c>
      <c r="D4482" s="51">
        <v>70.0</v>
      </c>
      <c r="E4482" s="52" t="s">
        <v>25</v>
      </c>
      <c r="F4482" s="52" t="s">
        <v>26</v>
      </c>
      <c r="G4482" s="53"/>
    </row>
    <row r="4483">
      <c r="A4483" s="49">
        <v>44741.53900449074</v>
      </c>
      <c r="B4483" s="50">
        <v>44741.6639592824</v>
      </c>
      <c r="C4483" s="51">
        <v>1.005</v>
      </c>
      <c r="D4483" s="51">
        <v>70.0</v>
      </c>
      <c r="E4483" s="52" t="s">
        <v>25</v>
      </c>
      <c r="F4483" s="52" t="s">
        <v>26</v>
      </c>
      <c r="G4483" s="53"/>
    </row>
    <row r="4484">
      <c r="A4484" s="49">
        <v>44741.549405196754</v>
      </c>
      <c r="B4484" s="50">
        <v>44741.674378993</v>
      </c>
      <c r="C4484" s="51">
        <v>1.005</v>
      </c>
      <c r="D4484" s="51">
        <v>70.0</v>
      </c>
      <c r="E4484" s="52" t="s">
        <v>25</v>
      </c>
      <c r="F4484" s="52" t="s">
        <v>26</v>
      </c>
      <c r="G4484" s="53"/>
    </row>
    <row r="4485">
      <c r="A4485" s="49">
        <v>44741.55981972222</v>
      </c>
      <c r="B4485" s="50">
        <v>44741.6847994212</v>
      </c>
      <c r="C4485" s="51">
        <v>1.005</v>
      </c>
      <c r="D4485" s="51">
        <v>69.0</v>
      </c>
      <c r="E4485" s="52" t="s">
        <v>25</v>
      </c>
      <c r="F4485" s="52" t="s">
        <v>26</v>
      </c>
      <c r="G4485" s="53"/>
    </row>
    <row r="4486">
      <c r="A4486" s="49">
        <v>44741.57024997685</v>
      </c>
      <c r="B4486" s="50">
        <v>44741.6952186921</v>
      </c>
      <c r="C4486" s="51">
        <v>1.005</v>
      </c>
      <c r="D4486" s="51">
        <v>70.0</v>
      </c>
      <c r="E4486" s="52" t="s">
        <v>25</v>
      </c>
      <c r="F4486" s="52" t="s">
        <v>26</v>
      </c>
      <c r="G4486" s="53"/>
    </row>
    <row r="4487">
      <c r="A4487" s="49">
        <v>44741.58066247685</v>
      </c>
      <c r="B4487" s="50">
        <v>44741.7056408333</v>
      </c>
      <c r="C4487" s="51">
        <v>1.005</v>
      </c>
      <c r="D4487" s="51">
        <v>70.0</v>
      </c>
      <c r="E4487" s="52" t="s">
        <v>25</v>
      </c>
      <c r="F4487" s="52" t="s">
        <v>26</v>
      </c>
      <c r="G4487" s="53"/>
    </row>
    <row r="4488">
      <c r="A4488" s="49">
        <v>44741.59108856482</v>
      </c>
      <c r="B4488" s="50">
        <v>44741.7160615509</v>
      </c>
      <c r="C4488" s="51">
        <v>1.005</v>
      </c>
      <c r="D4488" s="51">
        <v>70.0</v>
      </c>
      <c r="E4488" s="52" t="s">
        <v>25</v>
      </c>
      <c r="F4488" s="52" t="s">
        <v>26</v>
      </c>
      <c r="G4488" s="53"/>
    </row>
    <row r="4489">
      <c r="A4489" s="49">
        <v>44741.601507824074</v>
      </c>
      <c r="B4489" s="50">
        <v>44741.7264825578</v>
      </c>
      <c r="C4489" s="51">
        <v>1.005</v>
      </c>
      <c r="D4489" s="51">
        <v>70.0</v>
      </c>
      <c r="E4489" s="52" t="s">
        <v>25</v>
      </c>
      <c r="F4489" s="52" t="s">
        <v>26</v>
      </c>
      <c r="G4489" s="53"/>
    </row>
    <row r="4490">
      <c r="A4490" s="49">
        <v>44741.61192173611</v>
      </c>
      <c r="B4490" s="50">
        <v>44741.736902581</v>
      </c>
      <c r="C4490" s="51">
        <v>1.005</v>
      </c>
      <c r="D4490" s="51">
        <v>70.0</v>
      </c>
      <c r="E4490" s="52" t="s">
        <v>25</v>
      </c>
      <c r="F4490" s="52" t="s">
        <v>26</v>
      </c>
      <c r="G4490" s="53"/>
    </row>
    <row r="4491">
      <c r="A4491" s="49">
        <v>44741.6223540162</v>
      </c>
      <c r="B4491" s="50">
        <v>44741.7473226157</v>
      </c>
      <c r="C4491" s="51">
        <v>1.005</v>
      </c>
      <c r="D4491" s="51">
        <v>70.0</v>
      </c>
      <c r="E4491" s="52" t="s">
        <v>25</v>
      </c>
      <c r="F4491" s="52" t="s">
        <v>26</v>
      </c>
      <c r="G4491" s="53"/>
    </row>
    <row r="4492">
      <c r="A4492" s="49">
        <v>44741.6327696875</v>
      </c>
      <c r="B4492" s="50">
        <v>44741.7577443171</v>
      </c>
      <c r="C4492" s="51">
        <v>1.005</v>
      </c>
      <c r="D4492" s="51">
        <v>70.0</v>
      </c>
      <c r="E4492" s="52" t="s">
        <v>25</v>
      </c>
      <c r="F4492" s="52" t="s">
        <v>26</v>
      </c>
      <c r="G4492" s="53"/>
    </row>
    <row r="4493">
      <c r="A4493" s="49">
        <v>44741.6431853588</v>
      </c>
      <c r="B4493" s="50">
        <v>44741.7681646064</v>
      </c>
      <c r="C4493" s="51">
        <v>1.004</v>
      </c>
      <c r="D4493" s="51">
        <v>70.0</v>
      </c>
      <c r="E4493" s="52" t="s">
        <v>25</v>
      </c>
      <c r="F4493" s="52" t="s">
        <v>26</v>
      </c>
      <c r="G4493" s="53"/>
    </row>
    <row r="4494">
      <c r="A4494" s="49">
        <v>44741.65362331019</v>
      </c>
      <c r="B4494" s="50">
        <v>44741.7785967939</v>
      </c>
      <c r="C4494" s="51">
        <v>1.004</v>
      </c>
      <c r="D4494" s="51">
        <v>70.0</v>
      </c>
      <c r="E4494" s="52" t="s">
        <v>25</v>
      </c>
      <c r="F4494" s="52" t="s">
        <v>26</v>
      </c>
      <c r="G4494" s="53"/>
    </row>
    <row r="4495">
      <c r="A4495" s="49">
        <v>44741.6640605787</v>
      </c>
      <c r="B4495" s="50">
        <v>44741.789029074</v>
      </c>
      <c r="C4495" s="51">
        <v>1.005</v>
      </c>
      <c r="D4495" s="51">
        <v>70.0</v>
      </c>
      <c r="E4495" s="52" t="s">
        <v>25</v>
      </c>
      <c r="F4495" s="52" t="s">
        <v>26</v>
      </c>
      <c r="G4495" s="53"/>
    </row>
    <row r="4496">
      <c r="A4496" s="49">
        <v>44741.6744769213</v>
      </c>
      <c r="B4496" s="50">
        <v>44741.79945</v>
      </c>
      <c r="C4496" s="51">
        <v>1.004</v>
      </c>
      <c r="D4496" s="51">
        <v>70.0</v>
      </c>
      <c r="E4496" s="52" t="s">
        <v>25</v>
      </c>
      <c r="F4496" s="52" t="s">
        <v>26</v>
      </c>
      <c r="G4496" s="53"/>
    </row>
    <row r="4497">
      <c r="A4497" s="49">
        <v>44741.684897071755</v>
      </c>
      <c r="B4497" s="50">
        <v>44741.8098692939</v>
      </c>
      <c r="C4497" s="51">
        <v>1.004</v>
      </c>
      <c r="D4497" s="51">
        <v>70.0</v>
      </c>
      <c r="E4497" s="52" t="s">
        <v>25</v>
      </c>
      <c r="F4497" s="52" t="s">
        <v>26</v>
      </c>
      <c r="G4497" s="53"/>
    </row>
    <row r="4498">
      <c r="A4498" s="49">
        <v>44741.695308055554</v>
      </c>
      <c r="B4498" s="50">
        <v>44741.8202908449</v>
      </c>
      <c r="C4498" s="51">
        <v>1.004</v>
      </c>
      <c r="D4498" s="51">
        <v>70.0</v>
      </c>
      <c r="E4498" s="52" t="s">
        <v>25</v>
      </c>
      <c r="F4498" s="52" t="s">
        <v>26</v>
      </c>
      <c r="G4498" s="53"/>
    </row>
    <row r="4499">
      <c r="A4499" s="49">
        <v>44741.7057384838</v>
      </c>
      <c r="B4499" s="50">
        <v>44741.8307125694</v>
      </c>
      <c r="C4499" s="51">
        <v>1.004</v>
      </c>
      <c r="D4499" s="51">
        <v>70.0</v>
      </c>
      <c r="E4499" s="52" t="s">
        <v>25</v>
      </c>
      <c r="F4499" s="52" t="s">
        <v>26</v>
      </c>
      <c r="G4499" s="53"/>
    </row>
    <row r="4500">
      <c r="A4500" s="49">
        <v>44741.71616224537</v>
      </c>
      <c r="B4500" s="50">
        <v>44741.841132905</v>
      </c>
      <c r="C4500" s="51">
        <v>1.004</v>
      </c>
      <c r="D4500" s="51">
        <v>70.0</v>
      </c>
      <c r="E4500" s="52" t="s">
        <v>25</v>
      </c>
      <c r="F4500" s="52" t="s">
        <v>26</v>
      </c>
      <c r="G4500" s="53"/>
    </row>
    <row r="4501">
      <c r="A4501" s="49">
        <v>44741.72658681713</v>
      </c>
      <c r="B4501" s="50">
        <v>44741.8515668171</v>
      </c>
      <c r="C4501" s="51">
        <v>1.005</v>
      </c>
      <c r="D4501" s="51">
        <v>70.0</v>
      </c>
      <c r="E4501" s="52" t="s">
        <v>25</v>
      </c>
      <c r="F4501" s="52" t="s">
        <v>26</v>
      </c>
      <c r="G4501" s="53"/>
    </row>
    <row r="4502">
      <c r="A4502" s="49">
        <v>44741.737017754625</v>
      </c>
      <c r="B4502" s="50">
        <v>44741.8619987731</v>
      </c>
      <c r="C4502" s="51">
        <v>1.005</v>
      </c>
      <c r="D4502" s="51">
        <v>70.0</v>
      </c>
      <c r="E4502" s="52" t="s">
        <v>25</v>
      </c>
      <c r="F4502" s="52" t="s">
        <v>26</v>
      </c>
      <c r="G4502" s="53"/>
    </row>
    <row r="4503">
      <c r="A4503" s="49">
        <v>44741.74744195602</v>
      </c>
      <c r="B4503" s="50">
        <v>44741.8724194907</v>
      </c>
      <c r="C4503" s="51">
        <v>1.004</v>
      </c>
      <c r="D4503" s="51">
        <v>70.0</v>
      </c>
      <c r="E4503" s="52" t="s">
        <v>25</v>
      </c>
      <c r="F4503" s="52" t="s">
        <v>26</v>
      </c>
      <c r="G4503" s="53"/>
    </row>
    <row r="4504">
      <c r="A4504" s="49">
        <v>44741.75786415509</v>
      </c>
      <c r="B4504" s="50">
        <v>44741.882841493</v>
      </c>
      <c r="C4504" s="51">
        <v>1.005</v>
      </c>
      <c r="D4504" s="51">
        <v>70.0</v>
      </c>
      <c r="E4504" s="52" t="s">
        <v>25</v>
      </c>
      <c r="F4504" s="52" t="s">
        <v>26</v>
      </c>
      <c r="G4504" s="53"/>
    </row>
    <row r="4505">
      <c r="A4505" s="49">
        <v>44741.76829228009</v>
      </c>
      <c r="B4505" s="50">
        <v>44741.8932745254</v>
      </c>
      <c r="C4505" s="51">
        <v>1.004</v>
      </c>
      <c r="D4505" s="51">
        <v>70.0</v>
      </c>
      <c r="E4505" s="52" t="s">
        <v>25</v>
      </c>
      <c r="F4505" s="52" t="s">
        <v>26</v>
      </c>
      <c r="G4505" s="53"/>
    </row>
    <row r="4506">
      <c r="A4506" s="49">
        <v>44741.7787140625</v>
      </c>
      <c r="B4506" s="50">
        <v>44741.9036955324</v>
      </c>
      <c r="C4506" s="51">
        <v>1.005</v>
      </c>
      <c r="D4506" s="51">
        <v>70.0</v>
      </c>
      <c r="E4506" s="52" t="s">
        <v>25</v>
      </c>
      <c r="F4506" s="52" t="s">
        <v>26</v>
      </c>
      <c r="G4506" s="53"/>
    </row>
    <row r="4507">
      <c r="A4507" s="49">
        <v>44741.78914136574</v>
      </c>
      <c r="B4507" s="50">
        <v>44741.9141162615</v>
      </c>
      <c r="C4507" s="51">
        <v>1.005</v>
      </c>
      <c r="D4507" s="51">
        <v>70.0</v>
      </c>
      <c r="E4507" s="52" t="s">
        <v>25</v>
      </c>
      <c r="F4507" s="52" t="s">
        <v>26</v>
      </c>
      <c r="G4507" s="53"/>
    </row>
    <row r="4508">
      <c r="A4508" s="49">
        <v>44741.799575625</v>
      </c>
      <c r="B4508" s="50">
        <v>44741.9245501967</v>
      </c>
      <c r="C4508" s="51">
        <v>1.004</v>
      </c>
      <c r="D4508" s="51">
        <v>70.0</v>
      </c>
      <c r="E4508" s="52" t="s">
        <v>25</v>
      </c>
      <c r="F4508" s="52" t="s">
        <v>26</v>
      </c>
      <c r="G4508" s="53"/>
    </row>
    <row r="4509">
      <c r="A4509" s="49">
        <v>44741.80999811343</v>
      </c>
      <c r="B4509" s="50">
        <v>44741.9349700231</v>
      </c>
      <c r="C4509" s="51">
        <v>1.005</v>
      </c>
      <c r="D4509" s="51">
        <v>70.0</v>
      </c>
      <c r="E4509" s="52" t="s">
        <v>25</v>
      </c>
      <c r="F4509" s="52" t="s">
        <v>26</v>
      </c>
      <c r="G4509" s="53"/>
    </row>
    <row r="4510">
      <c r="A4510" s="49">
        <v>44741.82041829861</v>
      </c>
      <c r="B4510" s="50">
        <v>44741.9453895833</v>
      </c>
      <c r="C4510" s="51">
        <v>1.004</v>
      </c>
      <c r="D4510" s="51">
        <v>70.0</v>
      </c>
      <c r="E4510" s="52" t="s">
        <v>25</v>
      </c>
      <c r="F4510" s="52" t="s">
        <v>26</v>
      </c>
      <c r="G4510" s="53"/>
    </row>
    <row r="4511">
      <c r="A4511" s="49">
        <v>44741.830832962965</v>
      </c>
      <c r="B4511" s="50">
        <v>44741.9558110185</v>
      </c>
      <c r="C4511" s="51">
        <v>1.004</v>
      </c>
      <c r="D4511" s="51">
        <v>70.0</v>
      </c>
      <c r="E4511" s="52" t="s">
        <v>25</v>
      </c>
      <c r="F4511" s="52" t="s">
        <v>26</v>
      </c>
      <c r="G4511" s="53"/>
    </row>
    <row r="4512">
      <c r="A4512" s="49">
        <v>44741.8412609375</v>
      </c>
      <c r="B4512" s="50">
        <v>44741.9662313657</v>
      </c>
      <c r="C4512" s="51">
        <v>1.004</v>
      </c>
      <c r="D4512" s="51">
        <v>69.0</v>
      </c>
      <c r="E4512" s="52" t="s">
        <v>25</v>
      </c>
      <c r="F4512" s="52" t="s">
        <v>26</v>
      </c>
      <c r="G4512" s="53"/>
    </row>
    <row r="4513">
      <c r="A4513" s="49">
        <v>44741.851689999996</v>
      </c>
      <c r="B4513" s="50">
        <v>44741.9766629745</v>
      </c>
      <c r="C4513" s="51">
        <v>1.004</v>
      </c>
      <c r="D4513" s="51">
        <v>69.0</v>
      </c>
      <c r="E4513" s="52" t="s">
        <v>25</v>
      </c>
      <c r="F4513" s="52" t="s">
        <v>26</v>
      </c>
      <c r="G4513" s="53"/>
    </row>
    <row r="4514">
      <c r="A4514" s="49">
        <v>44741.862105023145</v>
      </c>
      <c r="B4514" s="50">
        <v>44741.9870824652</v>
      </c>
      <c r="C4514" s="51">
        <v>1.005</v>
      </c>
      <c r="D4514" s="51">
        <v>68.0</v>
      </c>
      <c r="E4514" s="52" t="s">
        <v>25</v>
      </c>
      <c r="F4514" s="52" t="s">
        <v>26</v>
      </c>
      <c r="G4514" s="53"/>
    </row>
    <row r="4515">
      <c r="A4515" s="49">
        <v>44741.87252478009</v>
      </c>
      <c r="B4515" s="50">
        <v>44741.9975020717</v>
      </c>
      <c r="C4515" s="51">
        <v>1.005</v>
      </c>
      <c r="D4515" s="51">
        <v>67.0</v>
      </c>
      <c r="E4515" s="52" t="s">
        <v>25</v>
      </c>
      <c r="F4515" s="52" t="s">
        <v>26</v>
      </c>
      <c r="G4515" s="53"/>
    </row>
    <row r="4516">
      <c r="A4516" s="49">
        <v>44741.88294797453</v>
      </c>
      <c r="B4516" s="50">
        <v>44742.0079240509</v>
      </c>
      <c r="C4516" s="51">
        <v>1.004</v>
      </c>
      <c r="D4516" s="51">
        <v>67.0</v>
      </c>
      <c r="E4516" s="52" t="s">
        <v>25</v>
      </c>
      <c r="F4516" s="52" t="s">
        <v>26</v>
      </c>
      <c r="G4516" s="53"/>
    </row>
    <row r="4517">
      <c r="A4517" s="49">
        <v>44741.89336702546</v>
      </c>
      <c r="B4517" s="50">
        <v>44742.0183452199</v>
      </c>
      <c r="C4517" s="51">
        <v>1.005</v>
      </c>
      <c r="D4517" s="51">
        <v>66.0</v>
      </c>
      <c r="E4517" s="52" t="s">
        <v>25</v>
      </c>
      <c r="F4517" s="52" t="s">
        <v>26</v>
      </c>
      <c r="G4517" s="53"/>
    </row>
    <row r="4518">
      <c r="A4518" s="49">
        <v>44741.90380118055</v>
      </c>
      <c r="B4518" s="50">
        <v>44742.0287787037</v>
      </c>
      <c r="C4518" s="51">
        <v>1.005</v>
      </c>
      <c r="D4518" s="51">
        <v>66.0</v>
      </c>
      <c r="E4518" s="52" t="s">
        <v>25</v>
      </c>
      <c r="F4518" s="52" t="s">
        <v>26</v>
      </c>
      <c r="G4518" s="53"/>
    </row>
    <row r="4519">
      <c r="A4519" s="49">
        <v>44741.91422342593</v>
      </c>
      <c r="B4519" s="50">
        <v>44742.0391990972</v>
      </c>
      <c r="C4519" s="51">
        <v>1.005</v>
      </c>
      <c r="D4519" s="51">
        <v>66.0</v>
      </c>
      <c r="E4519" s="52" t="s">
        <v>25</v>
      </c>
      <c r="F4519" s="52" t="s">
        <v>26</v>
      </c>
      <c r="G4519" s="53"/>
    </row>
    <row r="4520">
      <c r="A4520" s="49">
        <v>44741.9246485301</v>
      </c>
      <c r="B4520" s="50">
        <v>44742.0496193402</v>
      </c>
      <c r="C4520" s="51">
        <v>1.005</v>
      </c>
      <c r="D4520" s="51">
        <v>66.0</v>
      </c>
      <c r="E4520" s="52" t="s">
        <v>25</v>
      </c>
      <c r="F4520" s="52" t="s">
        <v>26</v>
      </c>
      <c r="G4520" s="53"/>
    </row>
    <row r="4521">
      <c r="A4521" s="49">
        <v>44741.93507224537</v>
      </c>
      <c r="B4521" s="50">
        <v>44742.0600425</v>
      </c>
      <c r="C4521" s="51">
        <v>1.005</v>
      </c>
      <c r="D4521" s="51">
        <v>66.0</v>
      </c>
      <c r="E4521" s="52" t="s">
        <v>25</v>
      </c>
      <c r="F4521" s="52" t="s">
        <v>26</v>
      </c>
      <c r="G4521" s="53"/>
    </row>
    <row r="4522">
      <c r="A4522" s="49">
        <v>44741.94549994213</v>
      </c>
      <c r="B4522" s="50">
        <v>44742.0704767245</v>
      </c>
      <c r="C4522" s="51">
        <v>1.005</v>
      </c>
      <c r="D4522" s="51">
        <v>66.0</v>
      </c>
      <c r="E4522" s="52" t="s">
        <v>25</v>
      </c>
      <c r="F4522" s="52" t="s">
        <v>26</v>
      </c>
      <c r="G4522" s="53"/>
    </row>
    <row r="4523">
      <c r="A4523" s="49">
        <v>44741.95591862268</v>
      </c>
      <c r="B4523" s="50">
        <v>44742.0808989699</v>
      </c>
      <c r="C4523" s="51">
        <v>1.005</v>
      </c>
      <c r="D4523" s="51">
        <v>66.0</v>
      </c>
      <c r="E4523" s="52" t="s">
        <v>25</v>
      </c>
      <c r="F4523" s="52" t="s">
        <v>26</v>
      </c>
      <c r="G4523" s="53"/>
    </row>
    <row r="4524">
      <c r="A4524" s="49">
        <v>44741.96636873843</v>
      </c>
      <c r="B4524" s="50">
        <v>44742.091342743</v>
      </c>
      <c r="C4524" s="51">
        <v>1.005</v>
      </c>
      <c r="D4524" s="51">
        <v>66.0</v>
      </c>
      <c r="E4524" s="52" t="s">
        <v>25</v>
      </c>
      <c r="F4524" s="52" t="s">
        <v>26</v>
      </c>
      <c r="G4524" s="53"/>
    </row>
    <row r="4525">
      <c r="A4525" s="49">
        <v>44741.97678622685</v>
      </c>
      <c r="B4525" s="50">
        <v>44742.1017649768</v>
      </c>
      <c r="C4525" s="51">
        <v>1.005</v>
      </c>
      <c r="D4525" s="51">
        <v>66.0</v>
      </c>
      <c r="E4525" s="52" t="s">
        <v>25</v>
      </c>
      <c r="F4525" s="52" t="s">
        <v>26</v>
      </c>
      <c r="G4525" s="53"/>
    </row>
    <row r="4526">
      <c r="A4526" s="49">
        <v>44741.98721349537</v>
      </c>
      <c r="B4526" s="50">
        <v>44742.1121865046</v>
      </c>
      <c r="C4526" s="51">
        <v>1.004</v>
      </c>
      <c r="D4526" s="51">
        <v>66.0</v>
      </c>
      <c r="E4526" s="52" t="s">
        <v>25</v>
      </c>
      <c r="F4526" s="52" t="s">
        <v>26</v>
      </c>
      <c r="G4526" s="53"/>
    </row>
    <row r="4527">
      <c r="A4527" s="49">
        <v>44741.99764715278</v>
      </c>
      <c r="B4527" s="50">
        <v>44742.1226196064</v>
      </c>
      <c r="C4527" s="51">
        <v>1.005</v>
      </c>
      <c r="D4527" s="51">
        <v>66.0</v>
      </c>
      <c r="E4527" s="52" t="s">
        <v>25</v>
      </c>
      <c r="F4527" s="52" t="s">
        <v>26</v>
      </c>
      <c r="G4527" s="53"/>
    </row>
    <row r="4528">
      <c r="A4528" s="49">
        <v>44742.00807393518</v>
      </c>
      <c r="B4528" s="50">
        <v>44742.1330420601</v>
      </c>
      <c r="C4528" s="51">
        <v>1.005</v>
      </c>
      <c r="D4528" s="51">
        <v>66.0</v>
      </c>
      <c r="E4528" s="52" t="s">
        <v>25</v>
      </c>
      <c r="F4528" s="52" t="s">
        <v>26</v>
      </c>
      <c r="G4528" s="53"/>
    </row>
    <row r="4529">
      <c r="A4529" s="49">
        <v>44742.01848060185</v>
      </c>
      <c r="B4529" s="50">
        <v>44742.1434632638</v>
      </c>
      <c r="C4529" s="51">
        <v>1.005</v>
      </c>
      <c r="D4529" s="51">
        <v>66.0</v>
      </c>
      <c r="E4529" s="52" t="s">
        <v>25</v>
      </c>
      <c r="F4529" s="52" t="s">
        <v>26</v>
      </c>
      <c r="G4529" s="53"/>
    </row>
    <row r="4530">
      <c r="A4530" s="49">
        <v>44742.02891231481</v>
      </c>
      <c r="B4530" s="50">
        <v>44742.1538849074</v>
      </c>
      <c r="C4530" s="51">
        <v>1.005</v>
      </c>
      <c r="D4530" s="51">
        <v>66.0</v>
      </c>
      <c r="E4530" s="52" t="s">
        <v>25</v>
      </c>
      <c r="F4530" s="52" t="s">
        <v>26</v>
      </c>
      <c r="G4530" s="53"/>
    </row>
    <row r="4531">
      <c r="A4531" s="49">
        <v>44742.039331238426</v>
      </c>
      <c r="B4531" s="50">
        <v>44742.1643063425</v>
      </c>
      <c r="C4531" s="51">
        <v>1.005</v>
      </c>
      <c r="D4531" s="51">
        <v>66.0</v>
      </c>
      <c r="E4531" s="52" t="s">
        <v>25</v>
      </c>
      <c r="F4531" s="52" t="s">
        <v>26</v>
      </c>
      <c r="G4531" s="53"/>
    </row>
    <row r="4532">
      <c r="A4532" s="49">
        <v>44742.04975831018</v>
      </c>
      <c r="B4532" s="50">
        <v>44742.174725787</v>
      </c>
      <c r="C4532" s="51">
        <v>1.005</v>
      </c>
      <c r="D4532" s="51">
        <v>66.0</v>
      </c>
      <c r="E4532" s="52" t="s">
        <v>25</v>
      </c>
      <c r="F4532" s="52" t="s">
        <v>26</v>
      </c>
      <c r="G4532" s="53"/>
    </row>
    <row r="4533">
      <c r="A4533" s="49">
        <v>44742.06017305556</v>
      </c>
      <c r="B4533" s="50">
        <v>44742.1851478125</v>
      </c>
      <c r="C4533" s="51">
        <v>1.005</v>
      </c>
      <c r="D4533" s="51">
        <v>66.0</v>
      </c>
      <c r="E4533" s="52" t="s">
        <v>25</v>
      </c>
      <c r="F4533" s="52" t="s">
        <v>26</v>
      </c>
      <c r="G4533" s="53"/>
    </row>
    <row r="4534">
      <c r="A4534" s="49">
        <v>44742.070599513885</v>
      </c>
      <c r="B4534" s="50">
        <v>44742.1955702199</v>
      </c>
      <c r="C4534" s="51">
        <v>1.005</v>
      </c>
      <c r="D4534" s="51">
        <v>66.0</v>
      </c>
      <c r="E4534" s="52" t="s">
        <v>25</v>
      </c>
      <c r="F4534" s="52" t="s">
        <v>26</v>
      </c>
      <c r="G4534" s="53"/>
    </row>
    <row r="4535">
      <c r="A4535" s="49">
        <v>44742.08103042824</v>
      </c>
      <c r="B4535" s="50">
        <v>44742.2060040625</v>
      </c>
      <c r="C4535" s="51">
        <v>1.005</v>
      </c>
      <c r="D4535" s="51">
        <v>66.0</v>
      </c>
      <c r="E4535" s="52" t="s">
        <v>25</v>
      </c>
      <c r="F4535" s="52" t="s">
        <v>26</v>
      </c>
      <c r="G4535" s="53"/>
    </row>
    <row r="4536">
      <c r="A4536" s="49">
        <v>44742.091449733794</v>
      </c>
      <c r="B4536" s="50">
        <v>44742.2164251967</v>
      </c>
      <c r="C4536" s="51">
        <v>1.005</v>
      </c>
      <c r="D4536" s="51">
        <v>66.0</v>
      </c>
      <c r="E4536" s="52" t="s">
        <v>25</v>
      </c>
      <c r="F4536" s="52" t="s">
        <v>26</v>
      </c>
      <c r="G4536" s="53"/>
    </row>
    <row r="4537">
      <c r="A4537" s="49">
        <v>44742.101874375</v>
      </c>
      <c r="B4537" s="50">
        <v>44742.226846655</v>
      </c>
      <c r="C4537" s="51">
        <v>1.005</v>
      </c>
      <c r="D4537" s="51">
        <v>66.0</v>
      </c>
      <c r="E4537" s="52" t="s">
        <v>25</v>
      </c>
      <c r="F4537" s="52" t="s">
        <v>26</v>
      </c>
      <c r="G4537" s="53"/>
    </row>
    <row r="4538">
      <c r="A4538" s="49">
        <v>44742.112292962964</v>
      </c>
      <c r="B4538" s="50">
        <v>44742.2372678819</v>
      </c>
      <c r="C4538" s="51">
        <v>1.005</v>
      </c>
      <c r="D4538" s="51">
        <v>66.0</v>
      </c>
      <c r="E4538" s="52" t="s">
        <v>25</v>
      </c>
      <c r="F4538" s="52" t="s">
        <v>26</v>
      </c>
      <c r="G4538" s="53"/>
    </row>
    <row r="4539">
      <c r="A4539" s="49">
        <v>44742.122715034726</v>
      </c>
      <c r="B4539" s="50">
        <v>44742.2476892245</v>
      </c>
      <c r="C4539" s="51">
        <v>1.005</v>
      </c>
      <c r="D4539" s="51">
        <v>66.0</v>
      </c>
      <c r="E4539" s="52" t="s">
        <v>25</v>
      </c>
      <c r="F4539" s="52" t="s">
        <v>26</v>
      </c>
      <c r="G4539" s="53"/>
    </row>
    <row r="4540">
      <c r="A4540" s="49">
        <v>44742.13313299768</v>
      </c>
      <c r="B4540" s="50">
        <v>44742.2581092824</v>
      </c>
      <c r="C4540" s="51">
        <v>1.005</v>
      </c>
      <c r="D4540" s="51">
        <v>66.0</v>
      </c>
      <c r="E4540" s="52" t="s">
        <v>25</v>
      </c>
      <c r="F4540" s="52" t="s">
        <v>26</v>
      </c>
      <c r="G4540" s="53"/>
    </row>
    <row r="4541">
      <c r="A4541" s="49">
        <v>44742.14354888889</v>
      </c>
      <c r="B4541" s="50">
        <v>44742.2685310879</v>
      </c>
      <c r="C4541" s="51">
        <v>1.005</v>
      </c>
      <c r="D4541" s="51">
        <v>66.0</v>
      </c>
      <c r="E4541" s="52" t="s">
        <v>25</v>
      </c>
      <c r="F4541" s="52" t="s">
        <v>26</v>
      </c>
      <c r="G4541" s="53"/>
    </row>
    <row r="4542">
      <c r="A4542" s="49">
        <v>44742.153980104165</v>
      </c>
      <c r="B4542" s="50">
        <v>44742.2789528356</v>
      </c>
      <c r="C4542" s="51">
        <v>1.005</v>
      </c>
      <c r="D4542" s="51">
        <v>66.0</v>
      </c>
      <c r="E4542" s="52" t="s">
        <v>25</v>
      </c>
      <c r="F4542" s="52" t="s">
        <v>26</v>
      </c>
      <c r="G4542" s="53"/>
    </row>
    <row r="4543">
      <c r="A4543" s="49">
        <v>44742.16441153935</v>
      </c>
      <c r="B4543" s="50">
        <v>44742.289385</v>
      </c>
      <c r="C4543" s="51">
        <v>1.005</v>
      </c>
      <c r="D4543" s="51">
        <v>66.0</v>
      </c>
      <c r="E4543" s="52" t="s">
        <v>25</v>
      </c>
      <c r="F4543" s="52" t="s">
        <v>26</v>
      </c>
      <c r="G4543" s="53"/>
    </row>
    <row r="4544">
      <c r="A4544" s="49">
        <v>44742.17483510417</v>
      </c>
      <c r="B4544" s="50">
        <v>44742.299806412</v>
      </c>
      <c r="C4544" s="51">
        <v>1.005</v>
      </c>
      <c r="D4544" s="51">
        <v>66.0</v>
      </c>
      <c r="E4544" s="52" t="s">
        <v>25</v>
      </c>
      <c r="F4544" s="52" t="s">
        <v>26</v>
      </c>
      <c r="G4544" s="53"/>
    </row>
    <row r="4545">
      <c r="A4545" s="49">
        <v>44742.185263113424</v>
      </c>
      <c r="B4545" s="50">
        <v>44742.3102287037</v>
      </c>
      <c r="C4545" s="51">
        <v>1.004</v>
      </c>
      <c r="D4545" s="51">
        <v>66.0</v>
      </c>
      <c r="E4545" s="52" t="s">
        <v>25</v>
      </c>
      <c r="F4545" s="52" t="s">
        <v>26</v>
      </c>
      <c r="G4545" s="53"/>
    </row>
    <row r="4546">
      <c r="A4546" s="49">
        <v>44742.19567959491</v>
      </c>
      <c r="B4546" s="50">
        <v>44742.3206506944</v>
      </c>
      <c r="C4546" s="51">
        <v>1.005</v>
      </c>
      <c r="D4546" s="51">
        <v>66.0</v>
      </c>
      <c r="E4546" s="52" t="s">
        <v>25</v>
      </c>
      <c r="F4546" s="52" t="s">
        <v>26</v>
      </c>
      <c r="G4546" s="53"/>
    </row>
    <row r="4547">
      <c r="A4547" s="49">
        <v>44742.20609283565</v>
      </c>
      <c r="B4547" s="50">
        <v>44742.3310724074</v>
      </c>
      <c r="C4547" s="51">
        <v>1.005</v>
      </c>
      <c r="D4547" s="51">
        <v>66.0</v>
      </c>
      <c r="E4547" s="52" t="s">
        <v>25</v>
      </c>
      <c r="F4547" s="52" t="s">
        <v>26</v>
      </c>
      <c r="G4547" s="53"/>
    </row>
    <row r="4548">
      <c r="A4548" s="49">
        <v>44742.21652054398</v>
      </c>
      <c r="B4548" s="50">
        <v>44742.3414928935</v>
      </c>
      <c r="C4548" s="51">
        <v>1.005</v>
      </c>
      <c r="D4548" s="51">
        <v>66.0</v>
      </c>
      <c r="E4548" s="52" t="s">
        <v>25</v>
      </c>
      <c r="F4548" s="52" t="s">
        <v>26</v>
      </c>
      <c r="G4548" s="53"/>
    </row>
    <row r="4549">
      <c r="A4549" s="49">
        <v>44742.226945104165</v>
      </c>
      <c r="B4549" s="50">
        <v>44742.3519137268</v>
      </c>
      <c r="C4549" s="51">
        <v>1.005</v>
      </c>
      <c r="D4549" s="51">
        <v>66.0</v>
      </c>
      <c r="E4549" s="52" t="s">
        <v>25</v>
      </c>
      <c r="F4549" s="52" t="s">
        <v>26</v>
      </c>
      <c r="G4549" s="53"/>
    </row>
    <row r="4550">
      <c r="A4550" s="49">
        <v>44742.23736238426</v>
      </c>
      <c r="B4550" s="50">
        <v>44742.362335162</v>
      </c>
      <c r="C4550" s="51">
        <v>1.005</v>
      </c>
      <c r="D4550" s="51">
        <v>66.0</v>
      </c>
      <c r="E4550" s="52" t="s">
        <v>25</v>
      </c>
      <c r="F4550" s="52" t="s">
        <v>26</v>
      </c>
      <c r="G4550" s="53"/>
    </row>
    <row r="4551">
      <c r="A4551" s="49">
        <v>44742.24777590278</v>
      </c>
      <c r="B4551" s="50">
        <v>44742.3727559027</v>
      </c>
      <c r="C4551" s="51">
        <v>1.005</v>
      </c>
      <c r="D4551" s="51">
        <v>66.0</v>
      </c>
      <c r="E4551" s="52" t="s">
        <v>25</v>
      </c>
      <c r="F4551" s="52" t="s">
        <v>26</v>
      </c>
      <c r="G4551" s="53"/>
    </row>
    <row r="4552">
      <c r="A4552" s="49">
        <v>44742.25822886574</v>
      </c>
      <c r="B4552" s="50">
        <v>44742.383199537</v>
      </c>
      <c r="C4552" s="51">
        <v>1.005</v>
      </c>
      <c r="D4552" s="51">
        <v>66.0</v>
      </c>
      <c r="E4552" s="52" t="s">
        <v>25</v>
      </c>
      <c r="F4552" s="52" t="s">
        <v>26</v>
      </c>
      <c r="G4552" s="53"/>
    </row>
    <row r="4553">
      <c r="A4553" s="49">
        <v>44742.26864028935</v>
      </c>
      <c r="B4553" s="50">
        <v>44742.3936214583</v>
      </c>
      <c r="C4553" s="51">
        <v>1.005</v>
      </c>
      <c r="D4553" s="51">
        <v>67.0</v>
      </c>
      <c r="E4553" s="52" t="s">
        <v>25</v>
      </c>
      <c r="F4553" s="52" t="s">
        <v>26</v>
      </c>
      <c r="G4553" s="53"/>
    </row>
    <row r="4554">
      <c r="A4554" s="49">
        <v>44742.27906962963</v>
      </c>
      <c r="B4554" s="50">
        <v>44742.4040417824</v>
      </c>
      <c r="C4554" s="51">
        <v>1.005</v>
      </c>
      <c r="D4554" s="51">
        <v>67.0</v>
      </c>
      <c r="E4554" s="52" t="s">
        <v>25</v>
      </c>
      <c r="F4554" s="52" t="s">
        <v>26</v>
      </c>
      <c r="G4554" s="53"/>
    </row>
    <row r="4555">
      <c r="A4555" s="49">
        <v>44742.289482106484</v>
      </c>
      <c r="B4555" s="50">
        <v>44742.4144619213</v>
      </c>
      <c r="C4555" s="51">
        <v>1.005</v>
      </c>
      <c r="D4555" s="51">
        <v>66.0</v>
      </c>
      <c r="E4555" s="52" t="s">
        <v>25</v>
      </c>
      <c r="F4555" s="52" t="s">
        <v>26</v>
      </c>
      <c r="G4555" s="53"/>
    </row>
    <row r="4556">
      <c r="A4556" s="49">
        <v>44742.29992283565</v>
      </c>
      <c r="B4556" s="50">
        <v>44742.4248948726</v>
      </c>
      <c r="C4556" s="51">
        <v>1.005</v>
      </c>
      <c r="D4556" s="51">
        <v>67.0</v>
      </c>
      <c r="E4556" s="52" t="s">
        <v>25</v>
      </c>
      <c r="F4556" s="52" t="s">
        <v>26</v>
      </c>
      <c r="G4556" s="53"/>
    </row>
    <row r="4557">
      <c r="A4557" s="49">
        <v>44742.31034898148</v>
      </c>
      <c r="B4557" s="50">
        <v>44742.4353156597</v>
      </c>
      <c r="C4557" s="51">
        <v>1.004</v>
      </c>
      <c r="D4557" s="51">
        <v>67.0</v>
      </c>
      <c r="E4557" s="52" t="s">
        <v>25</v>
      </c>
      <c r="F4557" s="52" t="s">
        <v>26</v>
      </c>
      <c r="G4557" s="53"/>
    </row>
    <row r="4558">
      <c r="A4558" s="49">
        <v>44742.32075392361</v>
      </c>
      <c r="B4558" s="50">
        <v>44742.4457346875</v>
      </c>
      <c r="C4558" s="51">
        <v>1.005</v>
      </c>
      <c r="D4558" s="51">
        <v>67.0</v>
      </c>
      <c r="E4558" s="52" t="s">
        <v>25</v>
      </c>
      <c r="F4558" s="52" t="s">
        <v>26</v>
      </c>
      <c r="G4558" s="53"/>
    </row>
    <row r="4559">
      <c r="A4559" s="49">
        <v>44742.331174039355</v>
      </c>
      <c r="B4559" s="50">
        <v>44742.4561555208</v>
      </c>
      <c r="C4559" s="51">
        <v>1.005</v>
      </c>
      <c r="D4559" s="51">
        <v>67.0</v>
      </c>
      <c r="E4559" s="52" t="s">
        <v>25</v>
      </c>
      <c r="F4559" s="52" t="s">
        <v>26</v>
      </c>
      <c r="G4559" s="53"/>
    </row>
    <row r="4560">
      <c r="A4560" s="49">
        <v>44742.34160434028</v>
      </c>
      <c r="B4560" s="50">
        <v>44742.4665891435</v>
      </c>
      <c r="C4560" s="51">
        <v>1.005</v>
      </c>
      <c r="D4560" s="51">
        <v>67.0</v>
      </c>
      <c r="E4560" s="52" t="s">
        <v>25</v>
      </c>
      <c r="F4560" s="52" t="s">
        <v>26</v>
      </c>
      <c r="G4560" s="53"/>
    </row>
    <row r="4561">
      <c r="A4561" s="49">
        <v>44742.35203456019</v>
      </c>
      <c r="B4561" s="50">
        <v>44742.4770121527</v>
      </c>
      <c r="C4561" s="51">
        <v>1.004</v>
      </c>
      <c r="D4561" s="51">
        <v>67.0</v>
      </c>
      <c r="E4561" s="52" t="s">
        <v>25</v>
      </c>
      <c r="F4561" s="52" t="s">
        <v>26</v>
      </c>
      <c r="G4561" s="53"/>
    </row>
    <row r="4562">
      <c r="A4562" s="49">
        <v>44742.36245395833</v>
      </c>
      <c r="B4562" s="50">
        <v>44742.4874316898</v>
      </c>
      <c r="C4562" s="51">
        <v>1.005</v>
      </c>
      <c r="D4562" s="51">
        <v>67.0</v>
      </c>
      <c r="E4562" s="52" t="s">
        <v>25</v>
      </c>
      <c r="F4562" s="52" t="s">
        <v>26</v>
      </c>
      <c r="G4562" s="53"/>
    </row>
    <row r="4563">
      <c r="A4563" s="49">
        <v>44742.37287467593</v>
      </c>
      <c r="B4563" s="50">
        <v>44742.4978528472</v>
      </c>
      <c r="C4563" s="51">
        <v>1.005</v>
      </c>
      <c r="D4563" s="51">
        <v>67.0</v>
      </c>
      <c r="E4563" s="52" t="s">
        <v>25</v>
      </c>
      <c r="F4563" s="52" t="s">
        <v>26</v>
      </c>
      <c r="G4563" s="53"/>
    </row>
    <row r="4564">
      <c r="A4564" s="49">
        <v>44742.38329039352</v>
      </c>
      <c r="B4564" s="50">
        <v>44742.5082729976</v>
      </c>
      <c r="C4564" s="51">
        <v>1.005</v>
      </c>
      <c r="D4564" s="51">
        <v>67.0</v>
      </c>
      <c r="E4564" s="52" t="s">
        <v>25</v>
      </c>
      <c r="F4564" s="52" t="s">
        <v>26</v>
      </c>
      <c r="G4564" s="53"/>
    </row>
    <row r="4565">
      <c r="A4565" s="49">
        <v>44742.39371924769</v>
      </c>
      <c r="B4565" s="50">
        <v>44742.5186954282</v>
      </c>
      <c r="C4565" s="51">
        <v>1.005</v>
      </c>
      <c r="D4565" s="51">
        <v>67.0</v>
      </c>
      <c r="E4565" s="52" t="s">
        <v>25</v>
      </c>
      <c r="F4565" s="52" t="s">
        <v>26</v>
      </c>
      <c r="G4565" s="53"/>
    </row>
    <row r="4566">
      <c r="A4566" s="49">
        <v>44742.40413675926</v>
      </c>
      <c r="B4566" s="50">
        <v>44742.5291188541</v>
      </c>
      <c r="C4566" s="51">
        <v>1.005</v>
      </c>
      <c r="D4566" s="51">
        <v>67.0</v>
      </c>
      <c r="E4566" s="52" t="s">
        <v>25</v>
      </c>
      <c r="F4566" s="52" t="s">
        <v>26</v>
      </c>
      <c r="G4566" s="53"/>
    </row>
    <row r="4567">
      <c r="A4567" s="49">
        <v>44742.41456208333</v>
      </c>
      <c r="B4567" s="50">
        <v>44742.5395383564</v>
      </c>
      <c r="C4567" s="51">
        <v>1.005</v>
      </c>
      <c r="D4567" s="51">
        <v>67.0</v>
      </c>
      <c r="E4567" s="52" t="s">
        <v>25</v>
      </c>
      <c r="F4567" s="52" t="s">
        <v>26</v>
      </c>
      <c r="G4567" s="53"/>
    </row>
    <row r="4568">
      <c r="A4568" s="49">
        <v>44742.42498403935</v>
      </c>
      <c r="B4568" s="50">
        <v>44742.5499579166</v>
      </c>
      <c r="C4568" s="51">
        <v>1.005</v>
      </c>
      <c r="D4568" s="51">
        <v>67.0</v>
      </c>
      <c r="E4568" s="52" t="s">
        <v>25</v>
      </c>
      <c r="F4568" s="52" t="s">
        <v>26</v>
      </c>
      <c r="G4568" s="53"/>
    </row>
    <row r="4569">
      <c r="A4569" s="49">
        <v>44742.4354031713</v>
      </c>
      <c r="B4569" s="50">
        <v>44742.5603790162</v>
      </c>
      <c r="C4569" s="51">
        <v>1.005</v>
      </c>
      <c r="D4569" s="51">
        <v>67.0</v>
      </c>
      <c r="E4569" s="52" t="s">
        <v>25</v>
      </c>
      <c r="F4569" s="52" t="s">
        <v>26</v>
      </c>
      <c r="G4569" s="53"/>
    </row>
    <row r="4570">
      <c r="A4570" s="49">
        <v>44742.44581773148</v>
      </c>
      <c r="B4570" s="50">
        <v>44742.5707979398</v>
      </c>
      <c r="C4570" s="51">
        <v>1.005</v>
      </c>
      <c r="D4570" s="51">
        <v>67.0</v>
      </c>
      <c r="E4570" s="52" t="s">
        <v>25</v>
      </c>
      <c r="F4570" s="52" t="s">
        <v>26</v>
      </c>
      <c r="G4570" s="53"/>
    </row>
    <row r="4571">
      <c r="A4571" s="49">
        <v>44742.456238865736</v>
      </c>
      <c r="B4571" s="50">
        <v>44742.5812197222</v>
      </c>
      <c r="C4571" s="51">
        <v>1.005</v>
      </c>
      <c r="D4571" s="51">
        <v>67.0</v>
      </c>
      <c r="E4571" s="52" t="s">
        <v>25</v>
      </c>
      <c r="F4571" s="52" t="s">
        <v>26</v>
      </c>
      <c r="G4571" s="53"/>
    </row>
    <row r="4572">
      <c r="A4572" s="49">
        <v>44742.46667469907</v>
      </c>
      <c r="B4572" s="50">
        <v>44742.5916522106</v>
      </c>
      <c r="C4572" s="51">
        <v>1.005</v>
      </c>
      <c r="D4572" s="51">
        <v>67.0</v>
      </c>
      <c r="E4572" s="52" t="s">
        <v>25</v>
      </c>
      <c r="F4572" s="52" t="s">
        <v>26</v>
      </c>
      <c r="G4572" s="53"/>
    </row>
    <row r="4573">
      <c r="A4573" s="49">
        <v>44742.4771146875</v>
      </c>
      <c r="B4573" s="50">
        <v>44742.6020853125</v>
      </c>
      <c r="C4573" s="51">
        <v>1.005</v>
      </c>
      <c r="D4573" s="51">
        <v>67.0</v>
      </c>
      <c r="E4573" s="52" t="s">
        <v>25</v>
      </c>
      <c r="F4573" s="52" t="s">
        <v>26</v>
      </c>
      <c r="G4573" s="53"/>
    </row>
    <row r="4574">
      <c r="A4574" s="49">
        <v>44742.487533067135</v>
      </c>
      <c r="B4574" s="50">
        <v>44742.6125087268</v>
      </c>
      <c r="C4574" s="51">
        <v>1.005</v>
      </c>
      <c r="D4574" s="51">
        <v>67.0</v>
      </c>
      <c r="E4574" s="52" t="s">
        <v>25</v>
      </c>
      <c r="F4574" s="52" t="s">
        <v>26</v>
      </c>
      <c r="G4574" s="53"/>
    </row>
    <row r="4575">
      <c r="A4575" s="49">
        <v>44742.497958402775</v>
      </c>
      <c r="B4575" s="50">
        <v>44742.6229403703</v>
      </c>
      <c r="C4575" s="51">
        <v>1.005</v>
      </c>
      <c r="D4575" s="51">
        <v>67.0</v>
      </c>
      <c r="E4575" s="52" t="s">
        <v>25</v>
      </c>
      <c r="F4575" s="52" t="s">
        <v>26</v>
      </c>
      <c r="G4575" s="53"/>
    </row>
    <row r="4576">
      <c r="A4576" s="49">
        <v>44742.50839778935</v>
      </c>
      <c r="B4576" s="50">
        <v>44742.6333722569</v>
      </c>
      <c r="C4576" s="51">
        <v>1.005</v>
      </c>
      <c r="D4576" s="51">
        <v>67.0</v>
      </c>
      <c r="E4576" s="52" t="s">
        <v>25</v>
      </c>
      <c r="F4576" s="52" t="s">
        <v>26</v>
      </c>
      <c r="G4576" s="53"/>
    </row>
    <row r="4577">
      <c r="A4577" s="49">
        <v>44742.5188132176</v>
      </c>
      <c r="B4577" s="50">
        <v>44742.643792743</v>
      </c>
      <c r="C4577" s="51">
        <v>1.005</v>
      </c>
      <c r="D4577" s="51">
        <v>67.0</v>
      </c>
      <c r="E4577" s="52" t="s">
        <v>25</v>
      </c>
      <c r="F4577" s="52" t="s">
        <v>26</v>
      </c>
      <c r="G4577" s="53"/>
    </row>
    <row r="4578">
      <c r="A4578" s="49">
        <v>44742.52924122685</v>
      </c>
      <c r="B4578" s="50">
        <v>44742.6542142361</v>
      </c>
      <c r="C4578" s="51">
        <v>1.005</v>
      </c>
      <c r="D4578" s="51">
        <v>67.0</v>
      </c>
      <c r="E4578" s="52" t="s">
        <v>25</v>
      </c>
      <c r="F4578" s="52" t="s">
        <v>26</v>
      </c>
      <c r="G4578" s="53"/>
    </row>
    <row r="4579">
      <c r="A4579" s="49">
        <v>44742.539660243056</v>
      </c>
      <c r="B4579" s="50">
        <v>44742.664634699</v>
      </c>
      <c r="C4579" s="51">
        <v>1.005</v>
      </c>
      <c r="D4579" s="51">
        <v>67.0</v>
      </c>
      <c r="E4579" s="52" t="s">
        <v>25</v>
      </c>
      <c r="F4579" s="52" t="s">
        <v>26</v>
      </c>
      <c r="G4579" s="53"/>
    </row>
    <row r="4580">
      <c r="A4580" s="49">
        <v>44742.550082789356</v>
      </c>
      <c r="B4580" s="50">
        <v>44742.6750573495</v>
      </c>
      <c r="C4580" s="51">
        <v>1.005</v>
      </c>
      <c r="D4580" s="51">
        <v>67.0</v>
      </c>
      <c r="E4580" s="52" t="s">
        <v>25</v>
      </c>
      <c r="F4580" s="52" t="s">
        <v>26</v>
      </c>
      <c r="G4580" s="53"/>
    </row>
    <row r="4581">
      <c r="A4581" s="49">
        <v>44742.56050340278</v>
      </c>
      <c r="B4581" s="50">
        <v>44742.6854781597</v>
      </c>
      <c r="C4581" s="51">
        <v>1.005</v>
      </c>
      <c r="D4581" s="51">
        <v>67.0</v>
      </c>
      <c r="E4581" s="52" t="s">
        <v>25</v>
      </c>
      <c r="F4581" s="52" t="s">
        <v>26</v>
      </c>
      <c r="G4581" s="53"/>
    </row>
    <row r="4582">
      <c r="A4582" s="49">
        <v>44742.570918935184</v>
      </c>
      <c r="B4582" s="50">
        <v>44742.695898831</v>
      </c>
      <c r="C4582" s="51">
        <v>1.005</v>
      </c>
      <c r="D4582" s="51">
        <v>67.0</v>
      </c>
      <c r="E4582" s="52" t="s">
        <v>25</v>
      </c>
      <c r="F4582" s="52" t="s">
        <v>26</v>
      </c>
      <c r="G4582" s="53"/>
    </row>
    <row r="4583">
      <c r="A4583" s="49">
        <v>44742.58135706019</v>
      </c>
      <c r="B4583" s="50">
        <v>44742.7063306018</v>
      </c>
      <c r="C4583" s="51">
        <v>1.005</v>
      </c>
      <c r="D4583" s="51">
        <v>67.0</v>
      </c>
      <c r="E4583" s="52" t="s">
        <v>25</v>
      </c>
      <c r="F4583" s="52" t="s">
        <v>26</v>
      </c>
      <c r="G4583" s="53"/>
    </row>
    <row r="4584">
      <c r="A4584" s="49">
        <v>44742.591777939815</v>
      </c>
      <c r="B4584" s="50">
        <v>44742.7167515972</v>
      </c>
      <c r="C4584" s="51">
        <v>1.005</v>
      </c>
      <c r="D4584" s="51">
        <v>67.0</v>
      </c>
      <c r="E4584" s="52" t="s">
        <v>25</v>
      </c>
      <c r="F4584" s="52" t="s">
        <v>26</v>
      </c>
      <c r="G4584" s="53"/>
    </row>
    <row r="4585">
      <c r="A4585" s="49">
        <v>44742.602190370366</v>
      </c>
      <c r="B4585" s="50">
        <v>44742.7271706481</v>
      </c>
      <c r="C4585" s="51">
        <v>1.005</v>
      </c>
      <c r="D4585" s="51">
        <v>67.0</v>
      </c>
      <c r="E4585" s="52" t="s">
        <v>25</v>
      </c>
      <c r="F4585" s="52" t="s">
        <v>26</v>
      </c>
      <c r="G4585" s="53"/>
    </row>
    <row r="4586">
      <c r="A4586" s="49">
        <v>44742.612611018514</v>
      </c>
      <c r="B4586" s="50">
        <v>44742.7375906134</v>
      </c>
      <c r="C4586" s="51">
        <v>1.005</v>
      </c>
      <c r="D4586" s="51">
        <v>67.0</v>
      </c>
      <c r="E4586" s="52" t="s">
        <v>25</v>
      </c>
      <c r="F4586" s="52" t="s">
        <v>26</v>
      </c>
      <c r="G4586" s="53"/>
    </row>
    <row r="4587">
      <c r="A4587" s="49">
        <v>44742.623028773145</v>
      </c>
      <c r="B4587" s="50">
        <v>44742.7480098495</v>
      </c>
      <c r="C4587" s="51">
        <v>1.005</v>
      </c>
      <c r="D4587" s="51">
        <v>67.0</v>
      </c>
      <c r="E4587" s="52" t="s">
        <v>25</v>
      </c>
      <c r="F4587" s="52" t="s">
        <v>26</v>
      </c>
      <c r="G4587" s="53"/>
    </row>
    <row r="4588">
      <c r="A4588" s="49">
        <v>44742.63347325231</v>
      </c>
      <c r="B4588" s="50">
        <v>44742.7584436921</v>
      </c>
      <c r="C4588" s="51">
        <v>1.005</v>
      </c>
      <c r="D4588" s="51">
        <v>67.0</v>
      </c>
      <c r="E4588" s="52" t="s">
        <v>25</v>
      </c>
      <c r="F4588" s="52" t="s">
        <v>26</v>
      </c>
      <c r="G4588" s="53"/>
    </row>
    <row r="4589">
      <c r="A4589" s="49">
        <v>44742.64389335648</v>
      </c>
      <c r="B4589" s="50">
        <v>44742.7688649189</v>
      </c>
      <c r="C4589" s="51">
        <v>1.005</v>
      </c>
      <c r="D4589" s="51">
        <v>67.0</v>
      </c>
      <c r="E4589" s="52" t="s">
        <v>25</v>
      </c>
      <c r="F4589" s="52" t="s">
        <v>26</v>
      </c>
      <c r="G4589" s="53"/>
    </row>
    <row r="4590">
      <c r="A4590" s="49">
        <v>44742.654303958334</v>
      </c>
      <c r="B4590" s="50">
        <v>44742.7792839467</v>
      </c>
      <c r="C4590" s="51">
        <v>1.005</v>
      </c>
      <c r="D4590" s="51">
        <v>67.0</v>
      </c>
      <c r="E4590" s="52" t="s">
        <v>25</v>
      </c>
      <c r="F4590" s="52" t="s">
        <v>26</v>
      </c>
      <c r="G4590" s="53"/>
    </row>
    <row r="4591">
      <c r="A4591" s="49">
        <v>44742.66473583333</v>
      </c>
      <c r="B4591" s="50">
        <v>44742.7897169097</v>
      </c>
      <c r="C4591" s="51">
        <v>1.005</v>
      </c>
      <c r="D4591" s="51">
        <v>67.0</v>
      </c>
      <c r="E4591" s="52" t="s">
        <v>25</v>
      </c>
      <c r="F4591" s="52" t="s">
        <v>26</v>
      </c>
      <c r="G4591" s="53"/>
    </row>
    <row r="4592">
      <c r="A4592" s="49">
        <v>44742.675160405095</v>
      </c>
      <c r="B4592" s="50">
        <v>44742.800138449</v>
      </c>
      <c r="C4592" s="51">
        <v>1.005</v>
      </c>
      <c r="D4592" s="51">
        <v>67.0</v>
      </c>
      <c r="E4592" s="52" t="s">
        <v>25</v>
      </c>
      <c r="F4592" s="52" t="s">
        <v>26</v>
      </c>
      <c r="G4592" s="53"/>
    </row>
    <row r="4593">
      <c r="A4593" s="49">
        <v>44742.68558746528</v>
      </c>
      <c r="B4593" s="50">
        <v>44742.8105605208</v>
      </c>
      <c r="C4593" s="51">
        <v>1.005</v>
      </c>
      <c r="D4593" s="51">
        <v>67.0</v>
      </c>
      <c r="E4593" s="52" t="s">
        <v>25</v>
      </c>
      <c r="F4593" s="52" t="s">
        <v>26</v>
      </c>
      <c r="G4593" s="53"/>
    </row>
    <row r="4594">
      <c r="A4594" s="49">
        <v>44742.69600074074</v>
      </c>
      <c r="B4594" s="50">
        <v>44742.8209818634</v>
      </c>
      <c r="C4594" s="51">
        <v>1.005</v>
      </c>
      <c r="D4594" s="51">
        <v>67.0</v>
      </c>
      <c r="E4594" s="52" t="s">
        <v>25</v>
      </c>
      <c r="F4594" s="52" t="s">
        <v>26</v>
      </c>
      <c r="G4594" s="53"/>
    </row>
    <row r="4595">
      <c r="A4595" s="49">
        <v>44742.70642724537</v>
      </c>
      <c r="B4595" s="50">
        <v>44742.8314032986</v>
      </c>
      <c r="C4595" s="51">
        <v>1.005</v>
      </c>
      <c r="D4595" s="51">
        <v>67.0</v>
      </c>
      <c r="E4595" s="52" t="s">
        <v>25</v>
      </c>
      <c r="F4595" s="52" t="s">
        <v>26</v>
      </c>
      <c r="G4595" s="53"/>
    </row>
    <row r="4596">
      <c r="A4596" s="49">
        <v>44742.716842974536</v>
      </c>
      <c r="B4596" s="50">
        <v>44742.8418242245</v>
      </c>
      <c r="C4596" s="51">
        <v>1.005</v>
      </c>
      <c r="D4596" s="51">
        <v>67.0</v>
      </c>
      <c r="E4596" s="52" t="s">
        <v>25</v>
      </c>
      <c r="F4596" s="52" t="s">
        <v>26</v>
      </c>
      <c r="G4596" s="53"/>
    </row>
    <row r="4597">
      <c r="A4597" s="49">
        <v>44742.72726353009</v>
      </c>
      <c r="B4597" s="50">
        <v>44742.8522443171</v>
      </c>
      <c r="C4597" s="51">
        <v>1.005</v>
      </c>
      <c r="D4597" s="51">
        <v>67.0</v>
      </c>
      <c r="E4597" s="52" t="s">
        <v>25</v>
      </c>
      <c r="F4597" s="52" t="s">
        <v>26</v>
      </c>
      <c r="G4597" s="53"/>
    </row>
    <row r="4598">
      <c r="A4598" s="49">
        <v>44742.73768690972</v>
      </c>
      <c r="B4598" s="50">
        <v>44742.8626667592</v>
      </c>
      <c r="C4598" s="51">
        <v>1.005</v>
      </c>
      <c r="D4598" s="51">
        <v>67.0</v>
      </c>
      <c r="E4598" s="52" t="s">
        <v>25</v>
      </c>
      <c r="F4598" s="52" t="s">
        <v>26</v>
      </c>
      <c r="G4598" s="53"/>
    </row>
    <row r="4599">
      <c r="A4599" s="49">
        <v>44742.74811053241</v>
      </c>
      <c r="B4599" s="50">
        <v>44742.8730875578</v>
      </c>
      <c r="C4599" s="51">
        <v>1.005</v>
      </c>
      <c r="D4599" s="51">
        <v>67.0</v>
      </c>
      <c r="E4599" s="52" t="s">
        <v>25</v>
      </c>
      <c r="F4599" s="52" t="s">
        <v>26</v>
      </c>
      <c r="G4599" s="53"/>
    </row>
    <row r="4600">
      <c r="A4600" s="49">
        <v>44742.75852924769</v>
      </c>
      <c r="B4600" s="50">
        <v>44742.8835096412</v>
      </c>
      <c r="C4600" s="51">
        <v>1.005</v>
      </c>
      <c r="D4600" s="51">
        <v>67.0</v>
      </c>
      <c r="E4600" s="52" t="s">
        <v>25</v>
      </c>
      <c r="F4600" s="52" t="s">
        <v>26</v>
      </c>
      <c r="G4600" s="53"/>
    </row>
    <row r="4601">
      <c r="A4601" s="49">
        <v>44742.76895109954</v>
      </c>
      <c r="B4601" s="50">
        <v>44742.8939288888</v>
      </c>
      <c r="C4601" s="51">
        <v>1.005</v>
      </c>
      <c r="D4601" s="51">
        <v>67.0</v>
      </c>
      <c r="E4601" s="52" t="s">
        <v>25</v>
      </c>
      <c r="F4601" s="52" t="s">
        <v>26</v>
      </c>
      <c r="G4601" s="53"/>
    </row>
    <row r="4602">
      <c r="A4602" s="49">
        <v>44742.77937225695</v>
      </c>
      <c r="B4602" s="50">
        <v>44742.904348449</v>
      </c>
      <c r="C4602" s="51">
        <v>1.005</v>
      </c>
      <c r="D4602" s="51">
        <v>67.0</v>
      </c>
      <c r="E4602" s="52" t="s">
        <v>25</v>
      </c>
      <c r="F4602" s="52" t="s">
        <v>26</v>
      </c>
      <c r="G4602" s="53"/>
    </row>
    <row r="4603">
      <c r="A4603" s="49">
        <v>44742.78978502315</v>
      </c>
      <c r="B4603" s="50">
        <v>44742.9147688541</v>
      </c>
      <c r="C4603" s="51">
        <v>1.005</v>
      </c>
      <c r="D4603" s="51">
        <v>67.0</v>
      </c>
      <c r="E4603" s="52" t="s">
        <v>25</v>
      </c>
      <c r="F4603" s="52" t="s">
        <v>26</v>
      </c>
      <c r="G4603" s="53"/>
    </row>
    <row r="4604">
      <c r="A4604" s="49">
        <v>44742.800214664356</v>
      </c>
      <c r="B4604" s="50">
        <v>44742.9251915277</v>
      </c>
      <c r="C4604" s="51">
        <v>1.005</v>
      </c>
      <c r="D4604" s="51">
        <v>67.0</v>
      </c>
      <c r="E4604" s="52" t="s">
        <v>25</v>
      </c>
      <c r="F4604" s="52" t="s">
        <v>26</v>
      </c>
      <c r="G4604" s="53"/>
    </row>
    <row r="4605">
      <c r="A4605" s="49">
        <v>44742.81063853009</v>
      </c>
      <c r="B4605" s="50">
        <v>44742.9356115162</v>
      </c>
      <c r="C4605" s="51">
        <v>1.005</v>
      </c>
      <c r="D4605" s="51">
        <v>67.0</v>
      </c>
      <c r="E4605" s="52" t="s">
        <v>25</v>
      </c>
      <c r="F4605" s="52" t="s">
        <v>26</v>
      </c>
      <c r="G4605" s="53"/>
    </row>
    <row r="4606">
      <c r="A4606" s="49">
        <v>44742.82105297454</v>
      </c>
      <c r="B4606" s="50">
        <v>44742.9460334606</v>
      </c>
      <c r="C4606" s="51">
        <v>1.005</v>
      </c>
      <c r="D4606" s="51">
        <v>68.0</v>
      </c>
      <c r="E4606" s="52" t="s">
        <v>25</v>
      </c>
      <c r="F4606" s="52" t="s">
        <v>26</v>
      </c>
      <c r="G4606" s="53"/>
    </row>
    <row r="4607">
      <c r="A4607" s="49">
        <v>44742.83146929398</v>
      </c>
      <c r="B4607" s="50">
        <v>44742.9564522106</v>
      </c>
      <c r="C4607" s="51">
        <v>1.005</v>
      </c>
      <c r="D4607" s="51">
        <v>68.0</v>
      </c>
      <c r="E4607" s="52" t="s">
        <v>25</v>
      </c>
      <c r="F4607" s="52" t="s">
        <v>26</v>
      </c>
      <c r="G4607" s="53"/>
    </row>
    <row r="4608">
      <c r="A4608" s="49">
        <v>44742.84189738426</v>
      </c>
      <c r="B4608" s="50">
        <v>44742.966873912</v>
      </c>
      <c r="C4608" s="51">
        <v>1.005</v>
      </c>
      <c r="D4608" s="51">
        <v>68.0</v>
      </c>
      <c r="E4608" s="52" t="s">
        <v>25</v>
      </c>
      <c r="F4608" s="52" t="s">
        <v>26</v>
      </c>
      <c r="G4608" s="53"/>
    </row>
    <row r="4609">
      <c r="A4609" s="49">
        <v>44742.852327245375</v>
      </c>
      <c r="B4609" s="50">
        <v>44742.9773058912</v>
      </c>
      <c r="C4609" s="51">
        <v>1.005</v>
      </c>
      <c r="D4609" s="51">
        <v>68.0</v>
      </c>
      <c r="E4609" s="52" t="s">
        <v>25</v>
      </c>
      <c r="F4609" s="52" t="s">
        <v>26</v>
      </c>
      <c r="G4609" s="53"/>
    </row>
    <row r="4610">
      <c r="A4610" s="49">
        <v>44742.86275748843</v>
      </c>
      <c r="B4610" s="50">
        <v>44742.9877271064</v>
      </c>
      <c r="C4610" s="51">
        <v>1.005</v>
      </c>
      <c r="D4610" s="51">
        <v>68.0</v>
      </c>
      <c r="E4610" s="52" t="s">
        <v>25</v>
      </c>
      <c r="F4610" s="52" t="s">
        <v>26</v>
      </c>
      <c r="G4610" s="53"/>
    </row>
    <row r="4611">
      <c r="A4611" s="49">
        <v>44742.87316974537</v>
      </c>
      <c r="B4611" s="50">
        <v>44742.9981478587</v>
      </c>
      <c r="C4611" s="51">
        <v>1.005</v>
      </c>
      <c r="D4611" s="51">
        <v>68.0</v>
      </c>
      <c r="E4611" s="52" t="s">
        <v>25</v>
      </c>
      <c r="F4611" s="52" t="s">
        <v>26</v>
      </c>
      <c r="G4611" s="53"/>
    </row>
    <row r="4612">
      <c r="A4612" s="49">
        <v>44742.88359460648</v>
      </c>
      <c r="B4612" s="50">
        <v>44743.0085690162</v>
      </c>
      <c r="C4612" s="51">
        <v>1.005</v>
      </c>
      <c r="D4612" s="51">
        <v>68.0</v>
      </c>
      <c r="E4612" s="52" t="s">
        <v>25</v>
      </c>
      <c r="F4612" s="52" t="s">
        <v>26</v>
      </c>
      <c r="G4612" s="53"/>
    </row>
    <row r="4613">
      <c r="A4613" s="49">
        <v>44742.894009814816</v>
      </c>
      <c r="B4613" s="50">
        <v>44743.0189890393</v>
      </c>
      <c r="C4613" s="51">
        <v>1.005</v>
      </c>
      <c r="D4613" s="51">
        <v>68.0</v>
      </c>
      <c r="E4613" s="52" t="s">
        <v>25</v>
      </c>
      <c r="F4613" s="52" t="s">
        <v>26</v>
      </c>
      <c r="G4613" s="53"/>
    </row>
    <row r="4614">
      <c r="A4614" s="49">
        <v>44742.90442622685</v>
      </c>
      <c r="B4614" s="50">
        <v>44743.0294101157</v>
      </c>
      <c r="C4614" s="51">
        <v>1.005</v>
      </c>
      <c r="D4614" s="51">
        <v>68.0</v>
      </c>
      <c r="E4614" s="52" t="s">
        <v>25</v>
      </c>
      <c r="F4614" s="52" t="s">
        <v>26</v>
      </c>
      <c r="G4614" s="53"/>
    </row>
    <row r="4615">
      <c r="A4615" s="49">
        <v>44742.914864942126</v>
      </c>
      <c r="B4615" s="50">
        <v>44743.0398433449</v>
      </c>
      <c r="C4615" s="51">
        <v>1.005</v>
      </c>
      <c r="D4615" s="51">
        <v>68.0</v>
      </c>
      <c r="E4615" s="52" t="s">
        <v>25</v>
      </c>
      <c r="F4615" s="52" t="s">
        <v>26</v>
      </c>
      <c r="G4615" s="53"/>
    </row>
    <row r="4616">
      <c r="A4616" s="49">
        <v>44742.9253005787</v>
      </c>
      <c r="B4616" s="50">
        <v>44743.050275868</v>
      </c>
      <c r="C4616" s="51">
        <v>1.005</v>
      </c>
      <c r="D4616" s="51">
        <v>68.0</v>
      </c>
      <c r="E4616" s="52" t="s">
        <v>25</v>
      </c>
      <c r="F4616" s="52" t="s">
        <v>26</v>
      </c>
      <c r="G4616" s="53"/>
    </row>
    <row r="4617">
      <c r="A4617" s="49">
        <v>44742.935716921296</v>
      </c>
      <c r="B4617" s="50">
        <v>44743.060697662</v>
      </c>
      <c r="C4617" s="51">
        <v>1.005</v>
      </c>
      <c r="D4617" s="51">
        <v>68.0</v>
      </c>
      <c r="E4617" s="52" t="s">
        <v>25</v>
      </c>
      <c r="F4617" s="52" t="s">
        <v>26</v>
      </c>
      <c r="G4617" s="53"/>
    </row>
    <row r="4618">
      <c r="A4618" s="49">
        <v>44742.94614369213</v>
      </c>
      <c r="B4618" s="50">
        <v>44743.0711190625</v>
      </c>
      <c r="C4618" s="51">
        <v>1.005</v>
      </c>
      <c r="D4618" s="51">
        <v>68.0</v>
      </c>
      <c r="E4618" s="52" t="s">
        <v>25</v>
      </c>
      <c r="F4618" s="52" t="s">
        <v>26</v>
      </c>
      <c r="G4618" s="53"/>
    </row>
    <row r="4619">
      <c r="A4619" s="49">
        <v>44742.95656590278</v>
      </c>
      <c r="B4619" s="50">
        <v>44743.081540706</v>
      </c>
      <c r="C4619" s="51">
        <v>1.004</v>
      </c>
      <c r="D4619" s="51">
        <v>68.0</v>
      </c>
      <c r="E4619" s="52" t="s">
        <v>25</v>
      </c>
      <c r="F4619" s="52" t="s">
        <v>26</v>
      </c>
      <c r="G4619" s="53"/>
    </row>
    <row r="4620">
      <c r="A4620" s="49">
        <v>44742.966982303245</v>
      </c>
      <c r="B4620" s="50">
        <v>44743.0919630092</v>
      </c>
      <c r="C4620" s="51">
        <v>1.005</v>
      </c>
      <c r="D4620" s="51">
        <v>68.0</v>
      </c>
      <c r="E4620" s="52" t="s">
        <v>25</v>
      </c>
      <c r="F4620" s="52" t="s">
        <v>26</v>
      </c>
      <c r="G4620" s="53"/>
    </row>
    <row r="4621">
      <c r="A4621" s="49">
        <v>44742.97740076389</v>
      </c>
      <c r="B4621" s="50">
        <v>44743.1023831828</v>
      </c>
      <c r="C4621" s="51">
        <v>1.005</v>
      </c>
      <c r="D4621" s="51">
        <v>68.0</v>
      </c>
      <c r="E4621" s="52" t="s">
        <v>25</v>
      </c>
      <c r="F4621" s="52" t="s">
        <v>26</v>
      </c>
      <c r="G4621" s="53"/>
    </row>
    <row r="4622">
      <c r="A4622" s="49">
        <v>44742.98781980324</v>
      </c>
      <c r="B4622" s="50">
        <v>44743.1128032407</v>
      </c>
      <c r="C4622" s="51">
        <v>1.005</v>
      </c>
      <c r="D4622" s="51">
        <v>68.0</v>
      </c>
      <c r="E4622" s="52" t="s">
        <v>25</v>
      </c>
      <c r="F4622" s="52" t="s">
        <v>26</v>
      </c>
      <c r="G4622" s="53"/>
    </row>
    <row r="4623">
      <c r="A4623" s="49">
        <v>44742.99823967593</v>
      </c>
      <c r="B4623" s="50">
        <v>44743.123224618</v>
      </c>
      <c r="C4623" s="51">
        <v>1.005</v>
      </c>
      <c r="D4623" s="51">
        <v>68.0</v>
      </c>
      <c r="E4623" s="52" t="s">
        <v>25</v>
      </c>
      <c r="F4623" s="52" t="s">
        <v>26</v>
      </c>
      <c r="G4623" s="53"/>
    </row>
    <row r="4624">
      <c r="A4624" s="49">
        <v>44743.00867149305</v>
      </c>
      <c r="B4624" s="50">
        <v>44743.1336465046</v>
      </c>
      <c r="C4624" s="51">
        <v>1.005</v>
      </c>
      <c r="D4624" s="51">
        <v>68.0</v>
      </c>
      <c r="E4624" s="52" t="s">
        <v>25</v>
      </c>
      <c r="F4624" s="52" t="s">
        <v>26</v>
      </c>
      <c r="G4624" s="53"/>
    </row>
    <row r="4625">
      <c r="A4625" s="49">
        <v>44743.01909386574</v>
      </c>
      <c r="B4625" s="50">
        <v>44743.1440675231</v>
      </c>
      <c r="C4625" s="51">
        <v>1.005</v>
      </c>
      <c r="D4625" s="51">
        <v>68.0</v>
      </c>
      <c r="E4625" s="52" t="s">
        <v>25</v>
      </c>
      <c r="F4625" s="52" t="s">
        <v>26</v>
      </c>
      <c r="G4625" s="53"/>
    </row>
    <row r="4626">
      <c r="A4626" s="49">
        <v>44743.029527349536</v>
      </c>
      <c r="B4626" s="50">
        <v>44743.1545012731</v>
      </c>
      <c r="C4626" s="51">
        <v>1.005</v>
      </c>
      <c r="D4626" s="51">
        <v>68.0</v>
      </c>
      <c r="E4626" s="52" t="s">
        <v>25</v>
      </c>
      <c r="F4626" s="52" t="s">
        <v>26</v>
      </c>
      <c r="G4626" s="53"/>
    </row>
    <row r="4627">
      <c r="A4627" s="49">
        <v>44743.039942083335</v>
      </c>
      <c r="B4627" s="50">
        <v>44743.1649220949</v>
      </c>
      <c r="C4627" s="51">
        <v>1.005</v>
      </c>
      <c r="D4627" s="51">
        <v>68.0</v>
      </c>
      <c r="E4627" s="52" t="s">
        <v>25</v>
      </c>
      <c r="F4627" s="52" t="s">
        <v>26</v>
      </c>
      <c r="G4627" s="53"/>
    </row>
    <row r="4628">
      <c r="A4628" s="49">
        <v>44743.050360671295</v>
      </c>
      <c r="B4628" s="50">
        <v>44743.1753430671</v>
      </c>
      <c r="C4628" s="51">
        <v>1.005</v>
      </c>
      <c r="D4628" s="51">
        <v>68.0</v>
      </c>
      <c r="E4628" s="52" t="s">
        <v>25</v>
      </c>
      <c r="F4628" s="52" t="s">
        <v>26</v>
      </c>
      <c r="G4628" s="53"/>
    </row>
    <row r="4629">
      <c r="A4629" s="49">
        <v>44743.06078327546</v>
      </c>
      <c r="B4629" s="50">
        <v>44743.1857639814</v>
      </c>
      <c r="C4629" s="51">
        <v>1.005</v>
      </c>
      <c r="D4629" s="51">
        <v>68.0</v>
      </c>
      <c r="E4629" s="52" t="s">
        <v>25</v>
      </c>
      <c r="F4629" s="52" t="s">
        <v>26</v>
      </c>
      <c r="G4629" s="53"/>
    </row>
    <row r="4630">
      <c r="A4630" s="49">
        <v>44743.071219791665</v>
      </c>
      <c r="B4630" s="50">
        <v>44743.1961957523</v>
      </c>
      <c r="C4630" s="51">
        <v>1.005</v>
      </c>
      <c r="D4630" s="51">
        <v>68.0</v>
      </c>
      <c r="E4630" s="52" t="s">
        <v>25</v>
      </c>
      <c r="F4630" s="52" t="s">
        <v>26</v>
      </c>
      <c r="G4630" s="53"/>
    </row>
    <row r="4631">
      <c r="A4631" s="49">
        <v>44743.08164318287</v>
      </c>
      <c r="B4631" s="50">
        <v>44743.20661625</v>
      </c>
      <c r="C4631" s="51">
        <v>1.005</v>
      </c>
      <c r="D4631" s="51">
        <v>68.0</v>
      </c>
      <c r="E4631" s="52" t="s">
        <v>25</v>
      </c>
      <c r="F4631" s="52" t="s">
        <v>26</v>
      </c>
      <c r="G4631" s="53"/>
    </row>
    <row r="4632">
      <c r="A4632" s="49">
        <v>44743.09207180556</v>
      </c>
      <c r="B4632" s="50">
        <v>44743.2170481944</v>
      </c>
      <c r="C4632" s="51">
        <v>1.005</v>
      </c>
      <c r="D4632" s="51">
        <v>68.0</v>
      </c>
      <c r="E4632" s="52" t="s">
        <v>25</v>
      </c>
      <c r="F4632" s="52" t="s">
        <v>26</v>
      </c>
      <c r="G4632" s="53"/>
    </row>
    <row r="4633">
      <c r="A4633" s="49">
        <v>44743.10249618055</v>
      </c>
      <c r="B4633" s="50">
        <v>44743.2274694907</v>
      </c>
      <c r="C4633" s="51">
        <v>1.005</v>
      </c>
      <c r="D4633" s="51">
        <v>68.0</v>
      </c>
      <c r="E4633" s="52" t="s">
        <v>25</v>
      </c>
      <c r="F4633" s="52" t="s">
        <v>26</v>
      </c>
      <c r="G4633" s="53"/>
    </row>
    <row r="4634">
      <c r="A4634" s="49">
        <v>44743.11291635416</v>
      </c>
      <c r="B4634" s="50">
        <v>44743.2378907986</v>
      </c>
      <c r="C4634" s="51">
        <v>1.005</v>
      </c>
      <c r="D4634" s="51">
        <v>68.0</v>
      </c>
      <c r="E4634" s="52" t="s">
        <v>25</v>
      </c>
      <c r="F4634" s="52" t="s">
        <v>26</v>
      </c>
      <c r="G4634" s="53"/>
    </row>
    <row r="4635">
      <c r="A4635" s="49">
        <v>44743.12333480324</v>
      </c>
      <c r="B4635" s="50">
        <v>44743.2483135069</v>
      </c>
      <c r="C4635" s="51">
        <v>1.005</v>
      </c>
      <c r="D4635" s="51">
        <v>68.0</v>
      </c>
      <c r="E4635" s="52" t="s">
        <v>25</v>
      </c>
      <c r="F4635" s="52" t="s">
        <v>26</v>
      </c>
      <c r="G4635" s="53"/>
    </row>
    <row r="4636">
      <c r="A4636" s="49">
        <v>44743.13375789352</v>
      </c>
      <c r="B4636" s="50">
        <v>44743.258734375</v>
      </c>
      <c r="C4636" s="51">
        <v>1.005</v>
      </c>
      <c r="D4636" s="51">
        <v>68.0</v>
      </c>
      <c r="E4636" s="52" t="s">
        <v>25</v>
      </c>
      <c r="F4636" s="52" t="s">
        <v>26</v>
      </c>
      <c r="G4636" s="53"/>
    </row>
    <row r="4637">
      <c r="A4637" s="49">
        <v>44743.1441875</v>
      </c>
      <c r="B4637" s="50">
        <v>44743.2691663888</v>
      </c>
      <c r="C4637" s="51">
        <v>1.005</v>
      </c>
      <c r="D4637" s="51">
        <v>68.0</v>
      </c>
      <c r="E4637" s="52" t="s">
        <v>25</v>
      </c>
      <c r="F4637" s="52" t="s">
        <v>26</v>
      </c>
      <c r="G4637" s="53"/>
    </row>
    <row r="4638">
      <c r="A4638" s="49">
        <v>44743.15460459491</v>
      </c>
      <c r="B4638" s="50">
        <v>44743.2795862152</v>
      </c>
      <c r="C4638" s="51">
        <v>1.005</v>
      </c>
      <c r="D4638" s="51">
        <v>68.0</v>
      </c>
      <c r="E4638" s="52" t="s">
        <v>25</v>
      </c>
      <c r="F4638" s="52" t="s">
        <v>26</v>
      </c>
      <c r="G4638" s="53"/>
    </row>
    <row r="4639">
      <c r="A4639" s="49">
        <v>44743.16503704861</v>
      </c>
      <c r="B4639" s="50">
        <v>44743.2900198032</v>
      </c>
      <c r="C4639" s="51">
        <v>1.005</v>
      </c>
      <c r="D4639" s="51">
        <v>68.0</v>
      </c>
      <c r="E4639" s="52" t="s">
        <v>25</v>
      </c>
      <c r="F4639" s="52" t="s">
        <v>26</v>
      </c>
      <c r="G4639" s="53"/>
    </row>
    <row r="4640">
      <c r="A4640" s="49">
        <v>44743.175463437496</v>
      </c>
      <c r="B4640" s="50">
        <v>44743.3004393634</v>
      </c>
      <c r="C4640" s="51">
        <v>1.005</v>
      </c>
      <c r="D4640" s="51">
        <v>68.0</v>
      </c>
      <c r="E4640" s="52" t="s">
        <v>25</v>
      </c>
      <c r="F4640" s="52" t="s">
        <v>26</v>
      </c>
      <c r="G4640" s="53"/>
    </row>
    <row r="4641">
      <c r="A4641" s="49">
        <v>44743.185885659725</v>
      </c>
      <c r="B4641" s="50">
        <v>44743.3108614004</v>
      </c>
      <c r="C4641" s="51">
        <v>1.005</v>
      </c>
      <c r="D4641" s="51">
        <v>68.0</v>
      </c>
      <c r="E4641" s="52" t="s">
        <v>25</v>
      </c>
      <c r="F4641" s="52" t="s">
        <v>26</v>
      </c>
      <c r="G4641" s="53"/>
    </row>
    <row r="4642">
      <c r="A4642" s="49">
        <v>44743.19631104167</v>
      </c>
      <c r="B4642" s="50">
        <v>44743.3212933912</v>
      </c>
      <c r="C4642" s="51">
        <v>1.005</v>
      </c>
      <c r="D4642" s="51">
        <v>68.0</v>
      </c>
      <c r="E4642" s="52" t="s">
        <v>25</v>
      </c>
      <c r="F4642" s="52" t="s">
        <v>26</v>
      </c>
      <c r="G4642" s="53"/>
    </row>
    <row r="4643">
      <c r="A4643" s="49">
        <v>44743.206753136576</v>
      </c>
      <c r="B4643" s="50">
        <v>44743.3317163425</v>
      </c>
      <c r="C4643" s="51">
        <v>1.005</v>
      </c>
      <c r="D4643" s="51">
        <v>68.0</v>
      </c>
      <c r="E4643" s="52" t="s">
        <v>25</v>
      </c>
      <c r="F4643" s="52" t="s">
        <v>26</v>
      </c>
      <c r="G4643" s="53"/>
    </row>
    <row r="4644">
      <c r="A4644" s="49">
        <v>44743.21716915509</v>
      </c>
      <c r="B4644" s="50">
        <v>44743.3421490277</v>
      </c>
      <c r="C4644" s="51">
        <v>1.005</v>
      </c>
      <c r="D4644" s="51">
        <v>68.0</v>
      </c>
      <c r="E4644" s="52" t="s">
        <v>25</v>
      </c>
      <c r="F4644" s="52" t="s">
        <v>26</v>
      </c>
      <c r="G4644" s="53"/>
    </row>
    <row r="4645">
      <c r="A4645" s="49">
        <v>44743.227584444445</v>
      </c>
      <c r="B4645" s="50">
        <v>44743.3525696643</v>
      </c>
      <c r="C4645" s="51">
        <v>1.005</v>
      </c>
      <c r="D4645" s="51">
        <v>68.0</v>
      </c>
      <c r="E4645" s="52" t="s">
        <v>25</v>
      </c>
      <c r="F4645" s="52" t="s">
        <v>26</v>
      </c>
      <c r="G4645" s="53"/>
    </row>
    <row r="4646">
      <c r="A4646" s="49">
        <v>44743.23801414351</v>
      </c>
      <c r="B4646" s="50">
        <v>44743.362989375</v>
      </c>
      <c r="C4646" s="51">
        <v>1.005</v>
      </c>
      <c r="D4646" s="51">
        <v>68.0</v>
      </c>
      <c r="E4646" s="52" t="s">
        <v>25</v>
      </c>
      <c r="F4646" s="52" t="s">
        <v>26</v>
      </c>
      <c r="G4646" s="53"/>
    </row>
    <row r="4647">
      <c r="A4647" s="49">
        <v>44743.24842978009</v>
      </c>
      <c r="B4647" s="50">
        <v>44743.3734115393</v>
      </c>
      <c r="C4647" s="51">
        <v>1.005</v>
      </c>
      <c r="D4647" s="51">
        <v>68.0</v>
      </c>
      <c r="E4647" s="52" t="s">
        <v>25</v>
      </c>
      <c r="F4647" s="52" t="s">
        <v>26</v>
      </c>
      <c r="G4647" s="53"/>
    </row>
    <row r="4648">
      <c r="A4648" s="49">
        <v>44743.258849907405</v>
      </c>
      <c r="B4648" s="50">
        <v>44743.3838332407</v>
      </c>
      <c r="C4648" s="51">
        <v>1.005</v>
      </c>
      <c r="D4648" s="51">
        <v>68.0</v>
      </c>
      <c r="E4648" s="52" t="s">
        <v>25</v>
      </c>
      <c r="F4648" s="52" t="s">
        <v>26</v>
      </c>
      <c r="G4648" s="53"/>
    </row>
    <row r="4649">
      <c r="A4649" s="49">
        <v>44743.26927513889</v>
      </c>
      <c r="B4649" s="50">
        <v>44743.3942548379</v>
      </c>
      <c r="C4649" s="51">
        <v>1.005</v>
      </c>
      <c r="D4649" s="51">
        <v>68.0</v>
      </c>
      <c r="E4649" s="52" t="s">
        <v>25</v>
      </c>
      <c r="F4649" s="52" t="s">
        <v>26</v>
      </c>
      <c r="G4649" s="53"/>
    </row>
    <row r="4650">
      <c r="A4650" s="49">
        <v>44743.27970576389</v>
      </c>
      <c r="B4650" s="50">
        <v>44743.4046774305</v>
      </c>
      <c r="C4650" s="51">
        <v>1.005</v>
      </c>
      <c r="D4650" s="51">
        <v>68.0</v>
      </c>
      <c r="E4650" s="52" t="s">
        <v>25</v>
      </c>
      <c r="F4650" s="52" t="s">
        <v>26</v>
      </c>
      <c r="G4650" s="53"/>
    </row>
    <row r="4651">
      <c r="A4651" s="49">
        <v>44743.290133622686</v>
      </c>
      <c r="B4651" s="50">
        <v>44743.4151102199</v>
      </c>
      <c r="C4651" s="51">
        <v>1.005</v>
      </c>
      <c r="D4651" s="51">
        <v>68.0</v>
      </c>
      <c r="E4651" s="52" t="s">
        <v>25</v>
      </c>
      <c r="F4651" s="52" t="s">
        <v>26</v>
      </c>
      <c r="G4651" s="53"/>
    </row>
    <row r="4652">
      <c r="A4652" s="49">
        <v>44743.30055483796</v>
      </c>
      <c r="B4652" s="50">
        <v>44743.4255320717</v>
      </c>
      <c r="C4652" s="51">
        <v>1.005</v>
      </c>
      <c r="D4652" s="51">
        <v>68.0</v>
      </c>
      <c r="E4652" s="52" t="s">
        <v>25</v>
      </c>
      <c r="F4652" s="52" t="s">
        <v>26</v>
      </c>
      <c r="G4652" s="53"/>
    </row>
    <row r="4653">
      <c r="A4653" s="49">
        <v>44743.31097900463</v>
      </c>
      <c r="B4653" s="50">
        <v>44743.435954699</v>
      </c>
      <c r="C4653" s="51">
        <v>1.005</v>
      </c>
      <c r="D4653" s="51">
        <v>68.0</v>
      </c>
      <c r="E4653" s="52" t="s">
        <v>25</v>
      </c>
      <c r="F4653" s="52" t="s">
        <v>26</v>
      </c>
      <c r="G4653" s="53"/>
    </row>
    <row r="4654">
      <c r="A4654" s="49">
        <v>44743.32139515046</v>
      </c>
      <c r="B4654" s="50">
        <v>44743.4463758449</v>
      </c>
      <c r="C4654" s="51">
        <v>1.005</v>
      </c>
      <c r="D4654" s="51">
        <v>68.0</v>
      </c>
      <c r="E4654" s="52" t="s">
        <v>25</v>
      </c>
      <c r="F4654" s="52" t="s">
        <v>26</v>
      </c>
      <c r="G4654" s="53"/>
    </row>
    <row r="4655">
      <c r="A4655" s="49">
        <v>44743.331822928245</v>
      </c>
      <c r="B4655" s="50">
        <v>44743.4567991203</v>
      </c>
      <c r="C4655" s="51">
        <v>1.005</v>
      </c>
      <c r="D4655" s="51">
        <v>68.0</v>
      </c>
      <c r="E4655" s="52" t="s">
        <v>25</v>
      </c>
      <c r="F4655" s="52" t="s">
        <v>26</v>
      </c>
      <c r="G4655" s="53"/>
    </row>
    <row r="4656">
      <c r="A4656" s="49">
        <v>44743.342248981484</v>
      </c>
      <c r="B4656" s="50">
        <v>44743.4672204513</v>
      </c>
      <c r="C4656" s="51">
        <v>1.005</v>
      </c>
      <c r="D4656" s="51">
        <v>68.0</v>
      </c>
      <c r="E4656" s="52" t="s">
        <v>25</v>
      </c>
      <c r="F4656" s="52" t="s">
        <v>26</v>
      </c>
      <c r="G4656" s="53"/>
    </row>
    <row r="4657">
      <c r="A4657" s="49">
        <v>44743.35266550926</v>
      </c>
      <c r="B4657" s="50">
        <v>44743.4776419676</v>
      </c>
      <c r="C4657" s="51">
        <v>1.005</v>
      </c>
      <c r="D4657" s="51">
        <v>68.0</v>
      </c>
      <c r="E4657" s="52" t="s">
        <v>25</v>
      </c>
      <c r="F4657" s="52" t="s">
        <v>26</v>
      </c>
      <c r="G4657" s="53"/>
    </row>
    <row r="4658">
      <c r="A4658" s="49">
        <v>44743.36309991898</v>
      </c>
      <c r="B4658" s="50">
        <v>44743.4880751273</v>
      </c>
      <c r="C4658" s="51">
        <v>1.005</v>
      </c>
      <c r="D4658" s="51">
        <v>68.0</v>
      </c>
      <c r="E4658" s="52" t="s">
        <v>25</v>
      </c>
      <c r="F4658" s="52" t="s">
        <v>26</v>
      </c>
      <c r="G4658" s="53"/>
    </row>
    <row r="4659">
      <c r="A4659" s="49">
        <v>44743.37353512731</v>
      </c>
      <c r="B4659" s="50">
        <v>44743.4985070023</v>
      </c>
      <c r="C4659" s="51">
        <v>1.005</v>
      </c>
      <c r="D4659" s="51">
        <v>68.0</v>
      </c>
      <c r="E4659" s="52" t="s">
        <v>25</v>
      </c>
      <c r="F4659" s="52" t="s">
        <v>26</v>
      </c>
      <c r="G4659" s="53"/>
    </row>
    <row r="4660">
      <c r="A4660" s="49">
        <v>44743.383959328705</v>
      </c>
      <c r="B4660" s="50">
        <v>44743.508939155</v>
      </c>
      <c r="C4660" s="51">
        <v>1.005</v>
      </c>
      <c r="D4660" s="51">
        <v>68.0</v>
      </c>
      <c r="E4660" s="52" t="s">
        <v>25</v>
      </c>
      <c r="F4660" s="52" t="s">
        <v>26</v>
      </c>
      <c r="G4660" s="53"/>
    </row>
    <row r="4661">
      <c r="A4661" s="49">
        <v>44743.39439862268</v>
      </c>
      <c r="B4661" s="50">
        <v>44743.5193731481</v>
      </c>
      <c r="C4661" s="51">
        <v>1.005</v>
      </c>
      <c r="D4661" s="51">
        <v>68.0</v>
      </c>
      <c r="E4661" s="52" t="s">
        <v>25</v>
      </c>
      <c r="F4661" s="52" t="s">
        <v>26</v>
      </c>
      <c r="G4661" s="53"/>
    </row>
    <row r="4662">
      <c r="A4662" s="49">
        <v>44743.40481263889</v>
      </c>
      <c r="B4662" s="50">
        <v>44743.5297926851</v>
      </c>
      <c r="C4662" s="51">
        <v>1.005</v>
      </c>
      <c r="D4662" s="51">
        <v>68.0</v>
      </c>
      <c r="E4662" s="52" t="s">
        <v>25</v>
      </c>
      <c r="F4662" s="52" t="s">
        <v>26</v>
      </c>
      <c r="G4662" s="53"/>
    </row>
    <row r="4663">
      <c r="A4663" s="49">
        <v>44743.41523027778</v>
      </c>
      <c r="B4663" s="50">
        <v>44743.5402135416</v>
      </c>
      <c r="C4663" s="51">
        <v>1.005</v>
      </c>
      <c r="D4663" s="51">
        <v>69.0</v>
      </c>
      <c r="E4663" s="52" t="s">
        <v>25</v>
      </c>
      <c r="F4663" s="52" t="s">
        <v>26</v>
      </c>
      <c r="G4663" s="53"/>
    </row>
    <row r="4664">
      <c r="A4664" s="49">
        <v>44743.425680925924</v>
      </c>
      <c r="B4664" s="50">
        <v>44743.5506570138</v>
      </c>
      <c r="C4664" s="51">
        <v>1.005</v>
      </c>
      <c r="D4664" s="51">
        <v>69.0</v>
      </c>
      <c r="E4664" s="52" t="s">
        <v>25</v>
      </c>
      <c r="F4664" s="52" t="s">
        <v>26</v>
      </c>
      <c r="G4664" s="53"/>
    </row>
    <row r="4665">
      <c r="A4665" s="49">
        <v>44743.43609984954</v>
      </c>
      <c r="B4665" s="50">
        <v>44743.5610782175</v>
      </c>
      <c r="C4665" s="51">
        <v>1.005</v>
      </c>
      <c r="D4665" s="51">
        <v>69.0</v>
      </c>
      <c r="E4665" s="52" t="s">
        <v>25</v>
      </c>
      <c r="F4665" s="52" t="s">
        <v>26</v>
      </c>
      <c r="G4665" s="53"/>
    </row>
    <row r="4666">
      <c r="A4666" s="49">
        <v>44743.44652488426</v>
      </c>
      <c r="B4666" s="50">
        <v>44743.5714992824</v>
      </c>
      <c r="C4666" s="51">
        <v>1.005</v>
      </c>
      <c r="D4666" s="51">
        <v>69.0</v>
      </c>
      <c r="E4666" s="52" t="s">
        <v>25</v>
      </c>
      <c r="F4666" s="52" t="s">
        <v>26</v>
      </c>
      <c r="G4666" s="53"/>
    </row>
    <row r="4667">
      <c r="A4667" s="49">
        <v>44743.456966909725</v>
      </c>
      <c r="B4667" s="50">
        <v>44743.5819427777</v>
      </c>
      <c r="C4667" s="51">
        <v>1.005</v>
      </c>
      <c r="D4667" s="51">
        <v>69.0</v>
      </c>
      <c r="E4667" s="52" t="s">
        <v>25</v>
      </c>
      <c r="F4667" s="52" t="s">
        <v>26</v>
      </c>
      <c r="G4667" s="53"/>
    </row>
    <row r="4668">
      <c r="A4668" s="49">
        <v>44743.46738983796</v>
      </c>
      <c r="B4668" s="50">
        <v>44743.5923634375</v>
      </c>
      <c r="C4668" s="51">
        <v>1.005</v>
      </c>
      <c r="D4668" s="51">
        <v>69.0</v>
      </c>
      <c r="E4668" s="52" t="s">
        <v>25</v>
      </c>
      <c r="F4668" s="52" t="s">
        <v>26</v>
      </c>
      <c r="G4668" s="53"/>
    </row>
    <row r="4669">
      <c r="A4669" s="49">
        <v>44743.477811875</v>
      </c>
      <c r="B4669" s="50">
        <v>44743.602784618</v>
      </c>
      <c r="C4669" s="51">
        <v>1.005</v>
      </c>
      <c r="D4669" s="51">
        <v>69.0</v>
      </c>
      <c r="E4669" s="52" t="s">
        <v>25</v>
      </c>
      <c r="F4669" s="52" t="s">
        <v>26</v>
      </c>
      <c r="G4669" s="53"/>
    </row>
    <row r="4670">
      <c r="A4670" s="49">
        <v>44743.48823625</v>
      </c>
      <c r="B4670" s="50">
        <v>44743.6132051041</v>
      </c>
      <c r="C4670" s="51">
        <v>1.004</v>
      </c>
      <c r="D4670" s="51">
        <v>69.0</v>
      </c>
      <c r="E4670" s="52" t="s">
        <v>25</v>
      </c>
      <c r="F4670" s="52" t="s">
        <v>26</v>
      </c>
      <c r="G4670" s="53"/>
    </row>
    <row r="4671">
      <c r="A4671" s="49">
        <v>44743.49864121528</v>
      </c>
      <c r="B4671" s="50">
        <v>44743.6236251157</v>
      </c>
      <c r="C4671" s="51">
        <v>1.005</v>
      </c>
      <c r="D4671" s="51">
        <v>69.0</v>
      </c>
      <c r="E4671" s="52" t="s">
        <v>25</v>
      </c>
      <c r="F4671" s="52" t="s">
        <v>26</v>
      </c>
      <c r="G4671" s="53"/>
    </row>
    <row r="4672">
      <c r="A4672" s="49">
        <v>44743.5090753125</v>
      </c>
      <c r="B4672" s="50">
        <v>44743.6340464467</v>
      </c>
      <c r="C4672" s="51">
        <v>1.005</v>
      </c>
      <c r="D4672" s="51">
        <v>69.0</v>
      </c>
      <c r="E4672" s="52" t="s">
        <v>25</v>
      </c>
      <c r="F4672" s="52" t="s">
        <v>26</v>
      </c>
      <c r="G4672" s="53"/>
    </row>
    <row r="4673">
      <c r="A4673" s="49">
        <v>44743.51949519676</v>
      </c>
      <c r="B4673" s="50">
        <v>44743.6444693287</v>
      </c>
      <c r="C4673" s="51">
        <v>1.005</v>
      </c>
      <c r="D4673" s="51">
        <v>69.0</v>
      </c>
      <c r="E4673" s="52" t="s">
        <v>25</v>
      </c>
      <c r="F4673" s="52" t="s">
        <v>26</v>
      </c>
      <c r="G4673" s="53"/>
    </row>
    <row r="4674">
      <c r="A4674" s="49">
        <v>44743.52991715277</v>
      </c>
      <c r="B4674" s="50">
        <v>44743.6548906944</v>
      </c>
      <c r="C4674" s="51">
        <v>1.005</v>
      </c>
      <c r="D4674" s="51">
        <v>69.0</v>
      </c>
      <c r="E4674" s="52" t="s">
        <v>25</v>
      </c>
      <c r="F4674" s="52" t="s">
        <v>26</v>
      </c>
      <c r="G4674" s="53"/>
    </row>
    <row r="4675">
      <c r="A4675" s="49">
        <v>44743.54033476852</v>
      </c>
      <c r="B4675" s="50">
        <v>44743.6653118634</v>
      </c>
      <c r="C4675" s="51">
        <v>1.005</v>
      </c>
      <c r="D4675" s="51">
        <v>69.0</v>
      </c>
      <c r="E4675" s="52" t="s">
        <v>25</v>
      </c>
      <c r="F4675" s="52" t="s">
        <v>26</v>
      </c>
      <c r="G4675" s="53"/>
    </row>
    <row r="4676">
      <c r="A4676" s="49">
        <v>44743.550756666664</v>
      </c>
      <c r="B4676" s="50">
        <v>44743.6757322685</v>
      </c>
      <c r="C4676" s="51">
        <v>1.005</v>
      </c>
      <c r="D4676" s="51">
        <v>69.0</v>
      </c>
      <c r="E4676" s="52" t="s">
        <v>25</v>
      </c>
      <c r="F4676" s="52" t="s">
        <v>26</v>
      </c>
      <c r="G4676" s="53"/>
    </row>
    <row r="4677">
      <c r="A4677" s="49">
        <v>44743.561176539355</v>
      </c>
      <c r="B4677" s="50">
        <v>44743.6861531713</v>
      </c>
      <c r="C4677" s="51">
        <v>1.005</v>
      </c>
      <c r="D4677" s="51">
        <v>69.0</v>
      </c>
      <c r="E4677" s="52" t="s">
        <v>25</v>
      </c>
      <c r="F4677" s="52" t="s">
        <v>26</v>
      </c>
      <c r="G4677" s="53"/>
    </row>
    <row r="4678">
      <c r="A4678" s="49">
        <v>44743.571600995376</v>
      </c>
      <c r="B4678" s="50">
        <v>44743.6965732986</v>
      </c>
      <c r="C4678" s="51">
        <v>1.005</v>
      </c>
      <c r="D4678" s="51">
        <v>69.0</v>
      </c>
      <c r="E4678" s="52" t="s">
        <v>25</v>
      </c>
      <c r="F4678" s="52" t="s">
        <v>26</v>
      </c>
      <c r="G4678" s="53"/>
    </row>
    <row r="4679">
      <c r="A4679" s="49">
        <v>44743.58202598379</v>
      </c>
      <c r="B4679" s="50">
        <v>44743.7070064236</v>
      </c>
      <c r="C4679" s="51">
        <v>1.005</v>
      </c>
      <c r="D4679" s="51">
        <v>69.0</v>
      </c>
      <c r="E4679" s="52" t="s">
        <v>25</v>
      </c>
      <c r="F4679" s="52" t="s">
        <v>26</v>
      </c>
      <c r="G4679" s="53"/>
    </row>
    <row r="4680">
      <c r="A4680" s="49">
        <v>44743.59246594907</v>
      </c>
      <c r="B4680" s="50">
        <v>44743.7174392824</v>
      </c>
      <c r="C4680" s="51">
        <v>1.005</v>
      </c>
      <c r="D4680" s="51">
        <v>69.0</v>
      </c>
      <c r="E4680" s="52" t="s">
        <v>25</v>
      </c>
      <c r="F4680" s="52" t="s">
        <v>26</v>
      </c>
      <c r="G4680" s="53"/>
    </row>
    <row r="4681">
      <c r="A4681" s="49">
        <v>44743.60288608796</v>
      </c>
      <c r="B4681" s="50">
        <v>44743.7278617361</v>
      </c>
      <c r="C4681" s="51">
        <v>1.005</v>
      </c>
      <c r="D4681" s="51">
        <v>69.0</v>
      </c>
      <c r="E4681" s="52" t="s">
        <v>25</v>
      </c>
      <c r="F4681" s="52" t="s">
        <v>26</v>
      </c>
      <c r="G4681" s="53"/>
    </row>
    <row r="4682">
      <c r="A4682" s="49">
        <v>44743.613300868055</v>
      </c>
      <c r="B4682" s="50">
        <v>44743.7382823842</v>
      </c>
      <c r="C4682" s="51">
        <v>1.005</v>
      </c>
      <c r="D4682" s="51">
        <v>69.0</v>
      </c>
      <c r="E4682" s="52" t="s">
        <v>25</v>
      </c>
      <c r="F4682" s="52" t="s">
        <v>26</v>
      </c>
      <c r="G4682" s="53"/>
    </row>
    <row r="4683">
      <c r="A4683" s="49">
        <v>44743.62372383101</v>
      </c>
      <c r="B4683" s="50">
        <v>44743.7487038773</v>
      </c>
      <c r="C4683" s="51">
        <v>1.005</v>
      </c>
      <c r="D4683" s="51">
        <v>69.0</v>
      </c>
      <c r="E4683" s="52" t="s">
        <v>25</v>
      </c>
      <c r="F4683" s="52" t="s">
        <v>26</v>
      </c>
      <c r="G4683" s="53"/>
    </row>
    <row r="4684">
      <c r="A4684" s="49">
        <v>44743.63415670139</v>
      </c>
      <c r="B4684" s="50">
        <v>44743.7591262152</v>
      </c>
      <c r="C4684" s="51">
        <v>1.005</v>
      </c>
      <c r="D4684" s="51">
        <v>69.0</v>
      </c>
      <c r="E4684" s="52" t="s">
        <v>25</v>
      </c>
      <c r="F4684" s="52" t="s">
        <v>26</v>
      </c>
      <c r="G4684" s="53"/>
    </row>
    <row r="4685">
      <c r="A4685" s="49">
        <v>44743.64457094907</v>
      </c>
      <c r="B4685" s="50">
        <v>44743.7695469675</v>
      </c>
      <c r="C4685" s="51">
        <v>1.005</v>
      </c>
      <c r="D4685" s="51">
        <v>69.0</v>
      </c>
      <c r="E4685" s="52" t="s">
        <v>25</v>
      </c>
      <c r="F4685" s="52" t="s">
        <v>26</v>
      </c>
      <c r="G4685" s="53"/>
    </row>
    <row r="4686">
      <c r="A4686" s="49">
        <v>44743.654996446756</v>
      </c>
      <c r="B4686" s="50">
        <v>44743.7799688773</v>
      </c>
      <c r="C4686" s="51">
        <v>1.005</v>
      </c>
      <c r="D4686" s="51">
        <v>69.0</v>
      </c>
      <c r="E4686" s="52" t="s">
        <v>25</v>
      </c>
      <c r="F4686" s="52" t="s">
        <v>26</v>
      </c>
      <c r="G4686" s="53"/>
    </row>
    <row r="4687">
      <c r="A4687" s="49">
        <v>44743.66541913194</v>
      </c>
      <c r="B4687" s="50">
        <v>44743.7903905555</v>
      </c>
      <c r="C4687" s="51">
        <v>1.004</v>
      </c>
      <c r="D4687" s="51">
        <v>69.0</v>
      </c>
      <c r="E4687" s="52" t="s">
        <v>25</v>
      </c>
      <c r="F4687" s="52" t="s">
        <v>26</v>
      </c>
      <c r="G4687" s="53"/>
    </row>
    <row r="4688">
      <c r="A4688" s="49">
        <v>44743.675832928246</v>
      </c>
      <c r="B4688" s="50">
        <v>44743.8008123379</v>
      </c>
      <c r="C4688" s="51">
        <v>1.005</v>
      </c>
      <c r="D4688" s="51">
        <v>69.0</v>
      </c>
      <c r="E4688" s="52" t="s">
        <v>25</v>
      </c>
      <c r="F4688" s="52" t="s">
        <v>26</v>
      </c>
      <c r="G4688" s="53"/>
    </row>
    <row r="4689">
      <c r="A4689" s="49">
        <v>44743.68624914352</v>
      </c>
      <c r="B4689" s="50">
        <v>44743.8112337963</v>
      </c>
      <c r="C4689" s="51">
        <v>1.004</v>
      </c>
      <c r="D4689" s="51">
        <v>69.0</v>
      </c>
      <c r="E4689" s="52" t="s">
        <v>25</v>
      </c>
      <c r="F4689" s="52" t="s">
        <v>26</v>
      </c>
      <c r="G4689" s="53"/>
    </row>
    <row r="4690">
      <c r="A4690" s="49">
        <v>44743.69667902778</v>
      </c>
      <c r="B4690" s="50">
        <v>44743.8216558796</v>
      </c>
      <c r="C4690" s="51">
        <v>1.004</v>
      </c>
      <c r="D4690" s="51">
        <v>69.0</v>
      </c>
      <c r="E4690" s="52" t="s">
        <v>25</v>
      </c>
      <c r="F4690" s="52" t="s">
        <v>26</v>
      </c>
      <c r="G4690" s="53"/>
    </row>
    <row r="4691">
      <c r="A4691" s="49">
        <v>44743.7071005787</v>
      </c>
      <c r="B4691" s="50">
        <v>44743.8320762963</v>
      </c>
      <c r="C4691" s="51">
        <v>1.004</v>
      </c>
      <c r="D4691" s="51">
        <v>69.0</v>
      </c>
      <c r="E4691" s="52" t="s">
        <v>25</v>
      </c>
      <c r="F4691" s="52" t="s">
        <v>26</v>
      </c>
      <c r="G4691" s="53"/>
    </row>
    <row r="4692">
      <c r="A4692" s="49">
        <v>44743.71751724537</v>
      </c>
      <c r="B4692" s="50">
        <v>44743.8424976273</v>
      </c>
      <c r="C4692" s="51">
        <v>1.004</v>
      </c>
      <c r="D4692" s="51">
        <v>69.0</v>
      </c>
      <c r="E4692" s="52" t="s">
        <v>25</v>
      </c>
      <c r="F4692" s="52" t="s">
        <v>26</v>
      </c>
      <c r="G4692" s="53"/>
    </row>
    <row r="4693">
      <c r="A4693" s="49">
        <v>44743.727937662035</v>
      </c>
      <c r="B4693" s="50">
        <v>44743.8529185648</v>
      </c>
      <c r="C4693" s="51">
        <v>1.005</v>
      </c>
      <c r="D4693" s="51">
        <v>69.0</v>
      </c>
      <c r="E4693" s="52" t="s">
        <v>25</v>
      </c>
      <c r="F4693" s="52" t="s">
        <v>26</v>
      </c>
      <c r="G4693" s="53"/>
    </row>
    <row r="4694">
      <c r="A4694" s="49">
        <v>44743.73837018519</v>
      </c>
      <c r="B4694" s="50">
        <v>44743.8633409606</v>
      </c>
      <c r="C4694" s="51">
        <v>1.004</v>
      </c>
      <c r="D4694" s="51">
        <v>69.0</v>
      </c>
      <c r="E4694" s="52" t="s">
        <v>25</v>
      </c>
      <c r="F4694" s="52" t="s">
        <v>26</v>
      </c>
      <c r="G4694" s="53"/>
    </row>
    <row r="4695">
      <c r="A4695" s="49">
        <v>44743.74879774306</v>
      </c>
      <c r="B4695" s="50">
        <v>44743.8737732407</v>
      </c>
      <c r="C4695" s="51">
        <v>1.005</v>
      </c>
      <c r="D4695" s="51">
        <v>69.0</v>
      </c>
      <c r="E4695" s="52" t="s">
        <v>25</v>
      </c>
      <c r="F4695" s="52" t="s">
        <v>26</v>
      </c>
      <c r="G4695" s="53"/>
    </row>
    <row r="4696">
      <c r="A4696" s="49">
        <v>44743.75921408564</v>
      </c>
      <c r="B4696" s="50">
        <v>44743.8841942708</v>
      </c>
      <c r="C4696" s="51">
        <v>1.005</v>
      </c>
      <c r="D4696" s="51">
        <v>69.0</v>
      </c>
      <c r="E4696" s="52" t="s">
        <v>25</v>
      </c>
      <c r="F4696" s="52" t="s">
        <v>26</v>
      </c>
      <c r="G4696" s="53"/>
    </row>
    <row r="4697">
      <c r="A4697" s="49">
        <v>44743.76964407407</v>
      </c>
      <c r="B4697" s="50">
        <v>44743.8946173611</v>
      </c>
      <c r="C4697" s="51">
        <v>1.004</v>
      </c>
      <c r="D4697" s="51">
        <v>69.0</v>
      </c>
      <c r="E4697" s="52" t="s">
        <v>25</v>
      </c>
      <c r="F4697" s="52" t="s">
        <v>26</v>
      </c>
      <c r="G4697" s="53"/>
    </row>
    <row r="4698">
      <c r="A4698" s="49">
        <v>44743.780061990736</v>
      </c>
      <c r="B4698" s="50">
        <v>44743.9050385648</v>
      </c>
      <c r="C4698" s="51">
        <v>1.005</v>
      </c>
      <c r="D4698" s="51">
        <v>69.0</v>
      </c>
      <c r="E4698" s="52" t="s">
        <v>25</v>
      </c>
      <c r="F4698" s="52" t="s">
        <v>26</v>
      </c>
      <c r="G4698" s="53"/>
    </row>
    <row r="4699">
      <c r="A4699" s="49">
        <v>44743.790487997685</v>
      </c>
      <c r="B4699" s="50">
        <v>44743.9154608449</v>
      </c>
      <c r="C4699" s="51">
        <v>1.005</v>
      </c>
      <c r="D4699" s="51">
        <v>69.0</v>
      </c>
      <c r="E4699" s="52" t="s">
        <v>25</v>
      </c>
      <c r="F4699" s="52" t="s">
        <v>26</v>
      </c>
      <c r="G4699" s="53"/>
    </row>
    <row r="4700">
      <c r="A4700" s="49">
        <v>44743.8009094213</v>
      </c>
      <c r="B4700" s="50">
        <v>44743.925881574</v>
      </c>
      <c r="C4700" s="51">
        <v>1.004</v>
      </c>
      <c r="D4700" s="51">
        <v>69.0</v>
      </c>
      <c r="E4700" s="52" t="s">
        <v>25</v>
      </c>
      <c r="F4700" s="52" t="s">
        <v>26</v>
      </c>
      <c r="G4700" s="53"/>
    </row>
    <row r="4701">
      <c r="A4701" s="49">
        <v>44743.8113334375</v>
      </c>
      <c r="B4701" s="50">
        <v>44743.9363033796</v>
      </c>
      <c r="C4701" s="51">
        <v>1.005</v>
      </c>
      <c r="D4701" s="51">
        <v>69.0</v>
      </c>
      <c r="E4701" s="52" t="s">
        <v>25</v>
      </c>
      <c r="F4701" s="52" t="s">
        <v>26</v>
      </c>
      <c r="G4701" s="53"/>
    </row>
    <row r="4702">
      <c r="A4702" s="49">
        <v>44743.82174583334</v>
      </c>
      <c r="B4702" s="50">
        <v>44743.9467245023</v>
      </c>
      <c r="C4702" s="51">
        <v>1.005</v>
      </c>
      <c r="D4702" s="51">
        <v>69.0</v>
      </c>
      <c r="E4702" s="52" t="s">
        <v>25</v>
      </c>
      <c r="F4702" s="52" t="s">
        <v>26</v>
      </c>
      <c r="G4702" s="53"/>
    </row>
    <row r="4703">
      <c r="A4703" s="49">
        <v>44743.832162245366</v>
      </c>
      <c r="B4703" s="50">
        <v>44743.9571458564</v>
      </c>
      <c r="C4703" s="51">
        <v>1.005</v>
      </c>
      <c r="D4703" s="51">
        <v>69.0</v>
      </c>
      <c r="E4703" s="52" t="s">
        <v>25</v>
      </c>
      <c r="F4703" s="52" t="s">
        <v>26</v>
      </c>
      <c r="G4703" s="53"/>
    </row>
    <row r="4704">
      <c r="A4704" s="49">
        <v>44743.84259510417</v>
      </c>
      <c r="B4704" s="50">
        <v>44743.967568287</v>
      </c>
      <c r="C4704" s="51">
        <v>1.005</v>
      </c>
      <c r="D4704" s="51">
        <v>69.0</v>
      </c>
      <c r="E4704" s="52" t="s">
        <v>25</v>
      </c>
      <c r="F4704" s="52" t="s">
        <v>26</v>
      </c>
      <c r="G4704" s="53"/>
    </row>
    <row r="4705">
      <c r="A4705" s="49">
        <v>44743.853007673606</v>
      </c>
      <c r="B4705" s="50">
        <v>44743.9779904976</v>
      </c>
      <c r="C4705" s="51">
        <v>1.005</v>
      </c>
      <c r="D4705" s="51">
        <v>69.0</v>
      </c>
      <c r="E4705" s="52" t="s">
        <v>25</v>
      </c>
      <c r="F4705" s="52" t="s">
        <v>26</v>
      </c>
      <c r="G4705" s="53"/>
    </row>
    <row r="4706">
      <c r="A4706" s="49">
        <v>44743.863436562504</v>
      </c>
      <c r="B4706" s="50">
        <v>44743.9884111458</v>
      </c>
      <c r="C4706" s="51">
        <v>1.004</v>
      </c>
      <c r="D4706" s="51">
        <v>69.0</v>
      </c>
      <c r="E4706" s="52" t="s">
        <v>25</v>
      </c>
      <c r="F4706" s="52" t="s">
        <v>26</v>
      </c>
      <c r="G4706" s="53"/>
    </row>
    <row r="4707">
      <c r="A4707" s="49">
        <v>44743.873854652775</v>
      </c>
      <c r="B4707" s="50">
        <v>44743.9988332175</v>
      </c>
      <c r="C4707" s="51">
        <v>1.005</v>
      </c>
      <c r="D4707" s="51">
        <v>69.0</v>
      </c>
      <c r="E4707" s="52" t="s">
        <v>25</v>
      </c>
      <c r="F4707" s="52" t="s">
        <v>26</v>
      </c>
      <c r="G4707" s="53"/>
    </row>
    <row r="4708">
      <c r="A4708" s="49">
        <v>44743.884285277774</v>
      </c>
      <c r="B4708" s="50">
        <v>44744.009254074</v>
      </c>
      <c r="C4708" s="51">
        <v>1.005</v>
      </c>
      <c r="D4708" s="51">
        <v>69.0</v>
      </c>
      <c r="E4708" s="52" t="s">
        <v>25</v>
      </c>
      <c r="F4708" s="52" t="s">
        <v>26</v>
      </c>
      <c r="G4708" s="53"/>
    </row>
    <row r="4709">
      <c r="A4709" s="49">
        <v>44743.89469865741</v>
      </c>
      <c r="B4709" s="50">
        <v>44744.0196757407</v>
      </c>
      <c r="C4709" s="51">
        <v>1.004</v>
      </c>
      <c r="D4709" s="51">
        <v>69.0</v>
      </c>
      <c r="E4709" s="52" t="s">
        <v>25</v>
      </c>
      <c r="F4709" s="52" t="s">
        <v>26</v>
      </c>
      <c r="G4709" s="53"/>
    </row>
    <row r="4710">
      <c r="A4710" s="49">
        <v>44743.90512571759</v>
      </c>
      <c r="B4710" s="50">
        <v>44744.0300967592</v>
      </c>
      <c r="C4710" s="51">
        <v>1.005</v>
      </c>
      <c r="D4710" s="51">
        <v>69.0</v>
      </c>
      <c r="E4710" s="52" t="s">
        <v>25</v>
      </c>
      <c r="F4710" s="52" t="s">
        <v>26</v>
      </c>
      <c r="G4710" s="53"/>
    </row>
    <row r="4711">
      <c r="A4711" s="49">
        <v>44743.91555311343</v>
      </c>
      <c r="B4711" s="50">
        <v>44744.0405295138</v>
      </c>
      <c r="C4711" s="51">
        <v>1.005</v>
      </c>
      <c r="D4711" s="51">
        <v>69.0</v>
      </c>
      <c r="E4711" s="52" t="s">
        <v>25</v>
      </c>
      <c r="F4711" s="52" t="s">
        <v>26</v>
      </c>
      <c r="G4711" s="53"/>
    </row>
    <row r="4712">
      <c r="A4712" s="49">
        <v>44743.92596875</v>
      </c>
      <c r="B4712" s="50">
        <v>44744.0509487731</v>
      </c>
      <c r="C4712" s="51">
        <v>1.004</v>
      </c>
      <c r="D4712" s="51">
        <v>69.0</v>
      </c>
      <c r="E4712" s="52" t="s">
        <v>25</v>
      </c>
      <c r="F4712" s="52" t="s">
        <v>26</v>
      </c>
      <c r="G4712" s="53"/>
    </row>
    <row r="4713">
      <c r="A4713" s="49">
        <v>44743.93639471065</v>
      </c>
      <c r="B4713" s="50">
        <v>44744.0613687615</v>
      </c>
      <c r="C4713" s="51">
        <v>1.004</v>
      </c>
      <c r="D4713" s="51">
        <v>69.0</v>
      </c>
      <c r="E4713" s="52" t="s">
        <v>25</v>
      </c>
      <c r="F4713" s="52" t="s">
        <v>26</v>
      </c>
      <c r="G4713" s="53"/>
    </row>
    <row r="4714">
      <c r="A4714" s="49">
        <v>44743.94680863426</v>
      </c>
      <c r="B4714" s="50">
        <v>44744.0717908564</v>
      </c>
      <c r="C4714" s="51">
        <v>1.005</v>
      </c>
      <c r="D4714" s="51">
        <v>69.0</v>
      </c>
      <c r="E4714" s="52" t="s">
        <v>25</v>
      </c>
      <c r="F4714" s="52" t="s">
        <v>26</v>
      </c>
      <c r="G4714" s="53"/>
    </row>
    <row r="4715">
      <c r="A4715" s="49">
        <v>44743.957249479165</v>
      </c>
      <c r="B4715" s="50">
        <v>44744.0822222222</v>
      </c>
      <c r="C4715" s="51">
        <v>1.005</v>
      </c>
      <c r="D4715" s="51">
        <v>69.0</v>
      </c>
      <c r="E4715" s="52" t="s">
        <v>25</v>
      </c>
      <c r="F4715" s="52" t="s">
        <v>26</v>
      </c>
      <c r="G4715" s="53"/>
    </row>
    <row r="4716">
      <c r="A4716" s="49">
        <v>44743.96766892361</v>
      </c>
      <c r="B4716" s="50">
        <v>44744.0926441898</v>
      </c>
      <c r="C4716" s="51">
        <v>1.004</v>
      </c>
      <c r="D4716" s="51">
        <v>69.0</v>
      </c>
      <c r="E4716" s="52" t="s">
        <v>25</v>
      </c>
      <c r="F4716" s="52" t="s">
        <v>26</v>
      </c>
      <c r="G4716" s="53"/>
    </row>
    <row r="4717">
      <c r="A4717" s="49">
        <v>44743.978086585645</v>
      </c>
      <c r="B4717" s="50">
        <v>44744.1030661458</v>
      </c>
      <c r="C4717" s="51">
        <v>1.005</v>
      </c>
      <c r="D4717" s="51">
        <v>69.0</v>
      </c>
      <c r="E4717" s="52" t="s">
        <v>25</v>
      </c>
      <c r="F4717" s="52" t="s">
        <v>26</v>
      </c>
      <c r="G4717" s="53"/>
    </row>
    <row r="4718">
      <c r="A4718" s="49">
        <v>44743.98850741898</v>
      </c>
      <c r="B4718" s="50">
        <v>44744.1134862615</v>
      </c>
      <c r="C4718" s="51">
        <v>1.005</v>
      </c>
      <c r="D4718" s="51">
        <v>69.0</v>
      </c>
      <c r="E4718" s="52" t="s">
        <v>25</v>
      </c>
      <c r="F4718" s="52" t="s">
        <v>26</v>
      </c>
      <c r="G4718" s="53"/>
    </row>
    <row r="4719">
      <c r="A4719" s="49">
        <v>44743.99893439814</v>
      </c>
      <c r="B4719" s="50">
        <v>44744.1239075694</v>
      </c>
      <c r="C4719" s="51">
        <v>1.004</v>
      </c>
      <c r="D4719" s="51">
        <v>69.0</v>
      </c>
      <c r="E4719" s="52" t="s">
        <v>25</v>
      </c>
      <c r="F4719" s="52" t="s">
        <v>26</v>
      </c>
      <c r="G4719" s="53"/>
    </row>
    <row r="4720">
      <c r="A4720" s="49">
        <v>44744.00934684028</v>
      </c>
      <c r="B4720" s="50">
        <v>44744.1343299305</v>
      </c>
      <c r="C4720" s="51">
        <v>1.004</v>
      </c>
      <c r="D4720" s="51">
        <v>69.0</v>
      </c>
      <c r="E4720" s="52" t="s">
        <v>25</v>
      </c>
      <c r="F4720" s="52" t="s">
        <v>26</v>
      </c>
      <c r="G4720" s="53"/>
    </row>
    <row r="4721">
      <c r="A4721" s="49">
        <v>44744.01977506945</v>
      </c>
      <c r="B4721" s="50">
        <v>44744.1447511921</v>
      </c>
      <c r="C4721" s="51">
        <v>1.004</v>
      </c>
      <c r="D4721" s="51">
        <v>69.0</v>
      </c>
      <c r="E4721" s="52" t="s">
        <v>25</v>
      </c>
      <c r="F4721" s="52" t="s">
        <v>26</v>
      </c>
      <c r="G4721" s="53"/>
    </row>
    <row r="4722">
      <c r="A4722" s="49">
        <v>44744.03020978009</v>
      </c>
      <c r="B4722" s="50">
        <v>44744.1551834259</v>
      </c>
      <c r="C4722" s="51">
        <v>1.005</v>
      </c>
      <c r="D4722" s="51">
        <v>69.0</v>
      </c>
      <c r="E4722" s="52" t="s">
        <v>25</v>
      </c>
      <c r="F4722" s="52" t="s">
        <v>26</v>
      </c>
      <c r="G4722" s="53"/>
    </row>
    <row r="4723">
      <c r="A4723" s="49">
        <v>44744.04062783565</v>
      </c>
      <c r="B4723" s="50">
        <v>44744.1656053009</v>
      </c>
      <c r="C4723" s="51">
        <v>1.005</v>
      </c>
      <c r="D4723" s="51">
        <v>69.0</v>
      </c>
      <c r="E4723" s="52" t="s">
        <v>25</v>
      </c>
      <c r="F4723" s="52" t="s">
        <v>26</v>
      </c>
      <c r="G4723" s="53"/>
    </row>
    <row r="4724">
      <c r="A4724" s="49">
        <v>44744.05106373843</v>
      </c>
      <c r="B4724" s="50">
        <v>44744.1760386805</v>
      </c>
      <c r="C4724" s="51">
        <v>1.004</v>
      </c>
      <c r="D4724" s="51">
        <v>69.0</v>
      </c>
      <c r="E4724" s="52" t="s">
        <v>25</v>
      </c>
      <c r="F4724" s="52" t="s">
        <v>26</v>
      </c>
      <c r="G4724" s="53"/>
    </row>
    <row r="4725">
      <c r="A4725" s="49">
        <v>44744.061486307866</v>
      </c>
      <c r="B4725" s="50">
        <v>44744.186461493</v>
      </c>
      <c r="C4725" s="51">
        <v>1.005</v>
      </c>
      <c r="D4725" s="51">
        <v>69.0</v>
      </c>
      <c r="E4725" s="52" t="s">
        <v>25</v>
      </c>
      <c r="F4725" s="52" t="s">
        <v>26</v>
      </c>
      <c r="G4725" s="53"/>
    </row>
    <row r="4726">
      <c r="A4726" s="49">
        <v>44744.07191009259</v>
      </c>
      <c r="B4726" s="50">
        <v>44744.1968827314</v>
      </c>
      <c r="C4726" s="51">
        <v>1.005</v>
      </c>
      <c r="D4726" s="51">
        <v>69.0</v>
      </c>
      <c r="E4726" s="52" t="s">
        <v>25</v>
      </c>
      <c r="F4726" s="52" t="s">
        <v>26</v>
      </c>
      <c r="G4726" s="53"/>
    </row>
    <row r="4727">
      <c r="A4727" s="49">
        <v>44744.08234216435</v>
      </c>
      <c r="B4727" s="50">
        <v>44744.2073159606</v>
      </c>
      <c r="C4727" s="51">
        <v>1.005</v>
      </c>
      <c r="D4727" s="51">
        <v>69.0</v>
      </c>
      <c r="E4727" s="52" t="s">
        <v>25</v>
      </c>
      <c r="F4727" s="52" t="s">
        <v>26</v>
      </c>
      <c r="G4727" s="53"/>
    </row>
    <row r="4728">
      <c r="A4728" s="49">
        <v>44744.09275189815</v>
      </c>
      <c r="B4728" s="50">
        <v>44744.2177361805</v>
      </c>
      <c r="C4728" s="51">
        <v>1.005</v>
      </c>
      <c r="D4728" s="51">
        <v>69.0</v>
      </c>
      <c r="E4728" s="52" t="s">
        <v>25</v>
      </c>
      <c r="F4728" s="52" t="s">
        <v>26</v>
      </c>
      <c r="G4728" s="53"/>
    </row>
    <row r="4729">
      <c r="A4729" s="49">
        <v>44744.10318276621</v>
      </c>
      <c r="B4729" s="50">
        <v>44744.2281583449</v>
      </c>
      <c r="C4729" s="51">
        <v>1.004</v>
      </c>
      <c r="D4729" s="51">
        <v>69.0</v>
      </c>
      <c r="E4729" s="52" t="s">
        <v>25</v>
      </c>
      <c r="F4729" s="52" t="s">
        <v>26</v>
      </c>
      <c r="G4729" s="53"/>
    </row>
    <row r="4730">
      <c r="A4730" s="49">
        <v>44744.11360336805</v>
      </c>
      <c r="B4730" s="50">
        <v>44744.2385809837</v>
      </c>
      <c r="C4730" s="51">
        <v>1.004</v>
      </c>
      <c r="D4730" s="51">
        <v>69.0</v>
      </c>
      <c r="E4730" s="52" t="s">
        <v>25</v>
      </c>
      <c r="F4730" s="52" t="s">
        <v>26</v>
      </c>
      <c r="G4730" s="53"/>
    </row>
    <row r="4731">
      <c r="A4731" s="49">
        <v>44744.124044212964</v>
      </c>
      <c r="B4731" s="50">
        <v>44744.2490249421</v>
      </c>
      <c r="C4731" s="51">
        <v>1.005</v>
      </c>
      <c r="D4731" s="51">
        <v>69.0</v>
      </c>
      <c r="E4731" s="52" t="s">
        <v>25</v>
      </c>
      <c r="F4731" s="52" t="s">
        <v>26</v>
      </c>
      <c r="G4731" s="53"/>
    </row>
    <row r="4732">
      <c r="A4732" s="49">
        <v>44744.13448001158</v>
      </c>
      <c r="B4732" s="50">
        <v>44744.25945875</v>
      </c>
      <c r="C4732" s="51">
        <v>1.004</v>
      </c>
      <c r="D4732" s="51">
        <v>70.0</v>
      </c>
      <c r="E4732" s="52" t="s">
        <v>25</v>
      </c>
      <c r="F4732" s="52" t="s">
        <v>26</v>
      </c>
      <c r="G4732" s="53"/>
    </row>
    <row r="4733">
      <c r="A4733" s="49">
        <v>44744.14490104167</v>
      </c>
      <c r="B4733" s="50">
        <v>44744.2698790972</v>
      </c>
      <c r="C4733" s="51">
        <v>1.005</v>
      </c>
      <c r="D4733" s="51">
        <v>69.0</v>
      </c>
      <c r="E4733" s="52" t="s">
        <v>25</v>
      </c>
      <c r="F4733" s="52" t="s">
        <v>26</v>
      </c>
      <c r="G4733" s="53"/>
    </row>
    <row r="4734">
      <c r="A4734" s="49">
        <v>44744.15533350695</v>
      </c>
      <c r="B4734" s="50">
        <v>44744.2803110416</v>
      </c>
      <c r="C4734" s="51">
        <v>1.005</v>
      </c>
      <c r="D4734" s="51">
        <v>69.0</v>
      </c>
      <c r="E4734" s="52" t="s">
        <v>25</v>
      </c>
      <c r="F4734" s="52" t="s">
        <v>26</v>
      </c>
      <c r="G4734" s="53"/>
    </row>
    <row r="4735">
      <c r="A4735" s="49">
        <v>44744.16575189815</v>
      </c>
      <c r="B4735" s="50">
        <v>44744.2907316319</v>
      </c>
      <c r="C4735" s="51">
        <v>1.004</v>
      </c>
      <c r="D4735" s="51">
        <v>70.0</v>
      </c>
      <c r="E4735" s="52" t="s">
        <v>25</v>
      </c>
      <c r="F4735" s="52" t="s">
        <v>26</v>
      </c>
      <c r="G4735" s="53"/>
    </row>
    <row r="4736">
      <c r="A4736" s="49">
        <v>44744.176167349535</v>
      </c>
      <c r="B4736" s="50">
        <v>44744.301152743</v>
      </c>
      <c r="C4736" s="51">
        <v>1.004</v>
      </c>
      <c r="D4736" s="51">
        <v>70.0</v>
      </c>
      <c r="E4736" s="52" t="s">
        <v>25</v>
      </c>
      <c r="F4736" s="52" t="s">
        <v>26</v>
      </c>
      <c r="G4736" s="53"/>
    </row>
    <row r="4737">
      <c r="A4737" s="49">
        <v>44744.186597210646</v>
      </c>
      <c r="B4737" s="50">
        <v>44744.3115735763</v>
      </c>
      <c r="C4737" s="51">
        <v>1.004</v>
      </c>
      <c r="D4737" s="51">
        <v>70.0</v>
      </c>
      <c r="E4737" s="52" t="s">
        <v>25</v>
      </c>
      <c r="F4737" s="52" t="s">
        <v>26</v>
      </c>
      <c r="G4737" s="53"/>
    </row>
    <row r="4738">
      <c r="A4738" s="49">
        <v>44744.19701847222</v>
      </c>
      <c r="B4738" s="50">
        <v>44744.3219949305</v>
      </c>
      <c r="C4738" s="51">
        <v>1.004</v>
      </c>
      <c r="D4738" s="51">
        <v>70.0</v>
      </c>
      <c r="E4738" s="52" t="s">
        <v>25</v>
      </c>
      <c r="F4738" s="52" t="s">
        <v>26</v>
      </c>
      <c r="G4738" s="53"/>
    </row>
    <row r="4739">
      <c r="A4739" s="49">
        <v>44744.20744690972</v>
      </c>
      <c r="B4739" s="50">
        <v>44744.3324292013</v>
      </c>
      <c r="C4739" s="51">
        <v>1.005</v>
      </c>
      <c r="D4739" s="51">
        <v>70.0</v>
      </c>
      <c r="E4739" s="52" t="s">
        <v>25</v>
      </c>
      <c r="F4739" s="52" t="s">
        <v>26</v>
      </c>
      <c r="G4739" s="53"/>
    </row>
    <row r="4740">
      <c r="A4740" s="49">
        <v>44744.21789184028</v>
      </c>
      <c r="B4740" s="50">
        <v>44744.342863206</v>
      </c>
      <c r="C4740" s="51">
        <v>1.004</v>
      </c>
      <c r="D4740" s="51">
        <v>70.0</v>
      </c>
      <c r="E4740" s="52" t="s">
        <v>25</v>
      </c>
      <c r="F4740" s="52" t="s">
        <v>26</v>
      </c>
      <c r="G4740" s="53"/>
    </row>
    <row r="4741">
      <c r="A4741" s="49">
        <v>44744.228305358796</v>
      </c>
      <c r="B4741" s="50">
        <v>44744.3532843634</v>
      </c>
      <c r="C4741" s="51">
        <v>1.005</v>
      </c>
      <c r="D4741" s="51">
        <v>70.0</v>
      </c>
      <c r="E4741" s="52" t="s">
        <v>25</v>
      </c>
      <c r="F4741" s="52" t="s">
        <v>26</v>
      </c>
      <c r="G4741" s="53"/>
    </row>
    <row r="4742">
      <c r="A4742" s="49">
        <v>44744.23874335648</v>
      </c>
      <c r="B4742" s="50">
        <v>44744.3637180902</v>
      </c>
      <c r="C4742" s="51">
        <v>1.005</v>
      </c>
      <c r="D4742" s="51">
        <v>70.0</v>
      </c>
      <c r="E4742" s="52" t="s">
        <v>25</v>
      </c>
      <c r="F4742" s="52" t="s">
        <v>26</v>
      </c>
      <c r="G4742" s="53"/>
    </row>
    <row r="4743">
      <c r="A4743" s="49">
        <v>44744.24915891203</v>
      </c>
      <c r="B4743" s="50">
        <v>44744.3741403472</v>
      </c>
      <c r="C4743" s="51">
        <v>1.004</v>
      </c>
      <c r="D4743" s="51">
        <v>70.0</v>
      </c>
      <c r="E4743" s="52" t="s">
        <v>25</v>
      </c>
      <c r="F4743" s="52" t="s">
        <v>26</v>
      </c>
      <c r="G4743" s="53"/>
    </row>
    <row r="4744">
      <c r="A4744" s="49">
        <v>44744.25960012732</v>
      </c>
      <c r="B4744" s="50">
        <v>44744.3845738888</v>
      </c>
      <c r="C4744" s="51">
        <v>1.005</v>
      </c>
      <c r="D4744" s="51">
        <v>70.0</v>
      </c>
      <c r="E4744" s="52" t="s">
        <v>25</v>
      </c>
      <c r="F4744" s="52" t="s">
        <v>26</v>
      </c>
      <c r="G4744" s="53"/>
    </row>
    <row r="4745">
      <c r="A4745" s="49">
        <v>44744.270012430556</v>
      </c>
      <c r="B4745" s="50">
        <v>44744.3949947916</v>
      </c>
      <c r="C4745" s="51">
        <v>1.004</v>
      </c>
      <c r="D4745" s="51">
        <v>70.0</v>
      </c>
      <c r="E4745" s="52" t="s">
        <v>25</v>
      </c>
      <c r="F4745" s="52" t="s">
        <v>26</v>
      </c>
      <c r="G4745" s="53"/>
    </row>
    <row r="4746">
      <c r="A4746" s="49">
        <v>44744.28044728009</v>
      </c>
      <c r="B4746" s="50">
        <v>44744.405417118</v>
      </c>
      <c r="C4746" s="51">
        <v>1.005</v>
      </c>
      <c r="D4746" s="51">
        <v>70.0</v>
      </c>
      <c r="E4746" s="52" t="s">
        <v>25</v>
      </c>
      <c r="F4746" s="52" t="s">
        <v>26</v>
      </c>
      <c r="G4746" s="53"/>
    </row>
    <row r="4747">
      <c r="A4747" s="49">
        <v>44744.29086412037</v>
      </c>
      <c r="B4747" s="50">
        <v>44744.415839074</v>
      </c>
      <c r="C4747" s="51">
        <v>1.004</v>
      </c>
      <c r="D4747" s="51">
        <v>70.0</v>
      </c>
      <c r="E4747" s="52" t="s">
        <v>25</v>
      </c>
      <c r="F4747" s="52" t="s">
        <v>26</v>
      </c>
      <c r="G4747" s="53"/>
    </row>
    <row r="4748">
      <c r="A4748" s="49">
        <v>44744.30128722222</v>
      </c>
      <c r="B4748" s="50">
        <v>44744.4262603703</v>
      </c>
      <c r="C4748" s="51">
        <v>1.004</v>
      </c>
      <c r="D4748" s="51">
        <v>70.0</v>
      </c>
      <c r="E4748" s="52" t="s">
        <v>25</v>
      </c>
      <c r="F4748" s="52" t="s">
        <v>26</v>
      </c>
      <c r="G4748" s="53"/>
    </row>
    <row r="4749">
      <c r="A4749" s="49">
        <v>44744.3117040625</v>
      </c>
      <c r="B4749" s="50">
        <v>44744.4366805671</v>
      </c>
      <c r="C4749" s="51">
        <v>1.005</v>
      </c>
      <c r="D4749" s="51">
        <v>70.0</v>
      </c>
      <c r="E4749" s="52" t="s">
        <v>25</v>
      </c>
      <c r="F4749" s="52" t="s">
        <v>26</v>
      </c>
      <c r="G4749" s="53"/>
    </row>
    <row r="4750">
      <c r="A4750" s="49">
        <v>44744.322122384256</v>
      </c>
      <c r="B4750" s="50">
        <v>44744.4471030902</v>
      </c>
      <c r="C4750" s="51">
        <v>1.005</v>
      </c>
      <c r="D4750" s="51">
        <v>70.0</v>
      </c>
      <c r="E4750" s="52" t="s">
        <v>25</v>
      </c>
      <c r="F4750" s="52" t="s">
        <v>26</v>
      </c>
      <c r="G4750" s="53"/>
    </row>
    <row r="4751">
      <c r="A4751" s="49">
        <v>44744.33255013889</v>
      </c>
      <c r="B4751" s="50">
        <v>44744.4575241898</v>
      </c>
      <c r="C4751" s="51">
        <v>1.004</v>
      </c>
      <c r="D4751" s="51">
        <v>70.0</v>
      </c>
      <c r="E4751" s="52" t="s">
        <v>25</v>
      </c>
      <c r="F4751" s="52" t="s">
        <v>26</v>
      </c>
      <c r="G4751" s="53"/>
    </row>
    <row r="4752">
      <c r="A4752" s="49">
        <v>44744.34297114583</v>
      </c>
      <c r="B4752" s="50">
        <v>44744.4679464814</v>
      </c>
      <c r="C4752" s="51">
        <v>1.004</v>
      </c>
      <c r="D4752" s="51">
        <v>70.0</v>
      </c>
      <c r="E4752" s="52" t="s">
        <v>25</v>
      </c>
      <c r="F4752" s="52" t="s">
        <v>26</v>
      </c>
      <c r="G4752" s="53"/>
    </row>
    <row r="4753">
      <c r="A4753" s="49">
        <v>44744.35339664352</v>
      </c>
      <c r="B4753" s="50">
        <v>44744.4783682407</v>
      </c>
      <c r="C4753" s="51">
        <v>1.005</v>
      </c>
      <c r="D4753" s="51">
        <v>70.0</v>
      </c>
      <c r="E4753" s="52" t="s">
        <v>25</v>
      </c>
      <c r="F4753" s="52" t="s">
        <v>26</v>
      </c>
      <c r="G4753" s="53"/>
    </row>
    <row r="4754">
      <c r="A4754" s="49">
        <v>44744.36384197917</v>
      </c>
      <c r="B4754" s="50">
        <v>44744.4888116666</v>
      </c>
      <c r="C4754" s="51">
        <v>1.004</v>
      </c>
      <c r="D4754" s="51">
        <v>70.0</v>
      </c>
      <c r="E4754" s="52" t="s">
        <v>25</v>
      </c>
      <c r="F4754" s="52" t="s">
        <v>26</v>
      </c>
      <c r="G4754" s="53"/>
    </row>
    <row r="4755">
      <c r="A4755" s="49">
        <v>44744.37424929398</v>
      </c>
      <c r="B4755" s="50">
        <v>44744.4992313541</v>
      </c>
      <c r="C4755" s="51">
        <v>1.005</v>
      </c>
      <c r="D4755" s="51">
        <v>70.0</v>
      </c>
      <c r="E4755" s="52" t="s">
        <v>25</v>
      </c>
      <c r="F4755" s="52" t="s">
        <v>26</v>
      </c>
      <c r="G4755" s="53"/>
    </row>
    <row r="4756">
      <c r="A4756" s="49">
        <v>44744.38468186343</v>
      </c>
      <c r="B4756" s="50">
        <v>44744.5096525231</v>
      </c>
      <c r="C4756" s="51">
        <v>1.004</v>
      </c>
      <c r="D4756" s="51">
        <v>70.0</v>
      </c>
      <c r="E4756" s="52" t="s">
        <v>25</v>
      </c>
      <c r="F4756" s="52" t="s">
        <v>26</v>
      </c>
      <c r="G4756" s="53"/>
    </row>
    <row r="4757">
      <c r="A4757" s="49">
        <v>44744.39510271991</v>
      </c>
      <c r="B4757" s="50">
        <v>44744.5200753356</v>
      </c>
      <c r="C4757" s="51">
        <v>1.004</v>
      </c>
      <c r="D4757" s="51">
        <v>70.0</v>
      </c>
      <c r="E4757" s="52" t="s">
        <v>25</v>
      </c>
      <c r="F4757" s="52" t="s">
        <v>26</v>
      </c>
      <c r="G4757" s="53"/>
    </row>
    <row r="4758">
      <c r="A4758" s="49">
        <v>44744.40552650463</v>
      </c>
      <c r="B4758" s="50">
        <v>44744.5304963078</v>
      </c>
      <c r="C4758" s="51">
        <v>1.005</v>
      </c>
      <c r="D4758" s="51">
        <v>70.0</v>
      </c>
      <c r="E4758" s="52" t="s">
        <v>25</v>
      </c>
      <c r="F4758" s="52" t="s">
        <v>26</v>
      </c>
      <c r="G4758" s="53"/>
    </row>
    <row r="4759">
      <c r="A4759" s="49">
        <v>44744.41594407408</v>
      </c>
      <c r="B4759" s="50">
        <v>44744.5409185185</v>
      </c>
      <c r="C4759" s="51">
        <v>1.005</v>
      </c>
      <c r="D4759" s="51">
        <v>70.0</v>
      </c>
      <c r="E4759" s="52" t="s">
        <v>25</v>
      </c>
      <c r="F4759" s="52" t="s">
        <v>26</v>
      </c>
      <c r="G4759" s="53"/>
    </row>
    <row r="4760">
      <c r="A4760" s="49">
        <v>44744.42636471065</v>
      </c>
      <c r="B4760" s="50">
        <v>44744.5513397685</v>
      </c>
      <c r="C4760" s="51">
        <v>1.005</v>
      </c>
      <c r="D4760" s="51">
        <v>70.0</v>
      </c>
      <c r="E4760" s="52" t="s">
        <v>25</v>
      </c>
      <c r="F4760" s="52" t="s">
        <v>26</v>
      </c>
      <c r="G4760" s="53"/>
    </row>
    <row r="4761">
      <c r="A4761" s="49">
        <v>44744.436790567124</v>
      </c>
      <c r="B4761" s="50">
        <v>44744.5617629861</v>
      </c>
      <c r="C4761" s="51">
        <v>1.005</v>
      </c>
      <c r="D4761" s="51">
        <v>70.0</v>
      </c>
      <c r="E4761" s="52" t="s">
        <v>25</v>
      </c>
      <c r="F4761" s="52" t="s">
        <v>26</v>
      </c>
      <c r="G4761" s="53"/>
    </row>
    <row r="4762">
      <c r="A4762" s="49">
        <v>44744.447204571756</v>
      </c>
      <c r="B4762" s="50">
        <v>44744.5721845486</v>
      </c>
      <c r="C4762" s="51">
        <v>1.004</v>
      </c>
      <c r="D4762" s="51">
        <v>70.0</v>
      </c>
      <c r="E4762" s="52" t="s">
        <v>25</v>
      </c>
      <c r="F4762" s="52" t="s">
        <v>26</v>
      </c>
      <c r="G4762" s="53"/>
    </row>
    <row r="4763">
      <c r="A4763" s="49">
        <v>44744.45763520834</v>
      </c>
      <c r="B4763" s="50">
        <v>44744.5826051041</v>
      </c>
      <c r="C4763" s="51">
        <v>1.005</v>
      </c>
      <c r="D4763" s="51">
        <v>70.0</v>
      </c>
      <c r="E4763" s="52" t="s">
        <v>25</v>
      </c>
      <c r="F4763" s="52" t="s">
        <v>26</v>
      </c>
      <c r="G4763" s="53"/>
    </row>
    <row r="4764">
      <c r="A4764" s="49">
        <v>44744.46805358796</v>
      </c>
      <c r="B4764" s="50">
        <v>44744.5930252546</v>
      </c>
      <c r="C4764" s="51">
        <v>1.004</v>
      </c>
      <c r="D4764" s="51">
        <v>70.0</v>
      </c>
      <c r="E4764" s="52" t="s">
        <v>25</v>
      </c>
      <c r="F4764" s="52" t="s">
        <v>26</v>
      </c>
      <c r="G4764" s="53"/>
    </row>
    <row r="4765">
      <c r="A4765" s="49">
        <v>44744.47849173611</v>
      </c>
      <c r="B4765" s="50">
        <v>44744.6034692129</v>
      </c>
      <c r="C4765" s="51">
        <v>1.005</v>
      </c>
      <c r="D4765" s="51">
        <v>70.0</v>
      </c>
      <c r="E4765" s="52" t="s">
        <v>25</v>
      </c>
      <c r="F4765" s="52" t="s">
        <v>26</v>
      </c>
      <c r="G4765" s="53"/>
    </row>
    <row r="4766">
      <c r="A4766" s="49">
        <v>44744.488919421296</v>
      </c>
      <c r="B4766" s="50">
        <v>44744.6138899537</v>
      </c>
      <c r="C4766" s="51">
        <v>1.004</v>
      </c>
      <c r="D4766" s="51">
        <v>70.0</v>
      </c>
      <c r="E4766" s="52" t="s">
        <v>25</v>
      </c>
      <c r="F4766" s="52" t="s">
        <v>26</v>
      </c>
      <c r="G4766" s="53"/>
    </row>
    <row r="4767">
      <c r="A4767" s="49">
        <v>44744.499337326386</v>
      </c>
      <c r="B4767" s="50">
        <v>44744.6243104282</v>
      </c>
      <c r="C4767" s="51">
        <v>1.004</v>
      </c>
      <c r="D4767" s="51">
        <v>70.0</v>
      </c>
      <c r="E4767" s="52" t="s">
        <v>25</v>
      </c>
      <c r="F4767" s="52" t="s">
        <v>26</v>
      </c>
      <c r="G4767" s="53"/>
    </row>
    <row r="4768">
      <c r="A4768" s="49">
        <v>44744.50975459491</v>
      </c>
      <c r="B4768" s="50">
        <v>44744.6347329745</v>
      </c>
      <c r="C4768" s="51">
        <v>1.004</v>
      </c>
      <c r="D4768" s="51">
        <v>70.0</v>
      </c>
      <c r="E4768" s="52" t="s">
        <v>25</v>
      </c>
      <c r="F4768" s="52" t="s">
        <v>26</v>
      </c>
      <c r="G4768" s="53"/>
    </row>
    <row r="4769">
      <c r="A4769" s="49">
        <v>44744.52018465278</v>
      </c>
      <c r="B4769" s="50">
        <v>44744.6451531134</v>
      </c>
      <c r="C4769" s="51">
        <v>1.004</v>
      </c>
      <c r="D4769" s="51">
        <v>70.0</v>
      </c>
      <c r="E4769" s="52" t="s">
        <v>25</v>
      </c>
      <c r="F4769" s="52" t="s">
        <v>26</v>
      </c>
      <c r="G4769" s="53"/>
    </row>
    <row r="4770">
      <c r="A4770" s="49">
        <v>44744.530601886574</v>
      </c>
      <c r="B4770" s="50">
        <v>44744.6555730555</v>
      </c>
      <c r="C4770" s="51">
        <v>1.004</v>
      </c>
      <c r="D4770" s="51">
        <v>70.0</v>
      </c>
      <c r="E4770" s="52" t="s">
        <v>25</v>
      </c>
      <c r="F4770" s="52" t="s">
        <v>26</v>
      </c>
      <c r="G4770" s="53"/>
    </row>
    <row r="4771">
      <c r="A4771" s="49">
        <v>44744.54102042824</v>
      </c>
      <c r="B4771" s="50">
        <v>44744.6659944444</v>
      </c>
      <c r="C4771" s="51">
        <v>1.004</v>
      </c>
      <c r="D4771" s="51">
        <v>70.0</v>
      </c>
      <c r="E4771" s="52" t="s">
        <v>25</v>
      </c>
      <c r="F4771" s="52" t="s">
        <v>26</v>
      </c>
      <c r="G4771" s="53"/>
    </row>
    <row r="4772">
      <c r="A4772" s="49">
        <v>44744.551440428244</v>
      </c>
      <c r="B4772" s="50">
        <v>44744.6764167592</v>
      </c>
      <c r="C4772" s="51">
        <v>1.005</v>
      </c>
      <c r="D4772" s="51">
        <v>70.0</v>
      </c>
      <c r="E4772" s="52" t="s">
        <v>25</v>
      </c>
      <c r="F4772" s="52" t="s">
        <v>26</v>
      </c>
      <c r="G4772" s="53"/>
    </row>
    <row r="4773">
      <c r="A4773" s="49">
        <v>44744.56186686343</v>
      </c>
      <c r="B4773" s="50">
        <v>44744.6868371875</v>
      </c>
      <c r="C4773" s="51">
        <v>1.004</v>
      </c>
      <c r="D4773" s="51">
        <v>70.0</v>
      </c>
      <c r="E4773" s="52" t="s">
        <v>25</v>
      </c>
      <c r="F4773" s="52" t="s">
        <v>26</v>
      </c>
      <c r="G4773" s="53"/>
    </row>
    <row r="4774">
      <c r="A4774" s="49">
        <v>44744.572294513884</v>
      </c>
      <c r="B4774" s="50">
        <v>44744.6972700925</v>
      </c>
      <c r="C4774" s="51">
        <v>1.004</v>
      </c>
      <c r="D4774" s="51">
        <v>70.0</v>
      </c>
      <c r="E4774" s="52" t="s">
        <v>25</v>
      </c>
      <c r="F4774" s="52" t="s">
        <v>26</v>
      </c>
      <c r="G4774" s="53"/>
    </row>
    <row r="4775">
      <c r="A4775" s="49">
        <v>44744.582713599535</v>
      </c>
      <c r="B4775" s="50">
        <v>44744.7076914351</v>
      </c>
      <c r="C4775" s="51">
        <v>1.005</v>
      </c>
      <c r="D4775" s="51">
        <v>70.0</v>
      </c>
      <c r="E4775" s="52" t="s">
        <v>25</v>
      </c>
      <c r="F4775" s="52" t="s">
        <v>26</v>
      </c>
      <c r="G4775" s="53"/>
    </row>
    <row r="4776">
      <c r="A4776" s="49">
        <v>44744.59315255787</v>
      </c>
      <c r="B4776" s="50">
        <v>44744.7181233912</v>
      </c>
      <c r="C4776" s="51">
        <v>1.004</v>
      </c>
      <c r="D4776" s="51">
        <v>70.0</v>
      </c>
      <c r="E4776" s="52" t="s">
        <v>25</v>
      </c>
      <c r="F4776" s="52" t="s">
        <v>26</v>
      </c>
      <c r="G4776" s="53"/>
    </row>
    <row r="4777">
      <c r="A4777" s="49">
        <v>44744.603575636575</v>
      </c>
      <c r="B4777" s="50">
        <v>44744.7285441203</v>
      </c>
      <c r="C4777" s="51">
        <v>1.005</v>
      </c>
      <c r="D4777" s="51">
        <v>70.0</v>
      </c>
      <c r="E4777" s="52" t="s">
        <v>25</v>
      </c>
      <c r="F4777" s="52" t="s">
        <v>26</v>
      </c>
      <c r="G4777" s="53"/>
    </row>
    <row r="4778">
      <c r="A4778" s="49">
        <v>44744.613992858795</v>
      </c>
      <c r="B4778" s="50">
        <v>44744.7389632754</v>
      </c>
      <c r="C4778" s="51">
        <v>1.004</v>
      </c>
      <c r="D4778" s="51">
        <v>70.0</v>
      </c>
      <c r="E4778" s="52" t="s">
        <v>25</v>
      </c>
      <c r="F4778" s="52" t="s">
        <v>26</v>
      </c>
      <c r="G4778" s="53"/>
    </row>
    <row r="4779">
      <c r="A4779" s="49">
        <v>44744.62441497685</v>
      </c>
      <c r="B4779" s="50">
        <v>44744.7493859259</v>
      </c>
      <c r="C4779" s="51">
        <v>1.004</v>
      </c>
      <c r="D4779" s="51">
        <v>70.0</v>
      </c>
      <c r="E4779" s="52" t="s">
        <v>25</v>
      </c>
      <c r="F4779" s="52" t="s">
        <v>26</v>
      </c>
      <c r="G4779" s="53"/>
    </row>
    <row r="4780">
      <c r="A4780" s="49">
        <v>44744.63484063657</v>
      </c>
      <c r="B4780" s="50">
        <v>44744.7598080787</v>
      </c>
      <c r="C4780" s="51">
        <v>1.005</v>
      </c>
      <c r="D4780" s="51">
        <v>70.0</v>
      </c>
      <c r="E4780" s="52" t="s">
        <v>25</v>
      </c>
      <c r="F4780" s="52" t="s">
        <v>26</v>
      </c>
      <c r="G4780" s="53"/>
    </row>
    <row r="4781">
      <c r="A4781" s="49">
        <v>44744.645257881944</v>
      </c>
      <c r="B4781" s="50">
        <v>44744.7702304051</v>
      </c>
      <c r="C4781" s="51">
        <v>1.005</v>
      </c>
      <c r="D4781" s="51">
        <v>70.0</v>
      </c>
      <c r="E4781" s="52" t="s">
        <v>25</v>
      </c>
      <c r="F4781" s="52" t="s">
        <v>26</v>
      </c>
      <c r="G4781" s="53"/>
    </row>
    <row r="4782">
      <c r="A4782" s="49">
        <v>44744.65568053241</v>
      </c>
      <c r="B4782" s="50">
        <v>44744.7806522916</v>
      </c>
      <c r="C4782" s="51">
        <v>1.005</v>
      </c>
      <c r="D4782" s="51">
        <v>70.0</v>
      </c>
      <c r="E4782" s="52" t="s">
        <v>25</v>
      </c>
      <c r="F4782" s="52" t="s">
        <v>26</v>
      </c>
      <c r="G4782" s="53"/>
    </row>
    <row r="4783">
      <c r="A4783" s="49">
        <v>44744.666101689814</v>
      </c>
      <c r="B4783" s="50">
        <v>44744.7910725578</v>
      </c>
      <c r="C4783" s="51">
        <v>1.004</v>
      </c>
      <c r="D4783" s="51">
        <v>70.0</v>
      </c>
      <c r="E4783" s="52" t="s">
        <v>25</v>
      </c>
      <c r="F4783" s="52" t="s">
        <v>26</v>
      </c>
      <c r="G4783" s="53"/>
    </row>
    <row r="4784">
      <c r="A4784" s="49">
        <v>44744.676519872686</v>
      </c>
      <c r="B4784" s="50">
        <v>44744.8014936458</v>
      </c>
      <c r="C4784" s="51">
        <v>1.004</v>
      </c>
      <c r="D4784" s="51">
        <v>70.0</v>
      </c>
      <c r="E4784" s="52" t="s">
        <v>25</v>
      </c>
      <c r="F4784" s="52" t="s">
        <v>26</v>
      </c>
      <c r="G4784" s="53"/>
    </row>
    <row r="4785">
      <c r="A4785" s="49">
        <v>44744.68693927083</v>
      </c>
      <c r="B4785" s="50">
        <v>44744.8119148495</v>
      </c>
      <c r="C4785" s="51">
        <v>1.004</v>
      </c>
      <c r="D4785" s="51">
        <v>70.0</v>
      </c>
      <c r="E4785" s="52" t="s">
        <v>25</v>
      </c>
      <c r="F4785" s="52" t="s">
        <v>26</v>
      </c>
      <c r="G4785" s="53"/>
    </row>
    <row r="4786">
      <c r="A4786" s="49">
        <v>44744.697357488425</v>
      </c>
      <c r="B4786" s="50">
        <v>44744.8223348032</v>
      </c>
      <c r="C4786" s="51">
        <v>1.004</v>
      </c>
      <c r="D4786" s="51">
        <v>69.0</v>
      </c>
      <c r="E4786" s="52" t="s">
        <v>25</v>
      </c>
      <c r="F4786" s="52" t="s">
        <v>26</v>
      </c>
      <c r="G4786" s="53"/>
    </row>
    <row r="4787">
      <c r="A4787" s="49">
        <v>44744.70777601852</v>
      </c>
      <c r="B4787" s="50">
        <v>44744.8327565856</v>
      </c>
      <c r="C4787" s="51">
        <v>1.004</v>
      </c>
      <c r="D4787" s="51">
        <v>69.0</v>
      </c>
      <c r="E4787" s="52" t="s">
        <v>25</v>
      </c>
      <c r="F4787" s="52" t="s">
        <v>26</v>
      </c>
      <c r="G4787" s="53"/>
    </row>
    <row r="4788">
      <c r="A4788" s="49">
        <v>44744.71819783565</v>
      </c>
      <c r="B4788" s="50">
        <v>44744.8431767939</v>
      </c>
      <c r="C4788" s="51">
        <v>1.004</v>
      </c>
      <c r="D4788" s="51">
        <v>68.0</v>
      </c>
      <c r="E4788" s="52" t="s">
        <v>25</v>
      </c>
      <c r="F4788" s="52" t="s">
        <v>26</v>
      </c>
      <c r="G4788" s="53"/>
    </row>
    <row r="4789">
      <c r="A4789" s="49">
        <v>44744.7286303588</v>
      </c>
      <c r="B4789" s="50">
        <v>44744.8535996759</v>
      </c>
      <c r="C4789" s="51">
        <v>1.004</v>
      </c>
      <c r="D4789" s="51">
        <v>67.0</v>
      </c>
      <c r="E4789" s="52" t="s">
        <v>25</v>
      </c>
      <c r="F4789" s="52" t="s">
        <v>26</v>
      </c>
      <c r="G4789" s="53"/>
    </row>
    <row r="4790">
      <c r="A4790" s="49">
        <v>44744.73904436342</v>
      </c>
      <c r="B4790" s="50">
        <v>44744.8640200115</v>
      </c>
      <c r="C4790" s="51">
        <v>1.005</v>
      </c>
      <c r="D4790" s="51">
        <v>66.0</v>
      </c>
      <c r="E4790" s="52" t="s">
        <v>25</v>
      </c>
      <c r="F4790" s="52" t="s">
        <v>26</v>
      </c>
      <c r="G4790" s="53"/>
    </row>
    <row r="4791">
      <c r="A4791" s="49">
        <v>44744.749461342595</v>
      </c>
      <c r="B4791" s="50">
        <v>44744.8744420023</v>
      </c>
      <c r="C4791" s="51">
        <v>1.004</v>
      </c>
      <c r="D4791" s="51">
        <v>66.0</v>
      </c>
      <c r="E4791" s="52" t="s">
        <v>25</v>
      </c>
      <c r="F4791" s="52" t="s">
        <v>26</v>
      </c>
      <c r="G4791" s="53"/>
    </row>
    <row r="4792">
      <c r="A4792" s="49">
        <v>44744.75990157407</v>
      </c>
      <c r="B4792" s="50">
        <v>44744.8848740625</v>
      </c>
      <c r="C4792" s="51">
        <v>1.005</v>
      </c>
      <c r="D4792" s="51">
        <v>66.0</v>
      </c>
      <c r="E4792" s="52" t="s">
        <v>25</v>
      </c>
      <c r="F4792" s="52" t="s">
        <v>26</v>
      </c>
      <c r="G4792" s="53"/>
    </row>
    <row r="4793">
      <c r="A4793" s="49">
        <v>44744.77032644676</v>
      </c>
      <c r="B4793" s="50">
        <v>44744.8953064236</v>
      </c>
      <c r="C4793" s="51">
        <v>1.005</v>
      </c>
      <c r="D4793" s="51">
        <v>66.0</v>
      </c>
      <c r="E4793" s="52" t="s">
        <v>25</v>
      </c>
      <c r="F4793" s="52" t="s">
        <v>26</v>
      </c>
      <c r="G4793" s="53"/>
    </row>
    <row r="4794">
      <c r="A4794" s="49">
        <v>44744.78074607639</v>
      </c>
      <c r="B4794" s="50">
        <v>44744.9057268981</v>
      </c>
      <c r="C4794" s="51">
        <v>1.004</v>
      </c>
      <c r="D4794" s="51">
        <v>66.0</v>
      </c>
      <c r="E4794" s="52" t="s">
        <v>25</v>
      </c>
      <c r="F4794" s="52" t="s">
        <v>26</v>
      </c>
      <c r="G4794" s="53"/>
    </row>
    <row r="4795">
      <c r="A4795" s="49">
        <v>44744.7911721412</v>
      </c>
      <c r="B4795" s="50">
        <v>44744.9161480208</v>
      </c>
      <c r="C4795" s="51">
        <v>1.004</v>
      </c>
      <c r="D4795" s="51">
        <v>66.0</v>
      </c>
      <c r="E4795" s="52" t="s">
        <v>25</v>
      </c>
      <c r="F4795" s="52" t="s">
        <v>26</v>
      </c>
      <c r="G4795" s="53"/>
    </row>
    <row r="4796">
      <c r="A4796" s="49">
        <v>44744.80159321759</v>
      </c>
      <c r="B4796" s="50">
        <v>44744.9265681018</v>
      </c>
      <c r="C4796" s="51">
        <v>1.005</v>
      </c>
      <c r="D4796" s="51">
        <v>66.0</v>
      </c>
      <c r="E4796" s="52" t="s">
        <v>25</v>
      </c>
      <c r="F4796" s="52" t="s">
        <v>26</v>
      </c>
      <c r="G4796" s="53"/>
    </row>
    <row r="4797">
      <c r="A4797" s="49">
        <v>44744.81201740741</v>
      </c>
      <c r="B4797" s="50">
        <v>44744.9369893055</v>
      </c>
      <c r="C4797" s="51">
        <v>1.004</v>
      </c>
      <c r="D4797" s="51">
        <v>66.0</v>
      </c>
      <c r="E4797" s="52" t="s">
        <v>25</v>
      </c>
      <c r="F4797" s="52" t="s">
        <v>26</v>
      </c>
      <c r="G4797" s="53"/>
    </row>
    <row r="4798">
      <c r="A4798" s="49">
        <v>44744.82243385416</v>
      </c>
      <c r="B4798" s="50">
        <v>44744.9474107291</v>
      </c>
      <c r="C4798" s="51">
        <v>1.005</v>
      </c>
      <c r="D4798" s="51">
        <v>66.0</v>
      </c>
      <c r="E4798" s="52" t="s">
        <v>25</v>
      </c>
      <c r="F4798" s="52" t="s">
        <v>26</v>
      </c>
      <c r="G4798" s="53"/>
    </row>
    <row r="4799">
      <c r="A4799" s="49">
        <v>44744.832857326386</v>
      </c>
      <c r="B4799" s="50">
        <v>44744.957832905</v>
      </c>
      <c r="C4799" s="51">
        <v>1.005</v>
      </c>
      <c r="D4799" s="51">
        <v>66.0</v>
      </c>
      <c r="E4799" s="52" t="s">
        <v>25</v>
      </c>
      <c r="F4799" s="52" t="s">
        <v>26</v>
      </c>
      <c r="G4799" s="53"/>
    </row>
    <row r="4800">
      <c r="A4800" s="49">
        <v>44744.84327909722</v>
      </c>
      <c r="B4800" s="50">
        <v>44744.9682530208</v>
      </c>
      <c r="C4800" s="51">
        <v>1.005</v>
      </c>
      <c r="D4800" s="51">
        <v>66.0</v>
      </c>
      <c r="E4800" s="52" t="s">
        <v>25</v>
      </c>
      <c r="F4800" s="52" t="s">
        <v>26</v>
      </c>
      <c r="G4800" s="53"/>
    </row>
    <row r="4801">
      <c r="A4801" s="49">
        <v>44744.853703877314</v>
      </c>
      <c r="B4801" s="50">
        <v>44744.9786731828</v>
      </c>
      <c r="C4801" s="51">
        <v>1.005</v>
      </c>
      <c r="D4801" s="51">
        <v>66.0</v>
      </c>
      <c r="E4801" s="52" t="s">
        <v>25</v>
      </c>
      <c r="F4801" s="52" t="s">
        <v>26</v>
      </c>
      <c r="G4801" s="53"/>
    </row>
    <row r="4802">
      <c r="A4802" s="49">
        <v>44744.864133055555</v>
      </c>
      <c r="B4802" s="50">
        <v>44744.9891068865</v>
      </c>
      <c r="C4802" s="51">
        <v>1.004</v>
      </c>
      <c r="D4802" s="51">
        <v>66.0</v>
      </c>
      <c r="E4802" s="52" t="s">
        <v>25</v>
      </c>
      <c r="F4802" s="52" t="s">
        <v>26</v>
      </c>
      <c r="G4802" s="53"/>
    </row>
    <row r="4803">
      <c r="A4803" s="49">
        <v>44744.87455547454</v>
      </c>
      <c r="B4803" s="50">
        <v>44744.999529699</v>
      </c>
      <c r="C4803" s="51">
        <v>1.004</v>
      </c>
      <c r="D4803" s="51">
        <v>66.0</v>
      </c>
      <c r="E4803" s="52" t="s">
        <v>25</v>
      </c>
      <c r="F4803" s="52" t="s">
        <v>26</v>
      </c>
      <c r="G4803" s="53"/>
    </row>
    <row r="4804">
      <c r="A4804" s="49">
        <v>44744.88498283565</v>
      </c>
      <c r="B4804" s="50">
        <v>44745.0099501273</v>
      </c>
      <c r="C4804" s="51">
        <v>1.005</v>
      </c>
      <c r="D4804" s="51">
        <v>66.0</v>
      </c>
      <c r="E4804" s="52" t="s">
        <v>25</v>
      </c>
      <c r="F4804" s="52" t="s">
        <v>26</v>
      </c>
      <c r="G4804" s="53"/>
    </row>
    <row r="4805">
      <c r="A4805" s="49">
        <v>44744.895405717594</v>
      </c>
      <c r="B4805" s="50">
        <v>44745.020383287</v>
      </c>
      <c r="C4805" s="51">
        <v>1.005</v>
      </c>
      <c r="D4805" s="51">
        <v>66.0</v>
      </c>
      <c r="E4805" s="52" t="s">
        <v>25</v>
      </c>
      <c r="F4805" s="52" t="s">
        <v>26</v>
      </c>
      <c r="G4805" s="53"/>
    </row>
    <row r="4806">
      <c r="A4806" s="49">
        <v>44744.90582541667</v>
      </c>
      <c r="B4806" s="50">
        <v>44745.0308054513</v>
      </c>
      <c r="C4806" s="51">
        <v>1.005</v>
      </c>
      <c r="D4806" s="51">
        <v>66.0</v>
      </c>
      <c r="E4806" s="52" t="s">
        <v>25</v>
      </c>
      <c r="F4806" s="52" t="s">
        <v>26</v>
      </c>
      <c r="G4806" s="53"/>
    </row>
    <row r="4807">
      <c r="A4807" s="49">
        <v>44744.91624552083</v>
      </c>
      <c r="B4807" s="50">
        <v>44745.0412249652</v>
      </c>
      <c r="C4807" s="51">
        <v>1.004</v>
      </c>
      <c r="D4807" s="51">
        <v>66.0</v>
      </c>
      <c r="E4807" s="52" t="s">
        <v>25</v>
      </c>
      <c r="F4807" s="52" t="s">
        <v>26</v>
      </c>
      <c r="G4807" s="53"/>
    </row>
    <row r="4808">
      <c r="A4808" s="49">
        <v>44744.92666505787</v>
      </c>
      <c r="B4808" s="50">
        <v>44745.0516449189</v>
      </c>
      <c r="C4808" s="51">
        <v>1.005</v>
      </c>
      <c r="D4808" s="51">
        <v>66.0</v>
      </c>
      <c r="E4808" s="52" t="s">
        <v>25</v>
      </c>
      <c r="F4808" s="52" t="s">
        <v>26</v>
      </c>
      <c r="G4808" s="53"/>
    </row>
    <row r="4809">
      <c r="A4809" s="49">
        <v>44744.93708920139</v>
      </c>
      <c r="B4809" s="50">
        <v>44745.062065405</v>
      </c>
      <c r="C4809" s="51">
        <v>1.005</v>
      </c>
      <c r="D4809" s="51">
        <v>66.0</v>
      </c>
      <c r="E4809" s="52" t="s">
        <v>25</v>
      </c>
      <c r="F4809" s="52" t="s">
        <v>26</v>
      </c>
      <c r="G4809" s="53"/>
    </row>
    <row r="4810">
      <c r="A4810" s="49">
        <v>44744.94753563657</v>
      </c>
      <c r="B4810" s="50">
        <v>44745.0725088425</v>
      </c>
      <c r="C4810" s="51">
        <v>1.005</v>
      </c>
      <c r="D4810" s="51">
        <v>66.0</v>
      </c>
      <c r="E4810" s="52" t="s">
        <v>25</v>
      </c>
      <c r="F4810" s="52" t="s">
        <v>26</v>
      </c>
      <c r="G4810" s="53"/>
    </row>
    <row r="4811">
      <c r="A4811" s="49">
        <v>44744.95796223379</v>
      </c>
      <c r="B4811" s="50">
        <v>44745.0829291319</v>
      </c>
      <c r="C4811" s="51">
        <v>1.005</v>
      </c>
      <c r="D4811" s="51">
        <v>66.0</v>
      </c>
      <c r="E4811" s="52" t="s">
        <v>25</v>
      </c>
      <c r="F4811" s="52" t="s">
        <v>26</v>
      </c>
      <c r="G4811" s="53"/>
    </row>
    <row r="4812">
      <c r="A4812" s="49">
        <v>44744.96839542824</v>
      </c>
      <c r="B4812" s="50">
        <v>44745.0933636226</v>
      </c>
      <c r="C4812" s="51">
        <v>1.005</v>
      </c>
      <c r="D4812" s="51">
        <v>66.0</v>
      </c>
      <c r="E4812" s="52" t="s">
        <v>25</v>
      </c>
      <c r="F4812" s="52" t="s">
        <v>26</v>
      </c>
      <c r="G4812" s="53"/>
    </row>
    <row r="4813">
      <c r="A4813" s="49">
        <v>44744.97880819444</v>
      </c>
      <c r="B4813" s="50">
        <v>44745.1037858101</v>
      </c>
      <c r="C4813" s="51">
        <v>1.005</v>
      </c>
      <c r="D4813" s="51">
        <v>66.0</v>
      </c>
      <c r="E4813" s="52" t="s">
        <v>25</v>
      </c>
      <c r="F4813" s="52" t="s">
        <v>26</v>
      </c>
      <c r="G4813" s="53"/>
    </row>
    <row r="4814">
      <c r="A4814" s="49">
        <v>44744.98922716435</v>
      </c>
      <c r="B4814" s="50">
        <v>44745.1142063194</v>
      </c>
      <c r="C4814" s="51">
        <v>1.004</v>
      </c>
      <c r="D4814" s="51">
        <v>66.0</v>
      </c>
      <c r="E4814" s="52" t="s">
        <v>25</v>
      </c>
      <c r="F4814" s="52" t="s">
        <v>26</v>
      </c>
      <c r="G4814" s="53"/>
    </row>
    <row r="4815">
      <c r="A4815" s="49">
        <v>44744.99967096065</v>
      </c>
      <c r="B4815" s="50">
        <v>44745.1246389004</v>
      </c>
      <c r="C4815" s="51">
        <v>1.005</v>
      </c>
      <c r="D4815" s="51">
        <v>66.0</v>
      </c>
      <c r="E4815" s="52" t="s">
        <v>25</v>
      </c>
      <c r="F4815" s="52" t="s">
        <v>26</v>
      </c>
      <c r="G4815" s="53"/>
    </row>
    <row r="4816">
      <c r="A4816" s="49">
        <v>44745.010089814816</v>
      </c>
      <c r="B4816" s="50">
        <v>44745.1350597337</v>
      </c>
      <c r="C4816" s="51">
        <v>1.004</v>
      </c>
      <c r="D4816" s="51">
        <v>66.0</v>
      </c>
      <c r="E4816" s="52" t="s">
        <v>25</v>
      </c>
      <c r="F4816" s="52" t="s">
        <v>26</v>
      </c>
      <c r="G4816" s="53"/>
    </row>
    <row r="4817">
      <c r="A4817" s="49">
        <v>44745.02051043982</v>
      </c>
      <c r="B4817" s="50">
        <v>44745.1454814583</v>
      </c>
      <c r="C4817" s="51">
        <v>1.004</v>
      </c>
      <c r="D4817" s="51">
        <v>66.0</v>
      </c>
      <c r="E4817" s="52" t="s">
        <v>25</v>
      </c>
      <c r="F4817" s="52" t="s">
        <v>26</v>
      </c>
      <c r="G4817" s="53"/>
    </row>
    <row r="4818">
      <c r="A4818" s="49">
        <v>44745.030924502316</v>
      </c>
      <c r="B4818" s="50">
        <v>44745.1559024305</v>
      </c>
      <c r="C4818" s="51">
        <v>1.004</v>
      </c>
      <c r="D4818" s="51">
        <v>66.0</v>
      </c>
      <c r="E4818" s="52" t="s">
        <v>25</v>
      </c>
      <c r="F4818" s="52" t="s">
        <v>26</v>
      </c>
      <c r="G4818" s="53"/>
    </row>
    <row r="4819">
      <c r="A4819" s="49">
        <v>44745.04135168981</v>
      </c>
      <c r="B4819" s="50">
        <v>44745.1663242708</v>
      </c>
      <c r="C4819" s="51">
        <v>1.004</v>
      </c>
      <c r="D4819" s="51">
        <v>66.0</v>
      </c>
      <c r="E4819" s="52" t="s">
        <v>25</v>
      </c>
      <c r="F4819" s="52" t="s">
        <v>26</v>
      </c>
      <c r="G4819" s="53"/>
    </row>
    <row r="4820">
      <c r="A4820" s="49">
        <v>44745.05176909722</v>
      </c>
      <c r="B4820" s="50">
        <v>44745.1767454282</v>
      </c>
      <c r="C4820" s="51">
        <v>1.004</v>
      </c>
      <c r="D4820" s="51">
        <v>66.0</v>
      </c>
      <c r="E4820" s="52" t="s">
        <v>25</v>
      </c>
      <c r="F4820" s="52" t="s">
        <v>26</v>
      </c>
      <c r="G4820" s="53"/>
    </row>
    <row r="4821">
      <c r="A4821" s="49">
        <v>44745.062197534724</v>
      </c>
      <c r="B4821" s="50">
        <v>44745.1871678703</v>
      </c>
      <c r="C4821" s="51">
        <v>1.005</v>
      </c>
      <c r="D4821" s="51">
        <v>66.0</v>
      </c>
      <c r="E4821" s="52" t="s">
        <v>25</v>
      </c>
      <c r="F4821" s="52" t="s">
        <v>26</v>
      </c>
      <c r="G4821" s="53"/>
    </row>
    <row r="4822">
      <c r="A4822" s="49">
        <v>44745.072626875</v>
      </c>
      <c r="B4822" s="50">
        <v>44745.1976013773</v>
      </c>
      <c r="C4822" s="51">
        <v>1.005</v>
      </c>
      <c r="D4822" s="51">
        <v>66.0</v>
      </c>
      <c r="E4822" s="52" t="s">
        <v>25</v>
      </c>
      <c r="F4822" s="52" t="s">
        <v>26</v>
      </c>
      <c r="G4822" s="53"/>
    </row>
    <row r="4823">
      <c r="A4823" s="49">
        <v>44745.08304456019</v>
      </c>
      <c r="B4823" s="50">
        <v>44745.2080220023</v>
      </c>
      <c r="C4823" s="51">
        <v>1.004</v>
      </c>
      <c r="D4823" s="51">
        <v>66.0</v>
      </c>
      <c r="E4823" s="52" t="s">
        <v>25</v>
      </c>
      <c r="F4823" s="52" t="s">
        <v>26</v>
      </c>
      <c r="G4823" s="53"/>
    </row>
    <row r="4824">
      <c r="A4824" s="49">
        <v>44745.093501469906</v>
      </c>
      <c r="B4824" s="50">
        <v>44745.2184674421</v>
      </c>
      <c r="C4824" s="51">
        <v>1.005</v>
      </c>
      <c r="D4824" s="51">
        <v>67.0</v>
      </c>
      <c r="E4824" s="52" t="s">
        <v>25</v>
      </c>
      <c r="F4824" s="52" t="s">
        <v>26</v>
      </c>
      <c r="G4824" s="53"/>
    </row>
    <row r="4825">
      <c r="A4825" s="49">
        <v>44745.10391359954</v>
      </c>
      <c r="B4825" s="50">
        <v>44745.2288870254</v>
      </c>
      <c r="C4825" s="51">
        <v>1.005</v>
      </c>
      <c r="D4825" s="51">
        <v>67.0</v>
      </c>
      <c r="E4825" s="52" t="s">
        <v>25</v>
      </c>
      <c r="F4825" s="52" t="s">
        <v>26</v>
      </c>
      <c r="G4825" s="53"/>
    </row>
    <row r="4826">
      <c r="A4826" s="49">
        <v>44745.114341493056</v>
      </c>
      <c r="B4826" s="50">
        <v>44745.2393177662</v>
      </c>
      <c r="C4826" s="51">
        <v>1.005</v>
      </c>
      <c r="D4826" s="51">
        <v>67.0</v>
      </c>
      <c r="E4826" s="52" t="s">
        <v>25</v>
      </c>
      <c r="F4826" s="52" t="s">
        <v>26</v>
      </c>
      <c r="G4826" s="53"/>
    </row>
    <row r="4827">
      <c r="A4827" s="49">
        <v>44745.12477212963</v>
      </c>
      <c r="B4827" s="50">
        <v>44745.2497497569</v>
      </c>
      <c r="C4827" s="51">
        <v>1.005</v>
      </c>
      <c r="D4827" s="51">
        <v>67.0</v>
      </c>
      <c r="E4827" s="52" t="s">
        <v>25</v>
      </c>
      <c r="F4827" s="52" t="s">
        <v>26</v>
      </c>
      <c r="G4827" s="53"/>
    </row>
    <row r="4828">
      <c r="A4828" s="49">
        <v>44745.135193888884</v>
      </c>
      <c r="B4828" s="50">
        <v>44745.2601706712</v>
      </c>
      <c r="C4828" s="51">
        <v>1.005</v>
      </c>
      <c r="D4828" s="51">
        <v>67.0</v>
      </c>
      <c r="E4828" s="52" t="s">
        <v>25</v>
      </c>
      <c r="F4828" s="52" t="s">
        <v>26</v>
      </c>
      <c r="G4828" s="53"/>
    </row>
    <row r="4829">
      <c r="A4829" s="49">
        <v>44745.14562555555</v>
      </c>
      <c r="B4829" s="50">
        <v>44745.2705916203</v>
      </c>
      <c r="C4829" s="51">
        <v>1.004</v>
      </c>
      <c r="D4829" s="51">
        <v>67.0</v>
      </c>
      <c r="E4829" s="52" t="s">
        <v>25</v>
      </c>
      <c r="F4829" s="52" t="s">
        <v>26</v>
      </c>
      <c r="G4829" s="53"/>
    </row>
    <row r="4830">
      <c r="A4830" s="49">
        <v>44745.15604482639</v>
      </c>
      <c r="B4830" s="50">
        <v>44745.2810124537</v>
      </c>
      <c r="C4830" s="51">
        <v>1.005</v>
      </c>
      <c r="D4830" s="51">
        <v>67.0</v>
      </c>
      <c r="E4830" s="52" t="s">
        <v>25</v>
      </c>
      <c r="F4830" s="52" t="s">
        <v>26</v>
      </c>
      <c r="G4830" s="53"/>
    </row>
    <row r="4831">
      <c r="A4831" s="49">
        <v>44745.1664538426</v>
      </c>
      <c r="B4831" s="50">
        <v>44745.2914319212</v>
      </c>
      <c r="C4831" s="51">
        <v>1.005</v>
      </c>
      <c r="D4831" s="51">
        <v>67.0</v>
      </c>
      <c r="E4831" s="52" t="s">
        <v>25</v>
      </c>
      <c r="F4831" s="52" t="s">
        <v>26</v>
      </c>
      <c r="G4831" s="53"/>
    </row>
    <row r="4832">
      <c r="A4832" s="49">
        <v>44745.176888263886</v>
      </c>
      <c r="B4832" s="50">
        <v>44745.301865949</v>
      </c>
      <c r="C4832" s="51">
        <v>1.005</v>
      </c>
      <c r="D4832" s="51">
        <v>67.0</v>
      </c>
      <c r="E4832" s="52" t="s">
        <v>25</v>
      </c>
      <c r="F4832" s="52" t="s">
        <v>26</v>
      </c>
      <c r="G4832" s="53"/>
    </row>
    <row r="4833">
      <c r="A4833" s="49">
        <v>44745.18732216435</v>
      </c>
      <c r="B4833" s="50">
        <v>44745.3122987615</v>
      </c>
      <c r="C4833" s="51">
        <v>1.005</v>
      </c>
      <c r="D4833" s="51">
        <v>67.0</v>
      </c>
      <c r="E4833" s="52" t="s">
        <v>25</v>
      </c>
      <c r="F4833" s="52" t="s">
        <v>26</v>
      </c>
      <c r="G4833" s="53"/>
    </row>
    <row r="4834">
      <c r="A4834" s="49">
        <v>44745.19774672454</v>
      </c>
      <c r="B4834" s="50">
        <v>44745.3227204629</v>
      </c>
      <c r="C4834" s="51">
        <v>1.004</v>
      </c>
      <c r="D4834" s="51">
        <v>67.0</v>
      </c>
      <c r="E4834" s="52" t="s">
        <v>25</v>
      </c>
      <c r="F4834" s="52" t="s">
        <v>26</v>
      </c>
      <c r="G4834" s="53"/>
    </row>
    <row r="4835">
      <c r="A4835" s="49">
        <v>44745.20815929398</v>
      </c>
      <c r="B4835" s="50">
        <v>44745.3331426851</v>
      </c>
      <c r="C4835" s="51">
        <v>1.004</v>
      </c>
      <c r="D4835" s="51">
        <v>67.0</v>
      </c>
      <c r="E4835" s="52" t="s">
        <v>25</v>
      </c>
      <c r="F4835" s="52" t="s">
        <v>26</v>
      </c>
      <c r="G4835" s="53"/>
    </row>
    <row r="4836">
      <c r="A4836" s="49">
        <v>44745.21858</v>
      </c>
      <c r="B4836" s="50">
        <v>44745.3435624305</v>
      </c>
      <c r="C4836" s="51">
        <v>1.005</v>
      </c>
      <c r="D4836" s="51">
        <v>67.0</v>
      </c>
      <c r="E4836" s="52" t="s">
        <v>25</v>
      </c>
      <c r="F4836" s="52" t="s">
        <v>26</v>
      </c>
      <c r="G4836" s="53"/>
    </row>
    <row r="4837">
      <c r="A4837" s="49">
        <v>44745.22899949074</v>
      </c>
      <c r="B4837" s="50">
        <v>44745.3539856134</v>
      </c>
      <c r="C4837" s="51">
        <v>1.005</v>
      </c>
      <c r="D4837" s="51">
        <v>67.0</v>
      </c>
      <c r="E4837" s="52" t="s">
        <v>25</v>
      </c>
      <c r="F4837" s="52" t="s">
        <v>26</v>
      </c>
      <c r="G4837" s="53"/>
    </row>
    <row r="4838">
      <c r="A4838" s="49">
        <v>44745.239432766204</v>
      </c>
      <c r="B4838" s="50">
        <v>44745.3644069791</v>
      </c>
      <c r="C4838" s="51">
        <v>1.005</v>
      </c>
      <c r="D4838" s="51">
        <v>67.0</v>
      </c>
      <c r="E4838" s="52" t="s">
        <v>25</v>
      </c>
      <c r="F4838" s="52" t="s">
        <v>26</v>
      </c>
      <c r="G4838" s="53"/>
    </row>
    <row r="4839">
      <c r="A4839" s="49">
        <v>44745.24984258102</v>
      </c>
      <c r="B4839" s="50">
        <v>44745.3748268055</v>
      </c>
      <c r="C4839" s="51">
        <v>1.005</v>
      </c>
      <c r="D4839" s="51">
        <v>67.0</v>
      </c>
      <c r="E4839" s="52" t="s">
        <v>25</v>
      </c>
      <c r="F4839" s="52" t="s">
        <v>26</v>
      </c>
      <c r="G4839" s="53"/>
    </row>
    <row r="4840">
      <c r="A4840" s="49">
        <v>44745.26026547454</v>
      </c>
      <c r="B4840" s="50">
        <v>44745.3852476157</v>
      </c>
      <c r="C4840" s="51">
        <v>1.005</v>
      </c>
      <c r="D4840" s="51">
        <v>67.0</v>
      </c>
      <c r="E4840" s="52" t="s">
        <v>25</v>
      </c>
      <c r="F4840" s="52" t="s">
        <v>26</v>
      </c>
      <c r="G4840" s="53"/>
    </row>
    <row r="4841">
      <c r="A4841" s="49">
        <v>44745.2706860301</v>
      </c>
      <c r="B4841" s="50">
        <v>44745.3956698148</v>
      </c>
      <c r="C4841" s="51">
        <v>1.004</v>
      </c>
      <c r="D4841" s="51">
        <v>67.0</v>
      </c>
      <c r="E4841" s="52" t="s">
        <v>25</v>
      </c>
      <c r="F4841" s="52" t="s">
        <v>26</v>
      </c>
      <c r="G4841" s="53"/>
    </row>
    <row r="4842">
      <c r="A4842" s="49">
        <v>44745.28111736111</v>
      </c>
      <c r="B4842" s="50">
        <v>44745.4060924189</v>
      </c>
      <c r="C4842" s="51">
        <v>1.004</v>
      </c>
      <c r="D4842" s="51">
        <v>67.0</v>
      </c>
      <c r="E4842" s="52" t="s">
        <v>25</v>
      </c>
      <c r="F4842" s="52" t="s">
        <v>26</v>
      </c>
      <c r="G4842" s="53"/>
    </row>
    <row r="4843">
      <c r="A4843" s="49">
        <v>44745.29153479167</v>
      </c>
      <c r="B4843" s="50">
        <v>44745.4165139467</v>
      </c>
      <c r="C4843" s="51">
        <v>1.004</v>
      </c>
      <c r="D4843" s="51">
        <v>67.0</v>
      </c>
      <c r="E4843" s="52" t="s">
        <v>25</v>
      </c>
      <c r="F4843" s="52" t="s">
        <v>26</v>
      </c>
      <c r="G4843" s="53"/>
    </row>
    <row r="4844">
      <c r="A4844" s="49">
        <v>44745.30195296297</v>
      </c>
      <c r="B4844" s="50">
        <v>44745.4269361689</v>
      </c>
      <c r="C4844" s="51">
        <v>1.005</v>
      </c>
      <c r="D4844" s="51">
        <v>67.0</v>
      </c>
      <c r="E4844" s="52" t="s">
        <v>25</v>
      </c>
      <c r="F4844" s="52" t="s">
        <v>26</v>
      </c>
      <c r="G4844" s="53"/>
    </row>
    <row r="4845">
      <c r="A4845" s="49">
        <v>44745.31237305555</v>
      </c>
      <c r="B4845" s="50">
        <v>44745.4373572453</v>
      </c>
      <c r="C4845" s="51">
        <v>1.005</v>
      </c>
      <c r="D4845" s="51">
        <v>67.0</v>
      </c>
      <c r="E4845" s="52" t="s">
        <v>25</v>
      </c>
      <c r="F4845" s="52" t="s">
        <v>26</v>
      </c>
      <c r="G4845" s="53"/>
    </row>
    <row r="4846">
      <c r="A4846" s="49">
        <v>44745.322806076394</v>
      </c>
      <c r="B4846" s="50">
        <v>44745.4477789467</v>
      </c>
      <c r="C4846" s="51">
        <v>1.005</v>
      </c>
      <c r="D4846" s="51">
        <v>67.0</v>
      </c>
      <c r="E4846" s="52" t="s">
        <v>25</v>
      </c>
      <c r="F4846" s="52" t="s">
        <v>26</v>
      </c>
      <c r="G4846" s="53"/>
    </row>
    <row r="4847">
      <c r="A4847" s="49">
        <v>44745.33322579861</v>
      </c>
      <c r="B4847" s="50">
        <v>44745.4582009606</v>
      </c>
      <c r="C4847" s="51">
        <v>1.005</v>
      </c>
      <c r="D4847" s="51">
        <v>67.0</v>
      </c>
      <c r="E4847" s="52" t="s">
        <v>25</v>
      </c>
      <c r="F4847" s="52" t="s">
        <v>26</v>
      </c>
      <c r="G4847" s="53"/>
    </row>
    <row r="4848">
      <c r="A4848" s="49">
        <v>44745.34363699074</v>
      </c>
      <c r="B4848" s="50">
        <v>44745.4686200347</v>
      </c>
      <c r="C4848" s="51">
        <v>1.005</v>
      </c>
      <c r="D4848" s="51">
        <v>67.0</v>
      </c>
      <c r="E4848" s="52" t="s">
        <v>25</v>
      </c>
      <c r="F4848" s="52" t="s">
        <v>26</v>
      </c>
      <c r="G4848" s="53"/>
    </row>
    <row r="4849">
      <c r="A4849" s="49">
        <v>44745.354059502315</v>
      </c>
      <c r="B4849" s="50">
        <v>44745.4790417824</v>
      </c>
      <c r="C4849" s="51">
        <v>1.004</v>
      </c>
      <c r="D4849" s="51">
        <v>67.0</v>
      </c>
      <c r="E4849" s="52" t="s">
        <v>25</v>
      </c>
      <c r="F4849" s="52" t="s">
        <v>26</v>
      </c>
      <c r="G4849" s="53"/>
    </row>
    <row r="4850">
      <c r="A4850" s="49">
        <v>44745.36448164352</v>
      </c>
      <c r="B4850" s="50">
        <v>44745.4894645717</v>
      </c>
      <c r="C4850" s="51">
        <v>1.005</v>
      </c>
      <c r="D4850" s="51">
        <v>67.0</v>
      </c>
      <c r="E4850" s="52" t="s">
        <v>25</v>
      </c>
      <c r="F4850" s="52" t="s">
        <v>26</v>
      </c>
      <c r="G4850" s="53"/>
    </row>
    <row r="4851">
      <c r="A4851" s="49">
        <v>44745.374907314814</v>
      </c>
      <c r="B4851" s="50">
        <v>44745.4998859838</v>
      </c>
      <c r="C4851" s="51">
        <v>1.005</v>
      </c>
      <c r="D4851" s="51">
        <v>67.0</v>
      </c>
      <c r="E4851" s="52" t="s">
        <v>25</v>
      </c>
      <c r="F4851" s="52" t="s">
        <v>26</v>
      </c>
      <c r="G4851" s="53"/>
    </row>
    <row r="4852">
      <c r="A4852" s="49">
        <v>44745.38534033565</v>
      </c>
      <c r="B4852" s="50">
        <v>44745.5103169328</v>
      </c>
      <c r="C4852" s="51">
        <v>1.004</v>
      </c>
      <c r="D4852" s="51">
        <v>67.0</v>
      </c>
      <c r="E4852" s="52" t="s">
        <v>25</v>
      </c>
      <c r="F4852" s="52" t="s">
        <v>26</v>
      </c>
      <c r="G4852" s="53"/>
    </row>
    <row r="4853">
      <c r="A4853" s="49">
        <v>44745.39575841435</v>
      </c>
      <c r="B4853" s="50">
        <v>44745.520737581</v>
      </c>
      <c r="C4853" s="51">
        <v>1.005</v>
      </c>
      <c r="D4853" s="51">
        <v>67.0</v>
      </c>
      <c r="E4853" s="52" t="s">
        <v>25</v>
      </c>
      <c r="F4853" s="52" t="s">
        <v>26</v>
      </c>
      <c r="G4853" s="53"/>
    </row>
    <row r="4854">
      <c r="A4854" s="49">
        <v>44745.40617894676</v>
      </c>
      <c r="B4854" s="50">
        <v>44745.5311577314</v>
      </c>
      <c r="C4854" s="51">
        <v>1.004</v>
      </c>
      <c r="D4854" s="51">
        <v>67.0</v>
      </c>
      <c r="E4854" s="52" t="s">
        <v>25</v>
      </c>
      <c r="F4854" s="52" t="s">
        <v>26</v>
      </c>
      <c r="G4854" s="53"/>
    </row>
    <row r="4855">
      <c r="A4855" s="49">
        <v>44745.41659997685</v>
      </c>
      <c r="B4855" s="50">
        <v>44745.5415793402</v>
      </c>
      <c r="C4855" s="51">
        <v>1.005</v>
      </c>
      <c r="D4855" s="51">
        <v>67.0</v>
      </c>
      <c r="E4855" s="52" t="s">
        <v>25</v>
      </c>
      <c r="F4855" s="52" t="s">
        <v>26</v>
      </c>
      <c r="G4855" s="53"/>
    </row>
    <row r="4856">
      <c r="A4856" s="49">
        <v>44745.427030520834</v>
      </c>
      <c r="B4856" s="50">
        <v>44745.5520102777</v>
      </c>
      <c r="C4856" s="51">
        <v>1.005</v>
      </c>
      <c r="D4856" s="51">
        <v>67.0</v>
      </c>
      <c r="E4856" s="52" t="s">
        <v>25</v>
      </c>
      <c r="F4856" s="52" t="s">
        <v>26</v>
      </c>
      <c r="G4856" s="53"/>
    </row>
    <row r="4857">
      <c r="A4857" s="49">
        <v>44745.43745009259</v>
      </c>
      <c r="B4857" s="50">
        <v>44745.5624319328</v>
      </c>
      <c r="C4857" s="51">
        <v>1.005</v>
      </c>
      <c r="D4857" s="51">
        <v>67.0</v>
      </c>
      <c r="E4857" s="52" t="s">
        <v>25</v>
      </c>
      <c r="F4857" s="52" t="s">
        <v>26</v>
      </c>
      <c r="G4857" s="53"/>
    </row>
    <row r="4858">
      <c r="A4858" s="49">
        <v>44745.44787408564</v>
      </c>
      <c r="B4858" s="50">
        <v>44745.5728536458</v>
      </c>
      <c r="C4858" s="51">
        <v>1.005</v>
      </c>
      <c r="D4858" s="51">
        <v>67.0</v>
      </c>
      <c r="E4858" s="52" t="s">
        <v>25</v>
      </c>
      <c r="F4858" s="52" t="s">
        <v>26</v>
      </c>
      <c r="G4858" s="53"/>
    </row>
    <row r="4859">
      <c r="A4859" s="49">
        <v>44745.45830083333</v>
      </c>
      <c r="B4859" s="50">
        <v>44745.5832742245</v>
      </c>
      <c r="C4859" s="51">
        <v>1.004</v>
      </c>
      <c r="D4859" s="51">
        <v>67.0</v>
      </c>
      <c r="E4859" s="52" t="s">
        <v>25</v>
      </c>
      <c r="F4859" s="52" t="s">
        <v>26</v>
      </c>
      <c r="G4859" s="53"/>
    </row>
    <row r="4860">
      <c r="A4860" s="49">
        <v>44745.46871127315</v>
      </c>
      <c r="B4860" s="50">
        <v>44745.5936941551</v>
      </c>
      <c r="C4860" s="51">
        <v>1.005</v>
      </c>
      <c r="D4860" s="51">
        <v>67.0</v>
      </c>
      <c r="E4860" s="52" t="s">
        <v>25</v>
      </c>
      <c r="F4860" s="52" t="s">
        <v>26</v>
      </c>
      <c r="G4860" s="53"/>
    </row>
    <row r="4861">
      <c r="A4861" s="49">
        <v>44745.47915313658</v>
      </c>
      <c r="B4861" s="50">
        <v>44745.6041263194</v>
      </c>
      <c r="C4861" s="51">
        <v>1.004</v>
      </c>
      <c r="D4861" s="51">
        <v>67.0</v>
      </c>
      <c r="E4861" s="52" t="s">
        <v>25</v>
      </c>
      <c r="F4861" s="52" t="s">
        <v>26</v>
      </c>
      <c r="G4861" s="53"/>
    </row>
    <row r="4862">
      <c r="A4862" s="49">
        <v>44745.4895740162</v>
      </c>
      <c r="B4862" s="50">
        <v>44745.61454625</v>
      </c>
      <c r="C4862" s="51">
        <v>1.004</v>
      </c>
      <c r="D4862" s="51">
        <v>67.0</v>
      </c>
      <c r="E4862" s="52" t="s">
        <v>25</v>
      </c>
      <c r="F4862" s="52" t="s">
        <v>26</v>
      </c>
      <c r="G4862" s="53"/>
    </row>
    <row r="4863">
      <c r="A4863" s="49">
        <v>44745.50002506944</v>
      </c>
      <c r="B4863" s="50">
        <v>44745.6250037731</v>
      </c>
      <c r="C4863" s="51">
        <v>1.005</v>
      </c>
      <c r="D4863" s="51">
        <v>67.0</v>
      </c>
      <c r="E4863" s="52" t="s">
        <v>25</v>
      </c>
      <c r="F4863" s="52" t="s">
        <v>26</v>
      </c>
      <c r="G4863" s="53"/>
    </row>
    <row r="4864">
      <c r="A4864" s="49">
        <v>44745.510451979164</v>
      </c>
      <c r="B4864" s="50">
        <v>44745.6354254745</v>
      </c>
      <c r="C4864" s="51">
        <v>1.005</v>
      </c>
      <c r="D4864" s="51">
        <v>67.0</v>
      </c>
      <c r="E4864" s="52" t="s">
        <v>25</v>
      </c>
      <c r="F4864" s="52" t="s">
        <v>26</v>
      </c>
      <c r="G4864" s="53"/>
    </row>
    <row r="4865">
      <c r="A4865" s="49">
        <v>44745.52087057871</v>
      </c>
      <c r="B4865" s="50">
        <v>44745.6458474768</v>
      </c>
      <c r="C4865" s="51">
        <v>1.005</v>
      </c>
      <c r="D4865" s="51">
        <v>67.0</v>
      </c>
      <c r="E4865" s="52" t="s">
        <v>25</v>
      </c>
      <c r="F4865" s="52" t="s">
        <v>26</v>
      </c>
      <c r="G4865" s="53"/>
    </row>
    <row r="4866">
      <c r="A4866" s="49">
        <v>44745.531293113425</v>
      </c>
      <c r="B4866" s="50">
        <v>44745.6562679282</v>
      </c>
      <c r="C4866" s="51">
        <v>1.005</v>
      </c>
      <c r="D4866" s="51">
        <v>67.0</v>
      </c>
      <c r="E4866" s="52" t="s">
        <v>25</v>
      </c>
      <c r="F4866" s="52" t="s">
        <v>26</v>
      </c>
      <c r="G4866" s="53"/>
    </row>
    <row r="4867">
      <c r="A4867" s="49">
        <v>44745.54171665509</v>
      </c>
      <c r="B4867" s="50">
        <v>44745.6666912384</v>
      </c>
      <c r="C4867" s="51">
        <v>1.005</v>
      </c>
      <c r="D4867" s="51">
        <v>67.0</v>
      </c>
      <c r="E4867" s="52" t="s">
        <v>25</v>
      </c>
      <c r="F4867" s="52" t="s">
        <v>26</v>
      </c>
      <c r="G4867" s="53"/>
    </row>
    <row r="4868">
      <c r="A4868" s="49">
        <v>44745.552142500004</v>
      </c>
      <c r="B4868" s="50">
        <v>44745.6771247453</v>
      </c>
      <c r="C4868" s="51">
        <v>1.005</v>
      </c>
      <c r="D4868" s="51">
        <v>67.0</v>
      </c>
      <c r="E4868" s="52" t="s">
        <v>25</v>
      </c>
      <c r="F4868" s="52" t="s">
        <v>26</v>
      </c>
      <c r="G4868" s="53"/>
    </row>
    <row r="4869">
      <c r="A4869" s="49">
        <v>44745.56256978009</v>
      </c>
      <c r="B4869" s="50">
        <v>44745.6875472916</v>
      </c>
      <c r="C4869" s="51">
        <v>1.004</v>
      </c>
      <c r="D4869" s="51">
        <v>67.0</v>
      </c>
      <c r="E4869" s="52" t="s">
        <v>25</v>
      </c>
      <c r="F4869" s="52" t="s">
        <v>26</v>
      </c>
      <c r="G4869" s="53"/>
    </row>
    <row r="4870">
      <c r="A4870" s="49">
        <v>44745.573014733796</v>
      </c>
      <c r="B4870" s="50">
        <v>44745.6979890046</v>
      </c>
      <c r="C4870" s="51">
        <v>1.005</v>
      </c>
      <c r="D4870" s="51">
        <v>67.0</v>
      </c>
      <c r="E4870" s="52" t="s">
        <v>25</v>
      </c>
      <c r="F4870" s="52" t="s">
        <v>26</v>
      </c>
      <c r="G4870" s="53"/>
    </row>
    <row r="4871">
      <c r="A4871" s="49">
        <v>44745.583449513884</v>
      </c>
      <c r="B4871" s="50">
        <v>44745.7084232754</v>
      </c>
      <c r="C4871" s="51">
        <v>1.005</v>
      </c>
      <c r="D4871" s="51">
        <v>67.0</v>
      </c>
      <c r="E4871" s="52" t="s">
        <v>25</v>
      </c>
      <c r="F4871" s="52" t="s">
        <v>26</v>
      </c>
      <c r="G4871" s="53"/>
    </row>
    <row r="4872">
      <c r="A4872" s="49">
        <v>44745.59386069444</v>
      </c>
      <c r="B4872" s="50">
        <v>44745.7188443055</v>
      </c>
      <c r="C4872" s="51">
        <v>1.004</v>
      </c>
      <c r="D4872" s="51">
        <v>67.0</v>
      </c>
      <c r="E4872" s="52" t="s">
        <v>25</v>
      </c>
      <c r="F4872" s="52" t="s">
        <v>26</v>
      </c>
      <c r="G4872" s="53"/>
    </row>
    <row r="4873">
      <c r="A4873" s="49">
        <v>44745.604282361106</v>
      </c>
      <c r="B4873" s="50">
        <v>44745.7292658101</v>
      </c>
      <c r="C4873" s="51">
        <v>1.004</v>
      </c>
      <c r="D4873" s="51">
        <v>67.0</v>
      </c>
      <c r="E4873" s="52" t="s">
        <v>25</v>
      </c>
      <c r="F4873" s="52" t="s">
        <v>26</v>
      </c>
      <c r="G4873" s="53"/>
    </row>
    <row r="4874">
      <c r="A4874" s="49">
        <v>44745.614712361115</v>
      </c>
      <c r="B4874" s="50">
        <v>44745.7396856481</v>
      </c>
      <c r="C4874" s="51">
        <v>1.004</v>
      </c>
      <c r="D4874" s="51">
        <v>67.0</v>
      </c>
      <c r="E4874" s="52" t="s">
        <v>25</v>
      </c>
      <c r="F4874" s="52" t="s">
        <v>26</v>
      </c>
      <c r="G4874" s="53"/>
    </row>
    <row r="4875">
      <c r="A4875" s="49">
        <v>44745.62514959491</v>
      </c>
      <c r="B4875" s="50">
        <v>44745.7501056828</v>
      </c>
      <c r="C4875" s="51">
        <v>1.005</v>
      </c>
      <c r="D4875" s="51">
        <v>67.0</v>
      </c>
      <c r="E4875" s="52" t="s">
        <v>25</v>
      </c>
      <c r="F4875" s="52" t="s">
        <v>26</v>
      </c>
      <c r="G4875" s="53"/>
    </row>
    <row r="4876">
      <c r="A4876" s="49">
        <v>44745.6355440162</v>
      </c>
      <c r="B4876" s="50">
        <v>44745.7605278009</v>
      </c>
      <c r="C4876" s="51">
        <v>1.005</v>
      </c>
      <c r="D4876" s="51">
        <v>67.0</v>
      </c>
      <c r="E4876" s="52" t="s">
        <v>25</v>
      </c>
      <c r="F4876" s="52" t="s">
        <v>26</v>
      </c>
      <c r="G4876" s="53"/>
    </row>
    <row r="4877">
      <c r="A4877" s="49">
        <v>44745.64597283565</v>
      </c>
      <c r="B4877" s="50">
        <v>44745.7709480324</v>
      </c>
      <c r="C4877" s="51">
        <v>1.005</v>
      </c>
      <c r="D4877" s="51">
        <v>67.0</v>
      </c>
      <c r="E4877" s="52" t="s">
        <v>25</v>
      </c>
      <c r="F4877" s="52" t="s">
        <v>26</v>
      </c>
      <c r="G4877" s="53"/>
    </row>
    <row r="4878">
      <c r="A4878" s="49">
        <v>44745.65639120371</v>
      </c>
      <c r="B4878" s="50">
        <v>44745.7813700462</v>
      </c>
      <c r="C4878" s="51">
        <v>1.005</v>
      </c>
      <c r="D4878" s="51">
        <v>67.0</v>
      </c>
      <c r="E4878" s="52" t="s">
        <v>25</v>
      </c>
      <c r="F4878" s="52" t="s">
        <v>26</v>
      </c>
      <c r="G4878" s="53"/>
    </row>
    <row r="4879">
      <c r="A4879" s="49">
        <v>44745.66683444445</v>
      </c>
      <c r="B4879" s="50">
        <v>44745.7918140277</v>
      </c>
      <c r="C4879" s="51">
        <v>1.005</v>
      </c>
      <c r="D4879" s="51">
        <v>68.0</v>
      </c>
      <c r="E4879" s="52" t="s">
        <v>25</v>
      </c>
      <c r="F4879" s="52" t="s">
        <v>26</v>
      </c>
      <c r="G4879" s="53"/>
    </row>
    <row r="4880">
      <c r="A4880" s="49">
        <v>44745.67725129629</v>
      </c>
      <c r="B4880" s="50">
        <v>44745.802235</v>
      </c>
      <c r="C4880" s="51">
        <v>1.005</v>
      </c>
      <c r="D4880" s="51">
        <v>68.0</v>
      </c>
      <c r="E4880" s="52" t="s">
        <v>25</v>
      </c>
      <c r="F4880" s="52" t="s">
        <v>26</v>
      </c>
      <c r="G4880" s="53"/>
    </row>
    <row r="4881">
      <c r="A4881" s="49">
        <v>44745.687683819444</v>
      </c>
      <c r="B4881" s="50">
        <v>44745.8126565856</v>
      </c>
      <c r="C4881" s="51">
        <v>1.005</v>
      </c>
      <c r="D4881" s="51">
        <v>68.0</v>
      </c>
      <c r="E4881" s="52" t="s">
        <v>25</v>
      </c>
      <c r="F4881" s="52" t="s">
        <v>26</v>
      </c>
      <c r="G4881" s="53"/>
    </row>
    <row r="4882">
      <c r="A4882" s="49">
        <v>44745.698116238425</v>
      </c>
      <c r="B4882" s="50">
        <v>44745.8230901851</v>
      </c>
      <c r="C4882" s="51">
        <v>1.005</v>
      </c>
      <c r="D4882" s="51">
        <v>68.0</v>
      </c>
      <c r="E4882" s="52" t="s">
        <v>25</v>
      </c>
      <c r="F4882" s="52" t="s">
        <v>26</v>
      </c>
      <c r="G4882" s="53"/>
    </row>
    <row r="4883">
      <c r="A4883" s="49">
        <v>44745.708535949074</v>
      </c>
      <c r="B4883" s="50">
        <v>44745.8335112615</v>
      </c>
      <c r="C4883" s="51">
        <v>1.004</v>
      </c>
      <c r="D4883" s="51">
        <v>68.0</v>
      </c>
      <c r="E4883" s="52" t="s">
        <v>25</v>
      </c>
      <c r="F4883" s="52" t="s">
        <v>26</v>
      </c>
      <c r="G4883" s="53"/>
    </row>
    <row r="4884">
      <c r="A4884" s="49">
        <v>44745.71895009259</v>
      </c>
      <c r="B4884" s="50">
        <v>44745.8439323263</v>
      </c>
      <c r="C4884" s="51">
        <v>1.005</v>
      </c>
      <c r="D4884" s="51">
        <v>68.0</v>
      </c>
      <c r="E4884" s="52" t="s">
        <v>25</v>
      </c>
      <c r="F4884" s="52" t="s">
        <v>26</v>
      </c>
      <c r="G4884" s="53"/>
    </row>
    <row r="4885">
      <c r="A4885" s="49">
        <v>44745.72938434027</v>
      </c>
      <c r="B4885" s="50">
        <v>44745.8543635069</v>
      </c>
      <c r="C4885" s="51">
        <v>1.005</v>
      </c>
      <c r="D4885" s="51">
        <v>68.0</v>
      </c>
      <c r="E4885" s="52" t="s">
        <v>25</v>
      </c>
      <c r="F4885" s="52" t="s">
        <v>26</v>
      </c>
      <c r="G4885" s="53"/>
    </row>
    <row r="4886">
      <c r="A4886" s="49">
        <v>44745.73980983796</v>
      </c>
      <c r="B4886" s="50">
        <v>44745.864784699</v>
      </c>
      <c r="C4886" s="51">
        <v>1.005</v>
      </c>
      <c r="D4886" s="51">
        <v>68.0</v>
      </c>
      <c r="E4886" s="52" t="s">
        <v>25</v>
      </c>
      <c r="F4886" s="52" t="s">
        <v>26</v>
      </c>
      <c r="G4886" s="53"/>
    </row>
    <row r="4887">
      <c r="A4887" s="49">
        <v>44745.750238356486</v>
      </c>
      <c r="B4887" s="50">
        <v>44745.8752168402</v>
      </c>
      <c r="C4887" s="51">
        <v>1.004</v>
      </c>
      <c r="D4887" s="51">
        <v>68.0</v>
      </c>
      <c r="E4887" s="52" t="s">
        <v>25</v>
      </c>
      <c r="F4887" s="52" t="s">
        <v>26</v>
      </c>
      <c r="G4887" s="53"/>
    </row>
    <row r="4888">
      <c r="A4888" s="49">
        <v>44745.760655289356</v>
      </c>
      <c r="B4888" s="50">
        <v>44745.8856376273</v>
      </c>
      <c r="C4888" s="51">
        <v>1.005</v>
      </c>
      <c r="D4888" s="51">
        <v>68.0</v>
      </c>
      <c r="E4888" s="52" t="s">
        <v>25</v>
      </c>
      <c r="F4888" s="52" t="s">
        <v>26</v>
      </c>
      <c r="G4888" s="53"/>
    </row>
    <row r="4889">
      <c r="A4889" s="49">
        <v>44745.77109634259</v>
      </c>
      <c r="B4889" s="50">
        <v>44745.896069537</v>
      </c>
      <c r="C4889" s="51">
        <v>1.005</v>
      </c>
      <c r="D4889" s="51">
        <v>68.0</v>
      </c>
      <c r="E4889" s="52" t="s">
        <v>25</v>
      </c>
      <c r="F4889" s="52" t="s">
        <v>26</v>
      </c>
      <c r="G4889" s="53"/>
    </row>
    <row r="4890">
      <c r="A4890" s="49">
        <v>44745.78151596065</v>
      </c>
      <c r="B4890" s="50">
        <v>44745.9064899652</v>
      </c>
      <c r="C4890" s="51">
        <v>1.005</v>
      </c>
      <c r="D4890" s="51">
        <v>68.0</v>
      </c>
      <c r="E4890" s="52" t="s">
        <v>25</v>
      </c>
      <c r="F4890" s="52" t="s">
        <v>26</v>
      </c>
      <c r="G4890" s="53"/>
    </row>
    <row r="4891">
      <c r="A4891" s="49">
        <v>44745.791930023144</v>
      </c>
      <c r="B4891" s="50">
        <v>44745.9169104976</v>
      </c>
      <c r="C4891" s="51">
        <v>1.004</v>
      </c>
      <c r="D4891" s="51">
        <v>68.0</v>
      </c>
      <c r="E4891" s="52" t="s">
        <v>25</v>
      </c>
      <c r="F4891" s="52" t="s">
        <v>26</v>
      </c>
      <c r="G4891" s="53"/>
    </row>
    <row r="4892">
      <c r="A4892" s="49">
        <v>44745.802347199075</v>
      </c>
      <c r="B4892" s="50">
        <v>44745.9273324537</v>
      </c>
      <c r="C4892" s="51">
        <v>1.004</v>
      </c>
      <c r="D4892" s="51">
        <v>68.0</v>
      </c>
      <c r="E4892" s="52" t="s">
        <v>25</v>
      </c>
      <c r="F4892" s="52" t="s">
        <v>26</v>
      </c>
      <c r="G4892" s="53"/>
    </row>
    <row r="4893">
      <c r="A4893" s="49">
        <v>44745.81278902778</v>
      </c>
      <c r="B4893" s="50">
        <v>44745.9377654861</v>
      </c>
      <c r="C4893" s="51">
        <v>1.005</v>
      </c>
      <c r="D4893" s="51">
        <v>68.0</v>
      </c>
      <c r="E4893" s="52" t="s">
        <v>25</v>
      </c>
      <c r="F4893" s="52" t="s">
        <v>26</v>
      </c>
      <c r="G4893" s="53"/>
    </row>
    <row r="4894">
      <c r="A4894" s="49">
        <v>44745.823205532404</v>
      </c>
      <c r="B4894" s="50">
        <v>44745.9481855787</v>
      </c>
      <c r="C4894" s="51">
        <v>1.005</v>
      </c>
      <c r="D4894" s="51">
        <v>68.0</v>
      </c>
      <c r="E4894" s="52" t="s">
        <v>25</v>
      </c>
      <c r="F4894" s="52" t="s">
        <v>26</v>
      </c>
      <c r="G4894" s="53"/>
    </row>
    <row r="4895">
      <c r="A4895" s="49">
        <v>44745.83362576389</v>
      </c>
      <c r="B4895" s="50">
        <v>44745.9586058564</v>
      </c>
      <c r="C4895" s="51">
        <v>1.004</v>
      </c>
      <c r="D4895" s="51">
        <v>68.0</v>
      </c>
      <c r="E4895" s="52" t="s">
        <v>25</v>
      </c>
      <c r="F4895" s="52" t="s">
        <v>26</v>
      </c>
      <c r="G4895" s="53"/>
    </row>
    <row r="4896">
      <c r="A4896" s="49">
        <v>44745.8440587963</v>
      </c>
      <c r="B4896" s="50">
        <v>44745.9690269676</v>
      </c>
      <c r="C4896" s="51">
        <v>1.004</v>
      </c>
      <c r="D4896" s="51">
        <v>68.0</v>
      </c>
      <c r="E4896" s="52" t="s">
        <v>25</v>
      </c>
      <c r="F4896" s="52" t="s">
        <v>26</v>
      </c>
      <c r="G4896" s="53"/>
    </row>
    <row r="4897">
      <c r="A4897" s="49">
        <v>44745.85446606482</v>
      </c>
      <c r="B4897" s="50">
        <v>44745.9794458449</v>
      </c>
      <c r="C4897" s="51">
        <v>1.005</v>
      </c>
      <c r="D4897" s="51">
        <v>68.0</v>
      </c>
      <c r="E4897" s="52" t="s">
        <v>25</v>
      </c>
      <c r="F4897" s="52" t="s">
        <v>26</v>
      </c>
      <c r="G4897" s="53"/>
    </row>
    <row r="4898">
      <c r="A4898" s="49">
        <v>44745.86488341435</v>
      </c>
      <c r="B4898" s="50">
        <v>44745.9898661111</v>
      </c>
      <c r="C4898" s="51">
        <v>1.004</v>
      </c>
      <c r="D4898" s="51">
        <v>68.0</v>
      </c>
      <c r="E4898" s="52" t="s">
        <v>25</v>
      </c>
      <c r="F4898" s="52" t="s">
        <v>26</v>
      </c>
      <c r="G4898" s="53"/>
    </row>
    <row r="4899">
      <c r="A4899" s="49">
        <v>44745.87532358796</v>
      </c>
      <c r="B4899" s="50">
        <v>44746.0002989467</v>
      </c>
      <c r="C4899" s="51">
        <v>1.005</v>
      </c>
      <c r="D4899" s="51">
        <v>68.0</v>
      </c>
      <c r="E4899" s="52" t="s">
        <v>25</v>
      </c>
      <c r="F4899" s="52" t="s">
        <v>26</v>
      </c>
      <c r="G4899" s="53"/>
    </row>
    <row r="4900">
      <c r="A4900" s="49">
        <v>44745.885744722225</v>
      </c>
      <c r="B4900" s="50">
        <v>44746.0107200231</v>
      </c>
      <c r="C4900" s="51">
        <v>1.005</v>
      </c>
      <c r="D4900" s="51">
        <v>68.0</v>
      </c>
      <c r="E4900" s="52" t="s">
        <v>25</v>
      </c>
      <c r="F4900" s="52" t="s">
        <v>26</v>
      </c>
      <c r="G4900" s="53"/>
    </row>
    <row r="4901">
      <c r="A4901" s="49">
        <v>44745.89616833333</v>
      </c>
      <c r="B4901" s="50">
        <v>44746.021141412</v>
      </c>
      <c r="C4901" s="51">
        <v>1.004</v>
      </c>
      <c r="D4901" s="51">
        <v>68.0</v>
      </c>
      <c r="E4901" s="52" t="s">
        <v>25</v>
      </c>
      <c r="F4901" s="52" t="s">
        <v>26</v>
      </c>
      <c r="G4901" s="53"/>
    </row>
    <row r="4902">
      <c r="A4902" s="49">
        <v>44745.906584641205</v>
      </c>
      <c r="B4902" s="50">
        <v>44746.0315613773</v>
      </c>
      <c r="C4902" s="51">
        <v>1.004</v>
      </c>
      <c r="D4902" s="51">
        <v>68.0</v>
      </c>
      <c r="E4902" s="52" t="s">
        <v>25</v>
      </c>
      <c r="F4902" s="52" t="s">
        <v>26</v>
      </c>
      <c r="G4902" s="53"/>
    </row>
    <row r="4903">
      <c r="A4903" s="49">
        <v>44745.9170078125</v>
      </c>
      <c r="B4903" s="50">
        <v>44746.0419828819</v>
      </c>
      <c r="C4903" s="51">
        <v>1.005</v>
      </c>
      <c r="D4903" s="51">
        <v>68.0</v>
      </c>
      <c r="E4903" s="52" t="s">
        <v>25</v>
      </c>
      <c r="F4903" s="52" t="s">
        <v>26</v>
      </c>
      <c r="G4903" s="53"/>
    </row>
    <row r="4904">
      <c r="A4904" s="49">
        <v>44745.927468842594</v>
      </c>
      <c r="B4904" s="50">
        <v>44746.0524506481</v>
      </c>
      <c r="C4904" s="51">
        <v>1.004</v>
      </c>
      <c r="D4904" s="51">
        <v>68.0</v>
      </c>
      <c r="E4904" s="52" t="s">
        <v>25</v>
      </c>
      <c r="F4904" s="52" t="s">
        <v>26</v>
      </c>
      <c r="G4904" s="53"/>
    </row>
    <row r="4905">
      <c r="A4905" s="49">
        <v>44745.93789234954</v>
      </c>
      <c r="B4905" s="50">
        <v>44746.062871956</v>
      </c>
      <c r="C4905" s="51">
        <v>1.004</v>
      </c>
      <c r="D4905" s="51">
        <v>68.0</v>
      </c>
      <c r="E4905" s="52" t="s">
        <v>25</v>
      </c>
      <c r="F4905" s="52" t="s">
        <v>26</v>
      </c>
      <c r="G4905" s="53"/>
    </row>
    <row r="4906">
      <c r="A4906" s="49">
        <v>44745.94831472222</v>
      </c>
      <c r="B4906" s="50">
        <v>44746.0732917361</v>
      </c>
      <c r="C4906" s="51">
        <v>1.005</v>
      </c>
      <c r="D4906" s="51">
        <v>68.0</v>
      </c>
      <c r="E4906" s="52" t="s">
        <v>25</v>
      </c>
      <c r="F4906" s="52" t="s">
        <v>26</v>
      </c>
      <c r="G4906" s="53"/>
    </row>
    <row r="4907">
      <c r="A4907" s="49">
        <v>44745.95873377315</v>
      </c>
      <c r="B4907" s="50">
        <v>44746.0837141782</v>
      </c>
      <c r="C4907" s="51">
        <v>1.004</v>
      </c>
      <c r="D4907" s="51">
        <v>68.0</v>
      </c>
      <c r="E4907" s="52" t="s">
        <v>25</v>
      </c>
      <c r="F4907" s="52" t="s">
        <v>26</v>
      </c>
      <c r="G4907" s="53"/>
    </row>
    <row r="4908">
      <c r="A4908" s="49">
        <v>44745.969153240745</v>
      </c>
      <c r="B4908" s="50">
        <v>44746.0941355324</v>
      </c>
      <c r="C4908" s="51">
        <v>1.005</v>
      </c>
      <c r="D4908" s="51">
        <v>68.0</v>
      </c>
      <c r="E4908" s="52" t="s">
        <v>25</v>
      </c>
      <c r="F4908" s="52" t="s">
        <v>26</v>
      </c>
      <c r="G4908" s="53"/>
    </row>
    <row r="4909">
      <c r="A4909" s="49">
        <v>44745.97957553241</v>
      </c>
      <c r="B4909" s="50">
        <v>44746.1045559606</v>
      </c>
      <c r="C4909" s="51">
        <v>1.004</v>
      </c>
      <c r="D4909" s="51">
        <v>68.0</v>
      </c>
      <c r="E4909" s="52" t="s">
        <v>25</v>
      </c>
      <c r="F4909" s="52" t="s">
        <v>26</v>
      </c>
      <c r="G4909" s="53"/>
    </row>
    <row r="4910">
      <c r="A4910" s="49">
        <v>44745.9899978125</v>
      </c>
      <c r="B4910" s="50">
        <v>44746.1149764467</v>
      </c>
      <c r="C4910" s="51">
        <v>1.005</v>
      </c>
      <c r="D4910" s="51">
        <v>68.0</v>
      </c>
      <c r="E4910" s="52" t="s">
        <v>25</v>
      </c>
      <c r="F4910" s="52" t="s">
        <v>26</v>
      </c>
      <c r="G4910" s="53"/>
    </row>
    <row r="4911">
      <c r="A4911" s="49">
        <v>44746.00042552083</v>
      </c>
      <c r="B4911" s="50">
        <v>44746.125398287</v>
      </c>
      <c r="C4911" s="51">
        <v>1.005</v>
      </c>
      <c r="D4911" s="51">
        <v>68.0</v>
      </c>
      <c r="E4911" s="52" t="s">
        <v>25</v>
      </c>
      <c r="F4911" s="52" t="s">
        <v>26</v>
      </c>
      <c r="G4911" s="53"/>
    </row>
    <row r="4912">
      <c r="A4912" s="49">
        <v>44746.01085344907</v>
      </c>
      <c r="B4912" s="50">
        <v>44746.1358198148</v>
      </c>
      <c r="C4912" s="51">
        <v>1.004</v>
      </c>
      <c r="D4912" s="51">
        <v>68.0</v>
      </c>
      <c r="E4912" s="52" t="s">
        <v>25</v>
      </c>
      <c r="F4912" s="52" t="s">
        <v>26</v>
      </c>
      <c r="G4912" s="53"/>
    </row>
    <row r="4913">
      <c r="A4913" s="49">
        <v>44746.021284999995</v>
      </c>
      <c r="B4913" s="50">
        <v>44746.1462645023</v>
      </c>
      <c r="C4913" s="51">
        <v>1.004</v>
      </c>
      <c r="D4913" s="51">
        <v>68.0</v>
      </c>
      <c r="E4913" s="52" t="s">
        <v>25</v>
      </c>
      <c r="F4913" s="52" t="s">
        <v>26</v>
      </c>
      <c r="G4913" s="53"/>
    </row>
    <row r="4914">
      <c r="A4914" s="49">
        <v>44746.03171065972</v>
      </c>
      <c r="B4914" s="50">
        <v>44746.1566847685</v>
      </c>
      <c r="C4914" s="51">
        <v>1.004</v>
      </c>
      <c r="D4914" s="51">
        <v>68.0</v>
      </c>
      <c r="E4914" s="52" t="s">
        <v>25</v>
      </c>
      <c r="F4914" s="52" t="s">
        <v>26</v>
      </c>
      <c r="G4914" s="53"/>
    </row>
    <row r="4915">
      <c r="A4915" s="49">
        <v>44746.04212435185</v>
      </c>
      <c r="B4915" s="50">
        <v>44746.1671068518</v>
      </c>
      <c r="C4915" s="51">
        <v>1.005</v>
      </c>
      <c r="D4915" s="51">
        <v>68.0</v>
      </c>
      <c r="E4915" s="52" t="s">
        <v>25</v>
      </c>
      <c r="F4915" s="52" t="s">
        <v>26</v>
      </c>
      <c r="G4915" s="53"/>
    </row>
    <row r="4916">
      <c r="A4916" s="49">
        <v>44746.05255587963</v>
      </c>
      <c r="B4916" s="50">
        <v>44746.1775392245</v>
      </c>
      <c r="C4916" s="51">
        <v>1.005</v>
      </c>
      <c r="D4916" s="51">
        <v>68.0</v>
      </c>
      <c r="E4916" s="52" t="s">
        <v>25</v>
      </c>
      <c r="F4916" s="52" t="s">
        <v>26</v>
      </c>
      <c r="G4916" s="53"/>
    </row>
    <row r="4917">
      <c r="A4917" s="49">
        <v>44746.06298165509</v>
      </c>
      <c r="B4917" s="50">
        <v>44746.1879600694</v>
      </c>
      <c r="C4917" s="51">
        <v>1.005</v>
      </c>
      <c r="D4917" s="51">
        <v>68.0</v>
      </c>
      <c r="E4917" s="52" t="s">
        <v>25</v>
      </c>
      <c r="F4917" s="52" t="s">
        <v>26</v>
      </c>
      <c r="G4917" s="53"/>
    </row>
    <row r="4918">
      <c r="A4918" s="49">
        <v>44746.07342428241</v>
      </c>
      <c r="B4918" s="50">
        <v>44746.198394537</v>
      </c>
      <c r="C4918" s="51">
        <v>1.005</v>
      </c>
      <c r="D4918" s="51">
        <v>68.0</v>
      </c>
      <c r="E4918" s="52" t="s">
        <v>25</v>
      </c>
      <c r="F4918" s="52" t="s">
        <v>26</v>
      </c>
      <c r="G4918" s="53"/>
    </row>
    <row r="4919">
      <c r="A4919" s="49">
        <v>44746.083833888886</v>
      </c>
      <c r="B4919" s="50">
        <v>44746.208814537</v>
      </c>
      <c r="C4919" s="51">
        <v>1.005</v>
      </c>
      <c r="D4919" s="51">
        <v>68.0</v>
      </c>
      <c r="E4919" s="52" t="s">
        <v>25</v>
      </c>
      <c r="F4919" s="52" t="s">
        <v>26</v>
      </c>
      <c r="G4919" s="53"/>
    </row>
    <row r="4920">
      <c r="A4920" s="49">
        <v>44746.09425921296</v>
      </c>
      <c r="B4920" s="50">
        <v>44746.2192373958</v>
      </c>
      <c r="C4920" s="51">
        <v>1.005</v>
      </c>
      <c r="D4920" s="51">
        <v>68.0</v>
      </c>
      <c r="E4920" s="52" t="s">
        <v>25</v>
      </c>
      <c r="F4920" s="52" t="s">
        <v>26</v>
      </c>
      <c r="G4920" s="53"/>
    </row>
    <row r="4921">
      <c r="A4921" s="49">
        <v>44746.104693877314</v>
      </c>
      <c r="B4921" s="50">
        <v>44746.2296699189</v>
      </c>
      <c r="C4921" s="51">
        <v>1.005</v>
      </c>
      <c r="D4921" s="51">
        <v>68.0</v>
      </c>
      <c r="E4921" s="52" t="s">
        <v>25</v>
      </c>
      <c r="F4921" s="52" t="s">
        <v>26</v>
      </c>
      <c r="G4921" s="53"/>
    </row>
    <row r="4922">
      <c r="A4922" s="49">
        <v>44746.11511119213</v>
      </c>
      <c r="B4922" s="50">
        <v>44746.240090324</v>
      </c>
      <c r="C4922" s="51">
        <v>1.005</v>
      </c>
      <c r="D4922" s="51">
        <v>68.0</v>
      </c>
      <c r="E4922" s="52" t="s">
        <v>25</v>
      </c>
      <c r="F4922" s="52" t="s">
        <v>26</v>
      </c>
      <c r="G4922" s="53"/>
    </row>
    <row r="4923">
      <c r="A4923" s="49">
        <v>44746.12553077546</v>
      </c>
      <c r="B4923" s="50">
        <v>44746.2505126967</v>
      </c>
      <c r="C4923" s="51">
        <v>1.005</v>
      </c>
      <c r="D4923" s="51">
        <v>68.0</v>
      </c>
      <c r="E4923" s="52" t="s">
        <v>25</v>
      </c>
      <c r="F4923" s="52" t="s">
        <v>26</v>
      </c>
      <c r="G4923" s="53"/>
    </row>
    <row r="4924">
      <c r="A4924" s="49">
        <v>44746.13595488426</v>
      </c>
      <c r="B4924" s="50">
        <v>44746.2609337615</v>
      </c>
      <c r="C4924" s="51">
        <v>1.004</v>
      </c>
      <c r="D4924" s="51">
        <v>68.0</v>
      </c>
      <c r="E4924" s="52" t="s">
        <v>25</v>
      </c>
      <c r="F4924" s="52" t="s">
        <v>26</v>
      </c>
      <c r="G4924" s="53"/>
    </row>
    <row r="4925">
      <c r="A4925" s="49">
        <v>44746.146380254635</v>
      </c>
      <c r="B4925" s="50">
        <v>44746.2713551157</v>
      </c>
      <c r="C4925" s="51">
        <v>1.005</v>
      </c>
      <c r="D4925" s="51">
        <v>68.0</v>
      </c>
      <c r="E4925" s="52" t="s">
        <v>25</v>
      </c>
      <c r="F4925" s="52" t="s">
        <v>26</v>
      </c>
      <c r="G4925" s="53"/>
    </row>
    <row r="4926">
      <c r="A4926" s="49">
        <v>44746.15680143519</v>
      </c>
      <c r="B4926" s="50">
        <v>44746.2817755787</v>
      </c>
      <c r="C4926" s="51">
        <v>1.004</v>
      </c>
      <c r="D4926" s="51">
        <v>68.0</v>
      </c>
      <c r="E4926" s="52" t="s">
        <v>25</v>
      </c>
      <c r="F4926" s="52" t="s">
        <v>26</v>
      </c>
      <c r="G4926" s="53"/>
    </row>
    <row r="4927">
      <c r="A4927" s="49">
        <v>44746.16722054398</v>
      </c>
      <c r="B4927" s="50">
        <v>44746.2921967824</v>
      </c>
      <c r="C4927" s="51">
        <v>1.005</v>
      </c>
      <c r="D4927" s="51">
        <v>68.0</v>
      </c>
      <c r="E4927" s="52" t="s">
        <v>25</v>
      </c>
      <c r="F4927" s="52" t="s">
        <v>26</v>
      </c>
      <c r="G4927" s="53"/>
    </row>
    <row r="4928">
      <c r="A4928" s="49">
        <v>44746.177639699075</v>
      </c>
      <c r="B4928" s="50">
        <v>44746.3026171527</v>
      </c>
      <c r="C4928" s="51">
        <v>1.005</v>
      </c>
      <c r="D4928" s="51">
        <v>68.0</v>
      </c>
      <c r="E4928" s="52" t="s">
        <v>25</v>
      </c>
      <c r="F4928" s="52" t="s">
        <v>26</v>
      </c>
      <c r="G4928" s="53"/>
    </row>
    <row r="4929">
      <c r="A4929" s="49">
        <v>44746.188071666664</v>
      </c>
      <c r="B4929" s="50">
        <v>44746.3130506828</v>
      </c>
      <c r="C4929" s="51">
        <v>1.004</v>
      </c>
      <c r="D4929" s="51">
        <v>68.0</v>
      </c>
      <c r="E4929" s="52" t="s">
        <v>25</v>
      </c>
      <c r="F4929" s="52" t="s">
        <v>26</v>
      </c>
      <c r="G4929" s="53"/>
    </row>
    <row r="4930">
      <c r="A4930" s="49">
        <v>44746.1985025926</v>
      </c>
      <c r="B4930" s="50">
        <v>44746.3234713888</v>
      </c>
      <c r="C4930" s="51">
        <v>1.005</v>
      </c>
      <c r="D4930" s="51">
        <v>68.0</v>
      </c>
      <c r="E4930" s="52" t="s">
        <v>25</v>
      </c>
      <c r="F4930" s="52" t="s">
        <v>26</v>
      </c>
      <c r="G4930" s="53"/>
    </row>
    <row r="4931">
      <c r="A4931" s="49">
        <v>44746.20891178241</v>
      </c>
      <c r="B4931" s="50">
        <v>44746.333893449</v>
      </c>
      <c r="C4931" s="51">
        <v>1.005</v>
      </c>
      <c r="D4931" s="51">
        <v>68.0</v>
      </c>
      <c r="E4931" s="52" t="s">
        <v>25</v>
      </c>
      <c r="F4931" s="52" t="s">
        <v>26</v>
      </c>
      <c r="G4931" s="53"/>
    </row>
    <row r="4932">
      <c r="A4932" s="49">
        <v>44746.21935064815</v>
      </c>
      <c r="B4932" s="50">
        <v>44746.3443265046</v>
      </c>
      <c r="C4932" s="51">
        <v>1.005</v>
      </c>
      <c r="D4932" s="51">
        <v>68.0</v>
      </c>
      <c r="E4932" s="52" t="s">
        <v>25</v>
      </c>
      <c r="F4932" s="52" t="s">
        <v>26</v>
      </c>
      <c r="G4932" s="53"/>
    </row>
    <row r="4933">
      <c r="A4933" s="49">
        <v>44746.2297667824</v>
      </c>
      <c r="B4933" s="50">
        <v>44746.3547465509</v>
      </c>
      <c r="C4933" s="51">
        <v>1.005</v>
      </c>
      <c r="D4933" s="51">
        <v>69.0</v>
      </c>
      <c r="E4933" s="52" t="s">
        <v>25</v>
      </c>
      <c r="F4933" s="52" t="s">
        <v>26</v>
      </c>
      <c r="G4933" s="53"/>
    </row>
    <row r="4934">
      <c r="A4934" s="49">
        <v>44746.24018313657</v>
      </c>
      <c r="B4934" s="50">
        <v>44746.3651672222</v>
      </c>
      <c r="C4934" s="51">
        <v>1.004</v>
      </c>
      <c r="D4934" s="51">
        <v>69.0</v>
      </c>
      <c r="E4934" s="52" t="s">
        <v>25</v>
      </c>
      <c r="F4934" s="52" t="s">
        <v>26</v>
      </c>
      <c r="G4934" s="53"/>
    </row>
    <row r="4935">
      <c r="A4935" s="49">
        <v>44746.250618668986</v>
      </c>
      <c r="B4935" s="50">
        <v>44746.3755860416</v>
      </c>
      <c r="C4935" s="51">
        <v>1.004</v>
      </c>
      <c r="D4935" s="51">
        <v>69.0</v>
      </c>
      <c r="E4935" s="52" t="s">
        <v>25</v>
      </c>
      <c r="F4935" s="52" t="s">
        <v>26</v>
      </c>
      <c r="G4935" s="53"/>
    </row>
    <row r="4936">
      <c r="A4936" s="49">
        <v>44746.26102832176</v>
      </c>
      <c r="B4936" s="50">
        <v>44746.3860073495</v>
      </c>
      <c r="C4936" s="51">
        <v>1.005</v>
      </c>
      <c r="D4936" s="51">
        <v>69.0</v>
      </c>
      <c r="E4936" s="52" t="s">
        <v>25</v>
      </c>
      <c r="F4936" s="52" t="s">
        <v>26</v>
      </c>
      <c r="G4936" s="53"/>
    </row>
    <row r="4937">
      <c r="A4937" s="49">
        <v>44746.271448472224</v>
      </c>
      <c r="B4937" s="50">
        <v>44746.3964294097</v>
      </c>
      <c r="C4937" s="51">
        <v>1.005</v>
      </c>
      <c r="D4937" s="51">
        <v>69.0</v>
      </c>
      <c r="E4937" s="52" t="s">
        <v>25</v>
      </c>
      <c r="F4937" s="52" t="s">
        <v>26</v>
      </c>
      <c r="G4937" s="53"/>
    </row>
    <row r="4938">
      <c r="A4938" s="49">
        <v>44746.28190686343</v>
      </c>
      <c r="B4938" s="50">
        <v>44746.4068494097</v>
      </c>
      <c r="C4938" s="51">
        <v>1.005</v>
      </c>
      <c r="D4938" s="51">
        <v>69.0</v>
      </c>
      <c r="E4938" s="52" t="s">
        <v>25</v>
      </c>
      <c r="F4938" s="52" t="s">
        <v>26</v>
      </c>
      <c r="G4938" s="53"/>
    </row>
    <row r="4939">
      <c r="A4939" s="49">
        <v>44746.29231246527</v>
      </c>
      <c r="B4939" s="50">
        <v>44746.4172816782</v>
      </c>
      <c r="C4939" s="51">
        <v>1.005</v>
      </c>
      <c r="D4939" s="51">
        <v>69.0</v>
      </c>
      <c r="E4939" s="52" t="s">
        <v>25</v>
      </c>
      <c r="F4939" s="52" t="s">
        <v>26</v>
      </c>
      <c r="G4939" s="53"/>
    </row>
    <row r="4940">
      <c r="A4940" s="49">
        <v>44746.30272957176</v>
      </c>
      <c r="B4940" s="50">
        <v>44746.4277026041</v>
      </c>
      <c r="C4940" s="51">
        <v>1.004</v>
      </c>
      <c r="D4940" s="51">
        <v>69.0</v>
      </c>
      <c r="E4940" s="52" t="s">
        <v>25</v>
      </c>
      <c r="F4940" s="52" t="s">
        <v>26</v>
      </c>
      <c r="G4940" s="53"/>
    </row>
    <row r="4941">
      <c r="A4941" s="49">
        <v>44746.313148229165</v>
      </c>
      <c r="B4941" s="50">
        <v>44746.4381229513</v>
      </c>
      <c r="C4941" s="51">
        <v>1.004</v>
      </c>
      <c r="D4941" s="51">
        <v>69.0</v>
      </c>
      <c r="E4941" s="52" t="s">
        <v>25</v>
      </c>
      <c r="F4941" s="52" t="s">
        <v>26</v>
      </c>
      <c r="G4941" s="53"/>
    </row>
    <row r="4942">
      <c r="A4942" s="49">
        <v>44746.323582129626</v>
      </c>
      <c r="B4942" s="50">
        <v>44746.44855478</v>
      </c>
      <c r="C4942" s="51">
        <v>1.004</v>
      </c>
      <c r="D4942" s="51">
        <v>69.0</v>
      </c>
      <c r="E4942" s="52" t="s">
        <v>25</v>
      </c>
      <c r="F4942" s="52" t="s">
        <v>26</v>
      </c>
      <c r="G4942" s="53"/>
    </row>
    <row r="4943">
      <c r="A4943" s="49">
        <v>44746.334002013886</v>
      </c>
      <c r="B4943" s="50">
        <v>44746.458978449</v>
      </c>
      <c r="C4943" s="51">
        <v>1.004</v>
      </c>
      <c r="D4943" s="51">
        <v>69.0</v>
      </c>
      <c r="E4943" s="52" t="s">
        <v>25</v>
      </c>
      <c r="F4943" s="52" t="s">
        <v>26</v>
      </c>
      <c r="G4943" s="53"/>
    </row>
    <row r="4944">
      <c r="A4944" s="49">
        <v>44746.34442123843</v>
      </c>
      <c r="B4944" s="50">
        <v>44746.4693999768</v>
      </c>
      <c r="C4944" s="51">
        <v>1.005</v>
      </c>
      <c r="D4944" s="51">
        <v>69.0</v>
      </c>
      <c r="E4944" s="52" t="s">
        <v>25</v>
      </c>
      <c r="F4944" s="52" t="s">
        <v>26</v>
      </c>
      <c r="G4944" s="53"/>
    </row>
    <row r="4945">
      <c r="A4945" s="49">
        <v>44746.354847650466</v>
      </c>
      <c r="B4945" s="50">
        <v>44746.4798220949</v>
      </c>
      <c r="C4945" s="51">
        <v>1.005</v>
      </c>
      <c r="D4945" s="51">
        <v>69.0</v>
      </c>
      <c r="E4945" s="52" t="s">
        <v>25</v>
      </c>
      <c r="F4945" s="52" t="s">
        <v>26</v>
      </c>
      <c r="G4945" s="53"/>
    </row>
    <row r="4946">
      <c r="A4946" s="49">
        <v>44746.365269664355</v>
      </c>
      <c r="B4946" s="50">
        <v>44746.4902423379</v>
      </c>
      <c r="C4946" s="51">
        <v>1.004</v>
      </c>
      <c r="D4946" s="51">
        <v>69.0</v>
      </c>
      <c r="E4946" s="52" t="s">
        <v>25</v>
      </c>
      <c r="F4946" s="52" t="s">
        <v>26</v>
      </c>
      <c r="G4946" s="53"/>
    </row>
    <row r="4947">
      <c r="A4947" s="49">
        <v>44746.375683425926</v>
      </c>
      <c r="B4947" s="50">
        <v>44746.5006649768</v>
      </c>
      <c r="C4947" s="51">
        <v>1.004</v>
      </c>
      <c r="D4947" s="51">
        <v>69.0</v>
      </c>
      <c r="E4947" s="52" t="s">
        <v>25</v>
      </c>
      <c r="F4947" s="52" t="s">
        <v>26</v>
      </c>
      <c r="G4947" s="53"/>
    </row>
    <row r="4948">
      <c r="A4948" s="49">
        <v>44746.38610959491</v>
      </c>
      <c r="B4948" s="50">
        <v>44746.5110859259</v>
      </c>
      <c r="C4948" s="51">
        <v>1.004</v>
      </c>
      <c r="D4948" s="51">
        <v>69.0</v>
      </c>
      <c r="E4948" s="52" t="s">
        <v>25</v>
      </c>
      <c r="F4948" s="52" t="s">
        <v>26</v>
      </c>
      <c r="G4948" s="53"/>
    </row>
    <row r="4949">
      <c r="A4949" s="49">
        <v>44746.3965284838</v>
      </c>
      <c r="B4949" s="50">
        <v>44746.5215063541</v>
      </c>
      <c r="C4949" s="51">
        <v>1.005</v>
      </c>
      <c r="D4949" s="51">
        <v>69.0</v>
      </c>
      <c r="E4949" s="52" t="s">
        <v>25</v>
      </c>
      <c r="F4949" s="52" t="s">
        <v>26</v>
      </c>
      <c r="G4949" s="53"/>
    </row>
    <row r="4950">
      <c r="A4950" s="49">
        <v>44746.40695160879</v>
      </c>
      <c r="B4950" s="50">
        <v>44746.531927581</v>
      </c>
      <c r="C4950" s="51">
        <v>1.005</v>
      </c>
      <c r="D4950" s="51">
        <v>69.0</v>
      </c>
      <c r="E4950" s="52" t="s">
        <v>25</v>
      </c>
      <c r="F4950" s="52" t="s">
        <v>26</v>
      </c>
      <c r="G4950" s="53"/>
    </row>
    <row r="4951">
      <c r="A4951" s="49">
        <v>44746.41737096065</v>
      </c>
      <c r="B4951" s="50">
        <v>44746.5423493518</v>
      </c>
      <c r="C4951" s="51">
        <v>1.005</v>
      </c>
      <c r="D4951" s="51">
        <v>69.0</v>
      </c>
      <c r="E4951" s="52" t="s">
        <v>25</v>
      </c>
      <c r="F4951" s="52" t="s">
        <v>26</v>
      </c>
      <c r="G4951" s="53"/>
    </row>
    <row r="4952">
      <c r="A4952" s="49">
        <v>44746.42779263889</v>
      </c>
      <c r="B4952" s="50">
        <v>44746.5527710648</v>
      </c>
      <c r="C4952" s="51">
        <v>1.005</v>
      </c>
      <c r="D4952" s="51">
        <v>69.0</v>
      </c>
      <c r="E4952" s="52" t="s">
        <v>25</v>
      </c>
      <c r="F4952" s="52" t="s">
        <v>26</v>
      </c>
      <c r="G4952" s="53"/>
    </row>
    <row r="4953">
      <c r="A4953" s="49">
        <v>44746.43821894676</v>
      </c>
      <c r="B4953" s="50">
        <v>44746.5631919328</v>
      </c>
      <c r="C4953" s="51">
        <v>1.004</v>
      </c>
      <c r="D4953" s="51">
        <v>69.0</v>
      </c>
      <c r="E4953" s="52" t="s">
        <v>25</v>
      </c>
      <c r="F4953" s="52" t="s">
        <v>26</v>
      </c>
      <c r="G4953" s="53"/>
    </row>
    <row r="4954">
      <c r="A4954" s="49">
        <v>44746.44864204861</v>
      </c>
      <c r="B4954" s="50">
        <v>44746.5736242824</v>
      </c>
      <c r="C4954" s="51">
        <v>1.004</v>
      </c>
      <c r="D4954" s="51">
        <v>69.0</v>
      </c>
      <c r="E4954" s="52" t="s">
        <v>25</v>
      </c>
      <c r="F4954" s="52" t="s">
        <v>26</v>
      </c>
      <c r="G4954" s="53"/>
    </row>
    <row r="4955">
      <c r="A4955" s="49">
        <v>44746.459067986114</v>
      </c>
      <c r="B4955" s="50">
        <v>44746.5840456365</v>
      </c>
      <c r="C4955" s="51">
        <v>1.005</v>
      </c>
      <c r="D4955" s="51">
        <v>69.0</v>
      </c>
      <c r="E4955" s="52" t="s">
        <v>25</v>
      </c>
      <c r="F4955" s="52" t="s">
        <v>26</v>
      </c>
      <c r="G4955" s="53"/>
    </row>
    <row r="4956">
      <c r="A4956" s="49">
        <v>44746.46949283565</v>
      </c>
      <c r="B4956" s="50">
        <v>44746.5944670949</v>
      </c>
      <c r="C4956" s="51">
        <v>1.004</v>
      </c>
      <c r="D4956" s="51">
        <v>69.0</v>
      </c>
      <c r="E4956" s="52" t="s">
        <v>25</v>
      </c>
      <c r="F4956" s="52" t="s">
        <v>26</v>
      </c>
      <c r="G4956" s="53"/>
    </row>
    <row r="4957">
      <c r="A4957" s="49">
        <v>44746.47990863426</v>
      </c>
      <c r="B4957" s="50">
        <v>44746.604889456</v>
      </c>
      <c r="C4957" s="51">
        <v>1.005</v>
      </c>
      <c r="D4957" s="51">
        <v>69.0</v>
      </c>
      <c r="E4957" s="52" t="s">
        <v>25</v>
      </c>
      <c r="F4957" s="52" t="s">
        <v>26</v>
      </c>
      <c r="G4957" s="53"/>
    </row>
    <row r="4958">
      <c r="A4958" s="49">
        <v>44746.49033834491</v>
      </c>
      <c r="B4958" s="50">
        <v>44746.6153103703</v>
      </c>
      <c r="C4958" s="51">
        <v>1.004</v>
      </c>
      <c r="D4958" s="51">
        <v>69.0</v>
      </c>
      <c r="E4958" s="52" t="s">
        <v>25</v>
      </c>
      <c r="F4958" s="52" t="s">
        <v>26</v>
      </c>
      <c r="G4958" s="53"/>
    </row>
    <row r="4959">
      <c r="A4959" s="49">
        <v>44746.50076180555</v>
      </c>
      <c r="B4959" s="50">
        <v>44746.6257326504</v>
      </c>
      <c r="C4959" s="51">
        <v>1.004</v>
      </c>
      <c r="D4959" s="51">
        <v>69.0</v>
      </c>
      <c r="E4959" s="52" t="s">
        <v>25</v>
      </c>
      <c r="F4959" s="52" t="s">
        <v>26</v>
      </c>
      <c r="G4959" s="53"/>
    </row>
    <row r="4960">
      <c r="A4960" s="49">
        <v>44746.51118271991</v>
      </c>
      <c r="B4960" s="50">
        <v>44746.6361656944</v>
      </c>
      <c r="C4960" s="51">
        <v>1.004</v>
      </c>
      <c r="D4960" s="51">
        <v>69.0</v>
      </c>
      <c r="E4960" s="52" t="s">
        <v>25</v>
      </c>
      <c r="F4960" s="52" t="s">
        <v>26</v>
      </c>
      <c r="G4960" s="53"/>
    </row>
    <row r="4961">
      <c r="A4961" s="49">
        <v>44746.5216106713</v>
      </c>
      <c r="B4961" s="50">
        <v>44746.6465872106</v>
      </c>
      <c r="C4961" s="51">
        <v>1.004</v>
      </c>
      <c r="D4961" s="51">
        <v>69.0</v>
      </c>
      <c r="E4961" s="52" t="s">
        <v>25</v>
      </c>
      <c r="F4961" s="52" t="s">
        <v>26</v>
      </c>
      <c r="G4961" s="53"/>
    </row>
    <row r="4962">
      <c r="A4962" s="49">
        <v>44746.53202731481</v>
      </c>
      <c r="B4962" s="50">
        <v>44746.6570087963</v>
      </c>
      <c r="C4962" s="51">
        <v>1.004</v>
      </c>
      <c r="D4962" s="51">
        <v>69.0</v>
      </c>
      <c r="E4962" s="52" t="s">
        <v>25</v>
      </c>
      <c r="F4962" s="52" t="s">
        <v>26</v>
      </c>
      <c r="G4962" s="53"/>
    </row>
    <row r="4963">
      <c r="A4963" s="49">
        <v>44746.54245017361</v>
      </c>
      <c r="B4963" s="50">
        <v>44746.6674278472</v>
      </c>
      <c r="C4963" s="51">
        <v>1.004</v>
      </c>
      <c r="D4963" s="51">
        <v>69.0</v>
      </c>
      <c r="E4963" s="52" t="s">
        <v>25</v>
      </c>
      <c r="F4963" s="52" t="s">
        <v>26</v>
      </c>
      <c r="G4963" s="53"/>
    </row>
    <row r="4964">
      <c r="A4964" s="49">
        <v>44746.552868009254</v>
      </c>
      <c r="B4964" s="50">
        <v>44746.6778479166</v>
      </c>
      <c r="C4964" s="51">
        <v>1.004</v>
      </c>
      <c r="D4964" s="51">
        <v>69.0</v>
      </c>
      <c r="E4964" s="52" t="s">
        <v>25</v>
      </c>
      <c r="F4964" s="52" t="s">
        <v>26</v>
      </c>
      <c r="G4964" s="53"/>
    </row>
    <row r="4965">
      <c r="A4965" s="49">
        <v>44746.56329497685</v>
      </c>
      <c r="B4965" s="50">
        <v>44746.6882690972</v>
      </c>
      <c r="C4965" s="51">
        <v>1.004</v>
      </c>
      <c r="D4965" s="51">
        <v>69.0</v>
      </c>
      <c r="E4965" s="52" t="s">
        <v>25</v>
      </c>
      <c r="F4965" s="52" t="s">
        <v>26</v>
      </c>
      <c r="G4965" s="53"/>
    </row>
    <row r="4966">
      <c r="A4966" s="49">
        <v>44746.57370908565</v>
      </c>
      <c r="B4966" s="50">
        <v>44746.6986878588</v>
      </c>
      <c r="C4966" s="51">
        <v>1.005</v>
      </c>
      <c r="D4966" s="51">
        <v>69.0</v>
      </c>
      <c r="E4966" s="52" t="s">
        <v>25</v>
      </c>
      <c r="F4966" s="52" t="s">
        <v>26</v>
      </c>
      <c r="G4966" s="53"/>
    </row>
    <row r="4967">
      <c r="A4967" s="49">
        <v>44746.58412493055</v>
      </c>
      <c r="B4967" s="50">
        <v>44746.7091093634</v>
      </c>
      <c r="C4967" s="51">
        <v>1.004</v>
      </c>
      <c r="D4967" s="51">
        <v>69.0</v>
      </c>
      <c r="E4967" s="52" t="s">
        <v>25</v>
      </c>
      <c r="F4967" s="52" t="s">
        <v>26</v>
      </c>
      <c r="G4967" s="53"/>
    </row>
    <row r="4968">
      <c r="A4968" s="49">
        <v>44746.59454896991</v>
      </c>
      <c r="B4968" s="50">
        <v>44746.71953125</v>
      </c>
      <c r="C4968" s="51">
        <v>1.005</v>
      </c>
      <c r="D4968" s="51">
        <v>69.0</v>
      </c>
      <c r="E4968" s="52" t="s">
        <v>25</v>
      </c>
      <c r="F4968" s="52" t="s">
        <v>26</v>
      </c>
      <c r="G4968" s="53"/>
    </row>
    <row r="4969">
      <c r="A4969" s="49">
        <v>44746.604986192135</v>
      </c>
      <c r="B4969" s="50">
        <v>44746.7299633564</v>
      </c>
      <c r="C4969" s="51">
        <v>1.004</v>
      </c>
      <c r="D4969" s="51">
        <v>69.0</v>
      </c>
      <c r="E4969" s="52" t="s">
        <v>25</v>
      </c>
      <c r="F4969" s="52" t="s">
        <v>26</v>
      </c>
      <c r="G4969" s="53"/>
    </row>
    <row r="4970">
      <c r="A4970" s="49">
        <v>44746.61541378472</v>
      </c>
      <c r="B4970" s="50">
        <v>44746.7403865046</v>
      </c>
      <c r="C4970" s="51">
        <v>1.004</v>
      </c>
      <c r="D4970" s="51">
        <v>69.0</v>
      </c>
      <c r="E4970" s="52" t="s">
        <v>25</v>
      </c>
      <c r="F4970" s="52" t="s">
        <v>26</v>
      </c>
      <c r="G4970" s="53"/>
    </row>
    <row r="4971">
      <c r="A4971" s="49">
        <v>44746.62582674768</v>
      </c>
      <c r="B4971" s="50">
        <v>44746.7508073379</v>
      </c>
      <c r="C4971" s="51">
        <v>1.004</v>
      </c>
      <c r="D4971" s="51">
        <v>69.0</v>
      </c>
      <c r="E4971" s="52" t="s">
        <v>25</v>
      </c>
      <c r="F4971" s="52" t="s">
        <v>26</v>
      </c>
      <c r="G4971" s="53"/>
    </row>
    <row r="4972">
      <c r="A4972" s="49">
        <v>44746.63625466435</v>
      </c>
      <c r="B4972" s="50">
        <v>44746.7612292592</v>
      </c>
      <c r="C4972" s="51">
        <v>1.004</v>
      </c>
      <c r="D4972" s="51">
        <v>69.0</v>
      </c>
      <c r="E4972" s="52" t="s">
        <v>25</v>
      </c>
      <c r="F4972" s="52" t="s">
        <v>26</v>
      </c>
      <c r="G4972" s="53"/>
    </row>
    <row r="4973">
      <c r="A4973" s="49">
        <v>44746.64667582176</v>
      </c>
      <c r="B4973" s="50">
        <v>44746.7716522685</v>
      </c>
      <c r="C4973" s="51">
        <v>1.004</v>
      </c>
      <c r="D4973" s="51">
        <v>69.0</v>
      </c>
      <c r="E4973" s="52" t="s">
        <v>25</v>
      </c>
      <c r="F4973" s="52" t="s">
        <v>26</v>
      </c>
      <c r="G4973" s="53"/>
    </row>
    <row r="4974">
      <c r="A4974" s="49">
        <v>44746.657095312505</v>
      </c>
      <c r="B4974" s="50">
        <v>44746.7820735879</v>
      </c>
      <c r="C4974" s="51">
        <v>1.004</v>
      </c>
      <c r="D4974" s="51">
        <v>69.0</v>
      </c>
      <c r="E4974" s="52" t="s">
        <v>25</v>
      </c>
      <c r="F4974" s="52" t="s">
        <v>26</v>
      </c>
      <c r="G4974" s="53"/>
    </row>
    <row r="4975">
      <c r="A4975" s="49">
        <v>44746.667513865745</v>
      </c>
      <c r="B4975" s="50">
        <v>44746.7924943402</v>
      </c>
      <c r="C4975" s="51">
        <v>1.004</v>
      </c>
      <c r="D4975" s="51">
        <v>69.0</v>
      </c>
      <c r="E4975" s="52" t="s">
        <v>25</v>
      </c>
      <c r="F4975" s="52" t="s">
        <v>26</v>
      </c>
      <c r="G4975" s="53"/>
    </row>
    <row r="4976">
      <c r="A4976" s="49">
        <v>44746.6779396875</v>
      </c>
      <c r="B4976" s="50">
        <v>44746.8029165625</v>
      </c>
      <c r="C4976" s="51">
        <v>1.004</v>
      </c>
      <c r="D4976" s="51">
        <v>69.0</v>
      </c>
      <c r="E4976" s="52" t="s">
        <v>25</v>
      </c>
      <c r="F4976" s="52" t="s">
        <v>26</v>
      </c>
      <c r="G4976" s="53"/>
    </row>
    <row r="4977">
      <c r="A4977" s="49">
        <v>44746.68836375</v>
      </c>
      <c r="B4977" s="50">
        <v>44746.8133391435</v>
      </c>
      <c r="C4977" s="51">
        <v>1.004</v>
      </c>
      <c r="D4977" s="51">
        <v>69.0</v>
      </c>
      <c r="E4977" s="52" t="s">
        <v>25</v>
      </c>
      <c r="F4977" s="52" t="s">
        <v>26</v>
      </c>
      <c r="G4977" s="53"/>
    </row>
    <row r="4978">
      <c r="A4978" s="49">
        <v>44746.69879603009</v>
      </c>
      <c r="B4978" s="50">
        <v>44746.8237731828</v>
      </c>
      <c r="C4978" s="51">
        <v>1.005</v>
      </c>
      <c r="D4978" s="51">
        <v>69.0</v>
      </c>
      <c r="E4978" s="52" t="s">
        <v>25</v>
      </c>
      <c r="F4978" s="52" t="s">
        <v>26</v>
      </c>
      <c r="G4978" s="53"/>
    </row>
    <row r="4979">
      <c r="A4979" s="49">
        <v>44746.7092166088</v>
      </c>
      <c r="B4979" s="50">
        <v>44746.8341948032</v>
      </c>
      <c r="C4979" s="51">
        <v>1.004</v>
      </c>
      <c r="D4979" s="51">
        <v>69.0</v>
      </c>
      <c r="E4979" s="52" t="s">
        <v>25</v>
      </c>
      <c r="F4979" s="52" t="s">
        <v>26</v>
      </c>
      <c r="G4979" s="53"/>
    </row>
    <row r="4980">
      <c r="A4980" s="49">
        <v>44746.71964253472</v>
      </c>
      <c r="B4980" s="50">
        <v>44746.8446156481</v>
      </c>
      <c r="C4980" s="51">
        <v>1.004</v>
      </c>
      <c r="D4980" s="51">
        <v>69.0</v>
      </c>
      <c r="E4980" s="52" t="s">
        <v>25</v>
      </c>
      <c r="F4980" s="52" t="s">
        <v>26</v>
      </c>
      <c r="G4980" s="53"/>
    </row>
    <row r="4981">
      <c r="A4981" s="49">
        <v>44746.73005974537</v>
      </c>
      <c r="B4981" s="50">
        <v>44746.8550390162</v>
      </c>
      <c r="C4981" s="51">
        <v>1.004</v>
      </c>
      <c r="D4981" s="51">
        <v>69.0</v>
      </c>
      <c r="E4981" s="52" t="s">
        <v>25</v>
      </c>
      <c r="F4981" s="52" t="s">
        <v>26</v>
      </c>
      <c r="G4981" s="53"/>
    </row>
    <row r="4982">
      <c r="A4982" s="49">
        <v>44746.74048234954</v>
      </c>
      <c r="B4982" s="50">
        <v>44746.8654596064</v>
      </c>
      <c r="C4982" s="51">
        <v>1.004</v>
      </c>
      <c r="D4982" s="51">
        <v>69.0</v>
      </c>
      <c r="E4982" s="52" t="s">
        <v>25</v>
      </c>
      <c r="F4982" s="52" t="s">
        <v>26</v>
      </c>
      <c r="G4982" s="53"/>
    </row>
    <row r="4983">
      <c r="A4983" s="49">
        <v>44746.75089681713</v>
      </c>
      <c r="B4983" s="50">
        <v>44746.8758812731</v>
      </c>
      <c r="C4983" s="51">
        <v>1.005</v>
      </c>
      <c r="D4983" s="51">
        <v>69.0</v>
      </c>
      <c r="E4983" s="52" t="s">
        <v>25</v>
      </c>
      <c r="F4983" s="52" t="s">
        <v>26</v>
      </c>
      <c r="G4983" s="53"/>
    </row>
    <row r="4984">
      <c r="A4984" s="49">
        <v>44746.76132493056</v>
      </c>
      <c r="B4984" s="50">
        <v>44746.8863026273</v>
      </c>
      <c r="C4984" s="51">
        <v>1.004</v>
      </c>
      <c r="D4984" s="51">
        <v>69.0</v>
      </c>
      <c r="E4984" s="52" t="s">
        <v>25</v>
      </c>
      <c r="F4984" s="52" t="s">
        <v>26</v>
      </c>
      <c r="G4984" s="53"/>
    </row>
    <row r="4985">
      <c r="A4985" s="49">
        <v>44746.77174244213</v>
      </c>
      <c r="B4985" s="50">
        <v>44746.8967253125</v>
      </c>
      <c r="C4985" s="51">
        <v>1.004</v>
      </c>
      <c r="D4985" s="51">
        <v>69.0</v>
      </c>
      <c r="E4985" s="52" t="s">
        <v>25</v>
      </c>
      <c r="F4985" s="52" t="s">
        <v>26</v>
      </c>
      <c r="G4985" s="53"/>
    </row>
    <row r="4986">
      <c r="A4986" s="49">
        <v>44746.78216873843</v>
      </c>
      <c r="B4986" s="50">
        <v>44746.9071458796</v>
      </c>
      <c r="C4986" s="51">
        <v>1.004</v>
      </c>
      <c r="D4986" s="51">
        <v>69.0</v>
      </c>
      <c r="E4986" s="52" t="s">
        <v>25</v>
      </c>
      <c r="F4986" s="52" t="s">
        <v>26</v>
      </c>
      <c r="G4986" s="53"/>
    </row>
    <row r="4987">
      <c r="A4987" s="49">
        <v>44746.79260193287</v>
      </c>
      <c r="B4987" s="50">
        <v>44746.9175787731</v>
      </c>
      <c r="C4987" s="51">
        <v>1.004</v>
      </c>
      <c r="D4987" s="51">
        <v>69.0</v>
      </c>
      <c r="E4987" s="52" t="s">
        <v>25</v>
      </c>
      <c r="F4987" s="52" t="s">
        <v>26</v>
      </c>
      <c r="G4987" s="53"/>
    </row>
    <row r="4988">
      <c r="A4988" s="49">
        <v>44746.80301795139</v>
      </c>
      <c r="B4988" s="50">
        <v>44746.9279999768</v>
      </c>
      <c r="C4988" s="51">
        <v>1.005</v>
      </c>
      <c r="D4988" s="51">
        <v>69.0</v>
      </c>
      <c r="E4988" s="52" t="s">
        <v>25</v>
      </c>
      <c r="F4988" s="52" t="s">
        <v>26</v>
      </c>
      <c r="G4988" s="53"/>
    </row>
    <row r="4989">
      <c r="A4989" s="49">
        <v>44746.813440937505</v>
      </c>
      <c r="B4989" s="50">
        <v>44746.9384213773</v>
      </c>
      <c r="C4989" s="51">
        <v>1.005</v>
      </c>
      <c r="D4989" s="51">
        <v>69.0</v>
      </c>
      <c r="E4989" s="52" t="s">
        <v>25</v>
      </c>
      <c r="F4989" s="52" t="s">
        <v>26</v>
      </c>
      <c r="G4989" s="53"/>
    </row>
    <row r="4990">
      <c r="A4990" s="49">
        <v>44746.823870312495</v>
      </c>
      <c r="B4990" s="50">
        <v>44746.9488545254</v>
      </c>
      <c r="C4990" s="51">
        <v>1.004</v>
      </c>
      <c r="D4990" s="51">
        <v>69.0</v>
      </c>
      <c r="E4990" s="52" t="s">
        <v>25</v>
      </c>
      <c r="F4990" s="52" t="s">
        <v>26</v>
      </c>
      <c r="G4990" s="53"/>
    </row>
    <row r="4991">
      <c r="A4991" s="49">
        <v>44746.83430634259</v>
      </c>
      <c r="B4991" s="50">
        <v>44746.9592761111</v>
      </c>
      <c r="C4991" s="51">
        <v>1.004</v>
      </c>
      <c r="D4991" s="51">
        <v>69.0</v>
      </c>
      <c r="E4991" s="52" t="s">
        <v>25</v>
      </c>
      <c r="F4991" s="52" t="s">
        <v>26</v>
      </c>
      <c r="G4991" s="53"/>
    </row>
    <row r="4992">
      <c r="A4992" s="49">
        <v>44746.84471295139</v>
      </c>
      <c r="B4992" s="50">
        <v>44746.9696959838</v>
      </c>
      <c r="C4992" s="51">
        <v>1.005</v>
      </c>
      <c r="D4992" s="51">
        <v>69.0</v>
      </c>
      <c r="E4992" s="52" t="s">
        <v>25</v>
      </c>
      <c r="F4992" s="52" t="s">
        <v>26</v>
      </c>
      <c r="G4992" s="53"/>
    </row>
    <row r="4993">
      <c r="A4993" s="49">
        <v>44746.85514056713</v>
      </c>
      <c r="B4993" s="50">
        <v>44746.9801181597</v>
      </c>
      <c r="C4993" s="51">
        <v>1.004</v>
      </c>
      <c r="D4993" s="51">
        <v>69.0</v>
      </c>
      <c r="E4993" s="52" t="s">
        <v>25</v>
      </c>
      <c r="F4993" s="52" t="s">
        <v>26</v>
      </c>
      <c r="G4993" s="53"/>
    </row>
    <row r="4994">
      <c r="A4994" s="49">
        <v>44746.86556320602</v>
      </c>
      <c r="B4994" s="50">
        <v>44746.990540162</v>
      </c>
      <c r="C4994" s="51">
        <v>1.004</v>
      </c>
      <c r="D4994" s="51">
        <v>69.0</v>
      </c>
      <c r="E4994" s="52" t="s">
        <v>25</v>
      </c>
      <c r="F4994" s="52" t="s">
        <v>26</v>
      </c>
      <c r="G4994" s="53"/>
    </row>
    <row r="4995">
      <c r="A4995" s="49">
        <v>44746.875997615745</v>
      </c>
      <c r="B4995" s="50">
        <v>44747.000972199</v>
      </c>
      <c r="C4995" s="51">
        <v>1.004</v>
      </c>
      <c r="D4995" s="51">
        <v>69.0</v>
      </c>
      <c r="E4995" s="52" t="s">
        <v>25</v>
      </c>
      <c r="F4995" s="52" t="s">
        <v>26</v>
      </c>
      <c r="G4995" s="53"/>
    </row>
    <row r="4996">
      <c r="A4996" s="49">
        <v>44746.886427453705</v>
      </c>
      <c r="B4996" s="50">
        <v>44747.0114061805</v>
      </c>
      <c r="C4996" s="51">
        <v>1.004</v>
      </c>
      <c r="D4996" s="51">
        <v>69.0</v>
      </c>
      <c r="E4996" s="52" t="s">
        <v>25</v>
      </c>
      <c r="F4996" s="52" t="s">
        <v>26</v>
      </c>
      <c r="G4996" s="53"/>
    </row>
    <row r="4997">
      <c r="A4997" s="49">
        <v>44746.89684318287</v>
      </c>
      <c r="B4997" s="50">
        <v>44747.0218274305</v>
      </c>
      <c r="C4997" s="51">
        <v>1.004</v>
      </c>
      <c r="D4997" s="51">
        <v>69.0</v>
      </c>
      <c r="E4997" s="52" t="s">
        <v>25</v>
      </c>
      <c r="F4997" s="52" t="s">
        <v>26</v>
      </c>
      <c r="G4997" s="53"/>
    </row>
    <row r="4998">
      <c r="A4998" s="49">
        <v>44746.90726620371</v>
      </c>
      <c r="B4998" s="50">
        <v>44747.0322475925</v>
      </c>
      <c r="C4998" s="51">
        <v>1.004</v>
      </c>
      <c r="D4998" s="51">
        <v>69.0</v>
      </c>
      <c r="E4998" s="52" t="s">
        <v>25</v>
      </c>
      <c r="F4998" s="52" t="s">
        <v>26</v>
      </c>
      <c r="G4998" s="53"/>
    </row>
    <row r="4999">
      <c r="A4999" s="49">
        <v>44746.91769028935</v>
      </c>
      <c r="B4999" s="50">
        <v>44747.0426695833</v>
      </c>
      <c r="C4999" s="51">
        <v>1.004</v>
      </c>
      <c r="D4999" s="51">
        <v>69.0</v>
      </c>
      <c r="E4999" s="52" t="s">
        <v>25</v>
      </c>
      <c r="F4999" s="52" t="s">
        <v>26</v>
      </c>
      <c r="G4999" s="53"/>
    </row>
    <row r="5000">
      <c r="A5000" s="49">
        <v>44746.928113263886</v>
      </c>
      <c r="B5000" s="50">
        <v>44747.0530901851</v>
      </c>
      <c r="C5000" s="51">
        <v>1.005</v>
      </c>
      <c r="D5000" s="51">
        <v>69.0</v>
      </c>
      <c r="E5000" s="52" t="s">
        <v>25</v>
      </c>
      <c r="F5000" s="52" t="s">
        <v>26</v>
      </c>
      <c r="G5000" s="53"/>
    </row>
    <row r="5001">
      <c r="A5001" s="49">
        <v>44746.938539062496</v>
      </c>
      <c r="B5001" s="50">
        <v>44747.0635109375</v>
      </c>
      <c r="C5001" s="51">
        <v>1.004</v>
      </c>
      <c r="D5001" s="51">
        <v>69.0</v>
      </c>
      <c r="E5001" s="52" t="s">
        <v>25</v>
      </c>
      <c r="F5001" s="52" t="s">
        <v>26</v>
      </c>
      <c r="G5001" s="53"/>
    </row>
    <row r="5002">
      <c r="A5002" s="49">
        <v>44746.94896753472</v>
      </c>
      <c r="B5002" s="50">
        <v>44747.0739444907</v>
      </c>
      <c r="C5002" s="51">
        <v>1.004</v>
      </c>
      <c r="D5002" s="51">
        <v>69.0</v>
      </c>
      <c r="E5002" s="52" t="s">
        <v>25</v>
      </c>
      <c r="F5002" s="52" t="s">
        <v>26</v>
      </c>
      <c r="G5002" s="53"/>
    </row>
    <row r="5003">
      <c r="A5003" s="49">
        <v>44746.95939229167</v>
      </c>
      <c r="B5003" s="50">
        <v>44747.0843668634</v>
      </c>
      <c r="C5003" s="51">
        <v>1.004</v>
      </c>
      <c r="D5003" s="51">
        <v>69.0</v>
      </c>
      <c r="E5003" s="52" t="s">
        <v>25</v>
      </c>
      <c r="F5003" s="52" t="s">
        <v>26</v>
      </c>
      <c r="G5003" s="53"/>
    </row>
    <row r="5004">
      <c r="A5004" s="49">
        <v>44746.969807500005</v>
      </c>
      <c r="B5004" s="50">
        <v>44747.0947885995</v>
      </c>
      <c r="C5004" s="51">
        <v>1.004</v>
      </c>
      <c r="D5004" s="51">
        <v>69.0</v>
      </c>
      <c r="E5004" s="52" t="s">
        <v>25</v>
      </c>
      <c r="F5004" s="52" t="s">
        <v>26</v>
      </c>
      <c r="G5004" s="53"/>
    </row>
    <row r="5005">
      <c r="A5005" s="49">
        <v>44746.9802337963</v>
      </c>
      <c r="B5005" s="50">
        <v>44747.1052088888</v>
      </c>
      <c r="C5005" s="51">
        <v>1.005</v>
      </c>
      <c r="D5005" s="51">
        <v>69.0</v>
      </c>
      <c r="E5005" s="52" t="s">
        <v>25</v>
      </c>
      <c r="F5005" s="52" t="s">
        <v>26</v>
      </c>
      <c r="G5005" s="53"/>
    </row>
    <row r="5006">
      <c r="A5006" s="49">
        <v>44746.990651238426</v>
      </c>
      <c r="B5006" s="50">
        <v>44747.1156298726</v>
      </c>
      <c r="C5006" s="51">
        <v>1.004</v>
      </c>
      <c r="D5006" s="51">
        <v>70.0</v>
      </c>
      <c r="E5006" s="52" t="s">
        <v>25</v>
      </c>
      <c r="F5006" s="52" t="s">
        <v>26</v>
      </c>
      <c r="G5006" s="53"/>
    </row>
    <row r="5007">
      <c r="A5007" s="49">
        <v>44747.00108016204</v>
      </c>
      <c r="B5007" s="50">
        <v>44747.1260520717</v>
      </c>
      <c r="C5007" s="51">
        <v>1.004</v>
      </c>
      <c r="D5007" s="51">
        <v>69.0</v>
      </c>
      <c r="E5007" s="52" t="s">
        <v>25</v>
      </c>
      <c r="F5007" s="52" t="s">
        <v>26</v>
      </c>
      <c r="G5007" s="53"/>
    </row>
    <row r="5008">
      <c r="A5008" s="49">
        <v>44747.011494085644</v>
      </c>
      <c r="B5008" s="50">
        <v>44747.1364734259</v>
      </c>
      <c r="C5008" s="51">
        <v>1.004</v>
      </c>
      <c r="D5008" s="51">
        <v>70.0</v>
      </c>
      <c r="E5008" s="52" t="s">
        <v>25</v>
      </c>
      <c r="F5008" s="52" t="s">
        <v>26</v>
      </c>
      <c r="G5008" s="53"/>
    </row>
    <row r="5009">
      <c r="A5009" s="49">
        <v>44747.02191819444</v>
      </c>
      <c r="B5009" s="50">
        <v>44747.1468963541</v>
      </c>
      <c r="C5009" s="51">
        <v>1.004</v>
      </c>
      <c r="D5009" s="51">
        <v>70.0</v>
      </c>
      <c r="E5009" s="52" t="s">
        <v>25</v>
      </c>
      <c r="F5009" s="52" t="s">
        <v>26</v>
      </c>
      <c r="G5009" s="53"/>
    </row>
    <row r="5010">
      <c r="A5010" s="49">
        <v>44747.03234306713</v>
      </c>
      <c r="B5010" s="50">
        <v>44747.1573179513</v>
      </c>
      <c r="C5010" s="51">
        <v>1.005</v>
      </c>
      <c r="D5010" s="51">
        <v>70.0</v>
      </c>
      <c r="E5010" s="52" t="s">
        <v>25</v>
      </c>
      <c r="F5010" s="52" t="s">
        <v>26</v>
      </c>
      <c r="G5010" s="53"/>
    </row>
    <row r="5011">
      <c r="A5011" s="49">
        <v>44747.04276344908</v>
      </c>
      <c r="B5011" s="50">
        <v>44747.1677388078</v>
      </c>
      <c r="C5011" s="51">
        <v>1.004</v>
      </c>
      <c r="D5011" s="51">
        <v>70.0</v>
      </c>
      <c r="E5011" s="52" t="s">
        <v>25</v>
      </c>
      <c r="F5011" s="52" t="s">
        <v>26</v>
      </c>
      <c r="G5011" s="53"/>
    </row>
    <row r="5012">
      <c r="A5012" s="49">
        <v>44747.05319034722</v>
      </c>
      <c r="B5012" s="50">
        <v>44747.1781709606</v>
      </c>
      <c r="C5012" s="51">
        <v>1.004</v>
      </c>
      <c r="D5012" s="51">
        <v>70.0</v>
      </c>
      <c r="E5012" s="52" t="s">
        <v>25</v>
      </c>
      <c r="F5012" s="52" t="s">
        <v>26</v>
      </c>
      <c r="G5012" s="53"/>
    </row>
    <row r="5013">
      <c r="A5013" s="49">
        <v>44747.06361557871</v>
      </c>
      <c r="B5013" s="50">
        <v>44747.1885923032</v>
      </c>
      <c r="C5013" s="51">
        <v>1.004</v>
      </c>
      <c r="D5013" s="51">
        <v>70.0</v>
      </c>
      <c r="E5013" s="52" t="s">
        <v>25</v>
      </c>
      <c r="F5013" s="52" t="s">
        <v>26</v>
      </c>
      <c r="G5013" s="53"/>
    </row>
    <row r="5014">
      <c r="A5014" s="49">
        <v>44747.07404607639</v>
      </c>
      <c r="B5014" s="50">
        <v>44747.1990253935</v>
      </c>
      <c r="C5014" s="51">
        <v>1.005</v>
      </c>
      <c r="D5014" s="51">
        <v>70.0</v>
      </c>
      <c r="E5014" s="52" t="s">
        <v>25</v>
      </c>
      <c r="F5014" s="52" t="s">
        <v>26</v>
      </c>
      <c r="G5014" s="53"/>
    </row>
    <row r="5015">
      <c r="A5015" s="49">
        <v>44747.08447299768</v>
      </c>
      <c r="B5015" s="50">
        <v>44747.2094452083</v>
      </c>
      <c r="C5015" s="51">
        <v>1.004</v>
      </c>
      <c r="D5015" s="51">
        <v>70.0</v>
      </c>
      <c r="E5015" s="52" t="s">
        <v>25</v>
      </c>
      <c r="F5015" s="52" t="s">
        <v>26</v>
      </c>
      <c r="G5015" s="53"/>
    </row>
    <row r="5016">
      <c r="A5016" s="49">
        <v>44747.09488721065</v>
      </c>
      <c r="B5016" s="50">
        <v>44747.219866412</v>
      </c>
      <c r="C5016" s="51">
        <v>1.004</v>
      </c>
      <c r="D5016" s="51">
        <v>70.0</v>
      </c>
      <c r="E5016" s="52" t="s">
        <v>25</v>
      </c>
      <c r="F5016" s="52" t="s">
        <v>26</v>
      </c>
      <c r="G5016" s="53"/>
    </row>
    <row r="5017">
      <c r="A5017" s="49">
        <v>44747.10530484954</v>
      </c>
      <c r="B5017" s="50">
        <v>44747.2302859953</v>
      </c>
      <c r="C5017" s="51">
        <v>1.005</v>
      </c>
      <c r="D5017" s="51">
        <v>70.0</v>
      </c>
      <c r="E5017" s="52" t="s">
        <v>25</v>
      </c>
      <c r="F5017" s="52" t="s">
        <v>26</v>
      </c>
      <c r="G5017" s="53"/>
    </row>
    <row r="5018">
      <c r="A5018" s="49">
        <v>44747.11572277777</v>
      </c>
      <c r="B5018" s="50">
        <v>44747.2407064699</v>
      </c>
      <c r="C5018" s="51">
        <v>1.004</v>
      </c>
      <c r="D5018" s="51">
        <v>70.0</v>
      </c>
      <c r="E5018" s="52" t="s">
        <v>25</v>
      </c>
      <c r="F5018" s="52" t="s">
        <v>26</v>
      </c>
      <c r="G5018" s="53"/>
    </row>
    <row r="5019">
      <c r="A5019" s="49">
        <v>44747.12615700232</v>
      </c>
      <c r="B5019" s="50">
        <v>44747.2511281713</v>
      </c>
      <c r="C5019" s="51">
        <v>1.004</v>
      </c>
      <c r="D5019" s="51">
        <v>70.0</v>
      </c>
      <c r="E5019" s="52" t="s">
        <v>25</v>
      </c>
      <c r="F5019" s="52" t="s">
        <v>26</v>
      </c>
      <c r="G5019" s="53"/>
    </row>
    <row r="5020">
      <c r="A5020" s="49">
        <v>44747.13657377315</v>
      </c>
      <c r="B5020" s="50">
        <v>44747.2615504629</v>
      </c>
      <c r="C5020" s="51">
        <v>1.004</v>
      </c>
      <c r="D5020" s="51">
        <v>70.0</v>
      </c>
      <c r="E5020" s="52" t="s">
        <v>25</v>
      </c>
      <c r="F5020" s="52" t="s">
        <v>26</v>
      </c>
      <c r="G5020" s="53"/>
    </row>
    <row r="5021">
      <c r="A5021" s="49">
        <v>44747.146996979165</v>
      </c>
      <c r="B5021" s="50">
        <v>44747.2719702199</v>
      </c>
      <c r="C5021" s="51">
        <v>1.004</v>
      </c>
      <c r="D5021" s="51">
        <v>70.0</v>
      </c>
      <c r="E5021" s="52" t="s">
        <v>25</v>
      </c>
      <c r="F5021" s="52" t="s">
        <v>26</v>
      </c>
      <c r="G5021" s="53"/>
    </row>
    <row r="5022">
      <c r="A5022" s="49">
        <v>44747.15741655092</v>
      </c>
      <c r="B5022" s="50">
        <v>44747.2823905671</v>
      </c>
      <c r="C5022" s="51">
        <v>1.004</v>
      </c>
      <c r="D5022" s="51">
        <v>70.0</v>
      </c>
      <c r="E5022" s="52" t="s">
        <v>25</v>
      </c>
      <c r="F5022" s="52" t="s">
        <v>26</v>
      </c>
      <c r="G5022" s="53"/>
    </row>
    <row r="5023">
      <c r="A5023" s="49">
        <v>44747.1678381713</v>
      </c>
      <c r="B5023" s="50">
        <v>44747.2928115972</v>
      </c>
      <c r="C5023" s="51">
        <v>1.004</v>
      </c>
      <c r="D5023" s="51">
        <v>70.0</v>
      </c>
      <c r="E5023" s="52" t="s">
        <v>25</v>
      </c>
      <c r="F5023" s="52" t="s">
        <v>26</v>
      </c>
      <c r="G5023" s="53"/>
    </row>
    <row r="5024">
      <c r="A5024" s="49">
        <v>44747.17825236111</v>
      </c>
      <c r="B5024" s="50">
        <v>44747.3032323726</v>
      </c>
      <c r="C5024" s="51">
        <v>1.004</v>
      </c>
      <c r="D5024" s="51">
        <v>70.0</v>
      </c>
      <c r="E5024" s="52" t="s">
        <v>25</v>
      </c>
      <c r="F5024" s="52" t="s">
        <v>26</v>
      </c>
      <c r="G5024" s="53"/>
    </row>
    <row r="5025">
      <c r="A5025" s="49">
        <v>44747.188676226855</v>
      </c>
      <c r="B5025" s="50">
        <v>44747.3136552662</v>
      </c>
      <c r="C5025" s="51">
        <v>1.004</v>
      </c>
      <c r="D5025" s="51">
        <v>70.0</v>
      </c>
      <c r="E5025" s="52" t="s">
        <v>25</v>
      </c>
      <c r="F5025" s="52" t="s">
        <v>26</v>
      </c>
      <c r="G5025" s="53"/>
    </row>
    <row r="5026">
      <c r="A5026" s="49">
        <v>44747.19909289352</v>
      </c>
      <c r="B5026" s="50">
        <v>44747.3240754976</v>
      </c>
      <c r="C5026" s="51">
        <v>1.004</v>
      </c>
      <c r="D5026" s="51">
        <v>70.0</v>
      </c>
      <c r="E5026" s="52" t="s">
        <v>25</v>
      </c>
      <c r="F5026" s="52" t="s">
        <v>26</v>
      </c>
      <c r="G5026" s="53"/>
    </row>
    <row r="5027">
      <c r="A5027" s="49">
        <v>44747.209528391206</v>
      </c>
      <c r="B5027" s="50">
        <v>44747.3344974652</v>
      </c>
      <c r="C5027" s="51">
        <v>1.004</v>
      </c>
      <c r="D5027" s="51">
        <v>70.0</v>
      </c>
      <c r="E5027" s="52" t="s">
        <v>25</v>
      </c>
      <c r="F5027" s="52" t="s">
        <v>26</v>
      </c>
      <c r="G5027" s="53"/>
    </row>
    <row r="5028">
      <c r="A5028" s="49">
        <v>44747.21994244213</v>
      </c>
      <c r="B5028" s="50">
        <v>44747.3449176736</v>
      </c>
      <c r="C5028" s="51">
        <v>1.004</v>
      </c>
      <c r="D5028" s="51">
        <v>70.0</v>
      </c>
      <c r="E5028" s="52" t="s">
        <v>25</v>
      </c>
      <c r="F5028" s="52" t="s">
        <v>26</v>
      </c>
      <c r="G5028" s="53"/>
    </row>
    <row r="5029">
      <c r="A5029" s="49">
        <v>44747.23037038195</v>
      </c>
      <c r="B5029" s="50">
        <v>44747.3553403935</v>
      </c>
      <c r="C5029" s="51">
        <v>1.004</v>
      </c>
      <c r="D5029" s="51">
        <v>70.0</v>
      </c>
      <c r="E5029" s="52" t="s">
        <v>25</v>
      </c>
      <c r="F5029" s="52" t="s">
        <v>26</v>
      </c>
      <c r="G5029" s="53"/>
    </row>
    <row r="5030">
      <c r="A5030" s="49">
        <v>44747.24079660879</v>
      </c>
      <c r="B5030" s="50">
        <v>44747.3657708912</v>
      </c>
      <c r="C5030" s="51">
        <v>1.004</v>
      </c>
      <c r="D5030" s="51">
        <v>70.0</v>
      </c>
      <c r="E5030" s="52" t="s">
        <v>25</v>
      </c>
      <c r="F5030" s="52" t="s">
        <v>26</v>
      </c>
      <c r="G5030" s="53"/>
    </row>
    <row r="5031">
      <c r="A5031" s="49">
        <v>44747.25121283565</v>
      </c>
      <c r="B5031" s="50">
        <v>44747.3761911921</v>
      </c>
      <c r="C5031" s="51">
        <v>1.004</v>
      </c>
      <c r="D5031" s="51">
        <v>70.0</v>
      </c>
      <c r="E5031" s="52" t="s">
        <v>25</v>
      </c>
      <c r="F5031" s="52" t="s">
        <v>26</v>
      </c>
      <c r="G5031" s="53"/>
    </row>
    <row r="5032">
      <c r="A5032" s="49">
        <v>44747.261651678244</v>
      </c>
      <c r="B5032" s="50">
        <v>44747.386623449</v>
      </c>
      <c r="C5032" s="51">
        <v>1.005</v>
      </c>
      <c r="D5032" s="51">
        <v>70.0</v>
      </c>
      <c r="E5032" s="52" t="s">
        <v>25</v>
      </c>
      <c r="F5032" s="52" t="s">
        <v>26</v>
      </c>
      <c r="G5032" s="53"/>
    </row>
    <row r="5033">
      <c r="A5033" s="49">
        <v>44747.272071458334</v>
      </c>
      <c r="B5033" s="50">
        <v>44747.3970439004</v>
      </c>
      <c r="C5033" s="51">
        <v>1.004</v>
      </c>
      <c r="D5033" s="51">
        <v>70.0</v>
      </c>
      <c r="E5033" s="52" t="s">
        <v>25</v>
      </c>
      <c r="F5033" s="52" t="s">
        <v>26</v>
      </c>
      <c r="G5033" s="53"/>
    </row>
    <row r="5034">
      <c r="A5034" s="49">
        <v>44747.282488576384</v>
      </c>
      <c r="B5034" s="50">
        <v>44747.4074651504</v>
      </c>
      <c r="C5034" s="51">
        <v>1.004</v>
      </c>
      <c r="D5034" s="51">
        <v>70.0</v>
      </c>
      <c r="E5034" s="52" t="s">
        <v>25</v>
      </c>
      <c r="F5034" s="52" t="s">
        <v>26</v>
      </c>
      <c r="G5034" s="53"/>
    </row>
    <row r="5035">
      <c r="A5035" s="49">
        <v>44747.292919513886</v>
      </c>
      <c r="B5035" s="50">
        <v>44747.4178883217</v>
      </c>
      <c r="C5035" s="51">
        <v>1.004</v>
      </c>
      <c r="D5035" s="51">
        <v>70.0</v>
      </c>
      <c r="E5035" s="52" t="s">
        <v>25</v>
      </c>
      <c r="F5035" s="52" t="s">
        <v>26</v>
      </c>
      <c r="G5035" s="53"/>
    </row>
    <row r="5036">
      <c r="A5036" s="49">
        <v>44747.3033424537</v>
      </c>
      <c r="B5036" s="50">
        <v>44747.4283116782</v>
      </c>
      <c r="C5036" s="51">
        <v>1.004</v>
      </c>
      <c r="D5036" s="51">
        <v>70.0</v>
      </c>
      <c r="E5036" s="52" t="s">
        <v>25</v>
      </c>
      <c r="F5036" s="52" t="s">
        <v>26</v>
      </c>
      <c r="G5036" s="53"/>
    </row>
    <row r="5037">
      <c r="A5037" s="49">
        <v>44747.31375935185</v>
      </c>
      <c r="B5037" s="50">
        <v>44747.4387340625</v>
      </c>
      <c r="C5037" s="51">
        <v>1.004</v>
      </c>
      <c r="D5037" s="51">
        <v>70.0</v>
      </c>
      <c r="E5037" s="52" t="s">
        <v>25</v>
      </c>
      <c r="F5037" s="52" t="s">
        <v>26</v>
      </c>
      <c r="G5037" s="53"/>
    </row>
    <row r="5038">
      <c r="A5038" s="49">
        <v>44747.32419373843</v>
      </c>
      <c r="B5038" s="50">
        <v>44747.4491544328</v>
      </c>
      <c r="C5038" s="51">
        <v>1.004</v>
      </c>
      <c r="D5038" s="51">
        <v>70.0</v>
      </c>
      <c r="E5038" s="52" t="s">
        <v>25</v>
      </c>
      <c r="F5038" s="52" t="s">
        <v>26</v>
      </c>
      <c r="G5038" s="53"/>
    </row>
    <row r="5039">
      <c r="A5039" s="49">
        <v>44747.33460711806</v>
      </c>
      <c r="B5039" s="50">
        <v>44747.4595765046</v>
      </c>
      <c r="C5039" s="51">
        <v>1.005</v>
      </c>
      <c r="D5039" s="51">
        <v>70.0</v>
      </c>
      <c r="E5039" s="52" t="s">
        <v>25</v>
      </c>
      <c r="F5039" s="52" t="s">
        <v>26</v>
      </c>
      <c r="G5039" s="53"/>
    </row>
    <row r="5040">
      <c r="A5040" s="49">
        <v>44747.34501820602</v>
      </c>
      <c r="B5040" s="50">
        <v>44747.4699988541</v>
      </c>
      <c r="C5040" s="51">
        <v>1.004</v>
      </c>
      <c r="D5040" s="51">
        <v>70.0</v>
      </c>
      <c r="E5040" s="52" t="s">
        <v>25</v>
      </c>
      <c r="F5040" s="52" t="s">
        <v>26</v>
      </c>
      <c r="G5040" s="53"/>
    </row>
    <row r="5041">
      <c r="A5041" s="49">
        <v>44747.355437453705</v>
      </c>
      <c r="B5041" s="50">
        <v>44747.480419375</v>
      </c>
      <c r="C5041" s="51">
        <v>1.004</v>
      </c>
      <c r="D5041" s="51">
        <v>70.0</v>
      </c>
      <c r="E5041" s="52" t="s">
        <v>25</v>
      </c>
      <c r="F5041" s="52" t="s">
        <v>26</v>
      </c>
      <c r="G5041" s="53"/>
    </row>
    <row r="5042">
      <c r="A5042" s="49">
        <v>44747.36587109954</v>
      </c>
      <c r="B5042" s="50">
        <v>44747.4908414236</v>
      </c>
      <c r="C5042" s="51">
        <v>1.005</v>
      </c>
      <c r="D5042" s="51">
        <v>70.0</v>
      </c>
      <c r="E5042" s="52" t="s">
        <v>25</v>
      </c>
      <c r="F5042" s="52" t="s">
        <v>26</v>
      </c>
      <c r="G5042" s="53"/>
    </row>
    <row r="5043">
      <c r="A5043" s="49">
        <v>44747.37630225695</v>
      </c>
      <c r="B5043" s="50">
        <v>44747.501274537</v>
      </c>
      <c r="C5043" s="51">
        <v>1.005</v>
      </c>
      <c r="D5043" s="51">
        <v>70.0</v>
      </c>
      <c r="E5043" s="52" t="s">
        <v>25</v>
      </c>
      <c r="F5043" s="52" t="s">
        <v>26</v>
      </c>
      <c r="G5043" s="53"/>
    </row>
    <row r="5044">
      <c r="A5044" s="49">
        <v>44747.38671539351</v>
      </c>
      <c r="B5044" s="50">
        <v>44747.5116961111</v>
      </c>
      <c r="C5044" s="51">
        <v>1.004</v>
      </c>
      <c r="D5044" s="51">
        <v>70.0</v>
      </c>
      <c r="E5044" s="52" t="s">
        <v>25</v>
      </c>
      <c r="F5044" s="52" t="s">
        <v>26</v>
      </c>
      <c r="G5044" s="53"/>
    </row>
    <row r="5045">
      <c r="A5045" s="49">
        <v>44747.39716366898</v>
      </c>
      <c r="B5045" s="50">
        <v>44747.5221416435</v>
      </c>
      <c r="C5045" s="51">
        <v>1.004</v>
      </c>
      <c r="D5045" s="51">
        <v>70.0</v>
      </c>
      <c r="E5045" s="52" t="s">
        <v>25</v>
      </c>
      <c r="F5045" s="52" t="s">
        <v>26</v>
      </c>
      <c r="G5045" s="53"/>
    </row>
    <row r="5046">
      <c r="A5046" s="49">
        <v>44747.407588622686</v>
      </c>
      <c r="B5046" s="50">
        <v>44747.5325609143</v>
      </c>
      <c r="C5046" s="51">
        <v>1.005</v>
      </c>
      <c r="D5046" s="51">
        <v>70.0</v>
      </c>
      <c r="E5046" s="52" t="s">
        <v>25</v>
      </c>
      <c r="F5046" s="52" t="s">
        <v>26</v>
      </c>
      <c r="G5046" s="53"/>
    </row>
    <row r="5047">
      <c r="A5047" s="49">
        <v>44747.41801554398</v>
      </c>
      <c r="B5047" s="50">
        <v>44747.5429820833</v>
      </c>
      <c r="C5047" s="51">
        <v>1.004</v>
      </c>
      <c r="D5047" s="51">
        <v>70.0</v>
      </c>
      <c r="E5047" s="52" t="s">
        <v>25</v>
      </c>
      <c r="F5047" s="52" t="s">
        <v>26</v>
      </c>
      <c r="G5047" s="53"/>
    </row>
    <row r="5048">
      <c r="A5048" s="49">
        <v>44747.42844041667</v>
      </c>
      <c r="B5048" s="50">
        <v>44747.5534136574</v>
      </c>
      <c r="C5048" s="51">
        <v>1.004</v>
      </c>
      <c r="D5048" s="51">
        <v>70.0</v>
      </c>
      <c r="E5048" s="52" t="s">
        <v>25</v>
      </c>
      <c r="F5048" s="52" t="s">
        <v>26</v>
      </c>
      <c r="G5048" s="53"/>
    </row>
    <row r="5049">
      <c r="A5049" s="49">
        <v>44747.43888153935</v>
      </c>
      <c r="B5049" s="50">
        <v>44747.5638471875</v>
      </c>
      <c r="C5049" s="51">
        <v>1.004</v>
      </c>
      <c r="D5049" s="51">
        <v>70.0</v>
      </c>
      <c r="E5049" s="52" t="s">
        <v>25</v>
      </c>
      <c r="F5049" s="52" t="s">
        <v>26</v>
      </c>
      <c r="G5049" s="53"/>
    </row>
    <row r="5050">
      <c r="A5050" s="49">
        <v>44747.44929907407</v>
      </c>
      <c r="B5050" s="50">
        <v>44747.5742687615</v>
      </c>
      <c r="C5050" s="51">
        <v>1.004</v>
      </c>
      <c r="D5050" s="51">
        <v>70.0</v>
      </c>
      <c r="E5050" s="52" t="s">
        <v>25</v>
      </c>
      <c r="F5050" s="52" t="s">
        <v>26</v>
      </c>
      <c r="G5050" s="53"/>
    </row>
    <row r="5051">
      <c r="A5051" s="49">
        <v>44747.459722060186</v>
      </c>
      <c r="B5051" s="50">
        <v>44747.5846904514</v>
      </c>
      <c r="C5051" s="51">
        <v>1.004</v>
      </c>
      <c r="D5051" s="51">
        <v>70.0</v>
      </c>
      <c r="E5051" s="52" t="s">
        <v>25</v>
      </c>
      <c r="F5051" s="52" t="s">
        <v>26</v>
      </c>
      <c r="G5051" s="53"/>
    </row>
    <row r="5052">
      <c r="A5052" s="49">
        <v>44747.4701455787</v>
      </c>
      <c r="B5052" s="50">
        <v>44747.595112581</v>
      </c>
      <c r="C5052" s="51">
        <v>1.004</v>
      </c>
      <c r="D5052" s="51">
        <v>69.0</v>
      </c>
      <c r="E5052" s="52" t="s">
        <v>25</v>
      </c>
      <c r="F5052" s="52" t="s">
        <v>26</v>
      </c>
      <c r="G5052" s="53"/>
    </row>
    <row r="5053">
      <c r="A5053" s="49">
        <v>44747.48056040509</v>
      </c>
      <c r="B5053" s="50">
        <v>44747.6055316551</v>
      </c>
      <c r="C5053" s="51">
        <v>1.004</v>
      </c>
      <c r="D5053" s="51">
        <v>68.0</v>
      </c>
      <c r="E5053" s="52" t="s">
        <v>25</v>
      </c>
      <c r="F5053" s="52" t="s">
        <v>26</v>
      </c>
      <c r="G5053" s="53"/>
    </row>
    <row r="5054">
      <c r="A5054" s="49">
        <v>44747.491002870374</v>
      </c>
      <c r="B5054" s="50">
        <v>44747.6159752777</v>
      </c>
      <c r="C5054" s="51">
        <v>1.004</v>
      </c>
      <c r="D5054" s="51">
        <v>67.0</v>
      </c>
      <c r="E5054" s="52" t="s">
        <v>25</v>
      </c>
      <c r="F5054" s="52" t="s">
        <v>26</v>
      </c>
      <c r="G5054" s="53"/>
    </row>
    <row r="5055">
      <c r="A5055" s="49">
        <v>44747.50142053241</v>
      </c>
      <c r="B5055" s="50">
        <v>44747.6263948379</v>
      </c>
      <c r="C5055" s="51">
        <v>1.004</v>
      </c>
      <c r="D5055" s="51">
        <v>66.0</v>
      </c>
      <c r="E5055" s="52" t="s">
        <v>25</v>
      </c>
      <c r="F5055" s="52" t="s">
        <v>26</v>
      </c>
      <c r="G5055" s="53"/>
    </row>
    <row r="5056">
      <c r="A5056" s="49">
        <v>44747.51183722222</v>
      </c>
      <c r="B5056" s="50">
        <v>44747.6368171759</v>
      </c>
      <c r="C5056" s="51">
        <v>1.005</v>
      </c>
      <c r="D5056" s="51">
        <v>66.0</v>
      </c>
      <c r="E5056" s="52" t="s">
        <v>25</v>
      </c>
      <c r="F5056" s="52" t="s">
        <v>26</v>
      </c>
      <c r="G5056" s="53"/>
    </row>
    <row r="5057">
      <c r="A5057" s="49">
        <v>44747.5222653588</v>
      </c>
      <c r="B5057" s="50">
        <v>44747.6472374884</v>
      </c>
      <c r="C5057" s="51">
        <v>1.004</v>
      </c>
      <c r="D5057" s="51">
        <v>66.0</v>
      </c>
      <c r="E5057" s="52" t="s">
        <v>25</v>
      </c>
      <c r="F5057" s="52" t="s">
        <v>26</v>
      </c>
      <c r="G5057" s="53"/>
    </row>
    <row r="5058">
      <c r="A5058" s="49">
        <v>44747.53268373843</v>
      </c>
      <c r="B5058" s="50">
        <v>44747.657658206</v>
      </c>
      <c r="C5058" s="51">
        <v>1.004</v>
      </c>
      <c r="D5058" s="51">
        <v>66.0</v>
      </c>
      <c r="E5058" s="52" t="s">
        <v>25</v>
      </c>
      <c r="F5058" s="52" t="s">
        <v>26</v>
      </c>
      <c r="G5058" s="53"/>
    </row>
    <row r="5059">
      <c r="A5059" s="49">
        <v>44747.543107314814</v>
      </c>
      <c r="B5059" s="50">
        <v>44747.6680793518</v>
      </c>
      <c r="C5059" s="51">
        <v>1.004</v>
      </c>
      <c r="D5059" s="51">
        <v>66.0</v>
      </c>
      <c r="E5059" s="52" t="s">
        <v>25</v>
      </c>
      <c r="F5059" s="52" t="s">
        <v>26</v>
      </c>
      <c r="G5059" s="53"/>
    </row>
    <row r="5060">
      <c r="A5060" s="49">
        <v>44747.553527233795</v>
      </c>
      <c r="B5060" s="50">
        <v>44747.6784998611</v>
      </c>
      <c r="C5060" s="51">
        <v>1.004</v>
      </c>
      <c r="D5060" s="51">
        <v>66.0</v>
      </c>
      <c r="E5060" s="52" t="s">
        <v>25</v>
      </c>
      <c r="F5060" s="52" t="s">
        <v>26</v>
      </c>
      <c r="G5060" s="53"/>
    </row>
    <row r="5061">
      <c r="A5061" s="49">
        <v>44747.56394744213</v>
      </c>
      <c r="B5061" s="50">
        <v>44747.6889227083</v>
      </c>
      <c r="C5061" s="51">
        <v>1.004</v>
      </c>
      <c r="D5061" s="51">
        <v>66.0</v>
      </c>
      <c r="E5061" s="52" t="s">
        <v>25</v>
      </c>
      <c r="F5061" s="52" t="s">
        <v>26</v>
      </c>
      <c r="G5061" s="53"/>
    </row>
    <row r="5062">
      <c r="A5062" s="49">
        <v>44747.57437150463</v>
      </c>
      <c r="B5062" s="50">
        <v>44747.6993419444</v>
      </c>
      <c r="C5062" s="51">
        <v>1.004</v>
      </c>
      <c r="D5062" s="51">
        <v>66.0</v>
      </c>
      <c r="E5062" s="52" t="s">
        <v>25</v>
      </c>
      <c r="F5062" s="52" t="s">
        <v>26</v>
      </c>
      <c r="G5062" s="53"/>
    </row>
    <row r="5063">
      <c r="A5063" s="49">
        <v>44747.58480354167</v>
      </c>
      <c r="B5063" s="50">
        <v>44747.709775243</v>
      </c>
      <c r="C5063" s="51">
        <v>1.004</v>
      </c>
      <c r="D5063" s="51">
        <v>66.0</v>
      </c>
      <c r="E5063" s="52" t="s">
        <v>25</v>
      </c>
      <c r="F5063" s="52" t="s">
        <v>26</v>
      </c>
      <c r="G5063" s="53"/>
    </row>
    <row r="5064">
      <c r="A5064" s="49">
        <v>44747.595232210646</v>
      </c>
      <c r="B5064" s="50">
        <v>44747.7202091319</v>
      </c>
      <c r="C5064" s="51">
        <v>1.004</v>
      </c>
      <c r="D5064" s="51">
        <v>66.0</v>
      </c>
      <c r="E5064" s="52" t="s">
        <v>25</v>
      </c>
      <c r="F5064" s="52" t="s">
        <v>26</v>
      </c>
      <c r="G5064" s="53"/>
    </row>
    <row r="5065">
      <c r="A5065" s="49">
        <v>44747.60565618056</v>
      </c>
      <c r="B5065" s="50">
        <v>44747.7306309259</v>
      </c>
      <c r="C5065" s="51">
        <v>1.004</v>
      </c>
      <c r="D5065" s="51">
        <v>66.0</v>
      </c>
      <c r="E5065" s="52" t="s">
        <v>25</v>
      </c>
      <c r="F5065" s="52" t="s">
        <v>26</v>
      </c>
      <c r="G5065" s="53"/>
    </row>
    <row r="5066">
      <c r="A5066" s="49">
        <v>44747.6160965625</v>
      </c>
      <c r="B5066" s="50">
        <v>44747.7410645254</v>
      </c>
      <c r="C5066" s="51">
        <v>1.004</v>
      </c>
      <c r="D5066" s="51">
        <v>66.0</v>
      </c>
      <c r="E5066" s="52" t="s">
        <v>25</v>
      </c>
      <c r="F5066" s="52" t="s">
        <v>26</v>
      </c>
      <c r="G5066" s="53"/>
    </row>
    <row r="5067">
      <c r="A5067" s="49">
        <v>44747.62650971065</v>
      </c>
      <c r="B5067" s="50">
        <v>44747.7514848148</v>
      </c>
      <c r="C5067" s="51">
        <v>1.005</v>
      </c>
      <c r="D5067" s="51">
        <v>66.0</v>
      </c>
      <c r="E5067" s="52" t="s">
        <v>25</v>
      </c>
      <c r="F5067" s="52" t="s">
        <v>26</v>
      </c>
      <c r="G5067" s="53"/>
    </row>
    <row r="5068">
      <c r="A5068" s="49">
        <v>44747.63692875</v>
      </c>
      <c r="B5068" s="50">
        <v>44747.7619074305</v>
      </c>
      <c r="C5068" s="51">
        <v>1.005</v>
      </c>
      <c r="D5068" s="51">
        <v>66.0</v>
      </c>
      <c r="E5068" s="52" t="s">
        <v>25</v>
      </c>
      <c r="F5068" s="52" t="s">
        <v>26</v>
      </c>
      <c r="G5068" s="53"/>
    </row>
    <row r="5069">
      <c r="A5069" s="49">
        <v>44747.647355891204</v>
      </c>
      <c r="B5069" s="50">
        <v>44747.7723276273</v>
      </c>
      <c r="C5069" s="51">
        <v>1.004</v>
      </c>
      <c r="D5069" s="51">
        <v>66.0</v>
      </c>
      <c r="E5069" s="52" t="s">
        <v>25</v>
      </c>
      <c r="F5069" s="52" t="s">
        <v>26</v>
      </c>
      <c r="G5069" s="53"/>
    </row>
    <row r="5070">
      <c r="A5070" s="49">
        <v>44747.657769363424</v>
      </c>
      <c r="B5070" s="50">
        <v>44747.7827484838</v>
      </c>
      <c r="C5070" s="51">
        <v>1.004</v>
      </c>
      <c r="D5070" s="51">
        <v>66.0</v>
      </c>
      <c r="E5070" s="52" t="s">
        <v>25</v>
      </c>
      <c r="F5070" s="52" t="s">
        <v>26</v>
      </c>
      <c r="G5070" s="53"/>
    </row>
    <row r="5071">
      <c r="A5071" s="49">
        <v>44747.66819703704</v>
      </c>
      <c r="B5071" s="50">
        <v>44747.793169618</v>
      </c>
      <c r="C5071" s="51">
        <v>1.004</v>
      </c>
      <c r="D5071" s="51">
        <v>66.0</v>
      </c>
      <c r="E5071" s="52" t="s">
        <v>25</v>
      </c>
      <c r="F5071" s="52" t="s">
        <v>26</v>
      </c>
      <c r="G5071" s="53"/>
    </row>
    <row r="5072">
      <c r="A5072" s="49">
        <v>44747.678608726856</v>
      </c>
      <c r="B5072" s="50">
        <v>44747.8035890046</v>
      </c>
      <c r="C5072" s="51">
        <v>1.004</v>
      </c>
      <c r="D5072" s="51">
        <v>66.0</v>
      </c>
      <c r="E5072" s="52" t="s">
        <v>25</v>
      </c>
      <c r="F5072" s="52" t="s">
        <v>26</v>
      </c>
      <c r="G5072" s="53"/>
    </row>
    <row r="5073">
      <c r="A5073" s="49">
        <v>44747.689039756944</v>
      </c>
      <c r="B5073" s="50">
        <v>44747.8140098726</v>
      </c>
      <c r="C5073" s="51">
        <v>1.004</v>
      </c>
      <c r="D5073" s="51">
        <v>66.0</v>
      </c>
      <c r="E5073" s="52" t="s">
        <v>25</v>
      </c>
      <c r="F5073" s="52" t="s">
        <v>26</v>
      </c>
      <c r="G5073" s="53"/>
    </row>
    <row r="5074">
      <c r="A5074" s="49">
        <v>44747.699461261574</v>
      </c>
      <c r="B5074" s="50">
        <v>44747.8244317013</v>
      </c>
      <c r="C5074" s="51">
        <v>1.005</v>
      </c>
      <c r="D5074" s="51">
        <v>66.0</v>
      </c>
      <c r="E5074" s="52" t="s">
        <v>25</v>
      </c>
      <c r="F5074" s="52" t="s">
        <v>26</v>
      </c>
      <c r="G5074" s="53"/>
    </row>
    <row r="5075">
      <c r="A5075" s="49">
        <v>44747.70987368056</v>
      </c>
      <c r="B5075" s="50">
        <v>44747.8348538888</v>
      </c>
      <c r="C5075" s="51">
        <v>1.004</v>
      </c>
      <c r="D5075" s="51">
        <v>66.0</v>
      </c>
      <c r="E5075" s="52" t="s">
        <v>25</v>
      </c>
      <c r="F5075" s="52" t="s">
        <v>26</v>
      </c>
      <c r="G5075" s="53"/>
    </row>
    <row r="5076">
      <c r="A5076" s="49">
        <v>44747.72030606482</v>
      </c>
      <c r="B5076" s="50">
        <v>44747.8452759375</v>
      </c>
      <c r="C5076" s="51">
        <v>1.004</v>
      </c>
      <c r="D5076" s="51">
        <v>66.0</v>
      </c>
      <c r="E5076" s="52" t="s">
        <v>25</v>
      </c>
      <c r="F5076" s="52" t="s">
        <v>26</v>
      </c>
      <c r="G5076" s="53"/>
    </row>
    <row r="5077">
      <c r="A5077" s="49">
        <v>44747.73073488426</v>
      </c>
      <c r="B5077" s="50">
        <v>44747.8557083912</v>
      </c>
      <c r="C5077" s="51">
        <v>1.005</v>
      </c>
      <c r="D5077" s="51">
        <v>66.0</v>
      </c>
      <c r="E5077" s="52" t="s">
        <v>25</v>
      </c>
      <c r="F5077" s="52" t="s">
        <v>26</v>
      </c>
      <c r="G5077" s="53"/>
    </row>
    <row r="5078">
      <c r="A5078" s="49">
        <v>44747.74114958334</v>
      </c>
      <c r="B5078" s="50">
        <v>44747.8661285185</v>
      </c>
      <c r="C5078" s="51">
        <v>1.004</v>
      </c>
      <c r="D5078" s="51">
        <v>66.0</v>
      </c>
      <c r="E5078" s="52" t="s">
        <v>25</v>
      </c>
      <c r="F5078" s="52" t="s">
        <v>26</v>
      </c>
      <c r="G5078" s="53"/>
    </row>
    <row r="5079">
      <c r="A5079" s="49">
        <v>44747.75157574074</v>
      </c>
      <c r="B5079" s="50">
        <v>44747.8765479745</v>
      </c>
      <c r="C5079" s="51">
        <v>1.004</v>
      </c>
      <c r="D5079" s="51">
        <v>66.0</v>
      </c>
      <c r="E5079" s="52" t="s">
        <v>25</v>
      </c>
      <c r="F5079" s="52" t="s">
        <v>26</v>
      </c>
      <c r="G5079" s="53"/>
    </row>
    <row r="5080">
      <c r="A5080" s="49">
        <v>44747.76200707176</v>
      </c>
      <c r="B5080" s="50">
        <v>44747.8869802662</v>
      </c>
      <c r="C5080" s="51">
        <v>1.004</v>
      </c>
      <c r="D5080" s="51">
        <v>66.0</v>
      </c>
      <c r="E5080" s="52" t="s">
        <v>25</v>
      </c>
      <c r="F5080" s="52" t="s">
        <v>26</v>
      </c>
      <c r="G5080" s="53"/>
    </row>
    <row r="5081">
      <c r="A5081" s="49">
        <v>44747.77245074074</v>
      </c>
      <c r="B5081" s="50">
        <v>44747.8974253703</v>
      </c>
      <c r="C5081" s="51">
        <v>1.005</v>
      </c>
      <c r="D5081" s="51">
        <v>66.0</v>
      </c>
      <c r="E5081" s="52" t="s">
        <v>25</v>
      </c>
      <c r="F5081" s="52" t="s">
        <v>26</v>
      </c>
      <c r="G5081" s="53"/>
    </row>
    <row r="5082">
      <c r="A5082" s="49">
        <v>44747.78290731482</v>
      </c>
      <c r="B5082" s="50">
        <v>44747.9078809027</v>
      </c>
      <c r="C5082" s="51">
        <v>1.005</v>
      </c>
      <c r="D5082" s="51">
        <v>66.0</v>
      </c>
      <c r="E5082" s="52" t="s">
        <v>25</v>
      </c>
      <c r="F5082" s="52" t="s">
        <v>26</v>
      </c>
      <c r="G5082" s="53"/>
    </row>
    <row r="5083">
      <c r="A5083" s="49">
        <v>44747.79332412037</v>
      </c>
      <c r="B5083" s="50">
        <v>44747.9183017476</v>
      </c>
      <c r="C5083" s="51">
        <v>1.004</v>
      </c>
      <c r="D5083" s="51">
        <v>66.0</v>
      </c>
      <c r="E5083" s="52" t="s">
        <v>25</v>
      </c>
      <c r="F5083" s="52" t="s">
        <v>26</v>
      </c>
      <c r="G5083" s="53"/>
    </row>
    <row r="5084">
      <c r="A5084" s="49">
        <v>44747.803749224535</v>
      </c>
      <c r="B5084" s="50">
        <v>44747.928724456</v>
      </c>
      <c r="C5084" s="51">
        <v>1.004</v>
      </c>
      <c r="D5084" s="51">
        <v>66.0</v>
      </c>
      <c r="E5084" s="52" t="s">
        <v>25</v>
      </c>
      <c r="F5084" s="52" t="s">
        <v>26</v>
      </c>
      <c r="G5084" s="53"/>
    </row>
    <row r="5085">
      <c r="A5085" s="49">
        <v>44747.814171817125</v>
      </c>
      <c r="B5085" s="50">
        <v>44747.9391450694</v>
      </c>
      <c r="C5085" s="51">
        <v>1.004</v>
      </c>
      <c r="D5085" s="51">
        <v>66.0</v>
      </c>
      <c r="E5085" s="52" t="s">
        <v>25</v>
      </c>
      <c r="F5085" s="52" t="s">
        <v>26</v>
      </c>
      <c r="G5085" s="53"/>
    </row>
    <row r="5086">
      <c r="A5086" s="49">
        <v>44747.82459704861</v>
      </c>
      <c r="B5086" s="50">
        <v>44747.9495767245</v>
      </c>
      <c r="C5086" s="51">
        <v>1.005</v>
      </c>
      <c r="D5086" s="51">
        <v>66.0</v>
      </c>
      <c r="E5086" s="52" t="s">
        <v>25</v>
      </c>
      <c r="F5086" s="52" t="s">
        <v>26</v>
      </c>
      <c r="G5086" s="53"/>
    </row>
    <row r="5087">
      <c r="A5087" s="49">
        <v>44747.835033807874</v>
      </c>
      <c r="B5087" s="50">
        <v>44747.959997824</v>
      </c>
      <c r="C5087" s="51">
        <v>1.005</v>
      </c>
      <c r="D5087" s="51">
        <v>66.0</v>
      </c>
      <c r="E5087" s="52" t="s">
        <v>25</v>
      </c>
      <c r="F5087" s="52" t="s">
        <v>26</v>
      </c>
      <c r="G5087" s="53"/>
    </row>
    <row r="5088">
      <c r="A5088" s="49">
        <v>44747.84544744213</v>
      </c>
      <c r="B5088" s="50">
        <v>44747.9704186226</v>
      </c>
      <c r="C5088" s="51">
        <v>1.004</v>
      </c>
      <c r="D5088" s="51">
        <v>66.0</v>
      </c>
      <c r="E5088" s="52" t="s">
        <v>25</v>
      </c>
      <c r="F5088" s="52" t="s">
        <v>26</v>
      </c>
      <c r="G5088" s="53"/>
    </row>
    <row r="5089">
      <c r="A5089" s="49">
        <v>44747.855871886575</v>
      </c>
      <c r="B5089" s="50">
        <v>44747.9808418171</v>
      </c>
      <c r="C5089" s="51">
        <v>1.004</v>
      </c>
      <c r="D5089" s="51">
        <v>66.0</v>
      </c>
      <c r="E5089" s="52" t="s">
        <v>25</v>
      </c>
      <c r="F5089" s="52" t="s">
        <v>26</v>
      </c>
      <c r="G5089" s="53"/>
    </row>
    <row r="5090">
      <c r="A5090" s="49">
        <v>44747.86628998842</v>
      </c>
      <c r="B5090" s="50">
        <v>44747.9912633101</v>
      </c>
      <c r="C5090" s="51">
        <v>1.004</v>
      </c>
      <c r="D5090" s="51">
        <v>67.0</v>
      </c>
      <c r="E5090" s="52" t="s">
        <v>25</v>
      </c>
      <c r="F5090" s="52" t="s">
        <v>26</v>
      </c>
      <c r="G5090" s="53"/>
    </row>
    <row r="5091">
      <c r="A5091" s="49">
        <v>44747.8767136574</v>
      </c>
      <c r="B5091" s="50">
        <v>44748.0016842476</v>
      </c>
      <c r="C5091" s="51">
        <v>1.005</v>
      </c>
      <c r="D5091" s="51">
        <v>66.0</v>
      </c>
      <c r="E5091" s="52" t="s">
        <v>25</v>
      </c>
      <c r="F5091" s="52" t="s">
        <v>26</v>
      </c>
      <c r="G5091" s="53"/>
    </row>
    <row r="5092">
      <c r="A5092" s="49">
        <v>44747.88713762732</v>
      </c>
      <c r="B5092" s="50">
        <v>44748.012116875</v>
      </c>
      <c r="C5092" s="51">
        <v>1.004</v>
      </c>
      <c r="D5092" s="51">
        <v>67.0</v>
      </c>
      <c r="E5092" s="52" t="s">
        <v>25</v>
      </c>
      <c r="F5092" s="52" t="s">
        <v>26</v>
      </c>
      <c r="G5092" s="53"/>
    </row>
    <row r="5093">
      <c r="A5093" s="49">
        <v>44747.8975649537</v>
      </c>
      <c r="B5093" s="50">
        <v>44748.0225386111</v>
      </c>
      <c r="C5093" s="51">
        <v>1.004</v>
      </c>
      <c r="D5093" s="51">
        <v>67.0</v>
      </c>
      <c r="E5093" s="52" t="s">
        <v>25</v>
      </c>
      <c r="F5093" s="52" t="s">
        <v>26</v>
      </c>
      <c r="G5093" s="53"/>
    </row>
    <row r="5094">
      <c r="A5094" s="49">
        <v>44747.90798179398</v>
      </c>
      <c r="B5094" s="50">
        <v>44748.0329584375</v>
      </c>
      <c r="C5094" s="51">
        <v>1.004</v>
      </c>
      <c r="D5094" s="51">
        <v>67.0</v>
      </c>
      <c r="E5094" s="52" t="s">
        <v>25</v>
      </c>
      <c r="F5094" s="52" t="s">
        <v>26</v>
      </c>
      <c r="G5094" s="53"/>
    </row>
    <row r="5095">
      <c r="A5095" s="49">
        <v>44747.918410150465</v>
      </c>
      <c r="B5095" s="50">
        <v>44748.043378993</v>
      </c>
      <c r="C5095" s="51">
        <v>1.004</v>
      </c>
      <c r="D5095" s="51">
        <v>67.0</v>
      </c>
      <c r="E5095" s="52" t="s">
        <v>25</v>
      </c>
      <c r="F5095" s="52" t="s">
        <v>26</v>
      </c>
      <c r="G5095" s="53"/>
    </row>
    <row r="5096">
      <c r="A5096" s="49">
        <v>44747.92882371528</v>
      </c>
      <c r="B5096" s="50">
        <v>44748.0538014814</v>
      </c>
      <c r="C5096" s="51">
        <v>1.004</v>
      </c>
      <c r="D5096" s="51">
        <v>67.0</v>
      </c>
      <c r="E5096" s="52" t="s">
        <v>25</v>
      </c>
      <c r="F5096" s="52" t="s">
        <v>26</v>
      </c>
      <c r="G5096" s="53"/>
    </row>
    <row r="5097">
      <c r="A5097" s="49">
        <v>44747.93924983796</v>
      </c>
      <c r="B5097" s="50">
        <v>44748.0642240509</v>
      </c>
      <c r="C5097" s="51">
        <v>1.004</v>
      </c>
      <c r="D5097" s="51">
        <v>67.0</v>
      </c>
      <c r="E5097" s="52" t="s">
        <v>25</v>
      </c>
      <c r="F5097" s="52" t="s">
        <v>26</v>
      </c>
      <c r="G5097" s="53"/>
    </row>
    <row r="5098">
      <c r="A5098" s="49">
        <v>44747.94966387731</v>
      </c>
      <c r="B5098" s="50">
        <v>44748.0746458912</v>
      </c>
      <c r="C5098" s="51">
        <v>1.005</v>
      </c>
      <c r="D5098" s="51">
        <v>67.0</v>
      </c>
      <c r="E5098" s="52" t="s">
        <v>25</v>
      </c>
      <c r="F5098" s="52" t="s">
        <v>26</v>
      </c>
      <c r="G5098" s="53"/>
    </row>
    <row r="5099">
      <c r="A5099" s="49">
        <v>44747.96009496528</v>
      </c>
      <c r="B5099" s="50">
        <v>44748.0850659837</v>
      </c>
      <c r="C5099" s="51">
        <v>1.004</v>
      </c>
      <c r="D5099" s="51">
        <v>67.0</v>
      </c>
      <c r="E5099" s="52" t="s">
        <v>25</v>
      </c>
      <c r="F5099" s="52" t="s">
        <v>26</v>
      </c>
      <c r="G5099" s="53"/>
    </row>
    <row r="5100">
      <c r="A5100" s="49">
        <v>44747.970549652775</v>
      </c>
      <c r="B5100" s="50">
        <v>44748.0955224537</v>
      </c>
      <c r="C5100" s="51">
        <v>1.004</v>
      </c>
      <c r="D5100" s="51">
        <v>67.0</v>
      </c>
      <c r="E5100" s="52" t="s">
        <v>25</v>
      </c>
      <c r="F5100" s="52" t="s">
        <v>26</v>
      </c>
      <c r="G5100" s="53"/>
    </row>
    <row r="5101">
      <c r="A5101" s="49">
        <v>44747.98097340278</v>
      </c>
      <c r="B5101" s="50">
        <v>44748.1059440162</v>
      </c>
      <c r="C5101" s="51">
        <v>1.004</v>
      </c>
      <c r="D5101" s="51">
        <v>67.0</v>
      </c>
      <c r="E5101" s="52" t="s">
        <v>25</v>
      </c>
      <c r="F5101" s="52" t="s">
        <v>26</v>
      </c>
      <c r="G5101" s="53"/>
    </row>
    <row r="5102">
      <c r="A5102" s="49">
        <v>44747.99139420139</v>
      </c>
      <c r="B5102" s="50">
        <v>44748.1163665393</v>
      </c>
      <c r="C5102" s="51">
        <v>1.004</v>
      </c>
      <c r="D5102" s="51">
        <v>67.0</v>
      </c>
      <c r="E5102" s="52" t="s">
        <v>25</v>
      </c>
      <c r="F5102" s="52" t="s">
        <v>26</v>
      </c>
      <c r="G5102" s="53"/>
    </row>
    <row r="5103">
      <c r="A5103" s="49">
        <v>44748.001817638884</v>
      </c>
      <c r="B5103" s="50">
        <v>44748.1267992592</v>
      </c>
      <c r="C5103" s="51">
        <v>1.005</v>
      </c>
      <c r="D5103" s="51">
        <v>67.0</v>
      </c>
      <c r="E5103" s="52" t="s">
        <v>25</v>
      </c>
      <c r="F5103" s="52" t="s">
        <v>26</v>
      </c>
      <c r="G5103" s="53"/>
    </row>
    <row r="5104">
      <c r="A5104" s="49">
        <v>44748.01224575231</v>
      </c>
      <c r="B5104" s="50">
        <v>44748.1372196296</v>
      </c>
      <c r="C5104" s="51">
        <v>1.004</v>
      </c>
      <c r="D5104" s="51">
        <v>67.0</v>
      </c>
      <c r="E5104" s="52" t="s">
        <v>25</v>
      </c>
      <c r="F5104" s="52" t="s">
        <v>26</v>
      </c>
      <c r="G5104" s="53"/>
    </row>
    <row r="5105">
      <c r="A5105" s="49">
        <v>44748.02267446759</v>
      </c>
      <c r="B5105" s="50">
        <v>44748.1476419791</v>
      </c>
      <c r="C5105" s="51">
        <v>1.004</v>
      </c>
      <c r="D5105" s="51">
        <v>67.0</v>
      </c>
      <c r="E5105" s="52" t="s">
        <v>25</v>
      </c>
      <c r="F5105" s="52" t="s">
        <v>26</v>
      </c>
      <c r="G5105" s="53"/>
    </row>
    <row r="5106">
      <c r="A5106" s="49">
        <v>44748.03309092592</v>
      </c>
      <c r="B5106" s="50">
        <v>44748.1580635648</v>
      </c>
      <c r="C5106" s="51">
        <v>1.004</v>
      </c>
      <c r="D5106" s="51">
        <v>67.0</v>
      </c>
      <c r="E5106" s="52" t="s">
        <v>25</v>
      </c>
      <c r="F5106" s="52" t="s">
        <v>26</v>
      </c>
      <c r="G5106" s="53"/>
    </row>
    <row r="5107">
      <c r="A5107" s="49">
        <v>44748.04350837963</v>
      </c>
      <c r="B5107" s="50">
        <v>44748.1684848958</v>
      </c>
      <c r="C5107" s="51">
        <v>1.004</v>
      </c>
      <c r="D5107" s="51">
        <v>67.0</v>
      </c>
      <c r="E5107" s="52" t="s">
        <v>25</v>
      </c>
      <c r="F5107" s="52" t="s">
        <v>26</v>
      </c>
      <c r="G5107" s="53"/>
    </row>
    <row r="5108">
      <c r="A5108" s="49">
        <v>44748.05393364583</v>
      </c>
      <c r="B5108" s="50">
        <v>44748.1789068287</v>
      </c>
      <c r="C5108" s="51">
        <v>1.004</v>
      </c>
      <c r="D5108" s="51">
        <v>67.0</v>
      </c>
      <c r="E5108" s="52" t="s">
        <v>25</v>
      </c>
      <c r="F5108" s="52" t="s">
        <v>26</v>
      </c>
      <c r="G5108" s="53"/>
    </row>
    <row r="5109">
      <c r="A5109" s="49">
        <v>44748.064360439814</v>
      </c>
      <c r="B5109" s="50">
        <v>44748.1893274537</v>
      </c>
      <c r="C5109" s="51">
        <v>1.004</v>
      </c>
      <c r="D5109" s="51">
        <v>67.0</v>
      </c>
      <c r="E5109" s="52" t="s">
        <v>25</v>
      </c>
      <c r="F5109" s="52" t="s">
        <v>26</v>
      </c>
      <c r="G5109" s="53"/>
    </row>
    <row r="5110">
      <c r="A5110" s="49">
        <v>44748.07478701389</v>
      </c>
      <c r="B5110" s="50">
        <v>44748.1997608796</v>
      </c>
      <c r="C5110" s="51">
        <v>1.004</v>
      </c>
      <c r="D5110" s="51">
        <v>67.0</v>
      </c>
      <c r="E5110" s="52" t="s">
        <v>25</v>
      </c>
      <c r="F5110" s="52" t="s">
        <v>26</v>
      </c>
      <c r="G5110" s="53"/>
    </row>
    <row r="5111">
      <c r="A5111" s="49">
        <v>44748.085222118054</v>
      </c>
      <c r="B5111" s="50">
        <v>44748.2101923148</v>
      </c>
      <c r="C5111" s="51">
        <v>1.004</v>
      </c>
      <c r="D5111" s="51">
        <v>67.0</v>
      </c>
      <c r="E5111" s="52" t="s">
        <v>25</v>
      </c>
      <c r="F5111" s="52" t="s">
        <v>26</v>
      </c>
      <c r="G5111" s="53"/>
    </row>
    <row r="5112">
      <c r="A5112" s="49">
        <v>44748.095642175926</v>
      </c>
      <c r="B5112" s="50">
        <v>44748.2206140277</v>
      </c>
      <c r="C5112" s="51">
        <v>1.004</v>
      </c>
      <c r="D5112" s="51">
        <v>67.0</v>
      </c>
      <c r="E5112" s="52" t="s">
        <v>25</v>
      </c>
      <c r="F5112" s="52" t="s">
        <v>26</v>
      </c>
      <c r="G5112" s="53"/>
    </row>
    <row r="5113">
      <c r="A5113" s="49">
        <v>44748.106055937504</v>
      </c>
      <c r="B5113" s="50">
        <v>44748.2310339583</v>
      </c>
      <c r="C5113" s="51">
        <v>1.004</v>
      </c>
      <c r="D5113" s="51">
        <v>67.0</v>
      </c>
      <c r="E5113" s="52" t="s">
        <v>25</v>
      </c>
      <c r="F5113" s="52" t="s">
        <v>26</v>
      </c>
      <c r="G5113" s="53"/>
    </row>
    <row r="5114">
      <c r="A5114" s="49">
        <v>44748.11647581018</v>
      </c>
      <c r="B5114" s="50">
        <v>44748.2414552662</v>
      </c>
      <c r="C5114" s="51">
        <v>1.004</v>
      </c>
      <c r="D5114" s="51">
        <v>67.0</v>
      </c>
      <c r="E5114" s="52" t="s">
        <v>25</v>
      </c>
      <c r="F5114" s="52" t="s">
        <v>26</v>
      </c>
      <c r="G5114" s="53"/>
    </row>
    <row r="5115">
      <c r="A5115" s="49">
        <v>44748.126904895835</v>
      </c>
      <c r="B5115" s="50">
        <v>44748.2518774537</v>
      </c>
      <c r="C5115" s="51">
        <v>1.004</v>
      </c>
      <c r="D5115" s="51">
        <v>67.0</v>
      </c>
      <c r="E5115" s="52" t="s">
        <v>25</v>
      </c>
      <c r="F5115" s="52" t="s">
        <v>26</v>
      </c>
      <c r="G5115" s="53"/>
    </row>
    <row r="5116">
      <c r="A5116" s="49">
        <v>44748.137316782406</v>
      </c>
      <c r="B5116" s="50">
        <v>44748.2622999189</v>
      </c>
      <c r="C5116" s="51">
        <v>1.004</v>
      </c>
      <c r="D5116" s="51">
        <v>67.0</v>
      </c>
      <c r="E5116" s="52" t="s">
        <v>25</v>
      </c>
      <c r="F5116" s="52" t="s">
        <v>26</v>
      </c>
      <c r="G5116" s="53"/>
    </row>
    <row r="5117">
      <c r="A5117" s="49">
        <v>44748.14774346065</v>
      </c>
      <c r="B5117" s="50">
        <v>44748.2727198842</v>
      </c>
      <c r="C5117" s="51">
        <v>1.004</v>
      </c>
      <c r="D5117" s="51">
        <v>67.0</v>
      </c>
      <c r="E5117" s="52" t="s">
        <v>25</v>
      </c>
      <c r="F5117" s="52" t="s">
        <v>26</v>
      </c>
      <c r="G5117" s="53"/>
    </row>
    <row r="5118">
      <c r="A5118" s="49">
        <v>44748.158158101854</v>
      </c>
      <c r="B5118" s="50">
        <v>44748.2831415162</v>
      </c>
      <c r="C5118" s="51">
        <v>1.005</v>
      </c>
      <c r="D5118" s="51">
        <v>67.0</v>
      </c>
      <c r="E5118" s="52" t="s">
        <v>25</v>
      </c>
      <c r="F5118" s="52" t="s">
        <v>26</v>
      </c>
      <c r="G5118" s="53"/>
    </row>
    <row r="5119">
      <c r="A5119" s="49">
        <v>44748.16859410879</v>
      </c>
      <c r="B5119" s="50">
        <v>44748.2935737268</v>
      </c>
      <c r="C5119" s="51">
        <v>1.004</v>
      </c>
      <c r="D5119" s="51">
        <v>67.0</v>
      </c>
      <c r="E5119" s="52" t="s">
        <v>25</v>
      </c>
      <c r="F5119" s="52" t="s">
        <v>26</v>
      </c>
      <c r="G5119" s="53"/>
    </row>
    <row r="5120">
      <c r="A5120" s="49">
        <v>44748.17902278935</v>
      </c>
      <c r="B5120" s="50">
        <v>44748.3039967245</v>
      </c>
      <c r="C5120" s="51">
        <v>1.005</v>
      </c>
      <c r="D5120" s="51">
        <v>67.0</v>
      </c>
      <c r="E5120" s="52" t="s">
        <v>25</v>
      </c>
      <c r="F5120" s="52" t="s">
        <v>26</v>
      </c>
      <c r="G5120" s="53"/>
    </row>
    <row r="5121">
      <c r="A5121" s="49">
        <v>44748.18943920139</v>
      </c>
      <c r="B5121" s="50">
        <v>44748.3144174189</v>
      </c>
      <c r="C5121" s="51">
        <v>1.004</v>
      </c>
      <c r="D5121" s="51">
        <v>67.0</v>
      </c>
      <c r="E5121" s="52" t="s">
        <v>25</v>
      </c>
      <c r="F5121" s="52" t="s">
        <v>26</v>
      </c>
      <c r="G5121" s="53"/>
    </row>
    <row r="5122">
      <c r="A5122" s="49">
        <v>44748.199869131946</v>
      </c>
      <c r="B5122" s="50">
        <v>44748.3248505439</v>
      </c>
      <c r="C5122" s="51">
        <v>1.004</v>
      </c>
      <c r="D5122" s="51">
        <v>67.0</v>
      </c>
      <c r="E5122" s="52" t="s">
        <v>25</v>
      </c>
      <c r="F5122" s="52" t="s">
        <v>26</v>
      </c>
      <c r="G5122" s="53"/>
    </row>
    <row r="5123">
      <c r="A5123" s="49">
        <v>44748.21029609954</v>
      </c>
      <c r="B5123" s="50">
        <v>44748.3352734259</v>
      </c>
      <c r="C5123" s="51">
        <v>1.004</v>
      </c>
      <c r="D5123" s="51">
        <v>67.0</v>
      </c>
      <c r="E5123" s="52" t="s">
        <v>25</v>
      </c>
      <c r="F5123" s="52" t="s">
        <v>26</v>
      </c>
      <c r="G5123" s="53"/>
    </row>
    <row r="5124">
      <c r="A5124" s="49">
        <v>44748.22071217593</v>
      </c>
      <c r="B5124" s="50">
        <v>44748.3456936342</v>
      </c>
      <c r="C5124" s="51">
        <v>1.004</v>
      </c>
      <c r="D5124" s="51">
        <v>67.0</v>
      </c>
      <c r="E5124" s="52" t="s">
        <v>25</v>
      </c>
      <c r="F5124" s="52" t="s">
        <v>26</v>
      </c>
      <c r="G5124" s="53"/>
    </row>
    <row r="5125">
      <c r="A5125" s="49">
        <v>44748.23114412037</v>
      </c>
      <c r="B5125" s="50">
        <v>44748.3561160416</v>
      </c>
      <c r="C5125" s="51">
        <v>1.004</v>
      </c>
      <c r="D5125" s="51">
        <v>67.0</v>
      </c>
      <c r="E5125" s="52" t="s">
        <v>25</v>
      </c>
      <c r="F5125" s="52" t="s">
        <v>26</v>
      </c>
      <c r="G5125" s="53"/>
    </row>
    <row r="5126">
      <c r="A5126" s="49">
        <v>44748.24158256945</v>
      </c>
      <c r="B5126" s="50">
        <v>44748.3665606713</v>
      </c>
      <c r="C5126" s="51">
        <v>1.005</v>
      </c>
      <c r="D5126" s="51">
        <v>67.0</v>
      </c>
      <c r="E5126" s="52" t="s">
        <v>25</v>
      </c>
      <c r="F5126" s="52" t="s">
        <v>26</v>
      </c>
      <c r="G5126" s="53"/>
    </row>
    <row r="5127">
      <c r="A5127" s="49">
        <v>44748.25200497685</v>
      </c>
      <c r="B5127" s="50">
        <v>44748.3769819907</v>
      </c>
      <c r="C5127" s="51">
        <v>1.004</v>
      </c>
      <c r="D5127" s="51">
        <v>67.0</v>
      </c>
      <c r="E5127" s="52" t="s">
        <v>25</v>
      </c>
      <c r="F5127" s="52" t="s">
        <v>26</v>
      </c>
      <c r="G5127" s="53"/>
    </row>
    <row r="5128">
      <c r="A5128" s="49">
        <v>44748.262464722226</v>
      </c>
      <c r="B5128" s="50">
        <v>44748.3874389236</v>
      </c>
      <c r="C5128" s="51">
        <v>1.004</v>
      </c>
      <c r="D5128" s="51">
        <v>67.0</v>
      </c>
      <c r="E5128" s="52" t="s">
        <v>25</v>
      </c>
      <c r="F5128" s="52" t="s">
        <v>26</v>
      </c>
      <c r="G5128" s="53"/>
    </row>
    <row r="5129">
      <c r="A5129" s="49">
        <v>44748.27289143519</v>
      </c>
      <c r="B5129" s="50">
        <v>44748.3978588078</v>
      </c>
      <c r="C5129" s="51">
        <v>1.004</v>
      </c>
      <c r="D5129" s="51">
        <v>67.0</v>
      </c>
      <c r="E5129" s="52" t="s">
        <v>25</v>
      </c>
      <c r="F5129" s="52" t="s">
        <v>26</v>
      </c>
      <c r="G5129" s="53"/>
    </row>
    <row r="5130">
      <c r="A5130" s="49">
        <v>44748.28329361111</v>
      </c>
      <c r="B5130" s="50">
        <v>44748.4082779282</v>
      </c>
      <c r="C5130" s="51">
        <v>1.004</v>
      </c>
      <c r="D5130" s="51">
        <v>67.0</v>
      </c>
      <c r="E5130" s="52" t="s">
        <v>25</v>
      </c>
      <c r="F5130" s="52" t="s">
        <v>26</v>
      </c>
      <c r="G5130" s="53"/>
    </row>
    <row r="5131">
      <c r="A5131" s="49">
        <v>44748.29371554399</v>
      </c>
      <c r="B5131" s="50">
        <v>44748.4186986921</v>
      </c>
      <c r="C5131" s="51">
        <v>1.005</v>
      </c>
      <c r="D5131" s="51">
        <v>67.0</v>
      </c>
      <c r="E5131" s="52" t="s">
        <v>25</v>
      </c>
      <c r="F5131" s="52" t="s">
        <v>26</v>
      </c>
      <c r="G5131" s="53"/>
    </row>
    <row r="5132">
      <c r="A5132" s="49">
        <v>44748.30413959491</v>
      </c>
      <c r="B5132" s="50">
        <v>44748.4291200347</v>
      </c>
      <c r="C5132" s="51">
        <v>1.004</v>
      </c>
      <c r="D5132" s="51">
        <v>67.0</v>
      </c>
      <c r="E5132" s="52" t="s">
        <v>25</v>
      </c>
      <c r="F5132" s="52" t="s">
        <v>26</v>
      </c>
      <c r="G5132" s="53"/>
    </row>
    <row r="5133">
      <c r="A5133" s="49">
        <v>44748.31456215278</v>
      </c>
      <c r="B5133" s="50">
        <v>44748.4395417708</v>
      </c>
      <c r="C5133" s="51">
        <v>1.004</v>
      </c>
      <c r="D5133" s="51">
        <v>67.0</v>
      </c>
      <c r="E5133" s="52" t="s">
        <v>25</v>
      </c>
      <c r="F5133" s="52" t="s">
        <v>26</v>
      </c>
      <c r="G5133" s="53"/>
    </row>
    <row r="5134">
      <c r="A5134" s="49">
        <v>44748.324985127314</v>
      </c>
      <c r="B5134" s="50">
        <v>44748.4499628009</v>
      </c>
      <c r="C5134" s="51">
        <v>1.004</v>
      </c>
      <c r="D5134" s="51">
        <v>67.0</v>
      </c>
      <c r="E5134" s="52" t="s">
        <v>25</v>
      </c>
      <c r="F5134" s="52" t="s">
        <v>26</v>
      </c>
      <c r="G5134" s="53"/>
    </row>
    <row r="5135">
      <c r="A5135" s="49">
        <v>44748.33540793981</v>
      </c>
      <c r="B5135" s="50">
        <v>44748.4603851157</v>
      </c>
      <c r="C5135" s="51">
        <v>1.004</v>
      </c>
      <c r="D5135" s="51">
        <v>67.0</v>
      </c>
      <c r="E5135" s="52" t="s">
        <v>25</v>
      </c>
      <c r="F5135" s="52" t="s">
        <v>26</v>
      </c>
      <c r="G5135" s="53"/>
    </row>
    <row r="5136">
      <c r="A5136" s="49">
        <v>44748.3458211574</v>
      </c>
      <c r="B5136" s="50">
        <v>44748.4708068402</v>
      </c>
      <c r="C5136" s="51">
        <v>1.004</v>
      </c>
      <c r="D5136" s="51">
        <v>67.0</v>
      </c>
      <c r="E5136" s="52" t="s">
        <v>25</v>
      </c>
      <c r="F5136" s="52" t="s">
        <v>26</v>
      </c>
      <c r="G5136" s="53"/>
    </row>
    <row r="5137">
      <c r="A5137" s="49">
        <v>44748.35626908565</v>
      </c>
      <c r="B5137" s="50">
        <v>44748.4812411921</v>
      </c>
      <c r="C5137" s="51">
        <v>1.005</v>
      </c>
      <c r="D5137" s="51">
        <v>67.0</v>
      </c>
      <c r="E5137" s="52" t="s">
        <v>25</v>
      </c>
      <c r="F5137" s="52" t="s">
        <v>26</v>
      </c>
      <c r="G5137" s="53"/>
    </row>
    <row r="5138">
      <c r="A5138" s="49">
        <v>44748.36672082176</v>
      </c>
      <c r="B5138" s="50">
        <v>44748.4916853472</v>
      </c>
      <c r="C5138" s="51">
        <v>1.004</v>
      </c>
      <c r="D5138" s="51">
        <v>67.0</v>
      </c>
      <c r="E5138" s="52" t="s">
        <v>25</v>
      </c>
      <c r="F5138" s="52" t="s">
        <v>26</v>
      </c>
      <c r="G5138" s="53"/>
    </row>
    <row r="5139">
      <c r="A5139" s="49">
        <v>44748.37712763889</v>
      </c>
      <c r="B5139" s="50">
        <v>44748.5021057638</v>
      </c>
      <c r="C5139" s="51">
        <v>1.005</v>
      </c>
      <c r="D5139" s="51">
        <v>67.0</v>
      </c>
      <c r="E5139" s="52" t="s">
        <v>25</v>
      </c>
      <c r="F5139" s="52" t="s">
        <v>26</v>
      </c>
      <c r="G5139" s="53"/>
    </row>
    <row r="5140">
      <c r="A5140" s="49">
        <v>44748.38754267361</v>
      </c>
      <c r="B5140" s="50">
        <v>44748.5125267939</v>
      </c>
      <c r="C5140" s="51">
        <v>1.004</v>
      </c>
      <c r="D5140" s="51">
        <v>68.0</v>
      </c>
      <c r="E5140" s="52" t="s">
        <v>25</v>
      </c>
      <c r="F5140" s="52" t="s">
        <v>26</v>
      </c>
      <c r="G5140" s="53"/>
    </row>
    <row r="5141">
      <c r="A5141" s="49">
        <v>44748.397969363425</v>
      </c>
      <c r="B5141" s="50">
        <v>44748.5229468981</v>
      </c>
      <c r="C5141" s="51">
        <v>1.004</v>
      </c>
      <c r="D5141" s="51">
        <v>67.0</v>
      </c>
      <c r="E5141" s="52" t="s">
        <v>25</v>
      </c>
      <c r="F5141" s="52" t="s">
        <v>26</v>
      </c>
      <c r="G5141" s="53"/>
    </row>
    <row r="5142">
      <c r="A5142" s="49">
        <v>44748.40840554398</v>
      </c>
      <c r="B5142" s="50">
        <v>44748.5333799421</v>
      </c>
      <c r="C5142" s="51">
        <v>1.004</v>
      </c>
      <c r="D5142" s="51">
        <v>67.0</v>
      </c>
      <c r="E5142" s="52" t="s">
        <v>25</v>
      </c>
      <c r="F5142" s="52" t="s">
        <v>26</v>
      </c>
      <c r="G5142" s="53"/>
    </row>
    <row r="5143">
      <c r="A5143" s="49">
        <v>44748.41882415509</v>
      </c>
      <c r="B5143" s="50">
        <v>44748.543803287</v>
      </c>
      <c r="C5143" s="51">
        <v>1.004</v>
      </c>
      <c r="D5143" s="51">
        <v>67.0</v>
      </c>
      <c r="E5143" s="52" t="s">
        <v>25</v>
      </c>
      <c r="F5143" s="52" t="s">
        <v>26</v>
      </c>
      <c r="G5143" s="53"/>
    </row>
    <row r="5144">
      <c r="A5144" s="49">
        <v>44748.42925246528</v>
      </c>
      <c r="B5144" s="50">
        <v>44748.5542259606</v>
      </c>
      <c r="C5144" s="51">
        <v>1.004</v>
      </c>
      <c r="D5144" s="51">
        <v>68.0</v>
      </c>
      <c r="E5144" s="52" t="s">
        <v>25</v>
      </c>
      <c r="F5144" s="52" t="s">
        <v>26</v>
      </c>
      <c r="G5144" s="53"/>
    </row>
    <row r="5145">
      <c r="A5145" s="49">
        <v>44748.43967104166</v>
      </c>
      <c r="B5145" s="50">
        <v>44748.5646472453</v>
      </c>
      <c r="C5145" s="51">
        <v>1.004</v>
      </c>
      <c r="D5145" s="51">
        <v>68.0</v>
      </c>
      <c r="E5145" s="52" t="s">
        <v>25</v>
      </c>
      <c r="F5145" s="52" t="s">
        <v>26</v>
      </c>
      <c r="G5145" s="53"/>
    </row>
    <row r="5146">
      <c r="A5146" s="49">
        <v>44748.45011171296</v>
      </c>
      <c r="B5146" s="50">
        <v>44748.5750918518</v>
      </c>
      <c r="C5146" s="51">
        <v>1.004</v>
      </c>
      <c r="D5146" s="51">
        <v>68.0</v>
      </c>
      <c r="E5146" s="52" t="s">
        <v>25</v>
      </c>
      <c r="F5146" s="52" t="s">
        <v>26</v>
      </c>
      <c r="G5146" s="53"/>
    </row>
    <row r="5147">
      <c r="A5147" s="49">
        <v>44748.46054518518</v>
      </c>
      <c r="B5147" s="50">
        <v>44748.585525081</v>
      </c>
      <c r="C5147" s="51">
        <v>1.004</v>
      </c>
      <c r="D5147" s="51">
        <v>68.0</v>
      </c>
      <c r="E5147" s="52" t="s">
        <v>25</v>
      </c>
      <c r="F5147" s="52" t="s">
        <v>26</v>
      </c>
      <c r="G5147" s="53"/>
    </row>
    <row r="5148">
      <c r="A5148" s="49">
        <v>44748.47099915509</v>
      </c>
      <c r="B5148" s="50">
        <v>44748.5959685995</v>
      </c>
      <c r="C5148" s="51">
        <v>1.005</v>
      </c>
      <c r="D5148" s="51">
        <v>68.0</v>
      </c>
      <c r="E5148" s="52" t="s">
        <v>25</v>
      </c>
      <c r="F5148" s="52" t="s">
        <v>26</v>
      </c>
      <c r="G5148" s="53"/>
    </row>
    <row r="5149">
      <c r="A5149" s="49">
        <v>44748.481415937495</v>
      </c>
      <c r="B5149" s="50">
        <v>44748.6063895717</v>
      </c>
      <c r="C5149" s="51">
        <v>1.004</v>
      </c>
      <c r="D5149" s="51">
        <v>68.0</v>
      </c>
      <c r="E5149" s="52" t="s">
        <v>25</v>
      </c>
      <c r="F5149" s="52" t="s">
        <v>26</v>
      </c>
      <c r="G5149" s="53"/>
    </row>
    <row r="5150">
      <c r="A5150" s="49">
        <v>44748.491838587965</v>
      </c>
      <c r="B5150" s="50">
        <v>44748.6168113657</v>
      </c>
      <c r="C5150" s="51">
        <v>1.004</v>
      </c>
      <c r="D5150" s="51">
        <v>68.0</v>
      </c>
      <c r="E5150" s="52" t="s">
        <v>25</v>
      </c>
      <c r="F5150" s="52" t="s">
        <v>26</v>
      </c>
      <c r="G5150" s="53"/>
    </row>
    <row r="5151">
      <c r="A5151" s="49">
        <v>44748.50228789352</v>
      </c>
      <c r="B5151" s="50">
        <v>44748.6272434375</v>
      </c>
      <c r="C5151" s="51">
        <v>1.004</v>
      </c>
      <c r="D5151" s="51">
        <v>68.0</v>
      </c>
      <c r="E5151" s="52" t="s">
        <v>25</v>
      </c>
      <c r="F5151" s="52" t="s">
        <v>26</v>
      </c>
      <c r="G5151" s="53"/>
    </row>
    <row r="5152">
      <c r="A5152" s="49">
        <v>44748.51269461805</v>
      </c>
      <c r="B5152" s="50">
        <v>44748.6376655092</v>
      </c>
      <c r="C5152" s="51">
        <v>1.004</v>
      </c>
      <c r="D5152" s="51">
        <v>68.0</v>
      </c>
      <c r="E5152" s="52" t="s">
        <v>25</v>
      </c>
      <c r="F5152" s="52" t="s">
        <v>26</v>
      </c>
      <c r="G5152" s="53"/>
    </row>
    <row r="5153">
      <c r="A5153" s="49">
        <v>44748.52311627315</v>
      </c>
      <c r="B5153" s="50">
        <v>44748.6480858101</v>
      </c>
      <c r="C5153" s="51">
        <v>1.005</v>
      </c>
      <c r="D5153" s="51">
        <v>68.0</v>
      </c>
      <c r="E5153" s="52" t="s">
        <v>25</v>
      </c>
      <c r="F5153" s="52" t="s">
        <v>26</v>
      </c>
      <c r="G5153" s="53"/>
    </row>
    <row r="5154">
      <c r="A5154" s="49">
        <v>44748.53355878472</v>
      </c>
      <c r="B5154" s="50">
        <v>44748.6585320601</v>
      </c>
      <c r="C5154" s="51">
        <v>1.005</v>
      </c>
      <c r="D5154" s="51">
        <v>68.0</v>
      </c>
      <c r="E5154" s="52" t="s">
        <v>25</v>
      </c>
      <c r="F5154" s="52" t="s">
        <v>26</v>
      </c>
      <c r="G5154" s="53"/>
    </row>
    <row r="5155">
      <c r="A5155" s="49">
        <v>44748.54397912037</v>
      </c>
      <c r="B5155" s="50">
        <v>44748.6689529166</v>
      </c>
      <c r="C5155" s="51">
        <v>1.005</v>
      </c>
      <c r="D5155" s="51">
        <v>68.0</v>
      </c>
      <c r="E5155" s="52" t="s">
        <v>25</v>
      </c>
      <c r="F5155" s="52" t="s">
        <v>26</v>
      </c>
      <c r="G5155" s="53"/>
    </row>
    <row r="5156">
      <c r="A5156" s="49">
        <v>44748.554400925925</v>
      </c>
      <c r="B5156" s="50">
        <v>44748.6793739236</v>
      </c>
      <c r="C5156" s="51">
        <v>1.004</v>
      </c>
      <c r="D5156" s="51">
        <v>68.0</v>
      </c>
      <c r="E5156" s="52" t="s">
        <v>25</v>
      </c>
      <c r="F5156" s="52" t="s">
        <v>26</v>
      </c>
      <c r="G5156" s="53"/>
    </row>
    <row r="5157">
      <c r="A5157" s="49">
        <v>44748.564850219904</v>
      </c>
      <c r="B5157" s="50">
        <v>44748.6898198611</v>
      </c>
      <c r="C5157" s="51">
        <v>1.004</v>
      </c>
      <c r="D5157" s="51">
        <v>68.0</v>
      </c>
      <c r="E5157" s="52" t="s">
        <v>25</v>
      </c>
      <c r="F5157" s="52" t="s">
        <v>26</v>
      </c>
      <c r="G5157" s="53"/>
    </row>
    <row r="5158">
      <c r="A5158" s="49">
        <v>44748.575271678244</v>
      </c>
      <c r="B5158" s="50">
        <v>44748.7002396064</v>
      </c>
      <c r="C5158" s="51">
        <v>1.004</v>
      </c>
      <c r="D5158" s="51">
        <v>68.0</v>
      </c>
      <c r="E5158" s="52" t="s">
        <v>25</v>
      </c>
      <c r="F5158" s="52" t="s">
        <v>26</v>
      </c>
      <c r="G5158" s="53"/>
    </row>
    <row r="5159">
      <c r="A5159" s="49">
        <v>44748.585705011574</v>
      </c>
      <c r="B5159" s="50">
        <v>44748.7106742592</v>
      </c>
      <c r="C5159" s="51">
        <v>1.004</v>
      </c>
      <c r="D5159" s="51">
        <v>68.0</v>
      </c>
      <c r="E5159" s="52" t="s">
        <v>25</v>
      </c>
      <c r="F5159" s="52" t="s">
        <v>26</v>
      </c>
      <c r="G5159" s="53"/>
    </row>
    <row r="5160">
      <c r="A5160" s="49">
        <v>44748.59611949074</v>
      </c>
      <c r="B5160" s="50">
        <v>44748.7210968402</v>
      </c>
      <c r="C5160" s="51">
        <v>1.004</v>
      </c>
      <c r="D5160" s="51">
        <v>68.0</v>
      </c>
      <c r="E5160" s="52" t="s">
        <v>25</v>
      </c>
      <c r="F5160" s="52" t="s">
        <v>26</v>
      </c>
      <c r="G5160" s="53"/>
    </row>
    <row r="5161">
      <c r="A5161" s="49">
        <v>44748.60654232639</v>
      </c>
      <c r="B5161" s="50">
        <v>44748.7315171296</v>
      </c>
      <c r="C5161" s="51">
        <v>1.005</v>
      </c>
      <c r="D5161" s="51">
        <v>68.0</v>
      </c>
      <c r="E5161" s="52" t="s">
        <v>25</v>
      </c>
      <c r="F5161" s="52" t="s">
        <v>26</v>
      </c>
      <c r="G5161" s="53"/>
    </row>
    <row r="5162">
      <c r="A5162" s="49">
        <v>44748.61697524306</v>
      </c>
      <c r="B5162" s="50">
        <v>44748.7419507407</v>
      </c>
      <c r="C5162" s="51">
        <v>1.004</v>
      </c>
      <c r="D5162" s="51">
        <v>68.0</v>
      </c>
      <c r="E5162" s="52" t="s">
        <v>25</v>
      </c>
      <c r="F5162" s="52" t="s">
        <v>26</v>
      </c>
      <c r="G5162" s="53"/>
    </row>
    <row r="5163">
      <c r="A5163" s="49">
        <v>44748.627397986114</v>
      </c>
      <c r="B5163" s="50">
        <v>44748.7523715509</v>
      </c>
      <c r="C5163" s="51">
        <v>1.005</v>
      </c>
      <c r="D5163" s="51">
        <v>68.0</v>
      </c>
      <c r="E5163" s="52" t="s">
        <v>25</v>
      </c>
      <c r="F5163" s="52" t="s">
        <v>26</v>
      </c>
      <c r="G5163" s="53"/>
    </row>
    <row r="5164">
      <c r="A5164" s="49">
        <v>44748.63781378472</v>
      </c>
      <c r="B5164" s="50">
        <v>44748.762790625</v>
      </c>
      <c r="C5164" s="51">
        <v>1.004</v>
      </c>
      <c r="D5164" s="51">
        <v>68.0</v>
      </c>
      <c r="E5164" s="52" t="s">
        <v>25</v>
      </c>
      <c r="F5164" s="52" t="s">
        <v>26</v>
      </c>
      <c r="G5164" s="53"/>
    </row>
    <row r="5165">
      <c r="A5165" s="49">
        <v>44748.648251192135</v>
      </c>
      <c r="B5165" s="50">
        <v>44748.7732229976</v>
      </c>
      <c r="C5165" s="51">
        <v>1.004</v>
      </c>
      <c r="D5165" s="51">
        <v>68.0</v>
      </c>
      <c r="E5165" s="52" t="s">
        <v>25</v>
      </c>
      <c r="F5165" s="52" t="s">
        <v>26</v>
      </c>
      <c r="G5165" s="53"/>
    </row>
    <row r="5166">
      <c r="A5166" s="49">
        <v>44748.65866178241</v>
      </c>
      <c r="B5166" s="50">
        <v>44748.7836434143</v>
      </c>
      <c r="C5166" s="51">
        <v>1.004</v>
      </c>
      <c r="D5166" s="51">
        <v>68.0</v>
      </c>
      <c r="E5166" s="52" t="s">
        <v>25</v>
      </c>
      <c r="F5166" s="52" t="s">
        <v>26</v>
      </c>
      <c r="G5166" s="53"/>
    </row>
    <row r="5167">
      <c r="A5167" s="49">
        <v>44748.669114386576</v>
      </c>
      <c r="B5167" s="50">
        <v>44748.7940868287</v>
      </c>
      <c r="C5167" s="51">
        <v>1.004</v>
      </c>
      <c r="D5167" s="51">
        <v>68.0</v>
      </c>
      <c r="E5167" s="52" t="s">
        <v>25</v>
      </c>
      <c r="F5167" s="52" t="s">
        <v>26</v>
      </c>
      <c r="G5167" s="53"/>
    </row>
    <row r="5168">
      <c r="A5168" s="49">
        <v>44748.679542673606</v>
      </c>
      <c r="B5168" s="50">
        <v>44748.80451875</v>
      </c>
      <c r="C5168" s="51">
        <v>1.004</v>
      </c>
      <c r="D5168" s="51">
        <v>68.0</v>
      </c>
      <c r="E5168" s="52" t="s">
        <v>25</v>
      </c>
      <c r="F5168" s="52" t="s">
        <v>26</v>
      </c>
      <c r="G5168" s="53"/>
    </row>
    <row r="5169">
      <c r="A5169" s="49">
        <v>44748.68997116898</v>
      </c>
      <c r="B5169" s="50">
        <v>44748.8149407407</v>
      </c>
      <c r="C5169" s="51">
        <v>1.005</v>
      </c>
      <c r="D5169" s="51">
        <v>68.0</v>
      </c>
      <c r="E5169" s="52" t="s">
        <v>25</v>
      </c>
      <c r="F5169" s="52" t="s">
        <v>26</v>
      </c>
      <c r="G5169" s="53"/>
    </row>
    <row r="5170">
      <c r="A5170" s="49">
        <v>44748.70038365741</v>
      </c>
      <c r="B5170" s="50">
        <v>44748.8253627893</v>
      </c>
      <c r="C5170" s="51">
        <v>1.004</v>
      </c>
      <c r="D5170" s="51">
        <v>68.0</v>
      </c>
      <c r="E5170" s="52" t="s">
        <v>25</v>
      </c>
      <c r="F5170" s="52" t="s">
        <v>26</v>
      </c>
      <c r="G5170" s="53"/>
    </row>
    <row r="5171">
      <c r="A5171" s="49">
        <v>44748.71080266204</v>
      </c>
      <c r="B5171" s="50">
        <v>44748.8357836689</v>
      </c>
      <c r="C5171" s="51">
        <v>1.004</v>
      </c>
      <c r="D5171" s="51">
        <v>68.0</v>
      </c>
      <c r="E5171" s="52" t="s">
        <v>25</v>
      </c>
      <c r="F5171" s="52" t="s">
        <v>26</v>
      </c>
      <c r="G5171" s="53"/>
    </row>
    <row r="5172">
      <c r="A5172" s="49">
        <v>44748.7212362037</v>
      </c>
      <c r="B5172" s="50">
        <v>44748.8462035185</v>
      </c>
      <c r="C5172" s="51">
        <v>1.004</v>
      </c>
      <c r="D5172" s="51">
        <v>68.0</v>
      </c>
      <c r="E5172" s="52" t="s">
        <v>25</v>
      </c>
      <c r="F5172" s="52" t="s">
        <v>26</v>
      </c>
      <c r="G5172" s="53"/>
    </row>
    <row r="5173">
      <c r="A5173" s="49">
        <v>44748.73164611111</v>
      </c>
      <c r="B5173" s="50">
        <v>44748.8566233217</v>
      </c>
      <c r="C5173" s="51">
        <v>1.004</v>
      </c>
      <c r="D5173" s="51">
        <v>68.0</v>
      </c>
      <c r="E5173" s="52" t="s">
        <v>25</v>
      </c>
      <c r="F5173" s="52" t="s">
        <v>26</v>
      </c>
      <c r="G5173" s="53"/>
    </row>
    <row r="5174">
      <c r="A5174" s="49">
        <v>44748.74206199074</v>
      </c>
      <c r="B5174" s="50">
        <v>44748.8670448958</v>
      </c>
      <c r="C5174" s="51">
        <v>1.004</v>
      </c>
      <c r="D5174" s="51">
        <v>68.0</v>
      </c>
      <c r="E5174" s="52" t="s">
        <v>25</v>
      </c>
      <c r="F5174" s="52" t="s">
        <v>26</v>
      </c>
      <c r="G5174" s="53"/>
    </row>
    <row r="5175">
      <c r="A5175" s="49">
        <v>44748.75249150463</v>
      </c>
      <c r="B5175" s="50">
        <v>44748.8774673379</v>
      </c>
      <c r="C5175" s="51">
        <v>1.004</v>
      </c>
      <c r="D5175" s="51">
        <v>68.0</v>
      </c>
      <c r="E5175" s="52" t="s">
        <v>25</v>
      </c>
      <c r="F5175" s="52" t="s">
        <v>26</v>
      </c>
      <c r="G5175" s="53"/>
    </row>
    <row r="5176">
      <c r="A5176" s="49">
        <v>44748.76291376157</v>
      </c>
      <c r="B5176" s="50">
        <v>44748.8878881481</v>
      </c>
      <c r="C5176" s="51">
        <v>1.004</v>
      </c>
      <c r="D5176" s="51">
        <v>68.0</v>
      </c>
      <c r="E5176" s="52" t="s">
        <v>25</v>
      </c>
      <c r="F5176" s="52" t="s">
        <v>26</v>
      </c>
      <c r="G5176" s="53"/>
    </row>
    <row r="5177">
      <c r="A5177" s="49">
        <v>44748.77333210648</v>
      </c>
      <c r="B5177" s="50">
        <v>44748.8983098263</v>
      </c>
      <c r="C5177" s="51">
        <v>1.004</v>
      </c>
      <c r="D5177" s="51">
        <v>68.0</v>
      </c>
      <c r="E5177" s="52" t="s">
        <v>25</v>
      </c>
      <c r="F5177" s="52" t="s">
        <v>26</v>
      </c>
      <c r="G5177" s="53"/>
    </row>
    <row r="5178">
      <c r="A5178" s="49">
        <v>44748.78374849537</v>
      </c>
      <c r="B5178" s="50">
        <v>44748.9087302546</v>
      </c>
      <c r="C5178" s="51">
        <v>1.004</v>
      </c>
      <c r="D5178" s="51">
        <v>68.0</v>
      </c>
      <c r="E5178" s="52" t="s">
        <v>25</v>
      </c>
      <c r="F5178" s="52" t="s">
        <v>26</v>
      </c>
      <c r="G5178" s="53"/>
    </row>
    <row r="5179">
      <c r="A5179" s="49">
        <v>44748.79417652778</v>
      </c>
      <c r="B5179" s="50">
        <v>44748.9191517245</v>
      </c>
      <c r="C5179" s="51">
        <v>1.004</v>
      </c>
      <c r="D5179" s="51">
        <v>68.0</v>
      </c>
      <c r="E5179" s="52" t="s">
        <v>25</v>
      </c>
      <c r="F5179" s="52" t="s">
        <v>26</v>
      </c>
      <c r="G5179" s="53"/>
    </row>
    <row r="5180">
      <c r="A5180" s="49">
        <v>44748.80459414352</v>
      </c>
      <c r="B5180" s="50">
        <v>44748.9295722222</v>
      </c>
      <c r="C5180" s="51">
        <v>1.004</v>
      </c>
      <c r="D5180" s="51">
        <v>68.0</v>
      </c>
      <c r="E5180" s="52" t="s">
        <v>25</v>
      </c>
      <c r="F5180" s="52" t="s">
        <v>26</v>
      </c>
      <c r="G5180" s="53"/>
    </row>
    <row r="5181">
      <c r="A5181" s="49">
        <v>44748.81501040509</v>
      </c>
      <c r="B5181" s="50">
        <v>44748.9399945023</v>
      </c>
      <c r="C5181" s="51">
        <v>1.004</v>
      </c>
      <c r="D5181" s="51">
        <v>68.0</v>
      </c>
      <c r="E5181" s="52" t="s">
        <v>25</v>
      </c>
      <c r="F5181" s="52" t="s">
        <v>26</v>
      </c>
      <c r="G5181" s="53"/>
    </row>
    <row r="5182">
      <c r="A5182" s="49">
        <v>44748.82543913195</v>
      </c>
      <c r="B5182" s="50">
        <v>44748.9504143171</v>
      </c>
      <c r="C5182" s="51">
        <v>1.004</v>
      </c>
      <c r="D5182" s="51">
        <v>68.0</v>
      </c>
      <c r="E5182" s="52" t="s">
        <v>25</v>
      </c>
      <c r="F5182" s="52" t="s">
        <v>26</v>
      </c>
      <c r="G5182" s="53"/>
    </row>
    <row r="5183">
      <c r="A5183" s="49">
        <v>44748.83585618055</v>
      </c>
      <c r="B5183" s="50">
        <v>44748.9608347916</v>
      </c>
      <c r="C5183" s="51">
        <v>1.004</v>
      </c>
      <c r="D5183" s="51">
        <v>68.0</v>
      </c>
      <c r="E5183" s="52" t="s">
        <v>25</v>
      </c>
      <c r="F5183" s="52" t="s">
        <v>26</v>
      </c>
      <c r="G5183" s="53"/>
    </row>
    <row r="5184">
      <c r="A5184" s="49">
        <v>44748.84629381944</v>
      </c>
      <c r="B5184" s="50">
        <v>44748.9712675463</v>
      </c>
      <c r="C5184" s="51">
        <v>1.004</v>
      </c>
      <c r="D5184" s="51">
        <v>68.0</v>
      </c>
      <c r="E5184" s="52" t="s">
        <v>25</v>
      </c>
      <c r="F5184" s="52" t="s">
        <v>26</v>
      </c>
      <c r="G5184" s="53"/>
    </row>
    <row r="5185">
      <c r="A5185" s="49">
        <v>44748.856710092594</v>
      </c>
      <c r="B5185" s="50">
        <v>44748.9816885416</v>
      </c>
      <c r="C5185" s="51">
        <v>1.004</v>
      </c>
      <c r="D5185" s="51">
        <v>68.0</v>
      </c>
      <c r="E5185" s="52" t="s">
        <v>25</v>
      </c>
      <c r="F5185" s="52" t="s">
        <v>26</v>
      </c>
      <c r="G5185" s="53"/>
    </row>
    <row r="5186">
      <c r="A5186" s="49">
        <v>44748.86712490741</v>
      </c>
      <c r="B5186" s="50">
        <v>44748.9921086689</v>
      </c>
      <c r="C5186" s="51">
        <v>1.004</v>
      </c>
      <c r="D5186" s="51">
        <v>68.0</v>
      </c>
      <c r="E5186" s="52" t="s">
        <v>25</v>
      </c>
      <c r="F5186" s="52" t="s">
        <v>26</v>
      </c>
      <c r="G5186" s="53"/>
    </row>
    <row r="5187">
      <c r="A5187" s="49">
        <v>44748.877576493054</v>
      </c>
      <c r="B5187" s="50">
        <v>44749.0025546759</v>
      </c>
      <c r="C5187" s="51">
        <v>1.004</v>
      </c>
      <c r="D5187" s="51">
        <v>68.0</v>
      </c>
      <c r="E5187" s="52" t="s">
        <v>25</v>
      </c>
      <c r="F5187" s="52" t="s">
        <v>26</v>
      </c>
      <c r="G5187" s="53"/>
    </row>
    <row r="5188">
      <c r="A5188" s="49">
        <v>44748.88800170139</v>
      </c>
      <c r="B5188" s="50">
        <v>44749.0129767129</v>
      </c>
      <c r="C5188" s="51">
        <v>1.004</v>
      </c>
      <c r="D5188" s="51">
        <v>68.0</v>
      </c>
      <c r="E5188" s="52" t="s">
        <v>25</v>
      </c>
      <c r="F5188" s="52" t="s">
        <v>26</v>
      </c>
      <c r="G5188" s="53"/>
    </row>
    <row r="5189">
      <c r="A5189" s="49">
        <v>44748.89841796296</v>
      </c>
      <c r="B5189" s="50">
        <v>44749.0233974074</v>
      </c>
      <c r="C5189" s="51">
        <v>1.004</v>
      </c>
      <c r="D5189" s="51">
        <v>68.0</v>
      </c>
      <c r="E5189" s="52" t="s">
        <v>25</v>
      </c>
      <c r="F5189" s="52" t="s">
        <v>26</v>
      </c>
      <c r="G5189" s="53"/>
    </row>
    <row r="5190">
      <c r="A5190" s="49">
        <v>44748.90884315972</v>
      </c>
      <c r="B5190" s="50">
        <v>44749.0338178125</v>
      </c>
      <c r="C5190" s="51">
        <v>1.005</v>
      </c>
      <c r="D5190" s="51">
        <v>68.0</v>
      </c>
      <c r="E5190" s="52" t="s">
        <v>25</v>
      </c>
      <c r="F5190" s="52" t="s">
        <v>26</v>
      </c>
      <c r="G5190" s="53"/>
    </row>
    <row r="5191">
      <c r="A5191" s="49">
        <v>44748.91925841435</v>
      </c>
      <c r="B5191" s="50">
        <v>44749.0442372222</v>
      </c>
      <c r="C5191" s="51">
        <v>1.004</v>
      </c>
      <c r="D5191" s="51">
        <v>68.0</v>
      </c>
      <c r="E5191" s="52" t="s">
        <v>25</v>
      </c>
      <c r="F5191" s="52" t="s">
        <v>26</v>
      </c>
      <c r="G5191" s="53"/>
    </row>
    <row r="5192">
      <c r="A5192" s="49">
        <v>44748.929674837964</v>
      </c>
      <c r="B5192" s="50">
        <v>44749.0546575694</v>
      </c>
      <c r="C5192" s="51">
        <v>1.004</v>
      </c>
      <c r="D5192" s="51">
        <v>69.0</v>
      </c>
      <c r="E5192" s="52" t="s">
        <v>25</v>
      </c>
      <c r="F5192" s="52" t="s">
        <v>26</v>
      </c>
      <c r="G5192" s="53"/>
    </row>
    <row r="5193">
      <c r="A5193" s="49">
        <v>44748.940107766204</v>
      </c>
      <c r="B5193" s="50">
        <v>44749.0650790972</v>
      </c>
      <c r="C5193" s="51">
        <v>1.004</v>
      </c>
      <c r="D5193" s="51">
        <v>68.0</v>
      </c>
      <c r="E5193" s="52" t="s">
        <v>25</v>
      </c>
      <c r="F5193" s="52" t="s">
        <v>26</v>
      </c>
      <c r="G5193" s="53"/>
    </row>
    <row r="5194">
      <c r="A5194" s="49">
        <v>44748.95052155093</v>
      </c>
      <c r="B5194" s="50">
        <v>44749.0755006481</v>
      </c>
      <c r="C5194" s="51">
        <v>1.004</v>
      </c>
      <c r="D5194" s="51">
        <v>68.0</v>
      </c>
      <c r="E5194" s="52" t="s">
        <v>25</v>
      </c>
      <c r="F5194" s="52" t="s">
        <v>26</v>
      </c>
      <c r="G5194" s="53"/>
    </row>
    <row r="5195">
      <c r="A5195" s="49">
        <v>44748.96094017361</v>
      </c>
      <c r="B5195" s="50">
        <v>44749.0859231944</v>
      </c>
      <c r="C5195" s="51">
        <v>1.004</v>
      </c>
      <c r="D5195" s="51">
        <v>69.0</v>
      </c>
      <c r="E5195" s="52" t="s">
        <v>25</v>
      </c>
      <c r="F5195" s="52" t="s">
        <v>26</v>
      </c>
      <c r="G5195" s="53"/>
    </row>
    <row r="5196">
      <c r="A5196" s="49">
        <v>44748.97136364583</v>
      </c>
      <c r="B5196" s="50">
        <v>44749.0963435069</v>
      </c>
      <c r="C5196" s="51">
        <v>1.005</v>
      </c>
      <c r="D5196" s="51">
        <v>69.0</v>
      </c>
      <c r="E5196" s="52" t="s">
        <v>25</v>
      </c>
      <c r="F5196" s="52" t="s">
        <v>26</v>
      </c>
      <c r="G5196" s="53"/>
    </row>
    <row r="5197">
      <c r="A5197" s="49">
        <v>44748.981794120366</v>
      </c>
      <c r="B5197" s="50">
        <v>44749.1067766203</v>
      </c>
      <c r="C5197" s="51">
        <v>1.004</v>
      </c>
      <c r="D5197" s="51">
        <v>69.0</v>
      </c>
      <c r="E5197" s="52" t="s">
        <v>25</v>
      </c>
      <c r="F5197" s="52" t="s">
        <v>26</v>
      </c>
      <c r="G5197" s="53"/>
    </row>
    <row r="5198">
      <c r="A5198" s="49">
        <v>44748.9922246412</v>
      </c>
      <c r="B5198" s="50">
        <v>44749.117198206</v>
      </c>
      <c r="C5198" s="51">
        <v>1.004</v>
      </c>
      <c r="D5198" s="51">
        <v>69.0</v>
      </c>
      <c r="E5198" s="52" t="s">
        <v>25</v>
      </c>
      <c r="F5198" s="52" t="s">
        <v>26</v>
      </c>
      <c r="G5198" s="53"/>
    </row>
    <row r="5199">
      <c r="A5199" s="49">
        <v>44749.00265444444</v>
      </c>
      <c r="B5199" s="50">
        <v>44749.1276296064</v>
      </c>
      <c r="C5199" s="51">
        <v>1.004</v>
      </c>
      <c r="D5199" s="51">
        <v>69.0</v>
      </c>
      <c r="E5199" s="52" t="s">
        <v>25</v>
      </c>
      <c r="F5199" s="52" t="s">
        <v>26</v>
      </c>
      <c r="G5199" s="53"/>
    </row>
    <row r="5200">
      <c r="A5200" s="49">
        <v>44749.01308113426</v>
      </c>
      <c r="B5200" s="50">
        <v>44749.1380514004</v>
      </c>
      <c r="C5200" s="51">
        <v>1.004</v>
      </c>
      <c r="D5200" s="51">
        <v>69.0</v>
      </c>
      <c r="E5200" s="52" t="s">
        <v>25</v>
      </c>
      <c r="F5200" s="52" t="s">
        <v>26</v>
      </c>
      <c r="G5200" s="53"/>
    </row>
    <row r="5201">
      <c r="A5201" s="49">
        <v>44749.02349416667</v>
      </c>
      <c r="B5201" s="50">
        <v>44749.1484703588</v>
      </c>
      <c r="C5201" s="51">
        <v>1.004</v>
      </c>
      <c r="D5201" s="51">
        <v>69.0</v>
      </c>
      <c r="E5201" s="52" t="s">
        <v>25</v>
      </c>
      <c r="F5201" s="52" t="s">
        <v>26</v>
      </c>
      <c r="G5201" s="53"/>
    </row>
    <row r="5202">
      <c r="A5202" s="49">
        <v>44749.03391157408</v>
      </c>
      <c r="B5202" s="50">
        <v>44749.1588908217</v>
      </c>
      <c r="C5202" s="51">
        <v>1.005</v>
      </c>
      <c r="D5202" s="51">
        <v>69.0</v>
      </c>
      <c r="E5202" s="52" t="s">
        <v>25</v>
      </c>
      <c r="F5202" s="52" t="s">
        <v>26</v>
      </c>
      <c r="G5202" s="53"/>
    </row>
    <row r="5203">
      <c r="A5203" s="49">
        <v>44749.04434662037</v>
      </c>
      <c r="B5203" s="50">
        <v>44749.1693235995</v>
      </c>
      <c r="C5203" s="51">
        <v>1.004</v>
      </c>
      <c r="D5203" s="51">
        <v>69.0</v>
      </c>
      <c r="E5203" s="52" t="s">
        <v>25</v>
      </c>
      <c r="F5203" s="52" t="s">
        <v>26</v>
      </c>
      <c r="G5203" s="53"/>
    </row>
    <row r="5204">
      <c r="A5204" s="49">
        <v>44749.054774027776</v>
      </c>
      <c r="B5204" s="50">
        <v>44749.1797457986</v>
      </c>
      <c r="C5204" s="51">
        <v>1.004</v>
      </c>
      <c r="D5204" s="51">
        <v>69.0</v>
      </c>
      <c r="E5204" s="52" t="s">
        <v>25</v>
      </c>
      <c r="F5204" s="52" t="s">
        <v>26</v>
      </c>
      <c r="G5204" s="53"/>
    </row>
    <row r="5205">
      <c r="A5205" s="49">
        <v>44749.06519217593</v>
      </c>
      <c r="B5205" s="50">
        <v>44749.1901676736</v>
      </c>
      <c r="C5205" s="51">
        <v>1.004</v>
      </c>
      <c r="D5205" s="51">
        <v>69.0</v>
      </c>
      <c r="E5205" s="52" t="s">
        <v>25</v>
      </c>
      <c r="F5205" s="52" t="s">
        <v>26</v>
      </c>
      <c r="G5205" s="53"/>
    </row>
    <row r="5206">
      <c r="A5206" s="49">
        <v>44749.07560412037</v>
      </c>
      <c r="B5206" s="50">
        <v>44749.2005867824</v>
      </c>
      <c r="C5206" s="51">
        <v>1.004</v>
      </c>
      <c r="D5206" s="51">
        <v>69.0</v>
      </c>
      <c r="E5206" s="52" t="s">
        <v>25</v>
      </c>
      <c r="F5206" s="52" t="s">
        <v>26</v>
      </c>
      <c r="G5206" s="53"/>
    </row>
    <row r="5207">
      <c r="A5207" s="49">
        <v>44749.08603386574</v>
      </c>
      <c r="B5207" s="50">
        <v>44749.2110084027</v>
      </c>
      <c r="C5207" s="51">
        <v>1.004</v>
      </c>
      <c r="D5207" s="51">
        <v>69.0</v>
      </c>
      <c r="E5207" s="52" t="s">
        <v>25</v>
      </c>
      <c r="F5207" s="52" t="s">
        <v>26</v>
      </c>
      <c r="G5207" s="53"/>
    </row>
    <row r="5208">
      <c r="A5208" s="49">
        <v>44749.096445358795</v>
      </c>
      <c r="B5208" s="50">
        <v>44749.2214294907</v>
      </c>
      <c r="C5208" s="51">
        <v>1.004</v>
      </c>
      <c r="D5208" s="51">
        <v>69.0</v>
      </c>
      <c r="E5208" s="52" t="s">
        <v>25</v>
      </c>
      <c r="F5208" s="52" t="s">
        <v>26</v>
      </c>
      <c r="G5208" s="53"/>
    </row>
    <row r="5209">
      <c r="A5209" s="49">
        <v>44749.10688516204</v>
      </c>
      <c r="B5209" s="50">
        <v>44749.2318631597</v>
      </c>
      <c r="C5209" s="51">
        <v>1.004</v>
      </c>
      <c r="D5209" s="51">
        <v>69.0</v>
      </c>
      <c r="E5209" s="52" t="s">
        <v>25</v>
      </c>
      <c r="F5209" s="52" t="s">
        <v>26</v>
      </c>
      <c r="G5209" s="53"/>
    </row>
    <row r="5210">
      <c r="A5210" s="49">
        <v>44749.1173128125</v>
      </c>
      <c r="B5210" s="50">
        <v>44749.2422847337</v>
      </c>
      <c r="C5210" s="51">
        <v>1.005</v>
      </c>
      <c r="D5210" s="51">
        <v>69.0</v>
      </c>
      <c r="E5210" s="52" t="s">
        <v>25</v>
      </c>
      <c r="F5210" s="52" t="s">
        <v>26</v>
      </c>
      <c r="G5210" s="53"/>
    </row>
    <row r="5211">
      <c r="A5211" s="49">
        <v>44749.127727071755</v>
      </c>
      <c r="B5211" s="50">
        <v>44749.2527078703</v>
      </c>
      <c r="C5211" s="51">
        <v>1.004</v>
      </c>
      <c r="D5211" s="51">
        <v>69.0</v>
      </c>
      <c r="E5211" s="52" t="s">
        <v>25</v>
      </c>
      <c r="F5211" s="52" t="s">
        <v>26</v>
      </c>
      <c r="G5211" s="53"/>
    </row>
    <row r="5212">
      <c r="A5212" s="49">
        <v>44749.138156076384</v>
      </c>
      <c r="B5212" s="50">
        <v>44749.2631299189</v>
      </c>
      <c r="C5212" s="51">
        <v>1.004</v>
      </c>
      <c r="D5212" s="51">
        <v>69.0</v>
      </c>
      <c r="E5212" s="52" t="s">
        <v>25</v>
      </c>
      <c r="F5212" s="52" t="s">
        <v>26</v>
      </c>
      <c r="G5212" s="53"/>
    </row>
    <row r="5213">
      <c r="A5213" s="49">
        <v>44749.148588634256</v>
      </c>
      <c r="B5213" s="50">
        <v>44749.2735628819</v>
      </c>
      <c r="C5213" s="51">
        <v>1.004</v>
      </c>
      <c r="D5213" s="51">
        <v>69.0</v>
      </c>
      <c r="E5213" s="52" t="s">
        <v>25</v>
      </c>
      <c r="F5213" s="52" t="s">
        <v>26</v>
      </c>
      <c r="G5213" s="53"/>
    </row>
    <row r="5214">
      <c r="A5214" s="49">
        <v>44749.15900714121</v>
      </c>
      <c r="B5214" s="50">
        <v>44749.2839830324</v>
      </c>
      <c r="C5214" s="51">
        <v>1.004</v>
      </c>
      <c r="D5214" s="51">
        <v>69.0</v>
      </c>
      <c r="E5214" s="52" t="s">
        <v>25</v>
      </c>
      <c r="F5214" s="52" t="s">
        <v>26</v>
      </c>
      <c r="G5214" s="53"/>
    </row>
    <row r="5215">
      <c r="A5215" s="49">
        <v>44749.16943622685</v>
      </c>
      <c r="B5215" s="50">
        <v>44749.2944157523</v>
      </c>
      <c r="C5215" s="51">
        <v>1.004</v>
      </c>
      <c r="D5215" s="51">
        <v>69.0</v>
      </c>
      <c r="E5215" s="52" t="s">
        <v>25</v>
      </c>
      <c r="F5215" s="52" t="s">
        <v>26</v>
      </c>
      <c r="G5215" s="53"/>
    </row>
    <row r="5216">
      <c r="A5216" s="49">
        <v>44749.17986542824</v>
      </c>
      <c r="B5216" s="50">
        <v>44749.3048372569</v>
      </c>
      <c r="C5216" s="51">
        <v>1.004</v>
      </c>
      <c r="D5216" s="51">
        <v>69.0</v>
      </c>
      <c r="E5216" s="52" t="s">
        <v>25</v>
      </c>
      <c r="F5216" s="52" t="s">
        <v>26</v>
      </c>
      <c r="G5216" s="53"/>
    </row>
    <row r="5217">
      <c r="A5217" s="49">
        <v>44749.19028461806</v>
      </c>
      <c r="B5217" s="50">
        <v>44749.3152580902</v>
      </c>
      <c r="C5217" s="51">
        <v>1.004</v>
      </c>
      <c r="D5217" s="51">
        <v>69.0</v>
      </c>
      <c r="E5217" s="52" t="s">
        <v>25</v>
      </c>
      <c r="F5217" s="52" t="s">
        <v>26</v>
      </c>
      <c r="G5217" s="53"/>
    </row>
    <row r="5218">
      <c r="A5218" s="49">
        <v>44749.20070548611</v>
      </c>
      <c r="B5218" s="50">
        <v>44749.3256797453</v>
      </c>
      <c r="C5218" s="51">
        <v>1.004</v>
      </c>
      <c r="D5218" s="51">
        <v>69.0</v>
      </c>
      <c r="E5218" s="52" t="s">
        <v>25</v>
      </c>
      <c r="F5218" s="52" t="s">
        <v>26</v>
      </c>
      <c r="G5218" s="53"/>
    </row>
    <row r="5219">
      <c r="A5219" s="49">
        <v>44749.21112635417</v>
      </c>
      <c r="B5219" s="50">
        <v>44749.3361017245</v>
      </c>
      <c r="C5219" s="51">
        <v>1.004</v>
      </c>
      <c r="D5219" s="51">
        <v>69.0</v>
      </c>
      <c r="E5219" s="52" t="s">
        <v>25</v>
      </c>
      <c r="F5219" s="52" t="s">
        <v>26</v>
      </c>
      <c r="G5219" s="53"/>
    </row>
    <row r="5220">
      <c r="A5220" s="49">
        <v>44749.22155277777</v>
      </c>
      <c r="B5220" s="50">
        <v>44749.3465247569</v>
      </c>
      <c r="C5220" s="51">
        <v>1.004</v>
      </c>
      <c r="D5220" s="51">
        <v>69.0</v>
      </c>
      <c r="E5220" s="52" t="s">
        <v>25</v>
      </c>
      <c r="F5220" s="52" t="s">
        <v>26</v>
      </c>
      <c r="G5220" s="53"/>
    </row>
    <row r="5221">
      <c r="A5221" s="49">
        <v>44749.23198534722</v>
      </c>
      <c r="B5221" s="50">
        <v>44749.3569567245</v>
      </c>
      <c r="C5221" s="51">
        <v>1.004</v>
      </c>
      <c r="D5221" s="51">
        <v>69.0</v>
      </c>
      <c r="E5221" s="52" t="s">
        <v>25</v>
      </c>
      <c r="F5221" s="52" t="s">
        <v>26</v>
      </c>
      <c r="G5221" s="53"/>
    </row>
    <row r="5222">
      <c r="A5222" s="49">
        <v>44749.242398229166</v>
      </c>
      <c r="B5222" s="50">
        <v>44749.3673785879</v>
      </c>
      <c r="C5222" s="51">
        <v>1.004</v>
      </c>
      <c r="D5222" s="51">
        <v>69.0</v>
      </c>
      <c r="E5222" s="52" t="s">
        <v>25</v>
      </c>
      <c r="F5222" s="52" t="s">
        <v>26</v>
      </c>
      <c r="G5222" s="53"/>
    </row>
    <row r="5223">
      <c r="A5223" s="49">
        <v>44749.25283760417</v>
      </c>
      <c r="B5223" s="50">
        <v>44749.3778112847</v>
      </c>
      <c r="C5223" s="51">
        <v>1.005</v>
      </c>
      <c r="D5223" s="51">
        <v>69.0</v>
      </c>
      <c r="E5223" s="52" t="s">
        <v>25</v>
      </c>
      <c r="F5223" s="52" t="s">
        <v>26</v>
      </c>
      <c r="G5223" s="53"/>
    </row>
    <row r="5224">
      <c r="A5224" s="49">
        <v>44749.26325945602</v>
      </c>
      <c r="B5224" s="50">
        <v>44749.3882332175</v>
      </c>
      <c r="C5224" s="51">
        <v>1.004</v>
      </c>
      <c r="D5224" s="51">
        <v>69.0</v>
      </c>
      <c r="E5224" s="52" t="s">
        <v>25</v>
      </c>
      <c r="F5224" s="52" t="s">
        <v>26</v>
      </c>
      <c r="G5224" s="53"/>
    </row>
    <row r="5225">
      <c r="A5225" s="49">
        <v>44749.27368215278</v>
      </c>
      <c r="B5225" s="50">
        <v>44749.3986548842</v>
      </c>
      <c r="C5225" s="51">
        <v>1.004</v>
      </c>
      <c r="D5225" s="51">
        <v>69.0</v>
      </c>
      <c r="E5225" s="52" t="s">
        <v>25</v>
      </c>
      <c r="F5225" s="52" t="s">
        <v>26</v>
      </c>
      <c r="G5225" s="53"/>
    </row>
    <row r="5226">
      <c r="A5226" s="49">
        <v>44749.28410574074</v>
      </c>
      <c r="B5226" s="50">
        <v>44749.4090759953</v>
      </c>
      <c r="C5226" s="51">
        <v>1.004</v>
      </c>
      <c r="D5226" s="51">
        <v>69.0</v>
      </c>
      <c r="E5226" s="52" t="s">
        <v>25</v>
      </c>
      <c r="F5226" s="52" t="s">
        <v>26</v>
      </c>
      <c r="G5226" s="53"/>
    </row>
    <row r="5227">
      <c r="A5227" s="49">
        <v>44749.29452109954</v>
      </c>
      <c r="B5227" s="50">
        <v>44749.4194974421</v>
      </c>
      <c r="C5227" s="51">
        <v>1.004</v>
      </c>
      <c r="D5227" s="51">
        <v>69.0</v>
      </c>
      <c r="E5227" s="52" t="s">
        <v>25</v>
      </c>
      <c r="F5227" s="52" t="s">
        <v>26</v>
      </c>
      <c r="G5227" s="53"/>
    </row>
    <row r="5228">
      <c r="A5228" s="49">
        <v>44749.30497003472</v>
      </c>
      <c r="B5228" s="50">
        <v>44749.4299301157</v>
      </c>
      <c r="C5228" s="51">
        <v>1.004</v>
      </c>
      <c r="D5228" s="51">
        <v>69.0</v>
      </c>
      <c r="E5228" s="52" t="s">
        <v>25</v>
      </c>
      <c r="F5228" s="52" t="s">
        <v>26</v>
      </c>
      <c r="G5228" s="53"/>
    </row>
    <row r="5229">
      <c r="A5229" s="49">
        <v>44749.31539079861</v>
      </c>
      <c r="B5229" s="50">
        <v>44749.4403619444</v>
      </c>
      <c r="C5229" s="51">
        <v>1.004</v>
      </c>
      <c r="D5229" s="51">
        <v>69.0</v>
      </c>
      <c r="E5229" s="52" t="s">
        <v>25</v>
      </c>
      <c r="F5229" s="52" t="s">
        <v>26</v>
      </c>
      <c r="G5229" s="53"/>
    </row>
    <row r="5230">
      <c r="A5230" s="49">
        <v>44749.32580994213</v>
      </c>
      <c r="B5230" s="50">
        <v>44749.4507936226</v>
      </c>
      <c r="C5230" s="51">
        <v>1.004</v>
      </c>
      <c r="D5230" s="51">
        <v>69.0</v>
      </c>
      <c r="E5230" s="52" t="s">
        <v>25</v>
      </c>
      <c r="F5230" s="52" t="s">
        <v>26</v>
      </c>
      <c r="G5230" s="53"/>
    </row>
    <row r="5231">
      <c r="A5231" s="49">
        <v>44749.33623369213</v>
      </c>
      <c r="B5231" s="50">
        <v>44749.4612150463</v>
      </c>
      <c r="C5231" s="51">
        <v>1.004</v>
      </c>
      <c r="D5231" s="51">
        <v>69.0</v>
      </c>
      <c r="E5231" s="52" t="s">
        <v>25</v>
      </c>
      <c r="F5231" s="52" t="s">
        <v>26</v>
      </c>
      <c r="G5231" s="53"/>
    </row>
    <row r="5232">
      <c r="A5232" s="49">
        <v>44749.34665465278</v>
      </c>
      <c r="B5232" s="50">
        <v>44749.4716346875</v>
      </c>
      <c r="C5232" s="51">
        <v>1.004</v>
      </c>
      <c r="D5232" s="51">
        <v>69.0</v>
      </c>
      <c r="E5232" s="52" t="s">
        <v>25</v>
      </c>
      <c r="F5232" s="52" t="s">
        <v>26</v>
      </c>
      <c r="G5232" s="53"/>
    </row>
    <row r="5233">
      <c r="A5233" s="49">
        <v>44749.35708570602</v>
      </c>
      <c r="B5233" s="50">
        <v>44749.4820555324</v>
      </c>
      <c r="C5233" s="51">
        <v>1.004</v>
      </c>
      <c r="D5233" s="51">
        <v>69.0</v>
      </c>
      <c r="E5233" s="52" t="s">
        <v>25</v>
      </c>
      <c r="F5233" s="52" t="s">
        <v>26</v>
      </c>
      <c r="G5233" s="53"/>
    </row>
    <row r="5234">
      <c r="A5234" s="49">
        <v>44749.367515081016</v>
      </c>
      <c r="B5234" s="50">
        <v>44749.4924872916</v>
      </c>
      <c r="C5234" s="51">
        <v>1.004</v>
      </c>
      <c r="D5234" s="51">
        <v>69.0</v>
      </c>
      <c r="E5234" s="52" t="s">
        <v>25</v>
      </c>
      <c r="F5234" s="52" t="s">
        <v>26</v>
      </c>
      <c r="G5234" s="53"/>
    </row>
    <row r="5235">
      <c r="A5235" s="49">
        <v>44749.3779546875</v>
      </c>
      <c r="B5235" s="50">
        <v>44749.5029314583</v>
      </c>
      <c r="C5235" s="51">
        <v>1.004</v>
      </c>
      <c r="D5235" s="51">
        <v>69.0</v>
      </c>
      <c r="E5235" s="52" t="s">
        <v>25</v>
      </c>
      <c r="F5235" s="52" t="s">
        <v>26</v>
      </c>
      <c r="G5235" s="53"/>
    </row>
    <row r="5236">
      <c r="A5236" s="49">
        <v>44749.3883728125</v>
      </c>
      <c r="B5236" s="50">
        <v>44749.5133515856</v>
      </c>
      <c r="C5236" s="51">
        <v>1.004</v>
      </c>
      <c r="D5236" s="51">
        <v>69.0</v>
      </c>
      <c r="E5236" s="52" t="s">
        <v>25</v>
      </c>
      <c r="F5236" s="52" t="s">
        <v>26</v>
      </c>
      <c r="G5236" s="53"/>
    </row>
    <row r="5237">
      <c r="A5237" s="49">
        <v>44749.39879652778</v>
      </c>
      <c r="B5237" s="50">
        <v>44749.5237718518</v>
      </c>
      <c r="C5237" s="51">
        <v>1.004</v>
      </c>
      <c r="D5237" s="51">
        <v>69.0</v>
      </c>
      <c r="E5237" s="52" t="s">
        <v>25</v>
      </c>
      <c r="F5237" s="52" t="s">
        <v>26</v>
      </c>
      <c r="G5237" s="53"/>
    </row>
    <row r="5238">
      <c r="A5238" s="49">
        <v>44749.40922421296</v>
      </c>
      <c r="B5238" s="50">
        <v>44749.5341941782</v>
      </c>
      <c r="C5238" s="51">
        <v>1.004</v>
      </c>
      <c r="D5238" s="51">
        <v>69.0</v>
      </c>
      <c r="E5238" s="52" t="s">
        <v>25</v>
      </c>
      <c r="F5238" s="52" t="s">
        <v>26</v>
      </c>
      <c r="G5238" s="53"/>
    </row>
    <row r="5239">
      <c r="A5239" s="49">
        <v>44749.41965107639</v>
      </c>
      <c r="B5239" s="50">
        <v>44749.5446155555</v>
      </c>
      <c r="C5239" s="51">
        <v>1.004</v>
      </c>
      <c r="D5239" s="51">
        <v>69.0</v>
      </c>
      <c r="E5239" s="52" t="s">
        <v>25</v>
      </c>
      <c r="F5239" s="52" t="s">
        <v>26</v>
      </c>
      <c r="G5239" s="53"/>
    </row>
    <row r="5240">
      <c r="A5240" s="49">
        <v>44749.43005627315</v>
      </c>
      <c r="B5240" s="50">
        <v>44749.5550371412</v>
      </c>
      <c r="C5240" s="51">
        <v>1.004</v>
      </c>
      <c r="D5240" s="51">
        <v>69.0</v>
      </c>
      <c r="E5240" s="52" t="s">
        <v>25</v>
      </c>
      <c r="F5240" s="52" t="s">
        <v>26</v>
      </c>
      <c r="G5240" s="53"/>
    </row>
    <row r="5241">
      <c r="A5241" s="49">
        <v>44749.44050278935</v>
      </c>
      <c r="B5241" s="50">
        <v>44749.5654806712</v>
      </c>
      <c r="C5241" s="51">
        <v>1.004</v>
      </c>
      <c r="D5241" s="51">
        <v>69.0</v>
      </c>
      <c r="E5241" s="52" t="s">
        <v>25</v>
      </c>
      <c r="F5241" s="52" t="s">
        <v>26</v>
      </c>
      <c r="G5241" s="53"/>
    </row>
    <row r="5242">
      <c r="A5242" s="49">
        <v>44749.45092849537</v>
      </c>
      <c r="B5242" s="50">
        <v>44749.5759010416</v>
      </c>
      <c r="C5242" s="51">
        <v>1.004</v>
      </c>
      <c r="D5242" s="51">
        <v>69.0</v>
      </c>
      <c r="E5242" s="52" t="s">
        <v>25</v>
      </c>
      <c r="F5242" s="52" t="s">
        <v>26</v>
      </c>
      <c r="G5242" s="53"/>
    </row>
    <row r="5243">
      <c r="A5243" s="49">
        <v>44749.461350694444</v>
      </c>
      <c r="B5243" s="50">
        <v>44749.5863225115</v>
      </c>
      <c r="C5243" s="51">
        <v>1.004</v>
      </c>
      <c r="D5243" s="51">
        <v>69.0</v>
      </c>
      <c r="E5243" s="52" t="s">
        <v>25</v>
      </c>
      <c r="F5243" s="52" t="s">
        <v>26</v>
      </c>
      <c r="G5243" s="53"/>
    </row>
    <row r="5244">
      <c r="A5244" s="49">
        <v>44749.47176849537</v>
      </c>
      <c r="B5244" s="50">
        <v>44749.5967442708</v>
      </c>
      <c r="C5244" s="51">
        <v>1.004</v>
      </c>
      <c r="D5244" s="51">
        <v>69.0</v>
      </c>
      <c r="E5244" s="52" t="s">
        <v>25</v>
      </c>
      <c r="F5244" s="52" t="s">
        <v>26</v>
      </c>
      <c r="G5244" s="53"/>
    </row>
    <row r="5245">
      <c r="A5245" s="49">
        <v>44749.4821846875</v>
      </c>
      <c r="B5245" s="50">
        <v>44749.6071643055</v>
      </c>
      <c r="C5245" s="51">
        <v>1.004</v>
      </c>
      <c r="D5245" s="51">
        <v>69.0</v>
      </c>
      <c r="E5245" s="52" t="s">
        <v>25</v>
      </c>
      <c r="F5245" s="52" t="s">
        <v>26</v>
      </c>
      <c r="G5245" s="53"/>
    </row>
    <row r="5246">
      <c r="A5246" s="49">
        <v>44749.49261046296</v>
      </c>
      <c r="B5246" s="50">
        <v>44749.6175855092</v>
      </c>
      <c r="C5246" s="51">
        <v>1.004</v>
      </c>
      <c r="D5246" s="51">
        <v>69.0</v>
      </c>
      <c r="E5246" s="52" t="s">
        <v>25</v>
      </c>
      <c r="F5246" s="52" t="s">
        <v>26</v>
      </c>
      <c r="G5246" s="53"/>
    </row>
    <row r="5247">
      <c r="A5247" s="49">
        <v>44749.5030238426</v>
      </c>
      <c r="B5247" s="50">
        <v>44749.628005</v>
      </c>
      <c r="C5247" s="51">
        <v>1.004</v>
      </c>
      <c r="D5247" s="51">
        <v>69.0</v>
      </c>
      <c r="E5247" s="52" t="s">
        <v>25</v>
      </c>
      <c r="F5247" s="52" t="s">
        <v>26</v>
      </c>
      <c r="G5247" s="53"/>
    </row>
    <row r="5248">
      <c r="A5248" s="49">
        <v>44749.51344569444</v>
      </c>
      <c r="B5248" s="50">
        <v>44749.6384246064</v>
      </c>
      <c r="C5248" s="51">
        <v>1.004</v>
      </c>
      <c r="D5248" s="51">
        <v>69.0</v>
      </c>
      <c r="E5248" s="52" t="s">
        <v>25</v>
      </c>
      <c r="F5248" s="52" t="s">
        <v>26</v>
      </c>
      <c r="G5248" s="53"/>
    </row>
    <row r="5249">
      <c r="A5249" s="49">
        <v>44749.52387278935</v>
      </c>
      <c r="B5249" s="50">
        <v>44749.6488464467</v>
      </c>
      <c r="C5249" s="51">
        <v>1.004</v>
      </c>
      <c r="D5249" s="51">
        <v>69.0</v>
      </c>
      <c r="E5249" s="52" t="s">
        <v>25</v>
      </c>
      <c r="F5249" s="52" t="s">
        <v>26</v>
      </c>
      <c r="G5249" s="53"/>
    </row>
    <row r="5250">
      <c r="A5250" s="49">
        <v>44749.53429060185</v>
      </c>
      <c r="B5250" s="50">
        <v>44749.6592676273</v>
      </c>
      <c r="C5250" s="51">
        <v>1.004</v>
      </c>
      <c r="D5250" s="51">
        <v>69.0</v>
      </c>
      <c r="E5250" s="52" t="s">
        <v>25</v>
      </c>
      <c r="F5250" s="52" t="s">
        <v>26</v>
      </c>
      <c r="G5250" s="53"/>
    </row>
    <row r="5251">
      <c r="A5251" s="49">
        <v>44749.54472996527</v>
      </c>
      <c r="B5251" s="50">
        <v>44749.6697017939</v>
      </c>
      <c r="C5251" s="51">
        <v>1.004</v>
      </c>
      <c r="D5251" s="51">
        <v>69.0</v>
      </c>
      <c r="E5251" s="52" t="s">
        <v>25</v>
      </c>
      <c r="F5251" s="52" t="s">
        <v>26</v>
      </c>
      <c r="G5251" s="53"/>
    </row>
    <row r="5252">
      <c r="A5252" s="49">
        <v>44749.55514589121</v>
      </c>
      <c r="B5252" s="50">
        <v>44749.680121493</v>
      </c>
      <c r="C5252" s="51">
        <v>1.004</v>
      </c>
      <c r="D5252" s="51">
        <v>69.0</v>
      </c>
      <c r="E5252" s="52" t="s">
        <v>25</v>
      </c>
      <c r="F5252" s="52" t="s">
        <v>26</v>
      </c>
      <c r="G5252" s="53"/>
    </row>
    <row r="5253">
      <c r="A5253" s="49">
        <v>44749.56557277778</v>
      </c>
      <c r="B5253" s="50">
        <v>44749.6905546064</v>
      </c>
      <c r="C5253" s="51">
        <v>1.004</v>
      </c>
      <c r="D5253" s="51">
        <v>69.0</v>
      </c>
      <c r="E5253" s="52" t="s">
        <v>25</v>
      </c>
      <c r="F5253" s="52" t="s">
        <v>26</v>
      </c>
      <c r="G5253" s="53"/>
    </row>
    <row r="5254">
      <c r="A5254" s="49">
        <v>44749.57600103009</v>
      </c>
      <c r="B5254" s="50">
        <v>44749.7009756481</v>
      </c>
      <c r="C5254" s="51">
        <v>1.004</v>
      </c>
      <c r="D5254" s="51">
        <v>69.0</v>
      </c>
      <c r="E5254" s="52" t="s">
        <v>25</v>
      </c>
      <c r="F5254" s="52" t="s">
        <v>26</v>
      </c>
      <c r="G5254" s="53"/>
    </row>
    <row r="5255">
      <c r="A5255" s="49">
        <v>44749.58642121528</v>
      </c>
      <c r="B5255" s="50">
        <v>44749.7113972569</v>
      </c>
      <c r="C5255" s="51">
        <v>1.004</v>
      </c>
      <c r="D5255" s="51">
        <v>70.0</v>
      </c>
      <c r="E5255" s="52" t="s">
        <v>25</v>
      </c>
      <c r="F5255" s="52" t="s">
        <v>26</v>
      </c>
      <c r="G5255" s="53"/>
    </row>
    <row r="5256">
      <c r="A5256" s="49">
        <v>44749.59683988426</v>
      </c>
      <c r="B5256" s="50">
        <v>44749.7218190972</v>
      </c>
      <c r="C5256" s="51">
        <v>1.004</v>
      </c>
      <c r="D5256" s="51">
        <v>70.0</v>
      </c>
      <c r="E5256" s="52" t="s">
        <v>25</v>
      </c>
      <c r="F5256" s="52" t="s">
        <v>26</v>
      </c>
      <c r="G5256" s="53"/>
    </row>
    <row r="5257">
      <c r="A5257" s="49">
        <v>44749.60729925926</v>
      </c>
      <c r="B5257" s="50">
        <v>44749.7322745833</v>
      </c>
      <c r="C5257" s="51">
        <v>1.004</v>
      </c>
      <c r="D5257" s="51">
        <v>70.0</v>
      </c>
      <c r="E5257" s="52" t="s">
        <v>25</v>
      </c>
      <c r="F5257" s="52" t="s">
        <v>26</v>
      </c>
      <c r="G5257" s="53"/>
    </row>
    <row r="5258">
      <c r="A5258" s="49">
        <v>44749.617722939816</v>
      </c>
      <c r="B5258" s="50">
        <v>44749.7426960301</v>
      </c>
      <c r="C5258" s="51">
        <v>1.004</v>
      </c>
      <c r="D5258" s="51">
        <v>69.0</v>
      </c>
      <c r="E5258" s="52" t="s">
        <v>25</v>
      </c>
      <c r="F5258" s="52" t="s">
        <v>26</v>
      </c>
      <c r="G5258" s="53"/>
    </row>
    <row r="5259">
      <c r="A5259" s="49">
        <v>44749.62813982639</v>
      </c>
      <c r="B5259" s="50">
        <v>44749.753115706</v>
      </c>
      <c r="C5259" s="51">
        <v>1.004</v>
      </c>
      <c r="D5259" s="51">
        <v>70.0</v>
      </c>
      <c r="E5259" s="52" t="s">
        <v>25</v>
      </c>
      <c r="F5259" s="52" t="s">
        <v>26</v>
      </c>
      <c r="G5259" s="53"/>
    </row>
    <row r="5260">
      <c r="A5260" s="49">
        <v>44749.63855974537</v>
      </c>
      <c r="B5260" s="50">
        <v>44749.7635366898</v>
      </c>
      <c r="C5260" s="51">
        <v>1.004</v>
      </c>
      <c r="D5260" s="51">
        <v>69.0</v>
      </c>
      <c r="E5260" s="52" t="s">
        <v>25</v>
      </c>
      <c r="F5260" s="52" t="s">
        <v>26</v>
      </c>
      <c r="G5260" s="53"/>
    </row>
    <row r="5261">
      <c r="A5261" s="49">
        <v>44749.64898949074</v>
      </c>
      <c r="B5261" s="50">
        <v>44749.7739708333</v>
      </c>
      <c r="C5261" s="51">
        <v>1.004</v>
      </c>
      <c r="D5261" s="51">
        <v>69.0</v>
      </c>
      <c r="E5261" s="52" t="s">
        <v>25</v>
      </c>
      <c r="F5261" s="52" t="s">
        <v>26</v>
      </c>
      <c r="G5261" s="53"/>
    </row>
    <row r="5262">
      <c r="A5262" s="49">
        <v>44749.65941289352</v>
      </c>
      <c r="B5262" s="50">
        <v>44749.7843922222</v>
      </c>
      <c r="C5262" s="51">
        <v>1.004</v>
      </c>
      <c r="D5262" s="51">
        <v>70.0</v>
      </c>
      <c r="E5262" s="52" t="s">
        <v>25</v>
      </c>
      <c r="F5262" s="52" t="s">
        <v>26</v>
      </c>
      <c r="G5262" s="53"/>
    </row>
    <row r="5263">
      <c r="A5263" s="49">
        <v>44749.66984959491</v>
      </c>
      <c r="B5263" s="50">
        <v>44749.794824699</v>
      </c>
      <c r="C5263" s="51">
        <v>1.004</v>
      </c>
      <c r="D5263" s="51">
        <v>70.0</v>
      </c>
      <c r="E5263" s="52" t="s">
        <v>25</v>
      </c>
      <c r="F5263" s="52" t="s">
        <v>26</v>
      </c>
      <c r="G5263" s="53"/>
    </row>
    <row r="5264">
      <c r="A5264" s="49">
        <v>44749.68027722222</v>
      </c>
      <c r="B5264" s="50">
        <v>44749.8052578009</v>
      </c>
      <c r="C5264" s="51">
        <v>1.004</v>
      </c>
      <c r="D5264" s="51">
        <v>70.0</v>
      </c>
      <c r="E5264" s="52" t="s">
        <v>25</v>
      </c>
      <c r="F5264" s="52" t="s">
        <v>26</v>
      </c>
      <c r="G5264" s="53"/>
    </row>
    <row r="5265">
      <c r="A5265" s="49">
        <v>44749.6907081713</v>
      </c>
      <c r="B5265" s="50">
        <v>44749.8156798379</v>
      </c>
      <c r="C5265" s="51">
        <v>1.004</v>
      </c>
      <c r="D5265" s="51">
        <v>70.0</v>
      </c>
      <c r="E5265" s="52" t="s">
        <v>25</v>
      </c>
      <c r="F5265" s="52" t="s">
        <v>26</v>
      </c>
      <c r="G5265" s="53"/>
    </row>
    <row r="5266">
      <c r="A5266" s="49">
        <v>44749.70113943287</v>
      </c>
      <c r="B5266" s="50">
        <v>44749.8261114583</v>
      </c>
      <c r="C5266" s="51">
        <v>1.004</v>
      </c>
      <c r="D5266" s="51">
        <v>70.0</v>
      </c>
      <c r="E5266" s="52" t="s">
        <v>25</v>
      </c>
      <c r="F5266" s="52" t="s">
        <v>26</v>
      </c>
      <c r="G5266" s="53"/>
    </row>
    <row r="5267">
      <c r="A5267" s="49">
        <v>44749.7115505324</v>
      </c>
      <c r="B5267" s="50">
        <v>44749.836531493</v>
      </c>
      <c r="C5267" s="51">
        <v>1.004</v>
      </c>
      <c r="D5267" s="51">
        <v>70.0</v>
      </c>
      <c r="E5267" s="52" t="s">
        <v>25</v>
      </c>
      <c r="F5267" s="52" t="s">
        <v>26</v>
      </c>
      <c r="G5267" s="53"/>
    </row>
    <row r="5268">
      <c r="A5268" s="49">
        <v>44749.72198002315</v>
      </c>
      <c r="B5268" s="50">
        <v>44749.8469525</v>
      </c>
      <c r="C5268" s="51">
        <v>1.004</v>
      </c>
      <c r="D5268" s="51">
        <v>70.0</v>
      </c>
      <c r="E5268" s="52" t="s">
        <v>25</v>
      </c>
      <c r="F5268" s="52" t="s">
        <v>26</v>
      </c>
      <c r="G5268" s="53"/>
    </row>
    <row r="5269">
      <c r="A5269" s="49">
        <v>44749.732409502314</v>
      </c>
      <c r="B5269" s="50">
        <v>44749.8573873726</v>
      </c>
      <c r="C5269" s="51">
        <v>1.004</v>
      </c>
      <c r="D5269" s="51">
        <v>70.0</v>
      </c>
      <c r="E5269" s="52" t="s">
        <v>25</v>
      </c>
      <c r="F5269" s="52" t="s">
        <v>26</v>
      </c>
      <c r="G5269" s="53"/>
    </row>
    <row r="5270">
      <c r="A5270" s="49">
        <v>44749.742842499996</v>
      </c>
      <c r="B5270" s="50">
        <v>44749.8678194907</v>
      </c>
      <c r="C5270" s="51">
        <v>1.004</v>
      </c>
      <c r="D5270" s="51">
        <v>70.0</v>
      </c>
      <c r="E5270" s="52" t="s">
        <v>25</v>
      </c>
      <c r="F5270" s="52" t="s">
        <v>26</v>
      </c>
      <c r="G5270" s="53"/>
    </row>
    <row r="5271">
      <c r="A5271" s="49">
        <v>44749.75326091435</v>
      </c>
      <c r="B5271" s="50">
        <v>44749.8782391666</v>
      </c>
      <c r="C5271" s="51">
        <v>1.004</v>
      </c>
      <c r="D5271" s="51">
        <v>70.0</v>
      </c>
      <c r="E5271" s="52" t="s">
        <v>25</v>
      </c>
      <c r="F5271" s="52" t="s">
        <v>26</v>
      </c>
      <c r="G5271" s="53"/>
    </row>
    <row r="5272">
      <c r="A5272" s="49">
        <v>44749.76367828704</v>
      </c>
      <c r="B5272" s="50">
        <v>44749.8886614699</v>
      </c>
      <c r="C5272" s="51">
        <v>1.004</v>
      </c>
      <c r="D5272" s="51">
        <v>70.0</v>
      </c>
      <c r="E5272" s="52" t="s">
        <v>25</v>
      </c>
      <c r="F5272" s="52" t="s">
        <v>26</v>
      </c>
      <c r="G5272" s="53"/>
    </row>
    <row r="5273">
      <c r="A5273" s="49">
        <v>44749.77411993056</v>
      </c>
      <c r="B5273" s="50">
        <v>44749.8990949421</v>
      </c>
      <c r="C5273" s="51">
        <v>1.004</v>
      </c>
      <c r="D5273" s="51">
        <v>70.0</v>
      </c>
      <c r="E5273" s="52" t="s">
        <v>25</v>
      </c>
      <c r="F5273" s="52" t="s">
        <v>26</v>
      </c>
      <c r="G5273" s="53"/>
    </row>
    <row r="5274">
      <c r="A5274" s="49">
        <v>44749.784538368054</v>
      </c>
      <c r="B5274" s="50">
        <v>44749.9095174884</v>
      </c>
      <c r="C5274" s="51">
        <v>1.004</v>
      </c>
      <c r="D5274" s="51">
        <v>70.0</v>
      </c>
      <c r="E5274" s="52" t="s">
        <v>25</v>
      </c>
      <c r="F5274" s="52" t="s">
        <v>26</v>
      </c>
      <c r="G5274" s="53"/>
    </row>
    <row r="5275">
      <c r="A5275" s="49">
        <v>44749.7949653588</v>
      </c>
      <c r="B5275" s="50">
        <v>44749.919938912</v>
      </c>
      <c r="C5275" s="51">
        <v>1.004</v>
      </c>
      <c r="D5275" s="51">
        <v>70.0</v>
      </c>
      <c r="E5275" s="52" t="s">
        <v>25</v>
      </c>
      <c r="F5275" s="52" t="s">
        <v>26</v>
      </c>
      <c r="G5275" s="53"/>
    </row>
    <row r="5276">
      <c r="A5276" s="49">
        <v>44749.80538456018</v>
      </c>
      <c r="B5276" s="50">
        <v>44749.9303591203</v>
      </c>
      <c r="C5276" s="51">
        <v>1.004</v>
      </c>
      <c r="D5276" s="51">
        <v>70.0</v>
      </c>
      <c r="E5276" s="52" t="s">
        <v>25</v>
      </c>
      <c r="F5276" s="52" t="s">
        <v>26</v>
      </c>
      <c r="G5276" s="53"/>
    </row>
    <row r="5277">
      <c r="A5277" s="49">
        <v>44749.815806122686</v>
      </c>
      <c r="B5277" s="50">
        <v>44749.9407805671</v>
      </c>
      <c r="C5277" s="51">
        <v>1.004</v>
      </c>
      <c r="D5277" s="51">
        <v>70.0</v>
      </c>
      <c r="E5277" s="52" t="s">
        <v>25</v>
      </c>
      <c r="F5277" s="52" t="s">
        <v>26</v>
      </c>
      <c r="G5277" s="53"/>
    </row>
    <row r="5278">
      <c r="A5278" s="49">
        <v>44749.82623114584</v>
      </c>
      <c r="B5278" s="50">
        <v>44749.9512026157</v>
      </c>
      <c r="C5278" s="51">
        <v>1.004</v>
      </c>
      <c r="D5278" s="51">
        <v>70.0</v>
      </c>
      <c r="E5278" s="52" t="s">
        <v>25</v>
      </c>
      <c r="F5278" s="52" t="s">
        <v>26</v>
      </c>
      <c r="G5278" s="53"/>
    </row>
    <row r="5279">
      <c r="A5279" s="49">
        <v>44749.83664815972</v>
      </c>
      <c r="B5279" s="50">
        <v>44749.9616244907</v>
      </c>
      <c r="C5279" s="51">
        <v>1.004</v>
      </c>
      <c r="D5279" s="51">
        <v>70.0</v>
      </c>
      <c r="E5279" s="52" t="s">
        <v>25</v>
      </c>
      <c r="F5279" s="52" t="s">
        <v>26</v>
      </c>
      <c r="G5279" s="53"/>
    </row>
    <row r="5280">
      <c r="A5280" s="49">
        <v>44749.84707146991</v>
      </c>
      <c r="B5280" s="50">
        <v>44749.9720459143</v>
      </c>
      <c r="C5280" s="51">
        <v>1.004</v>
      </c>
      <c r="D5280" s="51">
        <v>70.0</v>
      </c>
      <c r="E5280" s="52" t="s">
        <v>25</v>
      </c>
      <c r="F5280" s="52" t="s">
        <v>26</v>
      </c>
      <c r="G5280" s="53"/>
    </row>
    <row r="5281">
      <c r="A5281" s="49">
        <v>44749.85748890047</v>
      </c>
      <c r="B5281" s="50">
        <v>44749.9824683796</v>
      </c>
      <c r="C5281" s="51">
        <v>1.004</v>
      </c>
      <c r="D5281" s="51">
        <v>70.0</v>
      </c>
      <c r="E5281" s="52" t="s">
        <v>25</v>
      </c>
      <c r="F5281" s="52" t="s">
        <v>26</v>
      </c>
      <c r="G5281" s="53"/>
    </row>
    <row r="5282">
      <c r="A5282" s="49">
        <v>44749.867917083335</v>
      </c>
      <c r="B5282" s="50">
        <v>44749.9928893287</v>
      </c>
      <c r="C5282" s="51">
        <v>1.004</v>
      </c>
      <c r="D5282" s="51">
        <v>70.0</v>
      </c>
      <c r="E5282" s="52" t="s">
        <v>25</v>
      </c>
      <c r="F5282" s="52" t="s">
        <v>26</v>
      </c>
      <c r="G5282" s="53"/>
    </row>
    <row r="5283">
      <c r="A5283" s="49">
        <v>44749.87832650463</v>
      </c>
      <c r="B5283" s="50">
        <v>44750.0033094444</v>
      </c>
      <c r="C5283" s="51">
        <v>1.004</v>
      </c>
      <c r="D5283" s="51">
        <v>70.0</v>
      </c>
      <c r="E5283" s="52" t="s">
        <v>25</v>
      </c>
      <c r="F5283" s="52" t="s">
        <v>26</v>
      </c>
      <c r="G5283" s="53"/>
    </row>
    <row r="5284">
      <c r="A5284" s="49">
        <v>44749.88874790509</v>
      </c>
      <c r="B5284" s="50">
        <v>44750.0137306481</v>
      </c>
      <c r="C5284" s="51">
        <v>1.004</v>
      </c>
      <c r="D5284" s="51">
        <v>70.0</v>
      </c>
      <c r="E5284" s="52" t="s">
        <v>25</v>
      </c>
      <c r="F5284" s="52" t="s">
        <v>26</v>
      </c>
      <c r="G5284" s="53"/>
    </row>
    <row r="5285">
      <c r="A5285" s="49">
        <v>44749.899189918986</v>
      </c>
      <c r="B5285" s="50">
        <v>44750.0241630208</v>
      </c>
      <c r="C5285" s="51">
        <v>1.004</v>
      </c>
      <c r="D5285" s="51">
        <v>70.0</v>
      </c>
      <c r="E5285" s="52" t="s">
        <v>25</v>
      </c>
      <c r="F5285" s="52" t="s">
        <v>26</v>
      </c>
      <c r="G5285" s="53"/>
    </row>
    <row r="5286">
      <c r="A5286" s="49">
        <v>44749.90960450232</v>
      </c>
      <c r="B5286" s="50">
        <v>44750.03458375</v>
      </c>
      <c r="C5286" s="51">
        <v>1.004</v>
      </c>
      <c r="D5286" s="51">
        <v>70.0</v>
      </c>
      <c r="E5286" s="52" t="s">
        <v>25</v>
      </c>
      <c r="F5286" s="52" t="s">
        <v>26</v>
      </c>
      <c r="G5286" s="53"/>
    </row>
    <row r="5287">
      <c r="A5287" s="49">
        <v>44749.92002967592</v>
      </c>
      <c r="B5287" s="50">
        <v>44750.0450052777</v>
      </c>
      <c r="C5287" s="51">
        <v>1.004</v>
      </c>
      <c r="D5287" s="51">
        <v>70.0</v>
      </c>
      <c r="E5287" s="52" t="s">
        <v>25</v>
      </c>
      <c r="F5287" s="52" t="s">
        <v>26</v>
      </c>
      <c r="G5287" s="53"/>
    </row>
    <row r="5288">
      <c r="A5288" s="49">
        <v>44749.93044945602</v>
      </c>
      <c r="B5288" s="50">
        <v>44750.0554270717</v>
      </c>
      <c r="C5288" s="51">
        <v>1.004</v>
      </c>
      <c r="D5288" s="51">
        <v>70.0</v>
      </c>
      <c r="E5288" s="52" t="s">
        <v>25</v>
      </c>
      <c r="F5288" s="52" t="s">
        <v>26</v>
      </c>
      <c r="G5288" s="53"/>
    </row>
    <row r="5289">
      <c r="A5289" s="49">
        <v>44749.940881435185</v>
      </c>
      <c r="B5289" s="50">
        <v>44750.0658597453</v>
      </c>
      <c r="C5289" s="51">
        <v>1.004</v>
      </c>
      <c r="D5289" s="51">
        <v>70.0</v>
      </c>
      <c r="E5289" s="52" t="s">
        <v>25</v>
      </c>
      <c r="F5289" s="52" t="s">
        <v>26</v>
      </c>
      <c r="G5289" s="53"/>
    </row>
    <row r="5290">
      <c r="A5290" s="49">
        <v>44749.95131074074</v>
      </c>
      <c r="B5290" s="50">
        <v>44750.0762810532</v>
      </c>
      <c r="C5290" s="51">
        <v>1.004</v>
      </c>
      <c r="D5290" s="51">
        <v>70.0</v>
      </c>
      <c r="E5290" s="52" t="s">
        <v>25</v>
      </c>
      <c r="F5290" s="52" t="s">
        <v>26</v>
      </c>
      <c r="G5290" s="53"/>
    </row>
    <row r="5291">
      <c r="A5291" s="49">
        <v>44749.961723252316</v>
      </c>
      <c r="B5291" s="50">
        <v>44750.0867017939</v>
      </c>
      <c r="C5291" s="51">
        <v>1.004</v>
      </c>
      <c r="D5291" s="51">
        <v>70.0</v>
      </c>
      <c r="E5291" s="52" t="s">
        <v>25</v>
      </c>
      <c r="F5291" s="52" t="s">
        <v>26</v>
      </c>
      <c r="G5291" s="53"/>
    </row>
    <row r="5292">
      <c r="A5292" s="49">
        <v>44749.97215</v>
      </c>
      <c r="B5292" s="50">
        <v>44750.0971230439</v>
      </c>
      <c r="C5292" s="51">
        <v>1.004</v>
      </c>
      <c r="D5292" s="51">
        <v>70.0</v>
      </c>
      <c r="E5292" s="52" t="s">
        <v>25</v>
      </c>
      <c r="F5292" s="52" t="s">
        <v>26</v>
      </c>
      <c r="G5292" s="53"/>
    </row>
    <row r="5293">
      <c r="A5293" s="49">
        <v>44749.98256289352</v>
      </c>
      <c r="B5293" s="50">
        <v>44750.1075442592</v>
      </c>
      <c r="C5293" s="51">
        <v>1.004</v>
      </c>
      <c r="D5293" s="51">
        <v>70.0</v>
      </c>
      <c r="E5293" s="52" t="s">
        <v>25</v>
      </c>
      <c r="F5293" s="52" t="s">
        <v>26</v>
      </c>
      <c r="G5293" s="53"/>
    </row>
    <row r="5294">
      <c r="A5294" s="49">
        <v>44749.99299678241</v>
      </c>
      <c r="B5294" s="50">
        <v>44750.1179653935</v>
      </c>
      <c r="C5294" s="51">
        <v>1.004</v>
      </c>
      <c r="D5294" s="51">
        <v>70.0</v>
      </c>
      <c r="E5294" s="52" t="s">
        <v>25</v>
      </c>
      <c r="F5294" s="52" t="s">
        <v>26</v>
      </c>
      <c r="G5294" s="53"/>
    </row>
    <row r="5295">
      <c r="A5295" s="49">
        <v>44750.00341269676</v>
      </c>
      <c r="B5295" s="50">
        <v>44750.1283852546</v>
      </c>
      <c r="C5295" s="51">
        <v>1.004</v>
      </c>
      <c r="D5295" s="51">
        <v>70.0</v>
      </c>
      <c r="E5295" s="52" t="s">
        <v>25</v>
      </c>
      <c r="F5295" s="52" t="s">
        <v>26</v>
      </c>
      <c r="G5295" s="53"/>
    </row>
    <row r="5296">
      <c r="A5296" s="49">
        <v>44750.013828958334</v>
      </c>
      <c r="B5296" s="50">
        <v>44750.1388066435</v>
      </c>
      <c r="C5296" s="51">
        <v>1.004</v>
      </c>
      <c r="D5296" s="51">
        <v>70.0</v>
      </c>
      <c r="E5296" s="52" t="s">
        <v>25</v>
      </c>
      <c r="F5296" s="52" t="s">
        <v>26</v>
      </c>
      <c r="G5296" s="53"/>
    </row>
    <row r="5297">
      <c r="A5297" s="49">
        <v>44750.02424920139</v>
      </c>
      <c r="B5297" s="50">
        <v>44750.1492258101</v>
      </c>
      <c r="C5297" s="51">
        <v>1.004</v>
      </c>
      <c r="D5297" s="51">
        <v>70.0</v>
      </c>
      <c r="E5297" s="52" t="s">
        <v>25</v>
      </c>
      <c r="F5297" s="52" t="s">
        <v>26</v>
      </c>
      <c r="G5297" s="53"/>
    </row>
    <row r="5298">
      <c r="A5298" s="49">
        <v>44750.03467429398</v>
      </c>
      <c r="B5298" s="50">
        <v>44750.159647743</v>
      </c>
      <c r="C5298" s="51">
        <v>1.004</v>
      </c>
      <c r="D5298" s="51">
        <v>70.0</v>
      </c>
      <c r="E5298" s="52" t="s">
        <v>25</v>
      </c>
      <c r="F5298" s="52" t="s">
        <v>26</v>
      </c>
      <c r="G5298" s="53"/>
    </row>
    <row r="5299">
      <c r="A5299" s="49">
        <v>44750.04512469907</v>
      </c>
      <c r="B5299" s="50">
        <v>44750.1701033449</v>
      </c>
      <c r="C5299" s="51">
        <v>1.004</v>
      </c>
      <c r="D5299" s="51">
        <v>70.0</v>
      </c>
      <c r="E5299" s="52" t="s">
        <v>25</v>
      </c>
      <c r="F5299" s="52" t="s">
        <v>26</v>
      </c>
      <c r="G5299" s="53"/>
    </row>
    <row r="5300">
      <c r="A5300" s="49">
        <v>44750.05554969907</v>
      </c>
      <c r="B5300" s="50">
        <v>44750.1805243634</v>
      </c>
      <c r="C5300" s="51">
        <v>1.004</v>
      </c>
      <c r="D5300" s="51">
        <v>70.0</v>
      </c>
      <c r="E5300" s="52" t="s">
        <v>25</v>
      </c>
      <c r="F5300" s="52" t="s">
        <v>26</v>
      </c>
      <c r="G5300" s="53"/>
    </row>
    <row r="5301">
      <c r="A5301" s="49">
        <v>44750.06596533565</v>
      </c>
      <c r="B5301" s="50">
        <v>44750.1909449537</v>
      </c>
      <c r="C5301" s="51">
        <v>1.004</v>
      </c>
      <c r="D5301" s="51">
        <v>70.0</v>
      </c>
      <c r="E5301" s="52" t="s">
        <v>25</v>
      </c>
      <c r="F5301" s="52" t="s">
        <v>26</v>
      </c>
      <c r="G5301" s="53"/>
    </row>
    <row r="5302">
      <c r="A5302" s="49">
        <v>44750.076381226856</v>
      </c>
      <c r="B5302" s="50">
        <v>44750.2013659722</v>
      </c>
      <c r="C5302" s="51">
        <v>1.004</v>
      </c>
      <c r="D5302" s="51">
        <v>70.0</v>
      </c>
      <c r="E5302" s="52" t="s">
        <v>25</v>
      </c>
      <c r="F5302" s="52" t="s">
        <v>26</v>
      </c>
      <c r="G5302" s="53"/>
    </row>
    <row r="5303">
      <c r="A5303" s="49">
        <v>44750.08682601852</v>
      </c>
      <c r="B5303" s="50">
        <v>44750.2117970601</v>
      </c>
      <c r="C5303" s="51">
        <v>1.004</v>
      </c>
      <c r="D5303" s="51">
        <v>70.0</v>
      </c>
      <c r="E5303" s="52" t="s">
        <v>25</v>
      </c>
      <c r="F5303" s="52" t="s">
        <v>26</v>
      </c>
      <c r="G5303" s="53"/>
    </row>
    <row r="5304">
      <c r="A5304" s="49">
        <v>44750.0972471412</v>
      </c>
      <c r="B5304" s="50">
        <v>44750.2222294907</v>
      </c>
      <c r="C5304" s="51">
        <v>1.004</v>
      </c>
      <c r="D5304" s="51">
        <v>70.0</v>
      </c>
      <c r="E5304" s="52" t="s">
        <v>25</v>
      </c>
      <c r="F5304" s="52" t="s">
        <v>26</v>
      </c>
      <c r="G5304" s="53"/>
    </row>
    <row r="5305">
      <c r="A5305" s="49">
        <v>44750.10767525463</v>
      </c>
      <c r="B5305" s="50">
        <v>44750.232648449</v>
      </c>
      <c r="C5305" s="51">
        <v>1.004</v>
      </c>
      <c r="D5305" s="51">
        <v>70.0</v>
      </c>
      <c r="E5305" s="52" t="s">
        <v>25</v>
      </c>
      <c r="F5305" s="52" t="s">
        <v>26</v>
      </c>
      <c r="G5305" s="53"/>
    </row>
    <row r="5306">
      <c r="A5306" s="49">
        <v>44750.118094432866</v>
      </c>
      <c r="B5306" s="50">
        <v>44750.2430690393</v>
      </c>
      <c r="C5306" s="51">
        <v>1.004</v>
      </c>
      <c r="D5306" s="51">
        <v>70.0</v>
      </c>
      <c r="E5306" s="52" t="s">
        <v>25</v>
      </c>
      <c r="F5306" s="52" t="s">
        <v>26</v>
      </c>
      <c r="G5306" s="53"/>
    </row>
    <row r="5307">
      <c r="A5307" s="49">
        <v>44750.128517743055</v>
      </c>
      <c r="B5307" s="50">
        <v>44750.2534922106</v>
      </c>
      <c r="C5307" s="51">
        <v>1.004</v>
      </c>
      <c r="D5307" s="51">
        <v>70.0</v>
      </c>
      <c r="E5307" s="52" t="s">
        <v>25</v>
      </c>
      <c r="F5307" s="52" t="s">
        <v>26</v>
      </c>
      <c r="G5307" s="53"/>
    </row>
    <row r="5308">
      <c r="A5308" s="49">
        <v>44750.138959178235</v>
      </c>
      <c r="B5308" s="50">
        <v>44750.2639343055</v>
      </c>
      <c r="C5308" s="51">
        <v>1.004</v>
      </c>
      <c r="D5308" s="51">
        <v>69.0</v>
      </c>
      <c r="E5308" s="52" t="s">
        <v>25</v>
      </c>
      <c r="F5308" s="52" t="s">
        <v>26</v>
      </c>
      <c r="G5308" s="53"/>
    </row>
    <row r="5309">
      <c r="A5309" s="49">
        <v>44750.14939346065</v>
      </c>
      <c r="B5309" s="50">
        <v>44750.2743670601</v>
      </c>
      <c r="C5309" s="51">
        <v>1.004</v>
      </c>
      <c r="D5309" s="51">
        <v>68.0</v>
      </c>
      <c r="E5309" s="52" t="s">
        <v>25</v>
      </c>
      <c r="F5309" s="52" t="s">
        <v>26</v>
      </c>
      <c r="G5309" s="53"/>
    </row>
    <row r="5310">
      <c r="A5310" s="49">
        <v>44750.15982165509</v>
      </c>
      <c r="B5310" s="50">
        <v>44750.2847989699</v>
      </c>
      <c r="C5310" s="51">
        <v>1.004</v>
      </c>
      <c r="D5310" s="51">
        <v>67.0</v>
      </c>
      <c r="E5310" s="52" t="s">
        <v>25</v>
      </c>
      <c r="F5310" s="52" t="s">
        <v>26</v>
      </c>
      <c r="G5310" s="53"/>
    </row>
    <row r="5311">
      <c r="A5311" s="49">
        <v>44750.170248344904</v>
      </c>
      <c r="B5311" s="50">
        <v>44750.2952205439</v>
      </c>
      <c r="C5311" s="51">
        <v>1.004</v>
      </c>
      <c r="D5311" s="51">
        <v>67.0</v>
      </c>
      <c r="E5311" s="52" t="s">
        <v>25</v>
      </c>
      <c r="F5311" s="52" t="s">
        <v>26</v>
      </c>
      <c r="G5311" s="53"/>
    </row>
    <row r="5312">
      <c r="A5312" s="49">
        <v>44750.18066092592</v>
      </c>
      <c r="B5312" s="50">
        <v>44750.3056409953</v>
      </c>
      <c r="C5312" s="51">
        <v>1.004</v>
      </c>
      <c r="D5312" s="51">
        <v>66.0</v>
      </c>
      <c r="E5312" s="52" t="s">
        <v>25</v>
      </c>
      <c r="F5312" s="52" t="s">
        <v>26</v>
      </c>
      <c r="G5312" s="53"/>
    </row>
    <row r="5313">
      <c r="A5313" s="49">
        <v>44750.191097233794</v>
      </c>
      <c r="B5313" s="50">
        <v>44750.3160740162</v>
      </c>
      <c r="C5313" s="51">
        <v>1.004</v>
      </c>
      <c r="D5313" s="51">
        <v>66.0</v>
      </c>
      <c r="E5313" s="52" t="s">
        <v>25</v>
      </c>
      <c r="F5313" s="52" t="s">
        <v>26</v>
      </c>
      <c r="G5313" s="53"/>
    </row>
    <row r="5314">
      <c r="A5314" s="49">
        <v>44750.20151842592</v>
      </c>
      <c r="B5314" s="50">
        <v>44750.3264949537</v>
      </c>
      <c r="C5314" s="51">
        <v>1.004</v>
      </c>
      <c r="D5314" s="51">
        <v>66.0</v>
      </c>
      <c r="E5314" s="52" t="s">
        <v>25</v>
      </c>
      <c r="F5314" s="52" t="s">
        <v>26</v>
      </c>
      <c r="G5314" s="53"/>
    </row>
    <row r="5315">
      <c r="A5315" s="49">
        <v>44750.21193826389</v>
      </c>
      <c r="B5315" s="50">
        <v>44750.3369158796</v>
      </c>
      <c r="C5315" s="51">
        <v>1.004</v>
      </c>
      <c r="D5315" s="51">
        <v>66.0</v>
      </c>
      <c r="E5315" s="52" t="s">
        <v>25</v>
      </c>
      <c r="F5315" s="52" t="s">
        <v>26</v>
      </c>
      <c r="G5315" s="53"/>
    </row>
    <row r="5316">
      <c r="A5316" s="49">
        <v>44750.222357719904</v>
      </c>
      <c r="B5316" s="50">
        <v>44750.3473373263</v>
      </c>
      <c r="C5316" s="51">
        <v>1.004</v>
      </c>
      <c r="D5316" s="51">
        <v>66.0</v>
      </c>
      <c r="E5316" s="52" t="s">
        <v>25</v>
      </c>
      <c r="F5316" s="52" t="s">
        <v>26</v>
      </c>
      <c r="G5316" s="53"/>
    </row>
    <row r="5317">
      <c r="A5317" s="49">
        <v>44750.232782465275</v>
      </c>
      <c r="B5317" s="50">
        <v>44750.3577608912</v>
      </c>
      <c r="C5317" s="51">
        <v>1.004</v>
      </c>
      <c r="D5317" s="51">
        <v>66.0</v>
      </c>
      <c r="E5317" s="52" t="s">
        <v>25</v>
      </c>
      <c r="F5317" s="52" t="s">
        <v>26</v>
      </c>
      <c r="G5317" s="53"/>
    </row>
    <row r="5318">
      <c r="A5318" s="49">
        <v>44750.24321760416</v>
      </c>
      <c r="B5318" s="50">
        <v>44750.3681927546</v>
      </c>
      <c r="C5318" s="51">
        <v>1.004</v>
      </c>
      <c r="D5318" s="51">
        <v>66.0</v>
      </c>
      <c r="E5318" s="52" t="s">
        <v>25</v>
      </c>
      <c r="F5318" s="52" t="s">
        <v>26</v>
      </c>
      <c r="G5318" s="53"/>
    </row>
    <row r="5319">
      <c r="A5319" s="49">
        <v>44750.25366873843</v>
      </c>
      <c r="B5319" s="50">
        <v>44750.3786488425</v>
      </c>
      <c r="C5319" s="51">
        <v>1.004</v>
      </c>
      <c r="D5319" s="51">
        <v>66.0</v>
      </c>
      <c r="E5319" s="52" t="s">
        <v>25</v>
      </c>
      <c r="F5319" s="52" t="s">
        <v>26</v>
      </c>
      <c r="G5319" s="53"/>
    </row>
    <row r="5320">
      <c r="A5320" s="49">
        <v>44750.26410758102</v>
      </c>
      <c r="B5320" s="50">
        <v>44750.3890830902</v>
      </c>
      <c r="C5320" s="51">
        <v>1.004</v>
      </c>
      <c r="D5320" s="51">
        <v>66.0</v>
      </c>
      <c r="E5320" s="52" t="s">
        <v>25</v>
      </c>
      <c r="F5320" s="52" t="s">
        <v>26</v>
      </c>
      <c r="G5320" s="53"/>
    </row>
    <row r="5321">
      <c r="A5321" s="49">
        <v>44750.274524328706</v>
      </c>
      <c r="B5321" s="50">
        <v>44750.399502662</v>
      </c>
      <c r="C5321" s="51">
        <v>1.004</v>
      </c>
      <c r="D5321" s="51">
        <v>66.0</v>
      </c>
      <c r="E5321" s="52" t="s">
        <v>25</v>
      </c>
      <c r="F5321" s="52" t="s">
        <v>26</v>
      </c>
      <c r="G5321" s="53"/>
    </row>
    <row r="5322">
      <c r="A5322" s="49">
        <v>44750.284948229164</v>
      </c>
      <c r="B5322" s="50">
        <v>44750.4099230324</v>
      </c>
      <c r="C5322" s="51">
        <v>1.004</v>
      </c>
      <c r="D5322" s="51">
        <v>66.0</v>
      </c>
      <c r="E5322" s="52" t="s">
        <v>25</v>
      </c>
      <c r="F5322" s="52" t="s">
        <v>26</v>
      </c>
      <c r="G5322" s="53"/>
    </row>
    <row r="5323">
      <c r="A5323" s="49">
        <v>44750.295363564815</v>
      </c>
      <c r="B5323" s="50">
        <v>44750.4203436574</v>
      </c>
      <c r="C5323" s="51">
        <v>1.004</v>
      </c>
      <c r="D5323" s="51">
        <v>66.0</v>
      </c>
      <c r="E5323" s="52" t="s">
        <v>25</v>
      </c>
      <c r="F5323" s="52" t="s">
        <v>26</v>
      </c>
      <c r="G5323" s="53"/>
    </row>
    <row r="5324">
      <c r="A5324" s="49">
        <v>44750.30577943287</v>
      </c>
      <c r="B5324" s="50">
        <v>44750.4307649652</v>
      </c>
      <c r="C5324" s="51">
        <v>1.004</v>
      </c>
      <c r="D5324" s="51">
        <v>66.0</v>
      </c>
      <c r="E5324" s="52" t="s">
        <v>25</v>
      </c>
      <c r="F5324" s="52" t="s">
        <v>26</v>
      </c>
      <c r="G5324" s="53"/>
    </row>
    <row r="5325">
      <c r="A5325" s="49">
        <v>44750.31621045139</v>
      </c>
      <c r="B5325" s="50">
        <v>44750.4411874421</v>
      </c>
      <c r="C5325" s="51">
        <v>1.004</v>
      </c>
      <c r="D5325" s="51">
        <v>66.0</v>
      </c>
      <c r="E5325" s="52" t="s">
        <v>25</v>
      </c>
      <c r="F5325" s="52" t="s">
        <v>26</v>
      </c>
      <c r="G5325" s="53"/>
    </row>
    <row r="5326">
      <c r="A5326" s="49">
        <v>44750.32662666666</v>
      </c>
      <c r="B5326" s="50">
        <v>44750.4516069675</v>
      </c>
      <c r="C5326" s="51">
        <v>1.005</v>
      </c>
      <c r="D5326" s="51">
        <v>66.0</v>
      </c>
      <c r="E5326" s="52" t="s">
        <v>25</v>
      </c>
      <c r="F5326" s="52" t="s">
        <v>26</v>
      </c>
      <c r="G5326" s="53"/>
    </row>
    <row r="5327">
      <c r="A5327" s="49">
        <v>44750.337057048615</v>
      </c>
      <c r="B5327" s="50">
        <v>44750.4620293287</v>
      </c>
      <c r="C5327" s="51">
        <v>1.004</v>
      </c>
      <c r="D5327" s="51">
        <v>66.0</v>
      </c>
      <c r="E5327" s="52" t="s">
        <v>25</v>
      </c>
      <c r="F5327" s="52" t="s">
        <v>26</v>
      </c>
      <c r="G5327" s="53"/>
    </row>
    <row r="5328">
      <c r="A5328" s="49">
        <v>44750.34747548611</v>
      </c>
      <c r="B5328" s="50">
        <v>44750.4724519213</v>
      </c>
      <c r="C5328" s="51">
        <v>1.004</v>
      </c>
      <c r="D5328" s="51">
        <v>66.0</v>
      </c>
      <c r="E5328" s="52" t="s">
        <v>25</v>
      </c>
      <c r="F5328" s="52" t="s">
        <v>26</v>
      </c>
      <c r="G5328" s="53"/>
    </row>
    <row r="5329">
      <c r="A5329" s="49">
        <v>44750.35789572917</v>
      </c>
      <c r="B5329" s="50">
        <v>44750.4828732986</v>
      </c>
      <c r="C5329" s="51">
        <v>1.004</v>
      </c>
      <c r="D5329" s="51">
        <v>66.0</v>
      </c>
      <c r="E5329" s="52" t="s">
        <v>25</v>
      </c>
      <c r="F5329" s="52" t="s">
        <v>26</v>
      </c>
      <c r="G5329" s="53"/>
    </row>
    <row r="5330">
      <c r="A5330" s="49">
        <v>44750.36831829861</v>
      </c>
      <c r="B5330" s="50">
        <v>44750.4932957176</v>
      </c>
      <c r="C5330" s="51">
        <v>1.004</v>
      </c>
      <c r="D5330" s="51">
        <v>66.0</v>
      </c>
      <c r="E5330" s="52" t="s">
        <v>25</v>
      </c>
      <c r="F5330" s="52" t="s">
        <v>26</v>
      </c>
      <c r="G5330" s="53"/>
    </row>
    <row r="5331">
      <c r="A5331" s="49">
        <v>44750.3787427662</v>
      </c>
      <c r="B5331" s="50">
        <v>44750.5037172338</v>
      </c>
      <c r="C5331" s="51">
        <v>1.004</v>
      </c>
      <c r="D5331" s="51">
        <v>66.0</v>
      </c>
      <c r="E5331" s="52" t="s">
        <v>25</v>
      </c>
      <c r="F5331" s="52" t="s">
        <v>26</v>
      </c>
      <c r="G5331" s="53"/>
    </row>
    <row r="5332">
      <c r="A5332" s="49">
        <v>44750.38917521991</v>
      </c>
      <c r="B5332" s="50">
        <v>44750.5141494444</v>
      </c>
      <c r="C5332" s="51">
        <v>1.004</v>
      </c>
      <c r="D5332" s="51">
        <v>66.0</v>
      </c>
      <c r="E5332" s="52" t="s">
        <v>25</v>
      </c>
      <c r="F5332" s="52" t="s">
        <v>26</v>
      </c>
      <c r="G5332" s="53"/>
    </row>
    <row r="5333">
      <c r="A5333" s="49">
        <v>44750.3995821412</v>
      </c>
      <c r="B5333" s="50">
        <v>44750.5245685648</v>
      </c>
      <c r="C5333" s="51">
        <v>1.004</v>
      </c>
      <c r="D5333" s="51">
        <v>66.0</v>
      </c>
      <c r="E5333" s="52" t="s">
        <v>25</v>
      </c>
      <c r="F5333" s="52" t="s">
        <v>26</v>
      </c>
      <c r="G5333" s="53"/>
    </row>
    <row r="5334">
      <c r="A5334" s="49">
        <v>44750.4100096412</v>
      </c>
      <c r="B5334" s="50">
        <v>44750.5349926388</v>
      </c>
      <c r="C5334" s="51">
        <v>1.004</v>
      </c>
      <c r="D5334" s="51">
        <v>66.0</v>
      </c>
      <c r="E5334" s="52" t="s">
        <v>25</v>
      </c>
      <c r="F5334" s="52" t="s">
        <v>26</v>
      </c>
      <c r="G5334" s="53"/>
    </row>
    <row r="5335">
      <c r="A5335" s="49">
        <v>44750.42043716436</v>
      </c>
      <c r="B5335" s="50">
        <v>44750.5454125926</v>
      </c>
      <c r="C5335" s="51">
        <v>1.004</v>
      </c>
      <c r="D5335" s="51">
        <v>66.0</v>
      </c>
      <c r="E5335" s="52" t="s">
        <v>25</v>
      </c>
      <c r="F5335" s="52" t="s">
        <v>26</v>
      </c>
      <c r="G5335" s="53"/>
    </row>
    <row r="5336">
      <c r="A5336" s="49">
        <v>44750.430851446756</v>
      </c>
      <c r="B5336" s="50">
        <v>44750.5558342129</v>
      </c>
      <c r="C5336" s="51">
        <v>1.004</v>
      </c>
      <c r="D5336" s="51">
        <v>66.0</v>
      </c>
      <c r="E5336" s="52" t="s">
        <v>25</v>
      </c>
      <c r="F5336" s="52" t="s">
        <v>26</v>
      </c>
      <c r="G5336" s="53"/>
    </row>
    <row r="5337">
      <c r="A5337" s="49">
        <v>44750.441279375</v>
      </c>
      <c r="B5337" s="50">
        <v>44750.5662557638</v>
      </c>
      <c r="C5337" s="51">
        <v>1.005</v>
      </c>
      <c r="D5337" s="51">
        <v>66.0</v>
      </c>
      <c r="E5337" s="52" t="s">
        <v>25</v>
      </c>
      <c r="F5337" s="52" t="s">
        <v>26</v>
      </c>
      <c r="G5337" s="53"/>
    </row>
    <row r="5338">
      <c r="A5338" s="49">
        <v>44750.45169091436</v>
      </c>
      <c r="B5338" s="50">
        <v>44750.5766763657</v>
      </c>
      <c r="C5338" s="51">
        <v>1.004</v>
      </c>
      <c r="D5338" s="51">
        <v>66.0</v>
      </c>
      <c r="E5338" s="52" t="s">
        <v>25</v>
      </c>
      <c r="F5338" s="52" t="s">
        <v>26</v>
      </c>
      <c r="G5338" s="53"/>
    </row>
    <row r="5339">
      <c r="A5339" s="49">
        <v>44750.46215737268</v>
      </c>
      <c r="B5339" s="50">
        <v>44750.587108368</v>
      </c>
      <c r="C5339" s="51">
        <v>1.004</v>
      </c>
      <c r="D5339" s="51">
        <v>66.0</v>
      </c>
      <c r="E5339" s="52" t="s">
        <v>25</v>
      </c>
      <c r="F5339" s="52" t="s">
        <v>26</v>
      </c>
      <c r="G5339" s="53"/>
    </row>
    <row r="5340">
      <c r="A5340" s="49">
        <v>44750.472590578705</v>
      </c>
      <c r="B5340" s="50">
        <v>44750.5975643055</v>
      </c>
      <c r="C5340" s="51">
        <v>1.004</v>
      </c>
      <c r="D5340" s="51">
        <v>66.0</v>
      </c>
      <c r="E5340" s="52" t="s">
        <v>25</v>
      </c>
      <c r="F5340" s="52" t="s">
        <v>26</v>
      </c>
      <c r="G5340" s="53"/>
    </row>
    <row r="5341">
      <c r="A5341" s="49">
        <v>44750.48302231482</v>
      </c>
      <c r="B5341" s="50">
        <v>44750.6079984143</v>
      </c>
      <c r="C5341" s="51">
        <v>1.004</v>
      </c>
      <c r="D5341" s="51">
        <v>66.0</v>
      </c>
      <c r="E5341" s="52" t="s">
        <v>25</v>
      </c>
      <c r="F5341" s="52" t="s">
        <v>26</v>
      </c>
      <c r="G5341" s="53"/>
    </row>
    <row r="5342">
      <c r="A5342" s="49">
        <v>44750.49343670139</v>
      </c>
      <c r="B5342" s="50">
        <v>44750.6184191898</v>
      </c>
      <c r="C5342" s="51">
        <v>1.004</v>
      </c>
      <c r="D5342" s="51">
        <v>66.0</v>
      </c>
      <c r="E5342" s="52" t="s">
        <v>25</v>
      </c>
      <c r="F5342" s="52" t="s">
        <v>26</v>
      </c>
      <c r="G5342" s="53"/>
    </row>
    <row r="5343">
      <c r="A5343" s="49">
        <v>44750.503862048616</v>
      </c>
      <c r="B5343" s="50">
        <v>44750.6288398726</v>
      </c>
      <c r="C5343" s="51">
        <v>1.004</v>
      </c>
      <c r="D5343" s="51">
        <v>66.0</v>
      </c>
      <c r="E5343" s="52" t="s">
        <v>25</v>
      </c>
      <c r="F5343" s="52" t="s">
        <v>26</v>
      </c>
      <c r="G5343" s="53"/>
    </row>
    <row r="5344">
      <c r="A5344" s="49">
        <v>44750.514282013886</v>
      </c>
      <c r="B5344" s="50">
        <v>44750.6392620949</v>
      </c>
      <c r="C5344" s="51">
        <v>1.004</v>
      </c>
      <c r="D5344" s="51">
        <v>66.0</v>
      </c>
      <c r="E5344" s="52" t="s">
        <v>25</v>
      </c>
      <c r="F5344" s="52" t="s">
        <v>26</v>
      </c>
      <c r="G5344" s="53"/>
    </row>
    <row r="5345">
      <c r="A5345" s="49">
        <v>44750.52470432871</v>
      </c>
      <c r="B5345" s="50">
        <v>44750.6496834837</v>
      </c>
      <c r="C5345" s="51">
        <v>1.005</v>
      </c>
      <c r="D5345" s="51">
        <v>66.0</v>
      </c>
      <c r="E5345" s="52" t="s">
        <v>25</v>
      </c>
      <c r="F5345" s="52" t="s">
        <v>26</v>
      </c>
      <c r="G5345" s="53"/>
    </row>
    <row r="5346">
      <c r="A5346" s="49">
        <v>44750.535128125004</v>
      </c>
      <c r="B5346" s="50">
        <v>44750.6601033912</v>
      </c>
      <c r="C5346" s="51">
        <v>1.004</v>
      </c>
      <c r="D5346" s="51">
        <v>66.0</v>
      </c>
      <c r="E5346" s="52" t="s">
        <v>25</v>
      </c>
      <c r="F5346" s="52" t="s">
        <v>26</v>
      </c>
      <c r="G5346" s="53"/>
    </row>
    <row r="5347">
      <c r="A5347" s="49">
        <v>44750.545549560185</v>
      </c>
      <c r="B5347" s="50">
        <v>44750.6705238657</v>
      </c>
      <c r="C5347" s="51">
        <v>1.004</v>
      </c>
      <c r="D5347" s="51">
        <v>66.0</v>
      </c>
      <c r="E5347" s="52" t="s">
        <v>25</v>
      </c>
      <c r="F5347" s="52" t="s">
        <v>26</v>
      </c>
      <c r="G5347" s="53"/>
    </row>
    <row r="5348">
      <c r="A5348" s="49">
        <v>44750.55598409723</v>
      </c>
      <c r="B5348" s="50">
        <v>44750.6809561689</v>
      </c>
      <c r="C5348" s="51">
        <v>1.004</v>
      </c>
      <c r="D5348" s="51">
        <v>66.0</v>
      </c>
      <c r="E5348" s="52" t="s">
        <v>25</v>
      </c>
      <c r="F5348" s="52" t="s">
        <v>26</v>
      </c>
      <c r="G5348" s="53"/>
    </row>
    <row r="5349">
      <c r="A5349" s="49">
        <v>44750.566405868056</v>
      </c>
      <c r="B5349" s="50">
        <v>44750.6913884722</v>
      </c>
      <c r="C5349" s="51">
        <v>1.004</v>
      </c>
      <c r="D5349" s="51">
        <v>66.0</v>
      </c>
      <c r="E5349" s="52" t="s">
        <v>25</v>
      </c>
      <c r="F5349" s="52" t="s">
        <v>26</v>
      </c>
      <c r="G5349" s="53"/>
    </row>
    <row r="5350">
      <c r="A5350" s="49">
        <v>44750.57683560185</v>
      </c>
      <c r="B5350" s="50">
        <v>44750.7018101851</v>
      </c>
      <c r="C5350" s="51">
        <v>1.005</v>
      </c>
      <c r="D5350" s="51">
        <v>67.0</v>
      </c>
      <c r="E5350" s="52" t="s">
        <v>25</v>
      </c>
      <c r="F5350" s="52" t="s">
        <v>26</v>
      </c>
      <c r="G5350" s="53"/>
    </row>
    <row r="5351">
      <c r="A5351" s="49">
        <v>44750.58726670139</v>
      </c>
      <c r="B5351" s="50">
        <v>44750.7122420601</v>
      </c>
      <c r="C5351" s="51">
        <v>1.005</v>
      </c>
      <c r="D5351" s="51">
        <v>67.0</v>
      </c>
      <c r="E5351" s="52" t="s">
        <v>25</v>
      </c>
      <c r="F5351" s="52" t="s">
        <v>26</v>
      </c>
      <c r="G5351" s="53"/>
    </row>
    <row r="5352">
      <c r="A5352" s="49">
        <v>44750.597684699074</v>
      </c>
      <c r="B5352" s="50">
        <v>44750.7226640856</v>
      </c>
      <c r="C5352" s="51">
        <v>1.005</v>
      </c>
      <c r="D5352" s="51">
        <v>67.0</v>
      </c>
      <c r="E5352" s="52" t="s">
        <v>25</v>
      </c>
      <c r="F5352" s="52" t="s">
        <v>26</v>
      </c>
      <c r="G5352" s="53"/>
    </row>
    <row r="5353">
      <c r="A5353" s="49">
        <v>44750.60813784722</v>
      </c>
      <c r="B5353" s="50">
        <v>44750.7331198842</v>
      </c>
      <c r="C5353" s="51">
        <v>1.004</v>
      </c>
      <c r="D5353" s="51">
        <v>67.0</v>
      </c>
      <c r="E5353" s="52" t="s">
        <v>25</v>
      </c>
      <c r="F5353" s="52" t="s">
        <v>26</v>
      </c>
      <c r="G5353" s="53"/>
    </row>
    <row r="5354">
      <c r="A5354" s="49">
        <v>44750.6185737037</v>
      </c>
      <c r="B5354" s="50">
        <v>44750.7435404861</v>
      </c>
      <c r="C5354" s="51">
        <v>1.005</v>
      </c>
      <c r="D5354" s="51">
        <v>67.0</v>
      </c>
      <c r="E5354" s="52" t="s">
        <v>25</v>
      </c>
      <c r="F5354" s="52" t="s">
        <v>26</v>
      </c>
      <c r="G5354" s="53"/>
    </row>
    <row r="5355">
      <c r="A5355" s="49">
        <v>44750.62898504629</v>
      </c>
      <c r="B5355" s="50">
        <v>44750.7539619097</v>
      </c>
      <c r="C5355" s="51">
        <v>1.004</v>
      </c>
      <c r="D5355" s="51">
        <v>67.0</v>
      </c>
      <c r="E5355" s="52" t="s">
        <v>25</v>
      </c>
      <c r="F5355" s="52" t="s">
        <v>26</v>
      </c>
      <c r="G5355" s="53"/>
    </row>
    <row r="5356">
      <c r="A5356" s="49">
        <v>44750.639404421294</v>
      </c>
      <c r="B5356" s="50">
        <v>44750.7643849768</v>
      </c>
      <c r="C5356" s="51">
        <v>1.004</v>
      </c>
      <c r="D5356" s="51">
        <v>67.0</v>
      </c>
      <c r="E5356" s="52" t="s">
        <v>25</v>
      </c>
      <c r="F5356" s="52" t="s">
        <v>26</v>
      </c>
      <c r="G5356" s="53"/>
    </row>
    <row r="5357">
      <c r="A5357" s="49">
        <v>44750.649846817134</v>
      </c>
      <c r="B5357" s="50">
        <v>44750.7748294791</v>
      </c>
      <c r="C5357" s="51">
        <v>1.004</v>
      </c>
      <c r="D5357" s="51">
        <v>67.0</v>
      </c>
      <c r="E5357" s="52" t="s">
        <v>25</v>
      </c>
      <c r="F5357" s="52" t="s">
        <v>26</v>
      </c>
      <c r="G5357" s="53"/>
    </row>
    <row r="5358">
      <c r="A5358" s="49">
        <v>44750.66027450231</v>
      </c>
      <c r="B5358" s="50">
        <v>44750.7852500463</v>
      </c>
      <c r="C5358" s="51">
        <v>1.005</v>
      </c>
      <c r="D5358" s="51">
        <v>67.0</v>
      </c>
      <c r="E5358" s="52" t="s">
        <v>25</v>
      </c>
      <c r="F5358" s="52" t="s">
        <v>26</v>
      </c>
      <c r="G5358" s="53"/>
    </row>
    <row r="5359">
      <c r="A5359" s="49">
        <v>44750.67068751158</v>
      </c>
      <c r="B5359" s="50">
        <v>44750.7956709027</v>
      </c>
      <c r="C5359" s="51">
        <v>1.004</v>
      </c>
      <c r="D5359" s="51">
        <v>67.0</v>
      </c>
      <c r="E5359" s="52" t="s">
        <v>25</v>
      </c>
      <c r="F5359" s="52" t="s">
        <v>26</v>
      </c>
      <c r="G5359" s="53"/>
    </row>
    <row r="5360">
      <c r="A5360" s="49">
        <v>44750.68111961806</v>
      </c>
      <c r="B5360" s="50">
        <v>44750.806090405</v>
      </c>
      <c r="C5360" s="51">
        <v>1.004</v>
      </c>
      <c r="D5360" s="51">
        <v>67.0</v>
      </c>
      <c r="E5360" s="52" t="s">
        <v>25</v>
      </c>
      <c r="F5360" s="52" t="s">
        <v>26</v>
      </c>
      <c r="G5360" s="53"/>
    </row>
    <row r="5361">
      <c r="A5361" s="49">
        <v>44750.69153202546</v>
      </c>
      <c r="B5361" s="50">
        <v>44750.8165106365</v>
      </c>
      <c r="C5361" s="51">
        <v>1.004</v>
      </c>
      <c r="D5361" s="51">
        <v>67.0</v>
      </c>
      <c r="E5361" s="52" t="s">
        <v>25</v>
      </c>
      <c r="F5361" s="52" t="s">
        <v>26</v>
      </c>
      <c r="G5361" s="53"/>
    </row>
    <row r="5362">
      <c r="A5362" s="49">
        <v>44750.70196179398</v>
      </c>
      <c r="B5362" s="50">
        <v>44750.8269321412</v>
      </c>
      <c r="C5362" s="51">
        <v>1.005</v>
      </c>
      <c r="D5362" s="51">
        <v>67.0</v>
      </c>
      <c r="E5362" s="52" t="s">
        <v>25</v>
      </c>
      <c r="F5362" s="52" t="s">
        <v>26</v>
      </c>
      <c r="G5362" s="53"/>
    </row>
    <row r="5363">
      <c r="A5363" s="49">
        <v>44750.71237652778</v>
      </c>
      <c r="B5363" s="50">
        <v>44750.8373519097</v>
      </c>
      <c r="C5363" s="51">
        <v>1.004</v>
      </c>
      <c r="D5363" s="51">
        <v>67.0</v>
      </c>
      <c r="E5363" s="52" t="s">
        <v>25</v>
      </c>
      <c r="F5363" s="52" t="s">
        <v>26</v>
      </c>
      <c r="G5363" s="53"/>
    </row>
    <row r="5364">
      <c r="A5364" s="49">
        <v>44750.72284148148</v>
      </c>
      <c r="B5364" s="50">
        <v>44750.84781875</v>
      </c>
      <c r="C5364" s="51">
        <v>1.004</v>
      </c>
      <c r="D5364" s="51">
        <v>67.0</v>
      </c>
      <c r="E5364" s="52" t="s">
        <v>25</v>
      </c>
      <c r="F5364" s="52" t="s">
        <v>26</v>
      </c>
      <c r="G5364" s="53"/>
    </row>
    <row r="5365">
      <c r="A5365" s="49">
        <v>44750.7332609375</v>
      </c>
      <c r="B5365" s="50">
        <v>44750.8582423611</v>
      </c>
      <c r="C5365" s="51">
        <v>1.004</v>
      </c>
      <c r="D5365" s="51">
        <v>67.0</v>
      </c>
      <c r="E5365" s="52" t="s">
        <v>25</v>
      </c>
      <c r="F5365" s="52" t="s">
        <v>26</v>
      </c>
      <c r="G5365" s="53"/>
    </row>
    <row r="5366">
      <c r="A5366" s="49">
        <v>44750.74369120371</v>
      </c>
      <c r="B5366" s="50">
        <v>44750.8686635763</v>
      </c>
      <c r="C5366" s="51">
        <v>1.004</v>
      </c>
      <c r="D5366" s="51">
        <v>67.0</v>
      </c>
      <c r="E5366" s="52" t="s">
        <v>25</v>
      </c>
      <c r="F5366" s="52" t="s">
        <v>26</v>
      </c>
      <c r="G5366" s="53"/>
    </row>
    <row r="5367">
      <c r="A5367" s="49">
        <v>44750.754109814814</v>
      </c>
      <c r="B5367" s="50">
        <v>44750.8790853125</v>
      </c>
      <c r="C5367" s="51">
        <v>1.004</v>
      </c>
      <c r="D5367" s="51">
        <v>67.0</v>
      </c>
      <c r="E5367" s="52" t="s">
        <v>25</v>
      </c>
      <c r="F5367" s="52" t="s">
        <v>26</v>
      </c>
      <c r="G5367" s="53"/>
    </row>
    <row r="5368">
      <c r="A5368" s="49">
        <v>44750.764525983795</v>
      </c>
      <c r="B5368" s="50">
        <v>44750.8895070949</v>
      </c>
      <c r="C5368" s="51">
        <v>1.004</v>
      </c>
      <c r="D5368" s="51">
        <v>67.0</v>
      </c>
      <c r="E5368" s="52" t="s">
        <v>25</v>
      </c>
      <c r="F5368" s="52" t="s">
        <v>26</v>
      </c>
      <c r="G5368" s="53"/>
    </row>
    <row r="5369">
      <c r="A5369" s="49">
        <v>44750.77494623842</v>
      </c>
      <c r="B5369" s="50">
        <v>44750.8999290046</v>
      </c>
      <c r="C5369" s="51">
        <v>1.004</v>
      </c>
      <c r="D5369" s="51">
        <v>67.0</v>
      </c>
      <c r="E5369" s="52" t="s">
        <v>25</v>
      </c>
      <c r="F5369" s="52" t="s">
        <v>26</v>
      </c>
      <c r="G5369" s="53"/>
    </row>
    <row r="5370">
      <c r="A5370" s="49">
        <v>44750.785371805556</v>
      </c>
      <c r="B5370" s="50">
        <v>44750.9103493171</v>
      </c>
      <c r="C5370" s="51">
        <v>1.004</v>
      </c>
      <c r="D5370" s="51">
        <v>67.0</v>
      </c>
      <c r="E5370" s="52" t="s">
        <v>25</v>
      </c>
      <c r="F5370" s="52" t="s">
        <v>26</v>
      </c>
      <c r="G5370" s="53"/>
    </row>
    <row r="5371">
      <c r="A5371" s="49">
        <v>44750.795789861106</v>
      </c>
      <c r="B5371" s="50">
        <v>44750.9207700926</v>
      </c>
      <c r="C5371" s="51">
        <v>1.004</v>
      </c>
      <c r="D5371" s="51">
        <v>67.0</v>
      </c>
      <c r="E5371" s="52" t="s">
        <v>25</v>
      </c>
      <c r="F5371" s="52" t="s">
        <v>26</v>
      </c>
      <c r="G5371" s="53"/>
    </row>
    <row r="5372">
      <c r="A5372" s="49">
        <v>44750.80621887732</v>
      </c>
      <c r="B5372" s="50">
        <v>44750.9312034259</v>
      </c>
      <c r="C5372" s="51">
        <v>1.004</v>
      </c>
      <c r="D5372" s="51">
        <v>67.0</v>
      </c>
      <c r="E5372" s="52" t="s">
        <v>25</v>
      </c>
      <c r="F5372" s="52" t="s">
        <v>26</v>
      </c>
      <c r="G5372" s="53"/>
    </row>
    <row r="5373">
      <c r="A5373" s="49">
        <v>44750.81664685185</v>
      </c>
      <c r="B5373" s="50">
        <v>44750.9416252546</v>
      </c>
      <c r="C5373" s="51">
        <v>1.004</v>
      </c>
      <c r="D5373" s="51">
        <v>67.0</v>
      </c>
      <c r="E5373" s="52" t="s">
        <v>25</v>
      </c>
      <c r="F5373" s="52" t="s">
        <v>26</v>
      </c>
      <c r="G5373" s="53"/>
    </row>
    <row r="5374">
      <c r="A5374" s="49">
        <v>44750.827077939815</v>
      </c>
      <c r="B5374" s="50">
        <v>44750.9520590509</v>
      </c>
      <c r="C5374" s="51">
        <v>1.004</v>
      </c>
      <c r="D5374" s="51">
        <v>67.0</v>
      </c>
      <c r="E5374" s="52" t="s">
        <v>25</v>
      </c>
      <c r="F5374" s="52" t="s">
        <v>26</v>
      </c>
      <c r="G5374" s="53"/>
    </row>
    <row r="5375">
      <c r="A5375" s="49">
        <v>44750.837509606485</v>
      </c>
      <c r="B5375" s="50">
        <v>44750.9624789236</v>
      </c>
      <c r="C5375" s="51">
        <v>1.004</v>
      </c>
      <c r="D5375" s="51">
        <v>67.0</v>
      </c>
      <c r="E5375" s="52" t="s">
        <v>25</v>
      </c>
      <c r="F5375" s="52" t="s">
        <v>26</v>
      </c>
      <c r="G5375" s="53"/>
    </row>
    <row r="5376">
      <c r="A5376" s="49">
        <v>44750.84792222222</v>
      </c>
      <c r="B5376" s="50">
        <v>44750.9728990625</v>
      </c>
      <c r="C5376" s="51">
        <v>1.004</v>
      </c>
      <c r="D5376" s="51">
        <v>67.0</v>
      </c>
      <c r="E5376" s="52" t="s">
        <v>25</v>
      </c>
      <c r="F5376" s="52" t="s">
        <v>26</v>
      </c>
      <c r="G5376" s="53"/>
    </row>
    <row r="5377">
      <c r="A5377" s="49">
        <v>44750.85834907407</v>
      </c>
      <c r="B5377" s="50">
        <v>44750.9833210763</v>
      </c>
      <c r="C5377" s="51">
        <v>1.004</v>
      </c>
      <c r="D5377" s="51">
        <v>67.0</v>
      </c>
      <c r="E5377" s="52" t="s">
        <v>25</v>
      </c>
      <c r="F5377" s="52" t="s">
        <v>26</v>
      </c>
      <c r="G5377" s="53"/>
    </row>
    <row r="5378">
      <c r="A5378" s="49">
        <v>44750.868774386574</v>
      </c>
      <c r="B5378" s="50">
        <v>44750.993754618</v>
      </c>
      <c r="C5378" s="51">
        <v>1.004</v>
      </c>
      <c r="D5378" s="51">
        <v>67.0</v>
      </c>
      <c r="E5378" s="52" t="s">
        <v>25</v>
      </c>
      <c r="F5378" s="52" t="s">
        <v>26</v>
      </c>
      <c r="G5378" s="53"/>
    </row>
    <row r="5379">
      <c r="A5379" s="49">
        <v>44750.87919335648</v>
      </c>
      <c r="B5379" s="50">
        <v>44751.0041768171</v>
      </c>
      <c r="C5379" s="51">
        <v>1.004</v>
      </c>
      <c r="D5379" s="51">
        <v>67.0</v>
      </c>
      <c r="E5379" s="52" t="s">
        <v>25</v>
      </c>
      <c r="F5379" s="52" t="s">
        <v>26</v>
      </c>
      <c r="G5379" s="53"/>
    </row>
    <row r="5380">
      <c r="A5380" s="49">
        <v>44750.88962145834</v>
      </c>
      <c r="B5380" s="50">
        <v>44751.0145979282</v>
      </c>
      <c r="C5380" s="51">
        <v>1.004</v>
      </c>
      <c r="D5380" s="51">
        <v>67.0</v>
      </c>
      <c r="E5380" s="52" t="s">
        <v>25</v>
      </c>
      <c r="F5380" s="52" t="s">
        <v>26</v>
      </c>
      <c r="G5380" s="53"/>
    </row>
    <row r="5381">
      <c r="A5381" s="49">
        <v>44750.9000338426</v>
      </c>
      <c r="B5381" s="50">
        <v>44751.0250201157</v>
      </c>
      <c r="C5381" s="51">
        <v>1.004</v>
      </c>
      <c r="D5381" s="51">
        <v>67.0</v>
      </c>
      <c r="E5381" s="52" t="s">
        <v>25</v>
      </c>
      <c r="F5381" s="52" t="s">
        <v>26</v>
      </c>
      <c r="G5381" s="53"/>
    </row>
    <row r="5382">
      <c r="A5382" s="49">
        <v>44750.910465416666</v>
      </c>
      <c r="B5382" s="50">
        <v>44751.0354411689</v>
      </c>
      <c r="C5382" s="51">
        <v>1.004</v>
      </c>
      <c r="D5382" s="51">
        <v>67.0</v>
      </c>
      <c r="E5382" s="52" t="s">
        <v>25</v>
      </c>
      <c r="F5382" s="52" t="s">
        <v>26</v>
      </c>
      <c r="G5382" s="53"/>
    </row>
    <row r="5383">
      <c r="A5383" s="49">
        <v>44750.92087630787</v>
      </c>
      <c r="B5383" s="50">
        <v>44751.0458625463</v>
      </c>
      <c r="C5383" s="51">
        <v>1.004</v>
      </c>
      <c r="D5383" s="51">
        <v>67.0</v>
      </c>
      <c r="E5383" s="52" t="s">
        <v>25</v>
      </c>
      <c r="F5383" s="52" t="s">
        <v>26</v>
      </c>
      <c r="G5383" s="53"/>
    </row>
    <row r="5384">
      <c r="A5384" s="49">
        <v>44750.93130577546</v>
      </c>
      <c r="B5384" s="50">
        <v>44751.0562831365</v>
      </c>
      <c r="C5384" s="51">
        <v>1.004</v>
      </c>
      <c r="D5384" s="51">
        <v>67.0</v>
      </c>
      <c r="E5384" s="52" t="s">
        <v>25</v>
      </c>
      <c r="F5384" s="52" t="s">
        <v>26</v>
      </c>
      <c r="G5384" s="53"/>
    </row>
    <row r="5385">
      <c r="A5385" s="49">
        <v>44750.94173060185</v>
      </c>
      <c r="B5385" s="50">
        <v>44751.0667144676</v>
      </c>
      <c r="C5385" s="51">
        <v>1.004</v>
      </c>
      <c r="D5385" s="51">
        <v>67.0</v>
      </c>
      <c r="E5385" s="52" t="s">
        <v>25</v>
      </c>
      <c r="F5385" s="52" t="s">
        <v>26</v>
      </c>
      <c r="G5385" s="53"/>
    </row>
    <row r="5386">
      <c r="A5386" s="49">
        <v>44750.952153923616</v>
      </c>
      <c r="B5386" s="50">
        <v>44751.077136574</v>
      </c>
      <c r="C5386" s="51">
        <v>1.004</v>
      </c>
      <c r="D5386" s="51">
        <v>67.0</v>
      </c>
      <c r="E5386" s="52" t="s">
        <v>25</v>
      </c>
      <c r="F5386" s="52" t="s">
        <v>26</v>
      </c>
      <c r="G5386" s="53"/>
    </row>
    <row r="5387">
      <c r="A5387" s="49">
        <v>44750.96259435185</v>
      </c>
      <c r="B5387" s="50">
        <v>44751.0875688078</v>
      </c>
      <c r="C5387" s="51">
        <v>1.004</v>
      </c>
      <c r="D5387" s="51">
        <v>67.0</v>
      </c>
      <c r="E5387" s="52" t="s">
        <v>25</v>
      </c>
      <c r="F5387" s="52" t="s">
        <v>26</v>
      </c>
      <c r="G5387" s="53"/>
    </row>
    <row r="5388">
      <c r="A5388" s="49">
        <v>44750.973008368055</v>
      </c>
      <c r="B5388" s="50">
        <v>44751.0979899189</v>
      </c>
      <c r="C5388" s="51">
        <v>1.004</v>
      </c>
      <c r="D5388" s="51">
        <v>67.0</v>
      </c>
      <c r="E5388" s="52" t="s">
        <v>25</v>
      </c>
      <c r="F5388" s="52" t="s">
        <v>26</v>
      </c>
      <c r="G5388" s="53"/>
    </row>
    <row r="5389">
      <c r="A5389" s="49">
        <v>44750.983437268515</v>
      </c>
      <c r="B5389" s="50">
        <v>44751.1084115972</v>
      </c>
      <c r="C5389" s="51">
        <v>1.005</v>
      </c>
      <c r="D5389" s="51">
        <v>67.0</v>
      </c>
      <c r="E5389" s="52" t="s">
        <v>25</v>
      </c>
      <c r="F5389" s="52" t="s">
        <v>26</v>
      </c>
      <c r="G5389" s="53"/>
    </row>
    <row r="5390">
      <c r="A5390" s="49">
        <v>44750.99385033565</v>
      </c>
      <c r="B5390" s="50">
        <v>44751.1188338773</v>
      </c>
      <c r="C5390" s="51">
        <v>1.004</v>
      </c>
      <c r="D5390" s="51">
        <v>67.0</v>
      </c>
      <c r="E5390" s="52" t="s">
        <v>25</v>
      </c>
      <c r="F5390" s="52" t="s">
        <v>26</v>
      </c>
      <c r="G5390" s="53"/>
    </row>
    <row r="5391">
      <c r="A5391" s="49">
        <v>44751.00427363426</v>
      </c>
      <c r="B5391" s="50">
        <v>44751.1292535532</v>
      </c>
      <c r="C5391" s="51">
        <v>1.004</v>
      </c>
      <c r="D5391" s="51">
        <v>68.0</v>
      </c>
      <c r="E5391" s="52" t="s">
        <v>25</v>
      </c>
      <c r="F5391" s="52" t="s">
        <v>26</v>
      </c>
      <c r="G5391" s="53"/>
    </row>
    <row r="5392">
      <c r="A5392" s="49">
        <v>44751.01470009259</v>
      </c>
      <c r="B5392" s="50">
        <v>44751.1396757176</v>
      </c>
      <c r="C5392" s="51">
        <v>1.004</v>
      </c>
      <c r="D5392" s="51">
        <v>68.0</v>
      </c>
      <c r="E5392" s="52" t="s">
        <v>25</v>
      </c>
      <c r="F5392" s="52" t="s">
        <v>26</v>
      </c>
      <c r="G5392" s="53"/>
    </row>
    <row r="5393">
      <c r="A5393" s="49">
        <v>44751.025117557874</v>
      </c>
      <c r="B5393" s="50">
        <v>44751.1500944791</v>
      </c>
      <c r="C5393" s="51">
        <v>1.004</v>
      </c>
      <c r="D5393" s="51">
        <v>68.0</v>
      </c>
      <c r="E5393" s="52" t="s">
        <v>25</v>
      </c>
      <c r="F5393" s="52" t="s">
        <v>26</v>
      </c>
      <c r="G5393" s="53"/>
    </row>
    <row r="5394">
      <c r="A5394" s="49">
        <v>44751.03553278935</v>
      </c>
      <c r="B5394" s="50">
        <v>44751.1605162384</v>
      </c>
      <c r="C5394" s="51">
        <v>1.004</v>
      </c>
      <c r="D5394" s="51">
        <v>68.0</v>
      </c>
      <c r="E5394" s="52" t="s">
        <v>25</v>
      </c>
      <c r="F5394" s="52" t="s">
        <v>26</v>
      </c>
      <c r="G5394" s="53"/>
    </row>
    <row r="5395">
      <c r="A5395" s="49">
        <v>44751.045962557866</v>
      </c>
      <c r="B5395" s="50">
        <v>44751.1709374652</v>
      </c>
      <c r="C5395" s="51">
        <v>1.004</v>
      </c>
      <c r="D5395" s="51">
        <v>68.0</v>
      </c>
      <c r="E5395" s="52" t="s">
        <v>25</v>
      </c>
      <c r="F5395" s="52" t="s">
        <v>26</v>
      </c>
      <c r="G5395" s="53"/>
    </row>
    <row r="5396">
      <c r="A5396" s="49">
        <v>44751.05637392361</v>
      </c>
      <c r="B5396" s="50">
        <v>44751.1813579976</v>
      </c>
      <c r="C5396" s="51">
        <v>1.004</v>
      </c>
      <c r="D5396" s="51">
        <v>68.0</v>
      </c>
      <c r="E5396" s="52" t="s">
        <v>25</v>
      </c>
      <c r="F5396" s="52" t="s">
        <v>26</v>
      </c>
      <c r="G5396" s="53"/>
    </row>
    <row r="5397">
      <c r="A5397" s="49">
        <v>44751.066806504634</v>
      </c>
      <c r="B5397" s="50">
        <v>44751.1917906713</v>
      </c>
      <c r="C5397" s="51">
        <v>1.004</v>
      </c>
      <c r="D5397" s="51">
        <v>68.0</v>
      </c>
      <c r="E5397" s="52" t="s">
        <v>25</v>
      </c>
      <c r="F5397" s="52" t="s">
        <v>26</v>
      </c>
      <c r="G5397" s="53"/>
    </row>
    <row r="5398">
      <c r="A5398" s="49">
        <v>44751.07722936342</v>
      </c>
      <c r="B5398" s="50">
        <v>44751.2022125</v>
      </c>
      <c r="C5398" s="51">
        <v>1.004</v>
      </c>
      <c r="D5398" s="51">
        <v>68.0</v>
      </c>
      <c r="E5398" s="52" t="s">
        <v>25</v>
      </c>
      <c r="F5398" s="52" t="s">
        <v>26</v>
      </c>
      <c r="G5398" s="53"/>
    </row>
    <row r="5399">
      <c r="A5399" s="49">
        <v>44751.08765074074</v>
      </c>
      <c r="B5399" s="50">
        <v>44751.2126333101</v>
      </c>
      <c r="C5399" s="51">
        <v>1.004</v>
      </c>
      <c r="D5399" s="51">
        <v>68.0</v>
      </c>
      <c r="E5399" s="52" t="s">
        <v>25</v>
      </c>
      <c r="F5399" s="52" t="s">
        <v>26</v>
      </c>
      <c r="G5399" s="53"/>
    </row>
    <row r="5400">
      <c r="A5400" s="49">
        <v>44751.09807712963</v>
      </c>
      <c r="B5400" s="50">
        <v>44751.2230525115</v>
      </c>
      <c r="C5400" s="51">
        <v>1.004</v>
      </c>
      <c r="D5400" s="51">
        <v>68.0</v>
      </c>
      <c r="E5400" s="52" t="s">
        <v>25</v>
      </c>
      <c r="F5400" s="52" t="s">
        <v>26</v>
      </c>
      <c r="G5400" s="53"/>
    </row>
    <row r="5401">
      <c r="A5401" s="49">
        <v>44751.10849989583</v>
      </c>
      <c r="B5401" s="50">
        <v>44751.2334746296</v>
      </c>
      <c r="C5401" s="51">
        <v>1.004</v>
      </c>
      <c r="D5401" s="51">
        <v>68.0</v>
      </c>
      <c r="E5401" s="52" t="s">
        <v>25</v>
      </c>
      <c r="F5401" s="52" t="s">
        <v>26</v>
      </c>
      <c r="G5401" s="53"/>
    </row>
    <row r="5402">
      <c r="A5402" s="49">
        <v>44751.11890905093</v>
      </c>
      <c r="B5402" s="50">
        <v>44751.2438949537</v>
      </c>
      <c r="C5402" s="51">
        <v>1.004</v>
      </c>
      <c r="D5402" s="51">
        <v>68.0</v>
      </c>
      <c r="E5402" s="52" t="s">
        <v>25</v>
      </c>
      <c r="F5402" s="52" t="s">
        <v>26</v>
      </c>
      <c r="G5402" s="53"/>
    </row>
    <row r="5403">
      <c r="A5403" s="49">
        <v>44751.129332453704</v>
      </c>
      <c r="B5403" s="50">
        <v>44751.254316956</v>
      </c>
      <c r="C5403" s="51">
        <v>1.004</v>
      </c>
      <c r="D5403" s="51">
        <v>68.0</v>
      </c>
      <c r="E5403" s="52" t="s">
        <v>25</v>
      </c>
      <c r="F5403" s="52" t="s">
        <v>26</v>
      </c>
      <c r="G5403" s="53"/>
    </row>
    <row r="5404">
      <c r="A5404" s="49">
        <v>44751.13976952546</v>
      </c>
      <c r="B5404" s="50">
        <v>44751.2647487731</v>
      </c>
      <c r="C5404" s="51">
        <v>1.004</v>
      </c>
      <c r="D5404" s="51">
        <v>68.0</v>
      </c>
      <c r="E5404" s="52" t="s">
        <v>25</v>
      </c>
      <c r="F5404" s="52" t="s">
        <v>26</v>
      </c>
      <c r="G5404" s="53"/>
    </row>
    <row r="5405">
      <c r="A5405" s="49">
        <v>44751.150189699074</v>
      </c>
      <c r="B5405" s="50">
        <v>44751.2751696643</v>
      </c>
      <c r="C5405" s="51">
        <v>1.004</v>
      </c>
      <c r="D5405" s="51">
        <v>68.0</v>
      </c>
      <c r="E5405" s="52" t="s">
        <v>25</v>
      </c>
      <c r="F5405" s="52" t="s">
        <v>26</v>
      </c>
      <c r="G5405" s="53"/>
    </row>
    <row r="5406">
      <c r="A5406" s="49">
        <v>44751.16061752314</v>
      </c>
      <c r="B5406" s="50">
        <v>44751.2855910532</v>
      </c>
      <c r="C5406" s="51">
        <v>1.004</v>
      </c>
      <c r="D5406" s="51">
        <v>68.0</v>
      </c>
      <c r="E5406" s="52" t="s">
        <v>25</v>
      </c>
      <c r="F5406" s="52" t="s">
        <v>26</v>
      </c>
      <c r="G5406" s="53"/>
    </row>
    <row r="5407">
      <c r="A5407" s="49">
        <v>44751.17103131945</v>
      </c>
      <c r="B5407" s="50">
        <v>44751.296012199</v>
      </c>
      <c r="C5407" s="51">
        <v>1.004</v>
      </c>
      <c r="D5407" s="51">
        <v>68.0</v>
      </c>
      <c r="E5407" s="52" t="s">
        <v>25</v>
      </c>
      <c r="F5407" s="52" t="s">
        <v>26</v>
      </c>
      <c r="G5407" s="53"/>
    </row>
    <row r="5408">
      <c r="A5408" s="49">
        <v>44751.18145920139</v>
      </c>
      <c r="B5408" s="50">
        <v>44751.3064348379</v>
      </c>
      <c r="C5408" s="51">
        <v>1.004</v>
      </c>
      <c r="D5408" s="51">
        <v>68.0</v>
      </c>
      <c r="E5408" s="52" t="s">
        <v>25</v>
      </c>
      <c r="F5408" s="52" t="s">
        <v>26</v>
      </c>
      <c r="G5408" s="53"/>
    </row>
    <row r="5409">
      <c r="A5409" s="49">
        <v>44751.19187210649</v>
      </c>
      <c r="B5409" s="50">
        <v>44751.3168552546</v>
      </c>
      <c r="C5409" s="51">
        <v>1.004</v>
      </c>
      <c r="D5409" s="51">
        <v>68.0</v>
      </c>
      <c r="E5409" s="52" t="s">
        <v>25</v>
      </c>
      <c r="F5409" s="52" t="s">
        <v>26</v>
      </c>
      <c r="G5409" s="53"/>
    </row>
    <row r="5410">
      <c r="A5410" s="49">
        <v>44751.20229958333</v>
      </c>
      <c r="B5410" s="50">
        <v>44751.3272767361</v>
      </c>
      <c r="C5410" s="51">
        <v>1.004</v>
      </c>
      <c r="D5410" s="51">
        <v>68.0</v>
      </c>
      <c r="E5410" s="52" t="s">
        <v>25</v>
      </c>
      <c r="F5410" s="52" t="s">
        <v>26</v>
      </c>
      <c r="G5410" s="53"/>
    </row>
    <row r="5411">
      <c r="A5411" s="49">
        <v>44751.21271767361</v>
      </c>
      <c r="B5411" s="50">
        <v>44751.3376989583</v>
      </c>
      <c r="C5411" s="51">
        <v>1.004</v>
      </c>
      <c r="D5411" s="51">
        <v>68.0</v>
      </c>
      <c r="E5411" s="52" t="s">
        <v>25</v>
      </c>
      <c r="F5411" s="52" t="s">
        <v>26</v>
      </c>
      <c r="G5411" s="53"/>
    </row>
    <row r="5412">
      <c r="A5412" s="49">
        <v>44751.22313697917</v>
      </c>
      <c r="B5412" s="50">
        <v>44751.3481210879</v>
      </c>
      <c r="C5412" s="51">
        <v>1.004</v>
      </c>
      <c r="D5412" s="51">
        <v>68.0</v>
      </c>
      <c r="E5412" s="52" t="s">
        <v>25</v>
      </c>
      <c r="F5412" s="52" t="s">
        <v>26</v>
      </c>
      <c r="G5412" s="53"/>
    </row>
    <row r="5413">
      <c r="A5413" s="49">
        <v>44751.23356987268</v>
      </c>
      <c r="B5413" s="50">
        <v>44751.3585427546</v>
      </c>
      <c r="C5413" s="51">
        <v>1.004</v>
      </c>
      <c r="D5413" s="51">
        <v>68.0</v>
      </c>
      <c r="E5413" s="52" t="s">
        <v>25</v>
      </c>
      <c r="F5413" s="52" t="s">
        <v>26</v>
      </c>
      <c r="G5413" s="53"/>
    </row>
    <row r="5414">
      <c r="A5414" s="49">
        <v>44751.243998564816</v>
      </c>
      <c r="B5414" s="50">
        <v>44751.3689751504</v>
      </c>
      <c r="C5414" s="51">
        <v>1.004</v>
      </c>
      <c r="D5414" s="51">
        <v>68.0</v>
      </c>
      <c r="E5414" s="52" t="s">
        <v>25</v>
      </c>
      <c r="F5414" s="52" t="s">
        <v>26</v>
      </c>
      <c r="G5414" s="53"/>
    </row>
    <row r="5415">
      <c r="A5415" s="49">
        <v>44751.254417916665</v>
      </c>
      <c r="B5415" s="50">
        <v>44751.3793960069</v>
      </c>
      <c r="C5415" s="51">
        <v>1.004</v>
      </c>
      <c r="D5415" s="51">
        <v>68.0</v>
      </c>
      <c r="E5415" s="52" t="s">
        <v>25</v>
      </c>
      <c r="F5415" s="52" t="s">
        <v>26</v>
      </c>
      <c r="G5415" s="53"/>
    </row>
    <row r="5416">
      <c r="A5416" s="49">
        <v>44751.26483876158</v>
      </c>
      <c r="B5416" s="50">
        <v>44751.389817581</v>
      </c>
      <c r="C5416" s="51">
        <v>1.004</v>
      </c>
      <c r="D5416" s="51">
        <v>68.0</v>
      </c>
      <c r="E5416" s="52" t="s">
        <v>25</v>
      </c>
      <c r="F5416" s="52" t="s">
        <v>26</v>
      </c>
      <c r="G5416" s="53"/>
    </row>
    <row r="5417">
      <c r="A5417" s="49">
        <v>44751.27525600695</v>
      </c>
      <c r="B5417" s="50">
        <v>44751.4002382986</v>
      </c>
      <c r="C5417" s="51">
        <v>1.004</v>
      </c>
      <c r="D5417" s="51">
        <v>68.0</v>
      </c>
      <c r="E5417" s="52" t="s">
        <v>25</v>
      </c>
      <c r="F5417" s="52" t="s">
        <v>26</v>
      </c>
      <c r="G5417" s="53"/>
    </row>
    <row r="5418">
      <c r="A5418" s="49">
        <v>44751.285686250005</v>
      </c>
      <c r="B5418" s="50">
        <v>44751.410659699</v>
      </c>
      <c r="C5418" s="51">
        <v>1.004</v>
      </c>
      <c r="D5418" s="51">
        <v>68.0</v>
      </c>
      <c r="E5418" s="52" t="s">
        <v>25</v>
      </c>
      <c r="F5418" s="52" t="s">
        <v>26</v>
      </c>
      <c r="G5418" s="53"/>
    </row>
    <row r="5419">
      <c r="A5419" s="49">
        <v>44751.29610931713</v>
      </c>
      <c r="B5419" s="50">
        <v>44751.4210824652</v>
      </c>
      <c r="C5419" s="51">
        <v>1.004</v>
      </c>
      <c r="D5419" s="51">
        <v>68.0</v>
      </c>
      <c r="E5419" s="52" t="s">
        <v>25</v>
      </c>
      <c r="F5419" s="52" t="s">
        <v>26</v>
      </c>
      <c r="G5419" s="53"/>
    </row>
    <row r="5420">
      <c r="A5420" s="49">
        <v>44751.306524444444</v>
      </c>
      <c r="B5420" s="50">
        <v>44751.4315030439</v>
      </c>
      <c r="C5420" s="51">
        <v>1.004</v>
      </c>
      <c r="D5420" s="51">
        <v>68.0</v>
      </c>
      <c r="E5420" s="52" t="s">
        <v>25</v>
      </c>
      <c r="F5420" s="52" t="s">
        <v>26</v>
      </c>
      <c r="G5420" s="53"/>
    </row>
    <row r="5421">
      <c r="A5421" s="49">
        <v>44751.316946562496</v>
      </c>
      <c r="B5421" s="50">
        <v>44751.4419243171</v>
      </c>
      <c r="C5421" s="51">
        <v>1.004</v>
      </c>
      <c r="D5421" s="51">
        <v>68.0</v>
      </c>
      <c r="E5421" s="52" t="s">
        <v>25</v>
      </c>
      <c r="F5421" s="52" t="s">
        <v>26</v>
      </c>
      <c r="G5421" s="53"/>
    </row>
    <row r="5422">
      <c r="A5422" s="49">
        <v>44751.32736384259</v>
      </c>
      <c r="B5422" s="50">
        <v>44751.4523462615</v>
      </c>
      <c r="C5422" s="51">
        <v>1.004</v>
      </c>
      <c r="D5422" s="51">
        <v>68.0</v>
      </c>
      <c r="E5422" s="52" t="s">
        <v>25</v>
      </c>
      <c r="F5422" s="52" t="s">
        <v>26</v>
      </c>
      <c r="G5422" s="53"/>
    </row>
    <row r="5423">
      <c r="A5423" s="49">
        <v>44751.33778876158</v>
      </c>
      <c r="B5423" s="50">
        <v>44751.4627671875</v>
      </c>
      <c r="C5423" s="51">
        <v>1.004</v>
      </c>
      <c r="D5423" s="51">
        <v>68.0</v>
      </c>
      <c r="E5423" s="52" t="s">
        <v>25</v>
      </c>
      <c r="F5423" s="52" t="s">
        <v>26</v>
      </c>
      <c r="G5423" s="53"/>
    </row>
    <row r="5424">
      <c r="A5424" s="49">
        <v>44751.34823487268</v>
      </c>
      <c r="B5424" s="50">
        <v>44751.4732101157</v>
      </c>
      <c r="C5424" s="51">
        <v>1.004</v>
      </c>
      <c r="D5424" s="51">
        <v>68.0</v>
      </c>
      <c r="E5424" s="52" t="s">
        <v>25</v>
      </c>
      <c r="F5424" s="52" t="s">
        <v>26</v>
      </c>
      <c r="G5424" s="53"/>
    </row>
    <row r="5425">
      <c r="A5425" s="49">
        <v>44751.358653703704</v>
      </c>
      <c r="B5425" s="50">
        <v>44751.4836309722</v>
      </c>
      <c r="C5425" s="51">
        <v>1.004</v>
      </c>
      <c r="D5425" s="51">
        <v>68.0</v>
      </c>
      <c r="E5425" s="52" t="s">
        <v>25</v>
      </c>
      <c r="F5425" s="52" t="s">
        <v>26</v>
      </c>
      <c r="G5425" s="53"/>
    </row>
    <row r="5426">
      <c r="A5426" s="49">
        <v>44751.369080335644</v>
      </c>
      <c r="B5426" s="50">
        <v>44751.4940535532</v>
      </c>
      <c r="C5426" s="51">
        <v>1.004</v>
      </c>
      <c r="D5426" s="51">
        <v>68.0</v>
      </c>
      <c r="E5426" s="52" t="s">
        <v>25</v>
      </c>
      <c r="F5426" s="52" t="s">
        <v>26</v>
      </c>
      <c r="G5426" s="53"/>
    </row>
    <row r="5427">
      <c r="A5427" s="49">
        <v>44751.379497835645</v>
      </c>
      <c r="B5427" s="50">
        <v>44751.5044742708</v>
      </c>
      <c r="C5427" s="51">
        <v>1.004</v>
      </c>
      <c r="D5427" s="51">
        <v>68.0</v>
      </c>
      <c r="E5427" s="52" t="s">
        <v>25</v>
      </c>
      <c r="F5427" s="52" t="s">
        <v>26</v>
      </c>
      <c r="G5427" s="53"/>
    </row>
    <row r="5428">
      <c r="A5428" s="49">
        <v>44751.38991607639</v>
      </c>
      <c r="B5428" s="50">
        <v>44751.5148962847</v>
      </c>
      <c r="C5428" s="51">
        <v>1.004</v>
      </c>
      <c r="D5428" s="51">
        <v>68.0</v>
      </c>
      <c r="E5428" s="52" t="s">
        <v>25</v>
      </c>
      <c r="F5428" s="52" t="s">
        <v>26</v>
      </c>
      <c r="G5428" s="53"/>
    </row>
    <row r="5429">
      <c r="A5429" s="49">
        <v>44751.40033662037</v>
      </c>
      <c r="B5429" s="50">
        <v>44751.5253163425</v>
      </c>
      <c r="C5429" s="51">
        <v>1.004</v>
      </c>
      <c r="D5429" s="51">
        <v>68.0</v>
      </c>
      <c r="E5429" s="52" t="s">
        <v>25</v>
      </c>
      <c r="F5429" s="52" t="s">
        <v>26</v>
      </c>
      <c r="G5429" s="53"/>
    </row>
    <row r="5430">
      <c r="A5430" s="49">
        <v>44751.41075983796</v>
      </c>
      <c r="B5430" s="50">
        <v>44751.5357359027</v>
      </c>
      <c r="C5430" s="51">
        <v>1.004</v>
      </c>
      <c r="D5430" s="51">
        <v>68.0</v>
      </c>
      <c r="E5430" s="52" t="s">
        <v>25</v>
      </c>
      <c r="F5430" s="52" t="s">
        <v>26</v>
      </c>
      <c r="G5430" s="53"/>
    </row>
    <row r="5431">
      <c r="A5431" s="49">
        <v>44751.42118119213</v>
      </c>
      <c r="B5431" s="50">
        <v>44751.5461568287</v>
      </c>
      <c r="C5431" s="51">
        <v>1.004</v>
      </c>
      <c r="D5431" s="51">
        <v>68.0</v>
      </c>
      <c r="E5431" s="52" t="s">
        <v>25</v>
      </c>
      <c r="F5431" s="52" t="s">
        <v>26</v>
      </c>
      <c r="G5431" s="53"/>
    </row>
    <row r="5432">
      <c r="A5432" s="49">
        <v>44751.431594050926</v>
      </c>
      <c r="B5432" s="50">
        <v>44751.5565778703</v>
      </c>
      <c r="C5432" s="51">
        <v>1.004</v>
      </c>
      <c r="D5432" s="51">
        <v>68.0</v>
      </c>
      <c r="E5432" s="52" t="s">
        <v>25</v>
      </c>
      <c r="F5432" s="52" t="s">
        <v>26</v>
      </c>
      <c r="G5432" s="53"/>
    </row>
    <row r="5433">
      <c r="A5433" s="49">
        <v>44751.44202369213</v>
      </c>
      <c r="B5433" s="50">
        <v>44751.5669989004</v>
      </c>
      <c r="C5433" s="51">
        <v>1.004</v>
      </c>
      <c r="D5433" s="51">
        <v>68.0</v>
      </c>
      <c r="E5433" s="52" t="s">
        <v>25</v>
      </c>
      <c r="F5433" s="52" t="s">
        <v>26</v>
      </c>
      <c r="G5433" s="53"/>
    </row>
    <row r="5434">
      <c r="A5434" s="49">
        <v>44751.45244097222</v>
      </c>
      <c r="B5434" s="50">
        <v>44751.5774199305</v>
      </c>
      <c r="C5434" s="51">
        <v>1.004</v>
      </c>
      <c r="D5434" s="51">
        <v>68.0</v>
      </c>
      <c r="E5434" s="52" t="s">
        <v>25</v>
      </c>
      <c r="F5434" s="52" t="s">
        <v>26</v>
      </c>
      <c r="G5434" s="53"/>
    </row>
    <row r="5435">
      <c r="A5435" s="49">
        <v>44751.462872013886</v>
      </c>
      <c r="B5435" s="50">
        <v>44751.5878511574</v>
      </c>
      <c r="C5435" s="51">
        <v>1.004</v>
      </c>
      <c r="D5435" s="51">
        <v>68.0</v>
      </c>
      <c r="E5435" s="52" t="s">
        <v>25</v>
      </c>
      <c r="F5435" s="52" t="s">
        <v>26</v>
      </c>
      <c r="G5435" s="53"/>
    </row>
    <row r="5436">
      <c r="A5436" s="49">
        <v>44751.47329090278</v>
      </c>
      <c r="B5436" s="50">
        <v>44751.5982739004</v>
      </c>
      <c r="C5436" s="51">
        <v>1.004</v>
      </c>
      <c r="D5436" s="51">
        <v>68.0</v>
      </c>
      <c r="E5436" s="52" t="s">
        <v>25</v>
      </c>
      <c r="F5436" s="52" t="s">
        <v>26</v>
      </c>
      <c r="G5436" s="53"/>
    </row>
    <row r="5437">
      <c r="A5437" s="49">
        <v>44751.483724351856</v>
      </c>
      <c r="B5437" s="50">
        <v>44751.6086958796</v>
      </c>
      <c r="C5437" s="51">
        <v>1.004</v>
      </c>
      <c r="D5437" s="51">
        <v>68.0</v>
      </c>
      <c r="E5437" s="52" t="s">
        <v>25</v>
      </c>
      <c r="F5437" s="52" t="s">
        <v>26</v>
      </c>
      <c r="G5437" s="53"/>
    </row>
    <row r="5438">
      <c r="A5438" s="49">
        <v>44751.49413119213</v>
      </c>
      <c r="B5438" s="50">
        <v>44751.6191157523</v>
      </c>
      <c r="C5438" s="51">
        <v>1.004</v>
      </c>
      <c r="D5438" s="51">
        <v>68.0</v>
      </c>
      <c r="E5438" s="52" t="s">
        <v>25</v>
      </c>
      <c r="F5438" s="52" t="s">
        <v>26</v>
      </c>
      <c r="G5438" s="53"/>
    </row>
    <row r="5439">
      <c r="A5439" s="49">
        <v>44751.50455755787</v>
      </c>
      <c r="B5439" s="50">
        <v>44751.6295362731</v>
      </c>
      <c r="C5439" s="51">
        <v>1.004</v>
      </c>
      <c r="D5439" s="51">
        <v>68.0</v>
      </c>
      <c r="E5439" s="52" t="s">
        <v>25</v>
      </c>
      <c r="F5439" s="52" t="s">
        <v>26</v>
      </c>
      <c r="G5439" s="53"/>
    </row>
    <row r="5440">
      <c r="A5440" s="49">
        <v>44751.51498092593</v>
      </c>
      <c r="B5440" s="50">
        <v>44751.6399586458</v>
      </c>
      <c r="C5440" s="51">
        <v>1.004</v>
      </c>
      <c r="D5440" s="51">
        <v>68.0</v>
      </c>
      <c r="E5440" s="52" t="s">
        <v>25</v>
      </c>
      <c r="F5440" s="52" t="s">
        <v>26</v>
      </c>
      <c r="G5440" s="53"/>
    </row>
    <row r="5441">
      <c r="A5441" s="49">
        <v>44751.52540920139</v>
      </c>
      <c r="B5441" s="50">
        <v>44751.6503893518</v>
      </c>
      <c r="C5441" s="51">
        <v>1.004</v>
      </c>
      <c r="D5441" s="51">
        <v>68.0</v>
      </c>
      <c r="E5441" s="52" t="s">
        <v>25</v>
      </c>
      <c r="F5441" s="52" t="s">
        <v>26</v>
      </c>
      <c r="G5441" s="53"/>
    </row>
    <row r="5442">
      <c r="A5442" s="49">
        <v>44751.53582870371</v>
      </c>
      <c r="B5442" s="50">
        <v>44751.6608093171</v>
      </c>
      <c r="C5442" s="51">
        <v>1.004</v>
      </c>
      <c r="D5442" s="51">
        <v>68.0</v>
      </c>
      <c r="E5442" s="52" t="s">
        <v>25</v>
      </c>
      <c r="F5442" s="52" t="s">
        <v>26</v>
      </c>
      <c r="G5442" s="53"/>
    </row>
    <row r="5443">
      <c r="A5443" s="49">
        <v>44751.5462494213</v>
      </c>
      <c r="B5443" s="50">
        <v>44751.6712307754</v>
      </c>
      <c r="C5443" s="51">
        <v>1.004</v>
      </c>
      <c r="D5443" s="51">
        <v>68.0</v>
      </c>
      <c r="E5443" s="52" t="s">
        <v>25</v>
      </c>
      <c r="F5443" s="52" t="s">
        <v>26</v>
      </c>
      <c r="G5443" s="53"/>
    </row>
    <row r="5444">
      <c r="A5444" s="49">
        <v>44751.556673750005</v>
      </c>
      <c r="B5444" s="50">
        <v>44751.6816482176</v>
      </c>
      <c r="C5444" s="51">
        <v>1.004</v>
      </c>
      <c r="D5444" s="51">
        <v>68.0</v>
      </c>
      <c r="E5444" s="52" t="s">
        <v>25</v>
      </c>
      <c r="F5444" s="52" t="s">
        <v>26</v>
      </c>
      <c r="G5444" s="53"/>
    </row>
    <row r="5445">
      <c r="A5445" s="49">
        <v>44751.56710747685</v>
      </c>
      <c r="B5445" s="50">
        <v>44751.6920909953</v>
      </c>
      <c r="C5445" s="51">
        <v>1.004</v>
      </c>
      <c r="D5445" s="51">
        <v>68.0</v>
      </c>
      <c r="E5445" s="52" t="s">
        <v>25</v>
      </c>
      <c r="F5445" s="52" t="s">
        <v>26</v>
      </c>
      <c r="G5445" s="53"/>
    </row>
    <row r="5446">
      <c r="A5446" s="49">
        <v>44751.57752525463</v>
      </c>
      <c r="B5446" s="50">
        <v>44751.7025084722</v>
      </c>
      <c r="C5446" s="51">
        <v>1.004</v>
      </c>
      <c r="D5446" s="51">
        <v>68.0</v>
      </c>
      <c r="E5446" s="52" t="s">
        <v>25</v>
      </c>
      <c r="F5446" s="52" t="s">
        <v>26</v>
      </c>
      <c r="G5446" s="53"/>
    </row>
    <row r="5447">
      <c r="A5447" s="49">
        <v>44751.58795078704</v>
      </c>
      <c r="B5447" s="50">
        <v>44751.7129303703</v>
      </c>
      <c r="C5447" s="51">
        <v>1.004</v>
      </c>
      <c r="D5447" s="51">
        <v>68.0</v>
      </c>
      <c r="E5447" s="52" t="s">
        <v>25</v>
      </c>
      <c r="F5447" s="52" t="s">
        <v>26</v>
      </c>
      <c r="G5447" s="53"/>
    </row>
    <row r="5448">
      <c r="A5448" s="49">
        <v>44751.59836605324</v>
      </c>
      <c r="B5448" s="50">
        <v>44751.7233517361</v>
      </c>
      <c r="C5448" s="51">
        <v>1.004</v>
      </c>
      <c r="D5448" s="51">
        <v>68.0</v>
      </c>
      <c r="E5448" s="52" t="s">
        <v>25</v>
      </c>
      <c r="F5448" s="52" t="s">
        <v>26</v>
      </c>
      <c r="G5448" s="53"/>
    </row>
    <row r="5449">
      <c r="A5449" s="49">
        <v>44751.60880743056</v>
      </c>
      <c r="B5449" s="50">
        <v>44751.7337830902</v>
      </c>
      <c r="C5449" s="51">
        <v>1.004</v>
      </c>
      <c r="D5449" s="51">
        <v>69.0</v>
      </c>
      <c r="E5449" s="52" t="s">
        <v>25</v>
      </c>
      <c r="F5449" s="52" t="s">
        <v>26</v>
      </c>
      <c r="G5449" s="53"/>
    </row>
    <row r="5450">
      <c r="A5450" s="49">
        <v>44751.619221967594</v>
      </c>
      <c r="B5450" s="50">
        <v>44751.7442041666</v>
      </c>
      <c r="C5450" s="51">
        <v>1.004</v>
      </c>
      <c r="D5450" s="51">
        <v>69.0</v>
      </c>
      <c r="E5450" s="52" t="s">
        <v>25</v>
      </c>
      <c r="F5450" s="52" t="s">
        <v>26</v>
      </c>
      <c r="G5450" s="53"/>
    </row>
    <row r="5451">
      <c r="A5451" s="49">
        <v>44751.62965047454</v>
      </c>
      <c r="B5451" s="50">
        <v>44751.7546247222</v>
      </c>
      <c r="C5451" s="51">
        <v>1.004</v>
      </c>
      <c r="D5451" s="51">
        <v>69.0</v>
      </c>
      <c r="E5451" s="52" t="s">
        <v>25</v>
      </c>
      <c r="F5451" s="52" t="s">
        <v>26</v>
      </c>
      <c r="G5451" s="53"/>
    </row>
    <row r="5452">
      <c r="A5452" s="49">
        <v>44751.640063541665</v>
      </c>
      <c r="B5452" s="50">
        <v>44751.7650452314</v>
      </c>
      <c r="C5452" s="51">
        <v>1.004</v>
      </c>
      <c r="D5452" s="51">
        <v>69.0</v>
      </c>
      <c r="E5452" s="52" t="s">
        <v>25</v>
      </c>
      <c r="F5452" s="52" t="s">
        <v>26</v>
      </c>
      <c r="G5452" s="53"/>
    </row>
    <row r="5453">
      <c r="A5453" s="49">
        <v>44751.650502523145</v>
      </c>
      <c r="B5453" s="50">
        <v>44751.7754802083</v>
      </c>
      <c r="C5453" s="51">
        <v>1.004</v>
      </c>
      <c r="D5453" s="51">
        <v>69.0</v>
      </c>
      <c r="E5453" s="52" t="s">
        <v>25</v>
      </c>
      <c r="F5453" s="52" t="s">
        <v>26</v>
      </c>
      <c r="G5453" s="53"/>
    </row>
    <row r="5454">
      <c r="A5454" s="49">
        <v>44751.66092667824</v>
      </c>
      <c r="B5454" s="50">
        <v>44751.785901412</v>
      </c>
      <c r="C5454" s="51">
        <v>1.004</v>
      </c>
      <c r="D5454" s="51">
        <v>69.0</v>
      </c>
      <c r="E5454" s="52" t="s">
        <v>25</v>
      </c>
      <c r="F5454" s="52" t="s">
        <v>26</v>
      </c>
      <c r="G5454" s="53"/>
    </row>
    <row r="5455">
      <c r="A5455" s="49">
        <v>44751.671352314814</v>
      </c>
      <c r="B5455" s="50">
        <v>44751.7963327662</v>
      </c>
      <c r="C5455" s="51">
        <v>1.004</v>
      </c>
      <c r="D5455" s="51">
        <v>69.0</v>
      </c>
      <c r="E5455" s="52" t="s">
        <v>25</v>
      </c>
      <c r="F5455" s="52" t="s">
        <v>26</v>
      </c>
      <c r="G5455" s="53"/>
    </row>
    <row r="5456">
      <c r="A5456" s="49">
        <v>44751.68177241898</v>
      </c>
      <c r="B5456" s="50">
        <v>44751.8067516203</v>
      </c>
      <c r="C5456" s="51">
        <v>1.004</v>
      </c>
      <c r="D5456" s="51">
        <v>69.0</v>
      </c>
      <c r="E5456" s="52" t="s">
        <v>25</v>
      </c>
      <c r="F5456" s="52" t="s">
        <v>26</v>
      </c>
      <c r="G5456" s="53"/>
    </row>
    <row r="5457">
      <c r="A5457" s="49">
        <v>44751.69221594908</v>
      </c>
      <c r="B5457" s="50">
        <v>44751.8171943171</v>
      </c>
      <c r="C5457" s="51">
        <v>1.004</v>
      </c>
      <c r="D5457" s="51">
        <v>69.0</v>
      </c>
      <c r="E5457" s="52" t="s">
        <v>25</v>
      </c>
      <c r="F5457" s="52" t="s">
        <v>26</v>
      </c>
      <c r="G5457" s="53"/>
    </row>
    <row r="5458">
      <c r="A5458" s="49">
        <v>44751.70264178241</v>
      </c>
      <c r="B5458" s="50">
        <v>44751.8276150347</v>
      </c>
      <c r="C5458" s="51">
        <v>1.004</v>
      </c>
      <c r="D5458" s="51">
        <v>69.0</v>
      </c>
      <c r="E5458" s="52" t="s">
        <v>25</v>
      </c>
      <c r="F5458" s="52" t="s">
        <v>26</v>
      </c>
      <c r="G5458" s="53"/>
    </row>
    <row r="5459">
      <c r="A5459" s="49">
        <v>44751.71306613426</v>
      </c>
      <c r="B5459" s="50">
        <v>44751.8380496527</v>
      </c>
      <c r="C5459" s="51">
        <v>1.004</v>
      </c>
      <c r="D5459" s="51">
        <v>69.0</v>
      </c>
      <c r="E5459" s="52" t="s">
        <v>25</v>
      </c>
      <c r="F5459" s="52" t="s">
        <v>26</v>
      </c>
      <c r="G5459" s="53"/>
    </row>
    <row r="5460">
      <c r="A5460" s="49">
        <v>44751.7234958912</v>
      </c>
      <c r="B5460" s="50">
        <v>44751.848470949</v>
      </c>
      <c r="C5460" s="51">
        <v>1.004</v>
      </c>
      <c r="D5460" s="51">
        <v>69.0</v>
      </c>
      <c r="E5460" s="52" t="s">
        <v>25</v>
      </c>
      <c r="F5460" s="52" t="s">
        <v>26</v>
      </c>
      <c r="G5460" s="53"/>
    </row>
    <row r="5461">
      <c r="A5461" s="49">
        <v>44751.73391469907</v>
      </c>
      <c r="B5461" s="50">
        <v>44751.8588925463</v>
      </c>
      <c r="C5461" s="51">
        <v>1.004</v>
      </c>
      <c r="D5461" s="51">
        <v>69.0</v>
      </c>
      <c r="E5461" s="52" t="s">
        <v>25</v>
      </c>
      <c r="F5461" s="52" t="s">
        <v>26</v>
      </c>
      <c r="G5461" s="53"/>
    </row>
    <row r="5462">
      <c r="A5462" s="49">
        <v>44751.744333842595</v>
      </c>
      <c r="B5462" s="50">
        <v>44751.8693124768</v>
      </c>
      <c r="C5462" s="51">
        <v>1.004</v>
      </c>
      <c r="D5462" s="51">
        <v>69.0</v>
      </c>
      <c r="E5462" s="52" t="s">
        <v>25</v>
      </c>
      <c r="F5462" s="52" t="s">
        <v>26</v>
      </c>
      <c r="G5462" s="53"/>
    </row>
    <row r="5463">
      <c r="A5463" s="49">
        <v>44751.7547561574</v>
      </c>
      <c r="B5463" s="50">
        <v>44751.879732824</v>
      </c>
      <c r="C5463" s="51">
        <v>1.004</v>
      </c>
      <c r="D5463" s="51">
        <v>69.0</v>
      </c>
      <c r="E5463" s="52" t="s">
        <v>25</v>
      </c>
      <c r="F5463" s="52" t="s">
        <v>26</v>
      </c>
      <c r="G5463" s="53"/>
    </row>
    <row r="5464">
      <c r="A5464" s="49">
        <v>44751.765175810186</v>
      </c>
      <c r="B5464" s="50">
        <v>44751.8901537731</v>
      </c>
      <c r="C5464" s="51">
        <v>1.004</v>
      </c>
      <c r="D5464" s="51">
        <v>69.0</v>
      </c>
      <c r="E5464" s="52" t="s">
        <v>25</v>
      </c>
      <c r="F5464" s="52" t="s">
        <v>26</v>
      </c>
      <c r="G5464" s="53"/>
    </row>
    <row r="5465">
      <c r="A5465" s="49">
        <v>44751.77558969907</v>
      </c>
      <c r="B5465" s="50">
        <v>44751.900573287</v>
      </c>
      <c r="C5465" s="51">
        <v>1.004</v>
      </c>
      <c r="D5465" s="51">
        <v>69.0</v>
      </c>
      <c r="E5465" s="52" t="s">
        <v>25</v>
      </c>
      <c r="F5465" s="52" t="s">
        <v>26</v>
      </c>
      <c r="G5465" s="53"/>
    </row>
    <row r="5466">
      <c r="A5466" s="49">
        <v>44751.78601138889</v>
      </c>
      <c r="B5466" s="50">
        <v>44751.9109933796</v>
      </c>
      <c r="C5466" s="51">
        <v>1.004</v>
      </c>
      <c r="D5466" s="51">
        <v>69.0</v>
      </c>
      <c r="E5466" s="52" t="s">
        <v>25</v>
      </c>
      <c r="F5466" s="52" t="s">
        <v>26</v>
      </c>
      <c r="G5466" s="53"/>
    </row>
    <row r="5467">
      <c r="A5467" s="49">
        <v>44751.79643087963</v>
      </c>
      <c r="B5467" s="50">
        <v>44751.9214158333</v>
      </c>
      <c r="C5467" s="51">
        <v>1.004</v>
      </c>
      <c r="D5467" s="51">
        <v>69.0</v>
      </c>
      <c r="E5467" s="52" t="s">
        <v>25</v>
      </c>
      <c r="F5467" s="52" t="s">
        <v>26</v>
      </c>
      <c r="G5467" s="53"/>
    </row>
    <row r="5468">
      <c r="A5468" s="49">
        <v>44751.80685364583</v>
      </c>
      <c r="B5468" s="50">
        <v>44751.9318367245</v>
      </c>
      <c r="C5468" s="51">
        <v>1.004</v>
      </c>
      <c r="D5468" s="51">
        <v>69.0</v>
      </c>
      <c r="E5468" s="52" t="s">
        <v>25</v>
      </c>
      <c r="F5468" s="52" t="s">
        <v>26</v>
      </c>
      <c r="G5468" s="53"/>
    </row>
    <row r="5469">
      <c r="A5469" s="49">
        <v>44751.81728861111</v>
      </c>
      <c r="B5469" s="50">
        <v>44751.942267743</v>
      </c>
      <c r="C5469" s="51">
        <v>1.004</v>
      </c>
      <c r="D5469" s="51">
        <v>69.0</v>
      </c>
      <c r="E5469" s="52" t="s">
        <v>25</v>
      </c>
      <c r="F5469" s="52" t="s">
        <v>26</v>
      </c>
      <c r="G5469" s="53"/>
    </row>
    <row r="5470">
      <c r="A5470" s="49">
        <v>44751.82770826389</v>
      </c>
      <c r="B5470" s="50">
        <v>44751.9526878935</v>
      </c>
      <c r="C5470" s="51">
        <v>1.004</v>
      </c>
      <c r="D5470" s="51">
        <v>69.0</v>
      </c>
      <c r="E5470" s="52" t="s">
        <v>25</v>
      </c>
      <c r="F5470" s="52" t="s">
        <v>26</v>
      </c>
      <c r="G5470" s="53"/>
    </row>
    <row r="5471">
      <c r="A5471" s="49">
        <v>44751.83813221064</v>
      </c>
      <c r="B5471" s="50">
        <v>44751.96310875</v>
      </c>
      <c r="C5471" s="51">
        <v>1.004</v>
      </c>
      <c r="D5471" s="51">
        <v>69.0</v>
      </c>
      <c r="E5471" s="52" t="s">
        <v>25</v>
      </c>
      <c r="F5471" s="52" t="s">
        <v>26</v>
      </c>
      <c r="G5471" s="53"/>
    </row>
    <row r="5472">
      <c r="A5472" s="49">
        <v>44751.848556377314</v>
      </c>
      <c r="B5472" s="50">
        <v>44751.9735309606</v>
      </c>
      <c r="C5472" s="51">
        <v>1.004</v>
      </c>
      <c r="D5472" s="51">
        <v>69.0</v>
      </c>
      <c r="E5472" s="52" t="s">
        <v>25</v>
      </c>
      <c r="F5472" s="52" t="s">
        <v>26</v>
      </c>
      <c r="G5472" s="53"/>
    </row>
    <row r="5473">
      <c r="A5473" s="49">
        <v>44751.85897945602</v>
      </c>
      <c r="B5473" s="50">
        <v>44751.9839525694</v>
      </c>
      <c r="C5473" s="51">
        <v>1.004</v>
      </c>
      <c r="D5473" s="51">
        <v>69.0</v>
      </c>
      <c r="E5473" s="52" t="s">
        <v>25</v>
      </c>
      <c r="F5473" s="52" t="s">
        <v>26</v>
      </c>
      <c r="G5473" s="53"/>
    </row>
    <row r="5474">
      <c r="A5474" s="49">
        <v>44751.869394988425</v>
      </c>
      <c r="B5474" s="50">
        <v>44751.9943741666</v>
      </c>
      <c r="C5474" s="51">
        <v>1.004</v>
      </c>
      <c r="D5474" s="51">
        <v>69.0</v>
      </c>
      <c r="E5474" s="52" t="s">
        <v>25</v>
      </c>
      <c r="F5474" s="52" t="s">
        <v>26</v>
      </c>
      <c r="G5474" s="53"/>
    </row>
    <row r="5475">
      <c r="A5475" s="49">
        <v>44751.87981918981</v>
      </c>
      <c r="B5475" s="50">
        <v>44752.0047944444</v>
      </c>
      <c r="C5475" s="51">
        <v>1.004</v>
      </c>
      <c r="D5475" s="51">
        <v>69.0</v>
      </c>
      <c r="E5475" s="52" t="s">
        <v>25</v>
      </c>
      <c r="F5475" s="52" t="s">
        <v>26</v>
      </c>
      <c r="G5475" s="53"/>
    </row>
    <row r="5476">
      <c r="A5476" s="49">
        <v>44751.89023721065</v>
      </c>
      <c r="B5476" s="50">
        <v>44752.0152160879</v>
      </c>
      <c r="C5476" s="51">
        <v>1.004</v>
      </c>
      <c r="D5476" s="51">
        <v>69.0</v>
      </c>
      <c r="E5476" s="52" t="s">
        <v>25</v>
      </c>
      <c r="F5476" s="52" t="s">
        <v>26</v>
      </c>
      <c r="G5476" s="53"/>
    </row>
    <row r="5477">
      <c r="A5477" s="49">
        <v>44751.90066319444</v>
      </c>
      <c r="B5477" s="50">
        <v>44752.0256387152</v>
      </c>
      <c r="C5477" s="51">
        <v>1.004</v>
      </c>
      <c r="D5477" s="51">
        <v>69.0</v>
      </c>
      <c r="E5477" s="52" t="s">
        <v>25</v>
      </c>
      <c r="F5477" s="52" t="s">
        <v>26</v>
      </c>
      <c r="G5477" s="53"/>
    </row>
    <row r="5478">
      <c r="A5478" s="49">
        <v>44751.911098020835</v>
      </c>
      <c r="B5478" s="50">
        <v>44752.0360821296</v>
      </c>
      <c r="C5478" s="51">
        <v>1.004</v>
      </c>
      <c r="D5478" s="51">
        <v>69.0</v>
      </c>
      <c r="E5478" s="52" t="s">
        <v>25</v>
      </c>
      <c r="F5478" s="52" t="s">
        <v>26</v>
      </c>
      <c r="G5478" s="53"/>
    </row>
    <row r="5479">
      <c r="A5479" s="49">
        <v>44751.92153039352</v>
      </c>
      <c r="B5479" s="50">
        <v>44752.0465049768</v>
      </c>
      <c r="C5479" s="51">
        <v>1.004</v>
      </c>
      <c r="D5479" s="51">
        <v>69.0</v>
      </c>
      <c r="E5479" s="52" t="s">
        <v>25</v>
      </c>
      <c r="F5479" s="52" t="s">
        <v>26</v>
      </c>
      <c r="G5479" s="53"/>
    </row>
    <row r="5480">
      <c r="A5480" s="49">
        <v>44751.9319421875</v>
      </c>
      <c r="B5480" s="50">
        <v>44752.0569267245</v>
      </c>
      <c r="C5480" s="51">
        <v>1.004</v>
      </c>
      <c r="D5480" s="51">
        <v>69.0</v>
      </c>
      <c r="E5480" s="52" t="s">
        <v>25</v>
      </c>
      <c r="F5480" s="52" t="s">
        <v>26</v>
      </c>
      <c r="G5480" s="53"/>
    </row>
    <row r="5481">
      <c r="A5481" s="49">
        <v>44751.94236472222</v>
      </c>
      <c r="B5481" s="50">
        <v>44752.0673472106</v>
      </c>
      <c r="C5481" s="51">
        <v>1.004</v>
      </c>
      <c r="D5481" s="51">
        <v>69.0</v>
      </c>
      <c r="E5481" s="52" t="s">
        <v>25</v>
      </c>
      <c r="F5481" s="52" t="s">
        <v>26</v>
      </c>
      <c r="G5481" s="53"/>
    </row>
    <row r="5482">
      <c r="A5482" s="49">
        <v>44751.95279355324</v>
      </c>
      <c r="B5482" s="50">
        <v>44752.0777691203</v>
      </c>
      <c r="C5482" s="51">
        <v>1.004</v>
      </c>
      <c r="D5482" s="51">
        <v>69.0</v>
      </c>
      <c r="E5482" s="52" t="s">
        <v>25</v>
      </c>
      <c r="F5482" s="52" t="s">
        <v>26</v>
      </c>
      <c r="G5482" s="53"/>
    </row>
    <row r="5483">
      <c r="A5483" s="49">
        <v>44751.96321133102</v>
      </c>
      <c r="B5483" s="50">
        <v>44752.0881895023</v>
      </c>
      <c r="C5483" s="51">
        <v>1.004</v>
      </c>
      <c r="D5483" s="51">
        <v>69.0</v>
      </c>
      <c r="E5483" s="52" t="s">
        <v>25</v>
      </c>
      <c r="F5483" s="52" t="s">
        <v>26</v>
      </c>
      <c r="G5483" s="53"/>
    </row>
    <row r="5484">
      <c r="A5484" s="49">
        <v>44751.97363083334</v>
      </c>
      <c r="B5484" s="50">
        <v>44752.0986103588</v>
      </c>
      <c r="C5484" s="51">
        <v>1.004</v>
      </c>
      <c r="D5484" s="51">
        <v>69.0</v>
      </c>
      <c r="E5484" s="52" t="s">
        <v>25</v>
      </c>
      <c r="F5484" s="52" t="s">
        <v>26</v>
      </c>
      <c r="G5484" s="53"/>
    </row>
    <row r="5485">
      <c r="A5485" s="49">
        <v>44751.98405060185</v>
      </c>
      <c r="B5485" s="50">
        <v>44752.109031655</v>
      </c>
      <c r="C5485" s="51">
        <v>1.004</v>
      </c>
      <c r="D5485" s="51">
        <v>69.0</v>
      </c>
      <c r="E5485" s="52" t="s">
        <v>25</v>
      </c>
      <c r="F5485" s="52" t="s">
        <v>26</v>
      </c>
      <c r="G5485" s="53"/>
    </row>
    <row r="5486">
      <c r="A5486" s="49">
        <v>44751.994489861114</v>
      </c>
      <c r="B5486" s="50">
        <v>44752.1194634953</v>
      </c>
      <c r="C5486" s="51">
        <v>1.004</v>
      </c>
      <c r="D5486" s="51">
        <v>69.0</v>
      </c>
      <c r="E5486" s="52" t="s">
        <v>25</v>
      </c>
      <c r="F5486" s="52" t="s">
        <v>26</v>
      </c>
      <c r="G5486" s="53"/>
    </row>
    <row r="5487">
      <c r="A5487" s="49">
        <v>44752.004918935185</v>
      </c>
      <c r="B5487" s="50">
        <v>44752.1298966898</v>
      </c>
      <c r="C5487" s="51">
        <v>1.004</v>
      </c>
      <c r="D5487" s="51">
        <v>69.0</v>
      </c>
      <c r="E5487" s="52" t="s">
        <v>25</v>
      </c>
      <c r="F5487" s="52" t="s">
        <v>26</v>
      </c>
      <c r="G5487" s="53"/>
    </row>
    <row r="5488">
      <c r="A5488" s="49">
        <v>44752.01536005787</v>
      </c>
      <c r="B5488" s="50">
        <v>44752.1403315625</v>
      </c>
      <c r="C5488" s="51">
        <v>1.004</v>
      </c>
      <c r="D5488" s="51">
        <v>69.0</v>
      </c>
      <c r="E5488" s="52" t="s">
        <v>25</v>
      </c>
      <c r="F5488" s="52" t="s">
        <v>26</v>
      </c>
      <c r="G5488" s="53"/>
    </row>
    <row r="5489">
      <c r="A5489" s="49">
        <v>44752.025792546294</v>
      </c>
      <c r="B5489" s="50">
        <v>44752.1507654166</v>
      </c>
      <c r="C5489" s="51">
        <v>1.004</v>
      </c>
      <c r="D5489" s="51">
        <v>69.0</v>
      </c>
      <c r="E5489" s="52" t="s">
        <v>25</v>
      </c>
      <c r="F5489" s="52" t="s">
        <v>26</v>
      </c>
      <c r="G5489" s="53"/>
    </row>
    <row r="5490">
      <c r="A5490" s="49">
        <v>44752.036236134256</v>
      </c>
      <c r="B5490" s="50">
        <v>44752.1612092129</v>
      </c>
      <c r="C5490" s="51">
        <v>1.004</v>
      </c>
      <c r="D5490" s="51">
        <v>69.0</v>
      </c>
      <c r="E5490" s="52" t="s">
        <v>25</v>
      </c>
      <c r="F5490" s="52" t="s">
        <v>26</v>
      </c>
      <c r="G5490" s="53"/>
    </row>
    <row r="5491">
      <c r="A5491" s="49">
        <v>44752.04665780092</v>
      </c>
      <c r="B5491" s="50">
        <v>44752.1716295717</v>
      </c>
      <c r="C5491" s="51">
        <v>1.004</v>
      </c>
      <c r="D5491" s="51">
        <v>69.0</v>
      </c>
      <c r="E5491" s="52" t="s">
        <v>25</v>
      </c>
      <c r="F5491" s="52" t="s">
        <v>26</v>
      </c>
      <c r="G5491" s="53"/>
    </row>
    <row r="5492">
      <c r="A5492" s="49">
        <v>44752.057068842594</v>
      </c>
      <c r="B5492" s="50">
        <v>44752.1820508449</v>
      </c>
      <c r="C5492" s="51">
        <v>1.004</v>
      </c>
      <c r="D5492" s="51">
        <v>69.0</v>
      </c>
      <c r="E5492" s="52" t="s">
        <v>25</v>
      </c>
      <c r="F5492" s="52" t="s">
        <v>26</v>
      </c>
      <c r="G5492" s="53"/>
    </row>
    <row r="5493">
      <c r="A5493" s="49">
        <v>44752.06750376157</v>
      </c>
      <c r="B5493" s="50">
        <v>44752.1924834722</v>
      </c>
      <c r="C5493" s="51">
        <v>1.004</v>
      </c>
      <c r="D5493" s="51">
        <v>69.0</v>
      </c>
      <c r="E5493" s="52" t="s">
        <v>25</v>
      </c>
      <c r="F5493" s="52" t="s">
        <v>26</v>
      </c>
      <c r="G5493" s="53"/>
    </row>
    <row r="5494">
      <c r="A5494" s="49">
        <v>44752.077923564815</v>
      </c>
      <c r="B5494" s="50">
        <v>44752.2029035185</v>
      </c>
      <c r="C5494" s="51">
        <v>1.004</v>
      </c>
      <c r="D5494" s="51">
        <v>69.0</v>
      </c>
      <c r="E5494" s="52" t="s">
        <v>25</v>
      </c>
      <c r="F5494" s="52" t="s">
        <v>26</v>
      </c>
      <c r="G5494" s="53"/>
    </row>
    <row r="5495">
      <c r="A5495" s="49">
        <v>44752.08833733796</v>
      </c>
      <c r="B5495" s="50">
        <v>44752.2133238888</v>
      </c>
      <c r="C5495" s="51">
        <v>1.004</v>
      </c>
      <c r="D5495" s="51">
        <v>69.0</v>
      </c>
      <c r="E5495" s="52" t="s">
        <v>25</v>
      </c>
      <c r="F5495" s="52" t="s">
        <v>26</v>
      </c>
      <c r="G5495" s="53"/>
    </row>
    <row r="5496">
      <c r="A5496" s="49">
        <v>44752.09877798611</v>
      </c>
      <c r="B5496" s="50">
        <v>44752.2237564583</v>
      </c>
      <c r="C5496" s="51">
        <v>1.004</v>
      </c>
      <c r="D5496" s="51">
        <v>69.0</v>
      </c>
      <c r="E5496" s="52" t="s">
        <v>25</v>
      </c>
      <c r="F5496" s="52" t="s">
        <v>26</v>
      </c>
      <c r="G5496" s="53"/>
    </row>
    <row r="5497">
      <c r="A5497" s="49">
        <v>44752.10920384259</v>
      </c>
      <c r="B5497" s="50">
        <v>44752.2341874884</v>
      </c>
      <c r="C5497" s="51">
        <v>1.004</v>
      </c>
      <c r="D5497" s="51">
        <v>69.0</v>
      </c>
      <c r="E5497" s="52" t="s">
        <v>25</v>
      </c>
      <c r="F5497" s="52" t="s">
        <v>26</v>
      </c>
      <c r="G5497" s="53"/>
    </row>
    <row r="5498">
      <c r="A5498" s="49">
        <v>44752.11962960648</v>
      </c>
      <c r="B5498" s="50">
        <v>44752.2446082754</v>
      </c>
      <c r="C5498" s="51">
        <v>1.004</v>
      </c>
      <c r="D5498" s="51">
        <v>69.0</v>
      </c>
      <c r="E5498" s="52" t="s">
        <v>25</v>
      </c>
      <c r="F5498" s="52" t="s">
        <v>26</v>
      </c>
      <c r="G5498" s="53"/>
    </row>
    <row r="5499">
      <c r="A5499" s="49">
        <v>44752.130043321755</v>
      </c>
      <c r="B5499" s="50">
        <v>44752.2550293402</v>
      </c>
      <c r="C5499" s="51">
        <v>1.004</v>
      </c>
      <c r="D5499" s="51">
        <v>69.0</v>
      </c>
      <c r="E5499" s="52" t="s">
        <v>25</v>
      </c>
      <c r="F5499" s="52" t="s">
        <v>26</v>
      </c>
      <c r="G5499" s="53"/>
    </row>
    <row r="5500">
      <c r="A5500" s="49">
        <v>44752.14047017361</v>
      </c>
      <c r="B5500" s="50">
        <v>44752.2654513888</v>
      </c>
      <c r="C5500" s="51">
        <v>1.004</v>
      </c>
      <c r="D5500" s="51">
        <v>69.0</v>
      </c>
      <c r="E5500" s="52" t="s">
        <v>25</v>
      </c>
      <c r="F5500" s="52" t="s">
        <v>26</v>
      </c>
      <c r="G5500" s="53"/>
    </row>
    <row r="5501">
      <c r="A5501" s="49">
        <v>44752.15089503472</v>
      </c>
      <c r="B5501" s="50">
        <v>44752.2758726504</v>
      </c>
      <c r="C5501" s="51">
        <v>1.004</v>
      </c>
      <c r="D5501" s="51">
        <v>69.0</v>
      </c>
      <c r="E5501" s="52" t="s">
        <v>25</v>
      </c>
      <c r="F5501" s="52" t="s">
        <v>26</v>
      </c>
      <c r="G5501" s="53"/>
    </row>
    <row r="5502">
      <c r="A5502" s="49">
        <v>44752.1613112037</v>
      </c>
      <c r="B5502" s="50">
        <v>44752.2862932176</v>
      </c>
      <c r="C5502" s="51">
        <v>1.004</v>
      </c>
      <c r="D5502" s="51">
        <v>69.0</v>
      </c>
      <c r="E5502" s="52" t="s">
        <v>25</v>
      </c>
      <c r="F5502" s="52" t="s">
        <v>26</v>
      </c>
      <c r="G5502" s="53"/>
    </row>
    <row r="5503">
      <c r="A5503" s="49">
        <v>44752.17173548611</v>
      </c>
      <c r="B5503" s="50">
        <v>44752.2967145254</v>
      </c>
      <c r="C5503" s="51">
        <v>1.004</v>
      </c>
      <c r="D5503" s="51">
        <v>69.0</v>
      </c>
      <c r="E5503" s="52" t="s">
        <v>25</v>
      </c>
      <c r="F5503" s="52" t="s">
        <v>26</v>
      </c>
      <c r="G5503" s="53"/>
    </row>
    <row r="5504">
      <c r="A5504" s="49">
        <v>44752.18216182871</v>
      </c>
      <c r="B5504" s="50">
        <v>44752.3071455787</v>
      </c>
      <c r="C5504" s="51">
        <v>1.004</v>
      </c>
      <c r="D5504" s="51">
        <v>69.0</v>
      </c>
      <c r="E5504" s="52" t="s">
        <v>25</v>
      </c>
      <c r="F5504" s="52" t="s">
        <v>26</v>
      </c>
      <c r="G5504" s="53"/>
    </row>
    <row r="5505">
      <c r="A5505" s="49">
        <v>44752.19258949074</v>
      </c>
      <c r="B5505" s="50">
        <v>44752.317567199</v>
      </c>
      <c r="C5505" s="51">
        <v>1.004</v>
      </c>
      <c r="D5505" s="51">
        <v>69.0</v>
      </c>
      <c r="E5505" s="52" t="s">
        <v>25</v>
      </c>
      <c r="F5505" s="52" t="s">
        <v>26</v>
      </c>
      <c r="G5505" s="53"/>
    </row>
    <row r="5506">
      <c r="A5506" s="49">
        <v>44752.203016423606</v>
      </c>
      <c r="B5506" s="50">
        <v>44752.3279904745</v>
      </c>
      <c r="C5506" s="51">
        <v>1.004</v>
      </c>
      <c r="D5506" s="51">
        <v>69.0</v>
      </c>
      <c r="E5506" s="52" t="s">
        <v>25</v>
      </c>
      <c r="F5506" s="52" t="s">
        <v>26</v>
      </c>
      <c r="G5506" s="53"/>
    </row>
    <row r="5507">
      <c r="A5507" s="49">
        <v>44752.21343877315</v>
      </c>
      <c r="B5507" s="50">
        <v>44752.3384115509</v>
      </c>
      <c r="C5507" s="51">
        <v>1.004</v>
      </c>
      <c r="D5507" s="51">
        <v>69.0</v>
      </c>
      <c r="E5507" s="52" t="s">
        <v>25</v>
      </c>
      <c r="F5507" s="52" t="s">
        <v>26</v>
      </c>
      <c r="G5507" s="53"/>
    </row>
    <row r="5508">
      <c r="A5508" s="49">
        <v>44752.223858564816</v>
      </c>
      <c r="B5508" s="50">
        <v>44752.348833287</v>
      </c>
      <c r="C5508" s="51">
        <v>1.004</v>
      </c>
      <c r="D5508" s="51">
        <v>69.0</v>
      </c>
      <c r="E5508" s="52" t="s">
        <v>25</v>
      </c>
      <c r="F5508" s="52" t="s">
        <v>26</v>
      </c>
      <c r="G5508" s="53"/>
    </row>
    <row r="5509">
      <c r="A5509" s="49">
        <v>44752.234278749995</v>
      </c>
      <c r="B5509" s="50">
        <v>44752.3592537731</v>
      </c>
      <c r="C5509" s="51">
        <v>1.004</v>
      </c>
      <c r="D5509" s="51">
        <v>69.0</v>
      </c>
      <c r="E5509" s="52" t="s">
        <v>25</v>
      </c>
      <c r="F5509" s="52" t="s">
        <v>26</v>
      </c>
      <c r="G5509" s="53"/>
    </row>
    <row r="5510">
      <c r="A5510" s="49">
        <v>44752.24470628472</v>
      </c>
      <c r="B5510" s="50">
        <v>44752.3696750347</v>
      </c>
      <c r="C5510" s="51">
        <v>1.004</v>
      </c>
      <c r="D5510" s="51">
        <v>69.0</v>
      </c>
      <c r="E5510" s="52" t="s">
        <v>25</v>
      </c>
      <c r="F5510" s="52" t="s">
        <v>26</v>
      </c>
      <c r="G5510" s="53"/>
    </row>
    <row r="5511">
      <c r="A5511" s="49">
        <v>44752.2551150463</v>
      </c>
      <c r="B5511" s="50">
        <v>44752.3800950347</v>
      </c>
      <c r="C5511" s="51">
        <v>1.004</v>
      </c>
      <c r="D5511" s="51">
        <v>69.0</v>
      </c>
      <c r="E5511" s="52" t="s">
        <v>25</v>
      </c>
      <c r="F5511" s="52" t="s">
        <v>26</v>
      </c>
      <c r="G5511" s="53"/>
    </row>
    <row r="5512">
      <c r="A5512" s="49">
        <v>44752.265541782406</v>
      </c>
      <c r="B5512" s="50">
        <v>44752.3905160532</v>
      </c>
      <c r="C5512" s="51">
        <v>1.004</v>
      </c>
      <c r="D5512" s="51">
        <v>69.0</v>
      </c>
      <c r="E5512" s="52" t="s">
        <v>25</v>
      </c>
      <c r="F5512" s="52" t="s">
        <v>26</v>
      </c>
      <c r="G5512" s="53"/>
    </row>
    <row r="5513">
      <c r="A5513" s="49">
        <v>44752.275959328705</v>
      </c>
      <c r="B5513" s="50">
        <v>44752.400937662</v>
      </c>
      <c r="C5513" s="51">
        <v>1.004</v>
      </c>
      <c r="D5513" s="51">
        <v>69.0</v>
      </c>
      <c r="E5513" s="52" t="s">
        <v>25</v>
      </c>
      <c r="F5513" s="52" t="s">
        <v>26</v>
      </c>
      <c r="G5513" s="53"/>
    </row>
    <row r="5514">
      <c r="A5514" s="49">
        <v>44752.286397696764</v>
      </c>
      <c r="B5514" s="50">
        <v>44752.4113812268</v>
      </c>
      <c r="C5514" s="51">
        <v>1.004</v>
      </c>
      <c r="D5514" s="51">
        <v>69.0</v>
      </c>
      <c r="E5514" s="52" t="s">
        <v>25</v>
      </c>
      <c r="F5514" s="52" t="s">
        <v>26</v>
      </c>
      <c r="G5514" s="53"/>
    </row>
    <row r="5515">
      <c r="A5515" s="49">
        <v>44752.29682363426</v>
      </c>
      <c r="B5515" s="50">
        <v>44752.4218026041</v>
      </c>
      <c r="C5515" s="51">
        <v>1.004</v>
      </c>
      <c r="D5515" s="51">
        <v>69.0</v>
      </c>
      <c r="E5515" s="52" t="s">
        <v>25</v>
      </c>
      <c r="F5515" s="52" t="s">
        <v>26</v>
      </c>
      <c r="G5515" s="53"/>
    </row>
    <row r="5516">
      <c r="A5516" s="49">
        <v>44752.30723951389</v>
      </c>
      <c r="B5516" s="50">
        <v>44752.4322228935</v>
      </c>
      <c r="C5516" s="51">
        <v>1.004</v>
      </c>
      <c r="D5516" s="51">
        <v>69.0</v>
      </c>
      <c r="E5516" s="52" t="s">
        <v>25</v>
      </c>
      <c r="F5516" s="52" t="s">
        <v>26</v>
      </c>
      <c r="G5516" s="53"/>
    </row>
    <row r="5517">
      <c r="A5517" s="49">
        <v>44752.31766480324</v>
      </c>
      <c r="B5517" s="50">
        <v>44752.442644537</v>
      </c>
      <c r="C5517" s="51">
        <v>1.004</v>
      </c>
      <c r="D5517" s="51">
        <v>69.0</v>
      </c>
      <c r="E5517" s="52" t="s">
        <v>25</v>
      </c>
      <c r="F5517" s="52" t="s">
        <v>26</v>
      </c>
      <c r="G5517" s="53"/>
    </row>
    <row r="5518">
      <c r="A5518" s="49">
        <v>44752.32810167824</v>
      </c>
      <c r="B5518" s="50">
        <v>44752.4530772338</v>
      </c>
      <c r="C5518" s="51">
        <v>1.004</v>
      </c>
      <c r="D5518" s="51">
        <v>69.0</v>
      </c>
      <c r="E5518" s="52" t="s">
        <v>25</v>
      </c>
      <c r="F5518" s="52" t="s">
        <v>26</v>
      </c>
      <c r="G5518" s="53"/>
    </row>
    <row r="5519">
      <c r="A5519" s="49">
        <v>44752.33852232639</v>
      </c>
      <c r="B5519" s="50">
        <v>44752.46349875</v>
      </c>
      <c r="C5519" s="51">
        <v>1.004</v>
      </c>
      <c r="D5519" s="51">
        <v>69.0</v>
      </c>
      <c r="E5519" s="52" t="s">
        <v>25</v>
      </c>
      <c r="F5519" s="52" t="s">
        <v>26</v>
      </c>
      <c r="G5519" s="53"/>
    </row>
    <row r="5520">
      <c r="A5520" s="49">
        <v>44752.34894792824</v>
      </c>
      <c r="B5520" s="50">
        <v>44752.4739217708</v>
      </c>
      <c r="C5520" s="51">
        <v>1.004</v>
      </c>
      <c r="D5520" s="51">
        <v>69.0</v>
      </c>
      <c r="E5520" s="52" t="s">
        <v>25</v>
      </c>
      <c r="F5520" s="52" t="s">
        <v>26</v>
      </c>
      <c r="G5520" s="53"/>
    </row>
    <row r="5521">
      <c r="A5521" s="49">
        <v>44752.35937391204</v>
      </c>
      <c r="B5521" s="50">
        <v>44752.4843560185</v>
      </c>
      <c r="C5521" s="51">
        <v>1.004</v>
      </c>
      <c r="D5521" s="51">
        <v>69.0</v>
      </c>
      <c r="E5521" s="52" t="s">
        <v>25</v>
      </c>
      <c r="F5521" s="52" t="s">
        <v>26</v>
      </c>
      <c r="G5521" s="53"/>
    </row>
    <row r="5522">
      <c r="A5522" s="49">
        <v>44752.369812199075</v>
      </c>
      <c r="B5522" s="50">
        <v>44752.4947889699</v>
      </c>
      <c r="C5522" s="51">
        <v>1.004</v>
      </c>
      <c r="D5522" s="51">
        <v>69.0</v>
      </c>
      <c r="E5522" s="52" t="s">
        <v>25</v>
      </c>
      <c r="F5522" s="52" t="s">
        <v>26</v>
      </c>
      <c r="G5522" s="53"/>
    </row>
    <row r="5523">
      <c r="A5523" s="49">
        <v>44752.38025173611</v>
      </c>
      <c r="B5523" s="50">
        <v>44752.5052220138</v>
      </c>
      <c r="C5523" s="51">
        <v>1.004</v>
      </c>
      <c r="D5523" s="51">
        <v>70.0</v>
      </c>
      <c r="E5523" s="52" t="s">
        <v>25</v>
      </c>
      <c r="F5523" s="52" t="s">
        <v>26</v>
      </c>
      <c r="G5523" s="53"/>
    </row>
    <row r="5524">
      <c r="A5524" s="49">
        <v>44752.39066175926</v>
      </c>
      <c r="B5524" s="50">
        <v>44752.5156430092</v>
      </c>
      <c r="C5524" s="51">
        <v>1.004</v>
      </c>
      <c r="D5524" s="51">
        <v>69.0</v>
      </c>
      <c r="E5524" s="52" t="s">
        <v>25</v>
      </c>
      <c r="F5524" s="52" t="s">
        <v>26</v>
      </c>
      <c r="G5524" s="53"/>
    </row>
    <row r="5525">
      <c r="A5525" s="49">
        <v>44752.40110141203</v>
      </c>
      <c r="B5525" s="50">
        <v>44752.5260756944</v>
      </c>
      <c r="C5525" s="51">
        <v>1.004</v>
      </c>
      <c r="D5525" s="51">
        <v>69.0</v>
      </c>
      <c r="E5525" s="52" t="s">
        <v>25</v>
      </c>
      <c r="F5525" s="52" t="s">
        <v>26</v>
      </c>
      <c r="G5525" s="53"/>
    </row>
    <row r="5526">
      <c r="A5526" s="49">
        <v>44752.41152872685</v>
      </c>
      <c r="B5526" s="50">
        <v>44752.5364976967</v>
      </c>
      <c r="C5526" s="51">
        <v>1.004</v>
      </c>
      <c r="D5526" s="51">
        <v>70.0</v>
      </c>
      <c r="E5526" s="52" t="s">
        <v>25</v>
      </c>
      <c r="F5526" s="52" t="s">
        <v>26</v>
      </c>
      <c r="G5526" s="53"/>
    </row>
    <row r="5527">
      <c r="A5527" s="49">
        <v>44752.42193340277</v>
      </c>
      <c r="B5527" s="50">
        <v>44752.5469178935</v>
      </c>
      <c r="C5527" s="51">
        <v>1.004</v>
      </c>
      <c r="D5527" s="51">
        <v>70.0</v>
      </c>
      <c r="E5527" s="52" t="s">
        <v>25</v>
      </c>
      <c r="F5527" s="52" t="s">
        <v>26</v>
      </c>
      <c r="G5527" s="53"/>
    </row>
    <row r="5528">
      <c r="A5528" s="49">
        <v>44752.43235640046</v>
      </c>
      <c r="B5528" s="50">
        <v>44752.5573409722</v>
      </c>
      <c r="C5528" s="51">
        <v>1.004</v>
      </c>
      <c r="D5528" s="51">
        <v>70.0</v>
      </c>
      <c r="E5528" s="52" t="s">
        <v>25</v>
      </c>
      <c r="F5528" s="52" t="s">
        <v>26</v>
      </c>
      <c r="G5528" s="53"/>
    </row>
    <row r="5529">
      <c r="A5529" s="49">
        <v>44752.442785844905</v>
      </c>
      <c r="B5529" s="50">
        <v>44752.5677634375</v>
      </c>
      <c r="C5529" s="51">
        <v>1.004</v>
      </c>
      <c r="D5529" s="51">
        <v>69.0</v>
      </c>
      <c r="E5529" s="52" t="s">
        <v>25</v>
      </c>
      <c r="F5529" s="52" t="s">
        <v>26</v>
      </c>
      <c r="G5529" s="53"/>
    </row>
    <row r="5530">
      <c r="A5530" s="49">
        <v>44752.45320157407</v>
      </c>
      <c r="B5530" s="50">
        <v>44752.5781841319</v>
      </c>
      <c r="C5530" s="51">
        <v>1.004</v>
      </c>
      <c r="D5530" s="51">
        <v>70.0</v>
      </c>
      <c r="E5530" s="52" t="s">
        <v>25</v>
      </c>
      <c r="F5530" s="52" t="s">
        <v>26</v>
      </c>
      <c r="G5530" s="53"/>
    </row>
    <row r="5531">
      <c r="A5531" s="49">
        <v>44752.46363042824</v>
      </c>
      <c r="B5531" s="50">
        <v>44752.5886057523</v>
      </c>
      <c r="C5531" s="51">
        <v>1.004</v>
      </c>
      <c r="D5531" s="51">
        <v>70.0</v>
      </c>
      <c r="E5531" s="52" t="s">
        <v>25</v>
      </c>
      <c r="F5531" s="52" t="s">
        <v>26</v>
      </c>
      <c r="G5531" s="53"/>
    </row>
    <row r="5532">
      <c r="A5532" s="49">
        <v>44752.47405188657</v>
      </c>
      <c r="B5532" s="50">
        <v>44752.5990266898</v>
      </c>
      <c r="C5532" s="51">
        <v>1.004</v>
      </c>
      <c r="D5532" s="51">
        <v>70.0</v>
      </c>
      <c r="E5532" s="52" t="s">
        <v>25</v>
      </c>
      <c r="F5532" s="52" t="s">
        <v>26</v>
      </c>
      <c r="G5532" s="53"/>
    </row>
    <row r="5533">
      <c r="A5533" s="49">
        <v>44752.48446619213</v>
      </c>
      <c r="B5533" s="50">
        <v>44752.6094465625</v>
      </c>
      <c r="C5533" s="51">
        <v>1.004</v>
      </c>
      <c r="D5533" s="51">
        <v>70.0</v>
      </c>
      <c r="E5533" s="52" t="s">
        <v>25</v>
      </c>
      <c r="F5533" s="52" t="s">
        <v>26</v>
      </c>
      <c r="G5533" s="53"/>
    </row>
    <row r="5534">
      <c r="A5534" s="49">
        <v>44752.494886203705</v>
      </c>
      <c r="B5534" s="50">
        <v>44752.6198651967</v>
      </c>
      <c r="C5534" s="51">
        <v>1.004</v>
      </c>
      <c r="D5534" s="51">
        <v>70.0</v>
      </c>
      <c r="E5534" s="52" t="s">
        <v>25</v>
      </c>
      <c r="F5534" s="52" t="s">
        <v>26</v>
      </c>
      <c r="G5534" s="53"/>
    </row>
    <row r="5535">
      <c r="A5535" s="49">
        <v>44752.50530912037</v>
      </c>
      <c r="B5535" s="50">
        <v>44752.6302856944</v>
      </c>
      <c r="C5535" s="51">
        <v>1.004</v>
      </c>
      <c r="D5535" s="51">
        <v>70.0</v>
      </c>
      <c r="E5535" s="52" t="s">
        <v>25</v>
      </c>
      <c r="F5535" s="52" t="s">
        <v>26</v>
      </c>
      <c r="G5535" s="53"/>
    </row>
    <row r="5536">
      <c r="A5536" s="49">
        <v>44752.515728391205</v>
      </c>
      <c r="B5536" s="50">
        <v>44752.6407057291</v>
      </c>
      <c r="C5536" s="51">
        <v>1.004</v>
      </c>
      <c r="D5536" s="51">
        <v>70.0</v>
      </c>
      <c r="E5536" s="52" t="s">
        <v>25</v>
      </c>
      <c r="F5536" s="52" t="s">
        <v>26</v>
      </c>
      <c r="G5536" s="53"/>
    </row>
    <row r="5537">
      <c r="A5537" s="49">
        <v>44752.52614006944</v>
      </c>
      <c r="B5537" s="50">
        <v>44752.6511264004</v>
      </c>
      <c r="C5537" s="51">
        <v>1.004</v>
      </c>
      <c r="D5537" s="51">
        <v>70.0</v>
      </c>
      <c r="E5537" s="52" t="s">
        <v>25</v>
      </c>
      <c r="F5537" s="52" t="s">
        <v>26</v>
      </c>
      <c r="G5537" s="53"/>
    </row>
    <row r="5538">
      <c r="A5538" s="49">
        <v>44752.53656771991</v>
      </c>
      <c r="B5538" s="50">
        <v>44752.6615478935</v>
      </c>
      <c r="C5538" s="51">
        <v>1.004</v>
      </c>
      <c r="D5538" s="51">
        <v>70.0</v>
      </c>
      <c r="E5538" s="52" t="s">
        <v>25</v>
      </c>
      <c r="F5538" s="52" t="s">
        <v>26</v>
      </c>
      <c r="G5538" s="53"/>
    </row>
    <row r="5539">
      <c r="A5539" s="49">
        <v>44752.54699451389</v>
      </c>
      <c r="B5539" s="50">
        <v>44752.6719711342</v>
      </c>
      <c r="C5539" s="51">
        <v>1.004</v>
      </c>
      <c r="D5539" s="51">
        <v>70.0</v>
      </c>
      <c r="E5539" s="52" t="s">
        <v>25</v>
      </c>
      <c r="F5539" s="52" t="s">
        <v>26</v>
      </c>
      <c r="G5539" s="53"/>
    </row>
    <row r="5540">
      <c r="A5540" s="49">
        <v>44752.55741815972</v>
      </c>
      <c r="B5540" s="50">
        <v>44752.682392199</v>
      </c>
      <c r="C5540" s="51">
        <v>1.004</v>
      </c>
      <c r="D5540" s="51">
        <v>70.0</v>
      </c>
      <c r="E5540" s="52" t="s">
        <v>25</v>
      </c>
      <c r="F5540" s="52" t="s">
        <v>26</v>
      </c>
      <c r="G5540" s="53"/>
    </row>
    <row r="5541">
      <c r="A5541" s="49">
        <v>44752.56784047454</v>
      </c>
      <c r="B5541" s="50">
        <v>44752.6928145254</v>
      </c>
      <c r="C5541" s="51">
        <v>1.004</v>
      </c>
      <c r="D5541" s="51">
        <v>70.0</v>
      </c>
      <c r="E5541" s="52" t="s">
        <v>25</v>
      </c>
      <c r="F5541" s="52" t="s">
        <v>26</v>
      </c>
      <c r="G5541" s="53"/>
    </row>
    <row r="5542">
      <c r="A5542" s="49">
        <v>44752.57825689815</v>
      </c>
      <c r="B5542" s="50">
        <v>44752.7032364004</v>
      </c>
      <c r="C5542" s="51">
        <v>1.004</v>
      </c>
      <c r="D5542" s="51">
        <v>70.0</v>
      </c>
      <c r="E5542" s="52" t="s">
        <v>25</v>
      </c>
      <c r="F5542" s="52" t="s">
        <v>26</v>
      </c>
      <c r="G5542" s="53"/>
    </row>
    <row r="5543">
      <c r="A5543" s="49">
        <v>44752.58867703704</v>
      </c>
      <c r="B5543" s="50">
        <v>44752.7136558449</v>
      </c>
      <c r="C5543" s="51">
        <v>1.004</v>
      </c>
      <c r="D5543" s="51">
        <v>70.0</v>
      </c>
      <c r="E5543" s="52" t="s">
        <v>25</v>
      </c>
      <c r="F5543" s="52" t="s">
        <v>26</v>
      </c>
      <c r="G5543" s="53"/>
    </row>
    <row r="5544">
      <c r="A5544" s="49">
        <v>44752.59912547454</v>
      </c>
      <c r="B5544" s="50">
        <v>44752.72409978</v>
      </c>
      <c r="C5544" s="51">
        <v>1.004</v>
      </c>
      <c r="D5544" s="51">
        <v>70.0</v>
      </c>
      <c r="E5544" s="52" t="s">
        <v>25</v>
      </c>
      <c r="F5544" s="52" t="s">
        <v>26</v>
      </c>
      <c r="G5544" s="53"/>
    </row>
    <row r="5545">
      <c r="A5545" s="49">
        <v>44752.60954305556</v>
      </c>
      <c r="B5545" s="50">
        <v>44752.7345212268</v>
      </c>
      <c r="C5545" s="51">
        <v>1.004</v>
      </c>
      <c r="D5545" s="51">
        <v>70.0</v>
      </c>
      <c r="E5545" s="52" t="s">
        <v>25</v>
      </c>
      <c r="F5545" s="52" t="s">
        <v>26</v>
      </c>
      <c r="G5545" s="53"/>
    </row>
    <row r="5546">
      <c r="A5546" s="49">
        <v>44752.61996055556</v>
      </c>
      <c r="B5546" s="50">
        <v>44752.744942743</v>
      </c>
      <c r="C5546" s="51">
        <v>1.004</v>
      </c>
      <c r="D5546" s="51">
        <v>70.0</v>
      </c>
      <c r="E5546" s="52" t="s">
        <v>25</v>
      </c>
      <c r="F5546" s="52" t="s">
        <v>26</v>
      </c>
      <c r="G5546" s="53"/>
    </row>
    <row r="5547">
      <c r="A5547" s="49">
        <v>44752.63041106482</v>
      </c>
      <c r="B5547" s="50">
        <v>44752.7553873263</v>
      </c>
      <c r="C5547" s="51">
        <v>1.004</v>
      </c>
      <c r="D5547" s="51">
        <v>70.0</v>
      </c>
      <c r="E5547" s="52" t="s">
        <v>25</v>
      </c>
      <c r="F5547" s="52" t="s">
        <v>26</v>
      </c>
      <c r="G5547" s="53"/>
    </row>
    <row r="5548">
      <c r="A5548" s="49">
        <v>44752.64082298611</v>
      </c>
      <c r="B5548" s="50">
        <v>44752.7658080439</v>
      </c>
      <c r="C5548" s="51">
        <v>1.004</v>
      </c>
      <c r="D5548" s="51">
        <v>70.0</v>
      </c>
      <c r="E5548" s="52" t="s">
        <v>25</v>
      </c>
      <c r="F5548" s="52" t="s">
        <v>26</v>
      </c>
      <c r="G5548" s="53"/>
    </row>
    <row r="5549">
      <c r="A5549" s="49">
        <v>44752.65125055556</v>
      </c>
      <c r="B5549" s="50">
        <v>44752.776228993</v>
      </c>
      <c r="C5549" s="51">
        <v>1.004</v>
      </c>
      <c r="D5549" s="51">
        <v>70.0</v>
      </c>
      <c r="E5549" s="52" t="s">
        <v>25</v>
      </c>
      <c r="F5549" s="52" t="s">
        <v>26</v>
      </c>
      <c r="G5549" s="53"/>
    </row>
    <row r="5550">
      <c r="A5550" s="49">
        <v>44752.66166677083</v>
      </c>
      <c r="B5550" s="50">
        <v>44752.7866504629</v>
      </c>
      <c r="C5550" s="51">
        <v>1.004</v>
      </c>
      <c r="D5550" s="51">
        <v>70.0</v>
      </c>
      <c r="E5550" s="52" t="s">
        <v>25</v>
      </c>
      <c r="F5550" s="52" t="s">
        <v>26</v>
      </c>
      <c r="G5550" s="53"/>
    </row>
    <row r="5551">
      <c r="A5551" s="49">
        <v>44752.67209431713</v>
      </c>
      <c r="B5551" s="50">
        <v>44752.7970702199</v>
      </c>
      <c r="C5551" s="51">
        <v>1.004</v>
      </c>
      <c r="D5551" s="51">
        <v>70.0</v>
      </c>
      <c r="E5551" s="52" t="s">
        <v>25</v>
      </c>
      <c r="F5551" s="52" t="s">
        <v>26</v>
      </c>
      <c r="G5551" s="53"/>
    </row>
    <row r="5552">
      <c r="A5552" s="49">
        <v>44752.68251579861</v>
      </c>
      <c r="B5552" s="50">
        <v>44752.8074909837</v>
      </c>
      <c r="C5552" s="51">
        <v>1.004</v>
      </c>
      <c r="D5552" s="51">
        <v>70.0</v>
      </c>
      <c r="E5552" s="52" t="s">
        <v>25</v>
      </c>
      <c r="F5552" s="52" t="s">
        <v>26</v>
      </c>
      <c r="G5552" s="53"/>
    </row>
    <row r="5553">
      <c r="A5553" s="49">
        <v>44752.69293640046</v>
      </c>
      <c r="B5553" s="50">
        <v>44752.8179133564</v>
      </c>
      <c r="C5553" s="51">
        <v>1.004</v>
      </c>
      <c r="D5553" s="51">
        <v>70.0</v>
      </c>
      <c r="E5553" s="52" t="s">
        <v>25</v>
      </c>
      <c r="F5553" s="52" t="s">
        <v>26</v>
      </c>
      <c r="G5553" s="53"/>
    </row>
    <row r="5554">
      <c r="A5554" s="49">
        <v>44752.70334788194</v>
      </c>
      <c r="B5554" s="50">
        <v>44752.8283348842</v>
      </c>
      <c r="C5554" s="51">
        <v>1.004</v>
      </c>
      <c r="D5554" s="51">
        <v>70.0</v>
      </c>
      <c r="E5554" s="52" t="s">
        <v>25</v>
      </c>
      <c r="F5554" s="52" t="s">
        <v>26</v>
      </c>
      <c r="G5554" s="53"/>
    </row>
    <row r="5555">
      <c r="A5555" s="49">
        <v>44752.71377751157</v>
      </c>
      <c r="B5555" s="50">
        <v>44752.8387555439</v>
      </c>
      <c r="C5555" s="51">
        <v>1.004</v>
      </c>
      <c r="D5555" s="51">
        <v>70.0</v>
      </c>
      <c r="E5555" s="52" t="s">
        <v>25</v>
      </c>
      <c r="F5555" s="52" t="s">
        <v>26</v>
      </c>
      <c r="G5555" s="53"/>
    </row>
    <row r="5556">
      <c r="A5556" s="49">
        <v>44752.724190821755</v>
      </c>
      <c r="B5556" s="50">
        <v>44752.8491751967</v>
      </c>
      <c r="C5556" s="51">
        <v>1.004</v>
      </c>
      <c r="D5556" s="51">
        <v>70.0</v>
      </c>
      <c r="E5556" s="52" t="s">
        <v>25</v>
      </c>
      <c r="F5556" s="52" t="s">
        <v>26</v>
      </c>
      <c r="G5556" s="53"/>
    </row>
    <row r="5557">
      <c r="A5557" s="49">
        <v>44752.73461706018</v>
      </c>
      <c r="B5557" s="50">
        <v>44752.8595977199</v>
      </c>
      <c r="C5557" s="51">
        <v>1.004</v>
      </c>
      <c r="D5557" s="51">
        <v>70.0</v>
      </c>
      <c r="E5557" s="52" t="s">
        <v>25</v>
      </c>
      <c r="F5557" s="52" t="s">
        <v>26</v>
      </c>
      <c r="G5557" s="53"/>
    </row>
    <row r="5558">
      <c r="A5558" s="49">
        <v>44752.74503791667</v>
      </c>
      <c r="B5558" s="50">
        <v>44752.870020081</v>
      </c>
      <c r="C5558" s="51">
        <v>1.004</v>
      </c>
      <c r="D5558" s="51">
        <v>70.0</v>
      </c>
      <c r="E5558" s="52" t="s">
        <v>25</v>
      </c>
      <c r="F5558" s="52" t="s">
        <v>26</v>
      </c>
      <c r="G5558" s="53"/>
    </row>
    <row r="5559">
      <c r="A5559" s="49">
        <v>44752.75546748843</v>
      </c>
      <c r="B5559" s="50">
        <v>44752.8804420717</v>
      </c>
      <c r="C5559" s="51">
        <v>1.004</v>
      </c>
      <c r="D5559" s="51">
        <v>70.0</v>
      </c>
      <c r="E5559" s="52" t="s">
        <v>25</v>
      </c>
      <c r="F5559" s="52" t="s">
        <v>26</v>
      </c>
      <c r="G5559" s="53"/>
    </row>
    <row r="5560">
      <c r="A5560" s="49">
        <v>44752.765889814815</v>
      </c>
      <c r="B5560" s="50">
        <v>44752.8908653472</v>
      </c>
      <c r="C5560" s="51">
        <v>1.004</v>
      </c>
      <c r="D5560" s="51">
        <v>70.0</v>
      </c>
      <c r="E5560" s="52" t="s">
        <v>25</v>
      </c>
      <c r="F5560" s="52" t="s">
        <v>26</v>
      </c>
      <c r="G5560" s="53"/>
    </row>
    <row r="5561">
      <c r="A5561" s="49">
        <v>44752.776307754626</v>
      </c>
      <c r="B5561" s="50">
        <v>44752.9012875578</v>
      </c>
      <c r="C5561" s="51">
        <v>1.004</v>
      </c>
      <c r="D5561" s="51">
        <v>70.0</v>
      </c>
      <c r="E5561" s="52" t="s">
        <v>25</v>
      </c>
      <c r="F5561" s="52" t="s">
        <v>26</v>
      </c>
      <c r="G5561" s="53"/>
    </row>
    <row r="5562">
      <c r="A5562" s="49">
        <v>44752.78673373842</v>
      </c>
      <c r="B5562" s="50">
        <v>44752.9117084374</v>
      </c>
      <c r="C5562" s="51">
        <v>1.004</v>
      </c>
      <c r="D5562" s="51">
        <v>70.0</v>
      </c>
      <c r="E5562" s="52" t="s">
        <v>25</v>
      </c>
      <c r="F5562" s="52" t="s">
        <v>26</v>
      </c>
      <c r="G5562" s="53"/>
    </row>
    <row r="5563">
      <c r="A5563" s="49">
        <v>44752.797153125</v>
      </c>
      <c r="B5563" s="50">
        <v>44752.9221290393</v>
      </c>
      <c r="C5563" s="51">
        <v>1.004</v>
      </c>
      <c r="D5563" s="51">
        <v>70.0</v>
      </c>
      <c r="E5563" s="52" t="s">
        <v>25</v>
      </c>
      <c r="F5563" s="52" t="s">
        <v>26</v>
      </c>
      <c r="G5563" s="53"/>
    </row>
    <row r="5564">
      <c r="A5564" s="49">
        <v>44752.80757431713</v>
      </c>
      <c r="B5564" s="50">
        <v>44752.9325513541</v>
      </c>
      <c r="C5564" s="51">
        <v>1.004</v>
      </c>
      <c r="D5564" s="51">
        <v>70.0</v>
      </c>
      <c r="E5564" s="52" t="s">
        <v>25</v>
      </c>
      <c r="F5564" s="52" t="s">
        <v>26</v>
      </c>
      <c r="G5564" s="53"/>
    </row>
    <row r="5565">
      <c r="A5565" s="49">
        <v>44752.81798928241</v>
      </c>
      <c r="B5565" s="50">
        <v>44752.9429716319</v>
      </c>
      <c r="C5565" s="51">
        <v>1.004</v>
      </c>
      <c r="D5565" s="51">
        <v>70.0</v>
      </c>
      <c r="E5565" s="52" t="s">
        <v>25</v>
      </c>
      <c r="F5565" s="52" t="s">
        <v>26</v>
      </c>
      <c r="G5565" s="53"/>
    </row>
    <row r="5566">
      <c r="A5566" s="49">
        <v>44752.82840953703</v>
      </c>
      <c r="B5566" s="50">
        <v>44752.9533913541</v>
      </c>
      <c r="C5566" s="51">
        <v>1.004</v>
      </c>
      <c r="D5566" s="51">
        <v>70.0</v>
      </c>
      <c r="E5566" s="52" t="s">
        <v>25</v>
      </c>
      <c r="F5566" s="52" t="s">
        <v>26</v>
      </c>
      <c r="G5566" s="53"/>
    </row>
    <row r="5567">
      <c r="A5567" s="49">
        <v>44752.83883291666</v>
      </c>
      <c r="B5567" s="50">
        <v>44752.9638116551</v>
      </c>
      <c r="C5567" s="51">
        <v>1.005</v>
      </c>
      <c r="D5567" s="51">
        <v>70.0</v>
      </c>
      <c r="E5567" s="52" t="s">
        <v>25</v>
      </c>
      <c r="F5567" s="52" t="s">
        <v>26</v>
      </c>
      <c r="G5567" s="53"/>
    </row>
    <row r="5568">
      <c r="A5568" s="49">
        <v>44752.84925613426</v>
      </c>
      <c r="B5568" s="50">
        <v>44752.9742335648</v>
      </c>
      <c r="C5568" s="51">
        <v>1.004</v>
      </c>
      <c r="D5568" s="51">
        <v>70.0</v>
      </c>
      <c r="E5568" s="52" t="s">
        <v>25</v>
      </c>
      <c r="F5568" s="52" t="s">
        <v>26</v>
      </c>
      <c r="G5568" s="53"/>
    </row>
    <row r="5569">
      <c r="A5569" s="49">
        <v>44752.85967708333</v>
      </c>
      <c r="B5569" s="50">
        <v>44752.9846537962</v>
      </c>
      <c r="C5569" s="51">
        <v>1.004</v>
      </c>
      <c r="D5569" s="51">
        <v>70.0</v>
      </c>
      <c r="E5569" s="52" t="s">
        <v>25</v>
      </c>
      <c r="F5569" s="52" t="s">
        <v>26</v>
      </c>
      <c r="G5569" s="53"/>
    </row>
    <row r="5570">
      <c r="A5570" s="49">
        <v>44752.87011056713</v>
      </c>
      <c r="B5570" s="50">
        <v>44752.9950874074</v>
      </c>
      <c r="C5570" s="51">
        <v>1.004</v>
      </c>
      <c r="D5570" s="51">
        <v>70.0</v>
      </c>
      <c r="E5570" s="52" t="s">
        <v>25</v>
      </c>
      <c r="F5570" s="52" t="s">
        <v>26</v>
      </c>
      <c r="G5570" s="53"/>
    </row>
    <row r="5571">
      <c r="A5571" s="49">
        <v>44752.880543437495</v>
      </c>
      <c r="B5571" s="50">
        <v>44753.0055194328</v>
      </c>
      <c r="C5571" s="51">
        <v>1.004</v>
      </c>
      <c r="D5571" s="51">
        <v>70.0</v>
      </c>
      <c r="E5571" s="52" t="s">
        <v>25</v>
      </c>
      <c r="F5571" s="52" t="s">
        <v>26</v>
      </c>
      <c r="G5571" s="53"/>
    </row>
    <row r="5572">
      <c r="A5572" s="49">
        <v>44752.890963275466</v>
      </c>
      <c r="B5572" s="50">
        <v>44753.0159400462</v>
      </c>
      <c r="C5572" s="51">
        <v>1.004</v>
      </c>
      <c r="D5572" s="51">
        <v>70.0</v>
      </c>
      <c r="E5572" s="52" t="s">
        <v>25</v>
      </c>
      <c r="F5572" s="52" t="s">
        <v>26</v>
      </c>
      <c r="G5572" s="53"/>
    </row>
    <row r="5573">
      <c r="A5573" s="49">
        <v>44752.90139829861</v>
      </c>
      <c r="B5573" s="50">
        <v>44753.0263733796</v>
      </c>
      <c r="C5573" s="51">
        <v>1.004</v>
      </c>
      <c r="D5573" s="51">
        <v>69.0</v>
      </c>
      <c r="E5573" s="52" t="s">
        <v>25</v>
      </c>
      <c r="F5573" s="52" t="s">
        <v>26</v>
      </c>
      <c r="G5573" s="53"/>
    </row>
    <row r="5574">
      <c r="A5574" s="49">
        <v>44752.911826550924</v>
      </c>
      <c r="B5574" s="50">
        <v>44753.036805787</v>
      </c>
      <c r="C5574" s="51">
        <v>1.004</v>
      </c>
      <c r="D5574" s="51">
        <v>68.0</v>
      </c>
      <c r="E5574" s="52" t="s">
        <v>25</v>
      </c>
      <c r="F5574" s="52" t="s">
        <v>26</v>
      </c>
      <c r="G5574" s="53"/>
    </row>
    <row r="5575">
      <c r="A5575" s="49">
        <v>44752.92226313657</v>
      </c>
      <c r="B5575" s="50">
        <v>44753.0472389236</v>
      </c>
      <c r="C5575" s="51">
        <v>1.004</v>
      </c>
      <c r="D5575" s="51">
        <v>67.0</v>
      </c>
      <c r="E5575" s="52" t="s">
        <v>25</v>
      </c>
      <c r="F5575" s="52" t="s">
        <v>26</v>
      </c>
      <c r="G5575" s="53"/>
    </row>
    <row r="5576">
      <c r="A5576" s="49">
        <v>44752.93268020834</v>
      </c>
      <c r="B5576" s="50">
        <v>44753.0576598958</v>
      </c>
      <c r="C5576" s="51">
        <v>1.004</v>
      </c>
      <c r="D5576" s="51">
        <v>67.0</v>
      </c>
      <c r="E5576" s="52" t="s">
        <v>25</v>
      </c>
      <c r="F5576" s="52" t="s">
        <v>26</v>
      </c>
      <c r="G5576" s="53"/>
    </row>
    <row r="5577">
      <c r="A5577" s="49">
        <v>44752.94310186343</v>
      </c>
      <c r="B5577" s="50">
        <v>44753.0680823495</v>
      </c>
      <c r="C5577" s="51">
        <v>1.004</v>
      </c>
      <c r="D5577" s="51">
        <v>66.0</v>
      </c>
      <c r="E5577" s="52" t="s">
        <v>25</v>
      </c>
      <c r="F5577" s="52" t="s">
        <v>26</v>
      </c>
      <c r="G5577" s="53"/>
    </row>
    <row r="5578">
      <c r="A5578" s="49">
        <v>44752.95355119213</v>
      </c>
      <c r="B5578" s="50">
        <v>44753.0785276736</v>
      </c>
      <c r="C5578" s="51">
        <v>1.004</v>
      </c>
      <c r="D5578" s="51">
        <v>66.0</v>
      </c>
      <c r="E5578" s="52" t="s">
        <v>25</v>
      </c>
      <c r="F5578" s="52" t="s">
        <v>26</v>
      </c>
      <c r="G5578" s="53"/>
    </row>
    <row r="5579">
      <c r="A5579" s="49">
        <v>44752.963965057876</v>
      </c>
      <c r="B5579" s="50">
        <v>44753.0889501504</v>
      </c>
      <c r="C5579" s="51">
        <v>1.004</v>
      </c>
      <c r="D5579" s="51">
        <v>66.0</v>
      </c>
      <c r="E5579" s="52" t="s">
        <v>25</v>
      </c>
      <c r="F5579" s="52" t="s">
        <v>26</v>
      </c>
      <c r="G5579" s="53"/>
    </row>
    <row r="5580">
      <c r="A5580" s="49">
        <v>44752.9743940162</v>
      </c>
      <c r="B5580" s="50">
        <v>44753.0993706018</v>
      </c>
      <c r="C5580" s="51">
        <v>1.004</v>
      </c>
      <c r="D5580" s="51">
        <v>66.0</v>
      </c>
      <c r="E5580" s="52" t="s">
        <v>25</v>
      </c>
      <c r="F5580" s="52" t="s">
        <v>26</v>
      </c>
      <c r="G5580" s="53"/>
    </row>
    <row r="5581">
      <c r="A5581" s="49">
        <v>44752.98482412037</v>
      </c>
      <c r="B5581" s="50">
        <v>44753.1097933564</v>
      </c>
      <c r="C5581" s="51">
        <v>1.004</v>
      </c>
      <c r="D5581" s="51">
        <v>66.0</v>
      </c>
      <c r="E5581" s="52" t="s">
        <v>25</v>
      </c>
      <c r="F5581" s="52" t="s">
        <v>26</v>
      </c>
      <c r="G5581" s="53"/>
    </row>
    <row r="5582">
      <c r="A5582" s="49">
        <v>44752.995233587964</v>
      </c>
      <c r="B5582" s="50">
        <v>44753.1202131597</v>
      </c>
      <c r="C5582" s="51">
        <v>1.004</v>
      </c>
      <c r="D5582" s="51">
        <v>66.0</v>
      </c>
      <c r="E5582" s="52" t="s">
        <v>25</v>
      </c>
      <c r="F5582" s="52" t="s">
        <v>26</v>
      </c>
      <c r="G5582" s="53"/>
    </row>
    <row r="5583">
      <c r="A5583" s="49">
        <v>44753.00565396991</v>
      </c>
      <c r="B5583" s="50">
        <v>44753.1306347222</v>
      </c>
      <c r="C5583" s="51">
        <v>1.004</v>
      </c>
      <c r="D5583" s="51">
        <v>66.0</v>
      </c>
      <c r="E5583" s="52" t="s">
        <v>25</v>
      </c>
      <c r="F5583" s="52" t="s">
        <v>26</v>
      </c>
      <c r="G5583" s="53"/>
    </row>
    <row r="5584">
      <c r="A5584" s="49">
        <v>44753.016080497684</v>
      </c>
      <c r="B5584" s="50">
        <v>44753.141055868</v>
      </c>
      <c r="C5584" s="51">
        <v>1.004</v>
      </c>
      <c r="D5584" s="51">
        <v>66.0</v>
      </c>
      <c r="E5584" s="52" t="s">
        <v>25</v>
      </c>
      <c r="F5584" s="52" t="s">
        <v>26</v>
      </c>
      <c r="G5584" s="53"/>
    </row>
    <row r="5585">
      <c r="A5585" s="49">
        <v>44753.02650694444</v>
      </c>
      <c r="B5585" s="50">
        <v>44753.1514766782</v>
      </c>
      <c r="C5585" s="51">
        <v>1.004</v>
      </c>
      <c r="D5585" s="51">
        <v>66.0</v>
      </c>
      <c r="E5585" s="52" t="s">
        <v>25</v>
      </c>
      <c r="F5585" s="52" t="s">
        <v>26</v>
      </c>
      <c r="G5585" s="53"/>
    </row>
    <row r="5586">
      <c r="A5586" s="49">
        <v>44753.036920451385</v>
      </c>
      <c r="B5586" s="50">
        <v>44753.1618977199</v>
      </c>
      <c r="C5586" s="51">
        <v>1.004</v>
      </c>
      <c r="D5586" s="51">
        <v>66.0</v>
      </c>
      <c r="E5586" s="52" t="s">
        <v>25</v>
      </c>
      <c r="F5586" s="52" t="s">
        <v>26</v>
      </c>
      <c r="G5586" s="53"/>
    </row>
    <row r="5587">
      <c r="A5587" s="49">
        <v>44753.04733782407</v>
      </c>
      <c r="B5587" s="50">
        <v>44753.1723203009</v>
      </c>
      <c r="C5587" s="51">
        <v>1.004</v>
      </c>
      <c r="D5587" s="51">
        <v>66.0</v>
      </c>
      <c r="E5587" s="52" t="s">
        <v>25</v>
      </c>
      <c r="F5587" s="52" t="s">
        <v>26</v>
      </c>
      <c r="G5587" s="53"/>
    </row>
    <row r="5588">
      <c r="A5588" s="49">
        <v>44753.05776630787</v>
      </c>
      <c r="B5588" s="50">
        <v>44753.1827414583</v>
      </c>
      <c r="C5588" s="51">
        <v>1.004</v>
      </c>
      <c r="D5588" s="51">
        <v>66.0</v>
      </c>
      <c r="E5588" s="52" t="s">
        <v>25</v>
      </c>
      <c r="F5588" s="52" t="s">
        <v>26</v>
      </c>
      <c r="G5588" s="53"/>
    </row>
    <row r="5589">
      <c r="A5589" s="49">
        <v>44753.06818459491</v>
      </c>
      <c r="B5589" s="50">
        <v>44753.1931617013</v>
      </c>
      <c r="C5589" s="51">
        <v>1.004</v>
      </c>
      <c r="D5589" s="51">
        <v>66.0</v>
      </c>
      <c r="E5589" s="52" t="s">
        <v>25</v>
      </c>
      <c r="F5589" s="52" t="s">
        <v>26</v>
      </c>
      <c r="G5589" s="53"/>
    </row>
    <row r="5590">
      <c r="A5590" s="49">
        <v>44753.0786084375</v>
      </c>
      <c r="B5590" s="50">
        <v>44753.2035834027</v>
      </c>
      <c r="C5590" s="51">
        <v>1.004</v>
      </c>
      <c r="D5590" s="51">
        <v>66.0</v>
      </c>
      <c r="E5590" s="52" t="s">
        <v>25</v>
      </c>
      <c r="F5590" s="52" t="s">
        <v>26</v>
      </c>
      <c r="G5590" s="53"/>
    </row>
    <row r="5591">
      <c r="A5591" s="49">
        <v>44753.089027407405</v>
      </c>
      <c r="B5591" s="50">
        <v>44753.2140033912</v>
      </c>
      <c r="C5591" s="51">
        <v>1.004</v>
      </c>
      <c r="D5591" s="51">
        <v>66.0</v>
      </c>
      <c r="E5591" s="52" t="s">
        <v>25</v>
      </c>
      <c r="F5591" s="52" t="s">
        <v>26</v>
      </c>
      <c r="G5591" s="53"/>
    </row>
    <row r="5592">
      <c r="A5592" s="49">
        <v>44753.09946011574</v>
      </c>
      <c r="B5592" s="50">
        <v>44753.2244365509</v>
      </c>
      <c r="C5592" s="51">
        <v>1.004</v>
      </c>
      <c r="D5592" s="51">
        <v>66.0</v>
      </c>
      <c r="E5592" s="52" t="s">
        <v>25</v>
      </c>
      <c r="F5592" s="52" t="s">
        <v>26</v>
      </c>
      <c r="G5592" s="53"/>
    </row>
    <row r="5593">
      <c r="A5593" s="49">
        <v>44753.10987822917</v>
      </c>
      <c r="B5593" s="50">
        <v>44753.2348566782</v>
      </c>
      <c r="C5593" s="51">
        <v>1.004</v>
      </c>
      <c r="D5593" s="51">
        <v>66.0</v>
      </c>
      <c r="E5593" s="52" t="s">
        <v>25</v>
      </c>
      <c r="F5593" s="52" t="s">
        <v>26</v>
      </c>
      <c r="G5593" s="53"/>
    </row>
    <row r="5594">
      <c r="A5594" s="49">
        <v>44753.120296863424</v>
      </c>
      <c r="B5594" s="50">
        <v>44753.2452785185</v>
      </c>
      <c r="C5594" s="51">
        <v>1.004</v>
      </c>
      <c r="D5594" s="51">
        <v>66.0</v>
      </c>
      <c r="E5594" s="52" t="s">
        <v>25</v>
      </c>
      <c r="F5594" s="52" t="s">
        <v>26</v>
      </c>
      <c r="G5594" s="53"/>
    </row>
    <row r="5595">
      <c r="A5595" s="49">
        <v>44753.130724918985</v>
      </c>
      <c r="B5595" s="50">
        <v>44753.2556987384</v>
      </c>
      <c r="C5595" s="51">
        <v>1.004</v>
      </c>
      <c r="D5595" s="51">
        <v>66.0</v>
      </c>
      <c r="E5595" s="52" t="s">
        <v>25</v>
      </c>
      <c r="F5595" s="52" t="s">
        <v>26</v>
      </c>
      <c r="G5595" s="53"/>
    </row>
    <row r="5596">
      <c r="A5596" s="49">
        <v>44753.14115034722</v>
      </c>
      <c r="B5596" s="50">
        <v>44753.2661201504</v>
      </c>
      <c r="C5596" s="51">
        <v>1.004</v>
      </c>
      <c r="D5596" s="51">
        <v>66.0</v>
      </c>
      <c r="E5596" s="52" t="s">
        <v>25</v>
      </c>
      <c r="F5596" s="52" t="s">
        <v>26</v>
      </c>
      <c r="G5596" s="53"/>
    </row>
    <row r="5597">
      <c r="A5597" s="49">
        <v>44753.151564513886</v>
      </c>
      <c r="B5597" s="50">
        <v>44753.2765421643</v>
      </c>
      <c r="C5597" s="51">
        <v>1.005</v>
      </c>
      <c r="D5597" s="51">
        <v>66.0</v>
      </c>
      <c r="E5597" s="52" t="s">
        <v>25</v>
      </c>
      <c r="F5597" s="52" t="s">
        <v>26</v>
      </c>
      <c r="G5597" s="53"/>
    </row>
    <row r="5598">
      <c r="A5598" s="49">
        <v>44753.161991712965</v>
      </c>
      <c r="B5598" s="50">
        <v>44753.2869633564</v>
      </c>
      <c r="C5598" s="51">
        <v>1.004</v>
      </c>
      <c r="D5598" s="51">
        <v>66.0</v>
      </c>
      <c r="E5598" s="52" t="s">
        <v>25</v>
      </c>
      <c r="F5598" s="52" t="s">
        <v>26</v>
      </c>
      <c r="G5598" s="53"/>
    </row>
    <row r="5599">
      <c r="A5599" s="49">
        <v>44753.17241166667</v>
      </c>
      <c r="B5599" s="50">
        <v>44753.2973870138</v>
      </c>
      <c r="C5599" s="51">
        <v>1.004</v>
      </c>
      <c r="D5599" s="51">
        <v>66.0</v>
      </c>
      <c r="E5599" s="52" t="s">
        <v>25</v>
      </c>
      <c r="F5599" s="52" t="s">
        <v>26</v>
      </c>
      <c r="G5599" s="53"/>
    </row>
    <row r="5600">
      <c r="A5600" s="49">
        <v>44753.182831157406</v>
      </c>
      <c r="B5600" s="50">
        <v>44753.3078087615</v>
      </c>
      <c r="C5600" s="51">
        <v>1.004</v>
      </c>
      <c r="D5600" s="51">
        <v>66.0</v>
      </c>
      <c r="E5600" s="52" t="s">
        <v>25</v>
      </c>
      <c r="F5600" s="52" t="s">
        <v>26</v>
      </c>
      <c r="G5600" s="53"/>
    </row>
    <row r="5601">
      <c r="A5601" s="49">
        <v>44753.19324496528</v>
      </c>
      <c r="B5601" s="50">
        <v>44753.3182297106</v>
      </c>
      <c r="C5601" s="51">
        <v>1.004</v>
      </c>
      <c r="D5601" s="51">
        <v>66.0</v>
      </c>
      <c r="E5601" s="52" t="s">
        <v>25</v>
      </c>
      <c r="F5601" s="52" t="s">
        <v>26</v>
      </c>
      <c r="G5601" s="53"/>
    </row>
    <row r="5602">
      <c r="A5602" s="49">
        <v>44753.20367702546</v>
      </c>
      <c r="B5602" s="50">
        <v>44753.3286522685</v>
      </c>
      <c r="C5602" s="51">
        <v>1.004</v>
      </c>
      <c r="D5602" s="51">
        <v>66.0</v>
      </c>
      <c r="E5602" s="52" t="s">
        <v>25</v>
      </c>
      <c r="F5602" s="52" t="s">
        <v>26</v>
      </c>
      <c r="G5602" s="53"/>
    </row>
    <row r="5603">
      <c r="A5603" s="49">
        <v>44753.21409599537</v>
      </c>
      <c r="B5603" s="50">
        <v>44753.3390717361</v>
      </c>
      <c r="C5603" s="51">
        <v>1.004</v>
      </c>
      <c r="D5603" s="51">
        <v>66.0</v>
      </c>
      <c r="E5603" s="52" t="s">
        <v>25</v>
      </c>
      <c r="F5603" s="52" t="s">
        <v>26</v>
      </c>
      <c r="G5603" s="53"/>
    </row>
    <row r="5604">
      <c r="A5604" s="49">
        <v>44753.224541250005</v>
      </c>
      <c r="B5604" s="50">
        <v>44753.3495172337</v>
      </c>
      <c r="C5604" s="51">
        <v>1.004</v>
      </c>
      <c r="D5604" s="51">
        <v>66.0</v>
      </c>
      <c r="E5604" s="52" t="s">
        <v>25</v>
      </c>
      <c r="F5604" s="52" t="s">
        <v>26</v>
      </c>
      <c r="G5604" s="53"/>
    </row>
    <row r="5605">
      <c r="A5605" s="49">
        <v>44753.23495733796</v>
      </c>
      <c r="B5605" s="50">
        <v>44753.3599386921</v>
      </c>
      <c r="C5605" s="51">
        <v>1.004</v>
      </c>
      <c r="D5605" s="51">
        <v>66.0</v>
      </c>
      <c r="E5605" s="52" t="s">
        <v>25</v>
      </c>
      <c r="F5605" s="52" t="s">
        <v>26</v>
      </c>
      <c r="G5605" s="53"/>
    </row>
    <row r="5606">
      <c r="A5606" s="49">
        <v>44753.24537842593</v>
      </c>
      <c r="B5606" s="50">
        <v>44753.3703602199</v>
      </c>
      <c r="C5606" s="51">
        <v>1.005</v>
      </c>
      <c r="D5606" s="51">
        <v>66.0</v>
      </c>
      <c r="E5606" s="52" t="s">
        <v>25</v>
      </c>
      <c r="F5606" s="52" t="s">
        <v>26</v>
      </c>
      <c r="G5606" s="53"/>
    </row>
    <row r="5607">
      <c r="A5607" s="49">
        <v>44753.25580712963</v>
      </c>
      <c r="B5607" s="50">
        <v>44753.3807800115</v>
      </c>
      <c r="C5607" s="51">
        <v>1.005</v>
      </c>
      <c r="D5607" s="51">
        <v>66.0</v>
      </c>
      <c r="E5607" s="52" t="s">
        <v>25</v>
      </c>
      <c r="F5607" s="52" t="s">
        <v>26</v>
      </c>
      <c r="G5607" s="53"/>
    </row>
    <row r="5608">
      <c r="A5608" s="49">
        <v>44753.266229201385</v>
      </c>
      <c r="B5608" s="50">
        <v>44753.391200081</v>
      </c>
      <c r="C5608" s="51">
        <v>1.005</v>
      </c>
      <c r="D5608" s="51">
        <v>66.0</v>
      </c>
      <c r="E5608" s="52" t="s">
        <v>25</v>
      </c>
      <c r="F5608" s="52" t="s">
        <v>26</v>
      </c>
      <c r="G5608" s="53"/>
    </row>
    <row r="5609">
      <c r="A5609" s="49">
        <v>44753.27665560185</v>
      </c>
      <c r="B5609" s="50">
        <v>44753.401622824</v>
      </c>
      <c r="C5609" s="51">
        <v>1.004</v>
      </c>
      <c r="D5609" s="51">
        <v>66.0</v>
      </c>
      <c r="E5609" s="52" t="s">
        <v>25</v>
      </c>
      <c r="F5609" s="52" t="s">
        <v>26</v>
      </c>
      <c r="G5609" s="53"/>
    </row>
    <row r="5610">
      <c r="A5610" s="49">
        <v>44753.28706935185</v>
      </c>
      <c r="B5610" s="50">
        <v>44753.4120452199</v>
      </c>
      <c r="C5610" s="51">
        <v>1.005</v>
      </c>
      <c r="D5610" s="51">
        <v>66.0</v>
      </c>
      <c r="E5610" s="52" t="s">
        <v>25</v>
      </c>
      <c r="F5610" s="52" t="s">
        <v>26</v>
      </c>
      <c r="G5610" s="53"/>
    </row>
    <row r="5611">
      <c r="A5611" s="49">
        <v>44753.297509386575</v>
      </c>
      <c r="B5611" s="50">
        <v>44753.4224657291</v>
      </c>
      <c r="C5611" s="51">
        <v>1.004</v>
      </c>
      <c r="D5611" s="51">
        <v>66.0</v>
      </c>
      <c r="E5611" s="52" t="s">
        <v>25</v>
      </c>
      <c r="F5611" s="52" t="s">
        <v>26</v>
      </c>
      <c r="G5611" s="53"/>
    </row>
    <row r="5612">
      <c r="A5612" s="49">
        <v>44753.30790677083</v>
      </c>
      <c r="B5612" s="50">
        <v>44753.4328868634</v>
      </c>
      <c r="C5612" s="51">
        <v>1.004</v>
      </c>
      <c r="D5612" s="51">
        <v>66.0</v>
      </c>
      <c r="E5612" s="52" t="s">
        <v>25</v>
      </c>
      <c r="F5612" s="52" t="s">
        <v>26</v>
      </c>
      <c r="G5612" s="53"/>
    </row>
    <row r="5613">
      <c r="A5613" s="49">
        <v>44753.31832767361</v>
      </c>
      <c r="B5613" s="50">
        <v>44753.4433088541</v>
      </c>
      <c r="C5613" s="51">
        <v>1.004</v>
      </c>
      <c r="D5613" s="51">
        <v>66.0</v>
      </c>
      <c r="E5613" s="52" t="s">
        <v>25</v>
      </c>
      <c r="F5613" s="52" t="s">
        <v>26</v>
      </c>
      <c r="G5613" s="53"/>
    </row>
    <row r="5614">
      <c r="A5614" s="49">
        <v>44753.32875221065</v>
      </c>
      <c r="B5614" s="50">
        <v>44753.4537294213</v>
      </c>
      <c r="C5614" s="51">
        <v>1.004</v>
      </c>
      <c r="D5614" s="51">
        <v>66.0</v>
      </c>
      <c r="E5614" s="52" t="s">
        <v>25</v>
      </c>
      <c r="F5614" s="52" t="s">
        <v>26</v>
      </c>
      <c r="G5614" s="53"/>
    </row>
    <row r="5615">
      <c r="A5615" s="49">
        <v>44753.33918885417</v>
      </c>
      <c r="B5615" s="50">
        <v>44753.464161875</v>
      </c>
      <c r="C5615" s="51">
        <v>1.004</v>
      </c>
      <c r="D5615" s="51">
        <v>66.0</v>
      </c>
      <c r="E5615" s="52" t="s">
        <v>25</v>
      </c>
      <c r="F5615" s="52" t="s">
        <v>26</v>
      </c>
      <c r="G5615" s="53"/>
    </row>
    <row r="5616">
      <c r="A5616" s="49">
        <v>44753.34961335648</v>
      </c>
      <c r="B5616" s="50">
        <v>44753.4745949305</v>
      </c>
      <c r="C5616" s="51">
        <v>1.004</v>
      </c>
      <c r="D5616" s="51">
        <v>66.0</v>
      </c>
      <c r="E5616" s="52" t="s">
        <v>25</v>
      </c>
      <c r="F5616" s="52" t="s">
        <v>26</v>
      </c>
      <c r="G5616" s="53"/>
    </row>
    <row r="5617">
      <c r="A5617" s="49">
        <v>44753.36004085648</v>
      </c>
      <c r="B5617" s="50">
        <v>44753.4850155324</v>
      </c>
      <c r="C5617" s="51">
        <v>1.004</v>
      </c>
      <c r="D5617" s="51">
        <v>66.0</v>
      </c>
      <c r="E5617" s="52" t="s">
        <v>25</v>
      </c>
      <c r="F5617" s="52" t="s">
        <v>26</v>
      </c>
      <c r="G5617" s="53"/>
    </row>
    <row r="5618">
      <c r="A5618" s="49">
        <v>44753.370459791666</v>
      </c>
      <c r="B5618" s="50">
        <v>44753.4954369907</v>
      </c>
      <c r="C5618" s="51">
        <v>1.004</v>
      </c>
      <c r="D5618" s="51">
        <v>66.0</v>
      </c>
      <c r="E5618" s="52" t="s">
        <v>25</v>
      </c>
      <c r="F5618" s="52" t="s">
        <v>26</v>
      </c>
      <c r="G5618" s="53"/>
    </row>
    <row r="5619">
      <c r="A5619" s="49">
        <v>44753.380874490744</v>
      </c>
      <c r="B5619" s="50">
        <v>44753.5058561342</v>
      </c>
      <c r="C5619" s="51">
        <v>1.004</v>
      </c>
      <c r="D5619" s="51">
        <v>66.0</v>
      </c>
      <c r="E5619" s="52" t="s">
        <v>25</v>
      </c>
      <c r="F5619" s="52" t="s">
        <v>26</v>
      </c>
      <c r="G5619" s="53"/>
    </row>
    <row r="5620">
      <c r="A5620" s="49">
        <v>44753.391302812495</v>
      </c>
      <c r="B5620" s="50">
        <v>44753.5162766203</v>
      </c>
      <c r="C5620" s="51">
        <v>1.004</v>
      </c>
      <c r="D5620" s="51">
        <v>66.0</v>
      </c>
      <c r="E5620" s="52" t="s">
        <v>25</v>
      </c>
      <c r="F5620" s="52" t="s">
        <v>26</v>
      </c>
      <c r="G5620" s="53"/>
    </row>
    <row r="5621">
      <c r="A5621" s="49">
        <v>44753.40173388889</v>
      </c>
      <c r="B5621" s="50">
        <v>44753.5267092245</v>
      </c>
      <c r="C5621" s="51">
        <v>1.004</v>
      </c>
      <c r="D5621" s="51">
        <v>66.0</v>
      </c>
      <c r="E5621" s="52" t="s">
        <v>25</v>
      </c>
      <c r="F5621" s="52" t="s">
        <v>26</v>
      </c>
      <c r="G5621" s="53"/>
    </row>
    <row r="5622">
      <c r="A5622" s="49">
        <v>44753.41215567129</v>
      </c>
      <c r="B5622" s="50">
        <v>44753.5371303819</v>
      </c>
      <c r="C5622" s="51">
        <v>1.004</v>
      </c>
      <c r="D5622" s="51">
        <v>66.0</v>
      </c>
      <c r="E5622" s="52" t="s">
        <v>25</v>
      </c>
      <c r="F5622" s="52" t="s">
        <v>26</v>
      </c>
      <c r="G5622" s="53"/>
    </row>
    <row r="5623">
      <c r="A5623" s="49">
        <v>44753.422574490745</v>
      </c>
      <c r="B5623" s="50">
        <v>44753.5475526851</v>
      </c>
      <c r="C5623" s="51">
        <v>1.004</v>
      </c>
      <c r="D5623" s="51">
        <v>66.0</v>
      </c>
      <c r="E5623" s="52" t="s">
        <v>25</v>
      </c>
      <c r="F5623" s="52" t="s">
        <v>26</v>
      </c>
      <c r="G5623" s="53"/>
    </row>
    <row r="5624">
      <c r="A5624" s="49">
        <v>44753.4329928588</v>
      </c>
      <c r="B5624" s="50">
        <v>44753.5579723379</v>
      </c>
      <c r="C5624" s="51">
        <v>1.004</v>
      </c>
      <c r="D5624" s="51">
        <v>66.0</v>
      </c>
      <c r="E5624" s="52" t="s">
        <v>25</v>
      </c>
      <c r="F5624" s="52" t="s">
        <v>26</v>
      </c>
      <c r="G5624" s="53"/>
    </row>
    <row r="5625">
      <c r="A5625" s="49">
        <v>44753.44341190972</v>
      </c>
      <c r="B5625" s="50">
        <v>44753.5683931597</v>
      </c>
      <c r="C5625" s="51">
        <v>1.005</v>
      </c>
      <c r="D5625" s="51">
        <v>67.0</v>
      </c>
      <c r="E5625" s="52" t="s">
        <v>25</v>
      </c>
      <c r="F5625" s="52" t="s">
        <v>26</v>
      </c>
      <c r="G5625" s="53"/>
    </row>
    <row r="5626">
      <c r="A5626" s="49">
        <v>44753.45385740741</v>
      </c>
      <c r="B5626" s="50">
        <v>44753.5788254745</v>
      </c>
      <c r="C5626" s="51">
        <v>1.005</v>
      </c>
      <c r="D5626" s="51">
        <v>67.0</v>
      </c>
      <c r="E5626" s="52" t="s">
        <v>25</v>
      </c>
      <c r="F5626" s="52" t="s">
        <v>26</v>
      </c>
      <c r="G5626" s="53"/>
    </row>
    <row r="5627">
      <c r="A5627" s="49">
        <v>44753.46427328704</v>
      </c>
      <c r="B5627" s="50">
        <v>44753.5892468865</v>
      </c>
      <c r="C5627" s="51">
        <v>1.004</v>
      </c>
      <c r="D5627" s="51">
        <v>67.0</v>
      </c>
      <c r="E5627" s="52" t="s">
        <v>25</v>
      </c>
      <c r="F5627" s="52" t="s">
        <v>26</v>
      </c>
      <c r="G5627" s="53"/>
    </row>
    <row r="5628">
      <c r="A5628" s="49">
        <v>44753.474690069444</v>
      </c>
      <c r="B5628" s="50">
        <v>44753.5996677199</v>
      </c>
      <c r="C5628" s="51">
        <v>1.004</v>
      </c>
      <c r="D5628" s="51">
        <v>66.0</v>
      </c>
      <c r="E5628" s="52" t="s">
        <v>25</v>
      </c>
      <c r="F5628" s="52" t="s">
        <v>26</v>
      </c>
      <c r="G5628" s="53"/>
    </row>
    <row r="5629">
      <c r="A5629" s="49">
        <v>44753.48512324074</v>
      </c>
      <c r="B5629" s="50">
        <v>44753.6101005208</v>
      </c>
      <c r="C5629" s="51">
        <v>1.004</v>
      </c>
      <c r="D5629" s="51">
        <v>67.0</v>
      </c>
      <c r="E5629" s="52" t="s">
        <v>25</v>
      </c>
      <c r="F5629" s="52" t="s">
        <v>26</v>
      </c>
      <c r="G5629" s="53"/>
    </row>
    <row r="5630">
      <c r="A5630" s="49">
        <v>44753.49553652778</v>
      </c>
      <c r="B5630" s="50">
        <v>44753.6205205439</v>
      </c>
      <c r="C5630" s="51">
        <v>1.004</v>
      </c>
      <c r="D5630" s="51">
        <v>67.0</v>
      </c>
      <c r="E5630" s="52" t="s">
        <v>25</v>
      </c>
      <c r="F5630" s="52" t="s">
        <v>26</v>
      </c>
      <c r="G5630" s="53"/>
    </row>
    <row r="5631">
      <c r="A5631" s="49">
        <v>44753.505963310185</v>
      </c>
      <c r="B5631" s="50">
        <v>44753.6309411574</v>
      </c>
      <c r="C5631" s="51">
        <v>1.004</v>
      </c>
      <c r="D5631" s="51">
        <v>67.0</v>
      </c>
      <c r="E5631" s="52" t="s">
        <v>25</v>
      </c>
      <c r="F5631" s="52" t="s">
        <v>26</v>
      </c>
      <c r="G5631" s="53"/>
    </row>
    <row r="5632">
      <c r="A5632" s="49">
        <v>44753.516384201386</v>
      </c>
      <c r="B5632" s="50">
        <v>44753.6413627314</v>
      </c>
      <c r="C5632" s="51">
        <v>1.004</v>
      </c>
      <c r="D5632" s="51">
        <v>67.0</v>
      </c>
      <c r="E5632" s="52" t="s">
        <v>25</v>
      </c>
      <c r="F5632" s="52" t="s">
        <v>26</v>
      </c>
      <c r="G5632" s="53"/>
    </row>
    <row r="5633">
      <c r="A5633" s="49">
        <v>44753.526804085646</v>
      </c>
      <c r="B5633" s="50">
        <v>44753.6517835069</v>
      </c>
      <c r="C5633" s="51">
        <v>1.004</v>
      </c>
      <c r="D5633" s="51">
        <v>67.0</v>
      </c>
      <c r="E5633" s="52" t="s">
        <v>25</v>
      </c>
      <c r="F5633" s="52" t="s">
        <v>26</v>
      </c>
      <c r="G5633" s="53"/>
    </row>
    <row r="5634">
      <c r="A5634" s="49">
        <v>44753.537225520835</v>
      </c>
      <c r="B5634" s="50">
        <v>44753.6622047801</v>
      </c>
      <c r="C5634" s="51">
        <v>1.004</v>
      </c>
      <c r="D5634" s="51">
        <v>67.0</v>
      </c>
      <c r="E5634" s="52" t="s">
        <v>25</v>
      </c>
      <c r="F5634" s="52" t="s">
        <v>26</v>
      </c>
      <c r="G5634" s="53"/>
    </row>
    <row r="5635">
      <c r="A5635" s="49">
        <v>44753.54765042824</v>
      </c>
      <c r="B5635" s="50">
        <v>44753.6726262963</v>
      </c>
      <c r="C5635" s="51">
        <v>1.004</v>
      </c>
      <c r="D5635" s="51">
        <v>67.0</v>
      </c>
      <c r="E5635" s="52" t="s">
        <v>25</v>
      </c>
      <c r="F5635" s="52" t="s">
        <v>26</v>
      </c>
      <c r="G5635" s="53"/>
    </row>
    <row r="5636">
      <c r="A5636" s="49">
        <v>44753.55807090278</v>
      </c>
      <c r="B5636" s="50">
        <v>44753.6830478009</v>
      </c>
      <c r="C5636" s="51">
        <v>1.004</v>
      </c>
      <c r="D5636" s="51">
        <v>67.0</v>
      </c>
      <c r="E5636" s="52" t="s">
        <v>25</v>
      </c>
      <c r="F5636" s="52" t="s">
        <v>26</v>
      </c>
      <c r="G5636" s="53"/>
    </row>
    <row r="5637">
      <c r="A5637" s="49">
        <v>44753.56850767361</v>
      </c>
      <c r="B5637" s="50">
        <v>44753.6934806597</v>
      </c>
      <c r="C5637" s="51">
        <v>1.004</v>
      </c>
      <c r="D5637" s="51">
        <v>67.0</v>
      </c>
      <c r="E5637" s="52" t="s">
        <v>25</v>
      </c>
      <c r="F5637" s="52" t="s">
        <v>26</v>
      </c>
      <c r="G5637" s="53"/>
    </row>
    <row r="5638">
      <c r="A5638" s="49">
        <v>44753.578920115746</v>
      </c>
      <c r="B5638" s="50">
        <v>44753.7039020601</v>
      </c>
      <c r="C5638" s="51">
        <v>1.004</v>
      </c>
      <c r="D5638" s="51">
        <v>67.0</v>
      </c>
      <c r="E5638" s="52" t="s">
        <v>25</v>
      </c>
      <c r="F5638" s="52" t="s">
        <v>26</v>
      </c>
      <c r="G5638" s="53"/>
    </row>
    <row r="5639">
      <c r="A5639" s="49">
        <v>44753.58935775463</v>
      </c>
      <c r="B5639" s="50">
        <v>44753.7143362152</v>
      </c>
      <c r="C5639" s="51">
        <v>1.004</v>
      </c>
      <c r="D5639" s="51">
        <v>67.0</v>
      </c>
      <c r="E5639" s="52" t="s">
        <v>25</v>
      </c>
      <c r="F5639" s="52" t="s">
        <v>26</v>
      </c>
      <c r="G5639" s="53"/>
    </row>
    <row r="5640">
      <c r="A5640" s="49">
        <v>44753.59977644676</v>
      </c>
      <c r="B5640" s="50">
        <v>44753.724758206</v>
      </c>
      <c r="C5640" s="51">
        <v>1.004</v>
      </c>
      <c r="D5640" s="51">
        <v>67.0</v>
      </c>
      <c r="E5640" s="52" t="s">
        <v>25</v>
      </c>
      <c r="F5640" s="52" t="s">
        <v>26</v>
      </c>
      <c r="G5640" s="53"/>
    </row>
    <row r="5641">
      <c r="A5641" s="49">
        <v>44753.61019295139</v>
      </c>
      <c r="B5641" s="50">
        <v>44753.7351775578</v>
      </c>
      <c r="C5641" s="51">
        <v>1.004</v>
      </c>
      <c r="D5641" s="51">
        <v>67.0</v>
      </c>
      <c r="E5641" s="52" t="s">
        <v>25</v>
      </c>
      <c r="F5641" s="52" t="s">
        <v>26</v>
      </c>
      <c r="G5641" s="53"/>
    </row>
    <row r="5642">
      <c r="A5642" s="49">
        <v>44753.620620173606</v>
      </c>
      <c r="B5642" s="50">
        <v>44753.745599537</v>
      </c>
      <c r="C5642" s="51">
        <v>1.004</v>
      </c>
      <c r="D5642" s="51">
        <v>67.0</v>
      </c>
      <c r="E5642" s="52" t="s">
        <v>25</v>
      </c>
      <c r="F5642" s="52" t="s">
        <v>26</v>
      </c>
      <c r="G5642" s="53"/>
    </row>
    <row r="5643">
      <c r="A5643" s="49">
        <v>44753.631035266204</v>
      </c>
      <c r="B5643" s="50">
        <v>44753.7560217476</v>
      </c>
      <c r="C5643" s="51">
        <v>1.004</v>
      </c>
      <c r="D5643" s="51">
        <v>67.0</v>
      </c>
      <c r="E5643" s="52" t="s">
        <v>25</v>
      </c>
      <c r="F5643" s="52" t="s">
        <v>26</v>
      </c>
      <c r="G5643" s="53"/>
    </row>
    <row r="5644">
      <c r="A5644" s="49">
        <v>44753.641486875</v>
      </c>
      <c r="B5644" s="50">
        <v>44753.7664664467</v>
      </c>
      <c r="C5644" s="51">
        <v>1.004</v>
      </c>
      <c r="D5644" s="51">
        <v>67.0</v>
      </c>
      <c r="E5644" s="52" t="s">
        <v>25</v>
      </c>
      <c r="F5644" s="52" t="s">
        <v>26</v>
      </c>
      <c r="G5644" s="53"/>
    </row>
    <row r="5645">
      <c r="A5645" s="49">
        <v>44753.65190498842</v>
      </c>
      <c r="B5645" s="50">
        <v>44753.7768887037</v>
      </c>
      <c r="C5645" s="51">
        <v>1.004</v>
      </c>
      <c r="D5645" s="51">
        <v>67.0</v>
      </c>
      <c r="E5645" s="52" t="s">
        <v>25</v>
      </c>
      <c r="F5645" s="52" t="s">
        <v>26</v>
      </c>
      <c r="G5645" s="53"/>
    </row>
    <row r="5646">
      <c r="A5646" s="49">
        <v>44753.66233384259</v>
      </c>
      <c r="B5646" s="50">
        <v>44753.7873100926</v>
      </c>
      <c r="C5646" s="51">
        <v>1.004</v>
      </c>
      <c r="D5646" s="51">
        <v>67.0</v>
      </c>
      <c r="E5646" s="52" t="s">
        <v>25</v>
      </c>
      <c r="F5646" s="52" t="s">
        <v>26</v>
      </c>
      <c r="G5646" s="53"/>
    </row>
    <row r="5647">
      <c r="A5647" s="49">
        <v>44753.67277070602</v>
      </c>
      <c r="B5647" s="50">
        <v>44753.7977542476</v>
      </c>
      <c r="C5647" s="51">
        <v>1.004</v>
      </c>
      <c r="D5647" s="51">
        <v>67.0</v>
      </c>
      <c r="E5647" s="52" t="s">
        <v>25</v>
      </c>
      <c r="F5647" s="52" t="s">
        <v>26</v>
      </c>
      <c r="G5647" s="53"/>
    </row>
    <row r="5648">
      <c r="A5648" s="49">
        <v>44753.68319642361</v>
      </c>
      <c r="B5648" s="50">
        <v>44753.8081754398</v>
      </c>
      <c r="C5648" s="51">
        <v>1.004</v>
      </c>
      <c r="D5648" s="51">
        <v>67.0</v>
      </c>
      <c r="E5648" s="52" t="s">
        <v>25</v>
      </c>
      <c r="F5648" s="52" t="s">
        <v>26</v>
      </c>
      <c r="G5648" s="53"/>
    </row>
    <row r="5649">
      <c r="A5649" s="49">
        <v>44753.6936152662</v>
      </c>
      <c r="B5649" s="50">
        <v>44753.8185943865</v>
      </c>
      <c r="C5649" s="51">
        <v>1.004</v>
      </c>
      <c r="D5649" s="51">
        <v>67.0</v>
      </c>
      <c r="E5649" s="52" t="s">
        <v>25</v>
      </c>
      <c r="F5649" s="52" t="s">
        <v>26</v>
      </c>
      <c r="G5649" s="53"/>
    </row>
    <row r="5650">
      <c r="A5650" s="49">
        <v>44753.70402966435</v>
      </c>
      <c r="B5650" s="50">
        <v>44753.8290154976</v>
      </c>
      <c r="C5650" s="51">
        <v>1.004</v>
      </c>
      <c r="D5650" s="51">
        <v>67.0</v>
      </c>
      <c r="E5650" s="52" t="s">
        <v>25</v>
      </c>
      <c r="F5650" s="52" t="s">
        <v>26</v>
      </c>
      <c r="G5650" s="53"/>
    </row>
    <row r="5651">
      <c r="A5651" s="49">
        <v>44753.71445649306</v>
      </c>
      <c r="B5651" s="50">
        <v>44753.8394382638</v>
      </c>
      <c r="C5651" s="51">
        <v>1.005</v>
      </c>
      <c r="D5651" s="51">
        <v>67.0</v>
      </c>
      <c r="E5651" s="52" t="s">
        <v>25</v>
      </c>
      <c r="F5651" s="52" t="s">
        <v>26</v>
      </c>
      <c r="G5651" s="53"/>
    </row>
    <row r="5652">
      <c r="A5652" s="49">
        <v>44753.724889537036</v>
      </c>
      <c r="B5652" s="50">
        <v>44753.8498609722</v>
      </c>
      <c r="C5652" s="51">
        <v>1.004</v>
      </c>
      <c r="D5652" s="51">
        <v>67.0</v>
      </c>
      <c r="E5652" s="52" t="s">
        <v>25</v>
      </c>
      <c r="F5652" s="52" t="s">
        <v>26</v>
      </c>
      <c r="G5652" s="53"/>
    </row>
    <row r="5653">
      <c r="A5653" s="49">
        <v>44753.73531319444</v>
      </c>
      <c r="B5653" s="50">
        <v>44753.8602928703</v>
      </c>
      <c r="C5653" s="51">
        <v>1.004</v>
      </c>
      <c r="D5653" s="51">
        <v>67.0</v>
      </c>
      <c r="E5653" s="52" t="s">
        <v>25</v>
      </c>
      <c r="F5653" s="52" t="s">
        <v>26</v>
      </c>
      <c r="G5653" s="53"/>
    </row>
    <row r="5654">
      <c r="A5654" s="49">
        <v>44753.74573826389</v>
      </c>
      <c r="B5654" s="50">
        <v>44753.8707139467</v>
      </c>
      <c r="C5654" s="51">
        <v>1.004</v>
      </c>
      <c r="D5654" s="51">
        <v>67.0</v>
      </c>
      <c r="E5654" s="52" t="s">
        <v>25</v>
      </c>
      <c r="F5654" s="52" t="s">
        <v>26</v>
      </c>
      <c r="G5654" s="53"/>
    </row>
    <row r="5655">
      <c r="A5655" s="49">
        <v>44753.75615518518</v>
      </c>
      <c r="B5655" s="50">
        <v>44753.881135243</v>
      </c>
      <c r="C5655" s="51">
        <v>1.004</v>
      </c>
      <c r="D5655" s="51">
        <v>67.0</v>
      </c>
      <c r="E5655" s="52" t="s">
        <v>25</v>
      </c>
      <c r="F5655" s="52" t="s">
        <v>26</v>
      </c>
      <c r="G5655" s="53"/>
    </row>
    <row r="5656">
      <c r="A5656" s="49">
        <v>44753.76658271991</v>
      </c>
      <c r="B5656" s="50">
        <v>44753.8915560995</v>
      </c>
      <c r="C5656" s="51">
        <v>1.004</v>
      </c>
      <c r="D5656" s="51">
        <v>67.0</v>
      </c>
      <c r="E5656" s="52" t="s">
        <v>25</v>
      </c>
      <c r="F5656" s="52" t="s">
        <v>26</v>
      </c>
      <c r="G5656" s="53"/>
    </row>
    <row r="5657">
      <c r="A5657" s="49">
        <v>44753.77699849537</v>
      </c>
      <c r="B5657" s="50">
        <v>44753.9019760069</v>
      </c>
      <c r="C5657" s="51">
        <v>1.004</v>
      </c>
      <c r="D5657" s="51">
        <v>67.0</v>
      </c>
      <c r="E5657" s="52" t="s">
        <v>25</v>
      </c>
      <c r="F5657" s="52" t="s">
        <v>26</v>
      </c>
      <c r="G5657" s="53"/>
    </row>
    <row r="5658">
      <c r="A5658" s="49">
        <v>44753.787414085644</v>
      </c>
      <c r="B5658" s="50">
        <v>44753.9123976041</v>
      </c>
      <c r="C5658" s="51">
        <v>1.004</v>
      </c>
      <c r="D5658" s="51">
        <v>67.0</v>
      </c>
      <c r="E5658" s="52" t="s">
        <v>25</v>
      </c>
      <c r="F5658" s="52" t="s">
        <v>26</v>
      </c>
      <c r="G5658" s="53"/>
    </row>
    <row r="5659">
      <c r="A5659" s="49">
        <v>44753.79784193287</v>
      </c>
      <c r="B5659" s="50">
        <v>44753.9228203703</v>
      </c>
      <c r="C5659" s="51">
        <v>1.004</v>
      </c>
      <c r="D5659" s="51">
        <v>67.0</v>
      </c>
      <c r="E5659" s="52" t="s">
        <v>25</v>
      </c>
      <c r="F5659" s="52" t="s">
        <v>26</v>
      </c>
      <c r="G5659" s="53"/>
    </row>
    <row r="5660">
      <c r="A5660" s="49">
        <v>44753.80826880787</v>
      </c>
      <c r="B5660" s="50">
        <v>44753.9332545601</v>
      </c>
      <c r="C5660" s="51">
        <v>1.004</v>
      </c>
      <c r="D5660" s="51">
        <v>67.0</v>
      </c>
      <c r="E5660" s="52" t="s">
        <v>25</v>
      </c>
      <c r="F5660" s="52" t="s">
        <v>26</v>
      </c>
      <c r="G5660" s="53"/>
    </row>
    <row r="5661">
      <c r="A5661" s="49">
        <v>44753.81869747685</v>
      </c>
      <c r="B5661" s="50">
        <v>44753.9436756365</v>
      </c>
      <c r="C5661" s="51">
        <v>1.004</v>
      </c>
      <c r="D5661" s="51">
        <v>67.0</v>
      </c>
      <c r="E5661" s="52" t="s">
        <v>25</v>
      </c>
      <c r="F5661" s="52" t="s">
        <v>26</v>
      </c>
      <c r="G5661" s="53"/>
    </row>
    <row r="5662">
      <c r="A5662" s="49">
        <v>44753.82911417824</v>
      </c>
      <c r="B5662" s="50">
        <v>44753.9540959606</v>
      </c>
      <c r="C5662" s="51">
        <v>1.004</v>
      </c>
      <c r="D5662" s="51">
        <v>67.0</v>
      </c>
      <c r="E5662" s="52" t="s">
        <v>25</v>
      </c>
      <c r="F5662" s="52" t="s">
        <v>26</v>
      </c>
      <c r="G5662" s="53"/>
    </row>
    <row r="5663">
      <c r="A5663" s="49">
        <v>44753.83955858796</v>
      </c>
      <c r="B5663" s="50">
        <v>44753.9645277893</v>
      </c>
      <c r="C5663" s="51">
        <v>1.004</v>
      </c>
      <c r="D5663" s="51">
        <v>67.0</v>
      </c>
      <c r="E5663" s="52" t="s">
        <v>25</v>
      </c>
      <c r="F5663" s="52" t="s">
        <v>26</v>
      </c>
      <c r="G5663" s="53"/>
    </row>
    <row r="5664">
      <c r="A5664" s="49">
        <v>44753.84996902778</v>
      </c>
      <c r="B5664" s="50">
        <v>44753.9749495023</v>
      </c>
      <c r="C5664" s="51">
        <v>1.004</v>
      </c>
      <c r="D5664" s="51">
        <v>67.0</v>
      </c>
      <c r="E5664" s="52" t="s">
        <v>25</v>
      </c>
      <c r="F5664" s="52" t="s">
        <v>26</v>
      </c>
      <c r="G5664" s="53"/>
    </row>
    <row r="5665">
      <c r="A5665" s="49">
        <v>44753.860391215276</v>
      </c>
      <c r="B5665" s="50">
        <v>44753.9853714583</v>
      </c>
      <c r="C5665" s="51">
        <v>1.004</v>
      </c>
      <c r="D5665" s="51">
        <v>67.0</v>
      </c>
      <c r="E5665" s="52" t="s">
        <v>25</v>
      </c>
      <c r="F5665" s="52" t="s">
        <v>26</v>
      </c>
      <c r="G5665" s="53"/>
    </row>
    <row r="5666">
      <c r="A5666" s="49">
        <v>44753.870812071764</v>
      </c>
      <c r="B5666" s="50">
        <v>44753.9957909838</v>
      </c>
      <c r="C5666" s="51">
        <v>1.004</v>
      </c>
      <c r="D5666" s="51">
        <v>67.0</v>
      </c>
      <c r="E5666" s="52" t="s">
        <v>25</v>
      </c>
      <c r="F5666" s="52" t="s">
        <v>26</v>
      </c>
      <c r="G5666" s="53"/>
    </row>
    <row r="5667">
      <c r="A5667" s="49">
        <v>44753.88123559028</v>
      </c>
      <c r="B5667" s="50">
        <v>44754.0062130208</v>
      </c>
      <c r="C5667" s="51">
        <v>1.004</v>
      </c>
      <c r="D5667" s="51">
        <v>67.0</v>
      </c>
      <c r="E5667" s="52" t="s">
        <v>25</v>
      </c>
      <c r="F5667" s="52" t="s">
        <v>26</v>
      </c>
      <c r="G5667" s="53"/>
    </row>
    <row r="5668">
      <c r="A5668" s="49">
        <v>44753.89165215278</v>
      </c>
      <c r="B5668" s="50">
        <v>44754.016632905</v>
      </c>
      <c r="C5668" s="51">
        <v>1.004</v>
      </c>
      <c r="D5668" s="51">
        <v>67.0</v>
      </c>
      <c r="E5668" s="52" t="s">
        <v>25</v>
      </c>
      <c r="F5668" s="52" t="s">
        <v>26</v>
      </c>
      <c r="G5668" s="53"/>
    </row>
    <row r="5669">
      <c r="A5669" s="49">
        <v>44753.90209099537</v>
      </c>
      <c r="B5669" s="50">
        <v>44754.0270653819</v>
      </c>
      <c r="C5669" s="51">
        <v>1.004</v>
      </c>
      <c r="D5669" s="51">
        <v>67.0</v>
      </c>
      <c r="E5669" s="52" t="s">
        <v>25</v>
      </c>
      <c r="F5669" s="52" t="s">
        <v>26</v>
      </c>
      <c r="G5669" s="53"/>
    </row>
    <row r="5670">
      <c r="A5670" s="49">
        <v>44753.91252061343</v>
      </c>
      <c r="B5670" s="50">
        <v>44754.0374970486</v>
      </c>
      <c r="C5670" s="51">
        <v>1.004</v>
      </c>
      <c r="D5670" s="51">
        <v>68.0</v>
      </c>
      <c r="E5670" s="52" t="s">
        <v>25</v>
      </c>
      <c r="F5670" s="52" t="s">
        <v>26</v>
      </c>
      <c r="G5670" s="53"/>
    </row>
    <row r="5671">
      <c r="A5671" s="49">
        <v>44753.92294104167</v>
      </c>
      <c r="B5671" s="50">
        <v>44754.0479188541</v>
      </c>
      <c r="C5671" s="51">
        <v>1.004</v>
      </c>
      <c r="D5671" s="51">
        <v>68.0</v>
      </c>
      <c r="E5671" s="52" t="s">
        <v>25</v>
      </c>
      <c r="F5671" s="52" t="s">
        <v>26</v>
      </c>
      <c r="G5671" s="53"/>
    </row>
    <row r="5672">
      <c r="A5672" s="49">
        <v>44753.933363819444</v>
      </c>
      <c r="B5672" s="50">
        <v>44754.0583389583</v>
      </c>
      <c r="C5672" s="51">
        <v>1.004</v>
      </c>
      <c r="D5672" s="51">
        <v>68.0</v>
      </c>
      <c r="E5672" s="52" t="s">
        <v>25</v>
      </c>
      <c r="F5672" s="52" t="s">
        <v>26</v>
      </c>
      <c r="G5672" s="53"/>
    </row>
    <row r="5673">
      <c r="A5673" s="49">
        <v>44753.94379972223</v>
      </c>
      <c r="B5673" s="50">
        <v>44754.0687600578</v>
      </c>
      <c r="C5673" s="51">
        <v>1.004</v>
      </c>
      <c r="D5673" s="51">
        <v>68.0</v>
      </c>
      <c r="E5673" s="52" t="s">
        <v>25</v>
      </c>
      <c r="F5673" s="52" t="s">
        <v>26</v>
      </c>
      <c r="G5673" s="53"/>
    </row>
    <row r="5674">
      <c r="A5674" s="49">
        <v>44753.95421127314</v>
      </c>
      <c r="B5674" s="50">
        <v>44754.0791928125</v>
      </c>
      <c r="C5674" s="51">
        <v>1.004</v>
      </c>
      <c r="D5674" s="51">
        <v>68.0</v>
      </c>
      <c r="E5674" s="52" t="s">
        <v>25</v>
      </c>
      <c r="F5674" s="52" t="s">
        <v>26</v>
      </c>
      <c r="G5674" s="53"/>
    </row>
    <row r="5675">
      <c r="A5675" s="49">
        <v>44753.96463530093</v>
      </c>
      <c r="B5675" s="50">
        <v>44754.0896137847</v>
      </c>
      <c r="C5675" s="51">
        <v>1.004</v>
      </c>
      <c r="D5675" s="51">
        <v>68.0</v>
      </c>
      <c r="E5675" s="52" t="s">
        <v>25</v>
      </c>
      <c r="F5675" s="52" t="s">
        <v>26</v>
      </c>
      <c r="G5675" s="53"/>
    </row>
    <row r="5676">
      <c r="A5676" s="49">
        <v>44753.97507777778</v>
      </c>
      <c r="B5676" s="50">
        <v>44754.1000463888</v>
      </c>
      <c r="C5676" s="51">
        <v>1.004</v>
      </c>
      <c r="D5676" s="51">
        <v>68.0</v>
      </c>
      <c r="E5676" s="52" t="s">
        <v>25</v>
      </c>
      <c r="F5676" s="52" t="s">
        <v>26</v>
      </c>
      <c r="G5676" s="53"/>
    </row>
    <row r="5677">
      <c r="A5677" s="49">
        <v>44753.985488923616</v>
      </c>
      <c r="B5677" s="50">
        <v>44754.1104673032</v>
      </c>
      <c r="C5677" s="51">
        <v>1.004</v>
      </c>
      <c r="D5677" s="51">
        <v>68.0</v>
      </c>
      <c r="E5677" s="52" t="s">
        <v>25</v>
      </c>
      <c r="F5677" s="52" t="s">
        <v>26</v>
      </c>
      <c r="G5677" s="53"/>
    </row>
    <row r="5678">
      <c r="A5678" s="49">
        <v>44753.9959116088</v>
      </c>
      <c r="B5678" s="50">
        <v>44754.1208866319</v>
      </c>
      <c r="C5678" s="51">
        <v>1.004</v>
      </c>
      <c r="D5678" s="51">
        <v>68.0</v>
      </c>
      <c r="E5678" s="52" t="s">
        <v>25</v>
      </c>
      <c r="F5678" s="52" t="s">
        <v>26</v>
      </c>
      <c r="G5678" s="53"/>
    </row>
    <row r="5679">
      <c r="A5679" s="49">
        <v>44754.006337280094</v>
      </c>
      <c r="B5679" s="50">
        <v>44754.1313186921</v>
      </c>
      <c r="C5679" s="51">
        <v>1.004</v>
      </c>
      <c r="D5679" s="51">
        <v>68.0</v>
      </c>
      <c r="E5679" s="52" t="s">
        <v>25</v>
      </c>
      <c r="F5679" s="52" t="s">
        <v>26</v>
      </c>
      <c r="G5679" s="53"/>
    </row>
    <row r="5680">
      <c r="A5680" s="49">
        <v>44754.01676230324</v>
      </c>
      <c r="B5680" s="50">
        <v>44754.1417400925</v>
      </c>
      <c r="C5680" s="51">
        <v>1.004</v>
      </c>
      <c r="D5680" s="51">
        <v>68.0</v>
      </c>
      <c r="E5680" s="52" t="s">
        <v>25</v>
      </c>
      <c r="F5680" s="52" t="s">
        <v>26</v>
      </c>
      <c r="G5680" s="53"/>
    </row>
    <row r="5681">
      <c r="A5681" s="49">
        <v>44754.02718390046</v>
      </c>
      <c r="B5681" s="50">
        <v>44754.1521610879</v>
      </c>
      <c r="C5681" s="51">
        <v>1.004</v>
      </c>
      <c r="D5681" s="51">
        <v>68.0</v>
      </c>
      <c r="E5681" s="52" t="s">
        <v>25</v>
      </c>
      <c r="F5681" s="52" t="s">
        <v>26</v>
      </c>
      <c r="G5681" s="53"/>
    </row>
    <row r="5682">
      <c r="A5682" s="49">
        <v>44754.037608819446</v>
      </c>
      <c r="B5682" s="50">
        <v>44754.162582118</v>
      </c>
      <c r="C5682" s="51">
        <v>1.004</v>
      </c>
      <c r="D5682" s="51">
        <v>68.0</v>
      </c>
      <c r="E5682" s="52" t="s">
        <v>25</v>
      </c>
      <c r="F5682" s="52" t="s">
        <v>26</v>
      </c>
      <c r="G5682" s="53"/>
    </row>
    <row r="5683">
      <c r="A5683" s="49">
        <v>44754.04802640046</v>
      </c>
      <c r="B5683" s="50">
        <v>44754.1730034375</v>
      </c>
      <c r="C5683" s="51">
        <v>1.004</v>
      </c>
      <c r="D5683" s="51">
        <v>68.0</v>
      </c>
      <c r="E5683" s="52" t="s">
        <v>25</v>
      </c>
      <c r="F5683" s="52" t="s">
        <v>26</v>
      </c>
      <c r="G5683" s="53"/>
    </row>
    <row r="5684">
      <c r="A5684" s="49">
        <v>44754.058446863426</v>
      </c>
      <c r="B5684" s="50">
        <v>44754.183423368</v>
      </c>
      <c r="C5684" s="51">
        <v>1.004</v>
      </c>
      <c r="D5684" s="51">
        <v>68.0</v>
      </c>
      <c r="E5684" s="52" t="s">
        <v>25</v>
      </c>
      <c r="F5684" s="52" t="s">
        <v>26</v>
      </c>
      <c r="G5684" s="53"/>
    </row>
    <row r="5685">
      <c r="A5685" s="49">
        <v>44754.068869131945</v>
      </c>
      <c r="B5685" s="50">
        <v>44754.1938447453</v>
      </c>
      <c r="C5685" s="51">
        <v>1.004</v>
      </c>
      <c r="D5685" s="51">
        <v>68.0</v>
      </c>
      <c r="E5685" s="52" t="s">
        <v>25</v>
      </c>
      <c r="F5685" s="52" t="s">
        <v>26</v>
      </c>
      <c r="G5685" s="53"/>
    </row>
    <row r="5686">
      <c r="A5686" s="49">
        <v>44754.079297476856</v>
      </c>
      <c r="B5686" s="50">
        <v>44754.2042782291</v>
      </c>
      <c r="C5686" s="51">
        <v>1.004</v>
      </c>
      <c r="D5686" s="51">
        <v>68.0</v>
      </c>
      <c r="E5686" s="52" t="s">
        <v>25</v>
      </c>
      <c r="F5686" s="52" t="s">
        <v>26</v>
      </c>
      <c r="G5686" s="53"/>
    </row>
    <row r="5687">
      <c r="A5687" s="49">
        <v>44754.08972778935</v>
      </c>
      <c r="B5687" s="50">
        <v>44754.2146990046</v>
      </c>
      <c r="C5687" s="51">
        <v>1.004</v>
      </c>
      <c r="D5687" s="51">
        <v>68.0</v>
      </c>
      <c r="E5687" s="52" t="s">
        <v>25</v>
      </c>
      <c r="F5687" s="52" t="s">
        <v>26</v>
      </c>
      <c r="G5687" s="53"/>
    </row>
    <row r="5688">
      <c r="A5688" s="49">
        <v>44754.10014530092</v>
      </c>
      <c r="B5688" s="50">
        <v>44754.225119699</v>
      </c>
      <c r="C5688" s="51">
        <v>1.004</v>
      </c>
      <c r="D5688" s="51">
        <v>68.0</v>
      </c>
      <c r="E5688" s="52" t="s">
        <v>25</v>
      </c>
      <c r="F5688" s="52" t="s">
        <v>26</v>
      </c>
      <c r="G5688" s="53"/>
    </row>
    <row r="5689">
      <c r="A5689" s="49">
        <v>44754.11057866898</v>
      </c>
      <c r="B5689" s="50">
        <v>44754.235554155</v>
      </c>
      <c r="C5689" s="51">
        <v>1.004</v>
      </c>
      <c r="D5689" s="51">
        <v>68.0</v>
      </c>
      <c r="E5689" s="52" t="s">
        <v>25</v>
      </c>
      <c r="F5689" s="52" t="s">
        <v>26</v>
      </c>
      <c r="G5689" s="53"/>
    </row>
    <row r="5690">
      <c r="A5690" s="49">
        <v>44754.120998530096</v>
      </c>
      <c r="B5690" s="50">
        <v>44754.2459747801</v>
      </c>
      <c r="C5690" s="51">
        <v>1.004</v>
      </c>
      <c r="D5690" s="51">
        <v>68.0</v>
      </c>
      <c r="E5690" s="52" t="s">
        <v>25</v>
      </c>
      <c r="F5690" s="52" t="s">
        <v>26</v>
      </c>
      <c r="G5690" s="53"/>
    </row>
    <row r="5691">
      <c r="A5691" s="49">
        <v>44754.131416759265</v>
      </c>
      <c r="B5691" s="50">
        <v>44754.2563939814</v>
      </c>
      <c r="C5691" s="51">
        <v>1.004</v>
      </c>
      <c r="D5691" s="51">
        <v>68.0</v>
      </c>
      <c r="E5691" s="52" t="s">
        <v>25</v>
      </c>
      <c r="F5691" s="52" t="s">
        <v>26</v>
      </c>
      <c r="G5691" s="53"/>
    </row>
    <row r="5692">
      <c r="A5692" s="49">
        <v>44754.141837523144</v>
      </c>
      <c r="B5692" s="50">
        <v>44754.2668145601</v>
      </c>
      <c r="C5692" s="51">
        <v>1.004</v>
      </c>
      <c r="D5692" s="51">
        <v>68.0</v>
      </c>
      <c r="E5692" s="52" t="s">
        <v>25</v>
      </c>
      <c r="F5692" s="52" t="s">
        <v>26</v>
      </c>
      <c r="G5692" s="53"/>
    </row>
    <row r="5693">
      <c r="A5693" s="49">
        <v>44754.15225962963</v>
      </c>
      <c r="B5693" s="50">
        <v>44754.2772368287</v>
      </c>
      <c r="C5693" s="51">
        <v>1.004</v>
      </c>
      <c r="D5693" s="51">
        <v>68.0</v>
      </c>
      <c r="E5693" s="52" t="s">
        <v>25</v>
      </c>
      <c r="F5693" s="52" t="s">
        <v>26</v>
      </c>
      <c r="G5693" s="53"/>
    </row>
    <row r="5694">
      <c r="A5694" s="49">
        <v>44754.16268913195</v>
      </c>
      <c r="B5694" s="50">
        <v>44754.2876706944</v>
      </c>
      <c r="C5694" s="51">
        <v>1.004</v>
      </c>
      <c r="D5694" s="51">
        <v>68.0</v>
      </c>
      <c r="E5694" s="52" t="s">
        <v>25</v>
      </c>
      <c r="F5694" s="52" t="s">
        <v>26</v>
      </c>
      <c r="G5694" s="53"/>
    </row>
    <row r="5695">
      <c r="A5695" s="49">
        <v>44754.17311912037</v>
      </c>
      <c r="B5695" s="50">
        <v>44754.2980929282</v>
      </c>
      <c r="C5695" s="51">
        <v>1.004</v>
      </c>
      <c r="D5695" s="51">
        <v>68.0</v>
      </c>
      <c r="E5695" s="52" t="s">
        <v>25</v>
      </c>
      <c r="F5695" s="52" t="s">
        <v>26</v>
      </c>
      <c r="G5695" s="53"/>
    </row>
    <row r="5696">
      <c r="A5696" s="49">
        <v>44754.18353487269</v>
      </c>
      <c r="B5696" s="50">
        <v>44754.3085124652</v>
      </c>
      <c r="C5696" s="51">
        <v>1.004</v>
      </c>
      <c r="D5696" s="51">
        <v>68.0</v>
      </c>
      <c r="E5696" s="52" t="s">
        <v>25</v>
      </c>
      <c r="F5696" s="52" t="s">
        <v>26</v>
      </c>
      <c r="G5696" s="53"/>
    </row>
    <row r="5697">
      <c r="A5697" s="49">
        <v>44754.19395023148</v>
      </c>
      <c r="B5697" s="50">
        <v>44754.3189338657</v>
      </c>
      <c r="C5697" s="51">
        <v>1.004</v>
      </c>
      <c r="D5697" s="51">
        <v>68.0</v>
      </c>
      <c r="E5697" s="52" t="s">
        <v>25</v>
      </c>
      <c r="F5697" s="52" t="s">
        <v>26</v>
      </c>
      <c r="G5697" s="53"/>
    </row>
    <row r="5698">
      <c r="A5698" s="49">
        <v>44754.204375625</v>
      </c>
      <c r="B5698" s="50">
        <v>44754.3293532986</v>
      </c>
      <c r="C5698" s="51">
        <v>1.004</v>
      </c>
      <c r="D5698" s="51">
        <v>68.0</v>
      </c>
      <c r="E5698" s="52" t="s">
        <v>25</v>
      </c>
      <c r="F5698" s="52" t="s">
        <v>26</v>
      </c>
      <c r="G5698" s="53"/>
    </row>
    <row r="5699">
      <c r="A5699" s="49">
        <v>44754.21479894676</v>
      </c>
      <c r="B5699" s="50">
        <v>44754.3397734838</v>
      </c>
      <c r="C5699" s="51">
        <v>1.004</v>
      </c>
      <c r="D5699" s="51">
        <v>68.0</v>
      </c>
      <c r="E5699" s="52" t="s">
        <v>25</v>
      </c>
      <c r="F5699" s="52" t="s">
        <v>26</v>
      </c>
      <c r="G5699" s="53"/>
    </row>
    <row r="5700">
      <c r="A5700" s="49">
        <v>44754.22522017361</v>
      </c>
      <c r="B5700" s="50">
        <v>44754.3501941898</v>
      </c>
      <c r="C5700" s="51">
        <v>1.004</v>
      </c>
      <c r="D5700" s="51">
        <v>68.0</v>
      </c>
      <c r="E5700" s="52" t="s">
        <v>25</v>
      </c>
      <c r="F5700" s="52" t="s">
        <v>26</v>
      </c>
      <c r="G5700" s="53"/>
    </row>
    <row r="5701">
      <c r="A5701" s="49">
        <v>44754.235636006946</v>
      </c>
      <c r="B5701" s="50">
        <v>44754.3606159838</v>
      </c>
      <c r="C5701" s="51">
        <v>1.004</v>
      </c>
      <c r="D5701" s="51">
        <v>68.0</v>
      </c>
      <c r="E5701" s="52" t="s">
        <v>25</v>
      </c>
      <c r="F5701" s="52" t="s">
        <v>26</v>
      </c>
      <c r="G5701" s="53"/>
    </row>
    <row r="5702">
      <c r="A5702" s="49">
        <v>44754.24605590278</v>
      </c>
      <c r="B5702" s="50">
        <v>44754.3710377662</v>
      </c>
      <c r="C5702" s="51">
        <v>1.004</v>
      </c>
      <c r="D5702" s="51">
        <v>68.0</v>
      </c>
      <c r="E5702" s="52" t="s">
        <v>25</v>
      </c>
      <c r="F5702" s="52" t="s">
        <v>26</v>
      </c>
      <c r="G5702" s="53"/>
    </row>
    <row r="5703">
      <c r="A5703" s="49">
        <v>44754.25647486111</v>
      </c>
      <c r="B5703" s="50">
        <v>44754.3814577662</v>
      </c>
      <c r="C5703" s="51">
        <v>1.004</v>
      </c>
      <c r="D5703" s="51">
        <v>68.0</v>
      </c>
      <c r="E5703" s="52" t="s">
        <v>25</v>
      </c>
      <c r="F5703" s="52" t="s">
        <v>26</v>
      </c>
      <c r="G5703" s="53"/>
    </row>
    <row r="5704">
      <c r="A5704" s="49">
        <v>44754.266911099534</v>
      </c>
      <c r="B5704" s="50">
        <v>44754.3918798148</v>
      </c>
      <c r="C5704" s="51">
        <v>1.004</v>
      </c>
      <c r="D5704" s="51">
        <v>68.0</v>
      </c>
      <c r="E5704" s="52" t="s">
        <v>25</v>
      </c>
      <c r="F5704" s="52" t="s">
        <v>26</v>
      </c>
      <c r="G5704" s="53"/>
    </row>
    <row r="5705">
      <c r="A5705" s="49">
        <v>44754.277336377316</v>
      </c>
      <c r="B5705" s="50">
        <v>44754.4023123958</v>
      </c>
      <c r="C5705" s="51">
        <v>1.004</v>
      </c>
      <c r="D5705" s="51">
        <v>68.0</v>
      </c>
      <c r="E5705" s="52" t="s">
        <v>25</v>
      </c>
      <c r="F5705" s="52" t="s">
        <v>26</v>
      </c>
      <c r="G5705" s="53"/>
    </row>
    <row r="5706">
      <c r="A5706" s="49">
        <v>44754.28777563658</v>
      </c>
      <c r="B5706" s="50">
        <v>44754.4127476388</v>
      </c>
      <c r="C5706" s="51">
        <v>1.004</v>
      </c>
      <c r="D5706" s="51">
        <v>68.0</v>
      </c>
      <c r="E5706" s="52" t="s">
        <v>25</v>
      </c>
      <c r="F5706" s="52" t="s">
        <v>26</v>
      </c>
      <c r="G5706" s="53"/>
    </row>
    <row r="5707">
      <c r="A5707" s="49">
        <v>44754.298220428245</v>
      </c>
      <c r="B5707" s="50">
        <v>44754.4231689351</v>
      </c>
      <c r="C5707" s="51">
        <v>1.004</v>
      </c>
      <c r="D5707" s="51">
        <v>68.0</v>
      </c>
      <c r="E5707" s="52" t="s">
        <v>25</v>
      </c>
      <c r="F5707" s="52" t="s">
        <v>26</v>
      </c>
      <c r="G5707" s="53"/>
    </row>
    <row r="5708">
      <c r="A5708" s="49">
        <v>44754.30863803241</v>
      </c>
      <c r="B5708" s="50">
        <v>44754.4336167245</v>
      </c>
      <c r="C5708" s="51">
        <v>1.004</v>
      </c>
      <c r="D5708" s="51">
        <v>68.0</v>
      </c>
      <c r="E5708" s="52" t="s">
        <v>25</v>
      </c>
      <c r="F5708" s="52" t="s">
        <v>26</v>
      </c>
      <c r="G5708" s="53"/>
    </row>
    <row r="5709">
      <c r="A5709" s="49">
        <v>44754.319073692124</v>
      </c>
      <c r="B5709" s="50">
        <v>44754.4440488426</v>
      </c>
      <c r="C5709" s="51">
        <v>1.004</v>
      </c>
      <c r="D5709" s="51">
        <v>68.0</v>
      </c>
      <c r="E5709" s="52" t="s">
        <v>25</v>
      </c>
      <c r="F5709" s="52" t="s">
        <v>26</v>
      </c>
      <c r="G5709" s="53"/>
    </row>
    <row r="5710">
      <c r="A5710" s="49">
        <v>44754.329502685185</v>
      </c>
      <c r="B5710" s="50">
        <v>44754.4544820486</v>
      </c>
      <c r="C5710" s="51">
        <v>1.004</v>
      </c>
      <c r="D5710" s="51">
        <v>68.0</v>
      </c>
      <c r="E5710" s="52" t="s">
        <v>25</v>
      </c>
      <c r="F5710" s="52" t="s">
        <v>26</v>
      </c>
      <c r="G5710" s="53"/>
    </row>
    <row r="5711">
      <c r="A5711" s="49">
        <v>44754.33993240741</v>
      </c>
      <c r="B5711" s="50">
        <v>44754.464903912</v>
      </c>
      <c r="C5711" s="51">
        <v>1.004</v>
      </c>
      <c r="D5711" s="51">
        <v>68.0</v>
      </c>
      <c r="E5711" s="52" t="s">
        <v>25</v>
      </c>
      <c r="F5711" s="52" t="s">
        <v>26</v>
      </c>
      <c r="G5711" s="53"/>
    </row>
    <row r="5712">
      <c r="A5712" s="49">
        <v>44754.35034493056</v>
      </c>
      <c r="B5712" s="50">
        <v>44754.4753238426</v>
      </c>
      <c r="C5712" s="51">
        <v>1.004</v>
      </c>
      <c r="D5712" s="51">
        <v>68.0</v>
      </c>
      <c r="E5712" s="52" t="s">
        <v>25</v>
      </c>
      <c r="F5712" s="52" t="s">
        <v>26</v>
      </c>
      <c r="G5712" s="53"/>
    </row>
    <row r="5713">
      <c r="A5713" s="49">
        <v>44754.3607649537</v>
      </c>
      <c r="B5713" s="50">
        <v>44754.4857440162</v>
      </c>
      <c r="C5713" s="51">
        <v>1.004</v>
      </c>
      <c r="D5713" s="51">
        <v>68.0</v>
      </c>
      <c r="E5713" s="52" t="s">
        <v>25</v>
      </c>
      <c r="F5713" s="52" t="s">
        <v>26</v>
      </c>
      <c r="G5713" s="53"/>
    </row>
    <row r="5714">
      <c r="A5714" s="49">
        <v>44754.37120034722</v>
      </c>
      <c r="B5714" s="50">
        <v>44754.4961658217</v>
      </c>
      <c r="C5714" s="51">
        <v>1.004</v>
      </c>
      <c r="D5714" s="51">
        <v>68.0</v>
      </c>
      <c r="E5714" s="52" t="s">
        <v>25</v>
      </c>
      <c r="F5714" s="52" t="s">
        <v>26</v>
      </c>
      <c r="G5714" s="53"/>
    </row>
    <row r="5715">
      <c r="A5715" s="49">
        <v>44754.38160434028</v>
      </c>
      <c r="B5715" s="50">
        <v>44754.5065874421</v>
      </c>
      <c r="C5715" s="51">
        <v>1.004</v>
      </c>
      <c r="D5715" s="51">
        <v>68.0</v>
      </c>
      <c r="E5715" s="52" t="s">
        <v>25</v>
      </c>
      <c r="F5715" s="52" t="s">
        <v>26</v>
      </c>
      <c r="G5715" s="53"/>
    </row>
    <row r="5716">
      <c r="A5716" s="49">
        <v>44754.392030821764</v>
      </c>
      <c r="B5716" s="50">
        <v>44754.5170087384</v>
      </c>
      <c r="C5716" s="51">
        <v>1.004</v>
      </c>
      <c r="D5716" s="51">
        <v>68.0</v>
      </c>
      <c r="E5716" s="52" t="s">
        <v>25</v>
      </c>
      <c r="F5716" s="52" t="s">
        <v>26</v>
      </c>
      <c r="G5716" s="53"/>
    </row>
    <row r="5717">
      <c r="A5717" s="49">
        <v>44754.40244604167</v>
      </c>
      <c r="B5717" s="50">
        <v>44754.5274295833</v>
      </c>
      <c r="C5717" s="51">
        <v>1.004</v>
      </c>
      <c r="D5717" s="51">
        <v>68.0</v>
      </c>
      <c r="E5717" s="52" t="s">
        <v>25</v>
      </c>
      <c r="F5717" s="52" t="s">
        <v>26</v>
      </c>
      <c r="G5717" s="53"/>
    </row>
    <row r="5718">
      <c r="A5718" s="49">
        <v>44754.412863935184</v>
      </c>
      <c r="B5718" s="50">
        <v>44754.53784875</v>
      </c>
      <c r="C5718" s="51">
        <v>1.004</v>
      </c>
      <c r="D5718" s="51">
        <v>68.0</v>
      </c>
      <c r="E5718" s="52" t="s">
        <v>25</v>
      </c>
      <c r="F5718" s="52" t="s">
        <v>26</v>
      </c>
      <c r="G5718" s="53"/>
    </row>
    <row r="5719">
      <c r="A5719" s="49">
        <v>44754.423285462966</v>
      </c>
      <c r="B5719" s="50">
        <v>44754.5482683912</v>
      </c>
      <c r="C5719" s="51">
        <v>1.004</v>
      </c>
      <c r="D5719" s="51">
        <v>68.0</v>
      </c>
      <c r="E5719" s="52" t="s">
        <v>25</v>
      </c>
      <c r="F5719" s="52" t="s">
        <v>26</v>
      </c>
      <c r="G5719" s="53"/>
    </row>
    <row r="5720">
      <c r="A5720" s="49">
        <v>44754.4337146412</v>
      </c>
      <c r="B5720" s="50">
        <v>44754.5586895717</v>
      </c>
      <c r="C5720" s="51">
        <v>1.004</v>
      </c>
      <c r="D5720" s="51">
        <v>68.0</v>
      </c>
      <c r="E5720" s="52" t="s">
        <v>25</v>
      </c>
      <c r="F5720" s="52" t="s">
        <v>26</v>
      </c>
      <c r="G5720" s="53"/>
    </row>
    <row r="5721">
      <c r="A5721" s="49">
        <v>44754.44413417824</v>
      </c>
      <c r="B5721" s="50">
        <v>44754.5691135648</v>
      </c>
      <c r="C5721" s="51">
        <v>1.004</v>
      </c>
      <c r="D5721" s="51">
        <v>68.0</v>
      </c>
      <c r="E5721" s="52" t="s">
        <v>25</v>
      </c>
      <c r="F5721" s="52" t="s">
        <v>26</v>
      </c>
      <c r="G5721" s="53"/>
    </row>
    <row r="5722">
      <c r="A5722" s="49">
        <v>44754.45456371528</v>
      </c>
      <c r="B5722" s="50">
        <v>44754.5795360879</v>
      </c>
      <c r="C5722" s="51">
        <v>1.004</v>
      </c>
      <c r="D5722" s="51">
        <v>68.0</v>
      </c>
      <c r="E5722" s="52" t="s">
        <v>25</v>
      </c>
      <c r="F5722" s="52" t="s">
        <v>26</v>
      </c>
      <c r="G5722" s="53"/>
    </row>
    <row r="5723">
      <c r="A5723" s="49">
        <v>44754.46497966435</v>
      </c>
      <c r="B5723" s="50">
        <v>44754.5899573611</v>
      </c>
      <c r="C5723" s="51">
        <v>1.004</v>
      </c>
      <c r="D5723" s="51">
        <v>68.0</v>
      </c>
      <c r="E5723" s="52" t="s">
        <v>25</v>
      </c>
      <c r="F5723" s="52" t="s">
        <v>26</v>
      </c>
      <c r="G5723" s="53"/>
    </row>
    <row r="5724">
      <c r="A5724" s="49">
        <v>44754.47540166667</v>
      </c>
      <c r="B5724" s="50">
        <v>44754.6003768287</v>
      </c>
      <c r="C5724" s="51">
        <v>1.004</v>
      </c>
      <c r="D5724" s="51">
        <v>69.0</v>
      </c>
      <c r="E5724" s="52" t="s">
        <v>25</v>
      </c>
      <c r="F5724" s="52" t="s">
        <v>26</v>
      </c>
      <c r="G5724" s="53"/>
    </row>
    <row r="5725">
      <c r="A5725" s="49">
        <v>44754.48582543981</v>
      </c>
      <c r="B5725" s="50">
        <v>44754.6107965393</v>
      </c>
      <c r="C5725" s="51">
        <v>1.004</v>
      </c>
      <c r="D5725" s="51">
        <v>68.0</v>
      </c>
      <c r="E5725" s="52" t="s">
        <v>25</v>
      </c>
      <c r="F5725" s="52" t="s">
        <v>26</v>
      </c>
      <c r="G5725" s="53"/>
    </row>
    <row r="5726">
      <c r="A5726" s="49">
        <v>44754.4962394676</v>
      </c>
      <c r="B5726" s="50">
        <v>44754.6212186805</v>
      </c>
      <c r="C5726" s="51">
        <v>1.004</v>
      </c>
      <c r="D5726" s="51">
        <v>69.0</v>
      </c>
      <c r="E5726" s="52" t="s">
        <v>25</v>
      </c>
      <c r="F5726" s="52" t="s">
        <v>26</v>
      </c>
      <c r="G5726" s="53"/>
    </row>
    <row r="5727">
      <c r="A5727" s="49">
        <v>44754.506675254626</v>
      </c>
      <c r="B5727" s="50">
        <v>44754.631651574</v>
      </c>
      <c r="C5727" s="51">
        <v>1.004</v>
      </c>
      <c r="D5727" s="51">
        <v>69.0</v>
      </c>
      <c r="E5727" s="52" t="s">
        <v>25</v>
      </c>
      <c r="F5727" s="52" t="s">
        <v>26</v>
      </c>
      <c r="G5727" s="53"/>
    </row>
    <row r="5728">
      <c r="A5728" s="49">
        <v>44754.5171003125</v>
      </c>
      <c r="B5728" s="50">
        <v>44754.6420727314</v>
      </c>
      <c r="C5728" s="51">
        <v>1.004</v>
      </c>
      <c r="D5728" s="51">
        <v>69.0</v>
      </c>
      <c r="E5728" s="52" t="s">
        <v>25</v>
      </c>
      <c r="F5728" s="52" t="s">
        <v>26</v>
      </c>
      <c r="G5728" s="53"/>
    </row>
    <row r="5729">
      <c r="A5729" s="49">
        <v>44754.52754633102</v>
      </c>
      <c r="B5729" s="50">
        <v>44754.6525177199</v>
      </c>
      <c r="C5729" s="51">
        <v>1.004</v>
      </c>
      <c r="D5729" s="51">
        <v>69.0</v>
      </c>
      <c r="E5729" s="52" t="s">
        <v>25</v>
      </c>
      <c r="F5729" s="52" t="s">
        <v>26</v>
      </c>
      <c r="G5729" s="53"/>
    </row>
    <row r="5730">
      <c r="A5730" s="49">
        <v>44754.537963634255</v>
      </c>
      <c r="B5730" s="50">
        <v>44754.6629384953</v>
      </c>
      <c r="C5730" s="51">
        <v>1.004</v>
      </c>
      <c r="D5730" s="51">
        <v>69.0</v>
      </c>
      <c r="E5730" s="52" t="s">
        <v>25</v>
      </c>
      <c r="F5730" s="52" t="s">
        <v>26</v>
      </c>
      <c r="G5730" s="53"/>
    </row>
    <row r="5731">
      <c r="A5731" s="49">
        <v>44754.548394722224</v>
      </c>
      <c r="B5731" s="50">
        <v>44754.6733703009</v>
      </c>
      <c r="C5731" s="51">
        <v>1.004</v>
      </c>
      <c r="D5731" s="51">
        <v>69.0</v>
      </c>
      <c r="E5731" s="52" t="s">
        <v>25</v>
      </c>
      <c r="F5731" s="52" t="s">
        <v>26</v>
      </c>
      <c r="G5731" s="53"/>
    </row>
    <row r="5732">
      <c r="A5732" s="49">
        <v>44754.55881798611</v>
      </c>
      <c r="B5732" s="50">
        <v>44754.6837926504</v>
      </c>
      <c r="C5732" s="51">
        <v>1.004</v>
      </c>
      <c r="D5732" s="51">
        <v>69.0</v>
      </c>
      <c r="E5732" s="52" t="s">
        <v>25</v>
      </c>
      <c r="F5732" s="52" t="s">
        <v>26</v>
      </c>
      <c r="G5732" s="53"/>
    </row>
    <row r="5733">
      <c r="A5733" s="49">
        <v>44754.56924510417</v>
      </c>
      <c r="B5733" s="50">
        <v>44754.6942243518</v>
      </c>
      <c r="C5733" s="51">
        <v>1.004</v>
      </c>
      <c r="D5733" s="51">
        <v>69.0</v>
      </c>
      <c r="E5733" s="52" t="s">
        <v>25</v>
      </c>
      <c r="F5733" s="52" t="s">
        <v>26</v>
      </c>
      <c r="G5733" s="53"/>
    </row>
    <row r="5734">
      <c r="A5734" s="49">
        <v>44754.579671087966</v>
      </c>
      <c r="B5734" s="50">
        <v>44754.7046453125</v>
      </c>
      <c r="C5734" s="51">
        <v>1.004</v>
      </c>
      <c r="D5734" s="51">
        <v>69.0</v>
      </c>
      <c r="E5734" s="52" t="s">
        <v>25</v>
      </c>
      <c r="F5734" s="52" t="s">
        <v>26</v>
      </c>
      <c r="G5734" s="53"/>
    </row>
    <row r="5735">
      <c r="A5735" s="49">
        <v>44754.59009903936</v>
      </c>
      <c r="B5735" s="50">
        <v>44754.71507875</v>
      </c>
      <c r="C5735" s="51">
        <v>1.004</v>
      </c>
      <c r="D5735" s="51">
        <v>69.0</v>
      </c>
      <c r="E5735" s="52" t="s">
        <v>25</v>
      </c>
      <c r="F5735" s="52" t="s">
        <v>26</v>
      </c>
      <c r="G5735" s="53"/>
    </row>
    <row r="5736">
      <c r="A5736" s="49">
        <v>44754.60052429399</v>
      </c>
      <c r="B5736" s="50">
        <v>44754.7255005671</v>
      </c>
      <c r="C5736" s="51">
        <v>1.004</v>
      </c>
      <c r="D5736" s="51">
        <v>69.0</v>
      </c>
      <c r="E5736" s="52" t="s">
        <v>25</v>
      </c>
      <c r="F5736" s="52" t="s">
        <v>26</v>
      </c>
      <c r="G5736" s="53"/>
    </row>
    <row r="5737">
      <c r="A5737" s="49">
        <v>44754.61094515046</v>
      </c>
      <c r="B5737" s="50">
        <v>44754.7359224652</v>
      </c>
      <c r="C5737" s="51">
        <v>1.004</v>
      </c>
      <c r="D5737" s="51">
        <v>69.0</v>
      </c>
      <c r="E5737" s="52" t="s">
        <v>25</v>
      </c>
      <c r="F5737" s="52" t="s">
        <v>26</v>
      </c>
      <c r="G5737" s="53"/>
    </row>
    <row r="5738">
      <c r="A5738" s="49">
        <v>44754.621365486106</v>
      </c>
      <c r="B5738" s="50">
        <v>44754.7463445486</v>
      </c>
      <c r="C5738" s="51">
        <v>1.004</v>
      </c>
      <c r="D5738" s="51">
        <v>69.0</v>
      </c>
      <c r="E5738" s="52" t="s">
        <v>25</v>
      </c>
      <c r="F5738" s="52" t="s">
        <v>26</v>
      </c>
      <c r="G5738" s="53"/>
    </row>
    <row r="5739">
      <c r="A5739" s="49">
        <v>44754.631800891206</v>
      </c>
      <c r="B5739" s="50">
        <v>44754.756779456</v>
      </c>
      <c r="C5739" s="51">
        <v>1.004</v>
      </c>
      <c r="D5739" s="51">
        <v>69.0</v>
      </c>
      <c r="E5739" s="52" t="s">
        <v>25</v>
      </c>
      <c r="F5739" s="52" t="s">
        <v>26</v>
      </c>
      <c r="G5739" s="53"/>
    </row>
    <row r="5740">
      <c r="A5740" s="49">
        <v>44754.64221988426</v>
      </c>
      <c r="B5740" s="50">
        <v>44754.7672003703</v>
      </c>
      <c r="C5740" s="51">
        <v>1.004</v>
      </c>
      <c r="D5740" s="51">
        <v>69.0</v>
      </c>
      <c r="E5740" s="52" t="s">
        <v>25</v>
      </c>
      <c r="F5740" s="52" t="s">
        <v>26</v>
      </c>
      <c r="G5740" s="53"/>
    </row>
    <row r="5741">
      <c r="A5741" s="49">
        <v>44754.65263557871</v>
      </c>
      <c r="B5741" s="50">
        <v>44754.7776208796</v>
      </c>
      <c r="C5741" s="51">
        <v>1.004</v>
      </c>
      <c r="D5741" s="51">
        <v>69.0</v>
      </c>
      <c r="E5741" s="52" t="s">
        <v>25</v>
      </c>
      <c r="F5741" s="52" t="s">
        <v>26</v>
      </c>
      <c r="G5741" s="53"/>
    </row>
    <row r="5742">
      <c r="A5742" s="49">
        <v>44754.66306511574</v>
      </c>
      <c r="B5742" s="50">
        <v>44754.7880427662</v>
      </c>
      <c r="C5742" s="51">
        <v>1.004</v>
      </c>
      <c r="D5742" s="51">
        <v>69.0</v>
      </c>
      <c r="E5742" s="52" t="s">
        <v>25</v>
      </c>
      <c r="F5742" s="52" t="s">
        <v>26</v>
      </c>
      <c r="G5742" s="53"/>
    </row>
    <row r="5743">
      <c r="A5743" s="49">
        <v>44754.67348084491</v>
      </c>
      <c r="B5743" s="50">
        <v>44754.7984631597</v>
      </c>
      <c r="C5743" s="51">
        <v>1.004</v>
      </c>
      <c r="D5743" s="51">
        <v>69.0</v>
      </c>
      <c r="E5743" s="52" t="s">
        <v>25</v>
      </c>
      <c r="F5743" s="52" t="s">
        <v>26</v>
      </c>
      <c r="G5743" s="53"/>
    </row>
    <row r="5744">
      <c r="A5744" s="49">
        <v>44754.68391263889</v>
      </c>
      <c r="B5744" s="50">
        <v>44754.8088854976</v>
      </c>
      <c r="C5744" s="51">
        <v>1.004</v>
      </c>
      <c r="D5744" s="51">
        <v>69.0</v>
      </c>
      <c r="E5744" s="52" t="s">
        <v>25</v>
      </c>
      <c r="F5744" s="52" t="s">
        <v>26</v>
      </c>
      <c r="G5744" s="53"/>
    </row>
    <row r="5745">
      <c r="A5745" s="49">
        <v>44754.69433400463</v>
      </c>
      <c r="B5745" s="50">
        <v>44754.8193083912</v>
      </c>
      <c r="C5745" s="51">
        <v>1.004</v>
      </c>
      <c r="D5745" s="51">
        <v>69.0</v>
      </c>
      <c r="E5745" s="52" t="s">
        <v>25</v>
      </c>
      <c r="F5745" s="52" t="s">
        <v>26</v>
      </c>
      <c r="G5745" s="53"/>
    </row>
    <row r="5746">
      <c r="A5746" s="49">
        <v>44754.70475534722</v>
      </c>
      <c r="B5746" s="50">
        <v>44754.8297295717</v>
      </c>
      <c r="C5746" s="51">
        <v>1.004</v>
      </c>
      <c r="D5746" s="51">
        <v>69.0</v>
      </c>
      <c r="E5746" s="52" t="s">
        <v>25</v>
      </c>
      <c r="F5746" s="52" t="s">
        <v>26</v>
      </c>
      <c r="G5746" s="53"/>
    </row>
    <row r="5747">
      <c r="A5747" s="49">
        <v>44754.715166504626</v>
      </c>
      <c r="B5747" s="50">
        <v>44754.8401518865</v>
      </c>
      <c r="C5747" s="51">
        <v>1.004</v>
      </c>
      <c r="D5747" s="51">
        <v>69.0</v>
      </c>
      <c r="E5747" s="52" t="s">
        <v>25</v>
      </c>
      <c r="F5747" s="52" t="s">
        <v>26</v>
      </c>
      <c r="G5747" s="53"/>
    </row>
    <row r="5748">
      <c r="A5748" s="49">
        <v>44754.72559405093</v>
      </c>
      <c r="B5748" s="50">
        <v>44754.8505729398</v>
      </c>
      <c r="C5748" s="51">
        <v>1.004</v>
      </c>
      <c r="D5748" s="51">
        <v>69.0</v>
      </c>
      <c r="E5748" s="52" t="s">
        <v>25</v>
      </c>
      <c r="F5748" s="52" t="s">
        <v>26</v>
      </c>
      <c r="G5748" s="53"/>
    </row>
    <row r="5749">
      <c r="A5749" s="49">
        <v>44754.73601717592</v>
      </c>
      <c r="B5749" s="50">
        <v>44754.8609932754</v>
      </c>
      <c r="C5749" s="51">
        <v>1.004</v>
      </c>
      <c r="D5749" s="51">
        <v>69.0</v>
      </c>
      <c r="E5749" s="52" t="s">
        <v>25</v>
      </c>
      <c r="F5749" s="52" t="s">
        <v>26</v>
      </c>
      <c r="G5749" s="53"/>
    </row>
    <row r="5750">
      <c r="A5750" s="49">
        <v>44754.74645</v>
      </c>
      <c r="B5750" s="50">
        <v>44754.8714268055</v>
      </c>
      <c r="C5750" s="51">
        <v>1.004</v>
      </c>
      <c r="D5750" s="51">
        <v>69.0</v>
      </c>
      <c r="E5750" s="52" t="s">
        <v>25</v>
      </c>
      <c r="F5750" s="52" t="s">
        <v>26</v>
      </c>
      <c r="G5750" s="53"/>
    </row>
    <row r="5751">
      <c r="A5751" s="49">
        <v>44754.75687351852</v>
      </c>
      <c r="B5751" s="50">
        <v>44754.8818482523</v>
      </c>
      <c r="C5751" s="51">
        <v>1.004</v>
      </c>
      <c r="D5751" s="51">
        <v>69.0</v>
      </c>
      <c r="E5751" s="52" t="s">
        <v>25</v>
      </c>
      <c r="F5751" s="52" t="s">
        <v>26</v>
      </c>
      <c r="G5751" s="53"/>
    </row>
    <row r="5752">
      <c r="A5752" s="49">
        <v>44754.767293576384</v>
      </c>
      <c r="B5752" s="50">
        <v>44754.8922698842</v>
      </c>
      <c r="C5752" s="51">
        <v>1.004</v>
      </c>
      <c r="D5752" s="51">
        <v>69.0</v>
      </c>
      <c r="E5752" s="52" t="s">
        <v>25</v>
      </c>
      <c r="F5752" s="52" t="s">
        <v>26</v>
      </c>
      <c r="G5752" s="53"/>
    </row>
    <row r="5753">
      <c r="A5753" s="49">
        <v>44754.77771362269</v>
      </c>
      <c r="B5753" s="50">
        <v>44754.9026897222</v>
      </c>
      <c r="C5753" s="51">
        <v>1.004</v>
      </c>
      <c r="D5753" s="51">
        <v>69.0</v>
      </c>
      <c r="E5753" s="52" t="s">
        <v>25</v>
      </c>
      <c r="F5753" s="52" t="s">
        <v>26</v>
      </c>
      <c r="G5753" s="53"/>
    </row>
    <row r="5754">
      <c r="A5754" s="49">
        <v>44754.78814341435</v>
      </c>
      <c r="B5754" s="50">
        <v>44754.9131236226</v>
      </c>
      <c r="C5754" s="51">
        <v>1.004</v>
      </c>
      <c r="D5754" s="51">
        <v>69.0</v>
      </c>
      <c r="E5754" s="52" t="s">
        <v>25</v>
      </c>
      <c r="F5754" s="52" t="s">
        <v>26</v>
      </c>
      <c r="G5754" s="53"/>
    </row>
    <row r="5755">
      <c r="A5755" s="49">
        <v>44754.79856646991</v>
      </c>
      <c r="B5755" s="50">
        <v>44754.9235463888</v>
      </c>
      <c r="C5755" s="51">
        <v>1.004</v>
      </c>
      <c r="D5755" s="51">
        <v>69.0</v>
      </c>
      <c r="E5755" s="52" t="s">
        <v>25</v>
      </c>
      <c r="F5755" s="52" t="s">
        <v>26</v>
      </c>
      <c r="G5755" s="53"/>
    </row>
    <row r="5756">
      <c r="A5756" s="49">
        <v>44754.8090015162</v>
      </c>
      <c r="B5756" s="50">
        <v>44754.9339696412</v>
      </c>
      <c r="C5756" s="51">
        <v>1.004</v>
      </c>
      <c r="D5756" s="51">
        <v>69.0</v>
      </c>
      <c r="E5756" s="52" t="s">
        <v>25</v>
      </c>
      <c r="F5756" s="52" t="s">
        <v>26</v>
      </c>
      <c r="G5756" s="53"/>
    </row>
    <row r="5757">
      <c r="A5757" s="49">
        <v>44754.81941832176</v>
      </c>
      <c r="B5757" s="50">
        <v>44754.9443890162</v>
      </c>
      <c r="C5757" s="51">
        <v>1.004</v>
      </c>
      <c r="D5757" s="51">
        <v>69.0</v>
      </c>
      <c r="E5757" s="52" t="s">
        <v>25</v>
      </c>
      <c r="F5757" s="52" t="s">
        <v>26</v>
      </c>
      <c r="G5757" s="53"/>
    </row>
    <row r="5758">
      <c r="A5758" s="49">
        <v>44754.82983953704</v>
      </c>
      <c r="B5758" s="50">
        <v>44754.9548108912</v>
      </c>
      <c r="C5758" s="51">
        <v>1.004</v>
      </c>
      <c r="D5758" s="51">
        <v>69.0</v>
      </c>
      <c r="E5758" s="52" t="s">
        <v>25</v>
      </c>
      <c r="F5758" s="52" t="s">
        <v>26</v>
      </c>
      <c r="G5758" s="53"/>
    </row>
    <row r="5759">
      <c r="A5759" s="49">
        <v>44754.84025337963</v>
      </c>
      <c r="B5759" s="50">
        <v>44754.9652295254</v>
      </c>
      <c r="C5759" s="51">
        <v>1.004</v>
      </c>
      <c r="D5759" s="51">
        <v>69.0</v>
      </c>
      <c r="E5759" s="52" t="s">
        <v>25</v>
      </c>
      <c r="F5759" s="52" t="s">
        <v>26</v>
      </c>
      <c r="G5759" s="53"/>
    </row>
    <row r="5760">
      <c r="A5760" s="49">
        <v>44754.85067946759</v>
      </c>
      <c r="B5760" s="50">
        <v>44754.9756508449</v>
      </c>
      <c r="C5760" s="51">
        <v>1.004</v>
      </c>
      <c r="D5760" s="51">
        <v>69.0</v>
      </c>
      <c r="E5760" s="52" t="s">
        <v>25</v>
      </c>
      <c r="F5760" s="52" t="s">
        <v>26</v>
      </c>
      <c r="G5760" s="53"/>
    </row>
    <row r="5761">
      <c r="A5761" s="49">
        <v>44754.86109983796</v>
      </c>
      <c r="B5761" s="50">
        <v>44754.9860719212</v>
      </c>
      <c r="C5761" s="51">
        <v>1.004</v>
      </c>
      <c r="D5761" s="51">
        <v>69.0</v>
      </c>
      <c r="E5761" s="52" t="s">
        <v>25</v>
      </c>
      <c r="F5761" s="52" t="s">
        <v>26</v>
      </c>
      <c r="G5761" s="53"/>
    </row>
    <row r="5762">
      <c r="A5762" s="49">
        <v>44754.87151315973</v>
      </c>
      <c r="B5762" s="50">
        <v>44754.9964942476</v>
      </c>
      <c r="C5762" s="51">
        <v>1.004</v>
      </c>
      <c r="D5762" s="51">
        <v>69.0</v>
      </c>
      <c r="E5762" s="52" t="s">
        <v>25</v>
      </c>
      <c r="F5762" s="52" t="s">
        <v>26</v>
      </c>
      <c r="G5762" s="53"/>
    </row>
    <row r="5763">
      <c r="A5763" s="49">
        <v>44754.8819435301</v>
      </c>
      <c r="B5763" s="50">
        <v>44755.0069163194</v>
      </c>
      <c r="C5763" s="51">
        <v>1.004</v>
      </c>
      <c r="D5763" s="51">
        <v>69.0</v>
      </c>
      <c r="E5763" s="52" t="s">
        <v>25</v>
      </c>
      <c r="F5763" s="52" t="s">
        <v>26</v>
      </c>
      <c r="G5763" s="53"/>
    </row>
    <row r="5764">
      <c r="A5764" s="49">
        <v>44754.89236680555</v>
      </c>
      <c r="B5764" s="50">
        <v>44755.0173378935</v>
      </c>
      <c r="C5764" s="51">
        <v>1.004</v>
      </c>
      <c r="D5764" s="51">
        <v>69.0</v>
      </c>
      <c r="E5764" s="52" t="s">
        <v>25</v>
      </c>
      <c r="F5764" s="52" t="s">
        <v>26</v>
      </c>
      <c r="G5764" s="53"/>
    </row>
    <row r="5765">
      <c r="A5765" s="49">
        <v>44754.902785162034</v>
      </c>
      <c r="B5765" s="50">
        <v>44755.0277582291</v>
      </c>
      <c r="C5765" s="51">
        <v>1.004</v>
      </c>
      <c r="D5765" s="51">
        <v>69.0</v>
      </c>
      <c r="E5765" s="52" t="s">
        <v>25</v>
      </c>
      <c r="F5765" s="52" t="s">
        <v>26</v>
      </c>
      <c r="G5765" s="53"/>
    </row>
    <row r="5766">
      <c r="A5766" s="49">
        <v>44754.91320945602</v>
      </c>
      <c r="B5766" s="50">
        <v>44755.0381813773</v>
      </c>
      <c r="C5766" s="51">
        <v>1.004</v>
      </c>
      <c r="D5766" s="51">
        <v>69.0</v>
      </c>
      <c r="E5766" s="52" t="s">
        <v>25</v>
      </c>
      <c r="F5766" s="52" t="s">
        <v>26</v>
      </c>
      <c r="G5766" s="53"/>
    </row>
    <row r="5767">
      <c r="A5767" s="49">
        <v>44754.92364217593</v>
      </c>
      <c r="B5767" s="50">
        <v>44755.0486149074</v>
      </c>
      <c r="C5767" s="51">
        <v>1.004</v>
      </c>
      <c r="D5767" s="51">
        <v>69.0</v>
      </c>
      <c r="E5767" s="52" t="s">
        <v>25</v>
      </c>
      <c r="F5767" s="52" t="s">
        <v>26</v>
      </c>
      <c r="G5767" s="53"/>
    </row>
    <row r="5768">
      <c r="A5768" s="49">
        <v>44754.93405909722</v>
      </c>
      <c r="B5768" s="50">
        <v>44755.0590354861</v>
      </c>
      <c r="C5768" s="51">
        <v>1.004</v>
      </c>
      <c r="D5768" s="51">
        <v>69.0</v>
      </c>
      <c r="E5768" s="52" t="s">
        <v>25</v>
      </c>
      <c r="F5768" s="52" t="s">
        <v>26</v>
      </c>
      <c r="G5768" s="53"/>
    </row>
    <row r="5769">
      <c r="A5769" s="49">
        <v>44754.94448327547</v>
      </c>
      <c r="B5769" s="50">
        <v>44755.0694557986</v>
      </c>
      <c r="C5769" s="51">
        <v>1.004</v>
      </c>
      <c r="D5769" s="51">
        <v>69.0</v>
      </c>
      <c r="E5769" s="52" t="s">
        <v>25</v>
      </c>
      <c r="F5769" s="52" t="s">
        <v>26</v>
      </c>
      <c r="G5769" s="53"/>
    </row>
    <row r="5770">
      <c r="A5770" s="49">
        <v>44754.95490328704</v>
      </c>
      <c r="B5770" s="50">
        <v>44755.0798776041</v>
      </c>
      <c r="C5770" s="51">
        <v>1.004</v>
      </c>
      <c r="D5770" s="51">
        <v>69.0</v>
      </c>
      <c r="E5770" s="52" t="s">
        <v>25</v>
      </c>
      <c r="F5770" s="52" t="s">
        <v>26</v>
      </c>
      <c r="G5770" s="53"/>
    </row>
    <row r="5771">
      <c r="A5771" s="49">
        <v>44754.965324432866</v>
      </c>
      <c r="B5771" s="50">
        <v>44755.0902974652</v>
      </c>
      <c r="C5771" s="51">
        <v>1.004</v>
      </c>
      <c r="D5771" s="51">
        <v>69.0</v>
      </c>
      <c r="E5771" s="52" t="s">
        <v>25</v>
      </c>
      <c r="F5771" s="52" t="s">
        <v>26</v>
      </c>
      <c r="G5771" s="53"/>
    </row>
    <row r="5772">
      <c r="A5772" s="49">
        <v>44754.975746689815</v>
      </c>
      <c r="B5772" s="50">
        <v>44755.1007187615</v>
      </c>
      <c r="C5772" s="51">
        <v>1.004</v>
      </c>
      <c r="D5772" s="51">
        <v>69.0</v>
      </c>
      <c r="E5772" s="52" t="s">
        <v>25</v>
      </c>
      <c r="F5772" s="52" t="s">
        <v>26</v>
      </c>
      <c r="G5772" s="53"/>
    </row>
    <row r="5773">
      <c r="A5773" s="49">
        <v>44754.98616842592</v>
      </c>
      <c r="B5773" s="50">
        <v>44755.1111510416</v>
      </c>
      <c r="C5773" s="51">
        <v>1.004</v>
      </c>
      <c r="D5773" s="51">
        <v>69.0</v>
      </c>
      <c r="E5773" s="52" t="s">
        <v>25</v>
      </c>
      <c r="F5773" s="52" t="s">
        <v>26</v>
      </c>
      <c r="G5773" s="53"/>
    </row>
    <row r="5774">
      <c r="A5774" s="49">
        <v>44754.996599363425</v>
      </c>
      <c r="B5774" s="50">
        <v>44755.121572581</v>
      </c>
      <c r="C5774" s="51">
        <v>1.004</v>
      </c>
      <c r="D5774" s="51">
        <v>69.0</v>
      </c>
      <c r="E5774" s="52" t="s">
        <v>25</v>
      </c>
      <c r="F5774" s="52" t="s">
        <v>26</v>
      </c>
      <c r="G5774" s="53"/>
    </row>
    <row r="5775">
      <c r="A5775" s="49">
        <v>44755.00702292824</v>
      </c>
      <c r="B5775" s="50">
        <v>44755.1319937963</v>
      </c>
      <c r="C5775" s="51">
        <v>1.004</v>
      </c>
      <c r="D5775" s="51">
        <v>69.0</v>
      </c>
      <c r="E5775" s="52" t="s">
        <v>25</v>
      </c>
      <c r="F5775" s="52" t="s">
        <v>26</v>
      </c>
      <c r="G5775" s="53"/>
    </row>
    <row r="5776">
      <c r="A5776" s="49">
        <v>44755.01745609954</v>
      </c>
      <c r="B5776" s="50">
        <v>44755.1424267245</v>
      </c>
      <c r="C5776" s="51">
        <v>1.004</v>
      </c>
      <c r="D5776" s="51">
        <v>69.0</v>
      </c>
      <c r="E5776" s="52" t="s">
        <v>25</v>
      </c>
      <c r="F5776" s="52" t="s">
        <v>26</v>
      </c>
      <c r="G5776" s="53"/>
    </row>
    <row r="5777">
      <c r="A5777" s="49">
        <v>44755.027885682866</v>
      </c>
      <c r="B5777" s="50">
        <v>44755.1528590162</v>
      </c>
      <c r="C5777" s="51">
        <v>1.004</v>
      </c>
      <c r="D5777" s="51">
        <v>69.0</v>
      </c>
      <c r="E5777" s="52" t="s">
        <v>25</v>
      </c>
      <c r="F5777" s="52" t="s">
        <v>26</v>
      </c>
      <c r="G5777" s="53"/>
    </row>
    <row r="5778">
      <c r="A5778" s="49">
        <v>44755.038313576384</v>
      </c>
      <c r="B5778" s="50">
        <v>44755.1632927893</v>
      </c>
      <c r="C5778" s="51">
        <v>1.004</v>
      </c>
      <c r="D5778" s="51">
        <v>69.0</v>
      </c>
      <c r="E5778" s="52" t="s">
        <v>25</v>
      </c>
      <c r="F5778" s="52" t="s">
        <v>26</v>
      </c>
      <c r="G5778" s="53"/>
    </row>
    <row r="5779">
      <c r="A5779" s="49">
        <v>44755.04875241898</v>
      </c>
      <c r="B5779" s="50">
        <v>44755.1737141782</v>
      </c>
      <c r="C5779" s="51">
        <v>1.004</v>
      </c>
      <c r="D5779" s="51">
        <v>69.0</v>
      </c>
      <c r="E5779" s="52" t="s">
        <v>25</v>
      </c>
      <c r="F5779" s="52" t="s">
        <v>26</v>
      </c>
      <c r="G5779" s="53"/>
    </row>
    <row r="5780">
      <c r="A5780" s="49">
        <v>44755.05917337963</v>
      </c>
      <c r="B5780" s="50">
        <v>44755.1841475694</v>
      </c>
      <c r="C5780" s="51">
        <v>1.004</v>
      </c>
      <c r="D5780" s="51">
        <v>69.0</v>
      </c>
      <c r="E5780" s="52" t="s">
        <v>25</v>
      </c>
      <c r="F5780" s="52" t="s">
        <v>26</v>
      </c>
      <c r="G5780" s="53"/>
    </row>
    <row r="5781">
      <c r="A5781" s="49">
        <v>44755.06958836806</v>
      </c>
      <c r="B5781" s="50">
        <v>44755.194566875</v>
      </c>
      <c r="C5781" s="51">
        <v>1.004</v>
      </c>
      <c r="D5781" s="51">
        <v>69.0</v>
      </c>
      <c r="E5781" s="52" t="s">
        <v>25</v>
      </c>
      <c r="F5781" s="52" t="s">
        <v>26</v>
      </c>
      <c r="G5781" s="53"/>
    </row>
    <row r="5782">
      <c r="A5782" s="49">
        <v>44755.080012962964</v>
      </c>
      <c r="B5782" s="50">
        <v>44755.2049895601</v>
      </c>
      <c r="C5782" s="51">
        <v>1.004</v>
      </c>
      <c r="D5782" s="51">
        <v>69.0</v>
      </c>
      <c r="E5782" s="52" t="s">
        <v>25</v>
      </c>
      <c r="F5782" s="52" t="s">
        <v>26</v>
      </c>
      <c r="G5782" s="53"/>
    </row>
    <row r="5783">
      <c r="A5783" s="49">
        <v>44755.090449421295</v>
      </c>
      <c r="B5783" s="50">
        <v>44755.2154099074</v>
      </c>
      <c r="C5783" s="51">
        <v>1.004</v>
      </c>
      <c r="D5783" s="51">
        <v>69.0</v>
      </c>
      <c r="E5783" s="52" t="s">
        <v>25</v>
      </c>
      <c r="F5783" s="52" t="s">
        <v>26</v>
      </c>
      <c r="G5783" s="53"/>
    </row>
    <row r="5784">
      <c r="A5784" s="49">
        <v>44755.100852233794</v>
      </c>
      <c r="B5784" s="50">
        <v>44755.2258313888</v>
      </c>
      <c r="C5784" s="51">
        <v>1.004</v>
      </c>
      <c r="D5784" s="51">
        <v>69.0</v>
      </c>
      <c r="E5784" s="52" t="s">
        <v>25</v>
      </c>
      <c r="F5784" s="52" t="s">
        <v>26</v>
      </c>
      <c r="G5784" s="53"/>
    </row>
    <row r="5785">
      <c r="A5785" s="49">
        <v>44755.11128070602</v>
      </c>
      <c r="B5785" s="50">
        <v>44755.2362520023</v>
      </c>
      <c r="C5785" s="51">
        <v>1.004</v>
      </c>
      <c r="D5785" s="51">
        <v>69.0</v>
      </c>
      <c r="E5785" s="52" t="s">
        <v>25</v>
      </c>
      <c r="F5785" s="52" t="s">
        <v>26</v>
      </c>
      <c r="G5785" s="53"/>
    </row>
    <row r="5786">
      <c r="A5786" s="49">
        <v>44755.12170914352</v>
      </c>
      <c r="B5786" s="50">
        <v>44755.2466733217</v>
      </c>
      <c r="C5786" s="51">
        <v>1.004</v>
      </c>
      <c r="D5786" s="51">
        <v>69.0</v>
      </c>
      <c r="E5786" s="52" t="s">
        <v>25</v>
      </c>
      <c r="F5786" s="52" t="s">
        <v>26</v>
      </c>
      <c r="G5786" s="53"/>
    </row>
    <row r="5787">
      <c r="A5787" s="49">
        <v>44755.13212520833</v>
      </c>
      <c r="B5787" s="50">
        <v>44755.2571066898</v>
      </c>
      <c r="C5787" s="51">
        <v>1.004</v>
      </c>
      <c r="D5787" s="51">
        <v>69.0</v>
      </c>
      <c r="E5787" s="52" t="s">
        <v>25</v>
      </c>
      <c r="F5787" s="52" t="s">
        <v>26</v>
      </c>
      <c r="G5787" s="53"/>
    </row>
    <row r="5788">
      <c r="A5788" s="49">
        <v>44755.14255430555</v>
      </c>
      <c r="B5788" s="50">
        <v>44755.2675288657</v>
      </c>
      <c r="C5788" s="51">
        <v>1.004</v>
      </c>
      <c r="D5788" s="51">
        <v>69.0</v>
      </c>
      <c r="E5788" s="52" t="s">
        <v>25</v>
      </c>
      <c r="F5788" s="52" t="s">
        <v>26</v>
      </c>
      <c r="G5788" s="53"/>
    </row>
    <row r="5789">
      <c r="A5789" s="49">
        <v>44755.152976956015</v>
      </c>
      <c r="B5789" s="50">
        <v>44755.2779529513</v>
      </c>
      <c r="C5789" s="51">
        <v>1.004</v>
      </c>
      <c r="D5789" s="51">
        <v>70.0</v>
      </c>
      <c r="E5789" s="52" t="s">
        <v>25</v>
      </c>
      <c r="F5789" s="52" t="s">
        <v>26</v>
      </c>
      <c r="G5789" s="53"/>
    </row>
    <row r="5790">
      <c r="A5790" s="49">
        <v>44755.16339756944</v>
      </c>
      <c r="B5790" s="50">
        <v>44755.2883734143</v>
      </c>
      <c r="C5790" s="51">
        <v>1.004</v>
      </c>
      <c r="D5790" s="51">
        <v>70.0</v>
      </c>
      <c r="E5790" s="52" t="s">
        <v>25</v>
      </c>
      <c r="F5790" s="52" t="s">
        <v>26</v>
      </c>
      <c r="G5790" s="53"/>
    </row>
    <row r="5791">
      <c r="A5791" s="49">
        <v>44755.17381334491</v>
      </c>
      <c r="B5791" s="50">
        <v>44755.298796331</v>
      </c>
      <c r="C5791" s="51">
        <v>1.004</v>
      </c>
      <c r="D5791" s="51">
        <v>70.0</v>
      </c>
      <c r="E5791" s="52" t="s">
        <v>25</v>
      </c>
      <c r="F5791" s="52" t="s">
        <v>26</v>
      </c>
      <c r="G5791" s="53"/>
    </row>
    <row r="5792">
      <c r="A5792" s="49">
        <v>44755.18424454861</v>
      </c>
      <c r="B5792" s="50">
        <v>44755.3092177777</v>
      </c>
      <c r="C5792" s="51">
        <v>1.004</v>
      </c>
      <c r="D5792" s="51">
        <v>70.0</v>
      </c>
      <c r="E5792" s="52" t="s">
        <v>25</v>
      </c>
      <c r="F5792" s="52" t="s">
        <v>26</v>
      </c>
      <c r="G5792" s="53"/>
    </row>
    <row r="5793">
      <c r="A5793" s="49">
        <v>44755.194661064816</v>
      </c>
      <c r="B5793" s="50">
        <v>44755.3196386805</v>
      </c>
      <c r="C5793" s="51">
        <v>1.004</v>
      </c>
      <c r="D5793" s="51">
        <v>69.0</v>
      </c>
      <c r="E5793" s="52" t="s">
        <v>25</v>
      </c>
      <c r="F5793" s="52" t="s">
        <v>26</v>
      </c>
      <c r="G5793" s="53"/>
    </row>
    <row r="5794">
      <c r="A5794" s="49">
        <v>44755.20510898148</v>
      </c>
      <c r="B5794" s="50">
        <v>44755.3300831365</v>
      </c>
      <c r="C5794" s="51">
        <v>1.004</v>
      </c>
      <c r="D5794" s="51">
        <v>69.0</v>
      </c>
      <c r="E5794" s="52" t="s">
        <v>25</v>
      </c>
      <c r="F5794" s="52" t="s">
        <v>26</v>
      </c>
      <c r="G5794" s="53"/>
    </row>
    <row r="5795">
      <c r="A5795" s="49">
        <v>44755.21552607639</v>
      </c>
      <c r="B5795" s="50">
        <v>44755.3405050578</v>
      </c>
      <c r="C5795" s="51">
        <v>1.004</v>
      </c>
      <c r="D5795" s="51">
        <v>70.0</v>
      </c>
      <c r="E5795" s="52" t="s">
        <v>25</v>
      </c>
      <c r="F5795" s="52" t="s">
        <v>26</v>
      </c>
      <c r="G5795" s="53"/>
    </row>
    <row r="5796">
      <c r="A5796" s="49">
        <v>44755.225952673616</v>
      </c>
      <c r="B5796" s="50">
        <v>44755.3509266319</v>
      </c>
      <c r="C5796" s="51">
        <v>1.004</v>
      </c>
      <c r="D5796" s="51">
        <v>70.0</v>
      </c>
      <c r="E5796" s="52" t="s">
        <v>25</v>
      </c>
      <c r="F5796" s="52" t="s">
        <v>26</v>
      </c>
      <c r="G5796" s="53"/>
    </row>
    <row r="5797">
      <c r="A5797" s="49">
        <v>44755.23636443287</v>
      </c>
      <c r="B5797" s="50">
        <v>44755.3613467361</v>
      </c>
      <c r="C5797" s="51">
        <v>1.004</v>
      </c>
      <c r="D5797" s="51">
        <v>70.0</v>
      </c>
      <c r="E5797" s="52" t="s">
        <v>25</v>
      </c>
      <c r="F5797" s="52" t="s">
        <v>26</v>
      </c>
      <c r="G5797" s="53"/>
    </row>
    <row r="5798">
      <c r="A5798" s="49">
        <v>44755.2467940162</v>
      </c>
      <c r="B5798" s="50">
        <v>44755.3717682523</v>
      </c>
      <c r="C5798" s="51">
        <v>1.004</v>
      </c>
      <c r="D5798" s="51">
        <v>70.0</v>
      </c>
      <c r="E5798" s="52" t="s">
        <v>25</v>
      </c>
      <c r="F5798" s="52" t="s">
        <v>26</v>
      </c>
      <c r="G5798" s="53"/>
    </row>
    <row r="5799">
      <c r="A5799" s="49">
        <v>44755.2572099074</v>
      </c>
      <c r="B5799" s="50">
        <v>44755.3821911226</v>
      </c>
      <c r="C5799" s="51">
        <v>1.004</v>
      </c>
      <c r="D5799" s="51">
        <v>70.0</v>
      </c>
      <c r="E5799" s="52" t="s">
        <v>25</v>
      </c>
      <c r="F5799" s="52" t="s">
        <v>26</v>
      </c>
      <c r="G5799" s="53"/>
    </row>
    <row r="5800">
      <c r="A5800" s="49">
        <v>44755.26762909722</v>
      </c>
      <c r="B5800" s="50">
        <v>44755.3926117476</v>
      </c>
      <c r="C5800" s="51">
        <v>1.004</v>
      </c>
      <c r="D5800" s="51">
        <v>70.0</v>
      </c>
      <c r="E5800" s="52" t="s">
        <v>25</v>
      </c>
      <c r="F5800" s="52" t="s">
        <v>26</v>
      </c>
      <c r="G5800" s="53"/>
    </row>
    <row r="5801">
      <c r="A5801" s="49">
        <v>44755.27806568287</v>
      </c>
      <c r="B5801" s="50">
        <v>44755.4030328588</v>
      </c>
      <c r="C5801" s="51">
        <v>1.004</v>
      </c>
      <c r="D5801" s="51">
        <v>70.0</v>
      </c>
      <c r="E5801" s="52" t="s">
        <v>25</v>
      </c>
      <c r="F5801" s="52" t="s">
        <v>26</v>
      </c>
      <c r="G5801" s="53"/>
    </row>
    <row r="5802">
      <c r="A5802" s="49">
        <v>44755.28847615741</v>
      </c>
      <c r="B5802" s="50">
        <v>44755.4134551388</v>
      </c>
      <c r="C5802" s="51">
        <v>1.004</v>
      </c>
      <c r="D5802" s="51">
        <v>70.0</v>
      </c>
      <c r="E5802" s="52" t="s">
        <v>25</v>
      </c>
      <c r="F5802" s="52" t="s">
        <v>26</v>
      </c>
      <c r="G5802" s="53"/>
    </row>
    <row r="5803">
      <c r="A5803" s="49">
        <v>44755.29890159723</v>
      </c>
      <c r="B5803" s="50">
        <v>44755.4238780902</v>
      </c>
      <c r="C5803" s="51">
        <v>1.004</v>
      </c>
      <c r="D5803" s="51">
        <v>70.0</v>
      </c>
      <c r="E5803" s="52" t="s">
        <v>25</v>
      </c>
      <c r="F5803" s="52" t="s">
        <v>26</v>
      </c>
      <c r="G5803" s="53"/>
    </row>
    <row r="5804">
      <c r="A5804" s="49">
        <v>44755.30932958334</v>
      </c>
      <c r="B5804" s="50">
        <v>44755.4342990625</v>
      </c>
      <c r="C5804" s="51">
        <v>1.004</v>
      </c>
      <c r="D5804" s="51">
        <v>70.0</v>
      </c>
      <c r="E5804" s="52" t="s">
        <v>25</v>
      </c>
      <c r="F5804" s="52" t="s">
        <v>26</v>
      </c>
      <c r="G5804" s="53"/>
    </row>
    <row r="5805">
      <c r="A5805" s="49">
        <v>44755.31974861111</v>
      </c>
      <c r="B5805" s="50">
        <v>44755.4447190625</v>
      </c>
      <c r="C5805" s="51">
        <v>1.004</v>
      </c>
      <c r="D5805" s="51">
        <v>70.0</v>
      </c>
      <c r="E5805" s="52" t="s">
        <v>25</v>
      </c>
      <c r="F5805" s="52" t="s">
        <v>26</v>
      </c>
      <c r="G5805" s="53"/>
    </row>
    <row r="5806">
      <c r="A5806" s="49">
        <v>44755.33018366898</v>
      </c>
      <c r="B5806" s="50">
        <v>44755.4551408449</v>
      </c>
      <c r="C5806" s="51">
        <v>1.004</v>
      </c>
      <c r="D5806" s="51">
        <v>70.0</v>
      </c>
      <c r="E5806" s="52" t="s">
        <v>25</v>
      </c>
      <c r="F5806" s="52" t="s">
        <v>26</v>
      </c>
      <c r="G5806" s="53"/>
    </row>
    <row r="5807">
      <c r="A5807" s="49">
        <v>44755.3405890162</v>
      </c>
      <c r="B5807" s="50">
        <v>44755.4655608217</v>
      </c>
      <c r="C5807" s="51">
        <v>1.004</v>
      </c>
      <c r="D5807" s="51">
        <v>70.0</v>
      </c>
      <c r="E5807" s="52" t="s">
        <v>25</v>
      </c>
      <c r="F5807" s="52" t="s">
        <v>26</v>
      </c>
      <c r="G5807" s="53"/>
    </row>
    <row r="5808">
      <c r="A5808" s="49">
        <v>44755.351023483796</v>
      </c>
      <c r="B5808" s="50">
        <v>44755.475994537</v>
      </c>
      <c r="C5808" s="51">
        <v>1.004</v>
      </c>
      <c r="D5808" s="51">
        <v>70.0</v>
      </c>
      <c r="E5808" s="52" t="s">
        <v>25</v>
      </c>
      <c r="F5808" s="52" t="s">
        <v>26</v>
      </c>
      <c r="G5808" s="53"/>
    </row>
    <row r="5809">
      <c r="A5809" s="49">
        <v>44755.36143449074</v>
      </c>
      <c r="B5809" s="50">
        <v>44755.4864164583</v>
      </c>
      <c r="C5809" s="51">
        <v>1.004</v>
      </c>
      <c r="D5809" s="51">
        <v>70.0</v>
      </c>
      <c r="E5809" s="52" t="s">
        <v>25</v>
      </c>
      <c r="F5809" s="52" t="s">
        <v>26</v>
      </c>
      <c r="G5809" s="53"/>
    </row>
    <row r="5810">
      <c r="A5810" s="49">
        <v>44755.37186758102</v>
      </c>
      <c r="B5810" s="50">
        <v>44755.4968388194</v>
      </c>
      <c r="C5810" s="51">
        <v>1.004</v>
      </c>
      <c r="D5810" s="51">
        <v>70.0</v>
      </c>
      <c r="E5810" s="52" t="s">
        <v>25</v>
      </c>
      <c r="F5810" s="52" t="s">
        <v>26</v>
      </c>
      <c r="G5810" s="53"/>
    </row>
    <row r="5811">
      <c r="A5811" s="49">
        <v>44755.38228871528</v>
      </c>
      <c r="B5811" s="50">
        <v>44755.5072593171</v>
      </c>
      <c r="C5811" s="51">
        <v>1.004</v>
      </c>
      <c r="D5811" s="51">
        <v>70.0</v>
      </c>
      <c r="E5811" s="52" t="s">
        <v>25</v>
      </c>
      <c r="F5811" s="52" t="s">
        <v>26</v>
      </c>
      <c r="G5811" s="53"/>
    </row>
    <row r="5812">
      <c r="A5812" s="49">
        <v>44755.39270228009</v>
      </c>
      <c r="B5812" s="50">
        <v>44755.5176804166</v>
      </c>
      <c r="C5812" s="51">
        <v>1.004</v>
      </c>
      <c r="D5812" s="51">
        <v>70.0</v>
      </c>
      <c r="E5812" s="52" t="s">
        <v>25</v>
      </c>
      <c r="F5812" s="52" t="s">
        <v>26</v>
      </c>
      <c r="G5812" s="53"/>
    </row>
    <row r="5813">
      <c r="A5813" s="49">
        <v>44755.40311980324</v>
      </c>
      <c r="B5813" s="50">
        <v>44755.528100949</v>
      </c>
      <c r="C5813" s="51">
        <v>1.004</v>
      </c>
      <c r="D5813" s="51">
        <v>70.0</v>
      </c>
      <c r="E5813" s="52" t="s">
        <v>25</v>
      </c>
      <c r="F5813" s="52" t="s">
        <v>26</v>
      </c>
      <c r="G5813" s="53"/>
    </row>
    <row r="5814">
      <c r="A5814" s="49">
        <v>44755.4135512037</v>
      </c>
      <c r="B5814" s="50">
        <v>44755.5385234837</v>
      </c>
      <c r="C5814" s="51">
        <v>1.004</v>
      </c>
      <c r="D5814" s="51">
        <v>70.0</v>
      </c>
      <c r="E5814" s="52" t="s">
        <v>25</v>
      </c>
      <c r="F5814" s="52" t="s">
        <v>26</v>
      </c>
      <c r="G5814" s="53"/>
    </row>
    <row r="5815">
      <c r="A5815" s="49">
        <v>44755.42396570602</v>
      </c>
      <c r="B5815" s="50">
        <v>44755.5489423263</v>
      </c>
      <c r="C5815" s="51">
        <v>1.004</v>
      </c>
      <c r="D5815" s="51">
        <v>70.0</v>
      </c>
      <c r="E5815" s="52" t="s">
        <v>25</v>
      </c>
      <c r="F5815" s="52" t="s">
        <v>26</v>
      </c>
      <c r="G5815" s="53"/>
    </row>
    <row r="5816">
      <c r="A5816" s="49">
        <v>44755.43438136574</v>
      </c>
      <c r="B5816" s="50">
        <v>44755.5593651851</v>
      </c>
      <c r="C5816" s="51">
        <v>1.004</v>
      </c>
      <c r="D5816" s="51">
        <v>70.0</v>
      </c>
      <c r="E5816" s="52" t="s">
        <v>25</v>
      </c>
      <c r="F5816" s="52" t="s">
        <v>26</v>
      </c>
      <c r="G5816" s="53"/>
    </row>
    <row r="5817">
      <c r="A5817" s="49">
        <v>44755.44481975694</v>
      </c>
      <c r="B5817" s="50">
        <v>44755.5697858333</v>
      </c>
      <c r="C5817" s="51">
        <v>1.004</v>
      </c>
      <c r="D5817" s="51">
        <v>70.0</v>
      </c>
      <c r="E5817" s="52" t="s">
        <v>25</v>
      </c>
      <c r="F5817" s="52" t="s">
        <v>26</v>
      </c>
      <c r="G5817" s="53"/>
    </row>
    <row r="5818">
      <c r="A5818" s="49">
        <v>44755.45523037037</v>
      </c>
      <c r="B5818" s="50">
        <v>44755.5802064004</v>
      </c>
      <c r="C5818" s="51">
        <v>1.004</v>
      </c>
      <c r="D5818" s="51">
        <v>70.0</v>
      </c>
      <c r="E5818" s="52" t="s">
        <v>25</v>
      </c>
      <c r="F5818" s="52" t="s">
        <v>26</v>
      </c>
      <c r="G5818" s="53"/>
    </row>
    <row r="5819">
      <c r="A5819" s="49">
        <v>44755.46566648148</v>
      </c>
      <c r="B5819" s="50">
        <v>44755.5906278125</v>
      </c>
      <c r="C5819" s="51">
        <v>1.004</v>
      </c>
      <c r="D5819" s="51">
        <v>70.0</v>
      </c>
      <c r="E5819" s="52" t="s">
        <v>25</v>
      </c>
      <c r="F5819" s="52" t="s">
        <v>26</v>
      </c>
      <c r="G5819" s="53"/>
    </row>
    <row r="5820">
      <c r="A5820" s="49">
        <v>44755.4760803588</v>
      </c>
      <c r="B5820" s="50">
        <v>44755.6010617476</v>
      </c>
      <c r="C5820" s="51">
        <v>1.004</v>
      </c>
      <c r="D5820" s="51">
        <v>70.0</v>
      </c>
      <c r="E5820" s="52" t="s">
        <v>25</v>
      </c>
      <c r="F5820" s="52" t="s">
        <v>26</v>
      </c>
      <c r="G5820" s="53"/>
    </row>
    <row r="5821">
      <c r="A5821" s="49">
        <v>44755.486508483795</v>
      </c>
      <c r="B5821" s="50">
        <v>44755.6114836111</v>
      </c>
      <c r="C5821" s="51">
        <v>1.004</v>
      </c>
      <c r="D5821" s="51">
        <v>70.0</v>
      </c>
      <c r="E5821" s="52" t="s">
        <v>25</v>
      </c>
      <c r="F5821" s="52" t="s">
        <v>26</v>
      </c>
      <c r="G5821" s="53"/>
    </row>
    <row r="5822">
      <c r="A5822" s="49">
        <v>44755.49692628472</v>
      </c>
      <c r="B5822" s="50">
        <v>44755.6219057407</v>
      </c>
      <c r="C5822" s="51">
        <v>1.004</v>
      </c>
      <c r="D5822" s="51">
        <v>70.0</v>
      </c>
      <c r="E5822" s="52" t="s">
        <v>25</v>
      </c>
      <c r="F5822" s="52" t="s">
        <v>26</v>
      </c>
      <c r="G5822" s="53"/>
    </row>
    <row r="5823">
      <c r="A5823" s="49">
        <v>44755.50736390046</v>
      </c>
      <c r="B5823" s="50">
        <v>44755.6323389814</v>
      </c>
      <c r="C5823" s="51">
        <v>1.004</v>
      </c>
      <c r="D5823" s="51">
        <v>70.0</v>
      </c>
      <c r="E5823" s="52" t="s">
        <v>25</v>
      </c>
      <c r="F5823" s="52" t="s">
        <v>26</v>
      </c>
      <c r="G5823" s="53"/>
    </row>
    <row r="5824">
      <c r="A5824" s="49">
        <v>44755.51778059028</v>
      </c>
      <c r="B5824" s="50">
        <v>44755.6427601967</v>
      </c>
      <c r="C5824" s="51">
        <v>1.004</v>
      </c>
      <c r="D5824" s="51">
        <v>70.0</v>
      </c>
      <c r="E5824" s="52" t="s">
        <v>25</v>
      </c>
      <c r="F5824" s="52" t="s">
        <v>26</v>
      </c>
      <c r="G5824" s="53"/>
    </row>
    <row r="5825">
      <c r="A5825" s="49">
        <v>44755.528204849536</v>
      </c>
      <c r="B5825" s="50">
        <v>44755.6531809722</v>
      </c>
      <c r="C5825" s="51">
        <v>1.004</v>
      </c>
      <c r="D5825" s="51">
        <v>70.0</v>
      </c>
      <c r="E5825" s="52" t="s">
        <v>25</v>
      </c>
      <c r="F5825" s="52" t="s">
        <v>26</v>
      </c>
      <c r="G5825" s="53"/>
    </row>
    <row r="5826">
      <c r="A5826" s="49">
        <v>44755.538625625</v>
      </c>
      <c r="B5826" s="50">
        <v>44755.663601574</v>
      </c>
      <c r="C5826" s="51">
        <v>1.004</v>
      </c>
      <c r="D5826" s="51">
        <v>70.0</v>
      </c>
      <c r="E5826" s="52" t="s">
        <v>25</v>
      </c>
      <c r="F5826" s="52" t="s">
        <v>26</v>
      </c>
      <c r="G5826" s="53"/>
    </row>
    <row r="5827">
      <c r="A5827" s="49">
        <v>44755.54905642361</v>
      </c>
      <c r="B5827" s="50">
        <v>44755.6740222453</v>
      </c>
      <c r="C5827" s="51">
        <v>1.004</v>
      </c>
      <c r="D5827" s="51">
        <v>70.0</v>
      </c>
      <c r="E5827" s="52" t="s">
        <v>25</v>
      </c>
      <c r="F5827" s="52" t="s">
        <v>26</v>
      </c>
      <c r="G5827" s="53"/>
    </row>
    <row r="5828">
      <c r="A5828" s="49">
        <v>44755.55946077546</v>
      </c>
      <c r="B5828" s="50">
        <v>44755.6844431597</v>
      </c>
      <c r="C5828" s="51">
        <v>1.004</v>
      </c>
      <c r="D5828" s="51">
        <v>70.0</v>
      </c>
      <c r="E5828" s="52" t="s">
        <v>25</v>
      </c>
      <c r="F5828" s="52" t="s">
        <v>26</v>
      </c>
      <c r="G5828" s="53"/>
    </row>
    <row r="5829">
      <c r="A5829" s="49">
        <v>44755.56988775463</v>
      </c>
      <c r="B5829" s="50">
        <v>44755.6948644213</v>
      </c>
      <c r="C5829" s="51">
        <v>1.004</v>
      </c>
      <c r="D5829" s="51">
        <v>70.0</v>
      </c>
      <c r="E5829" s="52" t="s">
        <v>25</v>
      </c>
      <c r="F5829" s="52" t="s">
        <v>26</v>
      </c>
      <c r="G5829" s="53"/>
    </row>
    <row r="5830">
      <c r="A5830" s="49">
        <v>44755.580305069445</v>
      </c>
      <c r="B5830" s="50">
        <v>44755.7052839236</v>
      </c>
      <c r="C5830" s="51">
        <v>1.004</v>
      </c>
      <c r="D5830" s="51">
        <v>70.0</v>
      </c>
      <c r="E5830" s="52" t="s">
        <v>25</v>
      </c>
      <c r="F5830" s="52" t="s">
        <v>26</v>
      </c>
      <c r="G5830" s="53"/>
    </row>
    <row r="5831">
      <c r="A5831" s="49">
        <v>44755.59074510417</v>
      </c>
      <c r="B5831" s="50">
        <v>44755.7157180555</v>
      </c>
      <c r="C5831" s="51">
        <v>1.004</v>
      </c>
      <c r="D5831" s="51">
        <v>70.0</v>
      </c>
      <c r="E5831" s="52" t="s">
        <v>25</v>
      </c>
      <c r="F5831" s="52" t="s">
        <v>26</v>
      </c>
      <c r="G5831" s="53"/>
    </row>
    <row r="5832">
      <c r="A5832" s="49">
        <v>44755.601159513884</v>
      </c>
      <c r="B5832" s="50">
        <v>44755.7261397685</v>
      </c>
      <c r="C5832" s="51">
        <v>1.004</v>
      </c>
      <c r="D5832" s="51">
        <v>70.0</v>
      </c>
      <c r="E5832" s="52" t="s">
        <v>25</v>
      </c>
      <c r="F5832" s="52" t="s">
        <v>26</v>
      </c>
      <c r="G5832" s="53"/>
    </row>
    <row r="5833">
      <c r="A5833" s="49">
        <v>44755.611599236116</v>
      </c>
      <c r="B5833" s="50">
        <v>44755.7365714699</v>
      </c>
      <c r="C5833" s="51">
        <v>1.004</v>
      </c>
      <c r="D5833" s="51">
        <v>70.0</v>
      </c>
      <c r="E5833" s="52" t="s">
        <v>25</v>
      </c>
      <c r="F5833" s="52" t="s">
        <v>26</v>
      </c>
      <c r="G5833" s="53"/>
    </row>
    <row r="5834">
      <c r="A5834" s="49">
        <v>44755.62202451389</v>
      </c>
      <c r="B5834" s="50">
        <v>44755.7469924768</v>
      </c>
      <c r="C5834" s="51">
        <v>1.004</v>
      </c>
      <c r="D5834" s="51">
        <v>70.0</v>
      </c>
      <c r="E5834" s="52" t="s">
        <v>25</v>
      </c>
      <c r="F5834" s="52" t="s">
        <v>26</v>
      </c>
      <c r="G5834" s="53"/>
    </row>
    <row r="5835">
      <c r="A5835" s="49">
        <v>44755.63242799768</v>
      </c>
      <c r="B5835" s="50">
        <v>44755.7574127662</v>
      </c>
      <c r="C5835" s="51">
        <v>1.004</v>
      </c>
      <c r="D5835" s="51">
        <v>70.0</v>
      </c>
      <c r="E5835" s="52" t="s">
        <v>25</v>
      </c>
      <c r="F5835" s="52" t="s">
        <v>26</v>
      </c>
      <c r="G5835" s="53"/>
    </row>
    <row r="5836">
      <c r="A5836" s="49">
        <v>44755.642858136576</v>
      </c>
      <c r="B5836" s="50">
        <v>44755.7678331713</v>
      </c>
      <c r="C5836" s="51">
        <v>1.004</v>
      </c>
      <c r="D5836" s="51">
        <v>70.0</v>
      </c>
      <c r="E5836" s="52" t="s">
        <v>25</v>
      </c>
      <c r="F5836" s="52" t="s">
        <v>26</v>
      </c>
      <c r="G5836" s="53"/>
    </row>
    <row r="5837">
      <c r="A5837" s="49">
        <v>44755.653285486114</v>
      </c>
      <c r="B5837" s="50">
        <v>44755.7782655092</v>
      </c>
      <c r="C5837" s="51">
        <v>1.004</v>
      </c>
      <c r="D5837" s="51">
        <v>70.0</v>
      </c>
      <c r="E5837" s="52" t="s">
        <v>25</v>
      </c>
      <c r="F5837" s="52" t="s">
        <v>26</v>
      </c>
      <c r="G5837" s="53"/>
    </row>
    <row r="5838">
      <c r="A5838" s="49">
        <v>44755.663710671295</v>
      </c>
      <c r="B5838" s="50">
        <v>44755.7886868981</v>
      </c>
      <c r="C5838" s="51">
        <v>1.004</v>
      </c>
      <c r="D5838" s="51">
        <v>70.0</v>
      </c>
      <c r="E5838" s="52" t="s">
        <v>25</v>
      </c>
      <c r="F5838" s="52" t="s">
        <v>26</v>
      </c>
      <c r="G5838" s="53"/>
    </row>
    <row r="5839">
      <c r="A5839" s="49">
        <v>44755.67416202546</v>
      </c>
      <c r="B5839" s="50">
        <v>44755.7991332291</v>
      </c>
      <c r="C5839" s="51">
        <v>1.004</v>
      </c>
      <c r="D5839" s="51">
        <v>70.0</v>
      </c>
      <c r="E5839" s="52" t="s">
        <v>25</v>
      </c>
      <c r="F5839" s="52" t="s">
        <v>26</v>
      </c>
      <c r="G5839" s="53"/>
    </row>
    <row r="5840">
      <c r="A5840" s="49">
        <v>44755.68457186343</v>
      </c>
      <c r="B5840" s="50">
        <v>44755.8095545601</v>
      </c>
      <c r="C5840" s="51">
        <v>1.004</v>
      </c>
      <c r="D5840" s="51">
        <v>70.0</v>
      </c>
      <c r="E5840" s="52" t="s">
        <v>25</v>
      </c>
      <c r="F5840" s="52" t="s">
        <v>26</v>
      </c>
      <c r="G5840" s="53"/>
    </row>
    <row r="5841">
      <c r="A5841" s="49">
        <v>44755.6949966088</v>
      </c>
      <c r="B5841" s="50">
        <v>44755.8199750463</v>
      </c>
      <c r="C5841" s="51">
        <v>1.004</v>
      </c>
      <c r="D5841" s="51">
        <v>70.0</v>
      </c>
      <c r="E5841" s="52" t="s">
        <v>25</v>
      </c>
      <c r="F5841" s="52" t="s">
        <v>26</v>
      </c>
      <c r="G5841" s="53"/>
    </row>
    <row r="5842">
      <c r="A5842" s="49">
        <v>44755.70542251157</v>
      </c>
      <c r="B5842" s="50">
        <v>44755.8303970023</v>
      </c>
      <c r="C5842" s="51">
        <v>1.004</v>
      </c>
      <c r="D5842" s="51">
        <v>70.0</v>
      </c>
      <c r="E5842" s="52" t="s">
        <v>25</v>
      </c>
      <c r="F5842" s="52" t="s">
        <v>26</v>
      </c>
      <c r="G5842" s="53"/>
    </row>
    <row r="5843">
      <c r="A5843" s="49">
        <v>44755.71584164352</v>
      </c>
      <c r="B5843" s="50">
        <v>44755.8408180092</v>
      </c>
      <c r="C5843" s="51">
        <v>1.004</v>
      </c>
      <c r="D5843" s="51">
        <v>70.0</v>
      </c>
      <c r="E5843" s="52" t="s">
        <v>25</v>
      </c>
      <c r="F5843" s="52" t="s">
        <v>26</v>
      </c>
      <c r="G5843" s="53"/>
    </row>
    <row r="5844">
      <c r="A5844" s="49">
        <v>44755.72626146991</v>
      </c>
      <c r="B5844" s="50">
        <v>44755.8512400231</v>
      </c>
      <c r="C5844" s="51">
        <v>1.004</v>
      </c>
      <c r="D5844" s="51">
        <v>70.0</v>
      </c>
      <c r="E5844" s="52" t="s">
        <v>25</v>
      </c>
      <c r="F5844" s="52" t="s">
        <v>26</v>
      </c>
      <c r="G5844" s="53"/>
    </row>
    <row r="5845">
      <c r="A5845" s="49">
        <v>44755.73668836805</v>
      </c>
      <c r="B5845" s="50">
        <v>44755.8616625115</v>
      </c>
      <c r="C5845" s="51">
        <v>1.004</v>
      </c>
      <c r="D5845" s="51">
        <v>70.0</v>
      </c>
      <c r="E5845" s="52" t="s">
        <v>25</v>
      </c>
      <c r="F5845" s="52" t="s">
        <v>26</v>
      </c>
      <c r="G5845" s="53"/>
    </row>
    <row r="5846">
      <c r="A5846" s="49">
        <v>44755.74711428241</v>
      </c>
      <c r="B5846" s="50">
        <v>44755.8720960416</v>
      </c>
      <c r="C5846" s="51">
        <v>1.004</v>
      </c>
      <c r="D5846" s="51">
        <v>70.0</v>
      </c>
      <c r="E5846" s="52" t="s">
        <v>25</v>
      </c>
      <c r="F5846" s="52" t="s">
        <v>26</v>
      </c>
      <c r="G5846" s="53"/>
    </row>
    <row r="5847">
      <c r="A5847" s="49">
        <v>44755.757551331015</v>
      </c>
      <c r="B5847" s="50">
        <v>44755.8825293865</v>
      </c>
      <c r="C5847" s="51">
        <v>1.004</v>
      </c>
      <c r="D5847" s="51">
        <v>70.0</v>
      </c>
      <c r="E5847" s="52" t="s">
        <v>25</v>
      </c>
      <c r="F5847" s="52" t="s">
        <v>26</v>
      </c>
      <c r="G5847" s="53"/>
    </row>
    <row r="5848">
      <c r="A5848" s="49">
        <v>44755.767966643514</v>
      </c>
      <c r="B5848" s="50">
        <v>44755.8929507986</v>
      </c>
      <c r="C5848" s="51">
        <v>1.004</v>
      </c>
      <c r="D5848" s="51">
        <v>69.0</v>
      </c>
      <c r="E5848" s="52" t="s">
        <v>25</v>
      </c>
      <c r="F5848" s="52" t="s">
        <v>26</v>
      </c>
      <c r="G5848" s="53"/>
    </row>
    <row r="5849">
      <c r="A5849" s="49">
        <v>44755.77839038194</v>
      </c>
      <c r="B5849" s="50">
        <v>44755.9033713425</v>
      </c>
      <c r="C5849" s="51">
        <v>1.004</v>
      </c>
      <c r="D5849" s="51">
        <v>68.0</v>
      </c>
      <c r="E5849" s="52" t="s">
        <v>25</v>
      </c>
      <c r="F5849" s="52" t="s">
        <v>26</v>
      </c>
      <c r="G5849" s="53"/>
    </row>
    <row r="5850">
      <c r="A5850" s="49">
        <v>44755.78883341435</v>
      </c>
      <c r="B5850" s="50">
        <v>44755.9137925694</v>
      </c>
      <c r="C5850" s="51">
        <v>1.004</v>
      </c>
      <c r="D5850" s="51">
        <v>67.0</v>
      </c>
      <c r="E5850" s="52" t="s">
        <v>25</v>
      </c>
      <c r="F5850" s="52" t="s">
        <v>26</v>
      </c>
      <c r="G5850" s="53"/>
    </row>
    <row r="5851">
      <c r="A5851" s="49">
        <v>44755.799253379635</v>
      </c>
      <c r="B5851" s="50">
        <v>44755.9242254282</v>
      </c>
      <c r="C5851" s="51">
        <v>1.004</v>
      </c>
      <c r="D5851" s="51">
        <v>66.0</v>
      </c>
      <c r="E5851" s="52" t="s">
        <v>25</v>
      </c>
      <c r="F5851" s="52" t="s">
        <v>26</v>
      </c>
      <c r="G5851" s="53"/>
    </row>
    <row r="5852">
      <c r="A5852" s="49">
        <v>44755.809665416666</v>
      </c>
      <c r="B5852" s="50">
        <v>44755.9346454398</v>
      </c>
      <c r="C5852" s="51">
        <v>1.004</v>
      </c>
      <c r="D5852" s="51">
        <v>66.0</v>
      </c>
      <c r="E5852" s="52" t="s">
        <v>25</v>
      </c>
      <c r="F5852" s="52" t="s">
        <v>26</v>
      </c>
      <c r="G5852" s="53"/>
    </row>
    <row r="5853">
      <c r="A5853" s="49">
        <v>44755.820088368055</v>
      </c>
      <c r="B5853" s="50">
        <v>44755.9450658217</v>
      </c>
      <c r="C5853" s="51">
        <v>1.004</v>
      </c>
      <c r="D5853" s="51">
        <v>66.0</v>
      </c>
      <c r="E5853" s="52" t="s">
        <v>25</v>
      </c>
      <c r="F5853" s="52" t="s">
        <v>26</v>
      </c>
      <c r="G5853" s="53"/>
    </row>
    <row r="5854">
      <c r="A5854" s="49">
        <v>44755.83051422454</v>
      </c>
      <c r="B5854" s="50">
        <v>44755.9554865625</v>
      </c>
      <c r="C5854" s="51">
        <v>1.004</v>
      </c>
      <c r="D5854" s="51">
        <v>66.0</v>
      </c>
      <c r="E5854" s="52" t="s">
        <v>25</v>
      </c>
      <c r="F5854" s="52" t="s">
        <v>26</v>
      </c>
      <c r="G5854" s="53"/>
    </row>
    <row r="5855">
      <c r="A5855" s="49">
        <v>44755.84093420139</v>
      </c>
      <c r="B5855" s="50">
        <v>44755.965908125</v>
      </c>
      <c r="C5855" s="51">
        <v>1.004</v>
      </c>
      <c r="D5855" s="51">
        <v>66.0</v>
      </c>
      <c r="E5855" s="52" t="s">
        <v>25</v>
      </c>
      <c r="F5855" s="52" t="s">
        <v>26</v>
      </c>
      <c r="G5855" s="53"/>
    </row>
    <row r="5856">
      <c r="A5856" s="49">
        <v>44755.85135508102</v>
      </c>
      <c r="B5856" s="50">
        <v>44755.9763298726</v>
      </c>
      <c r="C5856" s="51">
        <v>1.004</v>
      </c>
      <c r="D5856" s="51">
        <v>65.0</v>
      </c>
      <c r="E5856" s="52" t="s">
        <v>25</v>
      </c>
      <c r="F5856" s="52" t="s">
        <v>26</v>
      </c>
      <c r="G5856" s="53"/>
    </row>
    <row r="5857">
      <c r="A5857" s="49">
        <v>44755.86177318287</v>
      </c>
      <c r="B5857" s="50">
        <v>44755.9867505092</v>
      </c>
      <c r="C5857" s="51">
        <v>1.004</v>
      </c>
      <c r="D5857" s="51">
        <v>65.0</v>
      </c>
      <c r="E5857" s="52" t="s">
        <v>25</v>
      </c>
      <c r="F5857" s="52" t="s">
        <v>26</v>
      </c>
      <c r="G5857" s="53"/>
    </row>
    <row r="5858">
      <c r="A5858" s="49">
        <v>44755.8722021875</v>
      </c>
      <c r="B5858" s="50">
        <v>44755.9971717824</v>
      </c>
      <c r="C5858" s="51">
        <v>1.004</v>
      </c>
      <c r="D5858" s="51">
        <v>65.0</v>
      </c>
      <c r="E5858" s="52" t="s">
        <v>25</v>
      </c>
      <c r="F5858" s="52" t="s">
        <v>26</v>
      </c>
      <c r="G5858" s="53"/>
    </row>
    <row r="5859">
      <c r="A5859" s="49">
        <v>44755.882619780095</v>
      </c>
      <c r="B5859" s="50">
        <v>44756.0075939467</v>
      </c>
      <c r="C5859" s="51">
        <v>1.004</v>
      </c>
      <c r="D5859" s="51">
        <v>65.0</v>
      </c>
      <c r="E5859" s="52" t="s">
        <v>25</v>
      </c>
      <c r="F5859" s="52" t="s">
        <v>26</v>
      </c>
      <c r="G5859" s="53"/>
    </row>
    <row r="5860">
      <c r="A5860" s="49">
        <v>44755.8930662037</v>
      </c>
      <c r="B5860" s="50">
        <v>44756.0180398726</v>
      </c>
      <c r="C5860" s="51">
        <v>1.004</v>
      </c>
      <c r="D5860" s="51">
        <v>66.0</v>
      </c>
      <c r="E5860" s="52" t="s">
        <v>25</v>
      </c>
      <c r="F5860" s="52" t="s">
        <v>26</v>
      </c>
      <c r="G5860" s="53"/>
    </row>
    <row r="5861">
      <c r="A5861" s="49">
        <v>44755.903485057876</v>
      </c>
      <c r="B5861" s="50">
        <v>44756.0284590509</v>
      </c>
      <c r="C5861" s="51">
        <v>1.004</v>
      </c>
      <c r="D5861" s="51">
        <v>66.0</v>
      </c>
      <c r="E5861" s="52" t="s">
        <v>25</v>
      </c>
      <c r="F5861" s="52" t="s">
        <v>26</v>
      </c>
      <c r="G5861" s="53"/>
    </row>
    <row r="5862">
      <c r="A5862" s="49">
        <v>44755.91390042824</v>
      </c>
      <c r="B5862" s="50">
        <v>44756.0388806365</v>
      </c>
      <c r="C5862" s="51">
        <v>1.005</v>
      </c>
      <c r="D5862" s="51">
        <v>66.0</v>
      </c>
      <c r="E5862" s="52" t="s">
        <v>25</v>
      </c>
      <c r="F5862" s="52" t="s">
        <v>26</v>
      </c>
      <c r="G5862" s="53"/>
    </row>
    <row r="5863">
      <c r="A5863" s="49">
        <v>44755.92435179398</v>
      </c>
      <c r="B5863" s="50">
        <v>44756.0493128472</v>
      </c>
      <c r="C5863" s="51">
        <v>1.004</v>
      </c>
      <c r="D5863" s="51">
        <v>66.0</v>
      </c>
      <c r="E5863" s="52" t="s">
        <v>25</v>
      </c>
      <c r="F5863" s="52" t="s">
        <v>26</v>
      </c>
      <c r="G5863" s="53"/>
    </row>
    <row r="5864">
      <c r="A5864" s="49">
        <v>44755.93477623843</v>
      </c>
      <c r="B5864" s="50">
        <v>44756.0597450463</v>
      </c>
      <c r="C5864" s="51">
        <v>1.004</v>
      </c>
      <c r="D5864" s="51">
        <v>66.0</v>
      </c>
      <c r="E5864" s="52" t="s">
        <v>25</v>
      </c>
      <c r="F5864" s="52" t="s">
        <v>26</v>
      </c>
      <c r="G5864" s="53"/>
    </row>
    <row r="5865">
      <c r="A5865" s="49">
        <v>44755.94520410879</v>
      </c>
      <c r="B5865" s="50">
        <v>44756.0701772916</v>
      </c>
      <c r="C5865" s="51">
        <v>1.004</v>
      </c>
      <c r="D5865" s="51">
        <v>66.0</v>
      </c>
      <c r="E5865" s="52" t="s">
        <v>25</v>
      </c>
      <c r="F5865" s="52" t="s">
        <v>26</v>
      </c>
      <c r="G5865" s="53"/>
    </row>
    <row r="5866">
      <c r="A5866" s="49">
        <v>44755.95563946759</v>
      </c>
      <c r="B5866" s="50">
        <v>44756.0806092361</v>
      </c>
      <c r="C5866" s="51">
        <v>1.004</v>
      </c>
      <c r="D5866" s="51">
        <v>66.0</v>
      </c>
      <c r="E5866" s="52" t="s">
        <v>25</v>
      </c>
      <c r="F5866" s="52" t="s">
        <v>26</v>
      </c>
      <c r="G5866" s="53"/>
    </row>
    <row r="5867">
      <c r="A5867" s="49">
        <v>44755.96605930556</v>
      </c>
      <c r="B5867" s="50">
        <v>44756.09102978</v>
      </c>
      <c r="C5867" s="51">
        <v>1.004</v>
      </c>
      <c r="D5867" s="51">
        <v>66.0</v>
      </c>
      <c r="E5867" s="52" t="s">
        <v>25</v>
      </c>
      <c r="F5867" s="52" t="s">
        <v>26</v>
      </c>
      <c r="G5867" s="53"/>
    </row>
    <row r="5868">
      <c r="A5868" s="49">
        <v>44755.976480763886</v>
      </c>
      <c r="B5868" s="50">
        <v>44756.1014498148</v>
      </c>
      <c r="C5868" s="51">
        <v>1.005</v>
      </c>
      <c r="D5868" s="51">
        <v>66.0</v>
      </c>
      <c r="E5868" s="52" t="s">
        <v>25</v>
      </c>
      <c r="F5868" s="52" t="s">
        <v>26</v>
      </c>
      <c r="G5868" s="53"/>
    </row>
    <row r="5869">
      <c r="A5869" s="49">
        <v>44755.98689484954</v>
      </c>
      <c r="B5869" s="50">
        <v>44756.1118700925</v>
      </c>
      <c r="C5869" s="51">
        <v>1.004</v>
      </c>
      <c r="D5869" s="51">
        <v>66.0</v>
      </c>
      <c r="E5869" s="52" t="s">
        <v>25</v>
      </c>
      <c r="F5869" s="52" t="s">
        <v>26</v>
      </c>
      <c r="G5869" s="53"/>
    </row>
    <row r="5870">
      <c r="A5870" s="49">
        <v>44755.99731535879</v>
      </c>
      <c r="B5870" s="50">
        <v>44756.1222917592</v>
      </c>
      <c r="C5870" s="51">
        <v>1.004</v>
      </c>
      <c r="D5870" s="51">
        <v>66.0</v>
      </c>
      <c r="E5870" s="52" t="s">
        <v>25</v>
      </c>
      <c r="F5870" s="52" t="s">
        <v>26</v>
      </c>
      <c r="G5870" s="53"/>
    </row>
    <row r="5871">
      <c r="A5871" s="49">
        <v>44756.00773670139</v>
      </c>
      <c r="B5871" s="50">
        <v>44756.1327117824</v>
      </c>
      <c r="C5871" s="51">
        <v>1.004</v>
      </c>
      <c r="D5871" s="51">
        <v>66.0</v>
      </c>
      <c r="E5871" s="52" t="s">
        <v>25</v>
      </c>
      <c r="F5871" s="52" t="s">
        <v>26</v>
      </c>
      <c r="G5871" s="53"/>
    </row>
    <row r="5872">
      <c r="A5872" s="49">
        <v>44756.01816423611</v>
      </c>
      <c r="B5872" s="50">
        <v>44756.143132824</v>
      </c>
      <c r="C5872" s="51">
        <v>1.004</v>
      </c>
      <c r="D5872" s="51">
        <v>66.0</v>
      </c>
      <c r="E5872" s="52" t="s">
        <v>25</v>
      </c>
      <c r="F5872" s="52" t="s">
        <v>26</v>
      </c>
      <c r="G5872" s="53"/>
    </row>
    <row r="5873">
      <c r="A5873" s="49">
        <v>44756.02857947917</v>
      </c>
      <c r="B5873" s="50">
        <v>44756.1535545717</v>
      </c>
      <c r="C5873" s="51">
        <v>1.004</v>
      </c>
      <c r="D5873" s="51">
        <v>66.0</v>
      </c>
      <c r="E5873" s="52" t="s">
        <v>25</v>
      </c>
      <c r="F5873" s="52" t="s">
        <v>26</v>
      </c>
      <c r="G5873" s="53"/>
    </row>
    <row r="5874">
      <c r="A5874" s="49">
        <v>44756.03902116898</v>
      </c>
      <c r="B5874" s="50">
        <v>44756.1639872453</v>
      </c>
      <c r="C5874" s="51">
        <v>1.004</v>
      </c>
      <c r="D5874" s="51">
        <v>66.0</v>
      </c>
      <c r="E5874" s="52" t="s">
        <v>25</v>
      </c>
      <c r="F5874" s="52" t="s">
        <v>26</v>
      </c>
      <c r="G5874" s="53"/>
    </row>
    <row r="5875">
      <c r="A5875" s="49">
        <v>44756.04943701389</v>
      </c>
      <c r="B5875" s="50">
        <v>44756.174408912</v>
      </c>
      <c r="C5875" s="51">
        <v>1.004</v>
      </c>
      <c r="D5875" s="51">
        <v>66.0</v>
      </c>
      <c r="E5875" s="52" t="s">
        <v>25</v>
      </c>
      <c r="F5875" s="52" t="s">
        <v>26</v>
      </c>
      <c r="G5875" s="53"/>
    </row>
    <row r="5876">
      <c r="A5876" s="49">
        <v>44756.059859953704</v>
      </c>
      <c r="B5876" s="50">
        <v>44756.1848284838</v>
      </c>
      <c r="C5876" s="51">
        <v>1.004</v>
      </c>
      <c r="D5876" s="51">
        <v>66.0</v>
      </c>
      <c r="E5876" s="52" t="s">
        <v>25</v>
      </c>
      <c r="F5876" s="52" t="s">
        <v>26</v>
      </c>
      <c r="G5876" s="53"/>
    </row>
    <row r="5877">
      <c r="A5877" s="49">
        <v>44756.07027753472</v>
      </c>
      <c r="B5877" s="50">
        <v>44756.1952488541</v>
      </c>
      <c r="C5877" s="51">
        <v>1.004</v>
      </c>
      <c r="D5877" s="51">
        <v>66.0</v>
      </c>
      <c r="E5877" s="52" t="s">
        <v>25</v>
      </c>
      <c r="F5877" s="52" t="s">
        <v>26</v>
      </c>
      <c r="G5877" s="53"/>
    </row>
    <row r="5878">
      <c r="A5878" s="49">
        <v>44756.08070290509</v>
      </c>
      <c r="B5878" s="50">
        <v>44756.2056698032</v>
      </c>
      <c r="C5878" s="51">
        <v>1.004</v>
      </c>
      <c r="D5878" s="51">
        <v>66.0</v>
      </c>
      <c r="E5878" s="52" t="s">
        <v>25</v>
      </c>
      <c r="F5878" s="52" t="s">
        <v>26</v>
      </c>
      <c r="G5878" s="53"/>
    </row>
    <row r="5879">
      <c r="A5879" s="49">
        <v>44756.091108877314</v>
      </c>
      <c r="B5879" s="50">
        <v>44756.2160890162</v>
      </c>
      <c r="C5879" s="51">
        <v>1.004</v>
      </c>
      <c r="D5879" s="51">
        <v>66.0</v>
      </c>
      <c r="E5879" s="52" t="s">
        <v>25</v>
      </c>
      <c r="F5879" s="52" t="s">
        <v>26</v>
      </c>
      <c r="G5879" s="53"/>
    </row>
    <row r="5880">
      <c r="A5880" s="49">
        <v>44756.101543020835</v>
      </c>
      <c r="B5880" s="50">
        <v>44756.2265217592</v>
      </c>
      <c r="C5880" s="51">
        <v>1.004</v>
      </c>
      <c r="D5880" s="51">
        <v>66.0</v>
      </c>
      <c r="E5880" s="52" t="s">
        <v>25</v>
      </c>
      <c r="F5880" s="52" t="s">
        <v>26</v>
      </c>
      <c r="G5880" s="53"/>
    </row>
    <row r="5881">
      <c r="A5881" s="49">
        <v>44756.11197077546</v>
      </c>
      <c r="B5881" s="50">
        <v>44756.2369434953</v>
      </c>
      <c r="C5881" s="51">
        <v>1.004</v>
      </c>
      <c r="D5881" s="51">
        <v>66.0</v>
      </c>
      <c r="E5881" s="52" t="s">
        <v>25</v>
      </c>
      <c r="F5881" s="52" t="s">
        <v>26</v>
      </c>
      <c r="G5881" s="53"/>
    </row>
    <row r="5882">
      <c r="A5882" s="49">
        <v>44756.122393125</v>
      </c>
      <c r="B5882" s="50">
        <v>44756.2473633796</v>
      </c>
      <c r="C5882" s="51">
        <v>1.004</v>
      </c>
      <c r="D5882" s="51">
        <v>66.0</v>
      </c>
      <c r="E5882" s="52" t="s">
        <v>25</v>
      </c>
      <c r="F5882" s="52" t="s">
        <v>26</v>
      </c>
      <c r="G5882" s="53"/>
    </row>
    <row r="5883">
      <c r="A5883" s="49">
        <v>44756.13281116898</v>
      </c>
      <c r="B5883" s="50">
        <v>44756.2577859027</v>
      </c>
      <c r="C5883" s="51">
        <v>1.004</v>
      </c>
      <c r="D5883" s="51">
        <v>66.0</v>
      </c>
      <c r="E5883" s="52" t="s">
        <v>25</v>
      </c>
      <c r="F5883" s="52" t="s">
        <v>26</v>
      </c>
      <c r="G5883" s="53"/>
    </row>
    <row r="5884">
      <c r="A5884" s="49">
        <v>44756.143233842595</v>
      </c>
      <c r="B5884" s="50">
        <v>44756.2682083912</v>
      </c>
      <c r="C5884" s="51">
        <v>1.004</v>
      </c>
      <c r="D5884" s="51">
        <v>66.0</v>
      </c>
      <c r="E5884" s="52" t="s">
        <v>25</v>
      </c>
      <c r="F5884" s="52" t="s">
        <v>26</v>
      </c>
      <c r="G5884" s="53"/>
    </row>
    <row r="5885">
      <c r="A5885" s="49">
        <v>44756.153677407405</v>
      </c>
      <c r="B5885" s="50">
        <v>44756.2786532986</v>
      </c>
      <c r="C5885" s="51">
        <v>1.004</v>
      </c>
      <c r="D5885" s="51">
        <v>66.0</v>
      </c>
      <c r="E5885" s="52" t="s">
        <v>25</v>
      </c>
      <c r="F5885" s="52" t="s">
        <v>26</v>
      </c>
      <c r="G5885" s="53"/>
    </row>
    <row r="5886">
      <c r="A5886" s="49">
        <v>44756.16410202546</v>
      </c>
      <c r="B5886" s="50">
        <v>44756.2890738657</v>
      </c>
      <c r="C5886" s="51">
        <v>1.005</v>
      </c>
      <c r="D5886" s="51">
        <v>66.0</v>
      </c>
      <c r="E5886" s="52" t="s">
        <v>25</v>
      </c>
      <c r="F5886" s="52" t="s">
        <v>26</v>
      </c>
      <c r="G5886" s="53"/>
    </row>
    <row r="5887">
      <c r="A5887" s="49">
        <v>44756.17452018519</v>
      </c>
      <c r="B5887" s="50">
        <v>44756.2994956713</v>
      </c>
      <c r="C5887" s="51">
        <v>1.004</v>
      </c>
      <c r="D5887" s="51">
        <v>66.0</v>
      </c>
      <c r="E5887" s="52" t="s">
        <v>25</v>
      </c>
      <c r="F5887" s="52" t="s">
        <v>26</v>
      </c>
      <c r="G5887" s="53"/>
    </row>
    <row r="5888">
      <c r="A5888" s="49">
        <v>44756.18494391204</v>
      </c>
      <c r="B5888" s="50">
        <v>44756.3099172338</v>
      </c>
      <c r="C5888" s="51">
        <v>1.004</v>
      </c>
      <c r="D5888" s="51">
        <v>66.0</v>
      </c>
      <c r="E5888" s="52" t="s">
        <v>25</v>
      </c>
      <c r="F5888" s="52" t="s">
        <v>26</v>
      </c>
      <c r="G5888" s="53"/>
    </row>
    <row r="5889">
      <c r="A5889" s="49">
        <v>44756.19536913194</v>
      </c>
      <c r="B5889" s="50">
        <v>44756.3203402662</v>
      </c>
      <c r="C5889" s="51">
        <v>1.004</v>
      </c>
      <c r="D5889" s="51">
        <v>66.0</v>
      </c>
      <c r="E5889" s="52" t="s">
        <v>25</v>
      </c>
      <c r="F5889" s="52" t="s">
        <v>26</v>
      </c>
      <c r="G5889" s="53"/>
    </row>
    <row r="5890">
      <c r="A5890" s="49">
        <v>44756.20578747685</v>
      </c>
      <c r="B5890" s="50">
        <v>44756.3307613541</v>
      </c>
      <c r="C5890" s="51">
        <v>1.004</v>
      </c>
      <c r="D5890" s="51">
        <v>66.0</v>
      </c>
      <c r="E5890" s="52" t="s">
        <v>25</v>
      </c>
      <c r="F5890" s="52" t="s">
        <v>26</v>
      </c>
      <c r="G5890" s="53"/>
    </row>
    <row r="5891">
      <c r="A5891" s="49">
        <v>44756.21622855324</v>
      </c>
      <c r="B5891" s="50">
        <v>44756.3412049074</v>
      </c>
      <c r="C5891" s="51">
        <v>1.004</v>
      </c>
      <c r="D5891" s="51">
        <v>66.0</v>
      </c>
      <c r="E5891" s="52" t="s">
        <v>25</v>
      </c>
      <c r="F5891" s="52" t="s">
        <v>26</v>
      </c>
      <c r="G5891" s="53"/>
    </row>
    <row r="5892">
      <c r="A5892" s="49">
        <v>44756.22666165509</v>
      </c>
      <c r="B5892" s="50">
        <v>44756.3516385648</v>
      </c>
      <c r="C5892" s="51">
        <v>1.004</v>
      </c>
      <c r="D5892" s="51">
        <v>66.0</v>
      </c>
      <c r="E5892" s="52" t="s">
        <v>25</v>
      </c>
      <c r="F5892" s="52" t="s">
        <v>26</v>
      </c>
      <c r="G5892" s="53"/>
    </row>
    <row r="5893">
      <c r="A5893" s="49">
        <v>44756.2370854051</v>
      </c>
      <c r="B5893" s="50">
        <v>44756.362059456</v>
      </c>
      <c r="C5893" s="51">
        <v>1.004</v>
      </c>
      <c r="D5893" s="51">
        <v>67.0</v>
      </c>
      <c r="E5893" s="52" t="s">
        <v>25</v>
      </c>
      <c r="F5893" s="52" t="s">
        <v>26</v>
      </c>
      <c r="G5893" s="53"/>
    </row>
    <row r="5894">
      <c r="A5894" s="49">
        <v>44756.247502812505</v>
      </c>
      <c r="B5894" s="50">
        <v>44756.3724816435</v>
      </c>
      <c r="C5894" s="51">
        <v>1.004</v>
      </c>
      <c r="D5894" s="51">
        <v>67.0</v>
      </c>
      <c r="E5894" s="52" t="s">
        <v>25</v>
      </c>
      <c r="F5894" s="52" t="s">
        <v>26</v>
      </c>
      <c r="G5894" s="53"/>
    </row>
    <row r="5895">
      <c r="A5895" s="49">
        <v>44756.25792506944</v>
      </c>
      <c r="B5895" s="50">
        <v>44756.3829004745</v>
      </c>
      <c r="C5895" s="51">
        <v>1.004</v>
      </c>
      <c r="D5895" s="51">
        <v>67.0</v>
      </c>
      <c r="E5895" s="52" t="s">
        <v>25</v>
      </c>
      <c r="F5895" s="52" t="s">
        <v>26</v>
      </c>
      <c r="G5895" s="53"/>
    </row>
    <row r="5896">
      <c r="A5896" s="49">
        <v>44756.268369108795</v>
      </c>
      <c r="B5896" s="50">
        <v>44756.3933339583</v>
      </c>
      <c r="C5896" s="51">
        <v>1.004</v>
      </c>
      <c r="D5896" s="51">
        <v>67.0</v>
      </c>
      <c r="E5896" s="52" t="s">
        <v>25</v>
      </c>
      <c r="F5896" s="52" t="s">
        <v>26</v>
      </c>
      <c r="G5896" s="53"/>
    </row>
    <row r="5897">
      <c r="A5897" s="49">
        <v>44756.27878091435</v>
      </c>
      <c r="B5897" s="50">
        <v>44756.4037555902</v>
      </c>
      <c r="C5897" s="51">
        <v>1.004</v>
      </c>
      <c r="D5897" s="51">
        <v>67.0</v>
      </c>
      <c r="E5897" s="52" t="s">
        <v>25</v>
      </c>
      <c r="F5897" s="52" t="s">
        <v>26</v>
      </c>
      <c r="G5897" s="53"/>
    </row>
    <row r="5898">
      <c r="A5898" s="49">
        <v>44756.28921204861</v>
      </c>
      <c r="B5898" s="50">
        <v>44756.4141903587</v>
      </c>
      <c r="C5898" s="51">
        <v>1.004</v>
      </c>
      <c r="D5898" s="51">
        <v>67.0</v>
      </c>
      <c r="E5898" s="52" t="s">
        <v>25</v>
      </c>
      <c r="F5898" s="52" t="s">
        <v>26</v>
      </c>
      <c r="G5898" s="53"/>
    </row>
    <row r="5899">
      <c r="A5899" s="49">
        <v>44756.299641770835</v>
      </c>
      <c r="B5899" s="50">
        <v>44756.4246108217</v>
      </c>
      <c r="C5899" s="51">
        <v>1.004</v>
      </c>
      <c r="D5899" s="51">
        <v>67.0</v>
      </c>
      <c r="E5899" s="52" t="s">
        <v>25</v>
      </c>
      <c r="F5899" s="52" t="s">
        <v>26</v>
      </c>
      <c r="G5899" s="53"/>
    </row>
    <row r="5900">
      <c r="A5900" s="49">
        <v>44756.31006376157</v>
      </c>
      <c r="B5900" s="50">
        <v>44756.4350435648</v>
      </c>
      <c r="C5900" s="51">
        <v>1.004</v>
      </c>
      <c r="D5900" s="51">
        <v>67.0</v>
      </c>
      <c r="E5900" s="52" t="s">
        <v>25</v>
      </c>
      <c r="F5900" s="52" t="s">
        <v>26</v>
      </c>
      <c r="G5900" s="53"/>
    </row>
    <row r="5901">
      <c r="A5901" s="49">
        <v>44756.320496782406</v>
      </c>
      <c r="B5901" s="50">
        <v>44756.4454648032</v>
      </c>
      <c r="C5901" s="51">
        <v>1.004</v>
      </c>
      <c r="D5901" s="51">
        <v>67.0</v>
      </c>
      <c r="E5901" s="52" t="s">
        <v>25</v>
      </c>
      <c r="F5901" s="52" t="s">
        <v>26</v>
      </c>
      <c r="G5901" s="53"/>
    </row>
    <row r="5902">
      <c r="A5902" s="49">
        <v>44756.33090752315</v>
      </c>
      <c r="B5902" s="50">
        <v>44756.4558851504</v>
      </c>
      <c r="C5902" s="51">
        <v>1.004</v>
      </c>
      <c r="D5902" s="51">
        <v>67.0</v>
      </c>
      <c r="E5902" s="52" t="s">
        <v>25</v>
      </c>
      <c r="F5902" s="52" t="s">
        <v>26</v>
      </c>
      <c r="G5902" s="53"/>
    </row>
    <row r="5903">
      <c r="A5903" s="49">
        <v>44756.34133628472</v>
      </c>
      <c r="B5903" s="50">
        <v>44756.4663059606</v>
      </c>
      <c r="C5903" s="51">
        <v>1.004</v>
      </c>
      <c r="D5903" s="51">
        <v>67.0</v>
      </c>
      <c r="E5903" s="52" t="s">
        <v>25</v>
      </c>
      <c r="F5903" s="52" t="s">
        <v>26</v>
      </c>
      <c r="G5903" s="53"/>
    </row>
    <row r="5904">
      <c r="A5904" s="49">
        <v>44756.3517530324</v>
      </c>
      <c r="B5904" s="50">
        <v>44756.476725625</v>
      </c>
      <c r="C5904" s="51">
        <v>1.004</v>
      </c>
      <c r="D5904" s="51">
        <v>67.0</v>
      </c>
      <c r="E5904" s="52" t="s">
        <v>25</v>
      </c>
      <c r="F5904" s="52" t="s">
        <v>26</v>
      </c>
      <c r="G5904" s="53"/>
    </row>
    <row r="5905">
      <c r="A5905" s="49">
        <v>44756.36216770833</v>
      </c>
      <c r="B5905" s="50">
        <v>44756.4871458333</v>
      </c>
      <c r="C5905" s="51">
        <v>1.004</v>
      </c>
      <c r="D5905" s="51">
        <v>67.0</v>
      </c>
      <c r="E5905" s="52" t="s">
        <v>25</v>
      </c>
      <c r="F5905" s="52" t="s">
        <v>26</v>
      </c>
      <c r="G5905" s="53"/>
    </row>
    <row r="5906">
      <c r="A5906" s="49">
        <v>44756.37259337963</v>
      </c>
      <c r="B5906" s="50">
        <v>44756.497567037</v>
      </c>
      <c r="C5906" s="51">
        <v>1.004</v>
      </c>
      <c r="D5906" s="51">
        <v>67.0</v>
      </c>
      <c r="E5906" s="52" t="s">
        <v>25</v>
      </c>
      <c r="F5906" s="52" t="s">
        <v>26</v>
      </c>
      <c r="G5906" s="53"/>
    </row>
    <row r="5907">
      <c r="A5907" s="49">
        <v>44756.38301466435</v>
      </c>
      <c r="B5907" s="50">
        <v>44756.5079883449</v>
      </c>
      <c r="C5907" s="51">
        <v>1.004</v>
      </c>
      <c r="D5907" s="51">
        <v>67.0</v>
      </c>
      <c r="E5907" s="52" t="s">
        <v>25</v>
      </c>
      <c r="F5907" s="52" t="s">
        <v>26</v>
      </c>
      <c r="G5907" s="53"/>
    </row>
    <row r="5908">
      <c r="A5908" s="49">
        <v>44756.39343523148</v>
      </c>
      <c r="B5908" s="50">
        <v>44756.5184101157</v>
      </c>
      <c r="C5908" s="51">
        <v>1.004</v>
      </c>
      <c r="D5908" s="51">
        <v>67.0</v>
      </c>
      <c r="E5908" s="52" t="s">
        <v>25</v>
      </c>
      <c r="F5908" s="52" t="s">
        <v>26</v>
      </c>
      <c r="G5908" s="53"/>
    </row>
    <row r="5909">
      <c r="A5909" s="49">
        <v>44756.40385456018</v>
      </c>
      <c r="B5909" s="50">
        <v>44756.5288310185</v>
      </c>
      <c r="C5909" s="51">
        <v>1.004</v>
      </c>
      <c r="D5909" s="51">
        <v>67.0</v>
      </c>
      <c r="E5909" s="52" t="s">
        <v>25</v>
      </c>
      <c r="F5909" s="52" t="s">
        <v>26</v>
      </c>
      <c r="G5909" s="53"/>
    </row>
    <row r="5910">
      <c r="A5910" s="49">
        <v>44756.41427270834</v>
      </c>
      <c r="B5910" s="50">
        <v>44756.5392537152</v>
      </c>
      <c r="C5910" s="51">
        <v>1.004</v>
      </c>
      <c r="D5910" s="51">
        <v>67.0</v>
      </c>
      <c r="E5910" s="52" t="s">
        <v>25</v>
      </c>
      <c r="F5910" s="52" t="s">
        <v>26</v>
      </c>
      <c r="G5910" s="53"/>
    </row>
    <row r="5911">
      <c r="A5911" s="49">
        <v>44756.42471961805</v>
      </c>
      <c r="B5911" s="50">
        <v>44756.5496870486</v>
      </c>
      <c r="C5911" s="51">
        <v>1.004</v>
      </c>
      <c r="D5911" s="51">
        <v>67.0</v>
      </c>
      <c r="E5911" s="52" t="s">
        <v>25</v>
      </c>
      <c r="F5911" s="52" t="s">
        <v>26</v>
      </c>
      <c r="G5911" s="53"/>
    </row>
    <row r="5912">
      <c r="A5912" s="49">
        <v>44756.435129791666</v>
      </c>
      <c r="B5912" s="50">
        <v>44756.5601086805</v>
      </c>
      <c r="C5912" s="51">
        <v>1.004</v>
      </c>
      <c r="D5912" s="51">
        <v>67.0</v>
      </c>
      <c r="E5912" s="52" t="s">
        <v>25</v>
      </c>
      <c r="F5912" s="52" t="s">
        <v>26</v>
      </c>
      <c r="G5912" s="53"/>
    </row>
    <row r="5913">
      <c r="A5913" s="49">
        <v>44756.44555936343</v>
      </c>
      <c r="B5913" s="50">
        <v>44756.5705299305</v>
      </c>
      <c r="C5913" s="51">
        <v>1.004</v>
      </c>
      <c r="D5913" s="51">
        <v>67.0</v>
      </c>
      <c r="E5913" s="52" t="s">
        <v>25</v>
      </c>
      <c r="F5913" s="52" t="s">
        <v>26</v>
      </c>
      <c r="G5913" s="53"/>
    </row>
    <row r="5914">
      <c r="A5914" s="49">
        <v>44756.45598201389</v>
      </c>
      <c r="B5914" s="50">
        <v>44756.5809537152</v>
      </c>
      <c r="C5914" s="51">
        <v>1.004</v>
      </c>
      <c r="D5914" s="51">
        <v>67.0</v>
      </c>
      <c r="E5914" s="52" t="s">
        <v>25</v>
      </c>
      <c r="F5914" s="52" t="s">
        <v>26</v>
      </c>
      <c r="G5914" s="53"/>
    </row>
    <row r="5915">
      <c r="A5915" s="49">
        <v>44756.46639777778</v>
      </c>
      <c r="B5915" s="50">
        <v>44756.5913744328</v>
      </c>
      <c r="C5915" s="51">
        <v>1.004</v>
      </c>
      <c r="D5915" s="51">
        <v>67.0</v>
      </c>
      <c r="E5915" s="52" t="s">
        <v>25</v>
      </c>
      <c r="F5915" s="52" t="s">
        <v>26</v>
      </c>
      <c r="G5915" s="53"/>
    </row>
    <row r="5916">
      <c r="A5916" s="49">
        <v>44756.47682568287</v>
      </c>
      <c r="B5916" s="50">
        <v>44756.6017962731</v>
      </c>
      <c r="C5916" s="51">
        <v>1.004</v>
      </c>
      <c r="D5916" s="51">
        <v>67.0</v>
      </c>
      <c r="E5916" s="52" t="s">
        <v>25</v>
      </c>
      <c r="F5916" s="52" t="s">
        <v>26</v>
      </c>
      <c r="G5916" s="53"/>
    </row>
    <row r="5917">
      <c r="A5917" s="49">
        <v>44756.48723416666</v>
      </c>
      <c r="B5917" s="50">
        <v>44756.6122168518</v>
      </c>
      <c r="C5917" s="51">
        <v>1.004</v>
      </c>
      <c r="D5917" s="51">
        <v>67.0</v>
      </c>
      <c r="E5917" s="52" t="s">
        <v>25</v>
      </c>
      <c r="F5917" s="52" t="s">
        <v>26</v>
      </c>
      <c r="G5917" s="53"/>
    </row>
    <row r="5918">
      <c r="A5918" s="49">
        <v>44756.49766114583</v>
      </c>
      <c r="B5918" s="50">
        <v>44756.6226378935</v>
      </c>
      <c r="C5918" s="51">
        <v>1.004</v>
      </c>
      <c r="D5918" s="51">
        <v>67.0</v>
      </c>
      <c r="E5918" s="52" t="s">
        <v>25</v>
      </c>
      <c r="F5918" s="52" t="s">
        <v>26</v>
      </c>
      <c r="G5918" s="53"/>
    </row>
    <row r="5919">
      <c r="A5919" s="49">
        <v>44756.508085277776</v>
      </c>
      <c r="B5919" s="50">
        <v>44756.6330575</v>
      </c>
      <c r="C5919" s="51">
        <v>1.004</v>
      </c>
      <c r="D5919" s="51">
        <v>67.0</v>
      </c>
      <c r="E5919" s="52" t="s">
        <v>25</v>
      </c>
      <c r="F5919" s="52" t="s">
        <v>26</v>
      </c>
      <c r="G5919" s="53"/>
    </row>
    <row r="5920">
      <c r="A5920" s="49">
        <v>44756.51851637731</v>
      </c>
      <c r="B5920" s="50">
        <v>44756.6434897801</v>
      </c>
      <c r="C5920" s="51">
        <v>1.004</v>
      </c>
      <c r="D5920" s="51">
        <v>67.0</v>
      </c>
      <c r="E5920" s="52" t="s">
        <v>25</v>
      </c>
      <c r="F5920" s="52" t="s">
        <v>26</v>
      </c>
      <c r="G5920" s="53"/>
    </row>
    <row r="5921">
      <c r="A5921" s="49">
        <v>44756.52893489583</v>
      </c>
      <c r="B5921" s="50">
        <v>44756.6539112731</v>
      </c>
      <c r="C5921" s="51">
        <v>1.004</v>
      </c>
      <c r="D5921" s="51">
        <v>67.0</v>
      </c>
      <c r="E5921" s="52" t="s">
        <v>25</v>
      </c>
      <c r="F5921" s="52" t="s">
        <v>26</v>
      </c>
      <c r="G5921" s="53"/>
    </row>
    <row r="5922">
      <c r="A5922" s="49">
        <v>44756.53934849537</v>
      </c>
      <c r="B5922" s="50">
        <v>44756.6643324421</v>
      </c>
      <c r="C5922" s="51">
        <v>1.004</v>
      </c>
      <c r="D5922" s="51">
        <v>67.0</v>
      </c>
      <c r="E5922" s="52" t="s">
        <v>25</v>
      </c>
      <c r="F5922" s="52" t="s">
        <v>26</v>
      </c>
      <c r="G5922" s="53"/>
    </row>
    <row r="5923">
      <c r="A5923" s="49">
        <v>44756.54977636574</v>
      </c>
      <c r="B5923" s="50">
        <v>44756.6747532754</v>
      </c>
      <c r="C5923" s="51">
        <v>1.004</v>
      </c>
      <c r="D5923" s="51">
        <v>67.0</v>
      </c>
      <c r="E5923" s="52" t="s">
        <v>25</v>
      </c>
      <c r="F5923" s="52" t="s">
        <v>26</v>
      </c>
      <c r="G5923" s="53"/>
    </row>
    <row r="5924">
      <c r="A5924" s="49">
        <v>44756.56019282408</v>
      </c>
      <c r="B5924" s="50">
        <v>44756.6851742013</v>
      </c>
      <c r="C5924" s="51">
        <v>1.004</v>
      </c>
      <c r="D5924" s="51">
        <v>67.0</v>
      </c>
      <c r="E5924" s="52" t="s">
        <v>25</v>
      </c>
      <c r="F5924" s="52" t="s">
        <v>26</v>
      </c>
      <c r="G5924" s="53"/>
    </row>
    <row r="5925">
      <c r="A5925" s="49">
        <v>44756.570631979164</v>
      </c>
      <c r="B5925" s="50">
        <v>44756.6955958217</v>
      </c>
      <c r="C5925" s="51">
        <v>1.004</v>
      </c>
      <c r="D5925" s="51">
        <v>67.0</v>
      </c>
      <c r="E5925" s="52" t="s">
        <v>25</v>
      </c>
      <c r="F5925" s="52" t="s">
        <v>26</v>
      </c>
      <c r="G5925" s="53"/>
    </row>
    <row r="5926">
      <c r="A5926" s="49">
        <v>44756.581042488426</v>
      </c>
      <c r="B5926" s="50">
        <v>44756.7060167129</v>
      </c>
      <c r="C5926" s="51">
        <v>1.004</v>
      </c>
      <c r="D5926" s="51">
        <v>67.0</v>
      </c>
      <c r="E5926" s="52" t="s">
        <v>25</v>
      </c>
      <c r="F5926" s="52" t="s">
        <v>26</v>
      </c>
      <c r="G5926" s="53"/>
    </row>
    <row r="5927">
      <c r="A5927" s="49">
        <v>44756.591459143514</v>
      </c>
      <c r="B5927" s="50">
        <v>44756.7164390277</v>
      </c>
      <c r="C5927" s="51">
        <v>1.004</v>
      </c>
      <c r="D5927" s="51">
        <v>67.0</v>
      </c>
      <c r="E5927" s="52" t="s">
        <v>25</v>
      </c>
      <c r="F5927" s="52" t="s">
        <v>26</v>
      </c>
      <c r="G5927" s="53"/>
    </row>
    <row r="5928">
      <c r="A5928" s="49">
        <v>44756.601884131946</v>
      </c>
      <c r="B5928" s="50">
        <v>44756.7268595717</v>
      </c>
      <c r="C5928" s="51">
        <v>1.004</v>
      </c>
      <c r="D5928" s="51">
        <v>67.0</v>
      </c>
      <c r="E5928" s="52" t="s">
        <v>25</v>
      </c>
      <c r="F5928" s="52" t="s">
        <v>26</v>
      </c>
      <c r="G5928" s="53"/>
    </row>
    <row r="5929">
      <c r="A5929" s="49">
        <v>44756.612333275465</v>
      </c>
      <c r="B5929" s="50">
        <v>44756.7373033796</v>
      </c>
      <c r="C5929" s="51">
        <v>1.004</v>
      </c>
      <c r="D5929" s="51">
        <v>67.0</v>
      </c>
      <c r="E5929" s="52" t="s">
        <v>25</v>
      </c>
      <c r="F5929" s="52" t="s">
        <v>26</v>
      </c>
      <c r="G5929" s="53"/>
    </row>
    <row r="5930">
      <c r="A5930" s="49">
        <v>44756.62274402777</v>
      </c>
      <c r="B5930" s="50">
        <v>44756.74772375</v>
      </c>
      <c r="C5930" s="51">
        <v>1.004</v>
      </c>
      <c r="D5930" s="51">
        <v>67.0</v>
      </c>
      <c r="E5930" s="52" t="s">
        <v>25</v>
      </c>
      <c r="F5930" s="52" t="s">
        <v>26</v>
      </c>
      <c r="G5930" s="53"/>
    </row>
    <row r="5931">
      <c r="A5931" s="49">
        <v>44756.63316923611</v>
      </c>
      <c r="B5931" s="50">
        <v>44756.758144456</v>
      </c>
      <c r="C5931" s="51">
        <v>1.004</v>
      </c>
      <c r="D5931" s="51">
        <v>67.0</v>
      </c>
      <c r="E5931" s="52" t="s">
        <v>25</v>
      </c>
      <c r="F5931" s="52" t="s">
        <v>26</v>
      </c>
      <c r="G5931" s="53"/>
    </row>
    <row r="5932">
      <c r="A5932" s="49">
        <v>44756.64359502315</v>
      </c>
      <c r="B5932" s="50">
        <v>44756.7685761226</v>
      </c>
      <c r="C5932" s="51">
        <v>1.004</v>
      </c>
      <c r="D5932" s="51">
        <v>67.0</v>
      </c>
      <c r="E5932" s="52" t="s">
        <v>25</v>
      </c>
      <c r="F5932" s="52" t="s">
        <v>26</v>
      </c>
      <c r="G5932" s="53"/>
    </row>
    <row r="5933">
      <c r="A5933" s="49">
        <v>44756.654019375</v>
      </c>
      <c r="B5933" s="50">
        <v>44756.7789971875</v>
      </c>
      <c r="C5933" s="51">
        <v>1.004</v>
      </c>
      <c r="D5933" s="51">
        <v>67.0</v>
      </c>
      <c r="E5933" s="52" t="s">
        <v>25</v>
      </c>
      <c r="F5933" s="52" t="s">
        <v>26</v>
      </c>
      <c r="G5933" s="53"/>
    </row>
    <row r="5934">
      <c r="A5934" s="49">
        <v>44756.66444599537</v>
      </c>
      <c r="B5934" s="50">
        <v>44756.7894169675</v>
      </c>
      <c r="C5934" s="51">
        <v>1.004</v>
      </c>
      <c r="D5934" s="51">
        <v>68.0</v>
      </c>
      <c r="E5934" s="52" t="s">
        <v>25</v>
      </c>
      <c r="F5934" s="52" t="s">
        <v>26</v>
      </c>
      <c r="G5934" s="53"/>
    </row>
    <row r="5935">
      <c r="A5935" s="49">
        <v>44756.67486047454</v>
      </c>
      <c r="B5935" s="50">
        <v>44756.7998385763</v>
      </c>
      <c r="C5935" s="51">
        <v>1.004</v>
      </c>
      <c r="D5935" s="51">
        <v>67.0</v>
      </c>
      <c r="E5935" s="52" t="s">
        <v>25</v>
      </c>
      <c r="F5935" s="52" t="s">
        <v>26</v>
      </c>
      <c r="G5935" s="53"/>
    </row>
    <row r="5936">
      <c r="A5936" s="49">
        <v>44756.68528686343</v>
      </c>
      <c r="B5936" s="50">
        <v>44756.8102593055</v>
      </c>
      <c r="C5936" s="51">
        <v>1.004</v>
      </c>
      <c r="D5936" s="51">
        <v>68.0</v>
      </c>
      <c r="E5936" s="52" t="s">
        <v>25</v>
      </c>
      <c r="F5936" s="52" t="s">
        <v>26</v>
      </c>
      <c r="G5936" s="53"/>
    </row>
    <row r="5937">
      <c r="A5937" s="49">
        <v>44756.695720104166</v>
      </c>
      <c r="B5937" s="50">
        <v>44756.8206916435</v>
      </c>
      <c r="C5937" s="51">
        <v>1.004</v>
      </c>
      <c r="D5937" s="51">
        <v>68.0</v>
      </c>
      <c r="E5937" s="52" t="s">
        <v>25</v>
      </c>
      <c r="F5937" s="52" t="s">
        <v>26</v>
      </c>
      <c r="G5937" s="53"/>
    </row>
    <row r="5938">
      <c r="A5938" s="49">
        <v>44756.70613853009</v>
      </c>
      <c r="B5938" s="50">
        <v>44756.8311132407</v>
      </c>
      <c r="C5938" s="51">
        <v>1.004</v>
      </c>
      <c r="D5938" s="51">
        <v>68.0</v>
      </c>
      <c r="E5938" s="52" t="s">
        <v>25</v>
      </c>
      <c r="F5938" s="52" t="s">
        <v>26</v>
      </c>
      <c r="G5938" s="53"/>
    </row>
    <row r="5939">
      <c r="A5939" s="49">
        <v>44756.7165591088</v>
      </c>
      <c r="B5939" s="50">
        <v>44756.8415319791</v>
      </c>
      <c r="C5939" s="51">
        <v>1.004</v>
      </c>
      <c r="D5939" s="51">
        <v>68.0</v>
      </c>
      <c r="E5939" s="52" t="s">
        <v>25</v>
      </c>
      <c r="F5939" s="52" t="s">
        <v>26</v>
      </c>
      <c r="G5939" s="53"/>
    </row>
    <row r="5940">
      <c r="A5940" s="49">
        <v>44756.72697234954</v>
      </c>
      <c r="B5940" s="50">
        <v>44756.8519548263</v>
      </c>
      <c r="C5940" s="51">
        <v>1.004</v>
      </c>
      <c r="D5940" s="51">
        <v>68.0</v>
      </c>
      <c r="E5940" s="52" t="s">
        <v>25</v>
      </c>
      <c r="F5940" s="52" t="s">
        <v>26</v>
      </c>
      <c r="G5940" s="53"/>
    </row>
    <row r="5941">
      <c r="A5941" s="49">
        <v>44756.73740329861</v>
      </c>
      <c r="B5941" s="50">
        <v>44756.8623759027</v>
      </c>
      <c r="C5941" s="51">
        <v>1.004</v>
      </c>
      <c r="D5941" s="51">
        <v>68.0</v>
      </c>
      <c r="E5941" s="52" t="s">
        <v>25</v>
      </c>
      <c r="F5941" s="52" t="s">
        <v>26</v>
      </c>
      <c r="G5941" s="53"/>
    </row>
    <row r="5942">
      <c r="A5942" s="49">
        <v>44756.747824756945</v>
      </c>
      <c r="B5942" s="50">
        <v>44756.8727995139</v>
      </c>
      <c r="C5942" s="51">
        <v>1.004</v>
      </c>
      <c r="D5942" s="51">
        <v>68.0</v>
      </c>
      <c r="E5942" s="52" t="s">
        <v>25</v>
      </c>
      <c r="F5942" s="52" t="s">
        <v>26</v>
      </c>
      <c r="G5942" s="53"/>
    </row>
    <row r="5943">
      <c r="A5943" s="49">
        <v>44756.758245046294</v>
      </c>
      <c r="B5943" s="50">
        <v>44756.8832187037</v>
      </c>
      <c r="C5943" s="51">
        <v>1.004</v>
      </c>
      <c r="D5943" s="51">
        <v>68.0</v>
      </c>
      <c r="E5943" s="52" t="s">
        <v>25</v>
      </c>
      <c r="F5943" s="52" t="s">
        <v>26</v>
      </c>
      <c r="G5943" s="53"/>
    </row>
    <row r="5944">
      <c r="A5944" s="49">
        <v>44756.76866277777</v>
      </c>
      <c r="B5944" s="50">
        <v>44756.8936392476</v>
      </c>
      <c r="C5944" s="51">
        <v>1.004</v>
      </c>
      <c r="D5944" s="51">
        <v>68.0</v>
      </c>
      <c r="E5944" s="52" t="s">
        <v>25</v>
      </c>
      <c r="F5944" s="52" t="s">
        <v>26</v>
      </c>
      <c r="G5944" s="53"/>
    </row>
    <row r="5945">
      <c r="A5945" s="49">
        <v>44756.77908511574</v>
      </c>
      <c r="B5945" s="50">
        <v>44756.9040591203</v>
      </c>
      <c r="C5945" s="51">
        <v>1.004</v>
      </c>
      <c r="D5945" s="51">
        <v>68.0</v>
      </c>
      <c r="E5945" s="52" t="s">
        <v>25</v>
      </c>
      <c r="F5945" s="52" t="s">
        <v>26</v>
      </c>
      <c r="G5945" s="53"/>
    </row>
    <row r="5946">
      <c r="A5946" s="49">
        <v>44756.789500520834</v>
      </c>
      <c r="B5946" s="50">
        <v>44756.914480162</v>
      </c>
      <c r="C5946" s="51">
        <v>1.004</v>
      </c>
      <c r="D5946" s="51">
        <v>68.0</v>
      </c>
      <c r="E5946" s="52" t="s">
        <v>25</v>
      </c>
      <c r="F5946" s="52" t="s">
        <v>26</v>
      </c>
      <c r="G5946" s="53"/>
    </row>
    <row r="5947">
      <c r="A5947" s="49">
        <v>44756.799941122685</v>
      </c>
      <c r="B5947" s="50">
        <v>44756.92491375</v>
      </c>
      <c r="C5947" s="51">
        <v>1.004</v>
      </c>
      <c r="D5947" s="51">
        <v>68.0</v>
      </c>
      <c r="E5947" s="52" t="s">
        <v>25</v>
      </c>
      <c r="F5947" s="52" t="s">
        <v>26</v>
      </c>
      <c r="G5947" s="53"/>
    </row>
    <row r="5948">
      <c r="A5948" s="49">
        <v>44756.81036101852</v>
      </c>
      <c r="B5948" s="50">
        <v>44756.9353352083</v>
      </c>
      <c r="C5948" s="51">
        <v>1.004</v>
      </c>
      <c r="D5948" s="51">
        <v>68.0</v>
      </c>
      <c r="E5948" s="52" t="s">
        <v>25</v>
      </c>
      <c r="F5948" s="52" t="s">
        <v>26</v>
      </c>
      <c r="G5948" s="53"/>
    </row>
    <row r="5949">
      <c r="A5949" s="49">
        <v>44756.82078252315</v>
      </c>
      <c r="B5949" s="50">
        <v>44756.9457563773</v>
      </c>
      <c r="C5949" s="51">
        <v>1.004</v>
      </c>
      <c r="D5949" s="51">
        <v>68.0</v>
      </c>
      <c r="E5949" s="52" t="s">
        <v>25</v>
      </c>
      <c r="F5949" s="52" t="s">
        <v>26</v>
      </c>
      <c r="G5949" s="53"/>
    </row>
    <row r="5950">
      <c r="A5950" s="49">
        <v>44756.83121207176</v>
      </c>
      <c r="B5950" s="50">
        <v>44756.9561898495</v>
      </c>
      <c r="C5950" s="51">
        <v>1.004</v>
      </c>
      <c r="D5950" s="51">
        <v>68.0</v>
      </c>
      <c r="E5950" s="52" t="s">
        <v>25</v>
      </c>
      <c r="F5950" s="52" t="s">
        <v>26</v>
      </c>
      <c r="G5950" s="53"/>
    </row>
    <row r="5951">
      <c r="A5951" s="49">
        <v>44756.84163767361</v>
      </c>
      <c r="B5951" s="50">
        <v>44756.9666111342</v>
      </c>
      <c r="C5951" s="51">
        <v>1.004</v>
      </c>
      <c r="D5951" s="51">
        <v>68.0</v>
      </c>
      <c r="E5951" s="52" t="s">
        <v>25</v>
      </c>
      <c r="F5951" s="52" t="s">
        <v>26</v>
      </c>
      <c r="G5951" s="53"/>
    </row>
    <row r="5952">
      <c r="A5952" s="49">
        <v>44756.85205934028</v>
      </c>
      <c r="B5952" s="50">
        <v>44756.9770317014</v>
      </c>
      <c r="C5952" s="51">
        <v>1.004</v>
      </c>
      <c r="D5952" s="51">
        <v>68.0</v>
      </c>
      <c r="E5952" s="52" t="s">
        <v>25</v>
      </c>
      <c r="F5952" s="52" t="s">
        <v>26</v>
      </c>
      <c r="G5952" s="53"/>
    </row>
    <row r="5953">
      <c r="A5953" s="49">
        <v>44756.86247815972</v>
      </c>
      <c r="B5953" s="50">
        <v>44756.9874525925</v>
      </c>
      <c r="C5953" s="51">
        <v>1.004</v>
      </c>
      <c r="D5953" s="51">
        <v>68.0</v>
      </c>
      <c r="E5953" s="52" t="s">
        <v>25</v>
      </c>
      <c r="F5953" s="52" t="s">
        <v>26</v>
      </c>
      <c r="G5953" s="53"/>
    </row>
    <row r="5954">
      <c r="A5954" s="49">
        <v>44756.87290927084</v>
      </c>
      <c r="B5954" s="50">
        <v>44756.997885324</v>
      </c>
      <c r="C5954" s="51">
        <v>1.004</v>
      </c>
      <c r="D5954" s="51">
        <v>68.0</v>
      </c>
      <c r="E5954" s="52" t="s">
        <v>25</v>
      </c>
      <c r="F5954" s="52" t="s">
        <v>26</v>
      </c>
      <c r="G5954" s="53"/>
    </row>
    <row r="5955">
      <c r="A5955" s="49">
        <v>44756.883327627314</v>
      </c>
      <c r="B5955" s="50">
        <v>44757.0083053125</v>
      </c>
      <c r="C5955" s="51">
        <v>1.004</v>
      </c>
      <c r="D5955" s="51">
        <v>68.0</v>
      </c>
      <c r="E5955" s="52" t="s">
        <v>25</v>
      </c>
      <c r="F5955" s="52" t="s">
        <v>26</v>
      </c>
      <c r="G5955" s="53"/>
    </row>
    <row r="5956">
      <c r="A5956" s="49">
        <v>44756.89375387732</v>
      </c>
      <c r="B5956" s="50">
        <v>44757.0187264814</v>
      </c>
      <c r="C5956" s="51">
        <v>1.004</v>
      </c>
      <c r="D5956" s="51">
        <v>68.0</v>
      </c>
      <c r="E5956" s="52" t="s">
        <v>25</v>
      </c>
      <c r="F5956" s="52" t="s">
        <v>26</v>
      </c>
      <c r="G5956" s="53"/>
    </row>
    <row r="5957">
      <c r="A5957" s="49">
        <v>44756.904178275465</v>
      </c>
      <c r="B5957" s="50">
        <v>44757.0291494676</v>
      </c>
      <c r="C5957" s="51">
        <v>1.004</v>
      </c>
      <c r="D5957" s="51">
        <v>68.0</v>
      </c>
      <c r="E5957" s="52" t="s">
        <v>25</v>
      </c>
      <c r="F5957" s="52" t="s">
        <v>26</v>
      </c>
      <c r="G5957" s="53"/>
    </row>
    <row r="5958">
      <c r="A5958" s="49">
        <v>44756.91460452546</v>
      </c>
      <c r="B5958" s="50">
        <v>44757.039573125</v>
      </c>
      <c r="C5958" s="51">
        <v>1.004</v>
      </c>
      <c r="D5958" s="51">
        <v>69.0</v>
      </c>
      <c r="E5958" s="52" t="s">
        <v>25</v>
      </c>
      <c r="F5958" s="52" t="s">
        <v>26</v>
      </c>
      <c r="G5958" s="53"/>
    </row>
    <row r="5959">
      <c r="A5959" s="49">
        <v>44756.9250343287</v>
      </c>
      <c r="B5959" s="50">
        <v>44757.0500060763</v>
      </c>
      <c r="C5959" s="51">
        <v>1.004</v>
      </c>
      <c r="D5959" s="51">
        <v>69.0</v>
      </c>
      <c r="E5959" s="52" t="s">
        <v>25</v>
      </c>
      <c r="F5959" s="52" t="s">
        <v>26</v>
      </c>
      <c r="G5959" s="53"/>
    </row>
    <row r="5960">
      <c r="A5960" s="49">
        <v>44756.935453750004</v>
      </c>
      <c r="B5960" s="50">
        <v>44757.0604256597</v>
      </c>
      <c r="C5960" s="51">
        <v>1.004</v>
      </c>
      <c r="D5960" s="51">
        <v>69.0</v>
      </c>
      <c r="E5960" s="52" t="s">
        <v>25</v>
      </c>
      <c r="F5960" s="52" t="s">
        <v>26</v>
      </c>
      <c r="G5960" s="53"/>
    </row>
    <row r="5961">
      <c r="A5961" s="49">
        <v>44756.94589832176</v>
      </c>
      <c r="B5961" s="50">
        <v>44757.0708702777</v>
      </c>
      <c r="C5961" s="51">
        <v>1.004</v>
      </c>
      <c r="D5961" s="51">
        <v>69.0</v>
      </c>
      <c r="E5961" s="52" t="s">
        <v>25</v>
      </c>
      <c r="F5961" s="52" t="s">
        <v>26</v>
      </c>
      <c r="G5961" s="53"/>
    </row>
    <row r="5962">
      <c r="A5962" s="49">
        <v>44756.95631538195</v>
      </c>
      <c r="B5962" s="50">
        <v>44757.0812926041</v>
      </c>
      <c r="C5962" s="51">
        <v>1.004</v>
      </c>
      <c r="D5962" s="51">
        <v>69.0</v>
      </c>
      <c r="E5962" s="52" t="s">
        <v>25</v>
      </c>
      <c r="F5962" s="52" t="s">
        <v>26</v>
      </c>
      <c r="G5962" s="53"/>
    </row>
    <row r="5963">
      <c r="A5963" s="49">
        <v>44756.966756967595</v>
      </c>
      <c r="B5963" s="50">
        <v>44757.091726493</v>
      </c>
      <c r="C5963" s="51">
        <v>1.004</v>
      </c>
      <c r="D5963" s="51">
        <v>69.0</v>
      </c>
      <c r="E5963" s="52" t="s">
        <v>25</v>
      </c>
      <c r="F5963" s="52" t="s">
        <v>26</v>
      </c>
      <c r="G5963" s="53"/>
    </row>
    <row r="5964">
      <c r="A5964" s="49">
        <v>44756.97717841435</v>
      </c>
      <c r="B5964" s="50">
        <v>44757.1021453356</v>
      </c>
      <c r="C5964" s="51">
        <v>1.004</v>
      </c>
      <c r="D5964" s="51">
        <v>69.0</v>
      </c>
      <c r="E5964" s="52" t="s">
        <v>25</v>
      </c>
      <c r="F5964" s="52" t="s">
        <v>26</v>
      </c>
      <c r="G5964" s="53"/>
    </row>
    <row r="5965">
      <c r="A5965" s="49">
        <v>44756.98759902778</v>
      </c>
      <c r="B5965" s="50">
        <v>44757.1125664351</v>
      </c>
      <c r="C5965" s="51">
        <v>1.004</v>
      </c>
      <c r="D5965" s="51">
        <v>69.0</v>
      </c>
      <c r="E5965" s="52" t="s">
        <v>25</v>
      </c>
      <c r="F5965" s="52" t="s">
        <v>26</v>
      </c>
      <c r="G5965" s="53"/>
    </row>
    <row r="5966">
      <c r="A5966" s="49">
        <v>44756.99801951389</v>
      </c>
      <c r="B5966" s="50">
        <v>44757.1229885069</v>
      </c>
      <c r="C5966" s="51">
        <v>1.004</v>
      </c>
      <c r="D5966" s="51">
        <v>69.0</v>
      </c>
      <c r="E5966" s="52" t="s">
        <v>25</v>
      </c>
      <c r="F5966" s="52" t="s">
        <v>26</v>
      </c>
      <c r="G5966" s="53"/>
    </row>
    <row r="5967">
      <c r="A5967" s="49">
        <v>44757.008441921294</v>
      </c>
      <c r="B5967" s="50">
        <v>44757.1334215509</v>
      </c>
      <c r="C5967" s="51">
        <v>1.004</v>
      </c>
      <c r="D5967" s="51">
        <v>69.0</v>
      </c>
      <c r="E5967" s="52" t="s">
        <v>25</v>
      </c>
      <c r="F5967" s="52" t="s">
        <v>26</v>
      </c>
      <c r="G5967" s="53"/>
    </row>
    <row r="5968">
      <c r="A5968" s="49">
        <v>44757.018909363425</v>
      </c>
      <c r="B5968" s="50">
        <v>44757.1438773958</v>
      </c>
      <c r="C5968" s="51">
        <v>1.004</v>
      </c>
      <c r="D5968" s="51">
        <v>69.0</v>
      </c>
      <c r="E5968" s="52" t="s">
        <v>25</v>
      </c>
      <c r="F5968" s="52" t="s">
        <v>26</v>
      </c>
      <c r="G5968" s="53"/>
    </row>
    <row r="5969">
      <c r="A5969" s="49">
        <v>44757.029325324074</v>
      </c>
      <c r="B5969" s="50">
        <v>44757.1542997106</v>
      </c>
      <c r="C5969" s="51">
        <v>1.004</v>
      </c>
      <c r="D5969" s="51">
        <v>69.0</v>
      </c>
      <c r="E5969" s="52" t="s">
        <v>25</v>
      </c>
      <c r="F5969" s="52" t="s">
        <v>26</v>
      </c>
      <c r="G5969" s="53"/>
    </row>
    <row r="5970">
      <c r="A5970" s="49">
        <v>44757.039735555554</v>
      </c>
      <c r="B5970" s="50">
        <v>44757.1647181944</v>
      </c>
      <c r="C5970" s="51">
        <v>1.004</v>
      </c>
      <c r="D5970" s="51">
        <v>69.0</v>
      </c>
      <c r="E5970" s="52" t="s">
        <v>25</v>
      </c>
      <c r="F5970" s="52" t="s">
        <v>26</v>
      </c>
      <c r="G5970" s="53"/>
    </row>
    <row r="5971">
      <c r="A5971" s="49">
        <v>44757.050159861115</v>
      </c>
      <c r="B5971" s="50">
        <v>44757.175140405</v>
      </c>
      <c r="C5971" s="51">
        <v>1.004</v>
      </c>
      <c r="D5971" s="51">
        <v>69.0</v>
      </c>
      <c r="E5971" s="52" t="s">
        <v>25</v>
      </c>
      <c r="F5971" s="52" t="s">
        <v>26</v>
      </c>
      <c r="G5971" s="53"/>
    </row>
    <row r="5972">
      <c r="A5972" s="49">
        <v>44757.060590891204</v>
      </c>
      <c r="B5972" s="50">
        <v>44757.1855617245</v>
      </c>
      <c r="C5972" s="51">
        <v>1.004</v>
      </c>
      <c r="D5972" s="51">
        <v>69.0</v>
      </c>
      <c r="E5972" s="52" t="s">
        <v>25</v>
      </c>
      <c r="F5972" s="52" t="s">
        <v>26</v>
      </c>
      <c r="G5972" s="53"/>
    </row>
    <row r="5973">
      <c r="A5973" s="49">
        <v>44757.07100969907</v>
      </c>
      <c r="B5973" s="50">
        <v>44757.1959826851</v>
      </c>
      <c r="C5973" s="51">
        <v>1.004</v>
      </c>
      <c r="D5973" s="51">
        <v>69.0</v>
      </c>
      <c r="E5973" s="52" t="s">
        <v>25</v>
      </c>
      <c r="F5973" s="52" t="s">
        <v>26</v>
      </c>
      <c r="G5973" s="53"/>
    </row>
    <row r="5974">
      <c r="A5974" s="49">
        <v>44757.08144214121</v>
      </c>
      <c r="B5974" s="50">
        <v>44757.2064143634</v>
      </c>
      <c r="C5974" s="51">
        <v>1.004</v>
      </c>
      <c r="D5974" s="51">
        <v>69.0</v>
      </c>
      <c r="E5974" s="52" t="s">
        <v>25</v>
      </c>
      <c r="F5974" s="52" t="s">
        <v>26</v>
      </c>
      <c r="G5974" s="53"/>
    </row>
    <row r="5975">
      <c r="A5975" s="49">
        <v>44757.091860671295</v>
      </c>
      <c r="B5975" s="50">
        <v>44757.216835162</v>
      </c>
      <c r="C5975" s="51">
        <v>1.004</v>
      </c>
      <c r="D5975" s="51">
        <v>69.0</v>
      </c>
      <c r="E5975" s="52" t="s">
        <v>25</v>
      </c>
      <c r="F5975" s="52" t="s">
        <v>26</v>
      </c>
      <c r="G5975" s="53"/>
    </row>
    <row r="5976">
      <c r="A5976" s="49">
        <v>44757.1022825463</v>
      </c>
      <c r="B5976" s="50">
        <v>44757.2272561574</v>
      </c>
      <c r="C5976" s="51">
        <v>1.004</v>
      </c>
      <c r="D5976" s="51">
        <v>69.0</v>
      </c>
      <c r="E5976" s="52" t="s">
        <v>25</v>
      </c>
      <c r="F5976" s="52" t="s">
        <v>26</v>
      </c>
      <c r="G5976" s="53"/>
    </row>
    <row r="5977">
      <c r="A5977" s="49">
        <v>44757.11270158565</v>
      </c>
      <c r="B5977" s="50">
        <v>44757.2376767592</v>
      </c>
      <c r="C5977" s="51">
        <v>1.004</v>
      </c>
      <c r="D5977" s="51">
        <v>69.0</v>
      </c>
      <c r="E5977" s="52" t="s">
        <v>25</v>
      </c>
      <c r="F5977" s="52" t="s">
        <v>26</v>
      </c>
      <c r="G5977" s="53"/>
    </row>
    <row r="5978">
      <c r="A5978" s="49">
        <v>44757.12312101852</v>
      </c>
      <c r="B5978" s="50">
        <v>44757.2480963657</v>
      </c>
      <c r="C5978" s="51">
        <v>1.004</v>
      </c>
      <c r="D5978" s="51">
        <v>69.0</v>
      </c>
      <c r="E5978" s="52" t="s">
        <v>25</v>
      </c>
      <c r="F5978" s="52" t="s">
        <v>26</v>
      </c>
      <c r="G5978" s="53"/>
    </row>
    <row r="5979">
      <c r="A5979" s="49">
        <v>44757.13354384259</v>
      </c>
      <c r="B5979" s="50">
        <v>44757.2585185879</v>
      </c>
      <c r="C5979" s="51">
        <v>1.004</v>
      </c>
      <c r="D5979" s="51">
        <v>69.0</v>
      </c>
      <c r="E5979" s="52" t="s">
        <v>25</v>
      </c>
      <c r="F5979" s="52" t="s">
        <v>26</v>
      </c>
      <c r="G5979" s="53"/>
    </row>
    <row r="5980">
      <c r="A5980" s="49">
        <v>44757.14396003472</v>
      </c>
      <c r="B5980" s="50">
        <v>44757.2689379861</v>
      </c>
      <c r="C5980" s="51">
        <v>1.004</v>
      </c>
      <c r="D5980" s="51">
        <v>69.0</v>
      </c>
      <c r="E5980" s="52" t="s">
        <v>25</v>
      </c>
      <c r="F5980" s="52" t="s">
        <v>26</v>
      </c>
      <c r="G5980" s="53"/>
    </row>
    <row r="5981">
      <c r="A5981" s="49">
        <v>44757.15438739583</v>
      </c>
      <c r="B5981" s="50">
        <v>44757.2793588888</v>
      </c>
      <c r="C5981" s="51">
        <v>1.004</v>
      </c>
      <c r="D5981" s="51">
        <v>69.0</v>
      </c>
      <c r="E5981" s="52" t="s">
        <v>25</v>
      </c>
      <c r="F5981" s="52" t="s">
        <v>26</v>
      </c>
      <c r="G5981" s="53"/>
    </row>
    <row r="5982">
      <c r="A5982" s="49">
        <v>44757.16481023148</v>
      </c>
      <c r="B5982" s="50">
        <v>44757.289780625</v>
      </c>
      <c r="C5982" s="51">
        <v>1.004</v>
      </c>
      <c r="D5982" s="51">
        <v>69.0</v>
      </c>
      <c r="E5982" s="52" t="s">
        <v>25</v>
      </c>
      <c r="F5982" s="52" t="s">
        <v>26</v>
      </c>
      <c r="G5982" s="53"/>
    </row>
    <row r="5983">
      <c r="A5983" s="49">
        <v>44757.17522715278</v>
      </c>
      <c r="B5983" s="50">
        <v>44757.3002022222</v>
      </c>
      <c r="C5983" s="51">
        <v>1.004</v>
      </c>
      <c r="D5983" s="51">
        <v>69.0</v>
      </c>
      <c r="E5983" s="52" t="s">
        <v>25</v>
      </c>
      <c r="F5983" s="52" t="s">
        <v>26</v>
      </c>
      <c r="G5983" s="53"/>
    </row>
    <row r="5984">
      <c r="A5984" s="49">
        <v>44757.18565842592</v>
      </c>
      <c r="B5984" s="50">
        <v>44757.310635</v>
      </c>
      <c r="C5984" s="51">
        <v>1.004</v>
      </c>
      <c r="D5984" s="51">
        <v>69.0</v>
      </c>
      <c r="E5984" s="52" t="s">
        <v>25</v>
      </c>
      <c r="F5984" s="52" t="s">
        <v>26</v>
      </c>
      <c r="G5984" s="53"/>
    </row>
    <row r="5985">
      <c r="A5985" s="49">
        <v>44757.19609131945</v>
      </c>
      <c r="B5985" s="50">
        <v>44757.3210672106</v>
      </c>
      <c r="C5985" s="51">
        <v>1.004</v>
      </c>
      <c r="D5985" s="51">
        <v>69.0</v>
      </c>
      <c r="E5985" s="52" t="s">
        <v>25</v>
      </c>
      <c r="F5985" s="52" t="s">
        <v>26</v>
      </c>
      <c r="G5985" s="53"/>
    </row>
    <row r="5986">
      <c r="A5986" s="49">
        <v>44757.2065102662</v>
      </c>
      <c r="B5986" s="50">
        <v>44757.3314877199</v>
      </c>
      <c r="C5986" s="51">
        <v>1.004</v>
      </c>
      <c r="D5986" s="51">
        <v>69.0</v>
      </c>
      <c r="E5986" s="52" t="s">
        <v>25</v>
      </c>
      <c r="F5986" s="52" t="s">
        <v>26</v>
      </c>
      <c r="G5986" s="53"/>
    </row>
    <row r="5987">
      <c r="A5987" s="49">
        <v>44757.21693652778</v>
      </c>
      <c r="B5987" s="50">
        <v>44757.3419090625</v>
      </c>
      <c r="C5987" s="51">
        <v>1.004</v>
      </c>
      <c r="D5987" s="51">
        <v>69.0</v>
      </c>
      <c r="E5987" s="52" t="s">
        <v>25</v>
      </c>
      <c r="F5987" s="52" t="s">
        <v>26</v>
      </c>
      <c r="G5987" s="53"/>
    </row>
    <row r="5988">
      <c r="A5988" s="49">
        <v>44757.22735664352</v>
      </c>
      <c r="B5988" s="50">
        <v>44757.3523318055</v>
      </c>
      <c r="C5988" s="51">
        <v>1.004</v>
      </c>
      <c r="D5988" s="51">
        <v>69.0</v>
      </c>
      <c r="E5988" s="52" t="s">
        <v>25</v>
      </c>
      <c r="F5988" s="52" t="s">
        <v>26</v>
      </c>
      <c r="G5988" s="53"/>
    </row>
    <row r="5989">
      <c r="A5989" s="49">
        <v>44757.23777412037</v>
      </c>
      <c r="B5989" s="50">
        <v>44757.3627534953</v>
      </c>
      <c r="C5989" s="51">
        <v>1.004</v>
      </c>
      <c r="D5989" s="51">
        <v>69.0</v>
      </c>
      <c r="E5989" s="52" t="s">
        <v>25</v>
      </c>
      <c r="F5989" s="52" t="s">
        <v>26</v>
      </c>
      <c r="G5989" s="53"/>
    </row>
    <row r="5990">
      <c r="A5990" s="49">
        <v>44757.2481940162</v>
      </c>
      <c r="B5990" s="50">
        <v>44757.3731735185</v>
      </c>
      <c r="C5990" s="51">
        <v>1.004</v>
      </c>
      <c r="D5990" s="51">
        <v>69.0</v>
      </c>
      <c r="E5990" s="52" t="s">
        <v>25</v>
      </c>
      <c r="F5990" s="52" t="s">
        <v>26</v>
      </c>
      <c r="G5990" s="53"/>
    </row>
    <row r="5991">
      <c r="A5991" s="49">
        <v>44757.25862833334</v>
      </c>
      <c r="B5991" s="50">
        <v>44757.3836057754</v>
      </c>
      <c r="C5991" s="51">
        <v>1.004</v>
      </c>
      <c r="D5991" s="51">
        <v>69.0</v>
      </c>
      <c r="E5991" s="52" t="s">
        <v>25</v>
      </c>
      <c r="F5991" s="52" t="s">
        <v>26</v>
      </c>
      <c r="G5991" s="53"/>
    </row>
    <row r="5992">
      <c r="A5992" s="49">
        <v>44757.269067685185</v>
      </c>
      <c r="B5992" s="50">
        <v>44757.3940399768</v>
      </c>
      <c r="C5992" s="51">
        <v>1.004</v>
      </c>
      <c r="D5992" s="51">
        <v>69.0</v>
      </c>
      <c r="E5992" s="52" t="s">
        <v>25</v>
      </c>
      <c r="F5992" s="52" t="s">
        <v>26</v>
      </c>
      <c r="G5992" s="53"/>
    </row>
    <row r="5993">
      <c r="A5993" s="49">
        <v>44757.27948737268</v>
      </c>
      <c r="B5993" s="50">
        <v>44757.4044630671</v>
      </c>
      <c r="C5993" s="51">
        <v>1.004</v>
      </c>
      <c r="D5993" s="51">
        <v>70.0</v>
      </c>
      <c r="E5993" s="52" t="s">
        <v>25</v>
      </c>
      <c r="F5993" s="52" t="s">
        <v>26</v>
      </c>
      <c r="G5993" s="53"/>
    </row>
    <row r="5994">
      <c r="A5994" s="49">
        <v>44757.28991126157</v>
      </c>
      <c r="B5994" s="50">
        <v>44757.4148853356</v>
      </c>
      <c r="C5994" s="51">
        <v>1.004</v>
      </c>
      <c r="D5994" s="51">
        <v>70.0</v>
      </c>
      <c r="E5994" s="52" t="s">
        <v>25</v>
      </c>
      <c r="F5994" s="52" t="s">
        <v>26</v>
      </c>
      <c r="G5994" s="53"/>
    </row>
    <row r="5995">
      <c r="A5995" s="49">
        <v>44757.30033196759</v>
      </c>
      <c r="B5995" s="50">
        <v>44757.4253058217</v>
      </c>
      <c r="C5995" s="51">
        <v>1.004</v>
      </c>
      <c r="D5995" s="51">
        <v>70.0</v>
      </c>
      <c r="E5995" s="52" t="s">
        <v>25</v>
      </c>
      <c r="F5995" s="52" t="s">
        <v>26</v>
      </c>
      <c r="G5995" s="53"/>
    </row>
    <row r="5996">
      <c r="A5996" s="49">
        <v>44757.31078665509</v>
      </c>
      <c r="B5996" s="50">
        <v>44757.4357624537</v>
      </c>
      <c r="C5996" s="51">
        <v>1.004</v>
      </c>
      <c r="D5996" s="51">
        <v>70.0</v>
      </c>
      <c r="E5996" s="52" t="s">
        <v>25</v>
      </c>
      <c r="F5996" s="52" t="s">
        <v>26</v>
      </c>
      <c r="G5996" s="53"/>
    </row>
    <row r="5997">
      <c r="A5997" s="49">
        <v>44757.321251747686</v>
      </c>
      <c r="B5997" s="50">
        <v>44757.4462288889</v>
      </c>
      <c r="C5997" s="51">
        <v>1.004</v>
      </c>
      <c r="D5997" s="51">
        <v>70.0</v>
      </c>
      <c r="E5997" s="52" t="s">
        <v>25</v>
      </c>
      <c r="F5997" s="52" t="s">
        <v>26</v>
      </c>
      <c r="G5997" s="53"/>
    </row>
    <row r="5998">
      <c r="A5998" s="49">
        <v>44757.33168396991</v>
      </c>
      <c r="B5998" s="50">
        <v>44757.4566593055</v>
      </c>
      <c r="C5998" s="51">
        <v>1.004</v>
      </c>
      <c r="D5998" s="51">
        <v>70.0</v>
      </c>
      <c r="E5998" s="52" t="s">
        <v>25</v>
      </c>
      <c r="F5998" s="52" t="s">
        <v>26</v>
      </c>
      <c r="G5998" s="53"/>
    </row>
    <row r="5999">
      <c r="A5999" s="49">
        <v>44757.34210555555</v>
      </c>
      <c r="B5999" s="50">
        <v>44757.4670796064</v>
      </c>
      <c r="C5999" s="51">
        <v>1.004</v>
      </c>
      <c r="D5999" s="51">
        <v>70.0</v>
      </c>
      <c r="E5999" s="52" t="s">
        <v>25</v>
      </c>
      <c r="F5999" s="52" t="s">
        <v>26</v>
      </c>
      <c r="G5999" s="53"/>
    </row>
    <row r="6000">
      <c r="A6000" s="49">
        <v>44757.35253387732</v>
      </c>
      <c r="B6000" s="50">
        <v>44757.4775009722</v>
      </c>
      <c r="C6000" s="51">
        <v>1.004</v>
      </c>
      <c r="D6000" s="51">
        <v>70.0</v>
      </c>
      <c r="E6000" s="52" t="s">
        <v>25</v>
      </c>
      <c r="F6000" s="52" t="s">
        <v>26</v>
      </c>
      <c r="G6000" s="53"/>
    </row>
    <row r="6001">
      <c r="A6001" s="49">
        <v>44757.36295087963</v>
      </c>
      <c r="B6001" s="50">
        <v>44757.4879231134</v>
      </c>
      <c r="C6001" s="51">
        <v>1.004</v>
      </c>
      <c r="D6001" s="51">
        <v>70.0</v>
      </c>
      <c r="E6001" s="52" t="s">
        <v>25</v>
      </c>
      <c r="F6001" s="52" t="s">
        <v>26</v>
      </c>
      <c r="G6001" s="53"/>
    </row>
    <row r="6002">
      <c r="A6002" s="49">
        <v>44757.37336219907</v>
      </c>
      <c r="B6002" s="50">
        <v>44757.4983437847</v>
      </c>
      <c r="C6002" s="51">
        <v>1.004</v>
      </c>
      <c r="D6002" s="51">
        <v>70.0</v>
      </c>
      <c r="E6002" s="52" t="s">
        <v>25</v>
      </c>
      <c r="F6002" s="52" t="s">
        <v>26</v>
      </c>
      <c r="G6002" s="53"/>
    </row>
    <row r="6003">
      <c r="A6003" s="49">
        <v>44757.38379633102</v>
      </c>
      <c r="B6003" s="50">
        <v>44757.5087758333</v>
      </c>
      <c r="C6003" s="51">
        <v>1.004</v>
      </c>
      <c r="D6003" s="51">
        <v>70.0</v>
      </c>
      <c r="E6003" s="52" t="s">
        <v>25</v>
      </c>
      <c r="F6003" s="52" t="s">
        <v>26</v>
      </c>
      <c r="G6003" s="53"/>
    </row>
    <row r="6004">
      <c r="A6004" s="49">
        <v>44757.394223125</v>
      </c>
      <c r="B6004" s="50">
        <v>44757.5191979513</v>
      </c>
      <c r="C6004" s="51">
        <v>1.004</v>
      </c>
      <c r="D6004" s="51">
        <v>70.0</v>
      </c>
      <c r="E6004" s="52" t="s">
        <v>25</v>
      </c>
      <c r="F6004" s="52" t="s">
        <v>26</v>
      </c>
      <c r="G6004" s="53"/>
    </row>
    <row r="6005">
      <c r="A6005" s="49">
        <v>44757.40464177083</v>
      </c>
      <c r="B6005" s="50">
        <v>44757.529619618</v>
      </c>
      <c r="C6005" s="51">
        <v>1.004</v>
      </c>
      <c r="D6005" s="51">
        <v>70.0</v>
      </c>
      <c r="E6005" s="52" t="s">
        <v>25</v>
      </c>
      <c r="F6005" s="52" t="s">
        <v>26</v>
      </c>
      <c r="G6005" s="53"/>
    </row>
    <row r="6006">
      <c r="A6006" s="49">
        <v>44757.41509854166</v>
      </c>
      <c r="B6006" s="50">
        <v>44757.5400515046</v>
      </c>
      <c r="C6006" s="51">
        <v>1.004</v>
      </c>
      <c r="D6006" s="51">
        <v>70.0</v>
      </c>
      <c r="E6006" s="52" t="s">
        <v>25</v>
      </c>
      <c r="F6006" s="52" t="s">
        <v>26</v>
      </c>
      <c r="G6006" s="53"/>
    </row>
    <row r="6007">
      <c r="A6007" s="49">
        <v>44757.42550017362</v>
      </c>
      <c r="B6007" s="50">
        <v>44757.5504733333</v>
      </c>
      <c r="C6007" s="51">
        <v>1.004</v>
      </c>
      <c r="D6007" s="51">
        <v>70.0</v>
      </c>
      <c r="E6007" s="52" t="s">
        <v>25</v>
      </c>
      <c r="F6007" s="52" t="s">
        <v>26</v>
      </c>
      <c r="G6007" s="53"/>
    </row>
    <row r="6008">
      <c r="A6008" s="49">
        <v>44757.43592694444</v>
      </c>
      <c r="B6008" s="50">
        <v>44757.5609059953</v>
      </c>
      <c r="C6008" s="51">
        <v>1.004</v>
      </c>
      <c r="D6008" s="51">
        <v>70.0</v>
      </c>
      <c r="E6008" s="52" t="s">
        <v>25</v>
      </c>
      <c r="F6008" s="52" t="s">
        <v>26</v>
      </c>
      <c r="G6008" s="53"/>
    </row>
    <row r="6009">
      <c r="A6009" s="49">
        <v>44757.446342407406</v>
      </c>
      <c r="B6009" s="50">
        <v>44757.5713269444</v>
      </c>
      <c r="C6009" s="51">
        <v>1.004</v>
      </c>
      <c r="D6009" s="51">
        <v>70.0</v>
      </c>
      <c r="E6009" s="52" t="s">
        <v>25</v>
      </c>
      <c r="F6009" s="52" t="s">
        <v>26</v>
      </c>
      <c r="G6009" s="53"/>
    </row>
    <row r="6010">
      <c r="A6010" s="49">
        <v>44757.45677561343</v>
      </c>
      <c r="B6010" s="50">
        <v>44757.581747662</v>
      </c>
      <c r="C6010" s="51">
        <v>1.004</v>
      </c>
      <c r="D6010" s="51">
        <v>70.0</v>
      </c>
      <c r="E6010" s="52" t="s">
        <v>25</v>
      </c>
      <c r="F6010" s="52" t="s">
        <v>26</v>
      </c>
      <c r="G6010" s="53"/>
    </row>
    <row r="6011">
      <c r="A6011" s="49">
        <v>44757.467215474535</v>
      </c>
      <c r="B6011" s="50">
        <v>44757.5921920138</v>
      </c>
      <c r="C6011" s="51">
        <v>1.004</v>
      </c>
      <c r="D6011" s="51">
        <v>70.0</v>
      </c>
      <c r="E6011" s="52" t="s">
        <v>25</v>
      </c>
      <c r="F6011" s="52" t="s">
        <v>26</v>
      </c>
      <c r="G6011" s="53"/>
    </row>
    <row r="6012">
      <c r="A6012" s="49">
        <v>44757.47764726852</v>
      </c>
      <c r="B6012" s="50">
        <v>44757.6026245486</v>
      </c>
      <c r="C6012" s="51">
        <v>1.004</v>
      </c>
      <c r="D6012" s="51">
        <v>70.0</v>
      </c>
      <c r="E6012" s="52" t="s">
        <v>25</v>
      </c>
      <c r="F6012" s="52" t="s">
        <v>26</v>
      </c>
      <c r="G6012" s="53"/>
    </row>
    <row r="6013">
      <c r="A6013" s="49">
        <v>44757.48806875</v>
      </c>
      <c r="B6013" s="50">
        <v>44757.6130468865</v>
      </c>
      <c r="C6013" s="51">
        <v>1.004</v>
      </c>
      <c r="D6013" s="51">
        <v>70.0</v>
      </c>
      <c r="E6013" s="52" t="s">
        <v>25</v>
      </c>
      <c r="F6013" s="52" t="s">
        <v>26</v>
      </c>
      <c r="G6013" s="53"/>
    </row>
    <row r="6014">
      <c r="A6014" s="49">
        <v>44757.49849471065</v>
      </c>
      <c r="B6014" s="50">
        <v>44757.6234684838</v>
      </c>
      <c r="C6014" s="51">
        <v>1.004</v>
      </c>
      <c r="D6014" s="51">
        <v>70.0</v>
      </c>
      <c r="E6014" s="52" t="s">
        <v>25</v>
      </c>
      <c r="F6014" s="52" t="s">
        <v>26</v>
      </c>
      <c r="G6014" s="53"/>
    </row>
    <row r="6015">
      <c r="A6015" s="49">
        <v>44757.508913495374</v>
      </c>
      <c r="B6015" s="50">
        <v>44757.6338883912</v>
      </c>
      <c r="C6015" s="51">
        <v>1.004</v>
      </c>
      <c r="D6015" s="51">
        <v>70.0</v>
      </c>
      <c r="E6015" s="52" t="s">
        <v>25</v>
      </c>
      <c r="F6015" s="52" t="s">
        <v>26</v>
      </c>
      <c r="G6015" s="53"/>
    </row>
    <row r="6016">
      <c r="A6016" s="49">
        <v>44757.51934471064</v>
      </c>
      <c r="B6016" s="50">
        <v>44757.644322824</v>
      </c>
      <c r="C6016" s="51">
        <v>1.004</v>
      </c>
      <c r="D6016" s="51">
        <v>70.0</v>
      </c>
      <c r="E6016" s="52" t="s">
        <v>25</v>
      </c>
      <c r="F6016" s="52" t="s">
        <v>26</v>
      </c>
      <c r="G6016" s="53"/>
    </row>
    <row r="6017">
      <c r="A6017" s="49">
        <v>44757.52977172454</v>
      </c>
      <c r="B6017" s="50">
        <v>44757.6547546064</v>
      </c>
      <c r="C6017" s="51">
        <v>1.004</v>
      </c>
      <c r="D6017" s="51">
        <v>70.0</v>
      </c>
      <c r="E6017" s="52" t="s">
        <v>25</v>
      </c>
      <c r="F6017" s="52" t="s">
        <v>26</v>
      </c>
      <c r="G6017" s="53"/>
    </row>
    <row r="6018">
      <c r="A6018" s="49">
        <v>44757.54020415509</v>
      </c>
      <c r="B6018" s="50">
        <v>44757.6651773263</v>
      </c>
      <c r="C6018" s="51">
        <v>1.004</v>
      </c>
      <c r="D6018" s="51">
        <v>70.0</v>
      </c>
      <c r="E6018" s="52" t="s">
        <v>25</v>
      </c>
      <c r="F6018" s="52" t="s">
        <v>26</v>
      </c>
      <c r="G6018" s="53"/>
    </row>
    <row r="6019">
      <c r="A6019" s="49">
        <v>44757.55062434028</v>
      </c>
      <c r="B6019" s="50">
        <v>44757.6755994791</v>
      </c>
      <c r="C6019" s="51">
        <v>1.004</v>
      </c>
      <c r="D6019" s="51">
        <v>70.0</v>
      </c>
      <c r="E6019" s="52" t="s">
        <v>25</v>
      </c>
      <c r="F6019" s="52" t="s">
        <v>26</v>
      </c>
      <c r="G6019" s="53"/>
    </row>
    <row r="6020">
      <c r="A6020" s="49">
        <v>44757.5610421412</v>
      </c>
      <c r="B6020" s="50">
        <v>44757.6860211458</v>
      </c>
      <c r="C6020" s="51">
        <v>1.004</v>
      </c>
      <c r="D6020" s="51">
        <v>70.0</v>
      </c>
      <c r="E6020" s="52" t="s">
        <v>25</v>
      </c>
      <c r="F6020" s="52" t="s">
        <v>26</v>
      </c>
      <c r="G6020" s="53"/>
    </row>
    <row r="6021">
      <c r="A6021" s="49">
        <v>44757.57147047453</v>
      </c>
      <c r="B6021" s="50">
        <v>44757.6964531134</v>
      </c>
      <c r="C6021" s="51">
        <v>1.004</v>
      </c>
      <c r="D6021" s="51">
        <v>70.0</v>
      </c>
      <c r="E6021" s="52" t="s">
        <v>25</v>
      </c>
      <c r="F6021" s="52" t="s">
        <v>26</v>
      </c>
      <c r="G6021" s="53"/>
    </row>
    <row r="6022">
      <c r="A6022" s="49">
        <v>44757.58190247686</v>
      </c>
      <c r="B6022" s="50">
        <v>44757.7068739351</v>
      </c>
      <c r="C6022" s="51">
        <v>1.004</v>
      </c>
      <c r="D6022" s="51">
        <v>70.0</v>
      </c>
      <c r="E6022" s="52" t="s">
        <v>25</v>
      </c>
      <c r="F6022" s="52" t="s">
        <v>26</v>
      </c>
      <c r="G6022" s="53"/>
    </row>
    <row r="6023">
      <c r="A6023" s="49">
        <v>44757.592322129625</v>
      </c>
      <c r="B6023" s="50">
        <v>44757.717296493</v>
      </c>
      <c r="C6023" s="51">
        <v>1.004</v>
      </c>
      <c r="D6023" s="51">
        <v>70.0</v>
      </c>
      <c r="E6023" s="52" t="s">
        <v>25</v>
      </c>
      <c r="F6023" s="52" t="s">
        <v>26</v>
      </c>
      <c r="G6023" s="53"/>
    </row>
    <row r="6024">
      <c r="A6024" s="49">
        <v>44757.60275101852</v>
      </c>
      <c r="B6024" s="50">
        <v>44757.7277295949</v>
      </c>
      <c r="C6024" s="51">
        <v>1.004</v>
      </c>
      <c r="D6024" s="51">
        <v>70.0</v>
      </c>
      <c r="E6024" s="52" t="s">
        <v>25</v>
      </c>
      <c r="F6024" s="52" t="s">
        <v>26</v>
      </c>
      <c r="G6024" s="53"/>
    </row>
    <row r="6025">
      <c r="A6025" s="49">
        <v>44757.61316894676</v>
      </c>
      <c r="B6025" s="50">
        <v>44757.7381514814</v>
      </c>
      <c r="C6025" s="51">
        <v>1.004</v>
      </c>
      <c r="D6025" s="51">
        <v>70.0</v>
      </c>
      <c r="E6025" s="52" t="s">
        <v>25</v>
      </c>
      <c r="F6025" s="52" t="s">
        <v>26</v>
      </c>
      <c r="G6025" s="53"/>
    </row>
    <row r="6026">
      <c r="A6026" s="49">
        <v>44757.62359930556</v>
      </c>
      <c r="B6026" s="50">
        <v>44757.7485734722</v>
      </c>
      <c r="C6026" s="51">
        <v>1.004</v>
      </c>
      <c r="D6026" s="51">
        <v>70.0</v>
      </c>
      <c r="E6026" s="52" t="s">
        <v>25</v>
      </c>
      <c r="F6026" s="52" t="s">
        <v>26</v>
      </c>
      <c r="G6026" s="53"/>
    </row>
    <row r="6027">
      <c r="A6027" s="49">
        <v>44757.634031967595</v>
      </c>
      <c r="B6027" s="50">
        <v>44757.7590050231</v>
      </c>
      <c r="C6027" s="51">
        <v>1.004</v>
      </c>
      <c r="D6027" s="51">
        <v>70.0</v>
      </c>
      <c r="E6027" s="52" t="s">
        <v>25</v>
      </c>
      <c r="F6027" s="52" t="s">
        <v>26</v>
      </c>
      <c r="G6027" s="53"/>
    </row>
    <row r="6028">
      <c r="A6028" s="49">
        <v>44757.64445494213</v>
      </c>
      <c r="B6028" s="50">
        <v>44757.769426574</v>
      </c>
      <c r="C6028" s="51">
        <v>1.004</v>
      </c>
      <c r="D6028" s="51">
        <v>70.0</v>
      </c>
      <c r="E6028" s="52" t="s">
        <v>25</v>
      </c>
      <c r="F6028" s="52" t="s">
        <v>26</v>
      </c>
      <c r="G6028" s="53"/>
    </row>
    <row r="6029">
      <c r="A6029" s="49">
        <v>44757.65486945602</v>
      </c>
      <c r="B6029" s="50">
        <v>44757.7798482754</v>
      </c>
      <c r="C6029" s="51">
        <v>1.004</v>
      </c>
      <c r="D6029" s="51">
        <v>70.0</v>
      </c>
      <c r="E6029" s="52" t="s">
        <v>25</v>
      </c>
      <c r="F6029" s="52" t="s">
        <v>26</v>
      </c>
      <c r="G6029" s="53"/>
    </row>
    <row r="6030">
      <c r="A6030" s="49">
        <v>44757.66528792824</v>
      </c>
      <c r="B6030" s="50">
        <v>44757.7902691898</v>
      </c>
      <c r="C6030" s="51">
        <v>1.004</v>
      </c>
      <c r="D6030" s="51">
        <v>70.0</v>
      </c>
      <c r="E6030" s="52" t="s">
        <v>25</v>
      </c>
      <c r="F6030" s="52" t="s">
        <v>26</v>
      </c>
      <c r="G6030" s="53"/>
    </row>
    <row r="6031">
      <c r="A6031" s="49">
        <v>44757.67571998843</v>
      </c>
      <c r="B6031" s="50">
        <v>44757.8007012268</v>
      </c>
      <c r="C6031" s="51">
        <v>1.004</v>
      </c>
      <c r="D6031" s="51">
        <v>70.0</v>
      </c>
      <c r="E6031" s="52" t="s">
        <v>25</v>
      </c>
      <c r="F6031" s="52" t="s">
        <v>26</v>
      </c>
      <c r="G6031" s="53"/>
    </row>
    <row r="6032">
      <c r="A6032" s="49">
        <v>44757.68616429398</v>
      </c>
      <c r="B6032" s="50">
        <v>44757.8111348379</v>
      </c>
      <c r="C6032" s="51">
        <v>1.004</v>
      </c>
      <c r="D6032" s="51">
        <v>70.0</v>
      </c>
      <c r="E6032" s="52" t="s">
        <v>25</v>
      </c>
      <c r="F6032" s="52" t="s">
        <v>26</v>
      </c>
      <c r="G6032" s="53"/>
    </row>
    <row r="6033">
      <c r="A6033" s="49">
        <v>44757.696581979166</v>
      </c>
      <c r="B6033" s="50">
        <v>44757.8215575925</v>
      </c>
      <c r="C6033" s="51">
        <v>1.004</v>
      </c>
      <c r="D6033" s="51">
        <v>70.0</v>
      </c>
      <c r="E6033" s="52" t="s">
        <v>25</v>
      </c>
      <c r="F6033" s="52" t="s">
        <v>26</v>
      </c>
      <c r="G6033" s="53"/>
    </row>
    <row r="6034">
      <c r="A6034" s="49">
        <v>44757.70700579861</v>
      </c>
      <c r="B6034" s="50">
        <v>44757.8319794097</v>
      </c>
      <c r="C6034" s="51">
        <v>1.004</v>
      </c>
      <c r="D6034" s="51">
        <v>70.0</v>
      </c>
      <c r="E6034" s="52" t="s">
        <v>25</v>
      </c>
      <c r="F6034" s="52" t="s">
        <v>26</v>
      </c>
      <c r="G6034" s="53"/>
    </row>
    <row r="6035">
      <c r="A6035" s="49">
        <v>44757.717459548614</v>
      </c>
      <c r="B6035" s="50">
        <v>44757.8424350578</v>
      </c>
      <c r="C6035" s="51">
        <v>1.004</v>
      </c>
      <c r="D6035" s="51">
        <v>70.0</v>
      </c>
      <c r="E6035" s="52" t="s">
        <v>25</v>
      </c>
      <c r="F6035" s="52" t="s">
        <v>26</v>
      </c>
      <c r="G6035" s="53"/>
    </row>
    <row r="6036">
      <c r="A6036" s="49">
        <v>44757.72787482639</v>
      </c>
      <c r="B6036" s="50">
        <v>44757.852856331</v>
      </c>
      <c r="C6036" s="51">
        <v>1.004</v>
      </c>
      <c r="D6036" s="51">
        <v>70.0</v>
      </c>
      <c r="E6036" s="52" t="s">
        <v>25</v>
      </c>
      <c r="F6036" s="52" t="s">
        <v>26</v>
      </c>
      <c r="G6036" s="53"/>
    </row>
    <row r="6037">
      <c r="A6037" s="49">
        <v>44757.73830515046</v>
      </c>
      <c r="B6037" s="50">
        <v>44757.8632779976</v>
      </c>
      <c r="C6037" s="51">
        <v>1.004</v>
      </c>
      <c r="D6037" s="51">
        <v>70.0</v>
      </c>
      <c r="E6037" s="52" t="s">
        <v>25</v>
      </c>
      <c r="F6037" s="52" t="s">
        <v>26</v>
      </c>
      <c r="G6037" s="53"/>
    </row>
    <row r="6038">
      <c r="A6038" s="49">
        <v>44757.74872297454</v>
      </c>
      <c r="B6038" s="50">
        <v>44757.8736997222</v>
      </c>
      <c r="C6038" s="51">
        <v>1.004</v>
      </c>
      <c r="D6038" s="51">
        <v>70.0</v>
      </c>
      <c r="E6038" s="52" t="s">
        <v>25</v>
      </c>
      <c r="F6038" s="52" t="s">
        <v>26</v>
      </c>
      <c r="G6038" s="53"/>
    </row>
    <row r="6039">
      <c r="A6039" s="49">
        <v>44757.75914096065</v>
      </c>
      <c r="B6039" s="50">
        <v>44757.8841189467</v>
      </c>
      <c r="C6039" s="51">
        <v>1.004</v>
      </c>
      <c r="D6039" s="51">
        <v>70.0</v>
      </c>
      <c r="E6039" s="52" t="s">
        <v>25</v>
      </c>
      <c r="F6039" s="52" t="s">
        <v>26</v>
      </c>
      <c r="G6039" s="53"/>
    </row>
    <row r="6040">
      <c r="A6040" s="49">
        <v>44757.76957762732</v>
      </c>
      <c r="B6040" s="50">
        <v>44757.8945520023</v>
      </c>
      <c r="C6040" s="51">
        <v>1.004</v>
      </c>
      <c r="D6040" s="51">
        <v>70.0</v>
      </c>
      <c r="E6040" s="52" t="s">
        <v>25</v>
      </c>
      <c r="F6040" s="52" t="s">
        <v>26</v>
      </c>
      <c r="G6040" s="53"/>
    </row>
    <row r="6041">
      <c r="A6041" s="49">
        <v>44757.77999628472</v>
      </c>
      <c r="B6041" s="50">
        <v>44757.9049738078</v>
      </c>
      <c r="C6041" s="51">
        <v>1.004</v>
      </c>
      <c r="D6041" s="51">
        <v>70.0</v>
      </c>
      <c r="E6041" s="52" t="s">
        <v>25</v>
      </c>
      <c r="F6041" s="52" t="s">
        <v>26</v>
      </c>
      <c r="G6041" s="53"/>
    </row>
    <row r="6042">
      <c r="A6042" s="49">
        <v>44757.79041524306</v>
      </c>
      <c r="B6042" s="50">
        <v>44757.9153942939</v>
      </c>
      <c r="C6042" s="51">
        <v>1.004</v>
      </c>
      <c r="D6042" s="51">
        <v>70.0</v>
      </c>
      <c r="E6042" s="52" t="s">
        <v>25</v>
      </c>
      <c r="F6042" s="52" t="s">
        <v>26</v>
      </c>
      <c r="G6042" s="53"/>
    </row>
    <row r="6043">
      <c r="A6043" s="49">
        <v>44757.80084476851</v>
      </c>
      <c r="B6043" s="50">
        <v>44757.9258273263</v>
      </c>
      <c r="C6043" s="51">
        <v>1.004</v>
      </c>
      <c r="D6043" s="51">
        <v>70.0</v>
      </c>
      <c r="E6043" s="52" t="s">
        <v>25</v>
      </c>
      <c r="F6043" s="52" t="s">
        <v>26</v>
      </c>
      <c r="G6043" s="53"/>
    </row>
    <row r="6044">
      <c r="A6044" s="49">
        <v>44757.81127542824</v>
      </c>
      <c r="B6044" s="50">
        <v>44757.9362493171</v>
      </c>
      <c r="C6044" s="51">
        <v>1.004</v>
      </c>
      <c r="D6044" s="51">
        <v>70.0</v>
      </c>
      <c r="E6044" s="52" t="s">
        <v>25</v>
      </c>
      <c r="F6044" s="52" t="s">
        <v>26</v>
      </c>
      <c r="G6044" s="53"/>
    </row>
    <row r="6045">
      <c r="A6045" s="49">
        <v>44757.82169655093</v>
      </c>
      <c r="B6045" s="50">
        <v>44757.9466695023</v>
      </c>
      <c r="C6045" s="51">
        <v>1.004</v>
      </c>
      <c r="D6045" s="51">
        <v>70.0</v>
      </c>
      <c r="E6045" s="52" t="s">
        <v>25</v>
      </c>
      <c r="F6045" s="52" t="s">
        <v>26</v>
      </c>
      <c r="G6045" s="53"/>
    </row>
    <row r="6046">
      <c r="A6046" s="49">
        <v>44757.832113819444</v>
      </c>
      <c r="B6046" s="50">
        <v>44757.9570897453</v>
      </c>
      <c r="C6046" s="51">
        <v>1.004</v>
      </c>
      <c r="D6046" s="51">
        <v>70.0</v>
      </c>
      <c r="E6046" s="52" t="s">
        <v>25</v>
      </c>
      <c r="F6046" s="52" t="s">
        <v>26</v>
      </c>
      <c r="G6046" s="53"/>
    </row>
    <row r="6047">
      <c r="A6047" s="49">
        <v>44757.8425487037</v>
      </c>
      <c r="B6047" s="50">
        <v>44757.9675219907</v>
      </c>
      <c r="C6047" s="51">
        <v>1.004</v>
      </c>
      <c r="D6047" s="51">
        <v>70.0</v>
      </c>
      <c r="E6047" s="52" t="s">
        <v>25</v>
      </c>
      <c r="F6047" s="52" t="s">
        <v>26</v>
      </c>
      <c r="G6047" s="53"/>
    </row>
    <row r="6048">
      <c r="A6048" s="49">
        <v>44757.85297409722</v>
      </c>
      <c r="B6048" s="50">
        <v>44757.9779537963</v>
      </c>
      <c r="C6048" s="51">
        <v>1.004</v>
      </c>
      <c r="D6048" s="51">
        <v>70.0</v>
      </c>
      <c r="E6048" s="52" t="s">
        <v>25</v>
      </c>
      <c r="F6048" s="52" t="s">
        <v>26</v>
      </c>
      <c r="G6048" s="53"/>
    </row>
    <row r="6049">
      <c r="A6049" s="49">
        <v>44757.863415381944</v>
      </c>
      <c r="B6049" s="50">
        <v>44757.9883973379</v>
      </c>
      <c r="C6049" s="51">
        <v>1.004</v>
      </c>
      <c r="D6049" s="51">
        <v>70.0</v>
      </c>
      <c r="E6049" s="52" t="s">
        <v>25</v>
      </c>
      <c r="F6049" s="52" t="s">
        <v>26</v>
      </c>
      <c r="G6049" s="53"/>
    </row>
    <row r="6050">
      <c r="A6050" s="49">
        <v>44757.873882025466</v>
      </c>
      <c r="B6050" s="50">
        <v>44757.9988653588</v>
      </c>
      <c r="C6050" s="51">
        <v>1.004</v>
      </c>
      <c r="D6050" s="51">
        <v>70.0</v>
      </c>
      <c r="E6050" s="52" t="s">
        <v>25</v>
      </c>
      <c r="F6050" s="52" t="s">
        <v>26</v>
      </c>
      <c r="G6050" s="53"/>
    </row>
    <row r="6051">
      <c r="A6051" s="49">
        <v>44757.884308356486</v>
      </c>
      <c r="B6051" s="50">
        <v>44758.0092863194</v>
      </c>
      <c r="C6051" s="51">
        <v>1.004</v>
      </c>
      <c r="D6051" s="51">
        <v>70.0</v>
      </c>
      <c r="E6051" s="52" t="s">
        <v>25</v>
      </c>
      <c r="F6051" s="52" t="s">
        <v>26</v>
      </c>
      <c r="G6051" s="53"/>
    </row>
    <row r="6052">
      <c r="A6052" s="49">
        <v>44757.89473172453</v>
      </c>
      <c r="B6052" s="50">
        <v>44758.0197071296</v>
      </c>
      <c r="C6052" s="51">
        <v>1.004</v>
      </c>
      <c r="D6052" s="51">
        <v>70.0</v>
      </c>
      <c r="E6052" s="52" t="s">
        <v>25</v>
      </c>
      <c r="F6052" s="52" t="s">
        <v>26</v>
      </c>
      <c r="G6052" s="53"/>
    </row>
    <row r="6053">
      <c r="A6053" s="49">
        <v>44757.90517185185</v>
      </c>
      <c r="B6053" s="50">
        <v>44758.0301532523</v>
      </c>
      <c r="C6053" s="51">
        <v>1.004</v>
      </c>
      <c r="D6053" s="51">
        <v>70.0</v>
      </c>
      <c r="E6053" s="52" t="s">
        <v>25</v>
      </c>
      <c r="F6053" s="52" t="s">
        <v>26</v>
      </c>
      <c r="G6053" s="53"/>
    </row>
    <row r="6054">
      <c r="A6054" s="49">
        <v>44757.91558927084</v>
      </c>
      <c r="B6054" s="50">
        <v>44758.0405742129</v>
      </c>
      <c r="C6054" s="51">
        <v>1.004</v>
      </c>
      <c r="D6054" s="51">
        <v>70.0</v>
      </c>
      <c r="E6054" s="52" t="s">
        <v>25</v>
      </c>
      <c r="F6054" s="52" t="s">
        <v>26</v>
      </c>
      <c r="G6054" s="53"/>
    </row>
    <row r="6055">
      <c r="A6055" s="49">
        <v>44757.92601454861</v>
      </c>
      <c r="B6055" s="50">
        <v>44758.0509945023</v>
      </c>
      <c r="C6055" s="51">
        <v>1.004</v>
      </c>
      <c r="D6055" s="51">
        <v>70.0</v>
      </c>
      <c r="E6055" s="52" t="s">
        <v>25</v>
      </c>
      <c r="F6055" s="52" t="s">
        <v>26</v>
      </c>
      <c r="G6055" s="53"/>
    </row>
    <row r="6056">
      <c r="A6056" s="49">
        <v>44757.93644359954</v>
      </c>
      <c r="B6056" s="50">
        <v>44758.0614137384</v>
      </c>
      <c r="C6056" s="51">
        <v>1.004</v>
      </c>
      <c r="D6056" s="51">
        <v>70.0</v>
      </c>
      <c r="E6056" s="52" t="s">
        <v>25</v>
      </c>
      <c r="F6056" s="52" t="s">
        <v>26</v>
      </c>
      <c r="G6056" s="53"/>
    </row>
    <row r="6057">
      <c r="A6057" s="49">
        <v>44757.94687835648</v>
      </c>
      <c r="B6057" s="50">
        <v>44758.0718468055</v>
      </c>
      <c r="C6057" s="51">
        <v>1.004</v>
      </c>
      <c r="D6057" s="51">
        <v>70.0</v>
      </c>
      <c r="E6057" s="52" t="s">
        <v>25</v>
      </c>
      <c r="F6057" s="52" t="s">
        <v>26</v>
      </c>
      <c r="G6057" s="53"/>
    </row>
    <row r="6058">
      <c r="A6058" s="49">
        <v>44757.95729305556</v>
      </c>
      <c r="B6058" s="50">
        <v>44758.0822675115</v>
      </c>
      <c r="C6058" s="51">
        <v>1.004</v>
      </c>
      <c r="D6058" s="51">
        <v>70.0</v>
      </c>
      <c r="E6058" s="52" t="s">
        <v>25</v>
      </c>
      <c r="F6058" s="52" t="s">
        <v>26</v>
      </c>
      <c r="G6058" s="53"/>
    </row>
    <row r="6059">
      <c r="A6059" s="49">
        <v>44757.9677165625</v>
      </c>
      <c r="B6059" s="50">
        <v>44758.0926886805</v>
      </c>
      <c r="C6059" s="51">
        <v>1.004</v>
      </c>
      <c r="D6059" s="51">
        <v>70.0</v>
      </c>
      <c r="E6059" s="52" t="s">
        <v>25</v>
      </c>
      <c r="F6059" s="52" t="s">
        <v>26</v>
      </c>
      <c r="G6059" s="53"/>
    </row>
    <row r="6060">
      <c r="A6060" s="49">
        <v>44757.97813797454</v>
      </c>
      <c r="B6060" s="50">
        <v>44758.1031120486</v>
      </c>
      <c r="C6060" s="51">
        <v>1.004</v>
      </c>
      <c r="D6060" s="51">
        <v>70.0</v>
      </c>
      <c r="E6060" s="52" t="s">
        <v>25</v>
      </c>
      <c r="F6060" s="52" t="s">
        <v>26</v>
      </c>
      <c r="G6060" s="53"/>
    </row>
    <row r="6061">
      <c r="A6061" s="49">
        <v>44757.98855556713</v>
      </c>
      <c r="B6061" s="50">
        <v>44758.1135335995</v>
      </c>
      <c r="C6061" s="51">
        <v>1.004</v>
      </c>
      <c r="D6061" s="51">
        <v>70.0</v>
      </c>
      <c r="E6061" s="52" t="s">
        <v>25</v>
      </c>
      <c r="F6061" s="52" t="s">
        <v>26</v>
      </c>
      <c r="G6061" s="53"/>
    </row>
    <row r="6062">
      <c r="A6062" s="49">
        <v>44757.998973865746</v>
      </c>
      <c r="B6062" s="50">
        <v>44758.1239557638</v>
      </c>
      <c r="C6062" s="51">
        <v>1.004</v>
      </c>
      <c r="D6062" s="51">
        <v>70.0</v>
      </c>
      <c r="E6062" s="52" t="s">
        <v>25</v>
      </c>
      <c r="F6062" s="52" t="s">
        <v>26</v>
      </c>
      <c r="G6062" s="53"/>
    </row>
    <row r="6063">
      <c r="A6063" s="49">
        <v>44758.009427916666</v>
      </c>
      <c r="B6063" s="50">
        <v>44758.1344003472</v>
      </c>
      <c r="C6063" s="51">
        <v>1.004</v>
      </c>
      <c r="D6063" s="51">
        <v>70.0</v>
      </c>
      <c r="E6063" s="52" t="s">
        <v>25</v>
      </c>
      <c r="F6063" s="52" t="s">
        <v>26</v>
      </c>
      <c r="G6063" s="53"/>
    </row>
    <row r="6064">
      <c r="A6064" s="49">
        <v>44758.01984657407</v>
      </c>
      <c r="B6064" s="50">
        <v>44758.1448222106</v>
      </c>
      <c r="C6064" s="51">
        <v>1.004</v>
      </c>
      <c r="D6064" s="51">
        <v>70.0</v>
      </c>
      <c r="E6064" s="52" t="s">
        <v>25</v>
      </c>
      <c r="F6064" s="52" t="s">
        <v>26</v>
      </c>
      <c r="G6064" s="53"/>
    </row>
    <row r="6065">
      <c r="A6065" s="49">
        <v>44758.03027811342</v>
      </c>
      <c r="B6065" s="50">
        <v>44758.1552562268</v>
      </c>
      <c r="C6065" s="51">
        <v>1.004</v>
      </c>
      <c r="D6065" s="51">
        <v>70.0</v>
      </c>
      <c r="E6065" s="52" t="s">
        <v>25</v>
      </c>
      <c r="F6065" s="52" t="s">
        <v>26</v>
      </c>
      <c r="G6065" s="53"/>
    </row>
    <row r="6066">
      <c r="A6066" s="49">
        <v>44758.04071770833</v>
      </c>
      <c r="B6066" s="50">
        <v>44758.1656892476</v>
      </c>
      <c r="C6066" s="51">
        <v>1.004</v>
      </c>
      <c r="D6066" s="51">
        <v>70.0</v>
      </c>
      <c r="E6066" s="52" t="s">
        <v>25</v>
      </c>
      <c r="F6066" s="52" t="s">
        <v>26</v>
      </c>
      <c r="G6066" s="53"/>
    </row>
    <row r="6067">
      <c r="A6067" s="49">
        <v>44758.05116349537</v>
      </c>
      <c r="B6067" s="50">
        <v>44758.17613375</v>
      </c>
      <c r="C6067" s="51">
        <v>1.004</v>
      </c>
      <c r="D6067" s="51">
        <v>69.0</v>
      </c>
      <c r="E6067" s="52" t="s">
        <v>25</v>
      </c>
      <c r="F6067" s="52" t="s">
        <v>26</v>
      </c>
      <c r="G6067" s="53"/>
    </row>
    <row r="6068">
      <c r="A6068" s="49">
        <v>44758.06158318287</v>
      </c>
      <c r="B6068" s="50">
        <v>44758.186555706</v>
      </c>
      <c r="C6068" s="51">
        <v>1.004</v>
      </c>
      <c r="D6068" s="51">
        <v>69.0</v>
      </c>
      <c r="E6068" s="52" t="s">
        <v>25</v>
      </c>
      <c r="F6068" s="52" t="s">
        <v>26</v>
      </c>
      <c r="G6068" s="53"/>
    </row>
    <row r="6069">
      <c r="A6069" s="49">
        <v>44758.07200497686</v>
      </c>
      <c r="B6069" s="50">
        <v>44758.1969787847</v>
      </c>
      <c r="C6069" s="51">
        <v>1.004</v>
      </c>
      <c r="D6069" s="51">
        <v>68.0</v>
      </c>
      <c r="E6069" s="52" t="s">
        <v>25</v>
      </c>
      <c r="F6069" s="52" t="s">
        <v>26</v>
      </c>
      <c r="G6069" s="53"/>
    </row>
    <row r="6070">
      <c r="A6070" s="49">
        <v>44758.082435034725</v>
      </c>
      <c r="B6070" s="50">
        <v>44758.2074128819</v>
      </c>
      <c r="C6070" s="51">
        <v>1.004</v>
      </c>
      <c r="D6070" s="51">
        <v>67.0</v>
      </c>
      <c r="E6070" s="52" t="s">
        <v>25</v>
      </c>
      <c r="F6070" s="52" t="s">
        <v>26</v>
      </c>
      <c r="G6070" s="53"/>
    </row>
    <row r="6071">
      <c r="A6071" s="49">
        <v>44758.09286457176</v>
      </c>
      <c r="B6071" s="50">
        <v>44758.2178355092</v>
      </c>
      <c r="C6071" s="51">
        <v>1.004</v>
      </c>
      <c r="D6071" s="51">
        <v>67.0</v>
      </c>
      <c r="E6071" s="52" t="s">
        <v>25</v>
      </c>
      <c r="F6071" s="52" t="s">
        <v>26</v>
      </c>
      <c r="G6071" s="53"/>
    </row>
    <row r="6072">
      <c r="A6072" s="49">
        <v>44758.10328679398</v>
      </c>
      <c r="B6072" s="50">
        <v>44758.2282548726</v>
      </c>
      <c r="C6072" s="51">
        <v>1.004</v>
      </c>
      <c r="D6072" s="51">
        <v>66.0</v>
      </c>
      <c r="E6072" s="52" t="s">
        <v>25</v>
      </c>
      <c r="F6072" s="52" t="s">
        <v>26</v>
      </c>
      <c r="G6072" s="53"/>
    </row>
    <row r="6073">
      <c r="A6073" s="49">
        <v>44758.11371497685</v>
      </c>
      <c r="B6073" s="50">
        <v>44758.2386882986</v>
      </c>
      <c r="C6073" s="51">
        <v>1.004</v>
      </c>
      <c r="D6073" s="51">
        <v>66.0</v>
      </c>
      <c r="E6073" s="52" t="s">
        <v>25</v>
      </c>
      <c r="F6073" s="52" t="s">
        <v>26</v>
      </c>
      <c r="G6073" s="53"/>
    </row>
    <row r="6074">
      <c r="A6074" s="49">
        <v>44758.12413578704</v>
      </c>
      <c r="B6074" s="50">
        <v>44758.2491084259</v>
      </c>
      <c r="C6074" s="51">
        <v>1.004</v>
      </c>
      <c r="D6074" s="51">
        <v>66.0</v>
      </c>
      <c r="E6074" s="52" t="s">
        <v>25</v>
      </c>
      <c r="F6074" s="52" t="s">
        <v>26</v>
      </c>
      <c r="G6074" s="53"/>
    </row>
    <row r="6075">
      <c r="A6075" s="49">
        <v>44758.13455509259</v>
      </c>
      <c r="B6075" s="50">
        <v>44758.25952978</v>
      </c>
      <c r="C6075" s="51">
        <v>1.004</v>
      </c>
      <c r="D6075" s="51">
        <v>66.0</v>
      </c>
      <c r="E6075" s="52" t="s">
        <v>25</v>
      </c>
      <c r="F6075" s="52" t="s">
        <v>26</v>
      </c>
      <c r="G6075" s="53"/>
    </row>
    <row r="6076">
      <c r="A6076" s="49">
        <v>44758.14497451389</v>
      </c>
      <c r="B6076" s="50">
        <v>44758.2699511805</v>
      </c>
      <c r="C6076" s="51">
        <v>1.004</v>
      </c>
      <c r="D6076" s="51">
        <v>66.0</v>
      </c>
      <c r="E6076" s="52" t="s">
        <v>25</v>
      </c>
      <c r="F6076" s="52" t="s">
        <v>26</v>
      </c>
      <c r="G6076" s="53"/>
    </row>
    <row r="6077">
      <c r="A6077" s="49">
        <v>44758.155402268516</v>
      </c>
      <c r="B6077" s="50">
        <v>44758.2803841203</v>
      </c>
      <c r="C6077" s="51">
        <v>1.004</v>
      </c>
      <c r="D6077" s="51">
        <v>66.0</v>
      </c>
      <c r="E6077" s="52" t="s">
        <v>25</v>
      </c>
      <c r="F6077" s="52" t="s">
        <v>26</v>
      </c>
      <c r="G6077" s="53"/>
    </row>
    <row r="6078">
      <c r="A6078" s="49">
        <v>44758.16582189815</v>
      </c>
      <c r="B6078" s="50">
        <v>44758.2908051504</v>
      </c>
      <c r="C6078" s="51">
        <v>1.004</v>
      </c>
      <c r="D6078" s="51">
        <v>66.0</v>
      </c>
      <c r="E6078" s="52" t="s">
        <v>25</v>
      </c>
      <c r="F6078" s="52" t="s">
        <v>26</v>
      </c>
      <c r="G6078" s="53"/>
    </row>
    <row r="6079">
      <c r="A6079" s="49">
        <v>44758.176245497685</v>
      </c>
      <c r="B6079" s="50">
        <v>44758.301224375</v>
      </c>
      <c r="C6079" s="51">
        <v>1.004</v>
      </c>
      <c r="D6079" s="51">
        <v>66.0</v>
      </c>
      <c r="E6079" s="52" t="s">
        <v>25</v>
      </c>
      <c r="F6079" s="52" t="s">
        <v>26</v>
      </c>
      <c r="G6079" s="53"/>
    </row>
    <row r="6080">
      <c r="A6080" s="49">
        <v>44758.18668878472</v>
      </c>
      <c r="B6080" s="50">
        <v>44758.3116580324</v>
      </c>
      <c r="C6080" s="51">
        <v>1.004</v>
      </c>
      <c r="D6080" s="51">
        <v>66.0</v>
      </c>
      <c r="E6080" s="52" t="s">
        <v>25</v>
      </c>
      <c r="F6080" s="52" t="s">
        <v>26</v>
      </c>
      <c r="G6080" s="53"/>
    </row>
    <row r="6081">
      <c r="A6081" s="49">
        <v>44758.19710684028</v>
      </c>
      <c r="B6081" s="50">
        <v>44758.3220800694</v>
      </c>
      <c r="C6081" s="51">
        <v>1.004</v>
      </c>
      <c r="D6081" s="51">
        <v>66.0</v>
      </c>
      <c r="E6081" s="52" t="s">
        <v>25</v>
      </c>
      <c r="F6081" s="52" t="s">
        <v>26</v>
      </c>
      <c r="G6081" s="53"/>
    </row>
    <row r="6082">
      <c r="A6082" s="49">
        <v>44758.207525833335</v>
      </c>
      <c r="B6082" s="50">
        <v>44758.3325025463</v>
      </c>
      <c r="C6082" s="51">
        <v>1.004</v>
      </c>
      <c r="D6082" s="51">
        <v>66.0</v>
      </c>
      <c r="E6082" s="52" t="s">
        <v>25</v>
      </c>
      <c r="F6082" s="52" t="s">
        <v>26</v>
      </c>
      <c r="G6082" s="53"/>
    </row>
    <row r="6083">
      <c r="A6083" s="49">
        <v>44758.217944421296</v>
      </c>
      <c r="B6083" s="50">
        <v>44758.3429235069</v>
      </c>
      <c r="C6083" s="51">
        <v>1.004</v>
      </c>
      <c r="D6083" s="51">
        <v>66.0</v>
      </c>
      <c r="E6083" s="52" t="s">
        <v>25</v>
      </c>
      <c r="F6083" s="52" t="s">
        <v>26</v>
      </c>
      <c r="G6083" s="53"/>
    </row>
    <row r="6084">
      <c r="A6084" s="49">
        <v>44758.22837210648</v>
      </c>
      <c r="B6084" s="50">
        <v>44758.3533435416</v>
      </c>
      <c r="C6084" s="51">
        <v>1.004</v>
      </c>
      <c r="D6084" s="51">
        <v>66.0</v>
      </c>
      <c r="E6084" s="52" t="s">
        <v>25</v>
      </c>
      <c r="F6084" s="52" t="s">
        <v>26</v>
      </c>
      <c r="G6084" s="53"/>
    </row>
    <row r="6085">
      <c r="A6085" s="49">
        <v>44758.238790787036</v>
      </c>
      <c r="B6085" s="50">
        <v>44758.3637647453</v>
      </c>
      <c r="C6085" s="51">
        <v>1.004</v>
      </c>
      <c r="D6085" s="51">
        <v>66.0</v>
      </c>
      <c r="E6085" s="52" t="s">
        <v>25</v>
      </c>
      <c r="F6085" s="52" t="s">
        <v>26</v>
      </c>
      <c r="G6085" s="53"/>
    </row>
    <row r="6086">
      <c r="A6086" s="49">
        <v>44758.24921193287</v>
      </c>
      <c r="B6086" s="50">
        <v>44758.3741876273</v>
      </c>
      <c r="C6086" s="51">
        <v>1.004</v>
      </c>
      <c r="D6086" s="51">
        <v>66.0</v>
      </c>
      <c r="E6086" s="52" t="s">
        <v>25</v>
      </c>
      <c r="F6086" s="52" t="s">
        <v>26</v>
      </c>
      <c r="G6086" s="53"/>
    </row>
    <row r="6087">
      <c r="A6087" s="49">
        <v>44758.25963291667</v>
      </c>
      <c r="B6087" s="50">
        <v>44758.3846074652</v>
      </c>
      <c r="C6087" s="51">
        <v>1.004</v>
      </c>
      <c r="D6087" s="51">
        <v>66.0</v>
      </c>
      <c r="E6087" s="52" t="s">
        <v>25</v>
      </c>
      <c r="F6087" s="52" t="s">
        <v>26</v>
      </c>
      <c r="G6087" s="53"/>
    </row>
    <row r="6088">
      <c r="A6088" s="49">
        <v>44758.2700509375</v>
      </c>
      <c r="B6088" s="50">
        <v>44758.3950288426</v>
      </c>
      <c r="C6088" s="51">
        <v>1.004</v>
      </c>
      <c r="D6088" s="51">
        <v>66.0</v>
      </c>
      <c r="E6088" s="52" t="s">
        <v>25</v>
      </c>
      <c r="F6088" s="52" t="s">
        <v>26</v>
      </c>
      <c r="G6088" s="53"/>
    </row>
    <row r="6089">
      <c r="A6089" s="49">
        <v>44758.28047701389</v>
      </c>
      <c r="B6089" s="50">
        <v>44758.4054514351</v>
      </c>
      <c r="C6089" s="51">
        <v>1.004</v>
      </c>
      <c r="D6089" s="51">
        <v>66.0</v>
      </c>
      <c r="E6089" s="52" t="s">
        <v>25</v>
      </c>
      <c r="F6089" s="52" t="s">
        <v>26</v>
      </c>
      <c r="G6089" s="53"/>
    </row>
    <row r="6090">
      <c r="A6090" s="49">
        <v>44758.290903333334</v>
      </c>
      <c r="B6090" s="50">
        <v>44758.4158738773</v>
      </c>
      <c r="C6090" s="51">
        <v>1.004</v>
      </c>
      <c r="D6090" s="51">
        <v>66.0</v>
      </c>
      <c r="E6090" s="52" t="s">
        <v>25</v>
      </c>
      <c r="F6090" s="52" t="s">
        <v>26</v>
      </c>
      <c r="G6090" s="53"/>
    </row>
    <row r="6091">
      <c r="A6091" s="49">
        <v>44758.301323101856</v>
      </c>
      <c r="B6091" s="50">
        <v>44758.4262948726</v>
      </c>
      <c r="C6091" s="51">
        <v>1.004</v>
      </c>
      <c r="D6091" s="51">
        <v>66.0</v>
      </c>
      <c r="E6091" s="52" t="s">
        <v>25</v>
      </c>
      <c r="F6091" s="52" t="s">
        <v>26</v>
      </c>
      <c r="G6091" s="53"/>
    </row>
    <row r="6092">
      <c r="A6092" s="49">
        <v>44758.3117365625</v>
      </c>
      <c r="B6092" s="50">
        <v>44758.4367161342</v>
      </c>
      <c r="C6092" s="51">
        <v>1.004</v>
      </c>
      <c r="D6092" s="51">
        <v>66.0</v>
      </c>
      <c r="E6092" s="52" t="s">
        <v>25</v>
      </c>
      <c r="F6092" s="52" t="s">
        <v>26</v>
      </c>
      <c r="G6092" s="53"/>
    </row>
    <row r="6093">
      <c r="A6093" s="49">
        <v>44758.32215201389</v>
      </c>
      <c r="B6093" s="50">
        <v>44758.447136875</v>
      </c>
      <c r="C6093" s="51">
        <v>1.004</v>
      </c>
      <c r="D6093" s="51">
        <v>66.0</v>
      </c>
      <c r="E6093" s="52" t="s">
        <v>25</v>
      </c>
      <c r="F6093" s="52" t="s">
        <v>26</v>
      </c>
      <c r="G6093" s="53"/>
    </row>
    <row r="6094">
      <c r="A6094" s="49">
        <v>44758.332585543976</v>
      </c>
      <c r="B6094" s="50">
        <v>44758.4575581712</v>
      </c>
      <c r="C6094" s="51">
        <v>1.004</v>
      </c>
      <c r="D6094" s="51">
        <v>66.0</v>
      </c>
      <c r="E6094" s="52" t="s">
        <v>25</v>
      </c>
      <c r="F6094" s="52" t="s">
        <v>26</v>
      </c>
      <c r="G6094" s="53"/>
    </row>
    <row r="6095">
      <c r="A6095" s="49">
        <v>44758.34300253472</v>
      </c>
      <c r="B6095" s="50">
        <v>44758.4679800231</v>
      </c>
      <c r="C6095" s="51">
        <v>1.004</v>
      </c>
      <c r="D6095" s="51">
        <v>66.0</v>
      </c>
      <c r="E6095" s="52" t="s">
        <v>25</v>
      </c>
      <c r="F6095" s="52" t="s">
        <v>26</v>
      </c>
      <c r="G6095" s="53"/>
    </row>
    <row r="6096">
      <c r="A6096" s="49">
        <v>44758.353420740736</v>
      </c>
      <c r="B6096" s="50">
        <v>44758.4784004861</v>
      </c>
      <c r="C6096" s="51">
        <v>1.004</v>
      </c>
      <c r="D6096" s="51">
        <v>66.0</v>
      </c>
      <c r="E6096" s="52" t="s">
        <v>25</v>
      </c>
      <c r="F6096" s="52" t="s">
        <v>26</v>
      </c>
      <c r="G6096" s="53"/>
    </row>
    <row r="6097">
      <c r="A6097" s="49">
        <v>44758.36384304398</v>
      </c>
      <c r="B6097" s="50">
        <v>44758.4888210416</v>
      </c>
      <c r="C6097" s="51">
        <v>1.004</v>
      </c>
      <c r="D6097" s="51">
        <v>66.0</v>
      </c>
      <c r="E6097" s="52" t="s">
        <v>25</v>
      </c>
      <c r="F6097" s="52" t="s">
        <v>26</v>
      </c>
      <c r="G6097" s="53"/>
    </row>
    <row r="6098">
      <c r="A6098" s="49">
        <v>44758.374287638886</v>
      </c>
      <c r="B6098" s="50">
        <v>44758.4992649537</v>
      </c>
      <c r="C6098" s="51">
        <v>1.004</v>
      </c>
      <c r="D6098" s="51">
        <v>67.0</v>
      </c>
      <c r="E6098" s="52" t="s">
        <v>25</v>
      </c>
      <c r="F6098" s="52" t="s">
        <v>26</v>
      </c>
      <c r="G6098" s="53"/>
    </row>
    <row r="6099">
      <c r="A6099" s="49">
        <v>44758.3847224537</v>
      </c>
      <c r="B6099" s="50">
        <v>44758.5096970601</v>
      </c>
      <c r="C6099" s="51">
        <v>1.004</v>
      </c>
      <c r="D6099" s="51">
        <v>67.0</v>
      </c>
      <c r="E6099" s="52" t="s">
        <v>25</v>
      </c>
      <c r="F6099" s="52" t="s">
        <v>26</v>
      </c>
      <c r="G6099" s="53"/>
    </row>
    <row r="6100">
      <c r="A6100" s="49">
        <v>44758.395151550925</v>
      </c>
      <c r="B6100" s="50">
        <v>44758.5201292129</v>
      </c>
      <c r="C6100" s="51">
        <v>1.004</v>
      </c>
      <c r="D6100" s="51">
        <v>67.0</v>
      </c>
      <c r="E6100" s="52" t="s">
        <v>25</v>
      </c>
      <c r="F6100" s="52" t="s">
        <v>26</v>
      </c>
      <c r="G6100" s="53"/>
    </row>
    <row r="6101">
      <c r="A6101" s="49">
        <v>44758.40556857639</v>
      </c>
      <c r="B6101" s="50">
        <v>44758.530549375</v>
      </c>
      <c r="C6101" s="51">
        <v>1.004</v>
      </c>
      <c r="D6101" s="51">
        <v>67.0</v>
      </c>
      <c r="E6101" s="52" t="s">
        <v>25</v>
      </c>
      <c r="F6101" s="52" t="s">
        <v>26</v>
      </c>
      <c r="G6101" s="53"/>
    </row>
    <row r="6102">
      <c r="A6102" s="49">
        <v>44758.41600133102</v>
      </c>
      <c r="B6102" s="50">
        <v>44758.5409819213</v>
      </c>
      <c r="C6102" s="51">
        <v>1.004</v>
      </c>
      <c r="D6102" s="51">
        <v>67.0</v>
      </c>
      <c r="E6102" s="52" t="s">
        <v>25</v>
      </c>
      <c r="F6102" s="52" t="s">
        <v>26</v>
      </c>
      <c r="G6102" s="53"/>
    </row>
    <row r="6103">
      <c r="A6103" s="49">
        <v>44758.42646873843</v>
      </c>
      <c r="B6103" s="50">
        <v>44758.5514387037</v>
      </c>
      <c r="C6103" s="51">
        <v>1.004</v>
      </c>
      <c r="D6103" s="51">
        <v>67.0</v>
      </c>
      <c r="E6103" s="52" t="s">
        <v>25</v>
      </c>
      <c r="F6103" s="52" t="s">
        <v>26</v>
      </c>
      <c r="G6103" s="53"/>
    </row>
    <row r="6104">
      <c r="A6104" s="49">
        <v>44758.436885601855</v>
      </c>
      <c r="B6104" s="50">
        <v>44758.5618595486</v>
      </c>
      <c r="C6104" s="51">
        <v>1.004</v>
      </c>
      <c r="D6104" s="51">
        <v>67.0</v>
      </c>
      <c r="E6104" s="52" t="s">
        <v>25</v>
      </c>
      <c r="F6104" s="52" t="s">
        <v>26</v>
      </c>
      <c r="G6104" s="53"/>
    </row>
    <row r="6105">
      <c r="A6105" s="49">
        <v>44758.44730501158</v>
      </c>
      <c r="B6105" s="50">
        <v>44758.572278831</v>
      </c>
      <c r="C6105" s="51">
        <v>1.004</v>
      </c>
      <c r="D6105" s="51">
        <v>67.0</v>
      </c>
      <c r="E6105" s="52" t="s">
        <v>25</v>
      </c>
      <c r="F6105" s="52" t="s">
        <v>26</v>
      </c>
      <c r="G6105" s="53"/>
    </row>
    <row r="6106">
      <c r="A6106" s="49">
        <v>44758.45772707176</v>
      </c>
      <c r="B6106" s="50">
        <v>44758.5827010764</v>
      </c>
      <c r="C6106" s="51">
        <v>1.004</v>
      </c>
      <c r="D6106" s="51">
        <v>67.0</v>
      </c>
      <c r="E6106" s="52" t="s">
        <v>25</v>
      </c>
      <c r="F6106" s="52" t="s">
        <v>26</v>
      </c>
      <c r="G6106" s="53"/>
    </row>
    <row r="6107">
      <c r="A6107" s="49">
        <v>44758.468158055555</v>
      </c>
      <c r="B6107" s="50">
        <v>44758.5931333912</v>
      </c>
      <c r="C6107" s="51">
        <v>1.004</v>
      </c>
      <c r="D6107" s="51">
        <v>67.0</v>
      </c>
      <c r="E6107" s="52" t="s">
        <v>25</v>
      </c>
      <c r="F6107" s="52" t="s">
        <v>26</v>
      </c>
      <c r="G6107" s="53"/>
    </row>
    <row r="6108">
      <c r="A6108" s="49">
        <v>44758.47858045139</v>
      </c>
      <c r="B6108" s="50">
        <v>44758.6035538657</v>
      </c>
      <c r="C6108" s="51">
        <v>1.004</v>
      </c>
      <c r="D6108" s="51">
        <v>67.0</v>
      </c>
      <c r="E6108" s="52" t="s">
        <v>25</v>
      </c>
      <c r="F6108" s="52" t="s">
        <v>26</v>
      </c>
      <c r="G6108" s="53"/>
    </row>
    <row r="6109">
      <c r="A6109" s="49">
        <v>44758.48899707176</v>
      </c>
      <c r="B6109" s="50">
        <v>44758.6139748842</v>
      </c>
      <c r="C6109" s="51">
        <v>1.004</v>
      </c>
      <c r="D6109" s="51">
        <v>67.0</v>
      </c>
      <c r="E6109" s="52" t="s">
        <v>25</v>
      </c>
      <c r="F6109" s="52" t="s">
        <v>26</v>
      </c>
      <c r="G6109" s="53"/>
    </row>
    <row r="6110">
      <c r="A6110" s="49">
        <v>44758.49943152777</v>
      </c>
      <c r="B6110" s="50">
        <v>44758.6244072685</v>
      </c>
      <c r="C6110" s="51">
        <v>1.004</v>
      </c>
      <c r="D6110" s="51">
        <v>67.0</v>
      </c>
      <c r="E6110" s="52" t="s">
        <v>25</v>
      </c>
      <c r="F6110" s="52" t="s">
        <v>26</v>
      </c>
      <c r="G6110" s="53"/>
    </row>
    <row r="6111">
      <c r="A6111" s="49">
        <v>44758.50984991898</v>
      </c>
      <c r="B6111" s="50">
        <v>44758.6348311805</v>
      </c>
      <c r="C6111" s="51">
        <v>1.004</v>
      </c>
      <c r="D6111" s="51">
        <v>67.0</v>
      </c>
      <c r="E6111" s="52" t="s">
        <v>25</v>
      </c>
      <c r="F6111" s="52" t="s">
        <v>26</v>
      </c>
      <c r="G6111" s="53"/>
    </row>
    <row r="6112">
      <c r="A6112" s="49">
        <v>44758.52030793982</v>
      </c>
      <c r="B6112" s="50">
        <v>44758.6452879398</v>
      </c>
      <c r="C6112" s="51">
        <v>1.004</v>
      </c>
      <c r="D6112" s="51">
        <v>67.0</v>
      </c>
      <c r="E6112" s="52" t="s">
        <v>25</v>
      </c>
      <c r="F6112" s="52" t="s">
        <v>26</v>
      </c>
      <c r="G6112" s="53"/>
    </row>
    <row r="6113">
      <c r="A6113" s="49">
        <v>44758.53072890046</v>
      </c>
      <c r="B6113" s="50">
        <v>44758.6557066319</v>
      </c>
      <c r="C6113" s="51">
        <v>1.004</v>
      </c>
      <c r="D6113" s="51">
        <v>67.0</v>
      </c>
      <c r="E6113" s="52" t="s">
        <v>25</v>
      </c>
      <c r="F6113" s="52" t="s">
        <v>26</v>
      </c>
      <c r="G6113" s="53"/>
    </row>
    <row r="6114">
      <c r="A6114" s="49">
        <v>44758.54116986111</v>
      </c>
      <c r="B6114" s="50">
        <v>44758.6661502662</v>
      </c>
      <c r="C6114" s="51">
        <v>1.004</v>
      </c>
      <c r="D6114" s="51">
        <v>67.0</v>
      </c>
      <c r="E6114" s="52" t="s">
        <v>25</v>
      </c>
      <c r="F6114" s="52" t="s">
        <v>26</v>
      </c>
      <c r="G6114" s="53"/>
    </row>
    <row r="6115">
      <c r="A6115" s="49">
        <v>44758.55159953704</v>
      </c>
      <c r="B6115" s="50">
        <v>44758.6765723495</v>
      </c>
      <c r="C6115" s="51">
        <v>1.004</v>
      </c>
      <c r="D6115" s="51">
        <v>67.0</v>
      </c>
      <c r="E6115" s="52" t="s">
        <v>25</v>
      </c>
      <c r="F6115" s="52" t="s">
        <v>26</v>
      </c>
      <c r="G6115" s="53"/>
    </row>
    <row r="6116">
      <c r="A6116" s="49">
        <v>44758.56201721064</v>
      </c>
      <c r="B6116" s="50">
        <v>44758.6869919791</v>
      </c>
      <c r="C6116" s="51">
        <v>1.004</v>
      </c>
      <c r="D6116" s="51">
        <v>67.0</v>
      </c>
      <c r="E6116" s="52" t="s">
        <v>25</v>
      </c>
      <c r="F6116" s="52" t="s">
        <v>26</v>
      </c>
      <c r="G6116" s="53"/>
    </row>
    <row r="6117">
      <c r="A6117" s="49">
        <v>44758.572463564815</v>
      </c>
      <c r="B6117" s="50">
        <v>44758.697435706</v>
      </c>
      <c r="C6117" s="51">
        <v>1.004</v>
      </c>
      <c r="D6117" s="51">
        <v>67.0</v>
      </c>
      <c r="E6117" s="52" t="s">
        <v>25</v>
      </c>
      <c r="F6117" s="52" t="s">
        <v>26</v>
      </c>
      <c r="G6117" s="53"/>
    </row>
    <row r="6118">
      <c r="A6118" s="49">
        <v>44758.58288402778</v>
      </c>
      <c r="B6118" s="50">
        <v>44758.7078571643</v>
      </c>
      <c r="C6118" s="51">
        <v>1.004</v>
      </c>
      <c r="D6118" s="51">
        <v>67.0</v>
      </c>
      <c r="E6118" s="52" t="s">
        <v>25</v>
      </c>
      <c r="F6118" s="52" t="s">
        <v>26</v>
      </c>
      <c r="G6118" s="53"/>
    </row>
    <row r="6119">
      <c r="A6119" s="49">
        <v>44758.59330385417</v>
      </c>
      <c r="B6119" s="50">
        <v>44758.7182796064</v>
      </c>
      <c r="C6119" s="51">
        <v>1.004</v>
      </c>
      <c r="D6119" s="51">
        <v>67.0</v>
      </c>
      <c r="E6119" s="52" t="s">
        <v>25</v>
      </c>
      <c r="F6119" s="52" t="s">
        <v>26</v>
      </c>
      <c r="G6119" s="53"/>
    </row>
    <row r="6120">
      <c r="A6120" s="49">
        <v>44758.60372144676</v>
      </c>
      <c r="B6120" s="50">
        <v>44758.7286997453</v>
      </c>
      <c r="C6120" s="51">
        <v>1.004</v>
      </c>
      <c r="D6120" s="51">
        <v>67.0</v>
      </c>
      <c r="E6120" s="52" t="s">
        <v>25</v>
      </c>
      <c r="F6120" s="52" t="s">
        <v>26</v>
      </c>
      <c r="G6120" s="53"/>
    </row>
    <row r="6121">
      <c r="A6121" s="49">
        <v>44758.61413956019</v>
      </c>
      <c r="B6121" s="50">
        <v>44758.7391209143</v>
      </c>
      <c r="C6121" s="51">
        <v>1.004</v>
      </c>
      <c r="D6121" s="51">
        <v>67.0</v>
      </c>
      <c r="E6121" s="52" t="s">
        <v>25</v>
      </c>
      <c r="F6121" s="52" t="s">
        <v>26</v>
      </c>
      <c r="G6121" s="53"/>
    </row>
    <row r="6122">
      <c r="A6122" s="49">
        <v>44758.624575486116</v>
      </c>
      <c r="B6122" s="50">
        <v>44758.7495542361</v>
      </c>
      <c r="C6122" s="51">
        <v>1.004</v>
      </c>
      <c r="D6122" s="51">
        <v>67.0</v>
      </c>
      <c r="E6122" s="52" t="s">
        <v>25</v>
      </c>
      <c r="F6122" s="52" t="s">
        <v>26</v>
      </c>
      <c r="G6122" s="53"/>
    </row>
    <row r="6123">
      <c r="A6123" s="49">
        <v>44758.634992175925</v>
      </c>
      <c r="B6123" s="50">
        <v>44758.7599744213</v>
      </c>
      <c r="C6123" s="51">
        <v>1.004</v>
      </c>
      <c r="D6123" s="51">
        <v>67.0</v>
      </c>
      <c r="E6123" s="52" t="s">
        <v>25</v>
      </c>
      <c r="F6123" s="52" t="s">
        <v>26</v>
      </c>
      <c r="G6123" s="53"/>
    </row>
    <row r="6124">
      <c r="A6124" s="49">
        <v>44758.64541728009</v>
      </c>
      <c r="B6124" s="50">
        <v>44758.7703940162</v>
      </c>
      <c r="C6124" s="51">
        <v>1.004</v>
      </c>
      <c r="D6124" s="51">
        <v>67.0</v>
      </c>
      <c r="E6124" s="52" t="s">
        <v>25</v>
      </c>
      <c r="F6124" s="52" t="s">
        <v>26</v>
      </c>
      <c r="G6124" s="53"/>
    </row>
    <row r="6125">
      <c r="A6125" s="49">
        <v>44758.65583461805</v>
      </c>
      <c r="B6125" s="50">
        <v>44758.7808157407</v>
      </c>
      <c r="C6125" s="51">
        <v>1.004</v>
      </c>
      <c r="D6125" s="51">
        <v>67.0</v>
      </c>
      <c r="E6125" s="52" t="s">
        <v>25</v>
      </c>
      <c r="F6125" s="52" t="s">
        <v>26</v>
      </c>
      <c r="G6125" s="53"/>
    </row>
    <row r="6126">
      <c r="A6126" s="49">
        <v>44758.666263391206</v>
      </c>
      <c r="B6126" s="50">
        <v>44758.7912476273</v>
      </c>
      <c r="C6126" s="51">
        <v>1.004</v>
      </c>
      <c r="D6126" s="51">
        <v>67.0</v>
      </c>
      <c r="E6126" s="52" t="s">
        <v>25</v>
      </c>
      <c r="F6126" s="52" t="s">
        <v>26</v>
      </c>
      <c r="G6126" s="53"/>
    </row>
    <row r="6127">
      <c r="A6127" s="49">
        <v>44758.676705474536</v>
      </c>
      <c r="B6127" s="50">
        <v>44758.8016680439</v>
      </c>
      <c r="C6127" s="51">
        <v>1.004</v>
      </c>
      <c r="D6127" s="51">
        <v>67.0</v>
      </c>
      <c r="E6127" s="52" t="s">
        <v>25</v>
      </c>
      <c r="F6127" s="52" t="s">
        <v>26</v>
      </c>
      <c r="G6127" s="53"/>
    </row>
    <row r="6128">
      <c r="A6128" s="49">
        <v>44758.68713936342</v>
      </c>
      <c r="B6128" s="50">
        <v>44758.8121128125</v>
      </c>
      <c r="C6128" s="51">
        <v>1.004</v>
      </c>
      <c r="D6128" s="51">
        <v>67.0</v>
      </c>
      <c r="E6128" s="52" t="s">
        <v>25</v>
      </c>
      <c r="F6128" s="52" t="s">
        <v>26</v>
      </c>
      <c r="G6128" s="53"/>
    </row>
    <row r="6129">
      <c r="A6129" s="49">
        <v>44758.697559849534</v>
      </c>
      <c r="B6129" s="50">
        <v>44758.822533287</v>
      </c>
      <c r="C6129" s="51">
        <v>1.004</v>
      </c>
      <c r="D6129" s="51">
        <v>67.0</v>
      </c>
      <c r="E6129" s="52" t="s">
        <v>25</v>
      </c>
      <c r="F6129" s="52" t="s">
        <v>26</v>
      </c>
      <c r="G6129" s="53"/>
    </row>
    <row r="6130">
      <c r="A6130" s="49">
        <v>44758.707979583334</v>
      </c>
      <c r="B6130" s="50">
        <v>44758.8329544675</v>
      </c>
      <c r="C6130" s="51">
        <v>1.004</v>
      </c>
      <c r="D6130" s="51">
        <v>67.0</v>
      </c>
      <c r="E6130" s="52" t="s">
        <v>25</v>
      </c>
      <c r="F6130" s="52" t="s">
        <v>26</v>
      </c>
      <c r="G6130" s="53"/>
    </row>
    <row r="6131">
      <c r="A6131" s="49">
        <v>44758.71839652778</v>
      </c>
      <c r="B6131" s="50">
        <v>44758.8433767245</v>
      </c>
      <c r="C6131" s="51">
        <v>1.004</v>
      </c>
      <c r="D6131" s="51">
        <v>67.0</v>
      </c>
      <c r="E6131" s="52" t="s">
        <v>25</v>
      </c>
      <c r="F6131" s="52" t="s">
        <v>26</v>
      </c>
      <c r="G6131" s="53"/>
    </row>
    <row r="6132">
      <c r="A6132" s="49">
        <v>44758.7288143287</v>
      </c>
      <c r="B6132" s="50">
        <v>44758.8537987731</v>
      </c>
      <c r="C6132" s="51">
        <v>1.004</v>
      </c>
      <c r="D6132" s="51">
        <v>67.0</v>
      </c>
      <c r="E6132" s="52" t="s">
        <v>25</v>
      </c>
      <c r="F6132" s="52" t="s">
        <v>26</v>
      </c>
      <c r="G6132" s="53"/>
    </row>
    <row r="6133">
      <c r="A6133" s="49">
        <v>44758.73923979167</v>
      </c>
      <c r="B6133" s="50">
        <v>44758.8642209259</v>
      </c>
      <c r="C6133" s="51">
        <v>1.004</v>
      </c>
      <c r="D6133" s="51">
        <v>67.0</v>
      </c>
      <c r="E6133" s="52" t="s">
        <v>25</v>
      </c>
      <c r="F6133" s="52" t="s">
        <v>26</v>
      </c>
      <c r="G6133" s="53"/>
    </row>
    <row r="6134">
      <c r="A6134" s="49">
        <v>44758.74965603009</v>
      </c>
      <c r="B6134" s="50">
        <v>44758.8746413773</v>
      </c>
      <c r="C6134" s="51">
        <v>1.004</v>
      </c>
      <c r="D6134" s="51">
        <v>67.0</v>
      </c>
      <c r="E6134" s="52" t="s">
        <v>25</v>
      </c>
      <c r="F6134" s="52" t="s">
        <v>26</v>
      </c>
      <c r="G6134" s="53"/>
    </row>
    <row r="6135">
      <c r="A6135" s="49">
        <v>44758.76008820602</v>
      </c>
      <c r="B6135" s="50">
        <v>44758.8850634722</v>
      </c>
      <c r="C6135" s="51">
        <v>1.004</v>
      </c>
      <c r="D6135" s="51">
        <v>67.0</v>
      </c>
      <c r="E6135" s="52" t="s">
        <v>25</v>
      </c>
      <c r="F6135" s="52" t="s">
        <v>26</v>
      </c>
      <c r="G6135" s="53"/>
    </row>
    <row r="6136">
      <c r="A6136" s="49">
        <v>44758.77051890046</v>
      </c>
      <c r="B6136" s="50">
        <v>44758.8954944213</v>
      </c>
      <c r="C6136" s="51">
        <v>1.004</v>
      </c>
      <c r="D6136" s="51">
        <v>67.0</v>
      </c>
      <c r="E6136" s="52" t="s">
        <v>25</v>
      </c>
      <c r="F6136" s="52" t="s">
        <v>26</v>
      </c>
      <c r="G6136" s="53"/>
    </row>
    <row r="6137">
      <c r="A6137" s="49">
        <v>44758.780940613426</v>
      </c>
      <c r="B6137" s="50">
        <v>44758.9059139236</v>
      </c>
      <c r="C6137" s="51">
        <v>1.004</v>
      </c>
      <c r="D6137" s="51">
        <v>67.0</v>
      </c>
      <c r="E6137" s="52" t="s">
        <v>25</v>
      </c>
      <c r="F6137" s="52" t="s">
        <v>26</v>
      </c>
      <c r="G6137" s="53"/>
    </row>
    <row r="6138">
      <c r="A6138" s="49">
        <v>44758.791357951384</v>
      </c>
      <c r="B6138" s="50">
        <v>44758.9163354398</v>
      </c>
      <c r="C6138" s="51">
        <v>1.004</v>
      </c>
      <c r="D6138" s="51">
        <v>67.0</v>
      </c>
      <c r="E6138" s="52" t="s">
        <v>25</v>
      </c>
      <c r="F6138" s="52" t="s">
        <v>26</v>
      </c>
      <c r="G6138" s="53"/>
    </row>
    <row r="6139">
      <c r="A6139" s="49">
        <v>44758.80178634259</v>
      </c>
      <c r="B6139" s="50">
        <v>44758.9267573379</v>
      </c>
      <c r="C6139" s="51">
        <v>1.004</v>
      </c>
      <c r="D6139" s="51">
        <v>67.0</v>
      </c>
      <c r="E6139" s="52" t="s">
        <v>25</v>
      </c>
      <c r="F6139" s="52" t="s">
        <v>26</v>
      </c>
      <c r="G6139" s="53"/>
    </row>
    <row r="6140">
      <c r="A6140" s="49">
        <v>44758.81221603009</v>
      </c>
      <c r="B6140" s="50">
        <v>44758.9371895486</v>
      </c>
      <c r="C6140" s="51">
        <v>1.004</v>
      </c>
      <c r="D6140" s="51">
        <v>67.0</v>
      </c>
      <c r="E6140" s="52" t="s">
        <v>25</v>
      </c>
      <c r="F6140" s="52" t="s">
        <v>26</v>
      </c>
      <c r="G6140" s="53"/>
    </row>
    <row r="6141">
      <c r="A6141" s="49">
        <v>44758.82263548611</v>
      </c>
      <c r="B6141" s="50">
        <v>44758.9476109143</v>
      </c>
      <c r="C6141" s="51">
        <v>1.004</v>
      </c>
      <c r="D6141" s="51">
        <v>67.0</v>
      </c>
      <c r="E6141" s="52" t="s">
        <v>25</v>
      </c>
      <c r="F6141" s="52" t="s">
        <v>26</v>
      </c>
      <c r="G6141" s="53"/>
    </row>
    <row r="6142">
      <c r="A6142" s="49">
        <v>44758.83305314815</v>
      </c>
      <c r="B6142" s="50">
        <v>44758.9580335532</v>
      </c>
      <c r="C6142" s="51">
        <v>1.004</v>
      </c>
      <c r="D6142" s="51">
        <v>67.0</v>
      </c>
      <c r="E6142" s="52" t="s">
        <v>25</v>
      </c>
      <c r="F6142" s="52" t="s">
        <v>26</v>
      </c>
      <c r="G6142" s="53"/>
    </row>
    <row r="6143">
      <c r="A6143" s="49">
        <v>44758.84347320602</v>
      </c>
      <c r="B6143" s="50">
        <v>44758.9684563078</v>
      </c>
      <c r="C6143" s="51">
        <v>1.004</v>
      </c>
      <c r="D6143" s="51">
        <v>67.0</v>
      </c>
      <c r="E6143" s="52" t="s">
        <v>25</v>
      </c>
      <c r="F6143" s="52" t="s">
        <v>26</v>
      </c>
      <c r="G6143" s="53"/>
    </row>
    <row r="6144">
      <c r="A6144" s="49">
        <v>44758.853893506945</v>
      </c>
      <c r="B6144" s="50">
        <v>44758.9788766782</v>
      </c>
      <c r="C6144" s="51">
        <v>1.004</v>
      </c>
      <c r="D6144" s="51">
        <v>67.0</v>
      </c>
      <c r="E6144" s="52" t="s">
        <v>25</v>
      </c>
      <c r="F6144" s="52" t="s">
        <v>26</v>
      </c>
      <c r="G6144" s="53"/>
    </row>
    <row r="6145">
      <c r="A6145" s="49">
        <v>44758.8643246412</v>
      </c>
      <c r="B6145" s="50">
        <v>44758.9892987268</v>
      </c>
      <c r="C6145" s="51">
        <v>1.004</v>
      </c>
      <c r="D6145" s="51">
        <v>67.0</v>
      </c>
      <c r="E6145" s="52" t="s">
        <v>25</v>
      </c>
      <c r="F6145" s="52" t="s">
        <v>26</v>
      </c>
      <c r="G6145" s="53"/>
    </row>
    <row r="6146">
      <c r="A6146" s="49">
        <v>44758.87474486111</v>
      </c>
      <c r="B6146" s="50">
        <v>44758.9997217708</v>
      </c>
      <c r="C6146" s="51">
        <v>1.004</v>
      </c>
      <c r="D6146" s="51">
        <v>67.0</v>
      </c>
      <c r="E6146" s="52" t="s">
        <v>25</v>
      </c>
      <c r="F6146" s="52" t="s">
        <v>26</v>
      </c>
      <c r="G6146" s="53"/>
    </row>
    <row r="6147">
      <c r="A6147" s="49">
        <v>44758.88516788195</v>
      </c>
      <c r="B6147" s="50">
        <v>44759.0101430092</v>
      </c>
      <c r="C6147" s="51">
        <v>1.004</v>
      </c>
      <c r="D6147" s="51">
        <v>67.0</v>
      </c>
      <c r="E6147" s="52" t="s">
        <v>25</v>
      </c>
      <c r="F6147" s="52" t="s">
        <v>26</v>
      </c>
      <c r="G6147" s="53"/>
    </row>
    <row r="6148">
      <c r="A6148" s="49">
        <v>44758.89557891204</v>
      </c>
      <c r="B6148" s="50">
        <v>44759.0205640625</v>
      </c>
      <c r="C6148" s="51">
        <v>1.004</v>
      </c>
      <c r="D6148" s="51">
        <v>67.0</v>
      </c>
      <c r="E6148" s="52" t="s">
        <v>25</v>
      </c>
      <c r="F6148" s="52" t="s">
        <v>26</v>
      </c>
      <c r="G6148" s="53"/>
    </row>
    <row r="6149">
      <c r="A6149" s="49">
        <v>44758.90601190973</v>
      </c>
      <c r="B6149" s="50">
        <v>44759.0309969444</v>
      </c>
      <c r="C6149" s="51">
        <v>1.004</v>
      </c>
      <c r="D6149" s="51">
        <v>67.0</v>
      </c>
      <c r="E6149" s="52" t="s">
        <v>25</v>
      </c>
      <c r="F6149" s="52" t="s">
        <v>26</v>
      </c>
      <c r="G6149" s="53"/>
    </row>
    <row r="6150">
      <c r="A6150" s="49">
        <v>44758.91644340278</v>
      </c>
      <c r="B6150" s="50">
        <v>44759.0414174884</v>
      </c>
      <c r="C6150" s="51">
        <v>1.004</v>
      </c>
      <c r="D6150" s="51">
        <v>67.0</v>
      </c>
      <c r="E6150" s="52" t="s">
        <v>25</v>
      </c>
      <c r="F6150" s="52" t="s">
        <v>26</v>
      </c>
      <c r="G6150" s="53"/>
    </row>
    <row r="6151">
      <c r="A6151" s="49">
        <v>44758.926874467594</v>
      </c>
      <c r="B6151" s="50">
        <v>44759.0518505671</v>
      </c>
      <c r="C6151" s="51">
        <v>1.004</v>
      </c>
      <c r="D6151" s="51">
        <v>67.0</v>
      </c>
      <c r="E6151" s="52" t="s">
        <v>25</v>
      </c>
      <c r="F6151" s="52" t="s">
        <v>26</v>
      </c>
      <c r="G6151" s="53"/>
    </row>
    <row r="6152">
      <c r="A6152" s="49">
        <v>44758.9373044213</v>
      </c>
      <c r="B6152" s="50">
        <v>44759.0622841551</v>
      </c>
      <c r="C6152" s="51">
        <v>1.004</v>
      </c>
      <c r="D6152" s="51">
        <v>67.0</v>
      </c>
      <c r="E6152" s="52" t="s">
        <v>25</v>
      </c>
      <c r="F6152" s="52" t="s">
        <v>26</v>
      </c>
      <c r="G6152" s="53"/>
    </row>
    <row r="6153">
      <c r="A6153" s="49">
        <v>44758.94773559028</v>
      </c>
      <c r="B6153" s="50">
        <v>44759.0727062615</v>
      </c>
      <c r="C6153" s="51">
        <v>1.004</v>
      </c>
      <c r="D6153" s="51">
        <v>67.0</v>
      </c>
      <c r="E6153" s="52" t="s">
        <v>25</v>
      </c>
      <c r="F6153" s="52" t="s">
        <v>26</v>
      </c>
      <c r="G6153" s="53"/>
    </row>
    <row r="6154">
      <c r="A6154" s="49">
        <v>44758.9581530787</v>
      </c>
      <c r="B6154" s="50">
        <v>44759.0831271643</v>
      </c>
      <c r="C6154" s="51">
        <v>1.004</v>
      </c>
      <c r="D6154" s="51">
        <v>67.0</v>
      </c>
      <c r="E6154" s="52" t="s">
        <v>25</v>
      </c>
      <c r="F6154" s="52" t="s">
        <v>26</v>
      </c>
      <c r="G6154" s="53"/>
    </row>
    <row r="6155">
      <c r="A6155" s="49">
        <v>44758.96857618056</v>
      </c>
      <c r="B6155" s="50">
        <v>44759.0935480208</v>
      </c>
      <c r="C6155" s="51">
        <v>1.004</v>
      </c>
      <c r="D6155" s="51">
        <v>67.0</v>
      </c>
      <c r="E6155" s="52" t="s">
        <v>25</v>
      </c>
      <c r="F6155" s="52" t="s">
        <v>26</v>
      </c>
      <c r="G6155" s="53"/>
    </row>
    <row r="6156">
      <c r="A6156" s="49">
        <v>44758.97899451389</v>
      </c>
      <c r="B6156" s="50">
        <v>44759.1039696527</v>
      </c>
      <c r="C6156" s="51">
        <v>1.004</v>
      </c>
      <c r="D6156" s="51">
        <v>67.0</v>
      </c>
      <c r="E6156" s="52" t="s">
        <v>25</v>
      </c>
      <c r="F6156" s="52" t="s">
        <v>26</v>
      </c>
      <c r="G6156" s="53"/>
    </row>
    <row r="6157">
      <c r="A6157" s="49">
        <v>44758.98941388889</v>
      </c>
      <c r="B6157" s="50">
        <v>44759.1143909027</v>
      </c>
      <c r="C6157" s="51">
        <v>1.004</v>
      </c>
      <c r="D6157" s="51">
        <v>67.0</v>
      </c>
      <c r="E6157" s="52" t="s">
        <v>25</v>
      </c>
      <c r="F6157" s="52" t="s">
        <v>26</v>
      </c>
      <c r="G6157" s="53"/>
    </row>
    <row r="6158">
      <c r="A6158" s="49">
        <v>44758.9998321412</v>
      </c>
      <c r="B6158" s="50">
        <v>44759.1248124884</v>
      </c>
      <c r="C6158" s="51">
        <v>1.004</v>
      </c>
      <c r="D6158" s="51">
        <v>67.0</v>
      </c>
      <c r="E6158" s="52" t="s">
        <v>25</v>
      </c>
      <c r="F6158" s="52" t="s">
        <v>26</v>
      </c>
      <c r="G6158" s="53"/>
    </row>
    <row r="6159">
      <c r="A6159" s="49">
        <v>44759.01025980324</v>
      </c>
      <c r="B6159" s="50">
        <v>44759.1352323611</v>
      </c>
      <c r="C6159" s="51">
        <v>1.004</v>
      </c>
      <c r="D6159" s="51">
        <v>67.0</v>
      </c>
      <c r="E6159" s="52" t="s">
        <v>25</v>
      </c>
      <c r="F6159" s="52" t="s">
        <v>26</v>
      </c>
      <c r="G6159" s="53"/>
    </row>
    <row r="6160">
      <c r="A6160" s="49">
        <v>44759.020693252314</v>
      </c>
      <c r="B6160" s="50">
        <v>44759.1456639351</v>
      </c>
      <c r="C6160" s="51">
        <v>1.004</v>
      </c>
      <c r="D6160" s="51">
        <v>67.0</v>
      </c>
      <c r="E6160" s="52" t="s">
        <v>25</v>
      </c>
      <c r="F6160" s="52" t="s">
        <v>26</v>
      </c>
      <c r="G6160" s="53"/>
    </row>
    <row r="6161">
      <c r="A6161" s="49">
        <v>44759.031113136574</v>
      </c>
      <c r="B6161" s="50">
        <v>44759.1560949537</v>
      </c>
      <c r="C6161" s="51">
        <v>1.004</v>
      </c>
      <c r="D6161" s="51">
        <v>67.0</v>
      </c>
      <c r="E6161" s="52" t="s">
        <v>25</v>
      </c>
      <c r="F6161" s="52" t="s">
        <v>26</v>
      </c>
      <c r="G6161" s="53"/>
    </row>
    <row r="6162">
      <c r="A6162" s="49">
        <v>44759.04154450231</v>
      </c>
      <c r="B6162" s="50">
        <v>44759.1665165625</v>
      </c>
      <c r="C6162" s="51">
        <v>1.004</v>
      </c>
      <c r="D6162" s="51">
        <v>68.0</v>
      </c>
      <c r="E6162" s="52" t="s">
        <v>25</v>
      </c>
      <c r="F6162" s="52" t="s">
        <v>26</v>
      </c>
      <c r="G6162" s="53"/>
    </row>
    <row r="6163">
      <c r="A6163" s="49">
        <v>44759.05196621528</v>
      </c>
      <c r="B6163" s="50">
        <v>44759.1769378009</v>
      </c>
      <c r="C6163" s="51">
        <v>1.004</v>
      </c>
      <c r="D6163" s="51">
        <v>68.0</v>
      </c>
      <c r="E6163" s="52" t="s">
        <v>25</v>
      </c>
      <c r="F6163" s="52" t="s">
        <v>26</v>
      </c>
      <c r="G6163" s="53"/>
    </row>
    <row r="6164">
      <c r="A6164" s="49">
        <v>44759.06238416667</v>
      </c>
      <c r="B6164" s="50">
        <v>44759.1873594444</v>
      </c>
      <c r="C6164" s="51">
        <v>1.004</v>
      </c>
      <c r="D6164" s="51">
        <v>68.0</v>
      </c>
      <c r="E6164" s="52" t="s">
        <v>25</v>
      </c>
      <c r="F6164" s="52" t="s">
        <v>26</v>
      </c>
      <c r="G6164" s="53"/>
    </row>
    <row r="6165">
      <c r="A6165" s="49">
        <v>44759.072803206014</v>
      </c>
      <c r="B6165" s="50">
        <v>44759.1977820138</v>
      </c>
      <c r="C6165" s="51">
        <v>1.004</v>
      </c>
      <c r="D6165" s="51">
        <v>68.0</v>
      </c>
      <c r="E6165" s="52" t="s">
        <v>25</v>
      </c>
      <c r="F6165" s="52" t="s">
        <v>26</v>
      </c>
      <c r="G6165" s="53"/>
    </row>
    <row r="6166">
      <c r="A6166" s="49">
        <v>44759.083224999995</v>
      </c>
      <c r="B6166" s="50">
        <v>44759.2082032523</v>
      </c>
      <c r="C6166" s="51">
        <v>1.004</v>
      </c>
      <c r="D6166" s="51">
        <v>68.0</v>
      </c>
      <c r="E6166" s="52" t="s">
        <v>25</v>
      </c>
      <c r="F6166" s="52" t="s">
        <v>26</v>
      </c>
      <c r="G6166" s="53"/>
    </row>
    <row r="6167">
      <c r="A6167" s="49">
        <v>44759.09364565973</v>
      </c>
      <c r="B6167" s="50">
        <v>44759.2186242476</v>
      </c>
      <c r="C6167" s="51">
        <v>1.004</v>
      </c>
      <c r="D6167" s="51">
        <v>68.0</v>
      </c>
      <c r="E6167" s="52" t="s">
        <v>25</v>
      </c>
      <c r="F6167" s="52" t="s">
        <v>26</v>
      </c>
      <c r="G6167" s="53"/>
    </row>
    <row r="6168">
      <c r="A6168" s="49">
        <v>44759.10408457176</v>
      </c>
      <c r="B6168" s="50">
        <v>44759.2290575231</v>
      </c>
      <c r="C6168" s="51">
        <v>1.004</v>
      </c>
      <c r="D6168" s="51">
        <v>68.0</v>
      </c>
      <c r="E6168" s="52" t="s">
        <v>25</v>
      </c>
      <c r="F6168" s="52" t="s">
        <v>26</v>
      </c>
      <c r="G6168" s="53"/>
    </row>
    <row r="6169">
      <c r="A6169" s="49">
        <v>44759.11450326389</v>
      </c>
      <c r="B6169" s="50">
        <v>44759.2394799421</v>
      </c>
      <c r="C6169" s="51">
        <v>1.004</v>
      </c>
      <c r="D6169" s="51">
        <v>68.0</v>
      </c>
      <c r="E6169" s="52" t="s">
        <v>25</v>
      </c>
      <c r="F6169" s="52" t="s">
        <v>26</v>
      </c>
      <c r="G6169" s="53"/>
    </row>
    <row r="6170">
      <c r="A6170" s="49">
        <v>44759.12493100694</v>
      </c>
      <c r="B6170" s="50">
        <v>44759.2499012847</v>
      </c>
      <c r="C6170" s="51">
        <v>1.004</v>
      </c>
      <c r="D6170" s="51">
        <v>68.0</v>
      </c>
      <c r="E6170" s="52" t="s">
        <v>25</v>
      </c>
      <c r="F6170" s="52" t="s">
        <v>26</v>
      </c>
      <c r="G6170" s="53"/>
    </row>
    <row r="6171">
      <c r="A6171" s="49">
        <v>44759.135348854164</v>
      </c>
      <c r="B6171" s="50">
        <v>44759.2603208333</v>
      </c>
      <c r="C6171" s="51">
        <v>1.004</v>
      </c>
      <c r="D6171" s="51">
        <v>68.0</v>
      </c>
      <c r="E6171" s="52" t="s">
        <v>25</v>
      </c>
      <c r="F6171" s="52" t="s">
        <v>26</v>
      </c>
      <c r="G6171" s="53"/>
    </row>
    <row r="6172">
      <c r="A6172" s="49">
        <v>44759.1457684375</v>
      </c>
      <c r="B6172" s="50">
        <v>44759.2707425694</v>
      </c>
      <c r="C6172" s="51">
        <v>1.004</v>
      </c>
      <c r="D6172" s="51">
        <v>68.0</v>
      </c>
      <c r="E6172" s="52" t="s">
        <v>25</v>
      </c>
      <c r="F6172" s="52" t="s">
        <v>26</v>
      </c>
      <c r="G6172" s="53"/>
    </row>
    <row r="6173">
      <c r="A6173" s="49">
        <v>44759.156182673614</v>
      </c>
      <c r="B6173" s="50">
        <v>44759.2811634375</v>
      </c>
      <c r="C6173" s="51">
        <v>1.004</v>
      </c>
      <c r="D6173" s="51">
        <v>68.0</v>
      </c>
      <c r="E6173" s="52" t="s">
        <v>25</v>
      </c>
      <c r="F6173" s="52" t="s">
        <v>26</v>
      </c>
      <c r="G6173" s="53"/>
    </row>
    <row r="6174">
      <c r="A6174" s="49">
        <v>44759.166600937504</v>
      </c>
      <c r="B6174" s="50">
        <v>44759.2915832407</v>
      </c>
      <c r="C6174" s="51">
        <v>1.004</v>
      </c>
      <c r="D6174" s="51">
        <v>68.0</v>
      </c>
      <c r="E6174" s="52" t="s">
        <v>25</v>
      </c>
      <c r="F6174" s="52" t="s">
        <v>26</v>
      </c>
      <c r="G6174" s="53"/>
    </row>
    <row r="6175">
      <c r="A6175" s="49">
        <v>44759.17703539351</v>
      </c>
      <c r="B6175" s="50">
        <v>44759.3020154629</v>
      </c>
      <c r="C6175" s="51">
        <v>1.004</v>
      </c>
      <c r="D6175" s="51">
        <v>68.0</v>
      </c>
      <c r="E6175" s="52" t="s">
        <v>25</v>
      </c>
      <c r="F6175" s="52" t="s">
        <v>26</v>
      </c>
      <c r="G6175" s="53"/>
    </row>
    <row r="6176">
      <c r="A6176" s="49">
        <v>44759.187462013884</v>
      </c>
      <c r="B6176" s="50">
        <v>44759.3124360416</v>
      </c>
      <c r="C6176" s="51">
        <v>1.004</v>
      </c>
      <c r="D6176" s="51">
        <v>68.0</v>
      </c>
      <c r="E6176" s="52" t="s">
        <v>25</v>
      </c>
      <c r="F6176" s="52" t="s">
        <v>26</v>
      </c>
      <c r="G6176" s="53"/>
    </row>
    <row r="6177">
      <c r="A6177" s="49">
        <v>44759.197881597225</v>
      </c>
      <c r="B6177" s="50">
        <v>44759.322860243</v>
      </c>
      <c r="C6177" s="51">
        <v>1.004</v>
      </c>
      <c r="D6177" s="51">
        <v>68.0</v>
      </c>
      <c r="E6177" s="52" t="s">
        <v>25</v>
      </c>
      <c r="F6177" s="52" t="s">
        <v>26</v>
      </c>
      <c r="G6177" s="53"/>
    </row>
    <row r="6178">
      <c r="A6178" s="49">
        <v>44759.20829766204</v>
      </c>
      <c r="B6178" s="50">
        <v>44759.3332803472</v>
      </c>
      <c r="C6178" s="51">
        <v>1.004</v>
      </c>
      <c r="D6178" s="51">
        <v>68.0</v>
      </c>
      <c r="E6178" s="52" t="s">
        <v>25</v>
      </c>
      <c r="F6178" s="52" t="s">
        <v>26</v>
      </c>
      <c r="G6178" s="53"/>
    </row>
    <row r="6179">
      <c r="A6179" s="49">
        <v>44759.21872737269</v>
      </c>
      <c r="B6179" s="50">
        <v>44759.3437008333</v>
      </c>
      <c r="C6179" s="51">
        <v>1.004</v>
      </c>
      <c r="D6179" s="51">
        <v>68.0</v>
      </c>
      <c r="E6179" s="52" t="s">
        <v>25</v>
      </c>
      <c r="F6179" s="52" t="s">
        <v>26</v>
      </c>
      <c r="G6179" s="53"/>
    </row>
    <row r="6180">
      <c r="A6180" s="49">
        <v>44759.229147777776</v>
      </c>
      <c r="B6180" s="50">
        <v>44759.3541228587</v>
      </c>
      <c r="C6180" s="51">
        <v>1.004</v>
      </c>
      <c r="D6180" s="51">
        <v>68.0</v>
      </c>
      <c r="E6180" s="52" t="s">
        <v>25</v>
      </c>
      <c r="F6180" s="52" t="s">
        <v>26</v>
      </c>
      <c r="G6180" s="53"/>
    </row>
    <row r="6181">
      <c r="A6181" s="49">
        <v>44759.23957041667</v>
      </c>
      <c r="B6181" s="50">
        <v>44759.364543368</v>
      </c>
      <c r="C6181" s="51">
        <v>1.004</v>
      </c>
      <c r="D6181" s="51">
        <v>68.0</v>
      </c>
      <c r="E6181" s="52" t="s">
        <v>25</v>
      </c>
      <c r="F6181" s="52" t="s">
        <v>26</v>
      </c>
      <c r="G6181" s="53"/>
    </row>
    <row r="6182">
      <c r="A6182" s="49">
        <v>44759.249998784726</v>
      </c>
      <c r="B6182" s="50">
        <v>44759.3749769328</v>
      </c>
      <c r="C6182" s="51">
        <v>1.004</v>
      </c>
      <c r="D6182" s="51">
        <v>68.0</v>
      </c>
      <c r="E6182" s="52" t="s">
        <v>25</v>
      </c>
      <c r="F6182" s="52" t="s">
        <v>26</v>
      </c>
      <c r="G6182" s="53"/>
    </row>
    <row r="6183">
      <c r="A6183" s="49">
        <v>44759.260425671295</v>
      </c>
      <c r="B6183" s="50">
        <v>44759.385399537</v>
      </c>
      <c r="C6183" s="51">
        <v>1.004</v>
      </c>
      <c r="D6183" s="51">
        <v>68.0</v>
      </c>
      <c r="E6183" s="52" t="s">
        <v>25</v>
      </c>
      <c r="F6183" s="52" t="s">
        <v>26</v>
      </c>
      <c r="G6183" s="53"/>
    </row>
    <row r="6184">
      <c r="A6184" s="49">
        <v>44759.2708466551</v>
      </c>
      <c r="B6184" s="50">
        <v>44759.3958211111</v>
      </c>
      <c r="C6184" s="51">
        <v>1.004</v>
      </c>
      <c r="D6184" s="51">
        <v>68.0</v>
      </c>
      <c r="E6184" s="52" t="s">
        <v>25</v>
      </c>
      <c r="F6184" s="52" t="s">
        <v>26</v>
      </c>
      <c r="G6184" s="53"/>
    </row>
    <row r="6185">
      <c r="A6185" s="49">
        <v>44759.2812634375</v>
      </c>
      <c r="B6185" s="50">
        <v>44759.4062424537</v>
      </c>
      <c r="C6185" s="51">
        <v>1.004</v>
      </c>
      <c r="D6185" s="51">
        <v>68.0</v>
      </c>
      <c r="E6185" s="52" t="s">
        <v>25</v>
      </c>
      <c r="F6185" s="52" t="s">
        <v>26</v>
      </c>
      <c r="G6185" s="53"/>
    </row>
    <row r="6186">
      <c r="A6186" s="49">
        <v>44759.291681689814</v>
      </c>
      <c r="B6186" s="50">
        <v>44759.4166633217</v>
      </c>
      <c r="C6186" s="51">
        <v>1.004</v>
      </c>
      <c r="D6186" s="51">
        <v>68.0</v>
      </c>
      <c r="E6186" s="52" t="s">
        <v>25</v>
      </c>
      <c r="F6186" s="52" t="s">
        <v>26</v>
      </c>
      <c r="G6186" s="53"/>
    </row>
    <row r="6187">
      <c r="A6187" s="49">
        <v>44759.302100092595</v>
      </c>
      <c r="B6187" s="50">
        <v>44759.4270845023</v>
      </c>
      <c r="C6187" s="51">
        <v>1.004</v>
      </c>
      <c r="D6187" s="51">
        <v>68.0</v>
      </c>
      <c r="E6187" s="52" t="s">
        <v>25</v>
      </c>
      <c r="F6187" s="52" t="s">
        <v>26</v>
      </c>
      <c r="G6187" s="53"/>
    </row>
    <row r="6188">
      <c r="A6188" s="49">
        <v>44759.31254032407</v>
      </c>
      <c r="B6188" s="50">
        <v>44759.4375168055</v>
      </c>
      <c r="C6188" s="51">
        <v>1.004</v>
      </c>
      <c r="D6188" s="51">
        <v>68.0</v>
      </c>
      <c r="E6188" s="52" t="s">
        <v>25</v>
      </c>
      <c r="F6188" s="52" t="s">
        <v>26</v>
      </c>
      <c r="G6188" s="53"/>
    </row>
    <row r="6189">
      <c r="A6189" s="49">
        <v>44759.32300178241</v>
      </c>
      <c r="B6189" s="50">
        <v>44759.4479844444</v>
      </c>
      <c r="C6189" s="51">
        <v>1.004</v>
      </c>
      <c r="D6189" s="51">
        <v>68.0</v>
      </c>
      <c r="E6189" s="52" t="s">
        <v>25</v>
      </c>
      <c r="F6189" s="52" t="s">
        <v>26</v>
      </c>
      <c r="G6189" s="53"/>
    </row>
    <row r="6190">
      <c r="A6190" s="49">
        <v>44759.33343428241</v>
      </c>
      <c r="B6190" s="50">
        <v>44759.4584058333</v>
      </c>
      <c r="C6190" s="51">
        <v>1.004</v>
      </c>
      <c r="D6190" s="51">
        <v>68.0</v>
      </c>
      <c r="E6190" s="52" t="s">
        <v>25</v>
      </c>
      <c r="F6190" s="52" t="s">
        <v>26</v>
      </c>
      <c r="G6190" s="53"/>
    </row>
    <row r="6191">
      <c r="A6191" s="49">
        <v>44759.34385333333</v>
      </c>
      <c r="B6191" s="50">
        <v>44759.4688257986</v>
      </c>
      <c r="C6191" s="51">
        <v>1.004</v>
      </c>
      <c r="D6191" s="51">
        <v>68.0</v>
      </c>
      <c r="E6191" s="52" t="s">
        <v>25</v>
      </c>
      <c r="F6191" s="52" t="s">
        <v>26</v>
      </c>
      <c r="G6191" s="53"/>
    </row>
    <row r="6192">
      <c r="A6192" s="49">
        <v>44759.35427200231</v>
      </c>
      <c r="B6192" s="50">
        <v>44759.4792447916</v>
      </c>
      <c r="C6192" s="51">
        <v>1.004</v>
      </c>
      <c r="D6192" s="51">
        <v>68.0</v>
      </c>
      <c r="E6192" s="52" t="s">
        <v>25</v>
      </c>
      <c r="F6192" s="52" t="s">
        <v>26</v>
      </c>
      <c r="G6192" s="53"/>
    </row>
    <row r="6193">
      <c r="A6193" s="49">
        <v>44759.36468399306</v>
      </c>
      <c r="B6193" s="50">
        <v>44759.4896637384</v>
      </c>
      <c r="C6193" s="51">
        <v>1.004</v>
      </c>
      <c r="D6193" s="51">
        <v>68.0</v>
      </c>
      <c r="E6193" s="52" t="s">
        <v>25</v>
      </c>
      <c r="F6193" s="52" t="s">
        <v>26</v>
      </c>
      <c r="G6193" s="53"/>
    </row>
    <row r="6194">
      <c r="A6194" s="49">
        <v>44759.37511310185</v>
      </c>
      <c r="B6194" s="50">
        <v>44759.5000867361</v>
      </c>
      <c r="C6194" s="51">
        <v>1.004</v>
      </c>
      <c r="D6194" s="51">
        <v>68.0</v>
      </c>
      <c r="E6194" s="52" t="s">
        <v>25</v>
      </c>
      <c r="F6194" s="52" t="s">
        <v>26</v>
      </c>
      <c r="G6194" s="53"/>
    </row>
    <row r="6195">
      <c r="A6195" s="49">
        <v>44759.38552203704</v>
      </c>
      <c r="B6195" s="50">
        <v>44759.51050625</v>
      </c>
      <c r="C6195" s="51">
        <v>1.004</v>
      </c>
      <c r="D6195" s="51">
        <v>68.0</v>
      </c>
      <c r="E6195" s="52" t="s">
        <v>25</v>
      </c>
      <c r="F6195" s="52" t="s">
        <v>26</v>
      </c>
      <c r="G6195" s="53"/>
    </row>
    <row r="6196">
      <c r="A6196" s="49">
        <v>44759.39594459491</v>
      </c>
      <c r="B6196" s="50">
        <v>44759.5209255324</v>
      </c>
      <c r="C6196" s="51">
        <v>1.004</v>
      </c>
      <c r="D6196" s="51">
        <v>68.0</v>
      </c>
      <c r="E6196" s="52" t="s">
        <v>25</v>
      </c>
      <c r="F6196" s="52" t="s">
        <v>26</v>
      </c>
      <c r="G6196" s="53"/>
    </row>
    <row r="6197">
      <c r="A6197" s="49">
        <v>44759.406375</v>
      </c>
      <c r="B6197" s="50">
        <v>44759.5313467476</v>
      </c>
      <c r="C6197" s="51">
        <v>1.004</v>
      </c>
      <c r="D6197" s="51">
        <v>68.0</v>
      </c>
      <c r="E6197" s="52" t="s">
        <v>25</v>
      </c>
      <c r="F6197" s="52" t="s">
        <v>26</v>
      </c>
      <c r="G6197" s="53"/>
    </row>
    <row r="6198">
      <c r="A6198" s="49">
        <v>44759.416806458335</v>
      </c>
      <c r="B6198" s="50">
        <v>44759.5417794328</v>
      </c>
      <c r="C6198" s="51">
        <v>1.004</v>
      </c>
      <c r="D6198" s="51">
        <v>68.0</v>
      </c>
      <c r="E6198" s="52" t="s">
        <v>25</v>
      </c>
      <c r="F6198" s="52" t="s">
        <v>26</v>
      </c>
      <c r="G6198" s="53"/>
    </row>
    <row r="6199">
      <c r="A6199" s="49">
        <v>44759.42723673611</v>
      </c>
      <c r="B6199" s="50">
        <v>44759.5522114004</v>
      </c>
      <c r="C6199" s="51">
        <v>1.004</v>
      </c>
      <c r="D6199" s="51">
        <v>68.0</v>
      </c>
      <c r="E6199" s="52" t="s">
        <v>25</v>
      </c>
      <c r="F6199" s="52" t="s">
        <v>26</v>
      </c>
      <c r="G6199" s="53"/>
    </row>
    <row r="6200">
      <c r="A6200" s="49">
        <v>44759.43765936342</v>
      </c>
      <c r="B6200" s="50">
        <v>44759.5626318634</v>
      </c>
      <c r="C6200" s="51">
        <v>1.004</v>
      </c>
      <c r="D6200" s="51">
        <v>68.0</v>
      </c>
      <c r="E6200" s="52" t="s">
        <v>25</v>
      </c>
      <c r="F6200" s="52" t="s">
        <v>26</v>
      </c>
      <c r="G6200" s="53"/>
    </row>
    <row r="6201">
      <c r="A6201" s="49">
        <v>44759.44807815972</v>
      </c>
      <c r="B6201" s="50">
        <v>44759.5730519097</v>
      </c>
      <c r="C6201" s="51">
        <v>1.004</v>
      </c>
      <c r="D6201" s="51">
        <v>68.0</v>
      </c>
      <c r="E6201" s="52" t="s">
        <v>25</v>
      </c>
      <c r="F6201" s="52" t="s">
        <v>26</v>
      </c>
      <c r="G6201" s="53"/>
    </row>
    <row r="6202">
      <c r="A6202" s="49">
        <v>44759.45854423611</v>
      </c>
      <c r="B6202" s="50">
        <v>44759.5835205555</v>
      </c>
      <c r="C6202" s="51">
        <v>1.004</v>
      </c>
      <c r="D6202" s="51">
        <v>68.0</v>
      </c>
      <c r="E6202" s="52" t="s">
        <v>25</v>
      </c>
      <c r="F6202" s="52" t="s">
        <v>26</v>
      </c>
      <c r="G6202" s="53"/>
    </row>
    <row r="6203">
      <c r="A6203" s="49">
        <v>44759.46896013889</v>
      </c>
      <c r="B6203" s="50">
        <v>44759.5939416088</v>
      </c>
      <c r="C6203" s="51">
        <v>1.004</v>
      </c>
      <c r="D6203" s="51">
        <v>68.0</v>
      </c>
      <c r="E6203" s="52" t="s">
        <v>25</v>
      </c>
      <c r="F6203" s="52" t="s">
        <v>26</v>
      </c>
      <c r="G6203" s="53"/>
    </row>
    <row r="6204">
      <c r="A6204" s="49">
        <v>44759.479391817134</v>
      </c>
      <c r="B6204" s="50">
        <v>44759.6043634143</v>
      </c>
      <c r="C6204" s="51">
        <v>1.004</v>
      </c>
      <c r="D6204" s="51">
        <v>68.0</v>
      </c>
      <c r="E6204" s="52" t="s">
        <v>25</v>
      </c>
      <c r="F6204" s="52" t="s">
        <v>26</v>
      </c>
      <c r="G6204" s="53"/>
    </row>
    <row r="6205">
      <c r="A6205" s="49">
        <v>44759.48981175926</v>
      </c>
      <c r="B6205" s="50">
        <v>44759.6147951736</v>
      </c>
      <c r="C6205" s="51">
        <v>1.004</v>
      </c>
      <c r="D6205" s="51">
        <v>68.0</v>
      </c>
      <c r="E6205" s="52" t="s">
        <v>25</v>
      </c>
      <c r="F6205" s="52" t="s">
        <v>26</v>
      </c>
      <c r="G6205" s="53"/>
    </row>
    <row r="6206">
      <c r="A6206" s="49">
        <v>44759.50024392361</v>
      </c>
      <c r="B6206" s="50">
        <v>44759.6252173842</v>
      </c>
      <c r="C6206" s="51">
        <v>1.004</v>
      </c>
      <c r="D6206" s="51">
        <v>68.0</v>
      </c>
      <c r="E6206" s="52" t="s">
        <v>25</v>
      </c>
      <c r="F6206" s="52" t="s">
        <v>26</v>
      </c>
      <c r="G6206" s="53"/>
    </row>
    <row r="6207">
      <c r="A6207" s="49">
        <v>44759.5106618287</v>
      </c>
      <c r="B6207" s="50">
        <v>44759.6356381828</v>
      </c>
      <c r="C6207" s="51">
        <v>1.004</v>
      </c>
      <c r="D6207" s="51">
        <v>68.0</v>
      </c>
      <c r="E6207" s="52" t="s">
        <v>25</v>
      </c>
      <c r="F6207" s="52" t="s">
        <v>26</v>
      </c>
      <c r="G6207" s="53"/>
    </row>
    <row r="6208">
      <c r="A6208" s="49">
        <v>44759.52108140047</v>
      </c>
      <c r="B6208" s="50">
        <v>44759.6460609143</v>
      </c>
      <c r="C6208" s="51">
        <v>1.004</v>
      </c>
      <c r="D6208" s="51">
        <v>68.0</v>
      </c>
      <c r="E6208" s="52" t="s">
        <v>25</v>
      </c>
      <c r="F6208" s="52" t="s">
        <v>26</v>
      </c>
      <c r="G6208" s="53"/>
    </row>
    <row r="6209">
      <c r="A6209" s="49">
        <v>44759.53150416666</v>
      </c>
      <c r="B6209" s="50">
        <v>44759.656480706</v>
      </c>
      <c r="C6209" s="51">
        <v>1.004</v>
      </c>
      <c r="D6209" s="51">
        <v>68.0</v>
      </c>
      <c r="E6209" s="52" t="s">
        <v>25</v>
      </c>
      <c r="F6209" s="52" t="s">
        <v>26</v>
      </c>
      <c r="G6209" s="53"/>
    </row>
    <row r="6210">
      <c r="A6210" s="49">
        <v>44759.541935636575</v>
      </c>
      <c r="B6210" s="50">
        <v>44759.6669141666</v>
      </c>
      <c r="C6210" s="51">
        <v>1.004</v>
      </c>
      <c r="D6210" s="51">
        <v>68.0</v>
      </c>
      <c r="E6210" s="52" t="s">
        <v>25</v>
      </c>
      <c r="F6210" s="52" t="s">
        <v>26</v>
      </c>
      <c r="G6210" s="53"/>
    </row>
    <row r="6211">
      <c r="A6211" s="49">
        <v>44759.55235557871</v>
      </c>
      <c r="B6211" s="50">
        <v>44759.6773329745</v>
      </c>
      <c r="C6211" s="51">
        <v>1.004</v>
      </c>
      <c r="D6211" s="51">
        <v>68.0</v>
      </c>
      <c r="E6211" s="52" t="s">
        <v>25</v>
      </c>
      <c r="F6211" s="52" t="s">
        <v>26</v>
      </c>
      <c r="G6211" s="53"/>
    </row>
    <row r="6212">
      <c r="A6212" s="49">
        <v>44759.56277773148</v>
      </c>
      <c r="B6212" s="50">
        <v>44759.6877552314</v>
      </c>
      <c r="C6212" s="51">
        <v>1.004</v>
      </c>
      <c r="D6212" s="51">
        <v>68.0</v>
      </c>
      <c r="E6212" s="52" t="s">
        <v>25</v>
      </c>
      <c r="F6212" s="52" t="s">
        <v>26</v>
      </c>
      <c r="G6212" s="53"/>
    </row>
    <row r="6213">
      <c r="A6213" s="49">
        <v>44759.57320115741</v>
      </c>
      <c r="B6213" s="50">
        <v>44759.6981767013</v>
      </c>
      <c r="C6213" s="51">
        <v>1.004</v>
      </c>
      <c r="D6213" s="51">
        <v>68.0</v>
      </c>
      <c r="E6213" s="52" t="s">
        <v>25</v>
      </c>
      <c r="F6213" s="52" t="s">
        <v>26</v>
      </c>
      <c r="G6213" s="53"/>
    </row>
    <row r="6214">
      <c r="A6214" s="49">
        <v>44759.583626527776</v>
      </c>
      <c r="B6214" s="50">
        <v>44759.7085994791</v>
      </c>
      <c r="C6214" s="51">
        <v>1.004</v>
      </c>
      <c r="D6214" s="51">
        <v>68.0</v>
      </c>
      <c r="E6214" s="52" t="s">
        <v>25</v>
      </c>
      <c r="F6214" s="52" t="s">
        <v>26</v>
      </c>
      <c r="G6214" s="53"/>
    </row>
    <row r="6215">
      <c r="A6215" s="49">
        <v>44759.59404210648</v>
      </c>
      <c r="B6215" s="50">
        <v>44759.7190198495</v>
      </c>
      <c r="C6215" s="51">
        <v>1.004</v>
      </c>
      <c r="D6215" s="51">
        <v>68.0</v>
      </c>
      <c r="E6215" s="52" t="s">
        <v>25</v>
      </c>
      <c r="F6215" s="52" t="s">
        <v>26</v>
      </c>
      <c r="G6215" s="53"/>
    </row>
    <row r="6216">
      <c r="A6216" s="49">
        <v>44759.60445763889</v>
      </c>
      <c r="B6216" s="50">
        <v>44759.7294391666</v>
      </c>
      <c r="C6216" s="51">
        <v>1.004</v>
      </c>
      <c r="D6216" s="51">
        <v>68.0</v>
      </c>
      <c r="E6216" s="52" t="s">
        <v>25</v>
      </c>
      <c r="F6216" s="52" t="s">
        <v>26</v>
      </c>
      <c r="G6216" s="53"/>
    </row>
    <row r="6217">
      <c r="A6217" s="49">
        <v>44759.61488721065</v>
      </c>
      <c r="B6217" s="50">
        <v>44759.7398599305</v>
      </c>
      <c r="C6217" s="51">
        <v>1.004</v>
      </c>
      <c r="D6217" s="51">
        <v>68.0</v>
      </c>
      <c r="E6217" s="52" t="s">
        <v>25</v>
      </c>
      <c r="F6217" s="52" t="s">
        <v>26</v>
      </c>
      <c r="G6217" s="53"/>
    </row>
    <row r="6218">
      <c r="A6218" s="49">
        <v>44759.62529939815</v>
      </c>
      <c r="B6218" s="50">
        <v>44759.7502801157</v>
      </c>
      <c r="C6218" s="51">
        <v>1.004</v>
      </c>
      <c r="D6218" s="51">
        <v>68.0</v>
      </c>
      <c r="E6218" s="52" t="s">
        <v>25</v>
      </c>
      <c r="F6218" s="52" t="s">
        <v>26</v>
      </c>
      <c r="G6218" s="53"/>
    </row>
    <row r="6219">
      <c r="A6219" s="49">
        <v>44759.63572041667</v>
      </c>
      <c r="B6219" s="50">
        <v>44759.7607001967</v>
      </c>
      <c r="C6219" s="51">
        <v>1.004</v>
      </c>
      <c r="D6219" s="51">
        <v>68.0</v>
      </c>
      <c r="E6219" s="52" t="s">
        <v>25</v>
      </c>
      <c r="F6219" s="52" t="s">
        <v>26</v>
      </c>
      <c r="G6219" s="53"/>
    </row>
    <row r="6220">
      <c r="A6220" s="49">
        <v>44759.64614943287</v>
      </c>
      <c r="B6220" s="50">
        <v>44759.7711219791</v>
      </c>
      <c r="C6220" s="51">
        <v>1.004</v>
      </c>
      <c r="D6220" s="51">
        <v>68.0</v>
      </c>
      <c r="E6220" s="52" t="s">
        <v>25</v>
      </c>
      <c r="F6220" s="52" t="s">
        <v>26</v>
      </c>
      <c r="G6220" s="53"/>
    </row>
    <row r="6221">
      <c r="A6221" s="49">
        <v>44759.65657575231</v>
      </c>
      <c r="B6221" s="50">
        <v>44759.7815434606</v>
      </c>
      <c r="C6221" s="51">
        <v>1.004</v>
      </c>
      <c r="D6221" s="51">
        <v>68.0</v>
      </c>
      <c r="E6221" s="52" t="s">
        <v>25</v>
      </c>
      <c r="F6221" s="52" t="s">
        <v>26</v>
      </c>
      <c r="G6221" s="53"/>
    </row>
    <row r="6222">
      <c r="A6222" s="49">
        <v>44759.666980462964</v>
      </c>
      <c r="B6222" s="50">
        <v>44759.7919633101</v>
      </c>
      <c r="C6222" s="51">
        <v>1.004</v>
      </c>
      <c r="D6222" s="51">
        <v>68.0</v>
      </c>
      <c r="E6222" s="52" t="s">
        <v>25</v>
      </c>
      <c r="F6222" s="52" t="s">
        <v>26</v>
      </c>
      <c r="G6222" s="53"/>
    </row>
    <row r="6223">
      <c r="A6223" s="49">
        <v>44759.6774147338</v>
      </c>
      <c r="B6223" s="50">
        <v>44759.8023838541</v>
      </c>
      <c r="C6223" s="51">
        <v>1.004</v>
      </c>
      <c r="D6223" s="51">
        <v>68.0</v>
      </c>
      <c r="E6223" s="52" t="s">
        <v>25</v>
      </c>
      <c r="F6223" s="52" t="s">
        <v>26</v>
      </c>
      <c r="G6223" s="53"/>
    </row>
    <row r="6224">
      <c r="A6224" s="49">
        <v>44759.687856550925</v>
      </c>
      <c r="B6224" s="50">
        <v>44759.8128292824</v>
      </c>
      <c r="C6224" s="51">
        <v>1.004</v>
      </c>
      <c r="D6224" s="51">
        <v>68.0</v>
      </c>
      <c r="E6224" s="52" t="s">
        <v>25</v>
      </c>
      <c r="F6224" s="52" t="s">
        <v>26</v>
      </c>
      <c r="G6224" s="53"/>
    </row>
    <row r="6225">
      <c r="A6225" s="49">
        <v>44759.69827141204</v>
      </c>
      <c r="B6225" s="50">
        <v>44759.8232510879</v>
      </c>
      <c r="C6225" s="51">
        <v>1.004</v>
      </c>
      <c r="D6225" s="51">
        <v>68.0</v>
      </c>
      <c r="E6225" s="52" t="s">
        <v>25</v>
      </c>
      <c r="F6225" s="52" t="s">
        <v>26</v>
      </c>
      <c r="G6225" s="53"/>
    </row>
    <row r="6226">
      <c r="A6226" s="49">
        <v>44759.70868894676</v>
      </c>
      <c r="B6226" s="50">
        <v>44759.8336715162</v>
      </c>
      <c r="C6226" s="51">
        <v>1.004</v>
      </c>
      <c r="D6226" s="51">
        <v>68.0</v>
      </c>
      <c r="E6226" s="52" t="s">
        <v>25</v>
      </c>
      <c r="F6226" s="52" t="s">
        <v>26</v>
      </c>
      <c r="G6226" s="53"/>
    </row>
    <row r="6227">
      <c r="A6227" s="49">
        <v>44759.71911868056</v>
      </c>
      <c r="B6227" s="50">
        <v>44759.8440935879</v>
      </c>
      <c r="C6227" s="51">
        <v>1.004</v>
      </c>
      <c r="D6227" s="51">
        <v>68.0</v>
      </c>
      <c r="E6227" s="52" t="s">
        <v>25</v>
      </c>
      <c r="F6227" s="52" t="s">
        <v>26</v>
      </c>
      <c r="G6227" s="53"/>
    </row>
    <row r="6228">
      <c r="A6228" s="49">
        <v>44759.729539594904</v>
      </c>
      <c r="B6228" s="50">
        <v>44759.8545141666</v>
      </c>
      <c r="C6228" s="51">
        <v>1.004</v>
      </c>
      <c r="D6228" s="51">
        <v>68.0</v>
      </c>
      <c r="E6228" s="52" t="s">
        <v>25</v>
      </c>
      <c r="F6228" s="52" t="s">
        <v>26</v>
      </c>
      <c r="G6228" s="53"/>
    </row>
    <row r="6229">
      <c r="A6229" s="49">
        <v>44759.739959618055</v>
      </c>
      <c r="B6229" s="50">
        <v>44759.8649348611</v>
      </c>
      <c r="C6229" s="51">
        <v>1.004</v>
      </c>
      <c r="D6229" s="51">
        <v>68.0</v>
      </c>
      <c r="E6229" s="52" t="s">
        <v>25</v>
      </c>
      <c r="F6229" s="52" t="s">
        <v>26</v>
      </c>
      <c r="G6229" s="53"/>
    </row>
    <row r="6230">
      <c r="A6230" s="49">
        <v>44759.750391469905</v>
      </c>
      <c r="B6230" s="50">
        <v>44759.8753542592</v>
      </c>
      <c r="C6230" s="51">
        <v>1.004</v>
      </c>
      <c r="D6230" s="51">
        <v>68.0</v>
      </c>
      <c r="E6230" s="52" t="s">
        <v>25</v>
      </c>
      <c r="F6230" s="52" t="s">
        <v>26</v>
      </c>
      <c r="G6230" s="53"/>
    </row>
    <row r="6231">
      <c r="A6231" s="49">
        <v>44759.76081049768</v>
      </c>
      <c r="B6231" s="50">
        <v>44759.8857878009</v>
      </c>
      <c r="C6231" s="51">
        <v>1.004</v>
      </c>
      <c r="D6231" s="51">
        <v>68.0</v>
      </c>
      <c r="E6231" s="52" t="s">
        <v>25</v>
      </c>
      <c r="F6231" s="52" t="s">
        <v>26</v>
      </c>
      <c r="G6231" s="53"/>
    </row>
    <row r="6232">
      <c r="A6232" s="49">
        <v>44759.771228032405</v>
      </c>
      <c r="B6232" s="50">
        <v>44759.8962095833</v>
      </c>
      <c r="C6232" s="51">
        <v>1.004</v>
      </c>
      <c r="D6232" s="51">
        <v>68.0</v>
      </c>
      <c r="E6232" s="52" t="s">
        <v>25</v>
      </c>
      <c r="F6232" s="52" t="s">
        <v>26</v>
      </c>
      <c r="G6232" s="53"/>
    </row>
    <row r="6233">
      <c r="A6233" s="49">
        <v>44759.78166096065</v>
      </c>
      <c r="B6233" s="50">
        <v>44759.9066315046</v>
      </c>
      <c r="C6233" s="51">
        <v>1.004</v>
      </c>
      <c r="D6233" s="51">
        <v>68.0</v>
      </c>
      <c r="E6233" s="52" t="s">
        <v>25</v>
      </c>
      <c r="F6233" s="52" t="s">
        <v>26</v>
      </c>
      <c r="G6233" s="53"/>
    </row>
    <row r="6234">
      <c r="A6234" s="49">
        <v>44759.7920796875</v>
      </c>
      <c r="B6234" s="50">
        <v>44759.9170528703</v>
      </c>
      <c r="C6234" s="51">
        <v>1.004</v>
      </c>
      <c r="D6234" s="51">
        <v>68.0</v>
      </c>
      <c r="E6234" s="52" t="s">
        <v>25</v>
      </c>
      <c r="F6234" s="52" t="s">
        <v>26</v>
      </c>
      <c r="G6234" s="53"/>
    </row>
    <row r="6235">
      <c r="A6235" s="49">
        <v>44759.80250076389</v>
      </c>
      <c r="B6235" s="50">
        <v>44759.9274760185</v>
      </c>
      <c r="C6235" s="51">
        <v>1.004</v>
      </c>
      <c r="D6235" s="51">
        <v>68.0</v>
      </c>
      <c r="E6235" s="52" t="s">
        <v>25</v>
      </c>
      <c r="F6235" s="52" t="s">
        <v>26</v>
      </c>
      <c r="G6235" s="53"/>
    </row>
    <row r="6236">
      <c r="A6236" s="49">
        <v>44759.81292193287</v>
      </c>
      <c r="B6236" s="50">
        <v>44759.9378964467</v>
      </c>
      <c r="C6236" s="51">
        <v>1.004</v>
      </c>
      <c r="D6236" s="51">
        <v>68.0</v>
      </c>
      <c r="E6236" s="52" t="s">
        <v>25</v>
      </c>
      <c r="F6236" s="52" t="s">
        <v>26</v>
      </c>
      <c r="G6236" s="53"/>
    </row>
    <row r="6237">
      <c r="A6237" s="49">
        <v>44759.823343449076</v>
      </c>
      <c r="B6237" s="50">
        <v>44759.9483179629</v>
      </c>
      <c r="C6237" s="51">
        <v>1.004</v>
      </c>
      <c r="D6237" s="51">
        <v>68.0</v>
      </c>
      <c r="E6237" s="52" t="s">
        <v>25</v>
      </c>
      <c r="F6237" s="52" t="s">
        <v>26</v>
      </c>
      <c r="G6237" s="53"/>
    </row>
    <row r="6238">
      <c r="A6238" s="49">
        <v>44759.83379809027</v>
      </c>
      <c r="B6238" s="50">
        <v>44759.9587730324</v>
      </c>
      <c r="C6238" s="51">
        <v>1.004</v>
      </c>
      <c r="D6238" s="51">
        <v>68.0</v>
      </c>
      <c r="E6238" s="52" t="s">
        <v>25</v>
      </c>
      <c r="F6238" s="52" t="s">
        <v>26</v>
      </c>
      <c r="G6238" s="53"/>
    </row>
    <row r="6239">
      <c r="A6239" s="49">
        <v>44759.844228738424</v>
      </c>
      <c r="B6239" s="50">
        <v>44759.9692058796</v>
      </c>
      <c r="C6239" s="51">
        <v>1.004</v>
      </c>
      <c r="D6239" s="51">
        <v>68.0</v>
      </c>
      <c r="E6239" s="52" t="s">
        <v>25</v>
      </c>
      <c r="F6239" s="52" t="s">
        <v>26</v>
      </c>
      <c r="G6239" s="53"/>
    </row>
    <row r="6240">
      <c r="A6240" s="49">
        <v>44759.85464788195</v>
      </c>
      <c r="B6240" s="50">
        <v>44759.9796267939</v>
      </c>
      <c r="C6240" s="51">
        <v>1.004</v>
      </c>
      <c r="D6240" s="51">
        <v>69.0</v>
      </c>
      <c r="E6240" s="52" t="s">
        <v>25</v>
      </c>
      <c r="F6240" s="52" t="s">
        <v>26</v>
      </c>
      <c r="G6240" s="53"/>
    </row>
    <row r="6241">
      <c r="A6241" s="49">
        <v>44759.86509324074</v>
      </c>
      <c r="B6241" s="50">
        <v>44759.9900597338</v>
      </c>
      <c r="C6241" s="51">
        <v>1.004</v>
      </c>
      <c r="D6241" s="51">
        <v>69.0</v>
      </c>
      <c r="E6241" s="52" t="s">
        <v>25</v>
      </c>
      <c r="F6241" s="52" t="s">
        <v>26</v>
      </c>
      <c r="G6241" s="53"/>
    </row>
    <row r="6242">
      <c r="A6242" s="49">
        <v>44759.87550649306</v>
      </c>
      <c r="B6242" s="50">
        <v>44760.0004802546</v>
      </c>
      <c r="C6242" s="51">
        <v>1.004</v>
      </c>
      <c r="D6242" s="51">
        <v>69.0</v>
      </c>
      <c r="E6242" s="52" t="s">
        <v>25</v>
      </c>
      <c r="F6242" s="52" t="s">
        <v>26</v>
      </c>
      <c r="G6242" s="53"/>
    </row>
    <row r="6243">
      <c r="A6243" s="49">
        <v>44759.88592857639</v>
      </c>
      <c r="B6243" s="50">
        <v>44760.0109019907</v>
      </c>
      <c r="C6243" s="51">
        <v>1.004</v>
      </c>
      <c r="D6243" s="51">
        <v>69.0</v>
      </c>
      <c r="E6243" s="52" t="s">
        <v>25</v>
      </c>
      <c r="F6243" s="52" t="s">
        <v>26</v>
      </c>
      <c r="G6243" s="53"/>
    </row>
    <row r="6244">
      <c r="A6244" s="49">
        <v>44759.89634432871</v>
      </c>
      <c r="B6244" s="50">
        <v>44760.0213228009</v>
      </c>
      <c r="C6244" s="51">
        <v>1.004</v>
      </c>
      <c r="D6244" s="51">
        <v>68.0</v>
      </c>
      <c r="E6244" s="52" t="s">
        <v>25</v>
      </c>
      <c r="F6244" s="52" t="s">
        <v>26</v>
      </c>
      <c r="G6244" s="53"/>
    </row>
    <row r="6245">
      <c r="A6245" s="49">
        <v>44759.90677113426</v>
      </c>
      <c r="B6245" s="50">
        <v>44760.0317443518</v>
      </c>
      <c r="C6245" s="51">
        <v>1.004</v>
      </c>
      <c r="D6245" s="51">
        <v>69.0</v>
      </c>
      <c r="E6245" s="52" t="s">
        <v>25</v>
      </c>
      <c r="F6245" s="52" t="s">
        <v>26</v>
      </c>
      <c r="G6245" s="53"/>
    </row>
    <row r="6246">
      <c r="A6246" s="49">
        <v>44759.91719314815</v>
      </c>
      <c r="B6246" s="50">
        <v>44760.0421656481</v>
      </c>
      <c r="C6246" s="51">
        <v>1.004</v>
      </c>
      <c r="D6246" s="51">
        <v>69.0</v>
      </c>
      <c r="E6246" s="52" t="s">
        <v>25</v>
      </c>
      <c r="F6246" s="52" t="s">
        <v>26</v>
      </c>
      <c r="G6246" s="53"/>
    </row>
    <row r="6247">
      <c r="A6247" s="49">
        <v>44759.92761508102</v>
      </c>
      <c r="B6247" s="50">
        <v>44760.0525864699</v>
      </c>
      <c r="C6247" s="51">
        <v>1.004</v>
      </c>
      <c r="D6247" s="51">
        <v>69.0</v>
      </c>
      <c r="E6247" s="52" t="s">
        <v>25</v>
      </c>
      <c r="F6247" s="52" t="s">
        <v>26</v>
      </c>
      <c r="G6247" s="53"/>
    </row>
    <row r="6248">
      <c r="A6248" s="49">
        <v>44759.93803449074</v>
      </c>
      <c r="B6248" s="50">
        <v>44760.0630077662</v>
      </c>
      <c r="C6248" s="51">
        <v>1.004</v>
      </c>
      <c r="D6248" s="51">
        <v>69.0</v>
      </c>
      <c r="E6248" s="52" t="s">
        <v>25</v>
      </c>
      <c r="F6248" s="52" t="s">
        <v>26</v>
      </c>
      <c r="G6248" s="53"/>
    </row>
    <row r="6249">
      <c r="A6249" s="49">
        <v>44759.94845449074</v>
      </c>
      <c r="B6249" s="50">
        <v>44760.073428831</v>
      </c>
      <c r="C6249" s="51">
        <v>1.004</v>
      </c>
      <c r="D6249" s="51">
        <v>69.0</v>
      </c>
      <c r="E6249" s="52" t="s">
        <v>25</v>
      </c>
      <c r="F6249" s="52" t="s">
        <v>26</v>
      </c>
      <c r="G6249" s="53"/>
    </row>
    <row r="6250">
      <c r="A6250" s="49">
        <v>44759.958873310185</v>
      </c>
      <c r="B6250" s="50">
        <v>44760.0838488657</v>
      </c>
      <c r="C6250" s="51">
        <v>1.004</v>
      </c>
      <c r="D6250" s="51">
        <v>69.0</v>
      </c>
      <c r="E6250" s="52" t="s">
        <v>25</v>
      </c>
      <c r="F6250" s="52" t="s">
        <v>26</v>
      </c>
      <c r="G6250" s="53"/>
    </row>
    <row r="6251">
      <c r="A6251" s="49">
        <v>44759.96929318287</v>
      </c>
      <c r="B6251" s="50">
        <v>44760.0942688425</v>
      </c>
      <c r="C6251" s="51">
        <v>1.004</v>
      </c>
      <c r="D6251" s="51">
        <v>69.0</v>
      </c>
      <c r="E6251" s="52" t="s">
        <v>25</v>
      </c>
      <c r="F6251" s="52" t="s">
        <v>26</v>
      </c>
      <c r="G6251" s="53"/>
    </row>
    <row r="6252">
      <c r="A6252" s="49">
        <v>44759.97971693287</v>
      </c>
      <c r="B6252" s="50">
        <v>44760.1046910185</v>
      </c>
      <c r="C6252" s="51">
        <v>1.004</v>
      </c>
      <c r="D6252" s="51">
        <v>69.0</v>
      </c>
      <c r="E6252" s="52" t="s">
        <v>25</v>
      </c>
      <c r="F6252" s="52" t="s">
        <v>26</v>
      </c>
      <c r="G6252" s="53"/>
    </row>
    <row r="6253">
      <c r="A6253" s="49">
        <v>44759.99014090278</v>
      </c>
      <c r="B6253" s="50">
        <v>44760.1151120254</v>
      </c>
      <c r="C6253" s="51">
        <v>1.004</v>
      </c>
      <c r="D6253" s="51">
        <v>69.0</v>
      </c>
      <c r="E6253" s="52" t="s">
        <v>25</v>
      </c>
      <c r="F6253" s="52" t="s">
        <v>26</v>
      </c>
      <c r="G6253" s="53"/>
    </row>
    <row r="6254">
      <c r="A6254" s="49">
        <v>44760.00055685185</v>
      </c>
      <c r="B6254" s="50">
        <v>44760.1255322338</v>
      </c>
      <c r="C6254" s="51">
        <v>1.004</v>
      </c>
      <c r="D6254" s="51">
        <v>69.0</v>
      </c>
      <c r="E6254" s="52" t="s">
        <v>25</v>
      </c>
      <c r="F6254" s="52" t="s">
        <v>26</v>
      </c>
      <c r="G6254" s="53"/>
    </row>
    <row r="6255">
      <c r="A6255" s="49">
        <v>44760.01098605324</v>
      </c>
      <c r="B6255" s="50">
        <v>44760.135954375</v>
      </c>
      <c r="C6255" s="51">
        <v>1.004</v>
      </c>
      <c r="D6255" s="51">
        <v>69.0</v>
      </c>
      <c r="E6255" s="52" t="s">
        <v>25</v>
      </c>
      <c r="F6255" s="52" t="s">
        <v>26</v>
      </c>
      <c r="G6255" s="53"/>
    </row>
    <row r="6256">
      <c r="A6256" s="49">
        <v>44760.02140412037</v>
      </c>
      <c r="B6256" s="50">
        <v>44760.1463766203</v>
      </c>
      <c r="C6256" s="51">
        <v>1.005</v>
      </c>
      <c r="D6256" s="51">
        <v>69.0</v>
      </c>
      <c r="E6256" s="52" t="s">
        <v>25</v>
      </c>
      <c r="F6256" s="52" t="s">
        <v>26</v>
      </c>
      <c r="G6256" s="53"/>
    </row>
    <row r="6257">
      <c r="A6257" s="49">
        <v>44760.042270335645</v>
      </c>
      <c r="B6257" s="50">
        <v>44760.1672428356</v>
      </c>
      <c r="C6257" s="51">
        <v>1.004</v>
      </c>
      <c r="D6257" s="51">
        <v>69.0</v>
      </c>
      <c r="E6257" s="52" t="s">
        <v>25</v>
      </c>
      <c r="F6257" s="52" t="s">
        <v>26</v>
      </c>
      <c r="G6257" s="53"/>
    </row>
    <row r="6258">
      <c r="A6258" s="49">
        <v>44760.052686041665</v>
      </c>
      <c r="B6258" s="50">
        <v>44760.1776644213</v>
      </c>
      <c r="C6258" s="51">
        <v>1.004</v>
      </c>
      <c r="D6258" s="51">
        <v>69.0</v>
      </c>
      <c r="E6258" s="52" t="s">
        <v>25</v>
      </c>
      <c r="F6258" s="52" t="s">
        <v>26</v>
      </c>
      <c r="G6258" s="53"/>
    </row>
    <row r="6259">
      <c r="A6259" s="49">
        <v>44760.06310693287</v>
      </c>
      <c r="B6259" s="50">
        <v>44760.1880841203</v>
      </c>
      <c r="C6259" s="51">
        <v>1.004</v>
      </c>
      <c r="D6259" s="51">
        <v>69.0</v>
      </c>
      <c r="E6259" s="52" t="s">
        <v>25</v>
      </c>
      <c r="F6259" s="52" t="s">
        <v>26</v>
      </c>
      <c r="G6259" s="53"/>
    </row>
    <row r="6260">
      <c r="A6260" s="49">
        <v>44760.07353920139</v>
      </c>
      <c r="B6260" s="50">
        <v>44760.1985048032</v>
      </c>
      <c r="C6260" s="51">
        <v>1.004</v>
      </c>
      <c r="D6260" s="51">
        <v>69.0</v>
      </c>
      <c r="E6260" s="52" t="s">
        <v>25</v>
      </c>
      <c r="F6260" s="52" t="s">
        <v>26</v>
      </c>
      <c r="G6260" s="53"/>
    </row>
    <row r="6261">
      <c r="A6261" s="49">
        <v>44760.08396005787</v>
      </c>
      <c r="B6261" s="50">
        <v>44760.2089281713</v>
      </c>
      <c r="C6261" s="51">
        <v>1.004</v>
      </c>
      <c r="D6261" s="51">
        <v>69.0</v>
      </c>
      <c r="E6261" s="52" t="s">
        <v>25</v>
      </c>
      <c r="F6261" s="52" t="s">
        <v>26</v>
      </c>
      <c r="G6261" s="53"/>
    </row>
    <row r="6262">
      <c r="A6262" s="49">
        <v>44760.09437561342</v>
      </c>
      <c r="B6262" s="50">
        <v>44760.2193483101</v>
      </c>
      <c r="C6262" s="51">
        <v>1.004</v>
      </c>
      <c r="D6262" s="51">
        <v>69.0</v>
      </c>
      <c r="E6262" s="52" t="s">
        <v>25</v>
      </c>
      <c r="F6262" s="52" t="s">
        <v>26</v>
      </c>
      <c r="G6262" s="53"/>
    </row>
    <row r="6263">
      <c r="A6263" s="49">
        <v>44760.10481077546</v>
      </c>
      <c r="B6263" s="50">
        <v>44760.2297695949</v>
      </c>
      <c r="C6263" s="51">
        <v>1.004</v>
      </c>
      <c r="D6263" s="51">
        <v>69.0</v>
      </c>
      <c r="E6263" s="52" t="s">
        <v>25</v>
      </c>
      <c r="F6263" s="52" t="s">
        <v>26</v>
      </c>
      <c r="G6263" s="53"/>
    </row>
    <row r="6264">
      <c r="A6264" s="49">
        <v>44760.11522207176</v>
      </c>
      <c r="B6264" s="50">
        <v>44760.2401916088</v>
      </c>
      <c r="C6264" s="51">
        <v>1.004</v>
      </c>
      <c r="D6264" s="51">
        <v>69.0</v>
      </c>
      <c r="E6264" s="52" t="s">
        <v>25</v>
      </c>
      <c r="F6264" s="52" t="s">
        <v>26</v>
      </c>
      <c r="G6264" s="53"/>
    </row>
    <row r="6265">
      <c r="A6265" s="49">
        <v>44760.125644988424</v>
      </c>
      <c r="B6265" s="50">
        <v>44760.2506134027</v>
      </c>
      <c r="C6265" s="51">
        <v>1.004</v>
      </c>
      <c r="D6265" s="51">
        <v>69.0</v>
      </c>
      <c r="E6265" s="52" t="s">
        <v>25</v>
      </c>
      <c r="F6265" s="52" t="s">
        <v>26</v>
      </c>
      <c r="G6265" s="53"/>
    </row>
    <row r="6266">
      <c r="A6266" s="49">
        <v>44760.13629634259</v>
      </c>
      <c r="B6266" s="50">
        <v>44760.2610362268</v>
      </c>
      <c r="C6266" s="51">
        <v>1.004</v>
      </c>
      <c r="D6266" s="51">
        <v>69.0</v>
      </c>
      <c r="E6266" s="52" t="s">
        <v>25</v>
      </c>
      <c r="F6266" s="52" t="s">
        <v>26</v>
      </c>
      <c r="G6266" s="53"/>
    </row>
    <row r="6267">
      <c r="A6267" s="49">
        <v>44760.14648605324</v>
      </c>
      <c r="B6267" s="50">
        <v>44760.2714577662</v>
      </c>
      <c r="C6267" s="51">
        <v>1.004</v>
      </c>
      <c r="D6267" s="51">
        <v>69.0</v>
      </c>
      <c r="E6267" s="52" t="s">
        <v>25</v>
      </c>
      <c r="F6267" s="52" t="s">
        <v>26</v>
      </c>
      <c r="G6267" s="53"/>
    </row>
    <row r="6268">
      <c r="A6268" s="49">
        <v>44760.15690664352</v>
      </c>
      <c r="B6268" s="50">
        <v>44760.2818785648</v>
      </c>
      <c r="C6268" s="51">
        <v>1.004</v>
      </c>
      <c r="D6268" s="51">
        <v>69.0</v>
      </c>
      <c r="E6268" s="52" t="s">
        <v>25</v>
      </c>
      <c r="F6268" s="52" t="s">
        <v>26</v>
      </c>
      <c r="G6268" s="53"/>
    </row>
    <row r="6269">
      <c r="A6269" s="49">
        <v>44760.16731686343</v>
      </c>
      <c r="B6269" s="50">
        <v>44760.292299699</v>
      </c>
      <c r="C6269" s="51">
        <v>1.004</v>
      </c>
      <c r="D6269" s="51">
        <v>69.0</v>
      </c>
      <c r="E6269" s="52" t="s">
        <v>25</v>
      </c>
      <c r="F6269" s="52" t="s">
        <v>26</v>
      </c>
      <c r="G6269" s="53"/>
    </row>
    <row r="6270">
      <c r="A6270" s="49">
        <v>44760.17773555555</v>
      </c>
      <c r="B6270" s="50">
        <v>44760.3027209375</v>
      </c>
      <c r="C6270" s="51">
        <v>1.004</v>
      </c>
      <c r="D6270" s="51">
        <v>69.0</v>
      </c>
      <c r="E6270" s="52" t="s">
        <v>25</v>
      </c>
      <c r="F6270" s="52" t="s">
        <v>26</v>
      </c>
      <c r="G6270" s="53"/>
    </row>
    <row r="6271">
      <c r="A6271" s="49">
        <v>44760.18818840278</v>
      </c>
      <c r="B6271" s="50">
        <v>44760.3131647338</v>
      </c>
      <c r="C6271" s="51">
        <v>1.004</v>
      </c>
      <c r="D6271" s="51">
        <v>69.0</v>
      </c>
      <c r="E6271" s="52" t="s">
        <v>25</v>
      </c>
      <c r="F6271" s="52" t="s">
        <v>26</v>
      </c>
      <c r="G6271" s="53"/>
    </row>
    <row r="6272">
      <c r="A6272" s="49">
        <v>44760.198624212964</v>
      </c>
      <c r="B6272" s="50">
        <v>44760.3235972222</v>
      </c>
      <c r="C6272" s="51">
        <v>1.004</v>
      </c>
      <c r="D6272" s="51">
        <v>69.0</v>
      </c>
      <c r="E6272" s="52" t="s">
        <v>25</v>
      </c>
      <c r="F6272" s="52" t="s">
        <v>26</v>
      </c>
      <c r="G6272" s="53"/>
    </row>
    <row r="6273">
      <c r="A6273" s="49">
        <v>44760.209045787036</v>
      </c>
      <c r="B6273" s="50">
        <v>44760.3340213541</v>
      </c>
      <c r="C6273" s="51">
        <v>1.004</v>
      </c>
      <c r="D6273" s="51">
        <v>69.0</v>
      </c>
      <c r="E6273" s="52" t="s">
        <v>25</v>
      </c>
      <c r="F6273" s="52" t="s">
        <v>26</v>
      </c>
      <c r="G6273" s="53"/>
    </row>
    <row r="6274">
      <c r="A6274" s="49">
        <v>44760.21946849537</v>
      </c>
      <c r="B6274" s="50">
        <v>44760.3444445023</v>
      </c>
      <c r="C6274" s="51">
        <v>1.004</v>
      </c>
      <c r="D6274" s="51">
        <v>69.0</v>
      </c>
      <c r="E6274" s="52" t="s">
        <v>25</v>
      </c>
      <c r="F6274" s="52" t="s">
        <v>26</v>
      </c>
      <c r="G6274" s="53"/>
    </row>
    <row r="6275">
      <c r="A6275" s="49">
        <v>44760.229890138886</v>
      </c>
      <c r="B6275" s="50">
        <v>44760.3548660879</v>
      </c>
      <c r="C6275" s="51">
        <v>1.004</v>
      </c>
      <c r="D6275" s="51">
        <v>69.0</v>
      </c>
      <c r="E6275" s="52" t="s">
        <v>25</v>
      </c>
      <c r="F6275" s="52" t="s">
        <v>26</v>
      </c>
      <c r="G6275" s="53"/>
    </row>
    <row r="6276">
      <c r="A6276" s="49">
        <v>44760.24031447917</v>
      </c>
      <c r="B6276" s="50">
        <v>44760.3652998263</v>
      </c>
      <c r="C6276" s="51">
        <v>1.004</v>
      </c>
      <c r="D6276" s="51">
        <v>69.0</v>
      </c>
      <c r="E6276" s="52" t="s">
        <v>25</v>
      </c>
      <c r="F6276" s="52" t="s">
        <v>26</v>
      </c>
      <c r="G6276" s="53"/>
    </row>
    <row r="6277">
      <c r="A6277" s="49">
        <v>44760.250756574074</v>
      </c>
      <c r="B6277" s="50">
        <v>44760.3757194328</v>
      </c>
      <c r="C6277" s="51">
        <v>1.004</v>
      </c>
      <c r="D6277" s="51">
        <v>69.0</v>
      </c>
      <c r="E6277" s="52" t="s">
        <v>25</v>
      </c>
      <c r="F6277" s="52" t="s">
        <v>26</v>
      </c>
      <c r="G6277" s="53"/>
    </row>
    <row r="6278">
      <c r="A6278" s="49">
        <v>44760.261166076394</v>
      </c>
      <c r="B6278" s="50">
        <v>44760.3861384143</v>
      </c>
      <c r="C6278" s="51">
        <v>1.004</v>
      </c>
      <c r="D6278" s="51">
        <v>69.0</v>
      </c>
      <c r="E6278" s="52" t="s">
        <v>25</v>
      </c>
      <c r="F6278" s="52" t="s">
        <v>26</v>
      </c>
      <c r="G6278" s="53"/>
    </row>
    <row r="6279">
      <c r="A6279" s="49">
        <v>44760.27158623842</v>
      </c>
      <c r="B6279" s="50">
        <v>44760.3965614467</v>
      </c>
      <c r="C6279" s="51">
        <v>1.004</v>
      </c>
      <c r="D6279" s="51">
        <v>69.0</v>
      </c>
      <c r="E6279" s="52" t="s">
        <v>25</v>
      </c>
      <c r="F6279" s="52" t="s">
        <v>26</v>
      </c>
      <c r="G6279" s="53"/>
    </row>
    <row r="6280">
      <c r="A6280" s="49">
        <v>44760.28200244213</v>
      </c>
      <c r="B6280" s="50">
        <v>44760.406982905</v>
      </c>
      <c r="C6280" s="51">
        <v>1.004</v>
      </c>
      <c r="D6280" s="51">
        <v>69.0</v>
      </c>
      <c r="E6280" s="52" t="s">
        <v>25</v>
      </c>
      <c r="F6280" s="52" t="s">
        <v>26</v>
      </c>
      <c r="G6280" s="53"/>
    </row>
    <row r="6281">
      <c r="A6281" s="49">
        <v>44760.29243217593</v>
      </c>
      <c r="B6281" s="50">
        <v>44760.417405324</v>
      </c>
      <c r="C6281" s="51">
        <v>1.004</v>
      </c>
      <c r="D6281" s="51">
        <v>69.0</v>
      </c>
      <c r="E6281" s="52" t="s">
        <v>25</v>
      </c>
      <c r="F6281" s="52" t="s">
        <v>26</v>
      </c>
      <c r="G6281" s="53"/>
    </row>
    <row r="6282">
      <c r="A6282" s="49">
        <v>44760.30284145834</v>
      </c>
      <c r="B6282" s="50">
        <v>44760.4278247338</v>
      </c>
      <c r="C6282" s="51">
        <v>1.004</v>
      </c>
      <c r="D6282" s="51">
        <v>69.0</v>
      </c>
      <c r="E6282" s="52" t="s">
        <v>25</v>
      </c>
      <c r="F6282" s="52" t="s">
        <v>26</v>
      </c>
      <c r="G6282" s="53"/>
    </row>
    <row r="6283">
      <c r="A6283" s="49">
        <v>44760.313271273146</v>
      </c>
      <c r="B6283" s="50">
        <v>44760.4382454976</v>
      </c>
      <c r="C6283" s="51">
        <v>1.004</v>
      </c>
      <c r="D6283" s="51">
        <v>69.0</v>
      </c>
      <c r="E6283" s="52" t="s">
        <v>25</v>
      </c>
      <c r="F6283" s="52" t="s">
        <v>26</v>
      </c>
      <c r="G6283" s="53"/>
    </row>
    <row r="6284">
      <c r="A6284" s="49">
        <v>44760.323693530096</v>
      </c>
      <c r="B6284" s="50">
        <v>44760.448668831</v>
      </c>
      <c r="C6284" s="51">
        <v>1.004</v>
      </c>
      <c r="D6284" s="51">
        <v>69.0</v>
      </c>
      <c r="E6284" s="52" t="s">
        <v>25</v>
      </c>
      <c r="F6284" s="52" t="s">
        <v>26</v>
      </c>
      <c r="G6284" s="53"/>
    </row>
    <row r="6285">
      <c r="A6285" s="49">
        <v>44760.33411318287</v>
      </c>
      <c r="B6285" s="50">
        <v>44760.4590901157</v>
      </c>
      <c r="C6285" s="51">
        <v>1.004</v>
      </c>
      <c r="D6285" s="51">
        <v>69.0</v>
      </c>
      <c r="E6285" s="52" t="s">
        <v>25</v>
      </c>
      <c r="F6285" s="52" t="s">
        <v>26</v>
      </c>
      <c r="G6285" s="53"/>
    </row>
    <row r="6286">
      <c r="A6286" s="49">
        <v>44760.3445353125</v>
      </c>
      <c r="B6286" s="50">
        <v>44760.46951103</v>
      </c>
      <c r="C6286" s="51">
        <v>1.004</v>
      </c>
      <c r="D6286" s="51">
        <v>69.0</v>
      </c>
      <c r="E6286" s="52" t="s">
        <v>25</v>
      </c>
      <c r="F6286" s="52" t="s">
        <v>26</v>
      </c>
      <c r="G6286" s="53"/>
    </row>
    <row r="6287">
      <c r="A6287" s="49">
        <v>44760.35494856481</v>
      </c>
      <c r="B6287" s="50">
        <v>44760.47993228</v>
      </c>
      <c r="C6287" s="51">
        <v>1.004</v>
      </c>
      <c r="D6287" s="51">
        <v>69.0</v>
      </c>
      <c r="E6287" s="52" t="s">
        <v>25</v>
      </c>
      <c r="F6287" s="52" t="s">
        <v>26</v>
      </c>
      <c r="G6287" s="53"/>
    </row>
    <row r="6288">
      <c r="A6288" s="49">
        <v>44760.36537997685</v>
      </c>
      <c r="B6288" s="50">
        <v>44760.4903535069</v>
      </c>
      <c r="C6288" s="51">
        <v>1.004</v>
      </c>
      <c r="D6288" s="51">
        <v>69.0</v>
      </c>
      <c r="E6288" s="52" t="s">
        <v>25</v>
      </c>
      <c r="F6288" s="52" t="s">
        <v>26</v>
      </c>
      <c r="G6288" s="53"/>
    </row>
    <row r="6289">
      <c r="A6289" s="49">
        <v>44760.37581237269</v>
      </c>
      <c r="B6289" s="50">
        <v>44760.5007888773</v>
      </c>
      <c r="C6289" s="51">
        <v>1.004</v>
      </c>
      <c r="D6289" s="51">
        <v>69.0</v>
      </c>
      <c r="E6289" s="52" t="s">
        <v>25</v>
      </c>
      <c r="F6289" s="52" t="s">
        <v>26</v>
      </c>
      <c r="G6289" s="53"/>
    </row>
    <row r="6290">
      <c r="A6290" s="49">
        <v>44760.3862306713</v>
      </c>
      <c r="B6290" s="50">
        <v>44760.5112094328</v>
      </c>
      <c r="C6290" s="51">
        <v>1.004</v>
      </c>
      <c r="D6290" s="51">
        <v>69.0</v>
      </c>
      <c r="E6290" s="52" t="s">
        <v>25</v>
      </c>
      <c r="F6290" s="52" t="s">
        <v>26</v>
      </c>
      <c r="G6290" s="53"/>
    </row>
    <row r="6291">
      <c r="A6291" s="49">
        <v>44760.39666096064</v>
      </c>
      <c r="B6291" s="50">
        <v>44760.5216427662</v>
      </c>
      <c r="C6291" s="51">
        <v>1.004</v>
      </c>
      <c r="D6291" s="51">
        <v>69.0</v>
      </c>
      <c r="E6291" s="52" t="s">
        <v>25</v>
      </c>
      <c r="F6291" s="52" t="s">
        <v>26</v>
      </c>
      <c r="G6291" s="53"/>
    </row>
    <row r="6292">
      <c r="A6292" s="49">
        <v>44760.407078460645</v>
      </c>
      <c r="B6292" s="50">
        <v>44760.5320631481</v>
      </c>
      <c r="C6292" s="51">
        <v>1.004</v>
      </c>
      <c r="D6292" s="51">
        <v>69.0</v>
      </c>
      <c r="E6292" s="52" t="s">
        <v>25</v>
      </c>
      <c r="F6292" s="52" t="s">
        <v>26</v>
      </c>
      <c r="G6292" s="53"/>
    </row>
    <row r="6293">
      <c r="A6293" s="49">
        <v>44760.41751008102</v>
      </c>
      <c r="B6293" s="50">
        <v>44760.5424836342</v>
      </c>
      <c r="C6293" s="51">
        <v>1.004</v>
      </c>
      <c r="D6293" s="51">
        <v>69.0</v>
      </c>
      <c r="E6293" s="52" t="s">
        <v>25</v>
      </c>
      <c r="F6293" s="52" t="s">
        <v>26</v>
      </c>
      <c r="G6293" s="53"/>
    </row>
    <row r="6294">
      <c r="A6294" s="49">
        <v>44760.4279400463</v>
      </c>
      <c r="B6294" s="50">
        <v>44760.552916655</v>
      </c>
      <c r="C6294" s="51">
        <v>1.004</v>
      </c>
      <c r="D6294" s="51">
        <v>69.0</v>
      </c>
      <c r="E6294" s="52" t="s">
        <v>25</v>
      </c>
      <c r="F6294" s="52" t="s">
        <v>26</v>
      </c>
      <c r="G6294" s="53"/>
    </row>
    <row r="6295">
      <c r="A6295" s="49">
        <v>44760.43836047454</v>
      </c>
      <c r="B6295" s="50">
        <v>44760.5633372916</v>
      </c>
      <c r="C6295" s="51">
        <v>1.004</v>
      </c>
      <c r="D6295" s="51">
        <v>69.0</v>
      </c>
      <c r="E6295" s="52" t="s">
        <v>25</v>
      </c>
      <c r="F6295" s="52" t="s">
        <v>26</v>
      </c>
      <c r="G6295" s="53"/>
    </row>
    <row r="6296">
      <c r="A6296" s="49">
        <v>44760.44878038194</v>
      </c>
      <c r="B6296" s="50">
        <v>44760.5737576967</v>
      </c>
      <c r="C6296" s="51">
        <v>1.004</v>
      </c>
      <c r="D6296" s="51">
        <v>69.0</v>
      </c>
      <c r="E6296" s="52" t="s">
        <v>25</v>
      </c>
      <c r="F6296" s="52" t="s">
        <v>26</v>
      </c>
      <c r="G6296" s="53"/>
    </row>
    <row r="6297">
      <c r="A6297" s="49">
        <v>44760.4591984838</v>
      </c>
      <c r="B6297" s="50">
        <v>44760.5841792129</v>
      </c>
      <c r="C6297" s="51">
        <v>1.004</v>
      </c>
      <c r="D6297" s="51">
        <v>69.0</v>
      </c>
      <c r="E6297" s="52" t="s">
        <v>25</v>
      </c>
      <c r="F6297" s="52" t="s">
        <v>26</v>
      </c>
      <c r="G6297" s="53"/>
    </row>
    <row r="6298">
      <c r="A6298" s="49">
        <v>44760.46962758102</v>
      </c>
      <c r="B6298" s="50">
        <v>44760.5946030671</v>
      </c>
      <c r="C6298" s="51">
        <v>1.004</v>
      </c>
      <c r="D6298" s="51">
        <v>69.0</v>
      </c>
      <c r="E6298" s="52" t="s">
        <v>25</v>
      </c>
      <c r="F6298" s="52" t="s">
        <v>26</v>
      </c>
      <c r="G6298" s="53"/>
    </row>
    <row r="6299">
      <c r="A6299" s="49">
        <v>44760.48004755787</v>
      </c>
      <c r="B6299" s="50">
        <v>44760.6050256597</v>
      </c>
      <c r="C6299" s="51">
        <v>1.004</v>
      </c>
      <c r="D6299" s="51">
        <v>69.0</v>
      </c>
      <c r="E6299" s="52" t="s">
        <v>25</v>
      </c>
      <c r="F6299" s="52" t="s">
        <v>26</v>
      </c>
      <c r="G6299" s="53"/>
    </row>
    <row r="6300">
      <c r="A6300" s="49">
        <v>44760.49046350694</v>
      </c>
      <c r="B6300" s="50">
        <v>44760.6154473495</v>
      </c>
      <c r="C6300" s="51">
        <v>1.004</v>
      </c>
      <c r="D6300" s="51">
        <v>69.0</v>
      </c>
      <c r="E6300" s="52" t="s">
        <v>25</v>
      </c>
      <c r="F6300" s="52" t="s">
        <v>26</v>
      </c>
      <c r="G6300" s="53"/>
    </row>
    <row r="6301">
      <c r="A6301" s="49">
        <v>44760.500895324076</v>
      </c>
      <c r="B6301" s="50">
        <v>44760.6258695138</v>
      </c>
      <c r="C6301" s="51">
        <v>1.004</v>
      </c>
      <c r="D6301" s="51">
        <v>69.0</v>
      </c>
      <c r="E6301" s="52" t="s">
        <v>25</v>
      </c>
      <c r="F6301" s="52" t="s">
        <v>26</v>
      </c>
      <c r="G6301" s="53"/>
    </row>
    <row r="6302">
      <c r="A6302" s="49">
        <v>44760.51132643518</v>
      </c>
      <c r="B6302" s="50">
        <v>44760.636303449</v>
      </c>
      <c r="C6302" s="51">
        <v>1.004</v>
      </c>
      <c r="D6302" s="51">
        <v>69.0</v>
      </c>
      <c r="E6302" s="52" t="s">
        <v>25</v>
      </c>
      <c r="F6302" s="52" t="s">
        <v>26</v>
      </c>
      <c r="G6302" s="53"/>
    </row>
    <row r="6303">
      <c r="A6303" s="49">
        <v>44760.521765983794</v>
      </c>
      <c r="B6303" s="50">
        <v>44760.6467369444</v>
      </c>
      <c r="C6303" s="51">
        <v>1.004</v>
      </c>
      <c r="D6303" s="51">
        <v>69.0</v>
      </c>
      <c r="E6303" s="52" t="s">
        <v>25</v>
      </c>
      <c r="F6303" s="52" t="s">
        <v>26</v>
      </c>
      <c r="G6303" s="53"/>
    </row>
    <row r="6304">
      <c r="A6304" s="49">
        <v>44760.532185324075</v>
      </c>
      <c r="B6304" s="50">
        <v>44760.6571578819</v>
      </c>
      <c r="C6304" s="51">
        <v>1.004</v>
      </c>
      <c r="D6304" s="51">
        <v>69.0</v>
      </c>
      <c r="E6304" s="52" t="s">
        <v>25</v>
      </c>
      <c r="F6304" s="52" t="s">
        <v>26</v>
      </c>
      <c r="G6304" s="53"/>
    </row>
    <row r="6305">
      <c r="A6305" s="49">
        <v>44760.54260768519</v>
      </c>
      <c r="B6305" s="50">
        <v>44760.6675802199</v>
      </c>
      <c r="C6305" s="51">
        <v>1.004</v>
      </c>
      <c r="D6305" s="51">
        <v>69.0</v>
      </c>
      <c r="E6305" s="52" t="s">
        <v>25</v>
      </c>
      <c r="F6305" s="52" t="s">
        <v>26</v>
      </c>
      <c r="G6305" s="53"/>
    </row>
    <row r="6306">
      <c r="A6306" s="49">
        <v>44760.55302574074</v>
      </c>
      <c r="B6306" s="50">
        <v>44760.6780014699</v>
      </c>
      <c r="C6306" s="51">
        <v>1.004</v>
      </c>
      <c r="D6306" s="51">
        <v>69.0</v>
      </c>
      <c r="E6306" s="52" t="s">
        <v>25</v>
      </c>
      <c r="F6306" s="52" t="s">
        <v>26</v>
      </c>
      <c r="G6306" s="53"/>
    </row>
    <row r="6307">
      <c r="A6307" s="49">
        <v>44760.56343744213</v>
      </c>
      <c r="B6307" s="50">
        <v>44760.6884220254</v>
      </c>
      <c r="C6307" s="51">
        <v>1.004</v>
      </c>
      <c r="D6307" s="51">
        <v>69.0</v>
      </c>
      <c r="E6307" s="52" t="s">
        <v>25</v>
      </c>
      <c r="F6307" s="52" t="s">
        <v>26</v>
      </c>
      <c r="G6307" s="53"/>
    </row>
    <row r="6308">
      <c r="A6308" s="49">
        <v>44760.57386945601</v>
      </c>
      <c r="B6308" s="50">
        <v>44760.6988442476</v>
      </c>
      <c r="C6308" s="51">
        <v>1.004</v>
      </c>
      <c r="D6308" s="51">
        <v>69.0</v>
      </c>
      <c r="E6308" s="52" t="s">
        <v>25</v>
      </c>
      <c r="F6308" s="52" t="s">
        <v>26</v>
      </c>
      <c r="G6308" s="53"/>
    </row>
    <row r="6309">
      <c r="A6309" s="49">
        <v>44760.58429290509</v>
      </c>
      <c r="B6309" s="50">
        <v>44760.7092667939</v>
      </c>
      <c r="C6309" s="51">
        <v>1.004</v>
      </c>
      <c r="D6309" s="51">
        <v>69.0</v>
      </c>
      <c r="E6309" s="52" t="s">
        <v>25</v>
      </c>
      <c r="F6309" s="52" t="s">
        <v>26</v>
      </c>
      <c r="G6309" s="53"/>
    </row>
    <row r="6310">
      <c r="A6310" s="49">
        <v>44760.594713240745</v>
      </c>
      <c r="B6310" s="50">
        <v>44760.7196891088</v>
      </c>
      <c r="C6310" s="51">
        <v>1.004</v>
      </c>
      <c r="D6310" s="51">
        <v>69.0</v>
      </c>
      <c r="E6310" s="52" t="s">
        <v>25</v>
      </c>
      <c r="F6310" s="52" t="s">
        <v>26</v>
      </c>
      <c r="G6310" s="53"/>
    </row>
    <row r="6311">
      <c r="A6311" s="49">
        <v>44760.605131296295</v>
      </c>
      <c r="B6311" s="50">
        <v>44760.7301114467</v>
      </c>
      <c r="C6311" s="51">
        <v>1.004</v>
      </c>
      <c r="D6311" s="51">
        <v>69.0</v>
      </c>
      <c r="E6311" s="52" t="s">
        <v>25</v>
      </c>
      <c r="F6311" s="52" t="s">
        <v>26</v>
      </c>
      <c r="G6311" s="53"/>
    </row>
    <row r="6312">
      <c r="A6312" s="49">
        <v>44760.615554143515</v>
      </c>
      <c r="B6312" s="50">
        <v>44760.7405324421</v>
      </c>
      <c r="C6312" s="51">
        <v>1.004</v>
      </c>
      <c r="D6312" s="51">
        <v>69.0</v>
      </c>
      <c r="E6312" s="52" t="s">
        <v>25</v>
      </c>
      <c r="F6312" s="52" t="s">
        <v>26</v>
      </c>
      <c r="G6312" s="53"/>
    </row>
    <row r="6313">
      <c r="A6313" s="49">
        <v>44760.625973483795</v>
      </c>
      <c r="B6313" s="50">
        <v>44760.7509539583</v>
      </c>
      <c r="C6313" s="51">
        <v>1.004</v>
      </c>
      <c r="D6313" s="51">
        <v>69.0</v>
      </c>
      <c r="E6313" s="52" t="s">
        <v>25</v>
      </c>
      <c r="F6313" s="52" t="s">
        <v>26</v>
      </c>
      <c r="G6313" s="53"/>
    </row>
    <row r="6314">
      <c r="A6314" s="49">
        <v>44760.636398518516</v>
      </c>
      <c r="B6314" s="50">
        <v>44760.7613744907</v>
      </c>
      <c r="C6314" s="51">
        <v>1.004</v>
      </c>
      <c r="D6314" s="51">
        <v>69.0</v>
      </c>
      <c r="E6314" s="52" t="s">
        <v>25</v>
      </c>
      <c r="F6314" s="52" t="s">
        <v>26</v>
      </c>
      <c r="G6314" s="53"/>
    </row>
    <row r="6315">
      <c r="A6315" s="49">
        <v>44760.64682234953</v>
      </c>
      <c r="B6315" s="50">
        <v>44760.7717966898</v>
      </c>
      <c r="C6315" s="51">
        <v>1.004</v>
      </c>
      <c r="D6315" s="51">
        <v>69.0</v>
      </c>
      <c r="E6315" s="52" t="s">
        <v>25</v>
      </c>
      <c r="F6315" s="52" t="s">
        <v>26</v>
      </c>
      <c r="G6315" s="53"/>
    </row>
    <row r="6316">
      <c r="A6316" s="49">
        <v>44760.65724284722</v>
      </c>
      <c r="B6316" s="50">
        <v>44760.7822168055</v>
      </c>
      <c r="C6316" s="51">
        <v>1.004</v>
      </c>
      <c r="D6316" s="51">
        <v>69.0</v>
      </c>
      <c r="E6316" s="52" t="s">
        <v>25</v>
      </c>
      <c r="F6316" s="52" t="s">
        <v>26</v>
      </c>
      <c r="G6316" s="53"/>
    </row>
    <row r="6317">
      <c r="A6317" s="49">
        <v>44760.66766460648</v>
      </c>
      <c r="B6317" s="50">
        <v>44760.7926377662</v>
      </c>
      <c r="C6317" s="51">
        <v>1.004</v>
      </c>
      <c r="D6317" s="51">
        <v>69.0</v>
      </c>
      <c r="E6317" s="52" t="s">
        <v>25</v>
      </c>
      <c r="F6317" s="52" t="s">
        <v>26</v>
      </c>
      <c r="G6317" s="53"/>
    </row>
    <row r="6318">
      <c r="A6318" s="49">
        <v>44760.678083113424</v>
      </c>
      <c r="B6318" s="50">
        <v>44760.803058368</v>
      </c>
      <c r="C6318" s="51">
        <v>1.004</v>
      </c>
      <c r="D6318" s="51">
        <v>69.0</v>
      </c>
      <c r="E6318" s="52" t="s">
        <v>25</v>
      </c>
      <c r="F6318" s="52" t="s">
        <v>26</v>
      </c>
      <c r="G6318" s="53"/>
    </row>
    <row r="6319">
      <c r="A6319" s="49">
        <v>44760.688506921295</v>
      </c>
      <c r="B6319" s="50">
        <v>44760.8134888425</v>
      </c>
      <c r="C6319" s="51">
        <v>1.004</v>
      </c>
      <c r="D6319" s="51">
        <v>69.0</v>
      </c>
      <c r="E6319" s="52" t="s">
        <v>25</v>
      </c>
      <c r="F6319" s="52" t="s">
        <v>26</v>
      </c>
      <c r="G6319" s="53"/>
    </row>
    <row r="6320">
      <c r="A6320" s="49">
        <v>44760.69893467592</v>
      </c>
      <c r="B6320" s="50">
        <v>44760.8239100925</v>
      </c>
      <c r="C6320" s="51">
        <v>1.004</v>
      </c>
      <c r="D6320" s="51">
        <v>69.0</v>
      </c>
      <c r="E6320" s="52" t="s">
        <v>25</v>
      </c>
      <c r="F6320" s="52" t="s">
        <v>26</v>
      </c>
      <c r="G6320" s="53"/>
    </row>
    <row r="6321">
      <c r="A6321" s="49">
        <v>44760.7093528125</v>
      </c>
      <c r="B6321" s="50">
        <v>44760.8343325231</v>
      </c>
      <c r="C6321" s="51">
        <v>1.004</v>
      </c>
      <c r="D6321" s="51">
        <v>69.0</v>
      </c>
      <c r="E6321" s="52" t="s">
        <v>25</v>
      </c>
      <c r="F6321" s="52" t="s">
        <v>26</v>
      </c>
      <c r="G6321" s="53"/>
    </row>
    <row r="6322">
      <c r="A6322" s="49">
        <v>44760.71977460648</v>
      </c>
      <c r="B6322" s="50">
        <v>44760.8447530787</v>
      </c>
      <c r="C6322" s="51">
        <v>1.004</v>
      </c>
      <c r="D6322" s="51">
        <v>69.0</v>
      </c>
      <c r="E6322" s="52" t="s">
        <v>25</v>
      </c>
      <c r="F6322" s="52" t="s">
        <v>26</v>
      </c>
      <c r="G6322" s="53"/>
    </row>
    <row r="6323">
      <c r="A6323" s="49">
        <v>44760.73019577547</v>
      </c>
      <c r="B6323" s="50">
        <v>44760.8551738888</v>
      </c>
      <c r="C6323" s="51">
        <v>1.004</v>
      </c>
      <c r="D6323" s="51">
        <v>69.0</v>
      </c>
      <c r="E6323" s="52" t="s">
        <v>25</v>
      </c>
      <c r="F6323" s="52" t="s">
        <v>26</v>
      </c>
      <c r="G6323" s="53"/>
    </row>
    <row r="6324">
      <c r="A6324" s="49">
        <v>44760.74062149305</v>
      </c>
      <c r="B6324" s="50">
        <v>44760.8655944907</v>
      </c>
      <c r="C6324" s="51">
        <v>1.004</v>
      </c>
      <c r="D6324" s="51">
        <v>69.0</v>
      </c>
      <c r="E6324" s="52" t="s">
        <v>25</v>
      </c>
      <c r="F6324" s="52" t="s">
        <v>26</v>
      </c>
      <c r="G6324" s="53"/>
    </row>
    <row r="6325">
      <c r="A6325" s="49">
        <v>44760.751044398145</v>
      </c>
      <c r="B6325" s="50">
        <v>44760.8760165972</v>
      </c>
      <c r="C6325" s="51">
        <v>1.004</v>
      </c>
      <c r="D6325" s="51">
        <v>69.0</v>
      </c>
      <c r="E6325" s="52" t="s">
        <v>25</v>
      </c>
      <c r="F6325" s="52" t="s">
        <v>26</v>
      </c>
      <c r="G6325" s="53"/>
    </row>
    <row r="6326">
      <c r="A6326" s="49">
        <v>44760.761455520835</v>
      </c>
      <c r="B6326" s="50">
        <v>44760.8864377777</v>
      </c>
      <c r="C6326" s="51">
        <v>1.004</v>
      </c>
      <c r="D6326" s="51">
        <v>69.0</v>
      </c>
      <c r="E6326" s="52" t="s">
        <v>25</v>
      </c>
      <c r="F6326" s="52" t="s">
        <v>26</v>
      </c>
      <c r="G6326" s="53"/>
    </row>
    <row r="6327">
      <c r="A6327" s="49">
        <v>44760.77188104167</v>
      </c>
      <c r="B6327" s="50">
        <v>44760.8968580092</v>
      </c>
      <c r="C6327" s="51">
        <v>1.004</v>
      </c>
      <c r="D6327" s="51">
        <v>69.0</v>
      </c>
      <c r="E6327" s="52" t="s">
        <v>25</v>
      </c>
      <c r="F6327" s="52" t="s">
        <v>26</v>
      </c>
      <c r="G6327" s="53"/>
    </row>
    <row r="6328">
      <c r="A6328" s="49">
        <v>44760.7823024074</v>
      </c>
      <c r="B6328" s="50">
        <v>44760.9072802662</v>
      </c>
      <c r="C6328" s="51">
        <v>1.004</v>
      </c>
      <c r="D6328" s="51">
        <v>69.0</v>
      </c>
      <c r="E6328" s="52" t="s">
        <v>25</v>
      </c>
      <c r="F6328" s="52" t="s">
        <v>26</v>
      </c>
      <c r="G6328" s="53"/>
    </row>
    <row r="6329">
      <c r="A6329" s="49">
        <v>44760.79272636574</v>
      </c>
      <c r="B6329" s="50">
        <v>44760.9176996643</v>
      </c>
      <c r="C6329" s="51">
        <v>1.004</v>
      </c>
      <c r="D6329" s="51">
        <v>69.0</v>
      </c>
      <c r="E6329" s="52" t="s">
        <v>25</v>
      </c>
      <c r="F6329" s="52" t="s">
        <v>26</v>
      </c>
      <c r="G6329" s="53"/>
    </row>
    <row r="6330">
      <c r="A6330" s="49">
        <v>44760.80315506944</v>
      </c>
      <c r="B6330" s="50">
        <v>44760.9281315856</v>
      </c>
      <c r="C6330" s="51">
        <v>1.004</v>
      </c>
      <c r="D6330" s="51">
        <v>69.0</v>
      </c>
      <c r="E6330" s="52" t="s">
        <v>25</v>
      </c>
      <c r="F6330" s="52" t="s">
        <v>26</v>
      </c>
      <c r="G6330" s="53"/>
    </row>
    <row r="6331">
      <c r="A6331" s="49">
        <v>44760.81358354166</v>
      </c>
      <c r="B6331" s="50">
        <v>44760.9385635532</v>
      </c>
      <c r="C6331" s="51">
        <v>1.004</v>
      </c>
      <c r="D6331" s="51">
        <v>69.0</v>
      </c>
      <c r="E6331" s="52" t="s">
        <v>25</v>
      </c>
      <c r="F6331" s="52" t="s">
        <v>26</v>
      </c>
      <c r="G6331" s="53"/>
    </row>
    <row r="6332">
      <c r="A6332" s="49">
        <v>44760.824005752314</v>
      </c>
      <c r="B6332" s="50">
        <v>44760.9489851273</v>
      </c>
      <c r="C6332" s="51">
        <v>1.004</v>
      </c>
      <c r="D6332" s="51">
        <v>69.0</v>
      </c>
      <c r="E6332" s="52" t="s">
        <v>25</v>
      </c>
      <c r="F6332" s="52" t="s">
        <v>26</v>
      </c>
      <c r="G6332" s="53"/>
    </row>
    <row r="6333">
      <c r="A6333" s="49">
        <v>44760.83442824074</v>
      </c>
      <c r="B6333" s="50">
        <v>44760.9594050347</v>
      </c>
      <c r="C6333" s="51">
        <v>1.004</v>
      </c>
      <c r="D6333" s="51">
        <v>69.0</v>
      </c>
      <c r="E6333" s="52" t="s">
        <v>25</v>
      </c>
      <c r="F6333" s="52" t="s">
        <v>26</v>
      </c>
      <c r="G6333" s="53"/>
    </row>
    <row r="6334">
      <c r="A6334" s="49">
        <v>44760.84483998842</v>
      </c>
      <c r="B6334" s="50">
        <v>44760.9698252777</v>
      </c>
      <c r="C6334" s="51">
        <v>1.004</v>
      </c>
      <c r="D6334" s="51">
        <v>69.0</v>
      </c>
      <c r="E6334" s="52" t="s">
        <v>25</v>
      </c>
      <c r="F6334" s="52" t="s">
        <v>26</v>
      </c>
      <c r="G6334" s="53"/>
    </row>
    <row r="6335">
      <c r="A6335" s="49">
        <v>44760.85527164352</v>
      </c>
      <c r="B6335" s="50">
        <v>44760.9802472569</v>
      </c>
      <c r="C6335" s="51">
        <v>1.004</v>
      </c>
      <c r="D6335" s="51">
        <v>69.0</v>
      </c>
      <c r="E6335" s="52" t="s">
        <v>25</v>
      </c>
      <c r="F6335" s="52" t="s">
        <v>26</v>
      </c>
      <c r="G6335" s="53"/>
    </row>
    <row r="6336">
      <c r="A6336" s="49">
        <v>44760.86568885417</v>
      </c>
      <c r="B6336" s="50">
        <v>44760.9906692361</v>
      </c>
      <c r="C6336" s="51">
        <v>1.004</v>
      </c>
      <c r="D6336" s="51">
        <v>69.0</v>
      </c>
      <c r="E6336" s="52" t="s">
        <v>25</v>
      </c>
      <c r="F6336" s="52" t="s">
        <v>26</v>
      </c>
      <c r="G6336" s="53"/>
    </row>
    <row r="6337">
      <c r="A6337" s="49">
        <v>44760.876110729165</v>
      </c>
      <c r="B6337" s="50">
        <v>44761.0010888426</v>
      </c>
      <c r="C6337" s="51">
        <v>1.004</v>
      </c>
      <c r="D6337" s="51">
        <v>69.0</v>
      </c>
      <c r="E6337" s="52" t="s">
        <v>25</v>
      </c>
      <c r="F6337" s="52" t="s">
        <v>26</v>
      </c>
      <c r="G6337" s="53"/>
    </row>
    <row r="6338">
      <c r="A6338" s="49">
        <v>44760.88654064815</v>
      </c>
      <c r="B6338" s="50">
        <v>44761.011522905</v>
      </c>
      <c r="C6338" s="51">
        <v>1.004</v>
      </c>
      <c r="D6338" s="51">
        <v>69.0</v>
      </c>
      <c r="E6338" s="52" t="s">
        <v>25</v>
      </c>
      <c r="F6338" s="52" t="s">
        <v>26</v>
      </c>
      <c r="G6338" s="53"/>
    </row>
    <row r="6339">
      <c r="A6339" s="49">
        <v>44760.89695834491</v>
      </c>
      <c r="B6339" s="50">
        <v>44761.021944699</v>
      </c>
      <c r="C6339" s="51">
        <v>1.004</v>
      </c>
      <c r="D6339" s="51">
        <v>69.0</v>
      </c>
      <c r="E6339" s="52" t="s">
        <v>25</v>
      </c>
      <c r="F6339" s="52" t="s">
        <v>26</v>
      </c>
      <c r="G6339" s="53"/>
    </row>
    <row r="6340">
      <c r="A6340" s="49">
        <v>44760.90738924769</v>
      </c>
      <c r="B6340" s="50">
        <v>44761.0323661226</v>
      </c>
      <c r="C6340" s="51">
        <v>1.004</v>
      </c>
      <c r="D6340" s="51">
        <v>69.0</v>
      </c>
      <c r="E6340" s="52" t="s">
        <v>25</v>
      </c>
      <c r="F6340" s="52" t="s">
        <v>26</v>
      </c>
      <c r="G6340" s="53"/>
    </row>
    <row r="6341">
      <c r="A6341" s="49">
        <v>44760.917834039356</v>
      </c>
      <c r="B6341" s="50">
        <v>44761.0428104629</v>
      </c>
      <c r="C6341" s="51">
        <v>1.004</v>
      </c>
      <c r="D6341" s="51">
        <v>69.0</v>
      </c>
      <c r="E6341" s="52" t="s">
        <v>25</v>
      </c>
      <c r="F6341" s="52" t="s">
        <v>26</v>
      </c>
      <c r="G6341" s="53"/>
    </row>
    <row r="6342">
      <c r="A6342" s="49">
        <v>44760.92825362268</v>
      </c>
      <c r="B6342" s="50">
        <v>44761.0532322222</v>
      </c>
      <c r="C6342" s="51">
        <v>1.004</v>
      </c>
      <c r="D6342" s="51">
        <v>69.0</v>
      </c>
      <c r="E6342" s="52" t="s">
        <v>25</v>
      </c>
      <c r="F6342" s="52" t="s">
        <v>26</v>
      </c>
      <c r="G6342" s="53"/>
    </row>
    <row r="6343">
      <c r="A6343" s="49">
        <v>44760.93866777778</v>
      </c>
      <c r="B6343" s="50">
        <v>44761.0636537731</v>
      </c>
      <c r="C6343" s="51">
        <v>1.004</v>
      </c>
      <c r="D6343" s="51">
        <v>70.0</v>
      </c>
      <c r="E6343" s="52" t="s">
        <v>25</v>
      </c>
      <c r="F6343" s="52" t="s">
        <v>26</v>
      </c>
      <c r="G6343" s="53"/>
    </row>
    <row r="6344">
      <c r="A6344" s="49">
        <v>44760.94908716435</v>
      </c>
      <c r="B6344" s="50">
        <v>44761.0740748263</v>
      </c>
      <c r="C6344" s="51">
        <v>1.004</v>
      </c>
      <c r="D6344" s="51">
        <v>70.0</v>
      </c>
      <c r="E6344" s="52" t="s">
        <v>25</v>
      </c>
      <c r="F6344" s="52" t="s">
        <v>26</v>
      </c>
      <c r="G6344" s="53"/>
    </row>
    <row r="6345">
      <c r="A6345" s="49">
        <v>44760.95951168981</v>
      </c>
      <c r="B6345" s="50">
        <v>44761.0844950231</v>
      </c>
      <c r="C6345" s="51">
        <v>1.004</v>
      </c>
      <c r="D6345" s="51">
        <v>70.0</v>
      </c>
      <c r="E6345" s="52" t="s">
        <v>25</v>
      </c>
      <c r="F6345" s="52" t="s">
        <v>26</v>
      </c>
      <c r="G6345" s="53"/>
    </row>
    <row r="6346">
      <c r="A6346" s="49">
        <v>44760.96992837963</v>
      </c>
      <c r="B6346" s="50">
        <v>44761.0949150463</v>
      </c>
      <c r="C6346" s="51">
        <v>1.004</v>
      </c>
      <c r="D6346" s="51">
        <v>70.0</v>
      </c>
      <c r="E6346" s="52" t="s">
        <v>25</v>
      </c>
      <c r="F6346" s="52" t="s">
        <v>26</v>
      </c>
      <c r="G6346" s="53"/>
    </row>
    <row r="6347">
      <c r="A6347" s="49">
        <v>44760.98036908565</v>
      </c>
      <c r="B6347" s="50">
        <v>44761.1053479629</v>
      </c>
      <c r="C6347" s="51">
        <v>1.004</v>
      </c>
      <c r="D6347" s="51">
        <v>70.0</v>
      </c>
      <c r="E6347" s="52" t="s">
        <v>25</v>
      </c>
      <c r="F6347" s="52" t="s">
        <v>26</v>
      </c>
      <c r="G6347" s="53"/>
    </row>
    <row r="6348">
      <c r="A6348" s="49">
        <v>44760.99078689815</v>
      </c>
      <c r="B6348" s="50">
        <v>44761.1157711921</v>
      </c>
      <c r="C6348" s="51">
        <v>1.004</v>
      </c>
      <c r="D6348" s="51">
        <v>69.0</v>
      </c>
      <c r="E6348" s="52" t="s">
        <v>25</v>
      </c>
      <c r="F6348" s="52" t="s">
        <v>26</v>
      </c>
      <c r="G6348" s="53"/>
    </row>
    <row r="6349">
      <c r="A6349" s="49">
        <v>44761.00121832176</v>
      </c>
      <c r="B6349" s="50">
        <v>44761.1261912731</v>
      </c>
      <c r="C6349" s="51">
        <v>1.004</v>
      </c>
      <c r="D6349" s="51">
        <v>70.0</v>
      </c>
      <c r="E6349" s="52" t="s">
        <v>25</v>
      </c>
      <c r="F6349" s="52" t="s">
        <v>26</v>
      </c>
      <c r="G6349" s="53"/>
    </row>
    <row r="6350">
      <c r="A6350" s="49">
        <v>44761.01164689814</v>
      </c>
      <c r="B6350" s="50">
        <v>44761.136624375</v>
      </c>
      <c r="C6350" s="51">
        <v>1.004</v>
      </c>
      <c r="D6350" s="51">
        <v>70.0</v>
      </c>
      <c r="E6350" s="52" t="s">
        <v>25</v>
      </c>
      <c r="F6350" s="52" t="s">
        <v>26</v>
      </c>
      <c r="G6350" s="53"/>
    </row>
    <row r="6351">
      <c r="A6351" s="49">
        <v>44761.02206878472</v>
      </c>
      <c r="B6351" s="50">
        <v>44761.1470456018</v>
      </c>
      <c r="C6351" s="51">
        <v>1.004</v>
      </c>
      <c r="D6351" s="51">
        <v>70.0</v>
      </c>
      <c r="E6351" s="52" t="s">
        <v>25</v>
      </c>
      <c r="F6351" s="52" t="s">
        <v>26</v>
      </c>
      <c r="G6351" s="53"/>
    </row>
    <row r="6352">
      <c r="A6352" s="49">
        <v>44761.03248708333</v>
      </c>
      <c r="B6352" s="50">
        <v>44761.1574678009</v>
      </c>
      <c r="C6352" s="51">
        <v>1.004</v>
      </c>
      <c r="D6352" s="51">
        <v>70.0</v>
      </c>
      <c r="E6352" s="52" t="s">
        <v>25</v>
      </c>
      <c r="F6352" s="52" t="s">
        <v>26</v>
      </c>
      <c r="G6352" s="53"/>
    </row>
    <row r="6353">
      <c r="A6353" s="49">
        <v>44761.04293773149</v>
      </c>
      <c r="B6353" s="50">
        <v>44761.1679136689</v>
      </c>
      <c r="C6353" s="51">
        <v>1.004</v>
      </c>
      <c r="D6353" s="51">
        <v>70.0</v>
      </c>
      <c r="E6353" s="52" t="s">
        <v>25</v>
      </c>
      <c r="F6353" s="52" t="s">
        <v>26</v>
      </c>
      <c r="G6353" s="53"/>
    </row>
    <row r="6354">
      <c r="A6354" s="49">
        <v>44761.05336633102</v>
      </c>
      <c r="B6354" s="50">
        <v>44761.1783358912</v>
      </c>
      <c r="C6354" s="51">
        <v>1.004</v>
      </c>
      <c r="D6354" s="51">
        <v>70.0</v>
      </c>
      <c r="E6354" s="52" t="s">
        <v>25</v>
      </c>
      <c r="F6354" s="52" t="s">
        <v>26</v>
      </c>
      <c r="G6354" s="53"/>
    </row>
    <row r="6355">
      <c r="A6355" s="49">
        <v>44761.06377907407</v>
      </c>
      <c r="B6355" s="50">
        <v>44761.1887568171</v>
      </c>
      <c r="C6355" s="51">
        <v>1.004</v>
      </c>
      <c r="D6355" s="51">
        <v>70.0</v>
      </c>
      <c r="E6355" s="52" t="s">
        <v>25</v>
      </c>
      <c r="F6355" s="52" t="s">
        <v>26</v>
      </c>
      <c r="G6355" s="53"/>
    </row>
    <row r="6356">
      <c r="A6356" s="49">
        <v>44761.07421885416</v>
      </c>
      <c r="B6356" s="50">
        <v>44761.1991903703</v>
      </c>
      <c r="C6356" s="51">
        <v>1.004</v>
      </c>
      <c r="D6356" s="51">
        <v>70.0</v>
      </c>
      <c r="E6356" s="52" t="s">
        <v>25</v>
      </c>
      <c r="F6356" s="52" t="s">
        <v>26</v>
      </c>
      <c r="G6356" s="53"/>
    </row>
    <row r="6357">
      <c r="A6357" s="49">
        <v>44761.08464076389</v>
      </c>
      <c r="B6357" s="50">
        <v>44761.2096133912</v>
      </c>
      <c r="C6357" s="51">
        <v>1.004</v>
      </c>
      <c r="D6357" s="51">
        <v>70.0</v>
      </c>
      <c r="E6357" s="52" t="s">
        <v>25</v>
      </c>
      <c r="F6357" s="52" t="s">
        <v>26</v>
      </c>
      <c r="G6357" s="53"/>
    </row>
    <row r="6358">
      <c r="A6358" s="49">
        <v>44761.0950587963</v>
      </c>
      <c r="B6358" s="50">
        <v>44761.2200339814</v>
      </c>
      <c r="C6358" s="51">
        <v>1.004</v>
      </c>
      <c r="D6358" s="51">
        <v>70.0</v>
      </c>
      <c r="E6358" s="52" t="s">
        <v>25</v>
      </c>
      <c r="F6358" s="52" t="s">
        <v>26</v>
      </c>
      <c r="G6358" s="53"/>
    </row>
    <row r="6359">
      <c r="A6359" s="49">
        <v>44761.10549065973</v>
      </c>
      <c r="B6359" s="50">
        <v>44761.2304662731</v>
      </c>
      <c r="C6359" s="51">
        <v>1.004</v>
      </c>
      <c r="D6359" s="51">
        <v>70.0</v>
      </c>
      <c r="E6359" s="52" t="s">
        <v>25</v>
      </c>
      <c r="F6359" s="52" t="s">
        <v>26</v>
      </c>
      <c r="G6359" s="53"/>
    </row>
    <row r="6360">
      <c r="A6360" s="49">
        <v>44761.11593774306</v>
      </c>
      <c r="B6360" s="50">
        <v>44761.2408999884</v>
      </c>
      <c r="C6360" s="51">
        <v>1.004</v>
      </c>
      <c r="D6360" s="51">
        <v>70.0</v>
      </c>
      <c r="E6360" s="52" t="s">
        <v>25</v>
      </c>
      <c r="F6360" s="52" t="s">
        <v>26</v>
      </c>
      <c r="G6360" s="53"/>
    </row>
    <row r="6361">
      <c r="A6361" s="49">
        <v>44761.126344375</v>
      </c>
      <c r="B6361" s="50">
        <v>44761.2513199074</v>
      </c>
      <c r="C6361" s="51">
        <v>1.004</v>
      </c>
      <c r="D6361" s="51">
        <v>70.0</v>
      </c>
      <c r="E6361" s="52" t="s">
        <v>25</v>
      </c>
      <c r="F6361" s="52" t="s">
        <v>26</v>
      </c>
      <c r="G6361" s="53"/>
    </row>
    <row r="6362">
      <c r="A6362" s="49">
        <v>44761.13675976852</v>
      </c>
      <c r="B6362" s="50">
        <v>44761.2617436921</v>
      </c>
      <c r="C6362" s="51">
        <v>1.004</v>
      </c>
      <c r="D6362" s="51">
        <v>70.0</v>
      </c>
      <c r="E6362" s="52" t="s">
        <v>25</v>
      </c>
      <c r="F6362" s="52" t="s">
        <v>26</v>
      </c>
      <c r="G6362" s="53"/>
    </row>
    <row r="6363">
      <c r="A6363" s="49">
        <v>44761.147191076394</v>
      </c>
      <c r="B6363" s="50">
        <v>44761.2721643634</v>
      </c>
      <c r="C6363" s="51">
        <v>1.004</v>
      </c>
      <c r="D6363" s="51">
        <v>70.0</v>
      </c>
      <c r="E6363" s="52" t="s">
        <v>25</v>
      </c>
      <c r="F6363" s="52" t="s">
        <v>26</v>
      </c>
      <c r="G6363" s="53"/>
    </row>
    <row r="6364">
      <c r="A6364" s="49">
        <v>44761.15761145833</v>
      </c>
      <c r="B6364" s="50">
        <v>44761.2825861342</v>
      </c>
      <c r="C6364" s="51">
        <v>1.004</v>
      </c>
      <c r="D6364" s="51">
        <v>70.0</v>
      </c>
      <c r="E6364" s="52" t="s">
        <v>25</v>
      </c>
      <c r="F6364" s="52" t="s">
        <v>26</v>
      </c>
      <c r="G6364" s="53"/>
    </row>
    <row r="6365">
      <c r="A6365" s="49">
        <v>44761.16803917824</v>
      </c>
      <c r="B6365" s="50">
        <v>44761.2930189351</v>
      </c>
      <c r="C6365" s="51">
        <v>1.004</v>
      </c>
      <c r="D6365" s="51">
        <v>70.0</v>
      </c>
      <c r="E6365" s="52" t="s">
        <v>25</v>
      </c>
      <c r="F6365" s="52" t="s">
        <v>26</v>
      </c>
      <c r="G6365" s="53"/>
    </row>
    <row r="6366">
      <c r="A6366" s="49">
        <v>44761.17847060185</v>
      </c>
      <c r="B6366" s="50">
        <v>44761.3034410648</v>
      </c>
      <c r="C6366" s="51">
        <v>1.004</v>
      </c>
      <c r="D6366" s="51">
        <v>70.0</v>
      </c>
      <c r="E6366" s="52" t="s">
        <v>25</v>
      </c>
      <c r="F6366" s="52" t="s">
        <v>26</v>
      </c>
      <c r="G6366" s="53"/>
    </row>
    <row r="6367">
      <c r="A6367" s="49">
        <v>44761.188885324074</v>
      </c>
      <c r="B6367" s="50">
        <v>44761.3138609143</v>
      </c>
      <c r="C6367" s="51">
        <v>1.004</v>
      </c>
      <c r="D6367" s="51">
        <v>70.0</v>
      </c>
      <c r="E6367" s="52" t="s">
        <v>25</v>
      </c>
      <c r="F6367" s="52" t="s">
        <v>26</v>
      </c>
      <c r="G6367" s="53"/>
    </row>
    <row r="6368">
      <c r="A6368" s="49">
        <v>44761.199308090276</v>
      </c>
      <c r="B6368" s="50">
        <v>44761.3242825</v>
      </c>
      <c r="C6368" s="51">
        <v>1.004</v>
      </c>
      <c r="D6368" s="51">
        <v>70.0</v>
      </c>
      <c r="E6368" s="52" t="s">
        <v>25</v>
      </c>
      <c r="F6368" s="52" t="s">
        <v>26</v>
      </c>
      <c r="G6368" s="53"/>
    </row>
    <row r="6369">
      <c r="A6369" s="49">
        <v>44761.209738819445</v>
      </c>
      <c r="B6369" s="50">
        <v>44761.3347145023</v>
      </c>
      <c r="C6369" s="51">
        <v>1.004</v>
      </c>
      <c r="D6369" s="51">
        <v>70.0</v>
      </c>
      <c r="E6369" s="52" t="s">
        <v>25</v>
      </c>
      <c r="F6369" s="52" t="s">
        <v>26</v>
      </c>
      <c r="G6369" s="53"/>
    </row>
    <row r="6370">
      <c r="A6370" s="49">
        <v>44761.22016028935</v>
      </c>
      <c r="B6370" s="50">
        <v>44761.345134699</v>
      </c>
      <c r="C6370" s="51">
        <v>1.004</v>
      </c>
      <c r="D6370" s="51">
        <v>70.0</v>
      </c>
      <c r="E6370" s="52" t="s">
        <v>25</v>
      </c>
      <c r="F6370" s="52" t="s">
        <v>26</v>
      </c>
      <c r="G6370" s="53"/>
    </row>
    <row r="6371">
      <c r="A6371" s="49">
        <v>44761.23058077546</v>
      </c>
      <c r="B6371" s="50">
        <v>44761.3555547338</v>
      </c>
      <c r="C6371" s="51">
        <v>1.004</v>
      </c>
      <c r="D6371" s="51">
        <v>70.0</v>
      </c>
      <c r="E6371" s="52" t="s">
        <v>25</v>
      </c>
      <c r="F6371" s="52" t="s">
        <v>26</v>
      </c>
      <c r="G6371" s="53"/>
    </row>
    <row r="6372">
      <c r="A6372" s="49">
        <v>44761.241024629635</v>
      </c>
      <c r="B6372" s="50">
        <v>44761.3659998958</v>
      </c>
      <c r="C6372" s="51">
        <v>1.004</v>
      </c>
      <c r="D6372" s="51">
        <v>70.0</v>
      </c>
      <c r="E6372" s="52" t="s">
        <v>25</v>
      </c>
      <c r="F6372" s="52" t="s">
        <v>26</v>
      </c>
      <c r="G6372" s="53"/>
    </row>
    <row r="6373">
      <c r="A6373" s="49">
        <v>44761.251446180555</v>
      </c>
      <c r="B6373" s="50">
        <v>44761.3764220023</v>
      </c>
      <c r="C6373" s="51">
        <v>1.004</v>
      </c>
      <c r="D6373" s="51">
        <v>70.0</v>
      </c>
      <c r="E6373" s="52" t="s">
        <v>25</v>
      </c>
      <c r="F6373" s="52" t="s">
        <v>26</v>
      </c>
      <c r="G6373" s="53"/>
    </row>
    <row r="6374">
      <c r="A6374" s="49">
        <v>44761.26186296296</v>
      </c>
      <c r="B6374" s="50">
        <v>44761.3868434143</v>
      </c>
      <c r="C6374" s="51">
        <v>1.004</v>
      </c>
      <c r="D6374" s="51">
        <v>70.0</v>
      </c>
      <c r="E6374" s="52" t="s">
        <v>25</v>
      </c>
      <c r="F6374" s="52" t="s">
        <v>26</v>
      </c>
      <c r="G6374" s="53"/>
    </row>
    <row r="6375">
      <c r="A6375" s="49">
        <v>44761.27229119213</v>
      </c>
      <c r="B6375" s="50">
        <v>44761.3972643865</v>
      </c>
      <c r="C6375" s="51">
        <v>1.004</v>
      </c>
      <c r="D6375" s="51">
        <v>70.0</v>
      </c>
      <c r="E6375" s="52" t="s">
        <v>25</v>
      </c>
      <c r="F6375" s="52" t="s">
        <v>26</v>
      </c>
      <c r="G6375" s="53"/>
    </row>
    <row r="6376">
      <c r="A6376" s="49">
        <v>44761.282712037035</v>
      </c>
      <c r="B6376" s="50">
        <v>44761.4076852314</v>
      </c>
      <c r="C6376" s="51">
        <v>1.004</v>
      </c>
      <c r="D6376" s="51">
        <v>70.0</v>
      </c>
      <c r="E6376" s="52" t="s">
        <v>25</v>
      </c>
      <c r="F6376" s="52" t="s">
        <v>26</v>
      </c>
      <c r="G6376" s="53"/>
    </row>
    <row r="6377">
      <c r="A6377" s="49">
        <v>44761.29312993056</v>
      </c>
      <c r="B6377" s="50">
        <v>44761.4181058796</v>
      </c>
      <c r="C6377" s="51">
        <v>1.004</v>
      </c>
      <c r="D6377" s="51">
        <v>70.0</v>
      </c>
      <c r="E6377" s="52" t="s">
        <v>25</v>
      </c>
      <c r="F6377" s="52" t="s">
        <v>26</v>
      </c>
      <c r="G6377" s="53"/>
    </row>
    <row r="6378">
      <c r="A6378" s="49">
        <v>44761.30354976852</v>
      </c>
      <c r="B6378" s="50">
        <v>44761.4285260416</v>
      </c>
      <c r="C6378" s="51">
        <v>1.004</v>
      </c>
      <c r="D6378" s="51">
        <v>70.0</v>
      </c>
      <c r="E6378" s="52" t="s">
        <v>25</v>
      </c>
      <c r="F6378" s="52" t="s">
        <v>26</v>
      </c>
      <c r="G6378" s="53"/>
    </row>
    <row r="6379">
      <c r="A6379" s="49">
        <v>44761.31396497686</v>
      </c>
      <c r="B6379" s="50">
        <v>44761.438947662</v>
      </c>
      <c r="C6379" s="51">
        <v>1.004</v>
      </c>
      <c r="D6379" s="51">
        <v>70.0</v>
      </c>
      <c r="E6379" s="52" t="s">
        <v>25</v>
      </c>
      <c r="F6379" s="52" t="s">
        <v>26</v>
      </c>
      <c r="G6379" s="53"/>
    </row>
    <row r="6380">
      <c r="A6380" s="49">
        <v>44761.324394236115</v>
      </c>
      <c r="B6380" s="50">
        <v>44761.4493678703</v>
      </c>
      <c r="C6380" s="51">
        <v>1.004</v>
      </c>
      <c r="D6380" s="51">
        <v>70.0</v>
      </c>
      <c r="E6380" s="52" t="s">
        <v>25</v>
      </c>
      <c r="F6380" s="52" t="s">
        <v>26</v>
      </c>
      <c r="G6380" s="53"/>
    </row>
    <row r="6381">
      <c r="A6381" s="49">
        <v>44761.334807175925</v>
      </c>
      <c r="B6381" s="50">
        <v>44761.4597885763</v>
      </c>
      <c r="C6381" s="51">
        <v>1.004</v>
      </c>
      <c r="D6381" s="51">
        <v>70.0</v>
      </c>
      <c r="E6381" s="52" t="s">
        <v>25</v>
      </c>
      <c r="F6381" s="52" t="s">
        <v>26</v>
      </c>
      <c r="G6381" s="53"/>
    </row>
    <row r="6382">
      <c r="A6382" s="49">
        <v>44761.3452362963</v>
      </c>
      <c r="B6382" s="50">
        <v>44761.4702120601</v>
      </c>
      <c r="C6382" s="51">
        <v>1.004</v>
      </c>
      <c r="D6382" s="51">
        <v>70.0</v>
      </c>
      <c r="E6382" s="52" t="s">
        <v>25</v>
      </c>
      <c r="F6382" s="52" t="s">
        <v>26</v>
      </c>
      <c r="G6382" s="53"/>
    </row>
    <row r="6383">
      <c r="A6383" s="49">
        <v>44761.35565732639</v>
      </c>
      <c r="B6383" s="50">
        <v>44761.4806328356</v>
      </c>
      <c r="C6383" s="51">
        <v>1.004</v>
      </c>
      <c r="D6383" s="51">
        <v>70.0</v>
      </c>
      <c r="E6383" s="52" t="s">
        <v>25</v>
      </c>
      <c r="F6383" s="52" t="s">
        <v>26</v>
      </c>
      <c r="G6383" s="53"/>
    </row>
    <row r="6384">
      <c r="A6384" s="49">
        <v>44761.36607600695</v>
      </c>
      <c r="B6384" s="50">
        <v>44761.4910537731</v>
      </c>
      <c r="C6384" s="51">
        <v>1.004</v>
      </c>
      <c r="D6384" s="51">
        <v>70.0</v>
      </c>
      <c r="E6384" s="52" t="s">
        <v>25</v>
      </c>
      <c r="F6384" s="52" t="s">
        <v>26</v>
      </c>
      <c r="G6384" s="53"/>
    </row>
    <row r="6385">
      <c r="A6385" s="49">
        <v>44761.3764920949</v>
      </c>
      <c r="B6385" s="50">
        <v>44761.5014736226</v>
      </c>
      <c r="C6385" s="51">
        <v>1.004</v>
      </c>
      <c r="D6385" s="51">
        <v>70.0</v>
      </c>
      <c r="E6385" s="52" t="s">
        <v>25</v>
      </c>
      <c r="F6385" s="52" t="s">
        <v>26</v>
      </c>
      <c r="G6385" s="53"/>
    </row>
    <row r="6386">
      <c r="A6386" s="49">
        <v>44761.38690719908</v>
      </c>
      <c r="B6386" s="50">
        <v>44761.5118945486</v>
      </c>
      <c r="C6386" s="51">
        <v>1.004</v>
      </c>
      <c r="D6386" s="51">
        <v>70.0</v>
      </c>
      <c r="E6386" s="52" t="s">
        <v>25</v>
      </c>
      <c r="F6386" s="52" t="s">
        <v>26</v>
      </c>
      <c r="G6386" s="53"/>
    </row>
    <row r="6387">
      <c r="A6387" s="49">
        <v>44761.397345694444</v>
      </c>
      <c r="B6387" s="50">
        <v>44761.5223161226</v>
      </c>
      <c r="C6387" s="51">
        <v>1.004</v>
      </c>
      <c r="D6387" s="51">
        <v>70.0</v>
      </c>
      <c r="E6387" s="52" t="s">
        <v>25</v>
      </c>
      <c r="F6387" s="52" t="s">
        <v>26</v>
      </c>
      <c r="G6387" s="53"/>
    </row>
    <row r="6388">
      <c r="A6388" s="49">
        <v>44761.407761689814</v>
      </c>
      <c r="B6388" s="50">
        <v>44761.5327354166</v>
      </c>
      <c r="C6388" s="51">
        <v>1.004</v>
      </c>
      <c r="D6388" s="51">
        <v>70.0</v>
      </c>
      <c r="E6388" s="52" t="s">
        <v>25</v>
      </c>
      <c r="F6388" s="52" t="s">
        <v>26</v>
      </c>
      <c r="G6388" s="53"/>
    </row>
    <row r="6389">
      <c r="A6389" s="49">
        <v>44761.41818221065</v>
      </c>
      <c r="B6389" s="50">
        <v>44761.5431559027</v>
      </c>
      <c r="C6389" s="51">
        <v>1.004</v>
      </c>
      <c r="D6389" s="51">
        <v>70.0</v>
      </c>
      <c r="E6389" s="52" t="s">
        <v>25</v>
      </c>
      <c r="F6389" s="52" t="s">
        <v>26</v>
      </c>
      <c r="G6389" s="53"/>
    </row>
    <row r="6390">
      <c r="A6390" s="49">
        <v>44761.42860265046</v>
      </c>
      <c r="B6390" s="50">
        <v>44761.5535773495</v>
      </c>
      <c r="C6390" s="51">
        <v>1.004</v>
      </c>
      <c r="D6390" s="51">
        <v>70.0</v>
      </c>
      <c r="E6390" s="52" t="s">
        <v>25</v>
      </c>
      <c r="F6390" s="52" t="s">
        <v>26</v>
      </c>
      <c r="G6390" s="53"/>
    </row>
    <row r="6391">
      <c r="A6391" s="49">
        <v>44761.43903408565</v>
      </c>
      <c r="B6391" s="50">
        <v>44761.5640104629</v>
      </c>
      <c r="C6391" s="51">
        <v>1.004</v>
      </c>
      <c r="D6391" s="51">
        <v>70.0</v>
      </c>
      <c r="E6391" s="52" t="s">
        <v>25</v>
      </c>
      <c r="F6391" s="52" t="s">
        <v>26</v>
      </c>
      <c r="G6391" s="53"/>
    </row>
    <row r="6392">
      <c r="A6392" s="49">
        <v>44761.44944979167</v>
      </c>
      <c r="B6392" s="50">
        <v>44761.5744330671</v>
      </c>
      <c r="C6392" s="51">
        <v>1.004</v>
      </c>
      <c r="D6392" s="51">
        <v>70.0</v>
      </c>
      <c r="E6392" s="52" t="s">
        <v>25</v>
      </c>
      <c r="F6392" s="52" t="s">
        <v>26</v>
      </c>
      <c r="G6392" s="53"/>
    </row>
    <row r="6393">
      <c r="A6393" s="49">
        <v>44761.4599075</v>
      </c>
      <c r="B6393" s="50">
        <v>44761.5848661921</v>
      </c>
      <c r="C6393" s="51">
        <v>1.004</v>
      </c>
      <c r="D6393" s="51">
        <v>69.0</v>
      </c>
      <c r="E6393" s="52" t="s">
        <v>25</v>
      </c>
      <c r="F6393" s="52" t="s">
        <v>26</v>
      </c>
      <c r="G6393" s="53"/>
    </row>
    <row r="6394">
      <c r="A6394" s="49">
        <v>44761.47034629629</v>
      </c>
      <c r="B6394" s="50">
        <v>44761.595322743</v>
      </c>
      <c r="C6394" s="51">
        <v>1.004</v>
      </c>
      <c r="D6394" s="51">
        <v>69.0</v>
      </c>
      <c r="E6394" s="52" t="s">
        <v>25</v>
      </c>
      <c r="F6394" s="52" t="s">
        <v>26</v>
      </c>
      <c r="G6394" s="53"/>
    </row>
    <row r="6395">
      <c r="A6395" s="49">
        <v>44761.480765127315</v>
      </c>
      <c r="B6395" s="50">
        <v>44761.605745625</v>
      </c>
      <c r="C6395" s="51">
        <v>1.004</v>
      </c>
      <c r="D6395" s="51">
        <v>68.0</v>
      </c>
      <c r="E6395" s="52" t="s">
        <v>25</v>
      </c>
      <c r="F6395" s="52" t="s">
        <v>26</v>
      </c>
      <c r="G6395" s="53"/>
    </row>
    <row r="6396">
      <c r="A6396" s="49">
        <v>44761.49120903935</v>
      </c>
      <c r="B6396" s="50">
        <v>44761.6161667245</v>
      </c>
      <c r="C6396" s="51">
        <v>1.004</v>
      </c>
      <c r="D6396" s="51">
        <v>67.0</v>
      </c>
      <c r="E6396" s="52" t="s">
        <v>25</v>
      </c>
      <c r="F6396" s="52" t="s">
        <v>26</v>
      </c>
      <c r="G6396" s="53"/>
    </row>
    <row r="6397">
      <c r="A6397" s="49">
        <v>44761.50163915509</v>
      </c>
      <c r="B6397" s="50">
        <v>44761.6265884606</v>
      </c>
      <c r="C6397" s="51">
        <v>1.004</v>
      </c>
      <c r="D6397" s="51">
        <v>67.0</v>
      </c>
      <c r="E6397" s="52" t="s">
        <v>25</v>
      </c>
      <c r="F6397" s="52" t="s">
        <v>26</v>
      </c>
      <c r="G6397" s="53"/>
    </row>
    <row r="6398">
      <c r="A6398" s="49">
        <v>44761.51203565972</v>
      </c>
      <c r="B6398" s="50">
        <v>44761.6370091435</v>
      </c>
      <c r="C6398" s="51">
        <v>1.004</v>
      </c>
      <c r="D6398" s="51">
        <v>66.0</v>
      </c>
      <c r="E6398" s="52" t="s">
        <v>25</v>
      </c>
      <c r="F6398" s="52" t="s">
        <v>26</v>
      </c>
      <c r="G6398" s="53"/>
    </row>
    <row r="6399">
      <c r="A6399" s="49">
        <v>44761.52246670139</v>
      </c>
      <c r="B6399" s="50">
        <v>44761.6474426504</v>
      </c>
      <c r="C6399" s="51">
        <v>1.004</v>
      </c>
      <c r="D6399" s="51">
        <v>66.0</v>
      </c>
      <c r="E6399" s="52" t="s">
        <v>25</v>
      </c>
      <c r="F6399" s="52" t="s">
        <v>26</v>
      </c>
      <c r="G6399" s="53"/>
    </row>
    <row r="6400">
      <c r="A6400" s="49">
        <v>44761.532888182875</v>
      </c>
      <c r="B6400" s="50">
        <v>44761.65786375</v>
      </c>
      <c r="C6400" s="51">
        <v>1.004</v>
      </c>
      <c r="D6400" s="51">
        <v>66.0</v>
      </c>
      <c r="E6400" s="52" t="s">
        <v>25</v>
      </c>
      <c r="F6400" s="52" t="s">
        <v>26</v>
      </c>
      <c r="G6400" s="53"/>
    </row>
    <row r="6401">
      <c r="A6401" s="49">
        <v>44761.54330983796</v>
      </c>
      <c r="B6401" s="50">
        <v>44761.6682837268</v>
      </c>
      <c r="C6401" s="51">
        <v>1.004</v>
      </c>
      <c r="D6401" s="51">
        <v>66.0</v>
      </c>
      <c r="E6401" s="52" t="s">
        <v>25</v>
      </c>
      <c r="F6401" s="52" t="s">
        <v>26</v>
      </c>
      <c r="G6401" s="53"/>
    </row>
    <row r="6402">
      <c r="A6402" s="49">
        <v>44761.55372214121</v>
      </c>
      <c r="B6402" s="50">
        <v>44761.6787056597</v>
      </c>
      <c r="C6402" s="51">
        <v>1.004</v>
      </c>
      <c r="D6402" s="51">
        <v>66.0</v>
      </c>
      <c r="E6402" s="52" t="s">
        <v>25</v>
      </c>
      <c r="F6402" s="52" t="s">
        <v>26</v>
      </c>
      <c r="G6402" s="53"/>
    </row>
    <row r="6403">
      <c r="A6403" s="49">
        <v>44761.56414328703</v>
      </c>
      <c r="B6403" s="50">
        <v>44761.6891271527</v>
      </c>
      <c r="C6403" s="51">
        <v>1.004</v>
      </c>
      <c r="D6403" s="51">
        <v>66.0</v>
      </c>
      <c r="E6403" s="52" t="s">
        <v>25</v>
      </c>
      <c r="F6403" s="52" t="s">
        <v>26</v>
      </c>
      <c r="G6403" s="53"/>
    </row>
    <row r="6404">
      <c r="A6404" s="49">
        <v>44761.57456246528</v>
      </c>
      <c r="B6404" s="50">
        <v>44761.6995465856</v>
      </c>
      <c r="C6404" s="51">
        <v>1.004</v>
      </c>
      <c r="D6404" s="51">
        <v>66.0</v>
      </c>
      <c r="E6404" s="52" t="s">
        <v>25</v>
      </c>
      <c r="F6404" s="52" t="s">
        <v>26</v>
      </c>
      <c r="G6404" s="53"/>
    </row>
    <row r="6405">
      <c r="A6405" s="49">
        <v>44761.584995868056</v>
      </c>
      <c r="B6405" s="50">
        <v>44761.709968368</v>
      </c>
      <c r="C6405" s="51">
        <v>1.004</v>
      </c>
      <c r="D6405" s="51">
        <v>66.0</v>
      </c>
      <c r="E6405" s="52" t="s">
        <v>25</v>
      </c>
      <c r="F6405" s="52" t="s">
        <v>26</v>
      </c>
      <c r="G6405" s="53"/>
    </row>
    <row r="6406">
      <c r="A6406" s="49">
        <v>44761.59542185185</v>
      </c>
      <c r="B6406" s="50">
        <v>44761.7204019675</v>
      </c>
      <c r="C6406" s="51">
        <v>1.004</v>
      </c>
      <c r="D6406" s="51">
        <v>66.0</v>
      </c>
      <c r="E6406" s="52" t="s">
        <v>25</v>
      </c>
      <c r="F6406" s="52" t="s">
        <v>26</v>
      </c>
      <c r="G6406" s="53"/>
    </row>
    <row r="6407">
      <c r="A6407" s="49">
        <v>44761.60584011574</v>
      </c>
      <c r="B6407" s="50">
        <v>44761.730823287</v>
      </c>
      <c r="C6407" s="51">
        <v>1.004</v>
      </c>
      <c r="D6407" s="51">
        <v>66.0</v>
      </c>
      <c r="E6407" s="52" t="s">
        <v>25</v>
      </c>
      <c r="F6407" s="52" t="s">
        <v>26</v>
      </c>
      <c r="G6407" s="53"/>
    </row>
    <row r="6408">
      <c r="A6408" s="49">
        <v>44761.61630445602</v>
      </c>
      <c r="B6408" s="50">
        <v>44761.7412580324</v>
      </c>
      <c r="C6408" s="51">
        <v>1.004</v>
      </c>
      <c r="D6408" s="51">
        <v>66.0</v>
      </c>
      <c r="E6408" s="52" t="s">
        <v>25</v>
      </c>
      <c r="F6408" s="52" t="s">
        <v>26</v>
      </c>
      <c r="G6408" s="53"/>
    </row>
    <row r="6409">
      <c r="A6409" s="49">
        <v>44761.62670291666</v>
      </c>
      <c r="B6409" s="50">
        <v>44761.751678206</v>
      </c>
      <c r="C6409" s="51">
        <v>1.004</v>
      </c>
      <c r="D6409" s="51">
        <v>66.0</v>
      </c>
      <c r="E6409" s="52" t="s">
        <v>25</v>
      </c>
      <c r="F6409" s="52" t="s">
        <v>26</v>
      </c>
      <c r="G6409" s="53"/>
    </row>
    <row r="6410">
      <c r="A6410" s="49">
        <v>44761.637126180554</v>
      </c>
      <c r="B6410" s="50">
        <v>44761.762099618</v>
      </c>
      <c r="C6410" s="51">
        <v>1.004</v>
      </c>
      <c r="D6410" s="51">
        <v>66.0</v>
      </c>
      <c r="E6410" s="52" t="s">
        <v>25</v>
      </c>
      <c r="F6410" s="52" t="s">
        <v>26</v>
      </c>
      <c r="G6410" s="53"/>
    </row>
    <row r="6411">
      <c r="A6411" s="49">
        <v>44761.64754888889</v>
      </c>
      <c r="B6411" s="50">
        <v>44761.7725229166</v>
      </c>
      <c r="C6411" s="51">
        <v>1.004</v>
      </c>
      <c r="D6411" s="51">
        <v>66.0</v>
      </c>
      <c r="E6411" s="52" t="s">
        <v>25</v>
      </c>
      <c r="F6411" s="52" t="s">
        <v>26</v>
      </c>
      <c r="G6411" s="53"/>
    </row>
    <row r="6412">
      <c r="A6412" s="49">
        <v>44761.65798173611</v>
      </c>
      <c r="B6412" s="50">
        <v>44761.7829580671</v>
      </c>
      <c r="C6412" s="51">
        <v>1.004</v>
      </c>
      <c r="D6412" s="51">
        <v>66.0</v>
      </c>
      <c r="E6412" s="52" t="s">
        <v>25</v>
      </c>
      <c r="F6412" s="52" t="s">
        <v>26</v>
      </c>
      <c r="G6412" s="53"/>
    </row>
    <row r="6413">
      <c r="A6413" s="49">
        <v>44761.66840625</v>
      </c>
      <c r="B6413" s="50">
        <v>44761.7933774305</v>
      </c>
      <c r="C6413" s="51">
        <v>1.004</v>
      </c>
      <c r="D6413" s="51">
        <v>66.0</v>
      </c>
      <c r="E6413" s="52" t="s">
        <v>25</v>
      </c>
      <c r="F6413" s="52" t="s">
        <v>26</v>
      </c>
      <c r="G6413" s="53"/>
    </row>
    <row r="6414">
      <c r="A6414" s="49">
        <v>44761.678821215275</v>
      </c>
      <c r="B6414" s="50">
        <v>44761.8037980208</v>
      </c>
      <c r="C6414" s="51">
        <v>1.004</v>
      </c>
      <c r="D6414" s="51">
        <v>66.0</v>
      </c>
      <c r="E6414" s="52" t="s">
        <v>25</v>
      </c>
      <c r="F6414" s="52" t="s">
        <v>26</v>
      </c>
      <c r="G6414" s="53"/>
    </row>
    <row r="6415">
      <c r="A6415" s="49">
        <v>44761.68925178241</v>
      </c>
      <c r="B6415" s="50">
        <v>44761.814231331</v>
      </c>
      <c r="C6415" s="51">
        <v>1.004</v>
      </c>
      <c r="D6415" s="51">
        <v>66.0</v>
      </c>
      <c r="E6415" s="52" t="s">
        <v>25</v>
      </c>
      <c r="F6415" s="52" t="s">
        <v>26</v>
      </c>
      <c r="G6415" s="53"/>
    </row>
    <row r="6416">
      <c r="A6416" s="49">
        <v>44761.69968549769</v>
      </c>
      <c r="B6416" s="50">
        <v>44761.8246634838</v>
      </c>
      <c r="C6416" s="51">
        <v>1.004</v>
      </c>
      <c r="D6416" s="51">
        <v>66.0</v>
      </c>
      <c r="E6416" s="52" t="s">
        <v>25</v>
      </c>
      <c r="F6416" s="52" t="s">
        <v>26</v>
      </c>
      <c r="G6416" s="53"/>
    </row>
    <row r="6417">
      <c r="A6417" s="49">
        <v>44761.71010633102</v>
      </c>
      <c r="B6417" s="50">
        <v>44761.8350849652</v>
      </c>
      <c r="C6417" s="51">
        <v>1.004</v>
      </c>
      <c r="D6417" s="51">
        <v>66.0</v>
      </c>
      <c r="E6417" s="52" t="s">
        <v>25</v>
      </c>
      <c r="F6417" s="52" t="s">
        <v>26</v>
      </c>
      <c r="G6417" s="53"/>
    </row>
    <row r="6418">
      <c r="A6418" s="49">
        <v>44761.72052130787</v>
      </c>
      <c r="B6418" s="50">
        <v>44761.8455058564</v>
      </c>
      <c r="C6418" s="51">
        <v>1.004</v>
      </c>
      <c r="D6418" s="51">
        <v>66.0</v>
      </c>
      <c r="E6418" s="52" t="s">
        <v>25</v>
      </c>
      <c r="F6418" s="52" t="s">
        <v>26</v>
      </c>
      <c r="G6418" s="53"/>
    </row>
    <row r="6419">
      <c r="A6419" s="49">
        <v>44761.73099026621</v>
      </c>
      <c r="B6419" s="50">
        <v>44761.8559280324</v>
      </c>
      <c r="C6419" s="51">
        <v>1.004</v>
      </c>
      <c r="D6419" s="51">
        <v>66.0</v>
      </c>
      <c r="E6419" s="52" t="s">
        <v>25</v>
      </c>
      <c r="F6419" s="52" t="s">
        <v>26</v>
      </c>
      <c r="G6419" s="53"/>
    </row>
    <row r="6420">
      <c r="A6420" s="49">
        <v>44761.741375983795</v>
      </c>
      <c r="B6420" s="50">
        <v>44761.8663490046</v>
      </c>
      <c r="C6420" s="51">
        <v>1.004</v>
      </c>
      <c r="D6420" s="51">
        <v>66.0</v>
      </c>
      <c r="E6420" s="52" t="s">
        <v>25</v>
      </c>
      <c r="F6420" s="52" t="s">
        <v>26</v>
      </c>
      <c r="G6420" s="53"/>
    </row>
    <row r="6421">
      <c r="A6421" s="49">
        <v>44761.75179601852</v>
      </c>
      <c r="B6421" s="50">
        <v>44761.87677103</v>
      </c>
      <c r="C6421" s="51">
        <v>1.004</v>
      </c>
      <c r="D6421" s="51">
        <v>66.0</v>
      </c>
      <c r="E6421" s="52" t="s">
        <v>25</v>
      </c>
      <c r="F6421" s="52" t="s">
        <v>26</v>
      </c>
      <c r="G6421" s="53"/>
    </row>
    <row r="6422">
      <c r="A6422" s="49">
        <v>44761.762227037034</v>
      </c>
      <c r="B6422" s="50">
        <v>44761.8872041319</v>
      </c>
      <c r="C6422" s="51">
        <v>1.004</v>
      </c>
      <c r="D6422" s="51">
        <v>66.0</v>
      </c>
      <c r="E6422" s="52" t="s">
        <v>25</v>
      </c>
      <c r="F6422" s="52" t="s">
        <v>26</v>
      </c>
      <c r="G6422" s="53"/>
    </row>
    <row r="6423">
      <c r="A6423" s="49">
        <v>44761.77264564815</v>
      </c>
      <c r="B6423" s="50">
        <v>44761.8976254629</v>
      </c>
      <c r="C6423" s="51">
        <v>1.004</v>
      </c>
      <c r="D6423" s="51">
        <v>66.0</v>
      </c>
      <c r="E6423" s="52" t="s">
        <v>25</v>
      </c>
      <c r="F6423" s="52" t="s">
        <v>26</v>
      </c>
      <c r="G6423" s="53"/>
    </row>
    <row r="6424">
      <c r="A6424" s="49">
        <v>44761.78307751157</v>
      </c>
      <c r="B6424" s="50">
        <v>44761.9080589583</v>
      </c>
      <c r="C6424" s="51">
        <v>1.004</v>
      </c>
      <c r="D6424" s="51">
        <v>66.0</v>
      </c>
      <c r="E6424" s="52" t="s">
        <v>25</v>
      </c>
      <c r="F6424" s="52" t="s">
        <v>26</v>
      </c>
      <c r="G6424" s="53"/>
    </row>
    <row r="6425">
      <c r="A6425" s="49">
        <v>44761.793512442135</v>
      </c>
      <c r="B6425" s="50">
        <v>44761.9184911342</v>
      </c>
      <c r="C6425" s="51">
        <v>1.004</v>
      </c>
      <c r="D6425" s="51">
        <v>66.0</v>
      </c>
      <c r="E6425" s="52" t="s">
        <v>25</v>
      </c>
      <c r="F6425" s="52" t="s">
        <v>26</v>
      </c>
      <c r="G6425" s="53"/>
    </row>
    <row r="6426">
      <c r="A6426" s="49">
        <v>44761.80393995371</v>
      </c>
      <c r="B6426" s="50">
        <v>44761.9289128935</v>
      </c>
      <c r="C6426" s="51">
        <v>1.004</v>
      </c>
      <c r="D6426" s="51">
        <v>66.0</v>
      </c>
      <c r="E6426" s="52" t="s">
        <v>25</v>
      </c>
      <c r="F6426" s="52" t="s">
        <v>26</v>
      </c>
      <c r="G6426" s="53"/>
    </row>
    <row r="6427">
      <c r="A6427" s="49">
        <v>44761.814358703705</v>
      </c>
      <c r="B6427" s="50">
        <v>44761.9393339583</v>
      </c>
      <c r="C6427" s="51">
        <v>1.004</v>
      </c>
      <c r="D6427" s="51">
        <v>66.0</v>
      </c>
      <c r="E6427" s="52" t="s">
        <v>25</v>
      </c>
      <c r="F6427" s="52" t="s">
        <v>26</v>
      </c>
      <c r="G6427" s="53"/>
    </row>
    <row r="6428">
      <c r="A6428" s="49">
        <v>44761.82478001158</v>
      </c>
      <c r="B6428" s="50">
        <v>44761.9497553009</v>
      </c>
      <c r="C6428" s="51">
        <v>1.004</v>
      </c>
      <c r="D6428" s="51">
        <v>66.0</v>
      </c>
      <c r="E6428" s="52" t="s">
        <v>25</v>
      </c>
      <c r="F6428" s="52" t="s">
        <v>26</v>
      </c>
      <c r="G6428" s="53"/>
    </row>
    <row r="6429">
      <c r="A6429" s="49">
        <v>44761.83519774306</v>
      </c>
      <c r="B6429" s="50">
        <v>44761.9601758796</v>
      </c>
      <c r="C6429" s="51">
        <v>1.004</v>
      </c>
      <c r="D6429" s="51">
        <v>66.0</v>
      </c>
      <c r="E6429" s="52" t="s">
        <v>25</v>
      </c>
      <c r="F6429" s="52" t="s">
        <v>26</v>
      </c>
      <c r="G6429" s="53"/>
    </row>
    <row r="6430">
      <c r="A6430" s="49">
        <v>44761.845614375</v>
      </c>
      <c r="B6430" s="50">
        <v>44761.9705978935</v>
      </c>
      <c r="C6430" s="51">
        <v>1.004</v>
      </c>
      <c r="D6430" s="51">
        <v>66.0</v>
      </c>
      <c r="E6430" s="52" t="s">
        <v>25</v>
      </c>
      <c r="F6430" s="52" t="s">
        <v>26</v>
      </c>
      <c r="G6430" s="53"/>
    </row>
    <row r="6431">
      <c r="A6431" s="49">
        <v>44761.85604508102</v>
      </c>
      <c r="B6431" s="50">
        <v>44761.9810183217</v>
      </c>
      <c r="C6431" s="51">
        <v>1.004</v>
      </c>
      <c r="D6431" s="51">
        <v>66.0</v>
      </c>
      <c r="E6431" s="52" t="s">
        <v>25</v>
      </c>
      <c r="F6431" s="52" t="s">
        <v>26</v>
      </c>
      <c r="G6431" s="53"/>
    </row>
    <row r="6432">
      <c r="A6432" s="49">
        <v>44761.86646833333</v>
      </c>
      <c r="B6432" s="50">
        <v>44761.9914408101</v>
      </c>
      <c r="C6432" s="51">
        <v>1.004</v>
      </c>
      <c r="D6432" s="51">
        <v>66.0</v>
      </c>
      <c r="E6432" s="52" t="s">
        <v>25</v>
      </c>
      <c r="F6432" s="52" t="s">
        <v>26</v>
      </c>
      <c r="G6432" s="53"/>
    </row>
    <row r="6433">
      <c r="A6433" s="49">
        <v>44761.87688802084</v>
      </c>
      <c r="B6433" s="50">
        <v>44762.0018620717</v>
      </c>
      <c r="C6433" s="51">
        <v>1.004</v>
      </c>
      <c r="D6433" s="51">
        <v>66.0</v>
      </c>
      <c r="E6433" s="52" t="s">
        <v>25</v>
      </c>
      <c r="F6433" s="52" t="s">
        <v>26</v>
      </c>
      <c r="G6433" s="53"/>
    </row>
    <row r="6434">
      <c r="A6434" s="49">
        <v>44761.88730253473</v>
      </c>
      <c r="B6434" s="50">
        <v>44762.0122810185</v>
      </c>
      <c r="C6434" s="51">
        <v>1.004</v>
      </c>
      <c r="D6434" s="51">
        <v>66.0</v>
      </c>
      <c r="E6434" s="52" t="s">
        <v>25</v>
      </c>
      <c r="F6434" s="52" t="s">
        <v>26</v>
      </c>
      <c r="G6434" s="53"/>
    </row>
    <row r="6435">
      <c r="A6435" s="49">
        <v>44761.89772180555</v>
      </c>
      <c r="B6435" s="50">
        <v>44762.0227022453</v>
      </c>
      <c r="C6435" s="51">
        <v>1.004</v>
      </c>
      <c r="D6435" s="51">
        <v>66.0</v>
      </c>
      <c r="E6435" s="52" t="s">
        <v>25</v>
      </c>
      <c r="F6435" s="52" t="s">
        <v>26</v>
      </c>
      <c r="G6435" s="53"/>
    </row>
    <row r="6436">
      <c r="A6436" s="49">
        <v>44761.90814355324</v>
      </c>
      <c r="B6436" s="50">
        <v>44762.0331226504</v>
      </c>
      <c r="C6436" s="51">
        <v>1.004</v>
      </c>
      <c r="D6436" s="51">
        <v>66.0</v>
      </c>
      <c r="E6436" s="52" t="s">
        <v>25</v>
      </c>
      <c r="F6436" s="52" t="s">
        <v>26</v>
      </c>
      <c r="G6436" s="53"/>
    </row>
    <row r="6437">
      <c r="A6437" s="49">
        <v>44761.918572002316</v>
      </c>
      <c r="B6437" s="50">
        <v>44762.0435436574</v>
      </c>
      <c r="C6437" s="51">
        <v>1.004</v>
      </c>
      <c r="D6437" s="51">
        <v>66.0</v>
      </c>
      <c r="E6437" s="52" t="s">
        <v>25</v>
      </c>
      <c r="F6437" s="52" t="s">
        <v>26</v>
      </c>
      <c r="G6437" s="53"/>
    </row>
    <row r="6438">
      <c r="A6438" s="49">
        <v>44761.9289918287</v>
      </c>
      <c r="B6438" s="50">
        <v>44762.053964375</v>
      </c>
      <c r="C6438" s="51">
        <v>1.004</v>
      </c>
      <c r="D6438" s="51">
        <v>66.0</v>
      </c>
      <c r="E6438" s="52" t="s">
        <v>25</v>
      </c>
      <c r="F6438" s="52" t="s">
        <v>26</v>
      </c>
      <c r="G6438" s="53"/>
    </row>
    <row r="6439">
      <c r="A6439" s="49">
        <v>44761.93940994213</v>
      </c>
      <c r="B6439" s="50">
        <v>44762.064386875</v>
      </c>
      <c r="C6439" s="51">
        <v>1.004</v>
      </c>
      <c r="D6439" s="51">
        <v>66.0</v>
      </c>
      <c r="E6439" s="52" t="s">
        <v>25</v>
      </c>
      <c r="F6439" s="52" t="s">
        <v>26</v>
      </c>
      <c r="G6439" s="53"/>
    </row>
    <row r="6440">
      <c r="A6440" s="49">
        <v>44761.94983509259</v>
      </c>
      <c r="B6440" s="50">
        <v>44762.0748086458</v>
      </c>
      <c r="C6440" s="51">
        <v>1.004</v>
      </c>
      <c r="D6440" s="51">
        <v>66.0</v>
      </c>
      <c r="E6440" s="52" t="s">
        <v>25</v>
      </c>
      <c r="F6440" s="52" t="s">
        <v>26</v>
      </c>
      <c r="G6440" s="53"/>
    </row>
    <row r="6441">
      <c r="A6441" s="49">
        <v>44761.96027079861</v>
      </c>
      <c r="B6441" s="50">
        <v>44762.0852421064</v>
      </c>
      <c r="C6441" s="51">
        <v>1.004</v>
      </c>
      <c r="D6441" s="51">
        <v>67.0</v>
      </c>
      <c r="E6441" s="52" t="s">
        <v>25</v>
      </c>
      <c r="F6441" s="52" t="s">
        <v>26</v>
      </c>
      <c r="G6441" s="53"/>
    </row>
    <row r="6442">
      <c r="A6442" s="49">
        <v>44761.97069105324</v>
      </c>
      <c r="B6442" s="50">
        <v>44762.0956631018</v>
      </c>
      <c r="C6442" s="51">
        <v>1.004</v>
      </c>
      <c r="D6442" s="51">
        <v>67.0</v>
      </c>
      <c r="E6442" s="52" t="s">
        <v>25</v>
      </c>
      <c r="F6442" s="52" t="s">
        <v>26</v>
      </c>
      <c r="G6442" s="53"/>
    </row>
    <row r="6443">
      <c r="A6443" s="49">
        <v>44761.98111446759</v>
      </c>
      <c r="B6443" s="50">
        <v>44762.1060849884</v>
      </c>
      <c r="C6443" s="51">
        <v>1.004</v>
      </c>
      <c r="D6443" s="51">
        <v>67.0</v>
      </c>
      <c r="E6443" s="52" t="s">
        <v>25</v>
      </c>
      <c r="F6443" s="52" t="s">
        <v>26</v>
      </c>
      <c r="G6443" s="53"/>
    </row>
    <row r="6444">
      <c r="A6444" s="49">
        <v>44761.99152694445</v>
      </c>
      <c r="B6444" s="50">
        <v>44762.1165068055</v>
      </c>
      <c r="C6444" s="51">
        <v>1.004</v>
      </c>
      <c r="D6444" s="51">
        <v>67.0</v>
      </c>
      <c r="E6444" s="52" t="s">
        <v>25</v>
      </c>
      <c r="F6444" s="52" t="s">
        <v>26</v>
      </c>
      <c r="G6444" s="53"/>
    </row>
    <row r="6445">
      <c r="A6445" s="49">
        <v>44762.0019446875</v>
      </c>
      <c r="B6445" s="50">
        <v>44762.1269277314</v>
      </c>
      <c r="C6445" s="51">
        <v>1.004</v>
      </c>
      <c r="D6445" s="51">
        <v>67.0</v>
      </c>
      <c r="E6445" s="52" t="s">
        <v>25</v>
      </c>
      <c r="F6445" s="52" t="s">
        <v>26</v>
      </c>
      <c r="G6445" s="53"/>
    </row>
    <row r="6446">
      <c r="A6446" s="49">
        <v>44762.012366863426</v>
      </c>
      <c r="B6446" s="50">
        <v>44762.1373488194</v>
      </c>
      <c r="C6446" s="51">
        <v>1.004</v>
      </c>
      <c r="D6446" s="51">
        <v>67.0</v>
      </c>
      <c r="E6446" s="52" t="s">
        <v>25</v>
      </c>
      <c r="F6446" s="52" t="s">
        <v>26</v>
      </c>
      <c r="G6446" s="53"/>
    </row>
    <row r="6447">
      <c r="A6447" s="49">
        <v>44762.02279971065</v>
      </c>
      <c r="B6447" s="50">
        <v>44762.1477817361</v>
      </c>
      <c r="C6447" s="51">
        <v>1.004</v>
      </c>
      <c r="D6447" s="51">
        <v>67.0</v>
      </c>
      <c r="E6447" s="52" t="s">
        <v>25</v>
      </c>
      <c r="F6447" s="52" t="s">
        <v>26</v>
      </c>
      <c r="G6447" s="53"/>
    </row>
    <row r="6448">
      <c r="A6448" s="49">
        <v>44762.03322466435</v>
      </c>
      <c r="B6448" s="50">
        <v>44762.1582024537</v>
      </c>
      <c r="C6448" s="51">
        <v>1.004</v>
      </c>
      <c r="D6448" s="51">
        <v>67.0</v>
      </c>
      <c r="E6448" s="52" t="s">
        <v>25</v>
      </c>
      <c r="F6448" s="52" t="s">
        <v>26</v>
      </c>
      <c r="G6448" s="53"/>
    </row>
    <row r="6449">
      <c r="A6449" s="49">
        <v>44762.04365559028</v>
      </c>
      <c r="B6449" s="50">
        <v>44762.1686242476</v>
      </c>
      <c r="C6449" s="51">
        <v>1.004</v>
      </c>
      <c r="D6449" s="51">
        <v>67.0</v>
      </c>
      <c r="E6449" s="52" t="s">
        <v>25</v>
      </c>
      <c r="F6449" s="52" t="s">
        <v>26</v>
      </c>
      <c r="G6449" s="53"/>
    </row>
    <row r="6450">
      <c r="A6450" s="49">
        <v>44762.054075023145</v>
      </c>
      <c r="B6450" s="50">
        <v>44762.1790446296</v>
      </c>
      <c r="C6450" s="51">
        <v>1.004</v>
      </c>
      <c r="D6450" s="51">
        <v>67.0</v>
      </c>
      <c r="E6450" s="52" t="s">
        <v>25</v>
      </c>
      <c r="F6450" s="52" t="s">
        <v>26</v>
      </c>
      <c r="G6450" s="53"/>
    </row>
    <row r="6451">
      <c r="A6451" s="49">
        <v>44762.064487800926</v>
      </c>
      <c r="B6451" s="50">
        <v>44762.1894658796</v>
      </c>
      <c r="C6451" s="51">
        <v>1.004</v>
      </c>
      <c r="D6451" s="51">
        <v>67.0</v>
      </c>
      <c r="E6451" s="52" t="s">
        <v>25</v>
      </c>
      <c r="F6451" s="52" t="s">
        <v>26</v>
      </c>
      <c r="G6451" s="53"/>
    </row>
    <row r="6452">
      <c r="A6452" s="49">
        <v>44762.07492209491</v>
      </c>
      <c r="B6452" s="50">
        <v>44762.1998874652</v>
      </c>
      <c r="C6452" s="51">
        <v>1.004</v>
      </c>
      <c r="D6452" s="51">
        <v>67.0</v>
      </c>
      <c r="E6452" s="52" t="s">
        <v>25</v>
      </c>
      <c r="F6452" s="52" t="s">
        <v>26</v>
      </c>
      <c r="G6452" s="53"/>
    </row>
    <row r="6453">
      <c r="A6453" s="49">
        <v>44762.08533707176</v>
      </c>
      <c r="B6453" s="50">
        <v>44762.21031</v>
      </c>
      <c r="C6453" s="51">
        <v>1.004</v>
      </c>
      <c r="D6453" s="51">
        <v>67.0</v>
      </c>
      <c r="E6453" s="52" t="s">
        <v>25</v>
      </c>
      <c r="F6453" s="52" t="s">
        <v>26</v>
      </c>
      <c r="G6453" s="53"/>
    </row>
    <row r="6454">
      <c r="A6454" s="49">
        <v>44762.09576675926</v>
      </c>
      <c r="B6454" s="50">
        <v>44762.2207449074</v>
      </c>
      <c r="C6454" s="51">
        <v>1.004</v>
      </c>
      <c r="D6454" s="51">
        <v>67.0</v>
      </c>
      <c r="E6454" s="52" t="s">
        <v>25</v>
      </c>
      <c r="F6454" s="52" t="s">
        <v>26</v>
      </c>
      <c r="G6454" s="53"/>
    </row>
    <row r="6455">
      <c r="A6455" s="49">
        <v>44762.106207696765</v>
      </c>
      <c r="B6455" s="50">
        <v>44762.231188368</v>
      </c>
      <c r="C6455" s="51">
        <v>1.004</v>
      </c>
      <c r="D6455" s="51">
        <v>67.0</v>
      </c>
      <c r="E6455" s="52" t="s">
        <v>25</v>
      </c>
      <c r="F6455" s="52" t="s">
        <v>26</v>
      </c>
      <c r="G6455" s="53"/>
    </row>
    <row r="6456">
      <c r="A6456" s="49">
        <v>44762.11663167824</v>
      </c>
      <c r="B6456" s="50">
        <v>44762.2416077893</v>
      </c>
      <c r="C6456" s="51">
        <v>1.004</v>
      </c>
      <c r="D6456" s="51">
        <v>67.0</v>
      </c>
      <c r="E6456" s="52" t="s">
        <v>25</v>
      </c>
      <c r="F6456" s="52" t="s">
        <v>26</v>
      </c>
      <c r="G6456" s="53"/>
    </row>
    <row r="6457">
      <c r="A6457" s="49">
        <v>44762.12705488426</v>
      </c>
      <c r="B6457" s="50">
        <v>44762.2520290393</v>
      </c>
      <c r="C6457" s="51">
        <v>1.004</v>
      </c>
      <c r="D6457" s="51">
        <v>67.0</v>
      </c>
      <c r="E6457" s="52" t="s">
        <v>25</v>
      </c>
      <c r="F6457" s="52" t="s">
        <v>26</v>
      </c>
      <c r="G6457" s="53"/>
    </row>
    <row r="6458">
      <c r="A6458" s="49">
        <v>44762.137478564815</v>
      </c>
      <c r="B6458" s="50">
        <v>44762.2624505208</v>
      </c>
      <c r="C6458" s="51">
        <v>1.004</v>
      </c>
      <c r="D6458" s="51">
        <v>67.0</v>
      </c>
      <c r="E6458" s="52" t="s">
        <v>25</v>
      </c>
      <c r="F6458" s="52" t="s">
        <v>26</v>
      </c>
      <c r="G6458" s="53"/>
    </row>
    <row r="6459">
      <c r="A6459" s="49">
        <v>44762.147923310185</v>
      </c>
      <c r="B6459" s="50">
        <v>44762.2728948726</v>
      </c>
      <c r="C6459" s="51">
        <v>1.004</v>
      </c>
      <c r="D6459" s="51">
        <v>67.0</v>
      </c>
      <c r="E6459" s="52" t="s">
        <v>25</v>
      </c>
      <c r="F6459" s="52" t="s">
        <v>26</v>
      </c>
      <c r="G6459" s="53"/>
    </row>
    <row r="6460">
      <c r="A6460" s="49">
        <v>44762.1583575</v>
      </c>
      <c r="B6460" s="50">
        <v>44762.2833290856</v>
      </c>
      <c r="C6460" s="51">
        <v>1.004</v>
      </c>
      <c r="D6460" s="51">
        <v>67.0</v>
      </c>
      <c r="E6460" s="52" t="s">
        <v>25</v>
      </c>
      <c r="F6460" s="52" t="s">
        <v>26</v>
      </c>
      <c r="G6460" s="53"/>
    </row>
    <row r="6461">
      <c r="A6461" s="49">
        <v>44762.16877833333</v>
      </c>
      <c r="B6461" s="50">
        <v>44762.2937483796</v>
      </c>
      <c r="C6461" s="51">
        <v>1.004</v>
      </c>
      <c r="D6461" s="51">
        <v>67.0</v>
      </c>
      <c r="E6461" s="52" t="s">
        <v>25</v>
      </c>
      <c r="F6461" s="52" t="s">
        <v>26</v>
      </c>
      <c r="G6461" s="53"/>
    </row>
    <row r="6462">
      <c r="A6462" s="49">
        <v>44762.179196006946</v>
      </c>
      <c r="B6462" s="50">
        <v>44762.3041710648</v>
      </c>
      <c r="C6462" s="51">
        <v>1.004</v>
      </c>
      <c r="D6462" s="51">
        <v>67.0</v>
      </c>
      <c r="E6462" s="52" t="s">
        <v>25</v>
      </c>
      <c r="F6462" s="52" t="s">
        <v>26</v>
      </c>
      <c r="G6462" s="53"/>
    </row>
    <row r="6463">
      <c r="A6463" s="49">
        <v>44762.18961291667</v>
      </c>
      <c r="B6463" s="50">
        <v>44762.3145937731</v>
      </c>
      <c r="C6463" s="51">
        <v>1.004</v>
      </c>
      <c r="D6463" s="51">
        <v>67.0</v>
      </c>
      <c r="E6463" s="52" t="s">
        <v>25</v>
      </c>
      <c r="F6463" s="52" t="s">
        <v>26</v>
      </c>
      <c r="G6463" s="53"/>
    </row>
    <row r="6464">
      <c r="A6464" s="49">
        <v>44762.20003304398</v>
      </c>
      <c r="B6464" s="50">
        <v>44762.3250139467</v>
      </c>
      <c r="C6464" s="51">
        <v>1.004</v>
      </c>
      <c r="D6464" s="51">
        <v>67.0</v>
      </c>
      <c r="E6464" s="52" t="s">
        <v>25</v>
      </c>
      <c r="F6464" s="52" t="s">
        <v>26</v>
      </c>
      <c r="G6464" s="53"/>
    </row>
    <row r="6465">
      <c r="A6465" s="49">
        <v>44762.21045641204</v>
      </c>
      <c r="B6465" s="50">
        <v>44762.3354351736</v>
      </c>
      <c r="C6465" s="51">
        <v>1.004</v>
      </c>
      <c r="D6465" s="51">
        <v>67.0</v>
      </c>
      <c r="E6465" s="52" t="s">
        <v>25</v>
      </c>
      <c r="F6465" s="52" t="s">
        <v>26</v>
      </c>
      <c r="G6465" s="53"/>
    </row>
    <row r="6466">
      <c r="A6466" s="49">
        <v>44762.22088847222</v>
      </c>
      <c r="B6466" s="50">
        <v>44762.3458563425</v>
      </c>
      <c r="C6466" s="51">
        <v>1.004</v>
      </c>
      <c r="D6466" s="51">
        <v>67.0</v>
      </c>
      <c r="E6466" s="52" t="s">
        <v>25</v>
      </c>
      <c r="F6466" s="52" t="s">
        <v>26</v>
      </c>
      <c r="G6466" s="53"/>
    </row>
    <row r="6467">
      <c r="A6467" s="49">
        <v>44762.231309097224</v>
      </c>
      <c r="B6467" s="50">
        <v>44762.3562784953</v>
      </c>
      <c r="C6467" s="51">
        <v>1.004</v>
      </c>
      <c r="D6467" s="51">
        <v>67.0</v>
      </c>
      <c r="E6467" s="52" t="s">
        <v>25</v>
      </c>
      <c r="F6467" s="52" t="s">
        <v>26</v>
      </c>
      <c r="G6467" s="53"/>
    </row>
    <row r="6468">
      <c r="A6468" s="49">
        <v>44762.24172659722</v>
      </c>
      <c r="B6468" s="50">
        <v>44762.3666999652</v>
      </c>
      <c r="C6468" s="51">
        <v>1.004</v>
      </c>
      <c r="D6468" s="51">
        <v>67.0</v>
      </c>
      <c r="E6468" s="52" t="s">
        <v>25</v>
      </c>
      <c r="F6468" s="52" t="s">
        <v>26</v>
      </c>
      <c r="G6468" s="53"/>
    </row>
    <row r="6469">
      <c r="A6469" s="49">
        <v>44762.252188796294</v>
      </c>
      <c r="B6469" s="50">
        <v>44762.3771311689</v>
      </c>
      <c r="C6469" s="51">
        <v>1.004</v>
      </c>
      <c r="D6469" s="51">
        <v>67.0</v>
      </c>
      <c r="E6469" s="52" t="s">
        <v>25</v>
      </c>
      <c r="F6469" s="52" t="s">
        <v>26</v>
      </c>
      <c r="G6469" s="53"/>
    </row>
    <row r="6470">
      <c r="A6470" s="49">
        <v>44762.26257394676</v>
      </c>
      <c r="B6470" s="50">
        <v>44762.3875526273</v>
      </c>
      <c r="C6470" s="51">
        <v>1.004</v>
      </c>
      <c r="D6470" s="51">
        <v>67.0</v>
      </c>
      <c r="E6470" s="52" t="s">
        <v>25</v>
      </c>
      <c r="F6470" s="52" t="s">
        <v>26</v>
      </c>
      <c r="G6470" s="53"/>
    </row>
    <row r="6471">
      <c r="A6471" s="49">
        <v>44762.273015405095</v>
      </c>
      <c r="B6471" s="50">
        <v>44762.3979862384</v>
      </c>
      <c r="C6471" s="51">
        <v>1.004</v>
      </c>
      <c r="D6471" s="51">
        <v>67.0</v>
      </c>
      <c r="E6471" s="52" t="s">
        <v>25</v>
      </c>
      <c r="F6471" s="52" t="s">
        <v>26</v>
      </c>
      <c r="G6471" s="53"/>
    </row>
    <row r="6472">
      <c r="A6472" s="49">
        <v>44762.28343752315</v>
      </c>
      <c r="B6472" s="50">
        <v>44762.4084085879</v>
      </c>
      <c r="C6472" s="51">
        <v>1.004</v>
      </c>
      <c r="D6472" s="51">
        <v>67.0</v>
      </c>
      <c r="E6472" s="52" t="s">
        <v>25</v>
      </c>
      <c r="F6472" s="52" t="s">
        <v>26</v>
      </c>
      <c r="G6472" s="53"/>
    </row>
    <row r="6473">
      <c r="A6473" s="49">
        <v>44762.293857129625</v>
      </c>
      <c r="B6473" s="50">
        <v>44762.4188294791</v>
      </c>
      <c r="C6473" s="51">
        <v>1.004</v>
      </c>
      <c r="D6473" s="51">
        <v>67.0</v>
      </c>
      <c r="E6473" s="52" t="s">
        <v>25</v>
      </c>
      <c r="F6473" s="52" t="s">
        <v>26</v>
      </c>
      <c r="G6473" s="53"/>
    </row>
    <row r="6474">
      <c r="A6474" s="49">
        <v>44762.304292835644</v>
      </c>
      <c r="B6474" s="50">
        <v>44762.429262118</v>
      </c>
      <c r="C6474" s="51">
        <v>1.004</v>
      </c>
      <c r="D6474" s="51">
        <v>67.0</v>
      </c>
      <c r="E6474" s="52" t="s">
        <v>25</v>
      </c>
      <c r="F6474" s="52" t="s">
        <v>26</v>
      </c>
      <c r="G6474" s="53"/>
    </row>
    <row r="6475">
      <c r="A6475" s="49">
        <v>44762.31471501157</v>
      </c>
      <c r="B6475" s="50">
        <v>44762.4396955555</v>
      </c>
      <c r="C6475" s="51">
        <v>1.004</v>
      </c>
      <c r="D6475" s="51">
        <v>67.0</v>
      </c>
      <c r="E6475" s="52" t="s">
        <v>25</v>
      </c>
      <c r="F6475" s="52" t="s">
        <v>26</v>
      </c>
      <c r="G6475" s="53"/>
    </row>
    <row r="6476">
      <c r="A6476" s="49">
        <v>44762.32514642361</v>
      </c>
      <c r="B6476" s="50">
        <v>44762.4501166666</v>
      </c>
      <c r="C6476" s="51">
        <v>1.004</v>
      </c>
      <c r="D6476" s="51">
        <v>67.0</v>
      </c>
      <c r="E6476" s="52" t="s">
        <v>25</v>
      </c>
      <c r="F6476" s="52" t="s">
        <v>26</v>
      </c>
      <c r="G6476" s="53"/>
    </row>
    <row r="6477">
      <c r="A6477" s="49">
        <v>44762.335584976856</v>
      </c>
      <c r="B6477" s="50">
        <v>44762.4605500115</v>
      </c>
      <c r="C6477" s="51">
        <v>1.004</v>
      </c>
      <c r="D6477" s="51">
        <v>67.0</v>
      </c>
      <c r="E6477" s="52" t="s">
        <v>25</v>
      </c>
      <c r="F6477" s="52" t="s">
        <v>26</v>
      </c>
      <c r="G6477" s="53"/>
    </row>
    <row r="6478">
      <c r="A6478" s="49">
        <v>44762.346005775464</v>
      </c>
      <c r="B6478" s="50">
        <v>44762.470972199</v>
      </c>
      <c r="C6478" s="51">
        <v>1.004</v>
      </c>
      <c r="D6478" s="51">
        <v>67.0</v>
      </c>
      <c r="E6478" s="52" t="s">
        <v>25</v>
      </c>
      <c r="F6478" s="52" t="s">
        <v>26</v>
      </c>
      <c r="G6478" s="53"/>
    </row>
    <row r="6479">
      <c r="A6479" s="49">
        <v>44762.356419421296</v>
      </c>
      <c r="B6479" s="50">
        <v>44762.4813935995</v>
      </c>
      <c r="C6479" s="51">
        <v>1.004</v>
      </c>
      <c r="D6479" s="51">
        <v>67.0</v>
      </c>
      <c r="E6479" s="52" t="s">
        <v>25</v>
      </c>
      <c r="F6479" s="52" t="s">
        <v>26</v>
      </c>
      <c r="G6479" s="53"/>
    </row>
    <row r="6480">
      <c r="A6480" s="49">
        <v>44762.366842777774</v>
      </c>
      <c r="B6480" s="50">
        <v>44762.4918142592</v>
      </c>
      <c r="C6480" s="51">
        <v>1.004</v>
      </c>
      <c r="D6480" s="51">
        <v>67.0</v>
      </c>
      <c r="E6480" s="52" t="s">
        <v>25</v>
      </c>
      <c r="F6480" s="52" t="s">
        <v>26</v>
      </c>
      <c r="G6480" s="53"/>
    </row>
    <row r="6481">
      <c r="A6481" s="49">
        <v>44762.37727869213</v>
      </c>
      <c r="B6481" s="50">
        <v>44762.5022499421</v>
      </c>
      <c r="C6481" s="51">
        <v>1.004</v>
      </c>
      <c r="D6481" s="51">
        <v>67.0</v>
      </c>
      <c r="E6481" s="52" t="s">
        <v>25</v>
      </c>
      <c r="F6481" s="52" t="s">
        <v>26</v>
      </c>
      <c r="G6481" s="53"/>
    </row>
    <row r="6482">
      <c r="A6482" s="49">
        <v>44762.38769366898</v>
      </c>
      <c r="B6482" s="50">
        <v>44762.5126707523</v>
      </c>
      <c r="C6482" s="51">
        <v>1.004</v>
      </c>
      <c r="D6482" s="51">
        <v>67.0</v>
      </c>
      <c r="E6482" s="52" t="s">
        <v>25</v>
      </c>
      <c r="F6482" s="52" t="s">
        <v>26</v>
      </c>
      <c r="G6482" s="53"/>
    </row>
    <row r="6483">
      <c r="A6483" s="49">
        <v>44762.39814424768</v>
      </c>
      <c r="B6483" s="50">
        <v>44762.5231155671</v>
      </c>
      <c r="C6483" s="51">
        <v>1.004</v>
      </c>
      <c r="D6483" s="51">
        <v>67.0</v>
      </c>
      <c r="E6483" s="52" t="s">
        <v>25</v>
      </c>
      <c r="F6483" s="52" t="s">
        <v>26</v>
      </c>
      <c r="G6483" s="53"/>
    </row>
    <row r="6484">
      <c r="A6484" s="49">
        <v>44762.40856618056</v>
      </c>
      <c r="B6484" s="50">
        <v>44762.5335373842</v>
      </c>
      <c r="C6484" s="51">
        <v>1.004</v>
      </c>
      <c r="D6484" s="51">
        <v>67.0</v>
      </c>
      <c r="E6484" s="52" t="s">
        <v>25</v>
      </c>
      <c r="F6484" s="52" t="s">
        <v>26</v>
      </c>
      <c r="G6484" s="53"/>
    </row>
    <row r="6485">
      <c r="A6485" s="49">
        <v>44762.41898607639</v>
      </c>
      <c r="B6485" s="50">
        <v>44762.5439580092</v>
      </c>
      <c r="C6485" s="51">
        <v>1.004</v>
      </c>
      <c r="D6485" s="51">
        <v>67.0</v>
      </c>
      <c r="E6485" s="52" t="s">
        <v>25</v>
      </c>
      <c r="F6485" s="52" t="s">
        <v>26</v>
      </c>
      <c r="G6485" s="53"/>
    </row>
    <row r="6486">
      <c r="A6486" s="49">
        <v>44762.42940991899</v>
      </c>
      <c r="B6486" s="50">
        <v>44762.5543794444</v>
      </c>
      <c r="C6486" s="51">
        <v>1.004</v>
      </c>
      <c r="D6486" s="51">
        <v>67.0</v>
      </c>
      <c r="E6486" s="52" t="s">
        <v>25</v>
      </c>
      <c r="F6486" s="52" t="s">
        <v>26</v>
      </c>
      <c r="G6486" s="53"/>
    </row>
    <row r="6487">
      <c r="A6487" s="49">
        <v>44762.439841886575</v>
      </c>
      <c r="B6487" s="50">
        <v>44762.5648124768</v>
      </c>
      <c r="C6487" s="51">
        <v>1.004</v>
      </c>
      <c r="D6487" s="51">
        <v>67.0</v>
      </c>
      <c r="E6487" s="52" t="s">
        <v>25</v>
      </c>
      <c r="F6487" s="52" t="s">
        <v>26</v>
      </c>
      <c r="G6487" s="53"/>
    </row>
    <row r="6488">
      <c r="A6488" s="49">
        <v>44762.45025569445</v>
      </c>
      <c r="B6488" s="50">
        <v>44762.5752337268</v>
      </c>
      <c r="C6488" s="51">
        <v>1.004</v>
      </c>
      <c r="D6488" s="51">
        <v>67.0</v>
      </c>
      <c r="E6488" s="52" t="s">
        <v>25</v>
      </c>
      <c r="F6488" s="52" t="s">
        <v>26</v>
      </c>
      <c r="G6488" s="53"/>
    </row>
    <row r="6489">
      <c r="A6489" s="49">
        <v>44762.460675208335</v>
      </c>
      <c r="B6489" s="50">
        <v>44762.5856573611</v>
      </c>
      <c r="C6489" s="51">
        <v>1.004</v>
      </c>
      <c r="D6489" s="51">
        <v>67.0</v>
      </c>
      <c r="E6489" s="52" t="s">
        <v>25</v>
      </c>
      <c r="F6489" s="52" t="s">
        <v>26</v>
      </c>
      <c r="G6489" s="53"/>
    </row>
    <row r="6490">
      <c r="A6490" s="49">
        <v>44762.47111456019</v>
      </c>
      <c r="B6490" s="50">
        <v>44762.5960794676</v>
      </c>
      <c r="C6490" s="51">
        <v>1.004</v>
      </c>
      <c r="D6490" s="51">
        <v>67.0</v>
      </c>
      <c r="E6490" s="52" t="s">
        <v>25</v>
      </c>
      <c r="F6490" s="52" t="s">
        <v>26</v>
      </c>
      <c r="G6490" s="53"/>
    </row>
    <row r="6491">
      <c r="A6491" s="49">
        <v>44762.48154256944</v>
      </c>
      <c r="B6491" s="50">
        <v>44762.606511331</v>
      </c>
      <c r="C6491" s="51">
        <v>1.004</v>
      </c>
      <c r="D6491" s="51">
        <v>67.0</v>
      </c>
      <c r="E6491" s="52" t="s">
        <v>25</v>
      </c>
      <c r="F6491" s="52" t="s">
        <v>26</v>
      </c>
      <c r="G6491" s="53"/>
    </row>
    <row r="6492">
      <c r="A6492" s="49">
        <v>44762.491977557875</v>
      </c>
      <c r="B6492" s="50">
        <v>44762.6169436458</v>
      </c>
      <c r="C6492" s="51">
        <v>1.004</v>
      </c>
      <c r="D6492" s="51">
        <v>67.0</v>
      </c>
      <c r="E6492" s="52" t="s">
        <v>25</v>
      </c>
      <c r="F6492" s="52" t="s">
        <v>26</v>
      </c>
      <c r="G6492" s="53"/>
    </row>
    <row r="6493">
      <c r="A6493" s="49">
        <v>44762.50239491898</v>
      </c>
      <c r="B6493" s="50">
        <v>44762.6273630787</v>
      </c>
      <c r="C6493" s="51">
        <v>1.004</v>
      </c>
      <c r="D6493" s="51">
        <v>67.0</v>
      </c>
      <c r="E6493" s="52" t="s">
        <v>25</v>
      </c>
      <c r="F6493" s="52" t="s">
        <v>26</v>
      </c>
      <c r="G6493" s="53"/>
    </row>
    <row r="6494">
      <c r="A6494" s="49">
        <v>44762.512828923616</v>
      </c>
      <c r="B6494" s="50">
        <v>44762.6377961921</v>
      </c>
      <c r="C6494" s="51">
        <v>1.004</v>
      </c>
      <c r="D6494" s="51">
        <v>67.0</v>
      </c>
      <c r="E6494" s="52" t="s">
        <v>25</v>
      </c>
      <c r="F6494" s="52" t="s">
        <v>26</v>
      </c>
      <c r="G6494" s="53"/>
    </row>
    <row r="6495">
      <c r="A6495" s="49">
        <v>44762.52324909723</v>
      </c>
      <c r="B6495" s="50">
        <v>44762.6482175231</v>
      </c>
      <c r="C6495" s="51">
        <v>1.004</v>
      </c>
      <c r="D6495" s="51">
        <v>67.0</v>
      </c>
      <c r="E6495" s="52" t="s">
        <v>25</v>
      </c>
      <c r="F6495" s="52" t="s">
        <v>26</v>
      </c>
      <c r="G6495" s="53"/>
    </row>
    <row r="6496">
      <c r="A6496" s="49">
        <v>44762.53369364583</v>
      </c>
      <c r="B6496" s="50">
        <v>44762.6586622338</v>
      </c>
      <c r="C6496" s="51">
        <v>1.004</v>
      </c>
      <c r="D6496" s="51">
        <v>67.0</v>
      </c>
      <c r="E6496" s="52" t="s">
        <v>25</v>
      </c>
      <c r="F6496" s="52" t="s">
        <v>26</v>
      </c>
      <c r="G6496" s="53"/>
    </row>
    <row r="6497">
      <c r="A6497" s="49">
        <v>44762.54412189814</v>
      </c>
      <c r="B6497" s="50">
        <v>44762.6690949537</v>
      </c>
      <c r="C6497" s="51">
        <v>1.004</v>
      </c>
      <c r="D6497" s="51">
        <v>68.0</v>
      </c>
      <c r="E6497" s="52" t="s">
        <v>25</v>
      </c>
      <c r="F6497" s="52" t="s">
        <v>26</v>
      </c>
      <c r="G6497" s="53"/>
    </row>
    <row r="6498">
      <c r="A6498" s="49">
        <v>44762.55453797454</v>
      </c>
      <c r="B6498" s="50">
        <v>44762.6795174074</v>
      </c>
      <c r="C6498" s="51">
        <v>1.004</v>
      </c>
      <c r="D6498" s="51">
        <v>67.0</v>
      </c>
      <c r="E6498" s="52" t="s">
        <v>25</v>
      </c>
      <c r="F6498" s="52" t="s">
        <v>26</v>
      </c>
      <c r="G6498" s="53"/>
    </row>
    <row r="6499">
      <c r="A6499" s="49">
        <v>44762.56498142361</v>
      </c>
      <c r="B6499" s="50">
        <v>44762.6899504861</v>
      </c>
      <c r="C6499" s="51">
        <v>1.004</v>
      </c>
      <c r="D6499" s="51">
        <v>67.0</v>
      </c>
      <c r="E6499" s="52" t="s">
        <v>25</v>
      </c>
      <c r="F6499" s="52" t="s">
        <v>26</v>
      </c>
      <c r="G6499" s="53"/>
    </row>
    <row r="6500">
      <c r="A6500" s="49">
        <v>44762.575400925925</v>
      </c>
      <c r="B6500" s="50">
        <v>44762.7003718634</v>
      </c>
      <c r="C6500" s="51">
        <v>1.004</v>
      </c>
      <c r="D6500" s="51">
        <v>68.0</v>
      </c>
      <c r="E6500" s="52" t="s">
        <v>25</v>
      </c>
      <c r="F6500" s="52" t="s">
        <v>26</v>
      </c>
      <c r="G6500" s="53"/>
    </row>
    <row r="6501">
      <c r="A6501" s="49">
        <v>44762.58582581018</v>
      </c>
      <c r="B6501" s="50">
        <v>44762.7107922338</v>
      </c>
      <c r="C6501" s="51">
        <v>1.004</v>
      </c>
      <c r="D6501" s="51">
        <v>67.0</v>
      </c>
      <c r="E6501" s="52" t="s">
        <v>25</v>
      </c>
      <c r="F6501" s="52" t="s">
        <v>26</v>
      </c>
      <c r="G6501" s="53"/>
    </row>
    <row r="6502">
      <c r="A6502" s="49">
        <v>44762.59624850695</v>
      </c>
      <c r="B6502" s="50">
        <v>44762.7212120138</v>
      </c>
      <c r="C6502" s="51">
        <v>1.004</v>
      </c>
      <c r="D6502" s="51">
        <v>68.0</v>
      </c>
      <c r="E6502" s="52" t="s">
        <v>25</v>
      </c>
      <c r="F6502" s="52" t="s">
        <v>26</v>
      </c>
      <c r="G6502" s="53"/>
    </row>
    <row r="6503">
      <c r="A6503" s="49">
        <v>44762.60666746528</v>
      </c>
      <c r="B6503" s="50">
        <v>44762.7316327199</v>
      </c>
      <c r="C6503" s="51">
        <v>1.004</v>
      </c>
      <c r="D6503" s="51">
        <v>67.0</v>
      </c>
      <c r="E6503" s="52" t="s">
        <v>25</v>
      </c>
      <c r="F6503" s="52" t="s">
        <v>26</v>
      </c>
      <c r="G6503" s="53"/>
    </row>
    <row r="6504">
      <c r="A6504" s="49">
        <v>44762.61708561343</v>
      </c>
      <c r="B6504" s="50">
        <v>44762.7420546759</v>
      </c>
      <c r="C6504" s="51">
        <v>1.004</v>
      </c>
      <c r="D6504" s="51">
        <v>68.0</v>
      </c>
      <c r="E6504" s="52" t="s">
        <v>25</v>
      </c>
      <c r="F6504" s="52" t="s">
        <v>26</v>
      </c>
      <c r="G6504" s="53"/>
    </row>
    <row r="6505">
      <c r="A6505" s="49">
        <v>44762.627509259255</v>
      </c>
      <c r="B6505" s="50">
        <v>44762.7524780671</v>
      </c>
      <c r="C6505" s="51">
        <v>1.004</v>
      </c>
      <c r="D6505" s="51">
        <v>68.0</v>
      </c>
      <c r="E6505" s="52" t="s">
        <v>25</v>
      </c>
      <c r="F6505" s="52" t="s">
        <v>26</v>
      </c>
      <c r="G6505" s="53"/>
    </row>
    <row r="6506">
      <c r="A6506" s="49">
        <v>44762.63792972222</v>
      </c>
      <c r="B6506" s="50">
        <v>44762.7628987268</v>
      </c>
      <c r="C6506" s="51">
        <v>1.004</v>
      </c>
      <c r="D6506" s="51">
        <v>68.0</v>
      </c>
      <c r="E6506" s="52" t="s">
        <v>25</v>
      </c>
      <c r="F6506" s="52" t="s">
        <v>26</v>
      </c>
      <c r="G6506" s="53"/>
    </row>
    <row r="6507">
      <c r="A6507" s="49">
        <v>44762.6483452199</v>
      </c>
      <c r="B6507" s="50">
        <v>44762.7733193981</v>
      </c>
      <c r="C6507" s="51">
        <v>1.004</v>
      </c>
      <c r="D6507" s="51">
        <v>68.0</v>
      </c>
      <c r="E6507" s="52" t="s">
        <v>25</v>
      </c>
      <c r="F6507" s="52" t="s">
        <v>26</v>
      </c>
      <c r="G6507" s="53"/>
    </row>
    <row r="6508">
      <c r="A6508" s="49">
        <v>44762.658779363424</v>
      </c>
      <c r="B6508" s="50">
        <v>44762.7837530208</v>
      </c>
      <c r="C6508" s="51">
        <v>1.004</v>
      </c>
      <c r="D6508" s="51">
        <v>68.0</v>
      </c>
      <c r="E6508" s="52" t="s">
        <v>25</v>
      </c>
      <c r="F6508" s="52" t="s">
        <v>26</v>
      </c>
      <c r="G6508" s="53"/>
    </row>
    <row r="6509">
      <c r="A6509" s="49">
        <v>44762.66922964121</v>
      </c>
      <c r="B6509" s="50">
        <v>44762.7941954976</v>
      </c>
      <c r="C6509" s="51">
        <v>1.004</v>
      </c>
      <c r="D6509" s="51">
        <v>68.0</v>
      </c>
      <c r="E6509" s="52" t="s">
        <v>25</v>
      </c>
      <c r="F6509" s="52" t="s">
        <v>26</v>
      </c>
      <c r="G6509" s="53"/>
    </row>
    <row r="6510">
      <c r="A6510" s="49">
        <v>44762.67965957176</v>
      </c>
      <c r="B6510" s="50">
        <v>44762.8046283333</v>
      </c>
      <c r="C6510" s="51">
        <v>1.004</v>
      </c>
      <c r="D6510" s="51">
        <v>68.0</v>
      </c>
      <c r="E6510" s="52" t="s">
        <v>25</v>
      </c>
      <c r="F6510" s="52" t="s">
        <v>26</v>
      </c>
      <c r="G6510" s="53"/>
    </row>
    <row r="6511">
      <c r="A6511" s="49">
        <v>44762.69009030092</v>
      </c>
      <c r="B6511" s="50">
        <v>44762.8150596412</v>
      </c>
      <c r="C6511" s="51">
        <v>1.004</v>
      </c>
      <c r="D6511" s="51">
        <v>68.0</v>
      </c>
      <c r="E6511" s="52" t="s">
        <v>25</v>
      </c>
      <c r="F6511" s="52" t="s">
        <v>26</v>
      </c>
      <c r="G6511" s="53"/>
    </row>
    <row r="6512">
      <c r="A6512" s="49">
        <v>44762.700511030096</v>
      </c>
      <c r="B6512" s="50">
        <v>44762.8254812037</v>
      </c>
      <c r="C6512" s="51">
        <v>1.004</v>
      </c>
      <c r="D6512" s="51">
        <v>68.0</v>
      </c>
      <c r="E6512" s="52" t="s">
        <v>25</v>
      </c>
      <c r="F6512" s="52" t="s">
        <v>26</v>
      </c>
      <c r="G6512" s="53"/>
    </row>
    <row r="6513">
      <c r="A6513" s="49">
        <v>44762.71093528935</v>
      </c>
      <c r="B6513" s="50">
        <v>44762.8359024768</v>
      </c>
      <c r="C6513" s="51">
        <v>1.004</v>
      </c>
      <c r="D6513" s="51">
        <v>68.0</v>
      </c>
      <c r="E6513" s="52" t="s">
        <v>25</v>
      </c>
      <c r="F6513" s="52" t="s">
        <v>26</v>
      </c>
      <c r="G6513" s="53"/>
    </row>
    <row r="6514">
      <c r="A6514" s="49">
        <v>44762.721349467596</v>
      </c>
      <c r="B6514" s="50">
        <v>44762.8463236458</v>
      </c>
      <c r="C6514" s="51">
        <v>1.004</v>
      </c>
      <c r="D6514" s="51">
        <v>68.0</v>
      </c>
      <c r="E6514" s="52" t="s">
        <v>25</v>
      </c>
      <c r="F6514" s="52" t="s">
        <v>26</v>
      </c>
      <c r="G6514" s="53"/>
    </row>
    <row r="6515">
      <c r="A6515" s="49">
        <v>44762.73177733796</v>
      </c>
      <c r="B6515" s="50">
        <v>44762.8567479976</v>
      </c>
      <c r="C6515" s="51">
        <v>1.004</v>
      </c>
      <c r="D6515" s="51">
        <v>68.0</v>
      </c>
      <c r="E6515" s="52" t="s">
        <v>25</v>
      </c>
      <c r="F6515" s="52" t="s">
        <v>26</v>
      </c>
      <c r="G6515" s="53"/>
    </row>
    <row r="6516">
      <c r="A6516" s="49">
        <v>44762.742215046295</v>
      </c>
      <c r="B6516" s="50">
        <v>44762.8671926851</v>
      </c>
      <c r="C6516" s="51">
        <v>1.004</v>
      </c>
      <c r="D6516" s="51">
        <v>68.0</v>
      </c>
      <c r="E6516" s="52" t="s">
        <v>25</v>
      </c>
      <c r="F6516" s="52" t="s">
        <v>26</v>
      </c>
      <c r="G6516" s="53"/>
    </row>
    <row r="6517">
      <c r="A6517" s="49">
        <v>44762.75263574074</v>
      </c>
      <c r="B6517" s="50">
        <v>44762.8776142361</v>
      </c>
      <c r="C6517" s="51">
        <v>1.004</v>
      </c>
      <c r="D6517" s="51">
        <v>68.0</v>
      </c>
      <c r="E6517" s="52" t="s">
        <v>25</v>
      </c>
      <c r="F6517" s="52" t="s">
        <v>26</v>
      </c>
      <c r="G6517" s="53"/>
    </row>
    <row r="6518">
      <c r="A6518" s="49">
        <v>44762.76307078704</v>
      </c>
      <c r="B6518" s="50">
        <v>44762.8880377546</v>
      </c>
      <c r="C6518" s="51">
        <v>1.004</v>
      </c>
      <c r="D6518" s="51">
        <v>68.0</v>
      </c>
      <c r="E6518" s="52" t="s">
        <v>25</v>
      </c>
      <c r="F6518" s="52" t="s">
        <v>26</v>
      </c>
      <c r="G6518" s="53"/>
    </row>
    <row r="6519">
      <c r="A6519" s="49">
        <v>44762.773491087966</v>
      </c>
      <c r="B6519" s="50">
        <v>44762.8984597685</v>
      </c>
      <c r="C6519" s="51">
        <v>1.004</v>
      </c>
      <c r="D6519" s="51">
        <v>68.0</v>
      </c>
      <c r="E6519" s="52" t="s">
        <v>25</v>
      </c>
      <c r="F6519" s="52" t="s">
        <v>26</v>
      </c>
      <c r="G6519" s="53"/>
    </row>
    <row r="6520">
      <c r="A6520" s="49">
        <v>44762.783907997684</v>
      </c>
      <c r="B6520" s="50">
        <v>44762.9088815856</v>
      </c>
      <c r="C6520" s="51">
        <v>1.004</v>
      </c>
      <c r="D6520" s="51">
        <v>68.0</v>
      </c>
      <c r="E6520" s="52" t="s">
        <v>25</v>
      </c>
      <c r="F6520" s="52" t="s">
        <v>26</v>
      </c>
      <c r="G6520" s="53"/>
    </row>
    <row r="6521">
      <c r="A6521" s="49">
        <v>44762.79436202547</v>
      </c>
      <c r="B6521" s="50">
        <v>44762.9193264467</v>
      </c>
      <c r="C6521" s="51">
        <v>1.004</v>
      </c>
      <c r="D6521" s="51">
        <v>68.0</v>
      </c>
      <c r="E6521" s="52" t="s">
        <v>25</v>
      </c>
      <c r="F6521" s="52" t="s">
        <v>26</v>
      </c>
      <c r="G6521" s="53"/>
    </row>
    <row r="6522">
      <c r="A6522" s="49">
        <v>44762.80479475694</v>
      </c>
      <c r="B6522" s="50">
        <v>44762.9297584953</v>
      </c>
      <c r="C6522" s="51">
        <v>1.004</v>
      </c>
      <c r="D6522" s="51">
        <v>68.0</v>
      </c>
      <c r="E6522" s="52" t="s">
        <v>25</v>
      </c>
      <c r="F6522" s="52" t="s">
        <v>26</v>
      </c>
      <c r="G6522" s="53"/>
    </row>
    <row r="6523">
      <c r="A6523" s="49">
        <v>44762.815213842594</v>
      </c>
      <c r="B6523" s="50">
        <v>44762.9401790856</v>
      </c>
      <c r="C6523" s="51">
        <v>1.004</v>
      </c>
      <c r="D6523" s="51">
        <v>68.0</v>
      </c>
      <c r="E6523" s="52" t="s">
        <v>25</v>
      </c>
      <c r="F6523" s="52" t="s">
        <v>26</v>
      </c>
      <c r="G6523" s="53"/>
    </row>
    <row r="6524">
      <c r="A6524" s="49">
        <v>44762.825627453705</v>
      </c>
      <c r="B6524" s="50">
        <v>44762.950601412</v>
      </c>
      <c r="C6524" s="51">
        <v>1.004</v>
      </c>
      <c r="D6524" s="51">
        <v>68.0</v>
      </c>
      <c r="E6524" s="52" t="s">
        <v>25</v>
      </c>
      <c r="F6524" s="52" t="s">
        <v>26</v>
      </c>
      <c r="G6524" s="53"/>
    </row>
    <row r="6525">
      <c r="A6525" s="49">
        <v>44762.83604538195</v>
      </c>
      <c r="B6525" s="50">
        <v>44762.9610225</v>
      </c>
      <c r="C6525" s="51">
        <v>1.004</v>
      </c>
      <c r="D6525" s="51">
        <v>68.0</v>
      </c>
      <c r="E6525" s="52" t="s">
        <v>25</v>
      </c>
      <c r="F6525" s="52" t="s">
        <v>26</v>
      </c>
      <c r="G6525" s="53"/>
    </row>
    <row r="6526">
      <c r="A6526" s="49">
        <v>44762.84648775463</v>
      </c>
      <c r="B6526" s="50">
        <v>44762.9714570717</v>
      </c>
      <c r="C6526" s="51">
        <v>1.004</v>
      </c>
      <c r="D6526" s="51">
        <v>68.0</v>
      </c>
      <c r="E6526" s="52" t="s">
        <v>25</v>
      </c>
      <c r="F6526" s="52" t="s">
        <v>26</v>
      </c>
      <c r="G6526" s="53"/>
    </row>
    <row r="6527">
      <c r="A6527" s="49">
        <v>44762.85690322917</v>
      </c>
      <c r="B6527" s="50">
        <v>44762.9818783912</v>
      </c>
      <c r="C6527" s="51">
        <v>1.004</v>
      </c>
      <c r="D6527" s="51">
        <v>68.0</v>
      </c>
      <c r="E6527" s="52" t="s">
        <v>25</v>
      </c>
      <c r="F6527" s="52" t="s">
        <v>26</v>
      </c>
      <c r="G6527" s="53"/>
    </row>
    <row r="6528">
      <c r="A6528" s="49">
        <v>44762.867339687495</v>
      </c>
      <c r="B6528" s="50">
        <v>44762.9923101504</v>
      </c>
      <c r="C6528" s="51">
        <v>1.004</v>
      </c>
      <c r="D6528" s="51">
        <v>68.0</v>
      </c>
      <c r="E6528" s="52" t="s">
        <v>25</v>
      </c>
      <c r="F6528" s="52" t="s">
        <v>26</v>
      </c>
      <c r="G6528" s="53"/>
    </row>
    <row r="6529">
      <c r="A6529" s="49">
        <v>44762.87775290509</v>
      </c>
      <c r="B6529" s="50">
        <v>44763.0027295833</v>
      </c>
      <c r="C6529" s="51">
        <v>1.004</v>
      </c>
      <c r="D6529" s="51">
        <v>68.0</v>
      </c>
      <c r="E6529" s="52" t="s">
        <v>25</v>
      </c>
      <c r="F6529" s="52" t="s">
        <v>26</v>
      </c>
      <c r="G6529" s="53"/>
    </row>
    <row r="6530">
      <c r="A6530" s="49">
        <v>44762.8881837963</v>
      </c>
      <c r="B6530" s="50">
        <v>44763.0131519328</v>
      </c>
      <c r="C6530" s="51">
        <v>1.004</v>
      </c>
      <c r="D6530" s="51">
        <v>68.0</v>
      </c>
      <c r="E6530" s="52" t="s">
        <v>25</v>
      </c>
      <c r="F6530" s="52" t="s">
        <v>26</v>
      </c>
      <c r="G6530" s="53"/>
    </row>
    <row r="6531">
      <c r="A6531" s="49">
        <v>44762.89860247685</v>
      </c>
      <c r="B6531" s="50">
        <v>44763.0235729629</v>
      </c>
      <c r="C6531" s="51">
        <v>1.004</v>
      </c>
      <c r="D6531" s="51">
        <v>68.0</v>
      </c>
      <c r="E6531" s="52" t="s">
        <v>25</v>
      </c>
      <c r="F6531" s="52" t="s">
        <v>26</v>
      </c>
      <c r="G6531" s="53"/>
    </row>
    <row r="6532">
      <c r="A6532" s="49">
        <v>44762.90902612268</v>
      </c>
      <c r="B6532" s="50">
        <v>44763.03399353</v>
      </c>
      <c r="C6532" s="51">
        <v>1.004</v>
      </c>
      <c r="D6532" s="51">
        <v>68.0</v>
      </c>
      <c r="E6532" s="52" t="s">
        <v>25</v>
      </c>
      <c r="F6532" s="52" t="s">
        <v>26</v>
      </c>
      <c r="G6532" s="53"/>
    </row>
    <row r="6533">
      <c r="A6533" s="49">
        <v>44762.91944725694</v>
      </c>
      <c r="B6533" s="50">
        <v>44763.0444130902</v>
      </c>
      <c r="C6533" s="51">
        <v>1.004</v>
      </c>
      <c r="D6533" s="51">
        <v>68.0</v>
      </c>
      <c r="E6533" s="52" t="s">
        <v>25</v>
      </c>
      <c r="F6533" s="52" t="s">
        <v>26</v>
      </c>
      <c r="G6533" s="53"/>
    </row>
    <row r="6534">
      <c r="A6534" s="49">
        <v>44762.929870300926</v>
      </c>
      <c r="B6534" s="50">
        <v>44763.0548342592</v>
      </c>
      <c r="C6534" s="51">
        <v>1.004</v>
      </c>
      <c r="D6534" s="51">
        <v>68.0</v>
      </c>
      <c r="E6534" s="52" t="s">
        <v>25</v>
      </c>
      <c r="F6534" s="52" t="s">
        <v>26</v>
      </c>
      <c r="G6534" s="53"/>
    </row>
    <row r="6535">
      <c r="A6535" s="49">
        <v>44762.94029716435</v>
      </c>
      <c r="B6535" s="50">
        <v>44763.065270081</v>
      </c>
      <c r="C6535" s="51">
        <v>1.004</v>
      </c>
      <c r="D6535" s="51">
        <v>68.0</v>
      </c>
      <c r="E6535" s="52" t="s">
        <v>25</v>
      </c>
      <c r="F6535" s="52" t="s">
        <v>26</v>
      </c>
      <c r="G6535" s="53"/>
    </row>
    <row r="6536">
      <c r="A6536" s="49">
        <v>44762.950718645836</v>
      </c>
      <c r="B6536" s="50">
        <v>44763.0756903703</v>
      </c>
      <c r="C6536" s="51">
        <v>1.004</v>
      </c>
      <c r="D6536" s="51">
        <v>68.0</v>
      </c>
      <c r="E6536" s="52" t="s">
        <v>25</v>
      </c>
      <c r="F6536" s="52" t="s">
        <v>26</v>
      </c>
      <c r="G6536" s="53"/>
    </row>
    <row r="6537">
      <c r="A6537" s="49">
        <v>44762.961145636575</v>
      </c>
      <c r="B6537" s="50">
        <v>44763.0861122338</v>
      </c>
      <c r="C6537" s="51">
        <v>1.004</v>
      </c>
      <c r="D6537" s="51">
        <v>68.0</v>
      </c>
      <c r="E6537" s="52" t="s">
        <v>25</v>
      </c>
      <c r="F6537" s="52" t="s">
        <v>26</v>
      </c>
      <c r="G6537" s="53"/>
    </row>
    <row r="6538">
      <c r="A6538" s="49">
        <v>44762.97156063658</v>
      </c>
      <c r="B6538" s="50">
        <v>44763.0965319097</v>
      </c>
      <c r="C6538" s="51">
        <v>1.004</v>
      </c>
      <c r="D6538" s="51">
        <v>68.0</v>
      </c>
      <c r="E6538" s="52" t="s">
        <v>25</v>
      </c>
      <c r="F6538" s="52" t="s">
        <v>26</v>
      </c>
      <c r="G6538" s="53"/>
    </row>
    <row r="6539">
      <c r="A6539" s="49">
        <v>44762.98198670139</v>
      </c>
      <c r="B6539" s="50">
        <v>44763.1069553935</v>
      </c>
      <c r="C6539" s="51">
        <v>1.004</v>
      </c>
      <c r="D6539" s="51">
        <v>68.0</v>
      </c>
      <c r="E6539" s="52" t="s">
        <v>25</v>
      </c>
      <c r="F6539" s="52" t="s">
        <v>26</v>
      </c>
      <c r="G6539" s="53"/>
    </row>
    <row r="6540">
      <c r="A6540" s="49">
        <v>44762.992416967594</v>
      </c>
      <c r="B6540" s="50">
        <v>44763.1173870601</v>
      </c>
      <c r="C6540" s="51">
        <v>1.004</v>
      </c>
      <c r="D6540" s="51">
        <v>68.0</v>
      </c>
      <c r="E6540" s="52" t="s">
        <v>25</v>
      </c>
      <c r="F6540" s="52" t="s">
        <v>26</v>
      </c>
      <c r="G6540" s="53"/>
    </row>
    <row r="6541">
      <c r="A6541" s="49">
        <v>44763.00285056713</v>
      </c>
      <c r="B6541" s="50">
        <v>44763.1278204629</v>
      </c>
      <c r="C6541" s="51">
        <v>1.004</v>
      </c>
      <c r="D6541" s="51">
        <v>68.0</v>
      </c>
      <c r="E6541" s="52" t="s">
        <v>25</v>
      </c>
      <c r="F6541" s="52" t="s">
        <v>26</v>
      </c>
      <c r="G6541" s="53"/>
    </row>
    <row r="6542">
      <c r="A6542" s="49">
        <v>44763.01328322917</v>
      </c>
      <c r="B6542" s="50">
        <v>44763.1382529166</v>
      </c>
      <c r="C6542" s="51">
        <v>1.004</v>
      </c>
      <c r="D6542" s="51">
        <v>68.0</v>
      </c>
      <c r="E6542" s="52" t="s">
        <v>25</v>
      </c>
      <c r="F6542" s="52" t="s">
        <v>26</v>
      </c>
      <c r="G6542" s="53"/>
    </row>
    <row r="6543">
      <c r="A6543" s="49">
        <v>44763.02369981482</v>
      </c>
      <c r="B6543" s="50">
        <v>44763.1486731828</v>
      </c>
      <c r="C6543" s="51">
        <v>1.004</v>
      </c>
      <c r="D6543" s="51">
        <v>68.0</v>
      </c>
      <c r="E6543" s="52" t="s">
        <v>25</v>
      </c>
      <c r="F6543" s="52" t="s">
        <v>26</v>
      </c>
      <c r="G6543" s="53"/>
    </row>
    <row r="6544">
      <c r="A6544" s="49">
        <v>44763.03413151621</v>
      </c>
      <c r="B6544" s="50">
        <v>44763.1590955324</v>
      </c>
      <c r="C6544" s="51">
        <v>1.004</v>
      </c>
      <c r="D6544" s="51">
        <v>68.0</v>
      </c>
      <c r="E6544" s="52" t="s">
        <v>25</v>
      </c>
      <c r="F6544" s="52" t="s">
        <v>26</v>
      </c>
      <c r="G6544" s="53"/>
    </row>
    <row r="6545">
      <c r="A6545" s="49">
        <v>44763.04455125</v>
      </c>
      <c r="B6545" s="50">
        <v>44763.169515787</v>
      </c>
      <c r="C6545" s="51">
        <v>1.004</v>
      </c>
      <c r="D6545" s="51">
        <v>68.0</v>
      </c>
      <c r="E6545" s="52" t="s">
        <v>25</v>
      </c>
      <c r="F6545" s="52" t="s">
        <v>26</v>
      </c>
      <c r="G6545" s="53"/>
    </row>
    <row r="6546">
      <c r="A6546" s="49">
        <v>44763.05496496528</v>
      </c>
      <c r="B6546" s="50">
        <v>44763.1799373263</v>
      </c>
      <c r="C6546" s="51">
        <v>1.004</v>
      </c>
      <c r="D6546" s="51">
        <v>68.0</v>
      </c>
      <c r="E6546" s="52" t="s">
        <v>25</v>
      </c>
      <c r="F6546" s="52" t="s">
        <v>26</v>
      </c>
      <c r="G6546" s="53"/>
    </row>
    <row r="6547">
      <c r="A6547" s="49">
        <v>44763.06539480324</v>
      </c>
      <c r="B6547" s="50">
        <v>44763.1903604166</v>
      </c>
      <c r="C6547" s="51">
        <v>1.004</v>
      </c>
      <c r="D6547" s="51">
        <v>68.0</v>
      </c>
      <c r="E6547" s="52" t="s">
        <v>25</v>
      </c>
      <c r="F6547" s="52" t="s">
        <v>26</v>
      </c>
      <c r="G6547" s="53"/>
    </row>
    <row r="6548">
      <c r="A6548" s="49">
        <v>44763.07580423611</v>
      </c>
      <c r="B6548" s="50">
        <v>44763.2007806713</v>
      </c>
      <c r="C6548" s="51">
        <v>1.004</v>
      </c>
      <c r="D6548" s="51">
        <v>68.0</v>
      </c>
      <c r="E6548" s="52" t="s">
        <v>25</v>
      </c>
      <c r="F6548" s="52" t="s">
        <v>26</v>
      </c>
      <c r="G6548" s="53"/>
    </row>
    <row r="6549">
      <c r="A6549" s="49">
        <v>44763.08622601852</v>
      </c>
      <c r="B6549" s="50">
        <v>44763.2112010532</v>
      </c>
      <c r="C6549" s="51">
        <v>1.004</v>
      </c>
      <c r="D6549" s="51">
        <v>68.0</v>
      </c>
      <c r="E6549" s="52" t="s">
        <v>25</v>
      </c>
      <c r="F6549" s="52" t="s">
        <v>26</v>
      </c>
      <c r="G6549" s="53"/>
    </row>
    <row r="6550">
      <c r="A6550" s="49">
        <v>44763.09665313657</v>
      </c>
      <c r="B6550" s="50">
        <v>44763.2216235879</v>
      </c>
      <c r="C6550" s="51">
        <v>1.004</v>
      </c>
      <c r="D6550" s="51">
        <v>68.0</v>
      </c>
      <c r="E6550" s="52" t="s">
        <v>25</v>
      </c>
      <c r="F6550" s="52" t="s">
        <v>26</v>
      </c>
      <c r="G6550" s="53"/>
    </row>
    <row r="6551">
      <c r="A6551" s="49">
        <v>44763.10707614583</v>
      </c>
      <c r="B6551" s="50">
        <v>44763.232044456</v>
      </c>
      <c r="C6551" s="51">
        <v>1.004</v>
      </c>
      <c r="D6551" s="51">
        <v>68.0</v>
      </c>
      <c r="E6551" s="52" t="s">
        <v>25</v>
      </c>
      <c r="F6551" s="52" t="s">
        <v>26</v>
      </c>
      <c r="G6551" s="53"/>
    </row>
    <row r="6552">
      <c r="A6552" s="49">
        <v>44763.117500520835</v>
      </c>
      <c r="B6552" s="50">
        <v>44763.2424666666</v>
      </c>
      <c r="C6552" s="51">
        <v>1.004</v>
      </c>
      <c r="D6552" s="51">
        <v>68.0</v>
      </c>
      <c r="E6552" s="52" t="s">
        <v>25</v>
      </c>
      <c r="F6552" s="52" t="s">
        <v>26</v>
      </c>
      <c r="G6552" s="53"/>
    </row>
    <row r="6553">
      <c r="A6553" s="49">
        <v>44763.127941597224</v>
      </c>
      <c r="B6553" s="50">
        <v>44763.2529104861</v>
      </c>
      <c r="C6553" s="51">
        <v>1.004</v>
      </c>
      <c r="D6553" s="51">
        <v>68.0</v>
      </c>
      <c r="E6553" s="52" t="s">
        <v>25</v>
      </c>
      <c r="F6553" s="52" t="s">
        <v>26</v>
      </c>
      <c r="G6553" s="53"/>
    </row>
    <row r="6554">
      <c r="A6554" s="49">
        <v>44763.13837871527</v>
      </c>
      <c r="B6554" s="50">
        <v>44763.2633423263</v>
      </c>
      <c r="C6554" s="51">
        <v>1.004</v>
      </c>
      <c r="D6554" s="51">
        <v>68.0</v>
      </c>
      <c r="E6554" s="52" t="s">
        <v>25</v>
      </c>
      <c r="F6554" s="52" t="s">
        <v>26</v>
      </c>
      <c r="G6554" s="53"/>
    </row>
    <row r="6555">
      <c r="A6555" s="49">
        <v>44763.14879511574</v>
      </c>
      <c r="B6555" s="50">
        <v>44763.2737622569</v>
      </c>
      <c r="C6555" s="51">
        <v>1.004</v>
      </c>
      <c r="D6555" s="51">
        <v>68.0</v>
      </c>
      <c r="E6555" s="52" t="s">
        <v>25</v>
      </c>
      <c r="F6555" s="52" t="s">
        <v>26</v>
      </c>
      <c r="G6555" s="53"/>
    </row>
    <row r="6556">
      <c r="A6556" s="49">
        <v>44763.15921222222</v>
      </c>
      <c r="B6556" s="50">
        <v>44763.284182824</v>
      </c>
      <c r="C6556" s="51">
        <v>1.004</v>
      </c>
      <c r="D6556" s="51">
        <v>68.0</v>
      </c>
      <c r="E6556" s="52" t="s">
        <v>25</v>
      </c>
      <c r="F6556" s="52" t="s">
        <v>26</v>
      </c>
      <c r="G6556" s="53"/>
    </row>
    <row r="6557">
      <c r="A6557" s="49">
        <v>44763.169634895836</v>
      </c>
      <c r="B6557" s="50">
        <v>44763.2946034953</v>
      </c>
      <c r="C6557" s="51">
        <v>1.004</v>
      </c>
      <c r="D6557" s="51">
        <v>68.0</v>
      </c>
      <c r="E6557" s="52" t="s">
        <v>25</v>
      </c>
      <c r="F6557" s="52" t="s">
        <v>26</v>
      </c>
      <c r="G6557" s="53"/>
    </row>
    <row r="6558">
      <c r="A6558" s="49">
        <v>44763.18005848379</v>
      </c>
      <c r="B6558" s="50">
        <v>44763.3050233333</v>
      </c>
      <c r="C6558" s="51">
        <v>1.004</v>
      </c>
      <c r="D6558" s="51">
        <v>68.0</v>
      </c>
      <c r="E6558" s="52" t="s">
        <v>25</v>
      </c>
      <c r="F6558" s="52" t="s">
        <v>26</v>
      </c>
      <c r="G6558" s="53"/>
    </row>
    <row r="6559">
      <c r="A6559" s="49">
        <v>44763.190461446764</v>
      </c>
      <c r="B6559" s="50">
        <v>44763.3154428935</v>
      </c>
      <c r="C6559" s="51">
        <v>1.004</v>
      </c>
      <c r="D6559" s="51">
        <v>68.0</v>
      </c>
      <c r="E6559" s="52" t="s">
        <v>25</v>
      </c>
      <c r="F6559" s="52" t="s">
        <v>26</v>
      </c>
      <c r="G6559" s="53"/>
    </row>
    <row r="6560">
      <c r="A6560" s="49">
        <v>44763.20088081018</v>
      </c>
      <c r="B6560" s="50">
        <v>44763.3258637037</v>
      </c>
      <c r="C6560" s="51">
        <v>1.004</v>
      </c>
      <c r="D6560" s="51">
        <v>68.0</v>
      </c>
      <c r="E6560" s="52" t="s">
        <v>25</v>
      </c>
      <c r="F6560" s="52" t="s">
        <v>26</v>
      </c>
      <c r="G6560" s="53"/>
    </row>
    <row r="6561">
      <c r="A6561" s="49">
        <v>44763.21133261574</v>
      </c>
      <c r="B6561" s="50">
        <v>44763.3362966782</v>
      </c>
      <c r="C6561" s="51">
        <v>1.004</v>
      </c>
      <c r="D6561" s="51">
        <v>68.0</v>
      </c>
      <c r="E6561" s="52" t="s">
        <v>25</v>
      </c>
      <c r="F6561" s="52" t="s">
        <v>26</v>
      </c>
      <c r="G6561" s="53"/>
    </row>
    <row r="6562">
      <c r="A6562" s="49">
        <v>44763.22174820602</v>
      </c>
      <c r="B6562" s="50">
        <v>44763.3467184027</v>
      </c>
      <c r="C6562" s="51">
        <v>1.004</v>
      </c>
      <c r="D6562" s="51">
        <v>68.0</v>
      </c>
      <c r="E6562" s="52" t="s">
        <v>25</v>
      </c>
      <c r="F6562" s="52" t="s">
        <v>26</v>
      </c>
      <c r="G6562" s="53"/>
    </row>
    <row r="6563">
      <c r="A6563" s="49">
        <v>44763.23217971065</v>
      </c>
      <c r="B6563" s="50">
        <v>44763.3571520138</v>
      </c>
      <c r="C6563" s="51">
        <v>1.004</v>
      </c>
      <c r="D6563" s="51">
        <v>68.0</v>
      </c>
      <c r="E6563" s="52" t="s">
        <v>25</v>
      </c>
      <c r="F6563" s="52" t="s">
        <v>26</v>
      </c>
      <c r="G6563" s="53"/>
    </row>
    <row r="6564">
      <c r="A6564" s="49">
        <v>44763.24260109954</v>
      </c>
      <c r="B6564" s="50">
        <v>44763.3675716782</v>
      </c>
      <c r="C6564" s="51">
        <v>1.004</v>
      </c>
      <c r="D6564" s="51">
        <v>68.0</v>
      </c>
      <c r="E6564" s="52" t="s">
        <v>25</v>
      </c>
      <c r="F6564" s="52" t="s">
        <v>26</v>
      </c>
      <c r="G6564" s="53"/>
    </row>
    <row r="6565">
      <c r="A6565" s="49">
        <v>44763.25304862269</v>
      </c>
      <c r="B6565" s="50">
        <v>44763.3780154398</v>
      </c>
      <c r="C6565" s="51">
        <v>1.004</v>
      </c>
      <c r="D6565" s="51">
        <v>68.0</v>
      </c>
      <c r="E6565" s="52" t="s">
        <v>25</v>
      </c>
      <c r="F6565" s="52" t="s">
        <v>26</v>
      </c>
      <c r="G6565" s="53"/>
    </row>
    <row r="6566">
      <c r="A6566" s="49">
        <v>44763.26346269676</v>
      </c>
      <c r="B6566" s="50">
        <v>44763.3884347685</v>
      </c>
      <c r="C6566" s="51">
        <v>1.004</v>
      </c>
      <c r="D6566" s="51">
        <v>69.0</v>
      </c>
      <c r="E6566" s="52" t="s">
        <v>25</v>
      </c>
      <c r="F6566" s="52" t="s">
        <v>26</v>
      </c>
      <c r="G6566" s="53"/>
    </row>
    <row r="6567">
      <c r="A6567" s="49">
        <v>44763.27388637731</v>
      </c>
      <c r="B6567" s="50">
        <v>44763.398856331</v>
      </c>
      <c r="C6567" s="51">
        <v>1.004</v>
      </c>
      <c r="D6567" s="51">
        <v>68.0</v>
      </c>
      <c r="E6567" s="52" t="s">
        <v>25</v>
      </c>
      <c r="F6567" s="52" t="s">
        <v>26</v>
      </c>
      <c r="G6567" s="53"/>
    </row>
    <row r="6568">
      <c r="A6568" s="49">
        <v>44763.28429761574</v>
      </c>
      <c r="B6568" s="50">
        <v>44763.4092781018</v>
      </c>
      <c r="C6568" s="51">
        <v>1.004</v>
      </c>
      <c r="D6568" s="51">
        <v>68.0</v>
      </c>
      <c r="E6568" s="52" t="s">
        <v>25</v>
      </c>
      <c r="F6568" s="52" t="s">
        <v>26</v>
      </c>
      <c r="G6568" s="53"/>
    </row>
    <row r="6569">
      <c r="A6569" s="49">
        <v>44763.29472517361</v>
      </c>
      <c r="B6569" s="50">
        <v>44763.4196984722</v>
      </c>
      <c r="C6569" s="51">
        <v>1.004</v>
      </c>
      <c r="D6569" s="51">
        <v>68.0</v>
      </c>
      <c r="E6569" s="52" t="s">
        <v>25</v>
      </c>
      <c r="F6569" s="52" t="s">
        <v>26</v>
      </c>
      <c r="G6569" s="53"/>
    </row>
    <row r="6570">
      <c r="A6570" s="49">
        <v>44763.305153912035</v>
      </c>
      <c r="B6570" s="50">
        <v>44763.4301320833</v>
      </c>
      <c r="C6570" s="51">
        <v>1.004</v>
      </c>
      <c r="D6570" s="51">
        <v>69.0</v>
      </c>
      <c r="E6570" s="52" t="s">
        <v>25</v>
      </c>
      <c r="F6570" s="52" t="s">
        <v>26</v>
      </c>
      <c r="G6570" s="53"/>
    </row>
    <row r="6571">
      <c r="A6571" s="49">
        <v>44763.315571053245</v>
      </c>
      <c r="B6571" s="50">
        <v>44763.4405501967</v>
      </c>
      <c r="C6571" s="51">
        <v>1.004</v>
      </c>
      <c r="D6571" s="51">
        <v>69.0</v>
      </c>
      <c r="E6571" s="52" t="s">
        <v>25</v>
      </c>
      <c r="F6571" s="52" t="s">
        <v>26</v>
      </c>
      <c r="G6571" s="53"/>
    </row>
    <row r="6572">
      <c r="A6572" s="49">
        <v>44763.32599537037</v>
      </c>
      <c r="B6572" s="50">
        <v>44763.4509707176</v>
      </c>
      <c r="C6572" s="51">
        <v>1.004</v>
      </c>
      <c r="D6572" s="51">
        <v>68.0</v>
      </c>
      <c r="E6572" s="52" t="s">
        <v>25</v>
      </c>
      <c r="F6572" s="52" t="s">
        <v>26</v>
      </c>
      <c r="G6572" s="53"/>
    </row>
    <row r="6573">
      <c r="A6573" s="49">
        <v>44763.3364246875</v>
      </c>
      <c r="B6573" s="50">
        <v>44763.4613937615</v>
      </c>
      <c r="C6573" s="51">
        <v>1.004</v>
      </c>
      <c r="D6573" s="51">
        <v>69.0</v>
      </c>
      <c r="E6573" s="52" t="s">
        <v>25</v>
      </c>
      <c r="F6573" s="52" t="s">
        <v>26</v>
      </c>
      <c r="G6573" s="53"/>
    </row>
    <row r="6574">
      <c r="A6574" s="49">
        <v>44763.3468478588</v>
      </c>
      <c r="B6574" s="50">
        <v>44763.4718161574</v>
      </c>
      <c r="C6574" s="51">
        <v>1.004</v>
      </c>
      <c r="D6574" s="51">
        <v>69.0</v>
      </c>
      <c r="E6574" s="52" t="s">
        <v>25</v>
      </c>
      <c r="F6574" s="52" t="s">
        <v>26</v>
      </c>
      <c r="G6574" s="53"/>
    </row>
    <row r="6575">
      <c r="A6575" s="49">
        <v>44763.35727155092</v>
      </c>
      <c r="B6575" s="50">
        <v>44763.4822489467</v>
      </c>
      <c r="C6575" s="51">
        <v>1.004</v>
      </c>
      <c r="D6575" s="51">
        <v>69.0</v>
      </c>
      <c r="E6575" s="52" t="s">
        <v>25</v>
      </c>
      <c r="F6575" s="52" t="s">
        <v>26</v>
      </c>
      <c r="G6575" s="53"/>
    </row>
    <row r="6576">
      <c r="A6576" s="49">
        <v>44763.36769670139</v>
      </c>
      <c r="B6576" s="50">
        <v>44763.4926686921</v>
      </c>
      <c r="C6576" s="51">
        <v>1.004</v>
      </c>
      <c r="D6576" s="51">
        <v>69.0</v>
      </c>
      <c r="E6576" s="52" t="s">
        <v>25</v>
      </c>
      <c r="F6576" s="52" t="s">
        <v>26</v>
      </c>
      <c r="G6576" s="53"/>
    </row>
    <row r="6577">
      <c r="A6577" s="49">
        <v>44763.37815333334</v>
      </c>
      <c r="B6577" s="50">
        <v>44763.50311228</v>
      </c>
      <c r="C6577" s="51">
        <v>1.004</v>
      </c>
      <c r="D6577" s="51">
        <v>69.0</v>
      </c>
      <c r="E6577" s="52" t="s">
        <v>25</v>
      </c>
      <c r="F6577" s="52" t="s">
        <v>26</v>
      </c>
      <c r="G6577" s="53"/>
    </row>
    <row r="6578">
      <c r="A6578" s="49">
        <v>44763.38858182871</v>
      </c>
      <c r="B6578" s="50">
        <v>44763.513556956</v>
      </c>
      <c r="C6578" s="51">
        <v>1.004</v>
      </c>
      <c r="D6578" s="51">
        <v>69.0</v>
      </c>
      <c r="E6578" s="52" t="s">
        <v>25</v>
      </c>
      <c r="F6578" s="52" t="s">
        <v>26</v>
      </c>
      <c r="G6578" s="53"/>
    </row>
    <row r="6579">
      <c r="A6579" s="49">
        <v>44763.39901032408</v>
      </c>
      <c r="B6579" s="50">
        <v>44763.5239798495</v>
      </c>
      <c r="C6579" s="51">
        <v>1.004</v>
      </c>
      <c r="D6579" s="51">
        <v>69.0</v>
      </c>
      <c r="E6579" s="52" t="s">
        <v>25</v>
      </c>
      <c r="F6579" s="52" t="s">
        <v>26</v>
      </c>
      <c r="G6579" s="53"/>
    </row>
    <row r="6580">
      <c r="A6580" s="49">
        <v>44763.40943519676</v>
      </c>
      <c r="B6580" s="50">
        <v>44763.5343993518</v>
      </c>
      <c r="C6580" s="51">
        <v>1.004</v>
      </c>
      <c r="D6580" s="51">
        <v>69.0</v>
      </c>
      <c r="E6580" s="52" t="s">
        <v>25</v>
      </c>
      <c r="F6580" s="52" t="s">
        <v>26</v>
      </c>
      <c r="G6580" s="53"/>
    </row>
    <row r="6581">
      <c r="A6581" s="49">
        <v>44763.41986142361</v>
      </c>
      <c r="B6581" s="50">
        <v>44763.5448329976</v>
      </c>
      <c r="C6581" s="51">
        <v>1.004</v>
      </c>
      <c r="D6581" s="51">
        <v>69.0</v>
      </c>
      <c r="E6581" s="52" t="s">
        <v>25</v>
      </c>
      <c r="F6581" s="52" t="s">
        <v>26</v>
      </c>
      <c r="G6581" s="53"/>
    </row>
    <row r="6582">
      <c r="A6582" s="49">
        <v>44763.43027513889</v>
      </c>
      <c r="B6582" s="50">
        <v>44763.555255405</v>
      </c>
      <c r="C6582" s="51">
        <v>1.004</v>
      </c>
      <c r="D6582" s="51">
        <v>69.0</v>
      </c>
      <c r="E6582" s="52" t="s">
        <v>25</v>
      </c>
      <c r="F6582" s="52" t="s">
        <v>26</v>
      </c>
      <c r="G6582" s="53"/>
    </row>
    <row r="6583">
      <c r="A6583" s="49">
        <v>44763.44070490741</v>
      </c>
      <c r="B6583" s="50">
        <v>44763.5656769328</v>
      </c>
      <c r="C6583" s="51">
        <v>1.004</v>
      </c>
      <c r="D6583" s="51">
        <v>69.0</v>
      </c>
      <c r="E6583" s="52" t="s">
        <v>25</v>
      </c>
      <c r="F6583" s="52" t="s">
        <v>26</v>
      </c>
      <c r="G6583" s="53"/>
    </row>
    <row r="6584">
      <c r="A6584" s="49">
        <v>44763.45113847222</v>
      </c>
      <c r="B6584" s="50">
        <v>44763.5761114004</v>
      </c>
      <c r="C6584" s="51">
        <v>1.004</v>
      </c>
      <c r="D6584" s="51">
        <v>69.0</v>
      </c>
      <c r="E6584" s="52" t="s">
        <v>25</v>
      </c>
      <c r="F6584" s="52" t="s">
        <v>26</v>
      </c>
      <c r="G6584" s="53"/>
    </row>
    <row r="6585">
      <c r="A6585" s="49">
        <v>44763.461565578706</v>
      </c>
      <c r="B6585" s="50">
        <v>44763.5865437847</v>
      </c>
      <c r="C6585" s="51">
        <v>1.004</v>
      </c>
      <c r="D6585" s="51">
        <v>69.0</v>
      </c>
      <c r="E6585" s="52" t="s">
        <v>25</v>
      </c>
      <c r="F6585" s="52" t="s">
        <v>26</v>
      </c>
      <c r="G6585" s="53"/>
    </row>
    <row r="6586">
      <c r="A6586" s="49">
        <v>44763.47198410879</v>
      </c>
      <c r="B6586" s="50">
        <v>44763.596965162</v>
      </c>
      <c r="C6586" s="51">
        <v>1.004</v>
      </c>
      <c r="D6586" s="51">
        <v>69.0</v>
      </c>
      <c r="E6586" s="52" t="s">
        <v>25</v>
      </c>
      <c r="F6586" s="52" t="s">
        <v>26</v>
      </c>
      <c r="G6586" s="53"/>
    </row>
    <row r="6587">
      <c r="A6587" s="49">
        <v>44763.48241784722</v>
      </c>
      <c r="B6587" s="50">
        <v>44763.6073874074</v>
      </c>
      <c r="C6587" s="51">
        <v>1.004</v>
      </c>
      <c r="D6587" s="51">
        <v>69.0</v>
      </c>
      <c r="E6587" s="52" t="s">
        <v>25</v>
      </c>
      <c r="F6587" s="52" t="s">
        <v>26</v>
      </c>
      <c r="G6587" s="53"/>
    </row>
    <row r="6588">
      <c r="A6588" s="49">
        <v>44763.49283710648</v>
      </c>
      <c r="B6588" s="50">
        <v>44763.6178094907</v>
      </c>
      <c r="C6588" s="51">
        <v>1.004</v>
      </c>
      <c r="D6588" s="51">
        <v>69.0</v>
      </c>
      <c r="E6588" s="52" t="s">
        <v>25</v>
      </c>
      <c r="F6588" s="52" t="s">
        <v>26</v>
      </c>
      <c r="G6588" s="53"/>
    </row>
    <row r="6589">
      <c r="A6589" s="49">
        <v>44763.503257743054</v>
      </c>
      <c r="B6589" s="50">
        <v>44763.628230324</v>
      </c>
      <c r="C6589" s="51">
        <v>1.004</v>
      </c>
      <c r="D6589" s="51">
        <v>69.0</v>
      </c>
      <c r="E6589" s="52" t="s">
        <v>25</v>
      </c>
      <c r="F6589" s="52" t="s">
        <v>26</v>
      </c>
      <c r="G6589" s="53"/>
    </row>
    <row r="6590">
      <c r="A6590" s="49">
        <v>44763.51367626157</v>
      </c>
      <c r="B6590" s="50">
        <v>44763.6386503472</v>
      </c>
      <c r="C6590" s="51">
        <v>1.004</v>
      </c>
      <c r="D6590" s="51">
        <v>69.0</v>
      </c>
      <c r="E6590" s="52" t="s">
        <v>25</v>
      </c>
      <c r="F6590" s="52" t="s">
        <v>26</v>
      </c>
      <c r="G6590" s="53"/>
    </row>
    <row r="6591">
      <c r="A6591" s="49">
        <v>44763.52409436343</v>
      </c>
      <c r="B6591" s="50">
        <v>44763.6490707523</v>
      </c>
      <c r="C6591" s="51">
        <v>1.004</v>
      </c>
      <c r="D6591" s="51">
        <v>69.0</v>
      </c>
      <c r="E6591" s="52" t="s">
        <v>25</v>
      </c>
      <c r="F6591" s="52" t="s">
        <v>26</v>
      </c>
      <c r="G6591" s="53"/>
    </row>
    <row r="6592">
      <c r="A6592" s="49">
        <v>44763.534524375005</v>
      </c>
      <c r="B6592" s="50">
        <v>44763.6595025462</v>
      </c>
      <c r="C6592" s="51">
        <v>1.004</v>
      </c>
      <c r="D6592" s="51">
        <v>69.0</v>
      </c>
      <c r="E6592" s="52" t="s">
        <v>25</v>
      </c>
      <c r="F6592" s="52" t="s">
        <v>26</v>
      </c>
      <c r="G6592" s="53"/>
    </row>
    <row r="6593">
      <c r="A6593" s="49">
        <v>44763.544943298606</v>
      </c>
      <c r="B6593" s="50">
        <v>44763.6699223842</v>
      </c>
      <c r="C6593" s="51">
        <v>1.004</v>
      </c>
      <c r="D6593" s="51">
        <v>69.0</v>
      </c>
      <c r="E6593" s="52" t="s">
        <v>25</v>
      </c>
      <c r="F6593" s="52" t="s">
        <v>26</v>
      </c>
      <c r="G6593" s="53"/>
    </row>
    <row r="6594">
      <c r="A6594" s="49">
        <v>44763.55537555556</v>
      </c>
      <c r="B6594" s="50">
        <v>44763.680355162</v>
      </c>
      <c r="C6594" s="51">
        <v>1.004</v>
      </c>
      <c r="D6594" s="51">
        <v>69.0</v>
      </c>
      <c r="E6594" s="52" t="s">
        <v>25</v>
      </c>
      <c r="F6594" s="52" t="s">
        <v>26</v>
      </c>
      <c r="G6594" s="53"/>
    </row>
    <row r="6595">
      <c r="A6595" s="49">
        <v>44763.56579620371</v>
      </c>
      <c r="B6595" s="50">
        <v>44763.6907764467</v>
      </c>
      <c r="C6595" s="51">
        <v>1.004</v>
      </c>
      <c r="D6595" s="51">
        <v>69.0</v>
      </c>
      <c r="E6595" s="52" t="s">
        <v>25</v>
      </c>
      <c r="F6595" s="52" t="s">
        <v>26</v>
      </c>
      <c r="G6595" s="53"/>
    </row>
    <row r="6596">
      <c r="A6596" s="49">
        <v>44763.576214733795</v>
      </c>
      <c r="B6596" s="50">
        <v>44763.7011967361</v>
      </c>
      <c r="C6596" s="51">
        <v>1.004</v>
      </c>
      <c r="D6596" s="51">
        <v>69.0</v>
      </c>
      <c r="E6596" s="52" t="s">
        <v>25</v>
      </c>
      <c r="F6596" s="52" t="s">
        <v>26</v>
      </c>
      <c r="G6596" s="53"/>
    </row>
    <row r="6597">
      <c r="A6597" s="49">
        <v>44763.58663293981</v>
      </c>
      <c r="B6597" s="50">
        <v>44763.7116171064</v>
      </c>
      <c r="C6597" s="51">
        <v>1.004</v>
      </c>
      <c r="D6597" s="51">
        <v>69.0</v>
      </c>
      <c r="E6597" s="52" t="s">
        <v>25</v>
      </c>
      <c r="F6597" s="52" t="s">
        <v>26</v>
      </c>
      <c r="G6597" s="53"/>
    </row>
    <row r="6598">
      <c r="A6598" s="49">
        <v>44763.59706663195</v>
      </c>
      <c r="B6598" s="50">
        <v>44763.7220371759</v>
      </c>
      <c r="C6598" s="51">
        <v>1.004</v>
      </c>
      <c r="D6598" s="51">
        <v>69.0</v>
      </c>
      <c r="E6598" s="52" t="s">
        <v>25</v>
      </c>
      <c r="F6598" s="52" t="s">
        <v>26</v>
      </c>
      <c r="G6598" s="53"/>
    </row>
    <row r="6599">
      <c r="A6599" s="49">
        <v>44763.607484872686</v>
      </c>
      <c r="B6599" s="50">
        <v>44763.7324597222</v>
      </c>
      <c r="C6599" s="51">
        <v>1.004</v>
      </c>
      <c r="D6599" s="51">
        <v>69.0</v>
      </c>
      <c r="E6599" s="52" t="s">
        <v>25</v>
      </c>
      <c r="F6599" s="52" t="s">
        <v>26</v>
      </c>
      <c r="G6599" s="53"/>
    </row>
    <row r="6600">
      <c r="A6600" s="49">
        <v>44763.61790672454</v>
      </c>
      <c r="B6600" s="50">
        <v>44763.7428807986</v>
      </c>
      <c r="C6600" s="51">
        <v>1.004</v>
      </c>
      <c r="D6600" s="51">
        <v>69.0</v>
      </c>
      <c r="E6600" s="52" t="s">
        <v>25</v>
      </c>
      <c r="F6600" s="52" t="s">
        <v>26</v>
      </c>
      <c r="G6600" s="53"/>
    </row>
    <row r="6601">
      <c r="A6601" s="49">
        <v>44763.628325196754</v>
      </c>
      <c r="B6601" s="50">
        <v>44763.7533016203</v>
      </c>
      <c r="C6601" s="51">
        <v>1.004</v>
      </c>
      <c r="D6601" s="51">
        <v>69.0</v>
      </c>
      <c r="E6601" s="52" t="s">
        <v>25</v>
      </c>
      <c r="F6601" s="52" t="s">
        <v>26</v>
      </c>
      <c r="G6601" s="53"/>
    </row>
    <row r="6602">
      <c r="A6602" s="49">
        <v>44763.63874502315</v>
      </c>
      <c r="B6602" s="50">
        <v>44763.7637242708</v>
      </c>
      <c r="C6602" s="51">
        <v>1.004</v>
      </c>
      <c r="D6602" s="51">
        <v>69.0</v>
      </c>
      <c r="E6602" s="52" t="s">
        <v>25</v>
      </c>
      <c r="F6602" s="52" t="s">
        <v>26</v>
      </c>
      <c r="G6602" s="53"/>
    </row>
    <row r="6603">
      <c r="A6603" s="49">
        <v>44763.6491602662</v>
      </c>
      <c r="B6603" s="50">
        <v>44763.774145405</v>
      </c>
      <c r="C6603" s="51">
        <v>1.004</v>
      </c>
      <c r="D6603" s="51">
        <v>69.0</v>
      </c>
      <c r="E6603" s="52" t="s">
        <v>25</v>
      </c>
      <c r="F6603" s="52" t="s">
        <v>26</v>
      </c>
      <c r="G6603" s="53"/>
    </row>
    <row r="6604">
      <c r="A6604" s="49">
        <v>44763.659591574076</v>
      </c>
      <c r="B6604" s="50">
        <v>44763.7845660185</v>
      </c>
      <c r="C6604" s="51">
        <v>1.004</v>
      </c>
      <c r="D6604" s="51">
        <v>69.0</v>
      </c>
      <c r="E6604" s="52" t="s">
        <v>25</v>
      </c>
      <c r="F6604" s="52" t="s">
        <v>26</v>
      </c>
      <c r="G6604" s="53"/>
    </row>
    <row r="6605">
      <c r="A6605" s="49">
        <v>44763.67001524306</v>
      </c>
      <c r="B6605" s="50">
        <v>44763.7949882175</v>
      </c>
      <c r="C6605" s="51">
        <v>1.004</v>
      </c>
      <c r="D6605" s="51">
        <v>69.0</v>
      </c>
      <c r="E6605" s="52" t="s">
        <v>25</v>
      </c>
      <c r="F6605" s="52" t="s">
        <v>26</v>
      </c>
      <c r="G6605" s="53"/>
    </row>
    <row r="6606">
      <c r="A6606" s="49">
        <v>44763.68043663194</v>
      </c>
      <c r="B6606" s="50">
        <v>44763.8054095717</v>
      </c>
      <c r="C6606" s="51">
        <v>1.004</v>
      </c>
      <c r="D6606" s="51">
        <v>69.0</v>
      </c>
      <c r="E6606" s="52" t="s">
        <v>25</v>
      </c>
      <c r="F6606" s="52" t="s">
        <v>26</v>
      </c>
      <c r="G6606" s="53"/>
    </row>
    <row r="6607">
      <c r="A6607" s="49">
        <v>44763.690851875</v>
      </c>
      <c r="B6607" s="50">
        <v>44763.8158311805</v>
      </c>
      <c r="C6607" s="51">
        <v>1.004</v>
      </c>
      <c r="D6607" s="51">
        <v>69.0</v>
      </c>
      <c r="E6607" s="52" t="s">
        <v>25</v>
      </c>
      <c r="F6607" s="52" t="s">
        <v>26</v>
      </c>
      <c r="G6607" s="53"/>
    </row>
    <row r="6608">
      <c r="A6608" s="49">
        <v>44763.701278645836</v>
      </c>
      <c r="B6608" s="50">
        <v>44763.8262535416</v>
      </c>
      <c r="C6608" s="51">
        <v>1.004</v>
      </c>
      <c r="D6608" s="51">
        <v>69.0</v>
      </c>
      <c r="E6608" s="52" t="s">
        <v>25</v>
      </c>
      <c r="F6608" s="52" t="s">
        <v>26</v>
      </c>
      <c r="G6608" s="53"/>
    </row>
    <row r="6609">
      <c r="A6609" s="49">
        <v>44763.71169917824</v>
      </c>
      <c r="B6609" s="50">
        <v>44763.8366734838</v>
      </c>
      <c r="C6609" s="51">
        <v>1.004</v>
      </c>
      <c r="D6609" s="51">
        <v>69.0</v>
      </c>
      <c r="E6609" s="52" t="s">
        <v>25</v>
      </c>
      <c r="F6609" s="52" t="s">
        <v>26</v>
      </c>
      <c r="G6609" s="53"/>
    </row>
    <row r="6610">
      <c r="A6610" s="49">
        <v>44763.72212040509</v>
      </c>
      <c r="B6610" s="50">
        <v>44763.8470948611</v>
      </c>
      <c r="C6610" s="51">
        <v>1.004</v>
      </c>
      <c r="D6610" s="51">
        <v>69.0</v>
      </c>
      <c r="E6610" s="52" t="s">
        <v>25</v>
      </c>
      <c r="F6610" s="52" t="s">
        <v>26</v>
      </c>
      <c r="G6610" s="53"/>
    </row>
    <row r="6611">
      <c r="A6611" s="49">
        <v>44763.732563067126</v>
      </c>
      <c r="B6611" s="50">
        <v>44763.8575379629</v>
      </c>
      <c r="C6611" s="51">
        <v>1.004</v>
      </c>
      <c r="D6611" s="51">
        <v>69.0</v>
      </c>
      <c r="E6611" s="52" t="s">
        <v>25</v>
      </c>
      <c r="F6611" s="52" t="s">
        <v>26</v>
      </c>
      <c r="G6611" s="53"/>
    </row>
    <row r="6612">
      <c r="A6612" s="49">
        <v>44763.74297648148</v>
      </c>
      <c r="B6612" s="50">
        <v>44763.86796125</v>
      </c>
      <c r="C6612" s="51">
        <v>1.004</v>
      </c>
      <c r="D6612" s="51">
        <v>69.0</v>
      </c>
      <c r="E6612" s="52" t="s">
        <v>25</v>
      </c>
      <c r="F6612" s="52" t="s">
        <v>26</v>
      </c>
      <c r="G6612" s="53"/>
    </row>
    <row r="6613">
      <c r="A6613" s="49">
        <v>44763.75341903935</v>
      </c>
      <c r="B6613" s="50">
        <v>44763.8783944907</v>
      </c>
      <c r="C6613" s="51">
        <v>1.004</v>
      </c>
      <c r="D6613" s="51">
        <v>69.0</v>
      </c>
      <c r="E6613" s="52" t="s">
        <v>25</v>
      </c>
      <c r="F6613" s="52" t="s">
        <v>26</v>
      </c>
      <c r="G6613" s="53"/>
    </row>
    <row r="6614">
      <c r="A6614" s="49">
        <v>44763.76384025463</v>
      </c>
      <c r="B6614" s="50">
        <v>44763.8888152777</v>
      </c>
      <c r="C6614" s="51">
        <v>1.004</v>
      </c>
      <c r="D6614" s="51">
        <v>69.0</v>
      </c>
      <c r="E6614" s="52" t="s">
        <v>25</v>
      </c>
      <c r="F6614" s="52" t="s">
        <v>26</v>
      </c>
      <c r="G6614" s="53"/>
    </row>
    <row r="6615">
      <c r="A6615" s="49">
        <v>44763.77427489583</v>
      </c>
      <c r="B6615" s="50">
        <v>44763.8992475115</v>
      </c>
      <c r="C6615" s="51">
        <v>1.004</v>
      </c>
      <c r="D6615" s="51">
        <v>69.0</v>
      </c>
      <c r="E6615" s="52" t="s">
        <v>25</v>
      </c>
      <c r="F6615" s="52" t="s">
        <v>26</v>
      </c>
      <c r="G6615" s="53"/>
    </row>
    <row r="6616">
      <c r="A6616" s="49">
        <v>44763.784691423614</v>
      </c>
      <c r="B6616" s="50">
        <v>44763.909669699</v>
      </c>
      <c r="C6616" s="51">
        <v>1.004</v>
      </c>
      <c r="D6616" s="51">
        <v>69.0</v>
      </c>
      <c r="E6616" s="52" t="s">
        <v>25</v>
      </c>
      <c r="F6616" s="52" t="s">
        <v>26</v>
      </c>
      <c r="G6616" s="53"/>
    </row>
    <row r="6617">
      <c r="A6617" s="49">
        <v>44763.795111562504</v>
      </c>
      <c r="B6617" s="50">
        <v>44763.9200912731</v>
      </c>
      <c r="C6617" s="51">
        <v>1.004</v>
      </c>
      <c r="D6617" s="51">
        <v>69.0</v>
      </c>
      <c r="E6617" s="52" t="s">
        <v>25</v>
      </c>
      <c r="F6617" s="52" t="s">
        <v>26</v>
      </c>
      <c r="G6617" s="53"/>
    </row>
    <row r="6618">
      <c r="A6618" s="49">
        <v>44763.80554556713</v>
      </c>
      <c r="B6618" s="50">
        <v>44763.9305236111</v>
      </c>
      <c r="C6618" s="51">
        <v>1.004</v>
      </c>
      <c r="D6618" s="51">
        <v>69.0</v>
      </c>
      <c r="E6618" s="52" t="s">
        <v>25</v>
      </c>
      <c r="F6618" s="52" t="s">
        <v>26</v>
      </c>
      <c r="G6618" s="53"/>
    </row>
    <row r="6619">
      <c r="A6619" s="49">
        <v>44763.815972662036</v>
      </c>
      <c r="B6619" s="50">
        <v>44763.9409579629</v>
      </c>
      <c r="C6619" s="51">
        <v>1.004</v>
      </c>
      <c r="D6619" s="51">
        <v>69.0</v>
      </c>
      <c r="E6619" s="52" t="s">
        <v>25</v>
      </c>
      <c r="F6619" s="52" t="s">
        <v>26</v>
      </c>
      <c r="G6619" s="53"/>
    </row>
    <row r="6620">
      <c r="A6620" s="49">
        <v>44763.82639621528</v>
      </c>
      <c r="B6620" s="50">
        <v>44763.9513784953</v>
      </c>
      <c r="C6620" s="51">
        <v>1.004</v>
      </c>
      <c r="D6620" s="51">
        <v>69.0</v>
      </c>
      <c r="E6620" s="52" t="s">
        <v>25</v>
      </c>
      <c r="F6620" s="52" t="s">
        <v>26</v>
      </c>
      <c r="G6620" s="53"/>
    </row>
    <row r="6621">
      <c r="A6621" s="49">
        <v>44763.83682787037</v>
      </c>
      <c r="B6621" s="50">
        <v>44763.9617992245</v>
      </c>
      <c r="C6621" s="51">
        <v>1.004</v>
      </c>
      <c r="D6621" s="51">
        <v>69.0</v>
      </c>
      <c r="E6621" s="52" t="s">
        <v>25</v>
      </c>
      <c r="F6621" s="52" t="s">
        <v>26</v>
      </c>
      <c r="G6621" s="53"/>
    </row>
    <row r="6622">
      <c r="A6622" s="49">
        <v>44763.847246053236</v>
      </c>
      <c r="B6622" s="50">
        <v>44763.9722198032</v>
      </c>
      <c r="C6622" s="51">
        <v>1.004</v>
      </c>
      <c r="D6622" s="51">
        <v>69.0</v>
      </c>
      <c r="E6622" s="52" t="s">
        <v>25</v>
      </c>
      <c r="F6622" s="52" t="s">
        <v>26</v>
      </c>
      <c r="G6622" s="53"/>
    </row>
    <row r="6623">
      <c r="A6623" s="49">
        <v>44763.85766725695</v>
      </c>
      <c r="B6623" s="50">
        <v>44763.9826420833</v>
      </c>
      <c r="C6623" s="51">
        <v>1.004</v>
      </c>
      <c r="D6623" s="51">
        <v>69.0</v>
      </c>
      <c r="E6623" s="52" t="s">
        <v>25</v>
      </c>
      <c r="F6623" s="52" t="s">
        <v>26</v>
      </c>
      <c r="G6623" s="53"/>
    </row>
    <row r="6624">
      <c r="A6624" s="49">
        <v>44763.86808482639</v>
      </c>
      <c r="B6624" s="50">
        <v>44763.9930640856</v>
      </c>
      <c r="C6624" s="51">
        <v>1.004</v>
      </c>
      <c r="D6624" s="51">
        <v>69.0</v>
      </c>
      <c r="E6624" s="52" t="s">
        <v>25</v>
      </c>
      <c r="F6624" s="52" t="s">
        <v>26</v>
      </c>
      <c r="G6624" s="53"/>
    </row>
    <row r="6625">
      <c r="A6625" s="49">
        <v>44763.878517708334</v>
      </c>
      <c r="B6625" s="50">
        <v>44764.0034962384</v>
      </c>
      <c r="C6625" s="51">
        <v>1.004</v>
      </c>
      <c r="D6625" s="51">
        <v>69.0</v>
      </c>
      <c r="E6625" s="52" t="s">
        <v>25</v>
      </c>
      <c r="F6625" s="52" t="s">
        <v>26</v>
      </c>
      <c r="G6625" s="53"/>
    </row>
    <row r="6626">
      <c r="A6626" s="49">
        <v>44763.88894275463</v>
      </c>
      <c r="B6626" s="50">
        <v>44764.0139158217</v>
      </c>
      <c r="C6626" s="51">
        <v>1.004</v>
      </c>
      <c r="D6626" s="51">
        <v>69.0</v>
      </c>
      <c r="E6626" s="52" t="s">
        <v>25</v>
      </c>
      <c r="F6626" s="52" t="s">
        <v>26</v>
      </c>
      <c r="G6626" s="53"/>
    </row>
    <row r="6627">
      <c r="A6627" s="49">
        <v>44763.89937378472</v>
      </c>
      <c r="B6627" s="50">
        <v>44764.0243484143</v>
      </c>
      <c r="C6627" s="51">
        <v>1.004</v>
      </c>
      <c r="D6627" s="51">
        <v>69.0</v>
      </c>
      <c r="E6627" s="52" t="s">
        <v>25</v>
      </c>
      <c r="F6627" s="52" t="s">
        <v>26</v>
      </c>
      <c r="G6627" s="53"/>
    </row>
    <row r="6628">
      <c r="A6628" s="49">
        <v>44763.90979818287</v>
      </c>
      <c r="B6628" s="50">
        <v>44764.0347717129</v>
      </c>
      <c r="C6628" s="51">
        <v>1.004</v>
      </c>
      <c r="D6628" s="51">
        <v>69.0</v>
      </c>
      <c r="E6628" s="52" t="s">
        <v>25</v>
      </c>
      <c r="F6628" s="52" t="s">
        <v>26</v>
      </c>
      <c r="G6628" s="53"/>
    </row>
    <row r="6629">
      <c r="A6629" s="49">
        <v>44763.92021429398</v>
      </c>
      <c r="B6629" s="50">
        <v>44764.0451932176</v>
      </c>
      <c r="C6629" s="51">
        <v>1.004</v>
      </c>
      <c r="D6629" s="51">
        <v>69.0</v>
      </c>
      <c r="E6629" s="52" t="s">
        <v>25</v>
      </c>
      <c r="F6629" s="52" t="s">
        <v>26</v>
      </c>
      <c r="G6629" s="53"/>
    </row>
    <row r="6630">
      <c r="A6630" s="49">
        <v>44763.930642060186</v>
      </c>
      <c r="B6630" s="50">
        <v>44764.0556245138</v>
      </c>
      <c r="C6630" s="51">
        <v>1.004</v>
      </c>
      <c r="D6630" s="51">
        <v>69.0</v>
      </c>
      <c r="E6630" s="52" t="s">
        <v>25</v>
      </c>
      <c r="F6630" s="52" t="s">
        <v>26</v>
      </c>
      <c r="G6630" s="53"/>
    </row>
    <row r="6631">
      <c r="A6631" s="49">
        <v>44763.94107483796</v>
      </c>
      <c r="B6631" s="50">
        <v>44764.0660456944</v>
      </c>
      <c r="C6631" s="51">
        <v>1.004</v>
      </c>
      <c r="D6631" s="51">
        <v>69.0</v>
      </c>
      <c r="E6631" s="52" t="s">
        <v>25</v>
      </c>
      <c r="F6631" s="52" t="s">
        <v>26</v>
      </c>
      <c r="G6631" s="53"/>
    </row>
    <row r="6632">
      <c r="A6632" s="49">
        <v>44763.951503159726</v>
      </c>
      <c r="B6632" s="50">
        <v>44764.076466956</v>
      </c>
      <c r="C6632" s="51">
        <v>1.004</v>
      </c>
      <c r="D6632" s="51">
        <v>69.0</v>
      </c>
      <c r="E6632" s="52" t="s">
        <v>25</v>
      </c>
      <c r="F6632" s="52" t="s">
        <v>26</v>
      </c>
      <c r="G6632" s="53"/>
    </row>
    <row r="6633">
      <c r="A6633" s="49">
        <v>44763.961922002316</v>
      </c>
      <c r="B6633" s="50">
        <v>44764.0868897106</v>
      </c>
      <c r="C6633" s="51">
        <v>1.004</v>
      </c>
      <c r="D6633" s="51">
        <v>69.0</v>
      </c>
      <c r="E6633" s="52" t="s">
        <v>25</v>
      </c>
      <c r="F6633" s="52" t="s">
        <v>26</v>
      </c>
      <c r="G6633" s="53"/>
    </row>
    <row r="6634">
      <c r="A6634" s="49">
        <v>44763.97235105324</v>
      </c>
      <c r="B6634" s="50">
        <v>44764.0973235416</v>
      </c>
      <c r="C6634" s="51">
        <v>1.004</v>
      </c>
      <c r="D6634" s="51">
        <v>69.0</v>
      </c>
      <c r="E6634" s="52" t="s">
        <v>25</v>
      </c>
      <c r="F6634" s="52" t="s">
        <v>26</v>
      </c>
      <c r="G6634" s="53"/>
    </row>
    <row r="6635">
      <c r="A6635" s="49">
        <v>44763.9827740162</v>
      </c>
      <c r="B6635" s="50">
        <v>44764.1077419675</v>
      </c>
      <c r="C6635" s="51">
        <v>1.004</v>
      </c>
      <c r="D6635" s="51">
        <v>69.0</v>
      </c>
      <c r="E6635" s="52" t="s">
        <v>25</v>
      </c>
      <c r="F6635" s="52" t="s">
        <v>26</v>
      </c>
      <c r="G6635" s="53"/>
    </row>
    <row r="6636">
      <c r="A6636" s="49">
        <v>44763.993191354166</v>
      </c>
      <c r="B6636" s="50">
        <v>44764.1181616898</v>
      </c>
      <c r="C6636" s="51">
        <v>1.004</v>
      </c>
      <c r="D6636" s="51">
        <v>69.0</v>
      </c>
      <c r="E6636" s="52" t="s">
        <v>25</v>
      </c>
      <c r="F6636" s="52" t="s">
        <v>26</v>
      </c>
      <c r="G6636" s="53"/>
    </row>
    <row r="6637">
      <c r="A6637" s="49">
        <v>44764.003623854165</v>
      </c>
      <c r="B6637" s="50">
        <v>44764.1285947916</v>
      </c>
      <c r="C6637" s="51">
        <v>1.004</v>
      </c>
      <c r="D6637" s="51">
        <v>69.0</v>
      </c>
      <c r="E6637" s="52" t="s">
        <v>25</v>
      </c>
      <c r="F6637" s="52" t="s">
        <v>26</v>
      </c>
      <c r="G6637" s="53"/>
    </row>
    <row r="6638">
      <c r="A6638" s="49">
        <v>44764.01404304398</v>
      </c>
      <c r="B6638" s="50">
        <v>44764.1390138773</v>
      </c>
      <c r="C6638" s="51">
        <v>1.004</v>
      </c>
      <c r="D6638" s="51">
        <v>69.0</v>
      </c>
      <c r="E6638" s="52" t="s">
        <v>25</v>
      </c>
      <c r="F6638" s="52" t="s">
        <v>26</v>
      </c>
      <c r="G6638" s="53"/>
    </row>
    <row r="6639">
      <c r="A6639" s="49">
        <v>44764.024462905094</v>
      </c>
      <c r="B6639" s="50">
        <v>44764.149435706</v>
      </c>
      <c r="C6639" s="51">
        <v>1.004</v>
      </c>
      <c r="D6639" s="51">
        <v>69.0</v>
      </c>
      <c r="E6639" s="52" t="s">
        <v>25</v>
      </c>
      <c r="F6639" s="52" t="s">
        <v>26</v>
      </c>
      <c r="G6639" s="53"/>
    </row>
    <row r="6640">
      <c r="A6640" s="49">
        <v>44764.03487944444</v>
      </c>
      <c r="B6640" s="50">
        <v>44764.1598586574</v>
      </c>
      <c r="C6640" s="51">
        <v>1.004</v>
      </c>
      <c r="D6640" s="51">
        <v>69.0</v>
      </c>
      <c r="E6640" s="52" t="s">
        <v>25</v>
      </c>
      <c r="F6640" s="52" t="s">
        <v>26</v>
      </c>
      <c r="G6640" s="53"/>
    </row>
    <row r="6641">
      <c r="A6641" s="49">
        <v>44764.04529835648</v>
      </c>
      <c r="B6641" s="50">
        <v>44764.1702790277</v>
      </c>
      <c r="C6641" s="51">
        <v>1.004</v>
      </c>
      <c r="D6641" s="51">
        <v>69.0</v>
      </c>
      <c r="E6641" s="52" t="s">
        <v>25</v>
      </c>
      <c r="F6641" s="52" t="s">
        <v>26</v>
      </c>
      <c r="G6641" s="53"/>
    </row>
    <row r="6642">
      <c r="A6642" s="49">
        <v>44764.05574166667</v>
      </c>
      <c r="B6642" s="50">
        <v>44764.1807128125</v>
      </c>
      <c r="C6642" s="51">
        <v>1.004</v>
      </c>
      <c r="D6642" s="51">
        <v>69.0</v>
      </c>
      <c r="E6642" s="52" t="s">
        <v>25</v>
      </c>
      <c r="F6642" s="52" t="s">
        <v>26</v>
      </c>
      <c r="G6642" s="53"/>
    </row>
    <row r="6643">
      <c r="A6643" s="49">
        <v>44764.06616422454</v>
      </c>
      <c r="B6643" s="50">
        <v>44764.1911348958</v>
      </c>
      <c r="C6643" s="51">
        <v>1.004</v>
      </c>
      <c r="D6643" s="51">
        <v>69.0</v>
      </c>
      <c r="E6643" s="52" t="s">
        <v>25</v>
      </c>
      <c r="F6643" s="52" t="s">
        <v>26</v>
      </c>
      <c r="G6643" s="53"/>
    </row>
    <row r="6644">
      <c r="A6644" s="49">
        <v>44764.076577395834</v>
      </c>
      <c r="B6644" s="50">
        <v>44764.2015555787</v>
      </c>
      <c r="C6644" s="51">
        <v>1.004</v>
      </c>
      <c r="D6644" s="51">
        <v>69.0</v>
      </c>
      <c r="E6644" s="52" t="s">
        <v>25</v>
      </c>
      <c r="F6644" s="52" t="s">
        <v>26</v>
      </c>
      <c r="G6644" s="53"/>
    </row>
    <row r="6645">
      <c r="A6645" s="49">
        <v>44764.08700517361</v>
      </c>
      <c r="B6645" s="50">
        <v>44764.2119735185</v>
      </c>
      <c r="C6645" s="51">
        <v>1.004</v>
      </c>
      <c r="D6645" s="51">
        <v>69.0</v>
      </c>
      <c r="E6645" s="52" t="s">
        <v>25</v>
      </c>
      <c r="F6645" s="52" t="s">
        <v>26</v>
      </c>
      <c r="G6645" s="53"/>
    </row>
    <row r="6646">
      <c r="A6646" s="49">
        <v>44764.09743324074</v>
      </c>
      <c r="B6646" s="50">
        <v>44764.2224065972</v>
      </c>
      <c r="C6646" s="51">
        <v>1.004</v>
      </c>
      <c r="D6646" s="51">
        <v>69.0</v>
      </c>
      <c r="E6646" s="52" t="s">
        <v>25</v>
      </c>
      <c r="F6646" s="52" t="s">
        <v>26</v>
      </c>
      <c r="G6646" s="53"/>
    </row>
    <row r="6647">
      <c r="A6647" s="49">
        <v>44764.10786956019</v>
      </c>
      <c r="B6647" s="50">
        <v>44764.232839618</v>
      </c>
      <c r="C6647" s="51">
        <v>1.004</v>
      </c>
      <c r="D6647" s="51">
        <v>69.0</v>
      </c>
      <c r="E6647" s="52" t="s">
        <v>25</v>
      </c>
      <c r="F6647" s="52" t="s">
        <v>26</v>
      </c>
      <c r="G6647" s="53"/>
    </row>
    <row r="6648">
      <c r="A6648" s="49">
        <v>44764.11828221065</v>
      </c>
      <c r="B6648" s="50">
        <v>44764.2432612268</v>
      </c>
      <c r="C6648" s="51">
        <v>1.004</v>
      </c>
      <c r="D6648" s="51">
        <v>69.0</v>
      </c>
      <c r="E6648" s="52" t="s">
        <v>25</v>
      </c>
      <c r="F6648" s="52" t="s">
        <v>26</v>
      </c>
      <c r="G6648" s="53"/>
    </row>
    <row r="6649">
      <c r="A6649" s="49">
        <v>44764.12871255787</v>
      </c>
      <c r="B6649" s="50">
        <v>44764.2536830555</v>
      </c>
      <c r="C6649" s="51">
        <v>1.004</v>
      </c>
      <c r="D6649" s="51">
        <v>69.0</v>
      </c>
      <c r="E6649" s="52" t="s">
        <v>25</v>
      </c>
      <c r="F6649" s="52" t="s">
        <v>26</v>
      </c>
      <c r="G6649" s="53"/>
    </row>
    <row r="6650">
      <c r="A6650" s="49">
        <v>44764.139135590274</v>
      </c>
      <c r="B6650" s="50">
        <v>44764.264103368</v>
      </c>
      <c r="C6650" s="51">
        <v>1.004</v>
      </c>
      <c r="D6650" s="51">
        <v>69.0</v>
      </c>
      <c r="E6650" s="52" t="s">
        <v>25</v>
      </c>
      <c r="F6650" s="52" t="s">
        <v>26</v>
      </c>
      <c r="G6650" s="53"/>
    </row>
    <row r="6651">
      <c r="A6651" s="49">
        <v>44764.14955466436</v>
      </c>
      <c r="B6651" s="50">
        <v>44764.274525243</v>
      </c>
      <c r="C6651" s="51">
        <v>1.004</v>
      </c>
      <c r="D6651" s="51">
        <v>69.0</v>
      </c>
      <c r="E6651" s="52" t="s">
        <v>25</v>
      </c>
      <c r="F6651" s="52" t="s">
        <v>26</v>
      </c>
      <c r="G6651" s="53"/>
    </row>
    <row r="6652">
      <c r="A6652" s="49">
        <v>44764.15996884259</v>
      </c>
      <c r="B6652" s="50">
        <v>44764.284947037</v>
      </c>
      <c r="C6652" s="51">
        <v>1.004</v>
      </c>
      <c r="D6652" s="51">
        <v>69.0</v>
      </c>
      <c r="E6652" s="52" t="s">
        <v>25</v>
      </c>
      <c r="F6652" s="52" t="s">
        <v>26</v>
      </c>
      <c r="G6652" s="53"/>
    </row>
    <row r="6653">
      <c r="A6653" s="49">
        <v>44764.17039032407</v>
      </c>
      <c r="B6653" s="50">
        <v>44764.2953682986</v>
      </c>
      <c r="C6653" s="51">
        <v>1.004</v>
      </c>
      <c r="D6653" s="51">
        <v>69.0</v>
      </c>
      <c r="E6653" s="52" t="s">
        <v>25</v>
      </c>
      <c r="F6653" s="52" t="s">
        <v>26</v>
      </c>
      <c r="G6653" s="53"/>
    </row>
    <row r="6654">
      <c r="A6654" s="49">
        <v>44764.18080724537</v>
      </c>
      <c r="B6654" s="50">
        <v>44764.3057898611</v>
      </c>
      <c r="C6654" s="51">
        <v>1.004</v>
      </c>
      <c r="D6654" s="51">
        <v>69.0</v>
      </c>
      <c r="E6654" s="52" t="s">
        <v>25</v>
      </c>
      <c r="F6654" s="52" t="s">
        <v>26</v>
      </c>
      <c r="G6654" s="53"/>
    </row>
    <row r="6655">
      <c r="A6655" s="49">
        <v>44764.19123834491</v>
      </c>
      <c r="B6655" s="50">
        <v>44764.3162108101</v>
      </c>
      <c r="C6655" s="51">
        <v>1.004</v>
      </c>
      <c r="D6655" s="51">
        <v>69.0</v>
      </c>
      <c r="E6655" s="52" t="s">
        <v>25</v>
      </c>
      <c r="F6655" s="52" t="s">
        <v>26</v>
      </c>
      <c r="G6655" s="53"/>
    </row>
    <row r="6656">
      <c r="A6656" s="49">
        <v>44764.20165899306</v>
      </c>
      <c r="B6656" s="50">
        <v>44764.3266320023</v>
      </c>
      <c r="C6656" s="51">
        <v>1.004</v>
      </c>
      <c r="D6656" s="51">
        <v>69.0</v>
      </c>
      <c r="E6656" s="52" t="s">
        <v>25</v>
      </c>
      <c r="F6656" s="52" t="s">
        <v>26</v>
      </c>
      <c r="G6656" s="53"/>
    </row>
    <row r="6657">
      <c r="A6657" s="49">
        <v>44764.212077812495</v>
      </c>
      <c r="B6657" s="50">
        <v>44764.3370510995</v>
      </c>
      <c r="C6657" s="51">
        <v>1.004</v>
      </c>
      <c r="D6657" s="51">
        <v>69.0</v>
      </c>
      <c r="E6657" s="52" t="s">
        <v>25</v>
      </c>
      <c r="F6657" s="52" t="s">
        <v>26</v>
      </c>
      <c r="G6657" s="53"/>
    </row>
    <row r="6658">
      <c r="A6658" s="49">
        <v>44764.222512939814</v>
      </c>
      <c r="B6658" s="50">
        <v>44764.3474829282</v>
      </c>
      <c r="C6658" s="51">
        <v>1.004</v>
      </c>
      <c r="D6658" s="51">
        <v>69.0</v>
      </c>
      <c r="E6658" s="52" t="s">
        <v>25</v>
      </c>
      <c r="F6658" s="52" t="s">
        <v>26</v>
      </c>
      <c r="G6658" s="53"/>
    </row>
    <row r="6659">
      <c r="A6659" s="49">
        <v>44764.23293126158</v>
      </c>
      <c r="B6659" s="50">
        <v>44764.3579047338</v>
      </c>
      <c r="C6659" s="51">
        <v>1.004</v>
      </c>
      <c r="D6659" s="51">
        <v>69.0</v>
      </c>
      <c r="E6659" s="52" t="s">
        <v>25</v>
      </c>
      <c r="F6659" s="52" t="s">
        <v>26</v>
      </c>
      <c r="G6659" s="53"/>
    </row>
    <row r="6660">
      <c r="A6660" s="49">
        <v>44764.243348495365</v>
      </c>
      <c r="B6660" s="50">
        <v>44764.3683237963</v>
      </c>
      <c r="C6660" s="51">
        <v>1.004</v>
      </c>
      <c r="D6660" s="51">
        <v>69.0</v>
      </c>
      <c r="E6660" s="52" t="s">
        <v>25</v>
      </c>
      <c r="F6660" s="52" t="s">
        <v>26</v>
      </c>
      <c r="G6660" s="53"/>
    </row>
    <row r="6661">
      <c r="A6661" s="49">
        <v>44764.253765671296</v>
      </c>
      <c r="B6661" s="50">
        <v>44764.3787457407</v>
      </c>
      <c r="C6661" s="51">
        <v>1.004</v>
      </c>
      <c r="D6661" s="51">
        <v>69.0</v>
      </c>
      <c r="E6661" s="52" t="s">
        <v>25</v>
      </c>
      <c r="F6661" s="52" t="s">
        <v>26</v>
      </c>
      <c r="G6661" s="53"/>
    </row>
    <row r="6662">
      <c r="A6662" s="49">
        <v>44764.26419596065</v>
      </c>
      <c r="B6662" s="50">
        <v>44764.3891793518</v>
      </c>
      <c r="C6662" s="51">
        <v>1.004</v>
      </c>
      <c r="D6662" s="51">
        <v>69.0</v>
      </c>
      <c r="E6662" s="52" t="s">
        <v>25</v>
      </c>
      <c r="F6662" s="52" t="s">
        <v>26</v>
      </c>
      <c r="G6662" s="53"/>
    </row>
    <row r="6663">
      <c r="A6663" s="49">
        <v>44764.274615104165</v>
      </c>
      <c r="B6663" s="50">
        <v>44764.3995998495</v>
      </c>
      <c r="C6663" s="51">
        <v>1.004</v>
      </c>
      <c r="D6663" s="51">
        <v>69.0</v>
      </c>
      <c r="E6663" s="52" t="s">
        <v>25</v>
      </c>
      <c r="F6663" s="52" t="s">
        <v>26</v>
      </c>
      <c r="G6663" s="53"/>
    </row>
    <row r="6664">
      <c r="A6664" s="49">
        <v>44764.28503875</v>
      </c>
      <c r="B6664" s="50">
        <v>44764.4100221643</v>
      </c>
      <c r="C6664" s="51">
        <v>1.004</v>
      </c>
      <c r="D6664" s="51">
        <v>69.0</v>
      </c>
      <c r="E6664" s="52" t="s">
        <v>25</v>
      </c>
      <c r="F6664" s="52" t="s">
        <v>26</v>
      </c>
      <c r="G6664" s="53"/>
    </row>
    <row r="6665">
      <c r="A6665" s="49">
        <v>44764.29547430556</v>
      </c>
      <c r="B6665" s="50">
        <v>44764.4204435648</v>
      </c>
      <c r="C6665" s="51">
        <v>1.004</v>
      </c>
      <c r="D6665" s="51">
        <v>69.0</v>
      </c>
      <c r="E6665" s="52" t="s">
        <v>25</v>
      </c>
      <c r="F6665" s="52" t="s">
        <v>26</v>
      </c>
      <c r="G6665" s="53"/>
    </row>
    <row r="6666">
      <c r="A6666" s="49">
        <v>44764.305891516204</v>
      </c>
      <c r="B6666" s="50">
        <v>44764.430864456</v>
      </c>
      <c r="C6666" s="51">
        <v>1.004</v>
      </c>
      <c r="D6666" s="51">
        <v>69.0</v>
      </c>
      <c r="E6666" s="52" t="s">
        <v>25</v>
      </c>
      <c r="F6666" s="52" t="s">
        <v>26</v>
      </c>
      <c r="G6666" s="53"/>
    </row>
    <row r="6667">
      <c r="A6667" s="49">
        <v>44764.31631134259</v>
      </c>
      <c r="B6667" s="50">
        <v>44764.4412859838</v>
      </c>
      <c r="C6667" s="51">
        <v>1.004</v>
      </c>
      <c r="D6667" s="51">
        <v>69.0</v>
      </c>
      <c r="E6667" s="52" t="s">
        <v>25</v>
      </c>
      <c r="F6667" s="52" t="s">
        <v>26</v>
      </c>
      <c r="G6667" s="53"/>
    </row>
    <row r="6668">
      <c r="A6668" s="49">
        <v>44764.32672972222</v>
      </c>
      <c r="B6668" s="50">
        <v>44764.4517062384</v>
      </c>
      <c r="C6668" s="51">
        <v>1.004</v>
      </c>
      <c r="D6668" s="51">
        <v>69.0</v>
      </c>
      <c r="E6668" s="52" t="s">
        <v>25</v>
      </c>
      <c r="F6668" s="52" t="s">
        <v>26</v>
      </c>
      <c r="G6668" s="53"/>
    </row>
    <row r="6669">
      <c r="A6669" s="49">
        <v>44764.33715471065</v>
      </c>
      <c r="B6669" s="50">
        <v>44764.462138993</v>
      </c>
      <c r="C6669" s="51">
        <v>1.004</v>
      </c>
      <c r="D6669" s="51">
        <v>69.0</v>
      </c>
      <c r="E6669" s="52" t="s">
        <v>25</v>
      </c>
      <c r="F6669" s="52" t="s">
        <v>26</v>
      </c>
      <c r="G6669" s="53"/>
    </row>
    <row r="6670">
      <c r="A6670" s="49">
        <v>44764.34759546296</v>
      </c>
      <c r="B6670" s="50">
        <v>44764.472570081</v>
      </c>
      <c r="C6670" s="51">
        <v>1.004</v>
      </c>
      <c r="D6670" s="51">
        <v>69.0</v>
      </c>
      <c r="E6670" s="52" t="s">
        <v>25</v>
      </c>
      <c r="F6670" s="52" t="s">
        <v>26</v>
      </c>
      <c r="G6670" s="53"/>
    </row>
    <row r="6671">
      <c r="A6671" s="49">
        <v>44764.35802534722</v>
      </c>
      <c r="B6671" s="50">
        <v>44764.4829909259</v>
      </c>
      <c r="C6671" s="51">
        <v>1.004</v>
      </c>
      <c r="D6671" s="51">
        <v>69.0</v>
      </c>
      <c r="E6671" s="52" t="s">
        <v>25</v>
      </c>
      <c r="F6671" s="52" t="s">
        <v>26</v>
      </c>
      <c r="G6671" s="53"/>
    </row>
    <row r="6672">
      <c r="A6672" s="49">
        <v>44764.36843608796</v>
      </c>
      <c r="B6672" s="50">
        <v>44764.4934109722</v>
      </c>
      <c r="C6672" s="51">
        <v>1.004</v>
      </c>
      <c r="D6672" s="51">
        <v>69.0</v>
      </c>
      <c r="E6672" s="52" t="s">
        <v>25</v>
      </c>
      <c r="F6672" s="52" t="s">
        <v>26</v>
      </c>
      <c r="G6672" s="53"/>
    </row>
    <row r="6673">
      <c r="A6673" s="49">
        <v>44764.378864212966</v>
      </c>
      <c r="B6673" s="50">
        <v>44764.5038311111</v>
      </c>
      <c r="C6673" s="51">
        <v>1.004</v>
      </c>
      <c r="D6673" s="51">
        <v>69.0</v>
      </c>
      <c r="E6673" s="52" t="s">
        <v>25</v>
      </c>
      <c r="F6673" s="52" t="s">
        <v>26</v>
      </c>
      <c r="G6673" s="53"/>
    </row>
    <row r="6674">
      <c r="A6674" s="49">
        <v>44764.38927590278</v>
      </c>
      <c r="B6674" s="50">
        <v>44764.5142518865</v>
      </c>
      <c r="C6674" s="51">
        <v>1.004</v>
      </c>
      <c r="D6674" s="51">
        <v>69.0</v>
      </c>
      <c r="E6674" s="52" t="s">
        <v>25</v>
      </c>
      <c r="F6674" s="52" t="s">
        <v>26</v>
      </c>
      <c r="G6674" s="53"/>
    </row>
    <row r="6675">
      <c r="A6675" s="49">
        <v>44764.3996964699</v>
      </c>
      <c r="B6675" s="50">
        <v>44764.5246744907</v>
      </c>
      <c r="C6675" s="51">
        <v>1.004</v>
      </c>
      <c r="D6675" s="51">
        <v>70.0</v>
      </c>
      <c r="E6675" s="52" t="s">
        <v>25</v>
      </c>
      <c r="F6675" s="52" t="s">
        <v>26</v>
      </c>
      <c r="G6675" s="53"/>
    </row>
    <row r="6676">
      <c r="A6676" s="49">
        <v>44764.4101243287</v>
      </c>
      <c r="B6676" s="50">
        <v>44764.5350967708</v>
      </c>
      <c r="C6676" s="51">
        <v>1.004</v>
      </c>
      <c r="D6676" s="51">
        <v>70.0</v>
      </c>
      <c r="E6676" s="52" t="s">
        <v>25</v>
      </c>
      <c r="F6676" s="52" t="s">
        <v>26</v>
      </c>
      <c r="G6676" s="53"/>
    </row>
    <row r="6677">
      <c r="A6677" s="49">
        <v>44764.420543541666</v>
      </c>
      <c r="B6677" s="50">
        <v>44764.5455179282</v>
      </c>
      <c r="C6677" s="51">
        <v>1.004</v>
      </c>
      <c r="D6677" s="51">
        <v>70.0</v>
      </c>
      <c r="E6677" s="52" t="s">
        <v>25</v>
      </c>
      <c r="F6677" s="52" t="s">
        <v>26</v>
      </c>
      <c r="G6677" s="53"/>
    </row>
    <row r="6678">
      <c r="A6678" s="49">
        <v>44764.43096082176</v>
      </c>
      <c r="B6678" s="50">
        <v>44764.5559397685</v>
      </c>
      <c r="C6678" s="51">
        <v>1.004</v>
      </c>
      <c r="D6678" s="51">
        <v>70.0</v>
      </c>
      <c r="E6678" s="52" t="s">
        <v>25</v>
      </c>
      <c r="F6678" s="52" t="s">
        <v>26</v>
      </c>
      <c r="G6678" s="53"/>
    </row>
    <row r="6679">
      <c r="A6679" s="49">
        <v>44764.44139925926</v>
      </c>
      <c r="B6679" s="50">
        <v>44764.5663719676</v>
      </c>
      <c r="C6679" s="51">
        <v>1.004</v>
      </c>
      <c r="D6679" s="51">
        <v>70.0</v>
      </c>
      <c r="E6679" s="52" t="s">
        <v>25</v>
      </c>
      <c r="F6679" s="52" t="s">
        <v>26</v>
      </c>
      <c r="G6679" s="53"/>
    </row>
    <row r="6680">
      <c r="A6680" s="49">
        <v>44764.45181949074</v>
      </c>
      <c r="B6680" s="50">
        <v>44764.576793449</v>
      </c>
      <c r="C6680" s="51">
        <v>1.004</v>
      </c>
      <c r="D6680" s="51">
        <v>70.0</v>
      </c>
      <c r="E6680" s="52" t="s">
        <v>25</v>
      </c>
      <c r="F6680" s="52" t="s">
        <v>26</v>
      </c>
      <c r="G6680" s="53"/>
    </row>
    <row r="6681">
      <c r="A6681" s="49">
        <v>44764.462248842596</v>
      </c>
      <c r="B6681" s="50">
        <v>44764.5872274189</v>
      </c>
      <c r="C6681" s="51">
        <v>1.004</v>
      </c>
      <c r="D6681" s="51">
        <v>70.0</v>
      </c>
      <c r="E6681" s="52" t="s">
        <v>25</v>
      </c>
      <c r="F6681" s="52" t="s">
        <v>26</v>
      </c>
      <c r="G6681" s="53"/>
    </row>
    <row r="6682">
      <c r="A6682" s="49">
        <v>44764.472667002316</v>
      </c>
      <c r="B6682" s="50">
        <v>44764.5976491551</v>
      </c>
      <c r="C6682" s="51">
        <v>1.004</v>
      </c>
      <c r="D6682" s="51">
        <v>70.0</v>
      </c>
      <c r="E6682" s="52" t="s">
        <v>25</v>
      </c>
      <c r="F6682" s="52" t="s">
        <v>26</v>
      </c>
      <c r="G6682" s="53"/>
    </row>
    <row r="6683">
      <c r="A6683" s="49">
        <v>44764.48310916667</v>
      </c>
      <c r="B6683" s="50">
        <v>44764.6080820833</v>
      </c>
      <c r="C6683" s="51">
        <v>1.004</v>
      </c>
      <c r="D6683" s="51">
        <v>69.0</v>
      </c>
      <c r="E6683" s="52" t="s">
        <v>25</v>
      </c>
      <c r="F6683" s="52" t="s">
        <v>26</v>
      </c>
      <c r="G6683" s="53"/>
    </row>
    <row r="6684">
      <c r="A6684" s="49">
        <v>44764.49353535879</v>
      </c>
      <c r="B6684" s="50">
        <v>44764.618514074</v>
      </c>
      <c r="C6684" s="51">
        <v>1.004</v>
      </c>
      <c r="D6684" s="51">
        <v>70.0</v>
      </c>
      <c r="E6684" s="52" t="s">
        <v>25</v>
      </c>
      <c r="F6684" s="52" t="s">
        <v>26</v>
      </c>
      <c r="G6684" s="53"/>
    </row>
    <row r="6685">
      <c r="A6685" s="49">
        <v>44764.50396335648</v>
      </c>
      <c r="B6685" s="50">
        <v>44764.6289346759</v>
      </c>
      <c r="C6685" s="51">
        <v>1.004</v>
      </c>
      <c r="D6685" s="51">
        <v>70.0</v>
      </c>
      <c r="E6685" s="52" t="s">
        <v>25</v>
      </c>
      <c r="F6685" s="52" t="s">
        <v>26</v>
      </c>
      <c r="G6685" s="53"/>
    </row>
    <row r="6686">
      <c r="A6686" s="49">
        <v>44764.51438530092</v>
      </c>
      <c r="B6686" s="50">
        <v>44764.639355625</v>
      </c>
      <c r="C6686" s="51">
        <v>1.004</v>
      </c>
      <c r="D6686" s="51">
        <v>70.0</v>
      </c>
      <c r="E6686" s="52" t="s">
        <v>25</v>
      </c>
      <c r="F6686" s="52" t="s">
        <v>26</v>
      </c>
      <c r="G6686" s="53"/>
    </row>
    <row r="6687">
      <c r="A6687" s="49">
        <v>44764.52480201389</v>
      </c>
      <c r="B6687" s="50">
        <v>44764.6497766666</v>
      </c>
      <c r="C6687" s="51">
        <v>1.004</v>
      </c>
      <c r="D6687" s="51">
        <v>69.0</v>
      </c>
      <c r="E6687" s="52" t="s">
        <v>25</v>
      </c>
      <c r="F6687" s="52" t="s">
        <v>26</v>
      </c>
      <c r="G6687" s="53"/>
    </row>
    <row r="6688">
      <c r="A6688" s="49">
        <v>44764.535221087965</v>
      </c>
      <c r="B6688" s="50">
        <v>44764.6601974074</v>
      </c>
      <c r="C6688" s="51">
        <v>1.004</v>
      </c>
      <c r="D6688" s="51">
        <v>70.0</v>
      </c>
      <c r="E6688" s="52" t="s">
        <v>25</v>
      </c>
      <c r="F6688" s="52" t="s">
        <v>26</v>
      </c>
      <c r="G6688" s="53"/>
    </row>
    <row r="6689">
      <c r="A6689" s="49">
        <v>44764.54567552083</v>
      </c>
      <c r="B6689" s="50">
        <v>44764.6706514004</v>
      </c>
      <c r="C6689" s="51">
        <v>1.004</v>
      </c>
      <c r="D6689" s="51">
        <v>70.0</v>
      </c>
      <c r="E6689" s="52" t="s">
        <v>25</v>
      </c>
      <c r="F6689" s="52" t="s">
        <v>26</v>
      </c>
      <c r="G6689" s="53"/>
    </row>
    <row r="6690">
      <c r="A6690" s="49">
        <v>44764.556098726855</v>
      </c>
      <c r="B6690" s="50">
        <v>44764.6810726967</v>
      </c>
      <c r="C6690" s="51">
        <v>1.004</v>
      </c>
      <c r="D6690" s="51">
        <v>70.0</v>
      </c>
      <c r="E6690" s="52" t="s">
        <v>25</v>
      </c>
      <c r="F6690" s="52" t="s">
        <v>26</v>
      </c>
      <c r="G6690" s="53"/>
    </row>
    <row r="6691">
      <c r="A6691" s="49">
        <v>44764.566529502314</v>
      </c>
      <c r="B6691" s="50">
        <v>44764.6915054976</v>
      </c>
      <c r="C6691" s="51">
        <v>1.004</v>
      </c>
      <c r="D6691" s="51">
        <v>70.0</v>
      </c>
      <c r="E6691" s="52" t="s">
        <v>25</v>
      </c>
      <c r="F6691" s="52" t="s">
        <v>26</v>
      </c>
      <c r="G6691" s="53"/>
    </row>
    <row r="6692">
      <c r="A6692" s="49">
        <v>44764.57695793982</v>
      </c>
      <c r="B6692" s="50">
        <v>44764.7019389004</v>
      </c>
      <c r="C6692" s="51">
        <v>1.004</v>
      </c>
      <c r="D6692" s="51">
        <v>69.0</v>
      </c>
      <c r="E6692" s="52" t="s">
        <v>25</v>
      </c>
      <c r="F6692" s="52" t="s">
        <v>26</v>
      </c>
      <c r="G6692" s="53"/>
    </row>
    <row r="6693">
      <c r="A6693" s="49">
        <v>44764.58738509259</v>
      </c>
      <c r="B6693" s="50">
        <v>44764.7123714467</v>
      </c>
      <c r="C6693" s="51">
        <v>1.004</v>
      </c>
      <c r="D6693" s="51">
        <v>70.0</v>
      </c>
      <c r="E6693" s="52" t="s">
        <v>25</v>
      </c>
      <c r="F6693" s="52" t="s">
        <v>26</v>
      </c>
      <c r="G6693" s="53"/>
    </row>
    <row r="6694">
      <c r="A6694" s="49">
        <v>44764.597830451385</v>
      </c>
      <c r="B6694" s="50">
        <v>44764.7228041203</v>
      </c>
      <c r="C6694" s="51">
        <v>1.004</v>
      </c>
      <c r="D6694" s="51">
        <v>70.0</v>
      </c>
      <c r="E6694" s="52" t="s">
        <v>25</v>
      </c>
      <c r="F6694" s="52" t="s">
        <v>26</v>
      </c>
      <c r="G6694" s="53"/>
    </row>
    <row r="6695">
      <c r="A6695" s="49">
        <v>44764.60826137732</v>
      </c>
      <c r="B6695" s="50">
        <v>44764.733247662</v>
      </c>
      <c r="C6695" s="51">
        <v>1.004</v>
      </c>
      <c r="D6695" s="51">
        <v>70.0</v>
      </c>
      <c r="E6695" s="52" t="s">
        <v>25</v>
      </c>
      <c r="F6695" s="52" t="s">
        <v>26</v>
      </c>
      <c r="G6695" s="53"/>
    </row>
    <row r="6696">
      <c r="A6696" s="49">
        <v>44764.618716805555</v>
      </c>
      <c r="B6696" s="50">
        <v>44764.7436951041</v>
      </c>
      <c r="C6696" s="51">
        <v>1.004</v>
      </c>
      <c r="D6696" s="51">
        <v>70.0</v>
      </c>
      <c r="E6696" s="52" t="s">
        <v>25</v>
      </c>
      <c r="F6696" s="52" t="s">
        <v>26</v>
      </c>
      <c r="G6696" s="53"/>
    </row>
    <row r="6697">
      <c r="A6697" s="49">
        <v>44764.62914819444</v>
      </c>
      <c r="B6697" s="50">
        <v>44764.7541291088</v>
      </c>
      <c r="C6697" s="51">
        <v>1.004</v>
      </c>
      <c r="D6697" s="51">
        <v>70.0</v>
      </c>
      <c r="E6697" s="52" t="s">
        <v>25</v>
      </c>
      <c r="F6697" s="52" t="s">
        <v>26</v>
      </c>
      <c r="G6697" s="53"/>
    </row>
    <row r="6698">
      <c r="A6698" s="49">
        <v>44764.63957767361</v>
      </c>
      <c r="B6698" s="50">
        <v>44764.7645501851</v>
      </c>
      <c r="C6698" s="51">
        <v>1.004</v>
      </c>
      <c r="D6698" s="51">
        <v>70.0</v>
      </c>
      <c r="E6698" s="52" t="s">
        <v>25</v>
      </c>
      <c r="F6698" s="52" t="s">
        <v>26</v>
      </c>
      <c r="G6698" s="53"/>
    </row>
    <row r="6699">
      <c r="A6699" s="49">
        <v>44764.649999189816</v>
      </c>
      <c r="B6699" s="50">
        <v>44764.774971412</v>
      </c>
      <c r="C6699" s="51">
        <v>1.004</v>
      </c>
      <c r="D6699" s="51">
        <v>70.0</v>
      </c>
      <c r="E6699" s="52" t="s">
        <v>25</v>
      </c>
      <c r="F6699" s="52" t="s">
        <v>26</v>
      </c>
      <c r="G6699" s="53"/>
    </row>
    <row r="6700">
      <c r="A6700" s="49">
        <v>44764.66041841435</v>
      </c>
      <c r="B6700" s="50">
        <v>44764.7853931828</v>
      </c>
      <c r="C6700" s="51">
        <v>1.004</v>
      </c>
      <c r="D6700" s="51">
        <v>70.0</v>
      </c>
      <c r="E6700" s="52" t="s">
        <v>25</v>
      </c>
      <c r="F6700" s="52" t="s">
        <v>26</v>
      </c>
      <c r="G6700" s="53"/>
    </row>
    <row r="6701">
      <c r="A6701" s="49">
        <v>44764.67083476852</v>
      </c>
      <c r="B6701" s="50">
        <v>44764.7958133796</v>
      </c>
      <c r="C6701" s="51">
        <v>1.004</v>
      </c>
      <c r="D6701" s="51">
        <v>70.0</v>
      </c>
      <c r="E6701" s="52" t="s">
        <v>25</v>
      </c>
      <c r="F6701" s="52" t="s">
        <v>26</v>
      </c>
      <c r="G6701" s="53"/>
    </row>
    <row r="6702">
      <c r="A6702" s="49">
        <v>44764.68125337963</v>
      </c>
      <c r="B6702" s="50">
        <v>44764.8062345949</v>
      </c>
      <c r="C6702" s="51">
        <v>1.004</v>
      </c>
      <c r="D6702" s="51">
        <v>70.0</v>
      </c>
      <c r="E6702" s="52" t="s">
        <v>25</v>
      </c>
      <c r="F6702" s="52" t="s">
        <v>26</v>
      </c>
      <c r="G6702" s="53"/>
    </row>
    <row r="6703">
      <c r="A6703" s="49">
        <v>44764.69168445602</v>
      </c>
      <c r="B6703" s="50">
        <v>44764.8166562268</v>
      </c>
      <c r="C6703" s="51">
        <v>1.004</v>
      </c>
      <c r="D6703" s="51">
        <v>70.0</v>
      </c>
      <c r="E6703" s="52" t="s">
        <v>25</v>
      </c>
      <c r="F6703" s="52" t="s">
        <v>26</v>
      </c>
      <c r="G6703" s="53"/>
    </row>
    <row r="6704">
      <c r="A6704" s="49">
        <v>44764.70211957176</v>
      </c>
      <c r="B6704" s="50">
        <v>44764.8270881365</v>
      </c>
      <c r="C6704" s="51">
        <v>1.004</v>
      </c>
      <c r="D6704" s="51">
        <v>70.0</v>
      </c>
      <c r="E6704" s="52" t="s">
        <v>25</v>
      </c>
      <c r="F6704" s="52" t="s">
        <v>26</v>
      </c>
      <c r="G6704" s="53"/>
    </row>
    <row r="6705">
      <c r="A6705" s="49">
        <v>44764.71253733797</v>
      </c>
      <c r="B6705" s="50">
        <v>44764.8375099074</v>
      </c>
      <c r="C6705" s="51">
        <v>1.004</v>
      </c>
      <c r="D6705" s="51">
        <v>70.0</v>
      </c>
      <c r="E6705" s="52" t="s">
        <v>25</v>
      </c>
      <c r="F6705" s="52" t="s">
        <v>26</v>
      </c>
      <c r="G6705" s="53"/>
    </row>
    <row r="6706">
      <c r="A6706" s="49">
        <v>44764.722981053244</v>
      </c>
      <c r="B6706" s="50">
        <v>44764.8479552199</v>
      </c>
      <c r="C6706" s="51">
        <v>1.004</v>
      </c>
      <c r="D6706" s="51">
        <v>70.0</v>
      </c>
      <c r="E6706" s="52" t="s">
        <v>25</v>
      </c>
      <c r="F6706" s="52" t="s">
        <v>26</v>
      </c>
      <c r="G6706" s="53"/>
    </row>
    <row r="6707">
      <c r="A6707" s="49">
        <v>44764.73340037037</v>
      </c>
      <c r="B6707" s="50">
        <v>44764.8583749421</v>
      </c>
      <c r="C6707" s="51">
        <v>1.004</v>
      </c>
      <c r="D6707" s="51">
        <v>70.0</v>
      </c>
      <c r="E6707" s="52" t="s">
        <v>25</v>
      </c>
      <c r="F6707" s="52" t="s">
        <v>26</v>
      </c>
      <c r="G6707" s="53"/>
    </row>
    <row r="6708">
      <c r="A6708" s="49">
        <v>44764.74381568287</v>
      </c>
      <c r="B6708" s="50">
        <v>44764.8687974884</v>
      </c>
      <c r="C6708" s="51">
        <v>1.004</v>
      </c>
      <c r="D6708" s="51">
        <v>70.0</v>
      </c>
      <c r="E6708" s="52" t="s">
        <v>25</v>
      </c>
      <c r="F6708" s="52" t="s">
        <v>26</v>
      </c>
      <c r="G6708" s="53"/>
    </row>
    <row r="6709">
      <c r="A6709" s="49">
        <v>44764.75425009259</v>
      </c>
      <c r="B6709" s="50">
        <v>44764.8792187615</v>
      </c>
      <c r="C6709" s="51">
        <v>1.004</v>
      </c>
      <c r="D6709" s="51">
        <v>70.0</v>
      </c>
      <c r="E6709" s="52" t="s">
        <v>25</v>
      </c>
      <c r="F6709" s="52" t="s">
        <v>26</v>
      </c>
      <c r="G6709" s="53"/>
    </row>
    <row r="6710">
      <c r="A6710" s="49">
        <v>44764.764667407406</v>
      </c>
      <c r="B6710" s="50">
        <v>44764.8896407407</v>
      </c>
      <c r="C6710" s="51">
        <v>1.004</v>
      </c>
      <c r="D6710" s="51">
        <v>70.0</v>
      </c>
      <c r="E6710" s="52" t="s">
        <v>25</v>
      </c>
      <c r="F6710" s="52" t="s">
        <v>26</v>
      </c>
      <c r="G6710" s="53"/>
    </row>
    <row r="6711">
      <c r="A6711" s="49">
        <v>44764.77508731482</v>
      </c>
      <c r="B6711" s="50">
        <v>44764.9000628472</v>
      </c>
      <c r="C6711" s="51">
        <v>1.004</v>
      </c>
      <c r="D6711" s="51">
        <v>70.0</v>
      </c>
      <c r="E6711" s="52" t="s">
        <v>25</v>
      </c>
      <c r="F6711" s="52" t="s">
        <v>26</v>
      </c>
      <c r="G6711" s="53"/>
    </row>
    <row r="6712">
      <c r="A6712" s="49">
        <v>44764.785507465276</v>
      </c>
      <c r="B6712" s="50">
        <v>44764.91048228</v>
      </c>
      <c r="C6712" s="51">
        <v>1.004</v>
      </c>
      <c r="D6712" s="51">
        <v>70.0</v>
      </c>
      <c r="E6712" s="52" t="s">
        <v>25</v>
      </c>
      <c r="F6712" s="52" t="s">
        <v>26</v>
      </c>
      <c r="G6712" s="53"/>
    </row>
    <row r="6713">
      <c r="A6713" s="49">
        <v>44764.79593059028</v>
      </c>
      <c r="B6713" s="50">
        <v>44764.9209039004</v>
      </c>
      <c r="C6713" s="51">
        <v>1.004</v>
      </c>
      <c r="D6713" s="51">
        <v>70.0</v>
      </c>
      <c r="E6713" s="52" t="s">
        <v>25</v>
      </c>
      <c r="F6713" s="52" t="s">
        <v>26</v>
      </c>
      <c r="G6713" s="53"/>
    </row>
    <row r="6714">
      <c r="A6714" s="49">
        <v>44764.80635966435</v>
      </c>
      <c r="B6714" s="50">
        <v>44764.9313350463</v>
      </c>
      <c r="C6714" s="51">
        <v>1.004</v>
      </c>
      <c r="D6714" s="51">
        <v>70.0</v>
      </c>
      <c r="E6714" s="52" t="s">
        <v>25</v>
      </c>
      <c r="F6714" s="52" t="s">
        <v>26</v>
      </c>
      <c r="G6714" s="53"/>
    </row>
    <row r="6715">
      <c r="A6715" s="49">
        <v>44764.816780312496</v>
      </c>
      <c r="B6715" s="50">
        <v>44764.9417569213</v>
      </c>
      <c r="C6715" s="51">
        <v>1.004</v>
      </c>
      <c r="D6715" s="51">
        <v>70.0</v>
      </c>
      <c r="E6715" s="52" t="s">
        <v>25</v>
      </c>
      <c r="F6715" s="52" t="s">
        <v>26</v>
      </c>
      <c r="G6715" s="53"/>
    </row>
    <row r="6716">
      <c r="A6716" s="49">
        <v>44764.82719646991</v>
      </c>
      <c r="B6716" s="50">
        <v>44764.9521792708</v>
      </c>
      <c r="C6716" s="51">
        <v>1.004</v>
      </c>
      <c r="D6716" s="51">
        <v>70.0</v>
      </c>
      <c r="E6716" s="52" t="s">
        <v>25</v>
      </c>
      <c r="F6716" s="52" t="s">
        <v>26</v>
      </c>
      <c r="G6716" s="53"/>
    </row>
    <row r="6717">
      <c r="A6717" s="49">
        <v>44764.83761695602</v>
      </c>
      <c r="B6717" s="50">
        <v>44764.9625996875</v>
      </c>
      <c r="C6717" s="51">
        <v>1.004</v>
      </c>
      <c r="D6717" s="51">
        <v>70.0</v>
      </c>
      <c r="E6717" s="52" t="s">
        <v>25</v>
      </c>
      <c r="F6717" s="52" t="s">
        <v>26</v>
      </c>
      <c r="G6717" s="53"/>
    </row>
    <row r="6718">
      <c r="A6718" s="49">
        <v>44764.84804920139</v>
      </c>
      <c r="B6718" s="50">
        <v>44764.9730219444</v>
      </c>
      <c r="C6718" s="51">
        <v>1.004</v>
      </c>
      <c r="D6718" s="51">
        <v>70.0</v>
      </c>
      <c r="E6718" s="52" t="s">
        <v>25</v>
      </c>
      <c r="F6718" s="52" t="s">
        <v>26</v>
      </c>
      <c r="G6718" s="53"/>
    </row>
    <row r="6719">
      <c r="A6719" s="49">
        <v>44764.85848471065</v>
      </c>
      <c r="B6719" s="50">
        <v>44764.9834553587</v>
      </c>
      <c r="C6719" s="51">
        <v>1.004</v>
      </c>
      <c r="D6719" s="51">
        <v>70.0</v>
      </c>
      <c r="E6719" s="52" t="s">
        <v>25</v>
      </c>
      <c r="F6719" s="52" t="s">
        <v>26</v>
      </c>
      <c r="G6719" s="53"/>
    </row>
    <row r="6720">
      <c r="A6720" s="49">
        <v>44764.86892288194</v>
      </c>
      <c r="B6720" s="50">
        <v>44764.9938996875</v>
      </c>
      <c r="C6720" s="51">
        <v>1.004</v>
      </c>
      <c r="D6720" s="51">
        <v>70.0</v>
      </c>
      <c r="E6720" s="52" t="s">
        <v>25</v>
      </c>
      <c r="F6720" s="52" t="s">
        <v>26</v>
      </c>
      <c r="G6720" s="53"/>
    </row>
    <row r="6721">
      <c r="A6721" s="49">
        <v>44764.87934130787</v>
      </c>
      <c r="B6721" s="50">
        <v>44765.0043217361</v>
      </c>
      <c r="C6721" s="51">
        <v>1.004</v>
      </c>
      <c r="D6721" s="51">
        <v>70.0</v>
      </c>
      <c r="E6721" s="52" t="s">
        <v>25</v>
      </c>
      <c r="F6721" s="52" t="s">
        <v>26</v>
      </c>
      <c r="G6721" s="53"/>
    </row>
    <row r="6722">
      <c r="A6722" s="49">
        <v>44764.88977342592</v>
      </c>
      <c r="B6722" s="50">
        <v>44765.0147442939</v>
      </c>
      <c r="C6722" s="51">
        <v>1.004</v>
      </c>
      <c r="D6722" s="51">
        <v>70.0</v>
      </c>
      <c r="E6722" s="52" t="s">
        <v>25</v>
      </c>
      <c r="F6722" s="52" t="s">
        <v>26</v>
      </c>
      <c r="G6722" s="53"/>
    </row>
    <row r="6723">
      <c r="A6723" s="49">
        <v>44764.90017877315</v>
      </c>
      <c r="B6723" s="50">
        <v>44765.025164375</v>
      </c>
      <c r="C6723" s="51">
        <v>1.004</v>
      </c>
      <c r="D6723" s="51">
        <v>70.0</v>
      </c>
      <c r="E6723" s="52" t="s">
        <v>25</v>
      </c>
      <c r="F6723" s="52" t="s">
        <v>26</v>
      </c>
      <c r="G6723" s="53"/>
    </row>
    <row r="6724">
      <c r="A6724" s="49">
        <v>44764.91061767361</v>
      </c>
      <c r="B6724" s="50">
        <v>44765.0355967592</v>
      </c>
      <c r="C6724" s="51">
        <v>1.004</v>
      </c>
      <c r="D6724" s="51">
        <v>70.0</v>
      </c>
      <c r="E6724" s="52" t="s">
        <v>25</v>
      </c>
      <c r="F6724" s="52" t="s">
        <v>26</v>
      </c>
      <c r="G6724" s="53"/>
    </row>
    <row r="6725">
      <c r="A6725" s="49">
        <v>44764.92104944444</v>
      </c>
      <c r="B6725" s="50">
        <v>44765.0460290162</v>
      </c>
      <c r="C6725" s="51">
        <v>1.004</v>
      </c>
      <c r="D6725" s="51">
        <v>70.0</v>
      </c>
      <c r="E6725" s="52" t="s">
        <v>25</v>
      </c>
      <c r="F6725" s="52" t="s">
        <v>26</v>
      </c>
      <c r="G6725" s="53"/>
    </row>
    <row r="6726">
      <c r="A6726" s="49">
        <v>44764.93147848379</v>
      </c>
      <c r="B6726" s="50">
        <v>44765.0564613078</v>
      </c>
      <c r="C6726" s="51">
        <v>1.004</v>
      </c>
      <c r="D6726" s="51">
        <v>70.0</v>
      </c>
      <c r="E6726" s="52" t="s">
        <v>25</v>
      </c>
      <c r="F6726" s="52" t="s">
        <v>26</v>
      </c>
      <c r="G6726" s="53"/>
    </row>
    <row r="6727">
      <c r="A6727" s="49">
        <v>44764.94191075231</v>
      </c>
      <c r="B6727" s="50">
        <v>44765.0668821527</v>
      </c>
      <c r="C6727" s="51">
        <v>1.004</v>
      </c>
      <c r="D6727" s="51">
        <v>70.0</v>
      </c>
      <c r="E6727" s="52" t="s">
        <v>25</v>
      </c>
      <c r="F6727" s="52" t="s">
        <v>26</v>
      </c>
      <c r="G6727" s="53"/>
    </row>
    <row r="6728">
      <c r="A6728" s="49">
        <v>44764.952327175924</v>
      </c>
      <c r="B6728" s="50">
        <v>44765.0773025115</v>
      </c>
      <c r="C6728" s="51">
        <v>1.004</v>
      </c>
      <c r="D6728" s="51">
        <v>70.0</v>
      </c>
      <c r="E6728" s="52" t="s">
        <v>25</v>
      </c>
      <c r="F6728" s="52" t="s">
        <v>26</v>
      </c>
      <c r="G6728" s="53"/>
    </row>
    <row r="6729">
      <c r="A6729" s="49">
        <v>44764.9627444213</v>
      </c>
      <c r="B6729" s="50">
        <v>44765.0877237384</v>
      </c>
      <c r="C6729" s="51">
        <v>1.004</v>
      </c>
      <c r="D6729" s="51">
        <v>70.0</v>
      </c>
      <c r="E6729" s="52" t="s">
        <v>25</v>
      </c>
      <c r="F6729" s="52" t="s">
        <v>26</v>
      </c>
      <c r="G6729" s="53"/>
    </row>
    <row r="6730">
      <c r="A6730" s="49">
        <v>44764.97317599537</v>
      </c>
      <c r="B6730" s="50">
        <v>44765.0981447453</v>
      </c>
      <c r="C6730" s="51">
        <v>1.004</v>
      </c>
      <c r="D6730" s="51">
        <v>70.0</v>
      </c>
      <c r="E6730" s="52" t="s">
        <v>25</v>
      </c>
      <c r="F6730" s="52" t="s">
        <v>26</v>
      </c>
      <c r="G6730" s="53"/>
    </row>
    <row r="6731">
      <c r="A6731" s="49">
        <v>44764.98358488426</v>
      </c>
      <c r="B6731" s="50">
        <v>44765.1085652662</v>
      </c>
      <c r="C6731" s="51">
        <v>1.004</v>
      </c>
      <c r="D6731" s="51">
        <v>70.0</v>
      </c>
      <c r="E6731" s="52" t="s">
        <v>25</v>
      </c>
      <c r="F6731" s="52" t="s">
        <v>26</v>
      </c>
      <c r="G6731" s="53"/>
    </row>
    <row r="6732">
      <c r="A6732" s="49">
        <v>44764.994007581015</v>
      </c>
      <c r="B6732" s="50">
        <v>44765.1189849421</v>
      </c>
      <c r="C6732" s="51">
        <v>1.004</v>
      </c>
      <c r="D6732" s="51">
        <v>70.0</v>
      </c>
      <c r="E6732" s="52" t="s">
        <v>25</v>
      </c>
      <c r="F6732" s="52" t="s">
        <v>26</v>
      </c>
      <c r="G6732" s="53"/>
    </row>
    <row r="6733">
      <c r="A6733" s="49">
        <v>44765.00443570602</v>
      </c>
      <c r="B6733" s="50">
        <v>44765.1294054861</v>
      </c>
      <c r="C6733" s="51">
        <v>1.004</v>
      </c>
      <c r="D6733" s="51">
        <v>70.0</v>
      </c>
      <c r="E6733" s="52" t="s">
        <v>25</v>
      </c>
      <c r="F6733" s="52" t="s">
        <v>26</v>
      </c>
      <c r="G6733" s="53"/>
    </row>
    <row r="6734">
      <c r="A6734" s="49">
        <v>44765.014853125</v>
      </c>
      <c r="B6734" s="50">
        <v>44765.1398270833</v>
      </c>
      <c r="C6734" s="51">
        <v>1.004</v>
      </c>
      <c r="D6734" s="51">
        <v>70.0</v>
      </c>
      <c r="E6734" s="52" t="s">
        <v>25</v>
      </c>
      <c r="F6734" s="52" t="s">
        <v>26</v>
      </c>
      <c r="G6734" s="53"/>
    </row>
    <row r="6735">
      <c r="A6735" s="49">
        <v>44765.02527586806</v>
      </c>
      <c r="B6735" s="50">
        <v>44765.1502498379</v>
      </c>
      <c r="C6735" s="51">
        <v>1.004</v>
      </c>
      <c r="D6735" s="51">
        <v>70.0</v>
      </c>
      <c r="E6735" s="52" t="s">
        <v>25</v>
      </c>
      <c r="F6735" s="52" t="s">
        <v>26</v>
      </c>
      <c r="G6735" s="53"/>
    </row>
    <row r="6736">
      <c r="A6736" s="49">
        <v>44765.035698402775</v>
      </c>
      <c r="B6736" s="50">
        <v>44765.1606721296</v>
      </c>
      <c r="C6736" s="51">
        <v>1.004</v>
      </c>
      <c r="D6736" s="51">
        <v>70.0</v>
      </c>
      <c r="E6736" s="52" t="s">
        <v>25</v>
      </c>
      <c r="F6736" s="52" t="s">
        <v>26</v>
      </c>
      <c r="G6736" s="53"/>
    </row>
    <row r="6737">
      <c r="A6737" s="49">
        <v>44765.04611858796</v>
      </c>
      <c r="B6737" s="50">
        <v>44765.1710926157</v>
      </c>
      <c r="C6737" s="51">
        <v>1.004</v>
      </c>
      <c r="D6737" s="51">
        <v>70.0</v>
      </c>
      <c r="E6737" s="52" t="s">
        <v>25</v>
      </c>
      <c r="F6737" s="52" t="s">
        <v>26</v>
      </c>
      <c r="G6737" s="53"/>
    </row>
    <row r="6738">
      <c r="A6738" s="49">
        <v>44765.0565525</v>
      </c>
      <c r="B6738" s="50">
        <v>44765.1815143981</v>
      </c>
      <c r="C6738" s="51">
        <v>1.004</v>
      </c>
      <c r="D6738" s="51">
        <v>70.0</v>
      </c>
      <c r="E6738" s="52" t="s">
        <v>25</v>
      </c>
      <c r="F6738" s="52" t="s">
        <v>26</v>
      </c>
      <c r="G6738" s="53"/>
    </row>
    <row r="6739">
      <c r="A6739" s="49">
        <v>44765.06696318287</v>
      </c>
      <c r="B6739" s="50">
        <v>44765.1919356597</v>
      </c>
      <c r="C6739" s="51">
        <v>1.004</v>
      </c>
      <c r="D6739" s="51">
        <v>70.0</v>
      </c>
      <c r="E6739" s="52" t="s">
        <v>25</v>
      </c>
      <c r="F6739" s="52" t="s">
        <v>26</v>
      </c>
      <c r="G6739" s="53"/>
    </row>
    <row r="6740">
      <c r="A6740" s="49">
        <v>44765.07739640046</v>
      </c>
      <c r="B6740" s="50">
        <v>44765.2023681365</v>
      </c>
      <c r="C6740" s="51">
        <v>1.004</v>
      </c>
      <c r="D6740" s="51">
        <v>70.0</v>
      </c>
      <c r="E6740" s="52" t="s">
        <v>25</v>
      </c>
      <c r="F6740" s="52" t="s">
        <v>26</v>
      </c>
      <c r="G6740" s="53"/>
    </row>
    <row r="6741">
      <c r="A6741" s="49">
        <v>44765.08781517361</v>
      </c>
      <c r="B6741" s="50">
        <v>44765.2127882986</v>
      </c>
      <c r="C6741" s="51">
        <v>1.004</v>
      </c>
      <c r="D6741" s="51">
        <v>70.0</v>
      </c>
      <c r="E6741" s="52" t="s">
        <v>25</v>
      </c>
      <c r="F6741" s="52" t="s">
        <v>26</v>
      </c>
      <c r="G6741" s="53"/>
    </row>
    <row r="6742">
      <c r="A6742" s="49">
        <v>44765.09824877315</v>
      </c>
      <c r="B6742" s="50">
        <v>44765.2232203472</v>
      </c>
      <c r="C6742" s="51">
        <v>1.004</v>
      </c>
      <c r="D6742" s="51">
        <v>70.0</v>
      </c>
      <c r="E6742" s="52" t="s">
        <v>25</v>
      </c>
      <c r="F6742" s="52" t="s">
        <v>26</v>
      </c>
      <c r="G6742" s="53"/>
    </row>
    <row r="6743">
      <c r="A6743" s="49">
        <v>44765.10866734954</v>
      </c>
      <c r="B6743" s="50">
        <v>44765.2336419328</v>
      </c>
      <c r="C6743" s="51">
        <v>1.004</v>
      </c>
      <c r="D6743" s="51">
        <v>70.0</v>
      </c>
      <c r="E6743" s="52" t="s">
        <v>25</v>
      </c>
      <c r="F6743" s="52" t="s">
        <v>26</v>
      </c>
      <c r="G6743" s="53"/>
    </row>
    <row r="6744">
      <c r="A6744" s="49">
        <v>44765.11908633102</v>
      </c>
      <c r="B6744" s="50">
        <v>44765.244063125</v>
      </c>
      <c r="C6744" s="51">
        <v>1.004</v>
      </c>
      <c r="D6744" s="51">
        <v>70.0</v>
      </c>
      <c r="E6744" s="52" t="s">
        <v>25</v>
      </c>
      <c r="F6744" s="52" t="s">
        <v>26</v>
      </c>
      <c r="G6744" s="53"/>
    </row>
    <row r="6745">
      <c r="A6745" s="49">
        <v>44765.12951888889</v>
      </c>
      <c r="B6745" s="50">
        <v>44765.2544954976</v>
      </c>
      <c r="C6745" s="51">
        <v>1.004</v>
      </c>
      <c r="D6745" s="51">
        <v>70.0</v>
      </c>
      <c r="E6745" s="52" t="s">
        <v>25</v>
      </c>
      <c r="F6745" s="52" t="s">
        <v>26</v>
      </c>
      <c r="G6745" s="53"/>
    </row>
    <row r="6746">
      <c r="A6746" s="49">
        <v>44765.13995215278</v>
      </c>
      <c r="B6746" s="50">
        <v>44765.2649167824</v>
      </c>
      <c r="C6746" s="51">
        <v>1.004</v>
      </c>
      <c r="D6746" s="51">
        <v>70.0</v>
      </c>
      <c r="E6746" s="52" t="s">
        <v>25</v>
      </c>
      <c r="F6746" s="52" t="s">
        <v>26</v>
      </c>
      <c r="G6746" s="53"/>
    </row>
    <row r="6747">
      <c r="A6747" s="49">
        <v>44765.150374502315</v>
      </c>
      <c r="B6747" s="50">
        <v>44765.2753492361</v>
      </c>
      <c r="C6747" s="51">
        <v>1.004</v>
      </c>
      <c r="D6747" s="51">
        <v>70.0</v>
      </c>
      <c r="E6747" s="52" t="s">
        <v>25</v>
      </c>
      <c r="F6747" s="52" t="s">
        <v>26</v>
      </c>
      <c r="G6747" s="53"/>
    </row>
    <row r="6748">
      <c r="A6748" s="49">
        <v>44765.16079663194</v>
      </c>
      <c r="B6748" s="50">
        <v>44765.2857705208</v>
      </c>
      <c r="C6748" s="51">
        <v>1.004</v>
      </c>
      <c r="D6748" s="51">
        <v>70.0</v>
      </c>
      <c r="E6748" s="52" t="s">
        <v>25</v>
      </c>
      <c r="F6748" s="52" t="s">
        <v>26</v>
      </c>
      <c r="G6748" s="53"/>
    </row>
    <row r="6749">
      <c r="A6749" s="49">
        <v>44765.17121409722</v>
      </c>
      <c r="B6749" s="50">
        <v>44765.296191875</v>
      </c>
      <c r="C6749" s="51">
        <v>1.004</v>
      </c>
      <c r="D6749" s="51">
        <v>70.0</v>
      </c>
      <c r="E6749" s="52" t="s">
        <v>25</v>
      </c>
      <c r="F6749" s="52" t="s">
        <v>26</v>
      </c>
      <c r="G6749" s="53"/>
    </row>
    <row r="6750">
      <c r="A6750" s="49">
        <v>44765.18163533565</v>
      </c>
      <c r="B6750" s="50">
        <v>44765.3066118518</v>
      </c>
      <c r="C6750" s="51">
        <v>1.004</v>
      </c>
      <c r="D6750" s="51">
        <v>70.0</v>
      </c>
      <c r="E6750" s="52" t="s">
        <v>25</v>
      </c>
      <c r="F6750" s="52" t="s">
        <v>26</v>
      </c>
      <c r="G6750" s="53"/>
    </row>
    <row r="6751">
      <c r="A6751" s="49">
        <v>44765.19204982639</v>
      </c>
      <c r="B6751" s="50">
        <v>44765.3170339583</v>
      </c>
      <c r="C6751" s="51">
        <v>1.004</v>
      </c>
      <c r="D6751" s="51">
        <v>70.0</v>
      </c>
      <c r="E6751" s="52" t="s">
        <v>25</v>
      </c>
      <c r="F6751" s="52" t="s">
        <v>26</v>
      </c>
      <c r="G6751" s="53"/>
    </row>
    <row r="6752">
      <c r="A6752" s="49">
        <v>44765.20247283565</v>
      </c>
      <c r="B6752" s="50">
        <v>44765.3274540162</v>
      </c>
      <c r="C6752" s="51">
        <v>1.004</v>
      </c>
      <c r="D6752" s="51">
        <v>70.0</v>
      </c>
      <c r="E6752" s="52" t="s">
        <v>25</v>
      </c>
      <c r="F6752" s="52" t="s">
        <v>26</v>
      </c>
      <c r="G6752" s="53"/>
    </row>
    <row r="6753">
      <c r="A6753" s="49">
        <v>44765.21289552083</v>
      </c>
      <c r="B6753" s="50">
        <v>44765.3378752083</v>
      </c>
      <c r="C6753" s="51">
        <v>1.004</v>
      </c>
      <c r="D6753" s="51">
        <v>70.0</v>
      </c>
      <c r="E6753" s="52" t="s">
        <v>25</v>
      </c>
      <c r="F6753" s="52" t="s">
        <v>26</v>
      </c>
      <c r="G6753" s="53"/>
    </row>
    <row r="6754">
      <c r="A6754" s="49">
        <v>44765.223320115736</v>
      </c>
      <c r="B6754" s="50">
        <v>44765.3482937037</v>
      </c>
      <c r="C6754" s="51">
        <v>1.004</v>
      </c>
      <c r="D6754" s="51">
        <v>70.0</v>
      </c>
      <c r="E6754" s="52" t="s">
        <v>25</v>
      </c>
      <c r="F6754" s="52" t="s">
        <v>26</v>
      </c>
      <c r="G6754" s="53"/>
    </row>
    <row r="6755">
      <c r="A6755" s="49">
        <v>44765.23374239584</v>
      </c>
      <c r="B6755" s="50">
        <v>44765.3587143402</v>
      </c>
      <c r="C6755" s="51">
        <v>1.004</v>
      </c>
      <c r="D6755" s="51">
        <v>70.0</v>
      </c>
      <c r="E6755" s="52" t="s">
        <v>25</v>
      </c>
      <c r="F6755" s="52" t="s">
        <v>26</v>
      </c>
      <c r="G6755" s="53"/>
    </row>
    <row r="6756">
      <c r="A6756" s="49">
        <v>44765.24416209491</v>
      </c>
      <c r="B6756" s="50">
        <v>44765.3691354745</v>
      </c>
      <c r="C6756" s="51">
        <v>1.004</v>
      </c>
      <c r="D6756" s="51">
        <v>70.0</v>
      </c>
      <c r="E6756" s="52" t="s">
        <v>25</v>
      </c>
      <c r="F6756" s="52" t="s">
        <v>26</v>
      </c>
      <c r="G6756" s="53"/>
    </row>
    <row r="6757">
      <c r="A6757" s="49">
        <v>44765.254582939815</v>
      </c>
      <c r="B6757" s="50">
        <v>44765.379555706</v>
      </c>
      <c r="C6757" s="51">
        <v>1.004</v>
      </c>
      <c r="D6757" s="51">
        <v>70.0</v>
      </c>
      <c r="E6757" s="52" t="s">
        <v>25</v>
      </c>
      <c r="F6757" s="52" t="s">
        <v>26</v>
      </c>
      <c r="G6757" s="53"/>
    </row>
    <row r="6758">
      <c r="A6758" s="49">
        <v>44765.265003692126</v>
      </c>
      <c r="B6758" s="50">
        <v>44765.3899767708</v>
      </c>
      <c r="C6758" s="51">
        <v>1.004</v>
      </c>
      <c r="D6758" s="51">
        <v>70.0</v>
      </c>
      <c r="E6758" s="52" t="s">
        <v>25</v>
      </c>
      <c r="F6758" s="52" t="s">
        <v>26</v>
      </c>
      <c r="G6758" s="53"/>
    </row>
    <row r="6759">
      <c r="A6759" s="49">
        <v>44765.275422453706</v>
      </c>
      <c r="B6759" s="50">
        <v>44765.4003965162</v>
      </c>
      <c r="C6759" s="51">
        <v>1.003</v>
      </c>
      <c r="D6759" s="51">
        <v>70.0</v>
      </c>
      <c r="E6759" s="52" t="s">
        <v>25</v>
      </c>
      <c r="F6759" s="52" t="s">
        <v>26</v>
      </c>
      <c r="G6759" s="53"/>
    </row>
    <row r="6760">
      <c r="A6760" s="49">
        <v>44765.28583670139</v>
      </c>
      <c r="B6760" s="50">
        <v>44765.4108177314</v>
      </c>
      <c r="C6760" s="51">
        <v>1.004</v>
      </c>
      <c r="D6760" s="51">
        <v>69.0</v>
      </c>
      <c r="E6760" s="52" t="s">
        <v>25</v>
      </c>
      <c r="F6760" s="52" t="s">
        <v>26</v>
      </c>
      <c r="G6760" s="53"/>
    </row>
    <row r="6761">
      <c r="A6761" s="49">
        <v>44765.29625951389</v>
      </c>
      <c r="B6761" s="50">
        <v>44765.4212363773</v>
      </c>
      <c r="C6761" s="51">
        <v>1.004</v>
      </c>
      <c r="D6761" s="51">
        <v>69.0</v>
      </c>
      <c r="E6761" s="52" t="s">
        <v>25</v>
      </c>
      <c r="F6761" s="52" t="s">
        <v>26</v>
      </c>
      <c r="G6761" s="53"/>
    </row>
    <row r="6762">
      <c r="A6762" s="49">
        <v>44765.306675196756</v>
      </c>
      <c r="B6762" s="50">
        <v>44765.4316580324</v>
      </c>
      <c r="C6762" s="51">
        <v>1.004</v>
      </c>
      <c r="D6762" s="51">
        <v>68.0</v>
      </c>
      <c r="E6762" s="52" t="s">
        <v>25</v>
      </c>
      <c r="F6762" s="52" t="s">
        <v>26</v>
      </c>
      <c r="G6762" s="53"/>
    </row>
    <row r="6763">
      <c r="A6763" s="49">
        <v>44765.3171063426</v>
      </c>
      <c r="B6763" s="50">
        <v>44765.4420797569</v>
      </c>
      <c r="C6763" s="51">
        <v>1.004</v>
      </c>
      <c r="D6763" s="51">
        <v>67.0</v>
      </c>
      <c r="E6763" s="52" t="s">
        <v>25</v>
      </c>
      <c r="F6763" s="52" t="s">
        <v>26</v>
      </c>
      <c r="G6763" s="53"/>
    </row>
    <row r="6764">
      <c r="A6764" s="49">
        <v>44765.327568865745</v>
      </c>
      <c r="B6764" s="50">
        <v>44765.4525371412</v>
      </c>
      <c r="C6764" s="51">
        <v>1.004</v>
      </c>
      <c r="D6764" s="51">
        <v>67.0</v>
      </c>
      <c r="E6764" s="52" t="s">
        <v>25</v>
      </c>
      <c r="F6764" s="52" t="s">
        <v>26</v>
      </c>
      <c r="G6764" s="53"/>
    </row>
    <row r="6765">
      <c r="A6765" s="49">
        <v>44765.337985949074</v>
      </c>
      <c r="B6765" s="50">
        <v>44765.4629574305</v>
      </c>
      <c r="C6765" s="51">
        <v>1.004</v>
      </c>
      <c r="D6765" s="51">
        <v>66.0</v>
      </c>
      <c r="E6765" s="52" t="s">
        <v>25</v>
      </c>
      <c r="F6765" s="52" t="s">
        <v>26</v>
      </c>
      <c r="G6765" s="53"/>
    </row>
    <row r="6766">
      <c r="A6766" s="49">
        <v>44765.34840475694</v>
      </c>
      <c r="B6766" s="50">
        <v>44765.4733776851</v>
      </c>
      <c r="C6766" s="51">
        <v>1.004</v>
      </c>
      <c r="D6766" s="51">
        <v>66.0</v>
      </c>
      <c r="E6766" s="52" t="s">
        <v>25</v>
      </c>
      <c r="F6766" s="52" t="s">
        <v>26</v>
      </c>
      <c r="G6766" s="53"/>
    </row>
    <row r="6767">
      <c r="A6767" s="49">
        <v>44765.35882435185</v>
      </c>
      <c r="B6767" s="50">
        <v>44765.4837980555</v>
      </c>
      <c r="C6767" s="51">
        <v>1.004</v>
      </c>
      <c r="D6767" s="51">
        <v>66.0</v>
      </c>
      <c r="E6767" s="52" t="s">
        <v>25</v>
      </c>
      <c r="F6767" s="52" t="s">
        <v>26</v>
      </c>
      <c r="G6767" s="53"/>
    </row>
    <row r="6768">
      <c r="A6768" s="49">
        <v>44765.36924944444</v>
      </c>
      <c r="B6768" s="50">
        <v>44765.4942187962</v>
      </c>
      <c r="C6768" s="51">
        <v>1.004</v>
      </c>
      <c r="D6768" s="51">
        <v>66.0</v>
      </c>
      <c r="E6768" s="52" t="s">
        <v>25</v>
      </c>
      <c r="F6768" s="52" t="s">
        <v>26</v>
      </c>
      <c r="G6768" s="53"/>
    </row>
    <row r="6769">
      <c r="A6769" s="49">
        <v>44765.379667280096</v>
      </c>
      <c r="B6769" s="50">
        <v>44765.5046404629</v>
      </c>
      <c r="C6769" s="51">
        <v>1.004</v>
      </c>
      <c r="D6769" s="51">
        <v>66.0</v>
      </c>
      <c r="E6769" s="52" t="s">
        <v>25</v>
      </c>
      <c r="F6769" s="52" t="s">
        <v>26</v>
      </c>
      <c r="G6769" s="53"/>
    </row>
    <row r="6770">
      <c r="A6770" s="49">
        <v>44765.39008582176</v>
      </c>
      <c r="B6770" s="50">
        <v>44765.5150610532</v>
      </c>
      <c r="C6770" s="51">
        <v>1.004</v>
      </c>
      <c r="D6770" s="51">
        <v>66.0</v>
      </c>
      <c r="E6770" s="52" t="s">
        <v>25</v>
      </c>
      <c r="F6770" s="52" t="s">
        <v>26</v>
      </c>
      <c r="G6770" s="53"/>
    </row>
    <row r="6771">
      <c r="A6771" s="49">
        <v>44765.40051317129</v>
      </c>
      <c r="B6771" s="50">
        <v>44765.52549375</v>
      </c>
      <c r="C6771" s="51">
        <v>1.004</v>
      </c>
      <c r="D6771" s="51">
        <v>66.0</v>
      </c>
      <c r="E6771" s="52" t="s">
        <v>25</v>
      </c>
      <c r="F6771" s="52" t="s">
        <v>26</v>
      </c>
      <c r="G6771" s="53"/>
    </row>
    <row r="6772">
      <c r="A6772" s="49">
        <v>44765.410944560186</v>
      </c>
      <c r="B6772" s="50">
        <v>44765.5359166203</v>
      </c>
      <c r="C6772" s="51">
        <v>1.004</v>
      </c>
      <c r="D6772" s="51">
        <v>66.0</v>
      </c>
      <c r="E6772" s="52" t="s">
        <v>25</v>
      </c>
      <c r="F6772" s="52" t="s">
        <v>26</v>
      </c>
      <c r="G6772" s="53"/>
    </row>
    <row r="6773">
      <c r="A6773" s="49">
        <v>44765.421361562505</v>
      </c>
      <c r="B6773" s="50">
        <v>44765.5463371412</v>
      </c>
      <c r="C6773" s="51">
        <v>1.004</v>
      </c>
      <c r="D6773" s="51">
        <v>66.0</v>
      </c>
      <c r="E6773" s="52" t="s">
        <v>25</v>
      </c>
      <c r="F6773" s="52" t="s">
        <v>26</v>
      </c>
      <c r="G6773" s="53"/>
    </row>
    <row r="6774">
      <c r="A6774" s="49">
        <v>44765.431779085644</v>
      </c>
      <c r="B6774" s="50">
        <v>44765.5567580324</v>
      </c>
      <c r="C6774" s="51">
        <v>1.004</v>
      </c>
      <c r="D6774" s="51">
        <v>66.0</v>
      </c>
      <c r="E6774" s="52" t="s">
        <v>25</v>
      </c>
      <c r="F6774" s="52" t="s">
        <v>26</v>
      </c>
      <c r="G6774" s="53"/>
    </row>
    <row r="6775">
      <c r="A6775" s="49">
        <v>44765.44219877315</v>
      </c>
      <c r="B6775" s="50">
        <v>44765.5671777314</v>
      </c>
      <c r="C6775" s="51">
        <v>1.004</v>
      </c>
      <c r="D6775" s="51">
        <v>66.0</v>
      </c>
      <c r="E6775" s="52" t="s">
        <v>25</v>
      </c>
      <c r="F6775" s="52" t="s">
        <v>26</v>
      </c>
      <c r="G6775" s="53"/>
    </row>
    <row r="6776">
      <c r="A6776" s="49">
        <v>44765.45262114583</v>
      </c>
      <c r="B6776" s="50">
        <v>44765.5775994097</v>
      </c>
      <c r="C6776" s="51">
        <v>1.004</v>
      </c>
      <c r="D6776" s="51">
        <v>66.0</v>
      </c>
      <c r="E6776" s="52" t="s">
        <v>25</v>
      </c>
      <c r="F6776" s="52" t="s">
        <v>26</v>
      </c>
      <c r="G6776" s="53"/>
    </row>
    <row r="6777">
      <c r="A6777" s="49">
        <v>44765.46304362269</v>
      </c>
      <c r="B6777" s="50">
        <v>44765.5880194097</v>
      </c>
      <c r="C6777" s="51">
        <v>1.004</v>
      </c>
      <c r="D6777" s="51">
        <v>66.0</v>
      </c>
      <c r="E6777" s="52" t="s">
        <v>25</v>
      </c>
      <c r="F6777" s="52" t="s">
        <v>26</v>
      </c>
      <c r="G6777" s="53"/>
    </row>
    <row r="6778">
      <c r="A6778" s="49">
        <v>44765.47346541667</v>
      </c>
      <c r="B6778" s="50">
        <v>44765.5984395601</v>
      </c>
      <c r="C6778" s="51">
        <v>1.004</v>
      </c>
      <c r="D6778" s="51">
        <v>66.0</v>
      </c>
      <c r="E6778" s="52" t="s">
        <v>25</v>
      </c>
      <c r="F6778" s="52" t="s">
        <v>26</v>
      </c>
      <c r="G6778" s="53"/>
    </row>
    <row r="6779">
      <c r="A6779" s="49">
        <v>44765.48388251157</v>
      </c>
      <c r="B6779" s="50">
        <v>44765.6088615625</v>
      </c>
      <c r="C6779" s="51">
        <v>1.004</v>
      </c>
      <c r="D6779" s="51">
        <v>66.0</v>
      </c>
      <c r="E6779" s="52" t="s">
        <v>25</v>
      </c>
      <c r="F6779" s="52" t="s">
        <v>26</v>
      </c>
      <c r="G6779" s="53"/>
    </row>
    <row r="6780">
      <c r="A6780" s="49">
        <v>44765.494309375004</v>
      </c>
      <c r="B6780" s="50">
        <v>44765.6192827662</v>
      </c>
      <c r="C6780" s="51">
        <v>1.004</v>
      </c>
      <c r="D6780" s="51">
        <v>66.0</v>
      </c>
      <c r="E6780" s="52" t="s">
        <v>25</v>
      </c>
      <c r="F6780" s="52" t="s">
        <v>26</v>
      </c>
      <c r="G6780" s="53"/>
    </row>
    <row r="6781">
      <c r="A6781" s="49">
        <v>44765.5047290625</v>
      </c>
      <c r="B6781" s="50">
        <v>44765.6297042245</v>
      </c>
      <c r="C6781" s="51">
        <v>1.004</v>
      </c>
      <c r="D6781" s="51">
        <v>66.0</v>
      </c>
      <c r="E6781" s="52" t="s">
        <v>25</v>
      </c>
      <c r="F6781" s="52" t="s">
        <v>26</v>
      </c>
      <c r="G6781" s="53"/>
    </row>
    <row r="6782">
      <c r="A6782" s="49">
        <v>44765.51514866899</v>
      </c>
      <c r="B6782" s="50">
        <v>44765.6401260995</v>
      </c>
      <c r="C6782" s="51">
        <v>1.004</v>
      </c>
      <c r="D6782" s="51">
        <v>66.0</v>
      </c>
      <c r="E6782" s="52" t="s">
        <v>25</v>
      </c>
      <c r="F6782" s="52" t="s">
        <v>26</v>
      </c>
      <c r="G6782" s="53"/>
    </row>
    <row r="6783">
      <c r="A6783" s="49">
        <v>44765.52557486111</v>
      </c>
      <c r="B6783" s="50">
        <v>44765.65054853</v>
      </c>
      <c r="C6783" s="51">
        <v>1.004</v>
      </c>
      <c r="D6783" s="51">
        <v>66.0</v>
      </c>
      <c r="E6783" s="52" t="s">
        <v>25</v>
      </c>
      <c r="F6783" s="52" t="s">
        <v>26</v>
      </c>
      <c r="G6783" s="53"/>
    </row>
    <row r="6784">
      <c r="A6784" s="49">
        <v>44765.53600328704</v>
      </c>
      <c r="B6784" s="50">
        <v>44765.6609802662</v>
      </c>
      <c r="C6784" s="51">
        <v>1.004</v>
      </c>
      <c r="D6784" s="51">
        <v>66.0</v>
      </c>
      <c r="E6784" s="52" t="s">
        <v>25</v>
      </c>
      <c r="F6784" s="52" t="s">
        <v>26</v>
      </c>
      <c r="G6784" s="53"/>
    </row>
    <row r="6785">
      <c r="A6785" s="49">
        <v>44765.546433449075</v>
      </c>
      <c r="B6785" s="50">
        <v>44765.6714137384</v>
      </c>
      <c r="C6785" s="51">
        <v>1.004</v>
      </c>
      <c r="D6785" s="51">
        <v>66.0</v>
      </c>
      <c r="E6785" s="52" t="s">
        <v>25</v>
      </c>
      <c r="F6785" s="52" t="s">
        <v>26</v>
      </c>
      <c r="G6785" s="53"/>
    </row>
    <row r="6786">
      <c r="A6786" s="49">
        <v>44765.55686075232</v>
      </c>
      <c r="B6786" s="50">
        <v>44765.6818349074</v>
      </c>
      <c r="C6786" s="51">
        <v>1.004</v>
      </c>
      <c r="D6786" s="51">
        <v>66.0</v>
      </c>
      <c r="E6786" s="52" t="s">
        <v>25</v>
      </c>
      <c r="F6786" s="52" t="s">
        <v>26</v>
      </c>
      <c r="G6786" s="53"/>
    </row>
    <row r="6787">
      <c r="A6787" s="49">
        <v>44765.56728310185</v>
      </c>
      <c r="B6787" s="50">
        <v>44765.6922557754</v>
      </c>
      <c r="C6787" s="51">
        <v>1.004</v>
      </c>
      <c r="D6787" s="51">
        <v>66.0</v>
      </c>
      <c r="E6787" s="52" t="s">
        <v>25</v>
      </c>
      <c r="F6787" s="52" t="s">
        <v>26</v>
      </c>
      <c r="G6787" s="53"/>
    </row>
    <row r="6788">
      <c r="A6788" s="49">
        <v>44765.57770480324</v>
      </c>
      <c r="B6788" s="50">
        <v>44765.7026768171</v>
      </c>
      <c r="C6788" s="51">
        <v>1.004</v>
      </c>
      <c r="D6788" s="51">
        <v>66.0</v>
      </c>
      <c r="E6788" s="52" t="s">
        <v>25</v>
      </c>
      <c r="F6788" s="52" t="s">
        <v>26</v>
      </c>
      <c r="G6788" s="53"/>
    </row>
    <row r="6789">
      <c r="A6789" s="49">
        <v>44765.58812550926</v>
      </c>
      <c r="B6789" s="50">
        <v>44765.7130978356</v>
      </c>
      <c r="C6789" s="51">
        <v>1.004</v>
      </c>
      <c r="D6789" s="51">
        <v>66.0</v>
      </c>
      <c r="E6789" s="52" t="s">
        <v>25</v>
      </c>
      <c r="F6789" s="52" t="s">
        <v>26</v>
      </c>
      <c r="G6789" s="53"/>
    </row>
    <row r="6790">
      <c r="A6790" s="49">
        <v>44765.598543125</v>
      </c>
      <c r="B6790" s="50">
        <v>44765.7235182754</v>
      </c>
      <c r="C6790" s="51">
        <v>1.004</v>
      </c>
      <c r="D6790" s="51">
        <v>66.0</v>
      </c>
      <c r="E6790" s="52" t="s">
        <v>25</v>
      </c>
      <c r="F6790" s="52" t="s">
        <v>26</v>
      </c>
      <c r="G6790" s="53"/>
    </row>
    <row r="6791">
      <c r="A6791" s="49">
        <v>44765.60896</v>
      </c>
      <c r="B6791" s="50">
        <v>44765.7339397106</v>
      </c>
      <c r="C6791" s="51">
        <v>1.004</v>
      </c>
      <c r="D6791" s="51">
        <v>66.0</v>
      </c>
      <c r="E6791" s="52" t="s">
        <v>25</v>
      </c>
      <c r="F6791" s="52" t="s">
        <v>26</v>
      </c>
      <c r="G6791" s="53"/>
    </row>
    <row r="6792">
      <c r="A6792" s="49">
        <v>44765.61937623842</v>
      </c>
      <c r="B6792" s="50">
        <v>44765.7443608333</v>
      </c>
      <c r="C6792" s="51">
        <v>1.004</v>
      </c>
      <c r="D6792" s="51">
        <v>66.0</v>
      </c>
      <c r="E6792" s="52" t="s">
        <v>25</v>
      </c>
      <c r="F6792" s="52" t="s">
        <v>26</v>
      </c>
      <c r="G6792" s="53"/>
    </row>
    <row r="6793">
      <c r="A6793" s="49">
        <v>44765.62979841435</v>
      </c>
      <c r="B6793" s="50">
        <v>44765.7547825694</v>
      </c>
      <c r="C6793" s="51">
        <v>1.004</v>
      </c>
      <c r="D6793" s="51">
        <v>66.0</v>
      </c>
      <c r="E6793" s="52" t="s">
        <v>25</v>
      </c>
      <c r="F6793" s="52" t="s">
        <v>26</v>
      </c>
      <c r="G6793" s="53"/>
    </row>
    <row r="6794">
      <c r="A6794" s="49">
        <v>44765.64022883102</v>
      </c>
      <c r="B6794" s="50">
        <v>44765.7652020254</v>
      </c>
      <c r="C6794" s="51">
        <v>1.004</v>
      </c>
      <c r="D6794" s="51">
        <v>66.0</v>
      </c>
      <c r="E6794" s="52" t="s">
        <v>25</v>
      </c>
      <c r="F6794" s="52" t="s">
        <v>26</v>
      </c>
      <c r="G6794" s="53"/>
    </row>
    <row r="6795">
      <c r="A6795" s="49">
        <v>44765.65065513889</v>
      </c>
      <c r="B6795" s="50">
        <v>44765.7756334722</v>
      </c>
      <c r="C6795" s="51">
        <v>1.004</v>
      </c>
      <c r="D6795" s="51">
        <v>66.0</v>
      </c>
      <c r="E6795" s="52" t="s">
        <v>25</v>
      </c>
      <c r="F6795" s="52" t="s">
        <v>26</v>
      </c>
      <c r="G6795" s="53"/>
    </row>
    <row r="6796">
      <c r="A6796" s="49">
        <v>44765.661082673614</v>
      </c>
      <c r="B6796" s="50">
        <v>44765.7860553472</v>
      </c>
      <c r="C6796" s="51">
        <v>1.004</v>
      </c>
      <c r="D6796" s="51">
        <v>66.0</v>
      </c>
      <c r="E6796" s="52" t="s">
        <v>25</v>
      </c>
      <c r="F6796" s="52" t="s">
        <v>26</v>
      </c>
      <c r="G6796" s="53"/>
    </row>
    <row r="6797">
      <c r="A6797" s="49">
        <v>44765.671504872684</v>
      </c>
      <c r="B6797" s="50">
        <v>44765.7964768171</v>
      </c>
      <c r="C6797" s="51">
        <v>1.004</v>
      </c>
      <c r="D6797" s="51">
        <v>66.0</v>
      </c>
      <c r="E6797" s="52" t="s">
        <v>25</v>
      </c>
      <c r="F6797" s="52" t="s">
        <v>26</v>
      </c>
      <c r="G6797" s="53"/>
    </row>
    <row r="6798">
      <c r="A6798" s="49">
        <v>44765.6819141088</v>
      </c>
      <c r="B6798" s="50">
        <v>44765.8068983564</v>
      </c>
      <c r="C6798" s="51">
        <v>1.004</v>
      </c>
      <c r="D6798" s="51">
        <v>66.0</v>
      </c>
      <c r="E6798" s="52" t="s">
        <v>25</v>
      </c>
      <c r="F6798" s="52" t="s">
        <v>26</v>
      </c>
      <c r="G6798" s="53"/>
    </row>
    <row r="6799">
      <c r="A6799" s="49">
        <v>44765.69234866898</v>
      </c>
      <c r="B6799" s="50">
        <v>44765.8173187152</v>
      </c>
      <c r="C6799" s="51">
        <v>1.004</v>
      </c>
      <c r="D6799" s="51">
        <v>66.0</v>
      </c>
      <c r="E6799" s="52" t="s">
        <v>25</v>
      </c>
      <c r="F6799" s="52" t="s">
        <v>26</v>
      </c>
      <c r="G6799" s="53"/>
    </row>
    <row r="6800">
      <c r="A6800" s="49">
        <v>44765.702755729166</v>
      </c>
      <c r="B6800" s="50">
        <v>44765.8277369676</v>
      </c>
      <c r="C6800" s="51">
        <v>1.004</v>
      </c>
      <c r="D6800" s="51">
        <v>66.0</v>
      </c>
      <c r="E6800" s="52" t="s">
        <v>25</v>
      </c>
      <c r="F6800" s="52" t="s">
        <v>26</v>
      </c>
      <c r="G6800" s="53"/>
    </row>
    <row r="6801">
      <c r="A6801" s="49">
        <v>44765.71318037037</v>
      </c>
      <c r="B6801" s="50">
        <v>44765.838157743</v>
      </c>
      <c r="C6801" s="51">
        <v>1.004</v>
      </c>
      <c r="D6801" s="51">
        <v>66.0</v>
      </c>
      <c r="E6801" s="52" t="s">
        <v>25</v>
      </c>
      <c r="F6801" s="52" t="s">
        <v>26</v>
      </c>
      <c r="G6801" s="53"/>
    </row>
    <row r="6802">
      <c r="A6802" s="49">
        <v>44765.72362107639</v>
      </c>
      <c r="B6802" s="50">
        <v>44765.8485901851</v>
      </c>
      <c r="C6802" s="51">
        <v>1.004</v>
      </c>
      <c r="D6802" s="51">
        <v>66.0</v>
      </c>
      <c r="E6802" s="52" t="s">
        <v>25</v>
      </c>
      <c r="F6802" s="52" t="s">
        <v>26</v>
      </c>
      <c r="G6802" s="53"/>
    </row>
    <row r="6803">
      <c r="A6803" s="49">
        <v>44765.734048796294</v>
      </c>
      <c r="B6803" s="50">
        <v>44765.8590241088</v>
      </c>
      <c r="C6803" s="51">
        <v>1.004</v>
      </c>
      <c r="D6803" s="51">
        <v>66.0</v>
      </c>
      <c r="E6803" s="52" t="s">
        <v>25</v>
      </c>
      <c r="F6803" s="52" t="s">
        <v>26</v>
      </c>
      <c r="G6803" s="53"/>
    </row>
    <row r="6804">
      <c r="A6804" s="49">
        <v>44765.74448310185</v>
      </c>
      <c r="B6804" s="50">
        <v>44765.8694575578</v>
      </c>
      <c r="C6804" s="51">
        <v>1.004</v>
      </c>
      <c r="D6804" s="51">
        <v>66.0</v>
      </c>
      <c r="E6804" s="52" t="s">
        <v>25</v>
      </c>
      <c r="F6804" s="52" t="s">
        <v>26</v>
      </c>
      <c r="G6804" s="53"/>
    </row>
    <row r="6805">
      <c r="A6805" s="49">
        <v>44765.754897453706</v>
      </c>
      <c r="B6805" s="50">
        <v>44765.8798797106</v>
      </c>
      <c r="C6805" s="51">
        <v>1.004</v>
      </c>
      <c r="D6805" s="51">
        <v>66.0</v>
      </c>
      <c r="E6805" s="52" t="s">
        <v>25</v>
      </c>
      <c r="F6805" s="52" t="s">
        <v>26</v>
      </c>
      <c r="G6805" s="53"/>
    </row>
    <row r="6806">
      <c r="A6806" s="49">
        <v>44765.76532077546</v>
      </c>
      <c r="B6806" s="50">
        <v>44765.8902997685</v>
      </c>
      <c r="C6806" s="51">
        <v>1.004</v>
      </c>
      <c r="D6806" s="51">
        <v>66.0</v>
      </c>
      <c r="E6806" s="52" t="s">
        <v>25</v>
      </c>
      <c r="F6806" s="52" t="s">
        <v>26</v>
      </c>
      <c r="G6806" s="53"/>
    </row>
    <row r="6807">
      <c r="A6807" s="49">
        <v>44765.77575722222</v>
      </c>
      <c r="B6807" s="50">
        <v>44765.9007322569</v>
      </c>
      <c r="C6807" s="51">
        <v>1.004</v>
      </c>
      <c r="D6807" s="51">
        <v>66.0</v>
      </c>
      <c r="E6807" s="52" t="s">
        <v>25</v>
      </c>
      <c r="F6807" s="52" t="s">
        <v>26</v>
      </c>
      <c r="G6807" s="53"/>
    </row>
    <row r="6808">
      <c r="A6808" s="49">
        <v>44765.78617828704</v>
      </c>
      <c r="B6808" s="50">
        <v>44765.91115228</v>
      </c>
      <c r="C6808" s="51">
        <v>1.004</v>
      </c>
      <c r="D6808" s="51">
        <v>66.0</v>
      </c>
      <c r="E6808" s="52" t="s">
        <v>25</v>
      </c>
      <c r="F6808" s="52" t="s">
        <v>26</v>
      </c>
      <c r="G6808" s="53"/>
    </row>
    <row r="6809">
      <c r="A6809" s="49">
        <v>44765.796597430555</v>
      </c>
      <c r="B6809" s="50">
        <v>44765.9215729745</v>
      </c>
      <c r="C6809" s="51">
        <v>1.004</v>
      </c>
      <c r="D6809" s="51">
        <v>66.0</v>
      </c>
      <c r="E6809" s="52" t="s">
        <v>25</v>
      </c>
      <c r="F6809" s="52" t="s">
        <v>26</v>
      </c>
      <c r="G6809" s="53"/>
    </row>
    <row r="6810">
      <c r="A6810" s="49">
        <v>44765.80702775463</v>
      </c>
      <c r="B6810" s="50">
        <v>44765.9320068055</v>
      </c>
      <c r="C6810" s="51">
        <v>1.004</v>
      </c>
      <c r="D6810" s="51">
        <v>66.0</v>
      </c>
      <c r="E6810" s="52" t="s">
        <v>25</v>
      </c>
      <c r="F6810" s="52" t="s">
        <v>26</v>
      </c>
      <c r="G6810" s="53"/>
    </row>
    <row r="6811">
      <c r="A6811" s="49">
        <v>44765.81744770834</v>
      </c>
      <c r="B6811" s="50">
        <v>44765.9424283912</v>
      </c>
      <c r="C6811" s="51">
        <v>1.004</v>
      </c>
      <c r="D6811" s="51">
        <v>67.0</v>
      </c>
      <c r="E6811" s="52" t="s">
        <v>25</v>
      </c>
      <c r="F6811" s="52" t="s">
        <v>26</v>
      </c>
      <c r="G6811" s="53"/>
    </row>
    <row r="6812">
      <c r="A6812" s="49">
        <v>44765.82786405092</v>
      </c>
      <c r="B6812" s="50">
        <v>44765.9528490856</v>
      </c>
      <c r="C6812" s="51">
        <v>1.004</v>
      </c>
      <c r="D6812" s="51">
        <v>67.0</v>
      </c>
      <c r="E6812" s="52" t="s">
        <v>25</v>
      </c>
      <c r="F6812" s="52" t="s">
        <v>26</v>
      </c>
      <c r="G6812" s="53"/>
    </row>
    <row r="6813">
      <c r="A6813" s="49">
        <v>44765.83830993055</v>
      </c>
      <c r="B6813" s="50">
        <v>44765.9632829398</v>
      </c>
      <c r="C6813" s="51">
        <v>1.004</v>
      </c>
      <c r="D6813" s="51">
        <v>67.0</v>
      </c>
      <c r="E6813" s="52" t="s">
        <v>25</v>
      </c>
      <c r="F6813" s="52" t="s">
        <v>26</v>
      </c>
      <c r="G6813" s="53"/>
    </row>
    <row r="6814">
      <c r="A6814" s="49">
        <v>44765.84874001157</v>
      </c>
      <c r="B6814" s="50">
        <v>44765.973715706</v>
      </c>
      <c r="C6814" s="51">
        <v>1.004</v>
      </c>
      <c r="D6814" s="51">
        <v>67.0</v>
      </c>
      <c r="E6814" s="52" t="s">
        <v>25</v>
      </c>
      <c r="F6814" s="52" t="s">
        <v>26</v>
      </c>
      <c r="G6814" s="53"/>
    </row>
    <row r="6815">
      <c r="A6815" s="49">
        <v>44765.85917087963</v>
      </c>
      <c r="B6815" s="50">
        <v>44765.9841490393</v>
      </c>
      <c r="C6815" s="51">
        <v>1.004</v>
      </c>
      <c r="D6815" s="51">
        <v>67.0</v>
      </c>
      <c r="E6815" s="52" t="s">
        <v>25</v>
      </c>
      <c r="F6815" s="52" t="s">
        <v>26</v>
      </c>
      <c r="G6815" s="53"/>
    </row>
    <row r="6816">
      <c r="A6816" s="49">
        <v>44765.86958961806</v>
      </c>
      <c r="B6816" s="50">
        <v>44765.9945679629</v>
      </c>
      <c r="C6816" s="51">
        <v>1.004</v>
      </c>
      <c r="D6816" s="51">
        <v>67.0</v>
      </c>
      <c r="E6816" s="52" t="s">
        <v>25</v>
      </c>
      <c r="F6816" s="52" t="s">
        <v>26</v>
      </c>
      <c r="G6816" s="53"/>
    </row>
    <row r="6817">
      <c r="A6817" s="49">
        <v>44765.88002512731</v>
      </c>
      <c r="B6817" s="50">
        <v>44766.0049988657</v>
      </c>
      <c r="C6817" s="51">
        <v>1.004</v>
      </c>
      <c r="D6817" s="51">
        <v>67.0</v>
      </c>
      <c r="E6817" s="52" t="s">
        <v>25</v>
      </c>
      <c r="F6817" s="52" t="s">
        <v>26</v>
      </c>
      <c r="G6817" s="53"/>
    </row>
    <row r="6818">
      <c r="A6818" s="49">
        <v>44765.890444317134</v>
      </c>
      <c r="B6818" s="50">
        <v>44766.0154189004</v>
      </c>
      <c r="C6818" s="51">
        <v>1.004</v>
      </c>
      <c r="D6818" s="51">
        <v>67.0</v>
      </c>
      <c r="E6818" s="52" t="s">
        <v>25</v>
      </c>
      <c r="F6818" s="52" t="s">
        <v>26</v>
      </c>
      <c r="G6818" s="53"/>
    </row>
    <row r="6819">
      <c r="A6819" s="49">
        <v>44765.900883912036</v>
      </c>
      <c r="B6819" s="50">
        <v>44766.025862824</v>
      </c>
      <c r="C6819" s="51">
        <v>1.004</v>
      </c>
      <c r="D6819" s="51">
        <v>67.0</v>
      </c>
      <c r="E6819" s="52" t="s">
        <v>25</v>
      </c>
      <c r="F6819" s="52" t="s">
        <v>26</v>
      </c>
      <c r="G6819" s="53"/>
    </row>
    <row r="6820">
      <c r="A6820" s="49">
        <v>44765.91130620371</v>
      </c>
      <c r="B6820" s="50">
        <v>44766.036283831</v>
      </c>
      <c r="C6820" s="51">
        <v>1.004</v>
      </c>
      <c r="D6820" s="51">
        <v>67.0</v>
      </c>
      <c r="E6820" s="52" t="s">
        <v>25</v>
      </c>
      <c r="F6820" s="52" t="s">
        <v>26</v>
      </c>
      <c r="G6820" s="53"/>
    </row>
    <row r="6821">
      <c r="A6821" s="49">
        <v>44765.92172209491</v>
      </c>
      <c r="B6821" s="50">
        <v>44766.0467038889</v>
      </c>
      <c r="C6821" s="51">
        <v>1.004</v>
      </c>
      <c r="D6821" s="51">
        <v>67.0</v>
      </c>
      <c r="E6821" s="52" t="s">
        <v>25</v>
      </c>
      <c r="F6821" s="52" t="s">
        <v>26</v>
      </c>
      <c r="G6821" s="53"/>
    </row>
    <row r="6822">
      <c r="A6822" s="49">
        <v>44765.932164513884</v>
      </c>
      <c r="B6822" s="50">
        <v>44766.057136655</v>
      </c>
      <c r="C6822" s="51">
        <v>1.004</v>
      </c>
      <c r="D6822" s="51">
        <v>67.0</v>
      </c>
      <c r="E6822" s="52" t="s">
        <v>25</v>
      </c>
      <c r="F6822" s="52" t="s">
        <v>26</v>
      </c>
      <c r="G6822" s="53"/>
    </row>
    <row r="6823">
      <c r="A6823" s="49">
        <v>44765.94258582176</v>
      </c>
      <c r="B6823" s="50">
        <v>44766.0675561111</v>
      </c>
      <c r="C6823" s="51">
        <v>1.004</v>
      </c>
      <c r="D6823" s="51">
        <v>67.0</v>
      </c>
      <c r="E6823" s="52" t="s">
        <v>25</v>
      </c>
      <c r="F6823" s="52" t="s">
        <v>26</v>
      </c>
      <c r="G6823" s="53"/>
    </row>
    <row r="6824">
      <c r="A6824" s="49">
        <v>44765.95300498843</v>
      </c>
      <c r="B6824" s="50">
        <v>44766.0779763541</v>
      </c>
      <c r="C6824" s="51">
        <v>1.004</v>
      </c>
      <c r="D6824" s="51">
        <v>67.0</v>
      </c>
      <c r="E6824" s="52" t="s">
        <v>25</v>
      </c>
      <c r="F6824" s="52" t="s">
        <v>26</v>
      </c>
      <c r="G6824" s="53"/>
    </row>
    <row r="6825">
      <c r="A6825" s="49">
        <v>44765.963428483796</v>
      </c>
      <c r="B6825" s="50">
        <v>44766.0883981713</v>
      </c>
      <c r="C6825" s="51">
        <v>1.004</v>
      </c>
      <c r="D6825" s="51">
        <v>67.0</v>
      </c>
      <c r="E6825" s="52" t="s">
        <v>25</v>
      </c>
      <c r="F6825" s="52" t="s">
        <v>26</v>
      </c>
      <c r="G6825" s="53"/>
    </row>
    <row r="6826">
      <c r="A6826" s="49">
        <v>44765.9738478588</v>
      </c>
      <c r="B6826" s="50">
        <v>44766.0988196064</v>
      </c>
      <c r="C6826" s="51">
        <v>1.004</v>
      </c>
      <c r="D6826" s="51">
        <v>67.0</v>
      </c>
      <c r="E6826" s="52" t="s">
        <v>25</v>
      </c>
      <c r="F6826" s="52" t="s">
        <v>26</v>
      </c>
      <c r="G6826" s="53"/>
    </row>
    <row r="6827">
      <c r="A6827" s="49">
        <v>44765.984269953704</v>
      </c>
      <c r="B6827" s="50">
        <v>44766.1092408912</v>
      </c>
      <c r="C6827" s="51">
        <v>1.004</v>
      </c>
      <c r="D6827" s="51">
        <v>67.0</v>
      </c>
      <c r="E6827" s="52" t="s">
        <v>25</v>
      </c>
      <c r="F6827" s="52" t="s">
        <v>26</v>
      </c>
      <c r="G6827" s="53"/>
    </row>
    <row r="6828">
      <c r="A6828" s="49">
        <v>44765.99469228009</v>
      </c>
      <c r="B6828" s="50">
        <v>44766.1196605902</v>
      </c>
      <c r="C6828" s="51">
        <v>1.004</v>
      </c>
      <c r="D6828" s="51">
        <v>67.0</v>
      </c>
      <c r="E6828" s="52" t="s">
        <v>25</v>
      </c>
      <c r="F6828" s="52" t="s">
        <v>26</v>
      </c>
      <c r="G6828" s="53"/>
    </row>
    <row r="6829">
      <c r="A6829" s="49">
        <v>44766.005112071754</v>
      </c>
      <c r="B6829" s="50">
        <v>44766.1300813426</v>
      </c>
      <c r="C6829" s="51">
        <v>1.004</v>
      </c>
      <c r="D6829" s="51">
        <v>67.0</v>
      </c>
      <c r="E6829" s="52" t="s">
        <v>25</v>
      </c>
      <c r="F6829" s="52" t="s">
        <v>26</v>
      </c>
      <c r="G6829" s="53"/>
    </row>
    <row r="6830">
      <c r="A6830" s="49">
        <v>44766.01552188657</v>
      </c>
      <c r="B6830" s="50">
        <v>44766.1405013888</v>
      </c>
      <c r="C6830" s="51">
        <v>1.004</v>
      </c>
      <c r="D6830" s="51">
        <v>67.0</v>
      </c>
      <c r="E6830" s="52" t="s">
        <v>25</v>
      </c>
      <c r="F6830" s="52" t="s">
        <v>26</v>
      </c>
      <c r="G6830" s="53"/>
    </row>
    <row r="6831">
      <c r="A6831" s="49">
        <v>44766.025960011575</v>
      </c>
      <c r="B6831" s="50">
        <v>44766.1509235995</v>
      </c>
      <c r="C6831" s="51">
        <v>1.004</v>
      </c>
      <c r="D6831" s="51">
        <v>67.0</v>
      </c>
      <c r="E6831" s="52" t="s">
        <v>25</v>
      </c>
      <c r="F6831" s="52" t="s">
        <v>26</v>
      </c>
      <c r="G6831" s="53"/>
    </row>
    <row r="6832">
      <c r="A6832" s="49">
        <v>44766.03637335648</v>
      </c>
      <c r="B6832" s="50">
        <v>44766.1613555671</v>
      </c>
      <c r="C6832" s="51">
        <v>1.004</v>
      </c>
      <c r="D6832" s="51">
        <v>67.0</v>
      </c>
      <c r="E6832" s="52" t="s">
        <v>25</v>
      </c>
      <c r="F6832" s="52" t="s">
        <v>26</v>
      </c>
      <c r="G6832" s="53"/>
    </row>
    <row r="6833">
      <c r="A6833" s="49">
        <v>44766.04681222222</v>
      </c>
      <c r="B6833" s="50">
        <v>44766.1717758449</v>
      </c>
      <c r="C6833" s="51">
        <v>1.004</v>
      </c>
      <c r="D6833" s="51">
        <v>67.0</v>
      </c>
      <c r="E6833" s="52" t="s">
        <v>25</v>
      </c>
      <c r="F6833" s="52" t="s">
        <v>26</v>
      </c>
      <c r="G6833" s="53"/>
    </row>
    <row r="6834">
      <c r="A6834" s="49">
        <v>44766.05723197917</v>
      </c>
      <c r="B6834" s="50">
        <v>44766.1821952893</v>
      </c>
      <c r="C6834" s="51">
        <v>1.004</v>
      </c>
      <c r="D6834" s="51">
        <v>67.0</v>
      </c>
      <c r="E6834" s="52" t="s">
        <v>25</v>
      </c>
      <c r="F6834" s="52" t="s">
        <v>26</v>
      </c>
      <c r="G6834" s="53"/>
    </row>
    <row r="6835">
      <c r="A6835" s="49">
        <v>44766.067659988425</v>
      </c>
      <c r="B6835" s="50">
        <v>44766.1926276041</v>
      </c>
      <c r="C6835" s="51">
        <v>1.004</v>
      </c>
      <c r="D6835" s="51">
        <v>67.0</v>
      </c>
      <c r="E6835" s="52" t="s">
        <v>25</v>
      </c>
      <c r="F6835" s="52" t="s">
        <v>26</v>
      </c>
      <c r="G6835" s="53"/>
    </row>
    <row r="6836">
      <c r="A6836" s="49">
        <v>44766.07807449074</v>
      </c>
      <c r="B6836" s="50">
        <v>44766.2030477083</v>
      </c>
      <c r="C6836" s="51">
        <v>1.004</v>
      </c>
      <c r="D6836" s="51">
        <v>67.0</v>
      </c>
      <c r="E6836" s="52" t="s">
        <v>25</v>
      </c>
      <c r="F6836" s="52" t="s">
        <v>26</v>
      </c>
      <c r="G6836" s="53"/>
    </row>
    <row r="6837">
      <c r="A6837" s="49">
        <v>44766.08849359954</v>
      </c>
      <c r="B6837" s="50">
        <v>44766.2134678472</v>
      </c>
      <c r="C6837" s="51">
        <v>1.004</v>
      </c>
      <c r="D6837" s="51">
        <v>67.0</v>
      </c>
      <c r="E6837" s="52" t="s">
        <v>25</v>
      </c>
      <c r="F6837" s="52" t="s">
        <v>26</v>
      </c>
      <c r="G6837" s="53"/>
    </row>
    <row r="6838">
      <c r="A6838" s="49">
        <v>44766.09892239583</v>
      </c>
      <c r="B6838" s="50">
        <v>44766.2238911921</v>
      </c>
      <c r="C6838" s="51">
        <v>1.004</v>
      </c>
      <c r="D6838" s="51">
        <v>67.0</v>
      </c>
      <c r="E6838" s="52" t="s">
        <v>25</v>
      </c>
      <c r="F6838" s="52" t="s">
        <v>26</v>
      </c>
      <c r="G6838" s="53"/>
    </row>
    <row r="6839">
      <c r="A6839" s="49">
        <v>44766.10933939814</v>
      </c>
      <c r="B6839" s="50">
        <v>44766.2343115162</v>
      </c>
      <c r="C6839" s="51">
        <v>1.004</v>
      </c>
      <c r="D6839" s="51">
        <v>67.0</v>
      </c>
      <c r="E6839" s="52" t="s">
        <v>25</v>
      </c>
      <c r="F6839" s="52" t="s">
        <v>26</v>
      </c>
      <c r="G6839" s="53"/>
    </row>
    <row r="6840">
      <c r="A6840" s="49">
        <v>44766.119763414354</v>
      </c>
      <c r="B6840" s="50">
        <v>44766.2447340625</v>
      </c>
      <c r="C6840" s="51">
        <v>1.004</v>
      </c>
      <c r="D6840" s="51">
        <v>67.0</v>
      </c>
      <c r="E6840" s="52" t="s">
        <v>25</v>
      </c>
      <c r="F6840" s="52" t="s">
        <v>26</v>
      </c>
      <c r="G6840" s="53"/>
    </row>
    <row r="6841">
      <c r="A6841" s="49">
        <v>44766.13018424768</v>
      </c>
      <c r="B6841" s="50">
        <v>44766.2551549189</v>
      </c>
      <c r="C6841" s="51">
        <v>1.004</v>
      </c>
      <c r="D6841" s="51">
        <v>67.0</v>
      </c>
      <c r="E6841" s="52" t="s">
        <v>25</v>
      </c>
      <c r="F6841" s="52" t="s">
        <v>26</v>
      </c>
      <c r="G6841" s="53"/>
    </row>
    <row r="6842">
      <c r="A6842" s="49">
        <v>44766.14060627315</v>
      </c>
      <c r="B6842" s="50">
        <v>44766.2655771643</v>
      </c>
      <c r="C6842" s="51">
        <v>1.004</v>
      </c>
      <c r="D6842" s="51">
        <v>67.0</v>
      </c>
      <c r="E6842" s="52" t="s">
        <v>25</v>
      </c>
      <c r="F6842" s="52" t="s">
        <v>26</v>
      </c>
      <c r="G6842" s="53"/>
    </row>
    <row r="6843">
      <c r="A6843" s="49">
        <v>44766.15102650463</v>
      </c>
      <c r="B6843" s="50">
        <v>44766.2760000231</v>
      </c>
      <c r="C6843" s="51">
        <v>1.004</v>
      </c>
      <c r="D6843" s="51">
        <v>67.0</v>
      </c>
      <c r="E6843" s="52" t="s">
        <v>25</v>
      </c>
      <c r="F6843" s="52" t="s">
        <v>26</v>
      </c>
      <c r="G6843" s="53"/>
    </row>
    <row r="6844">
      <c r="A6844" s="49">
        <v>44766.161445509264</v>
      </c>
      <c r="B6844" s="50">
        <v>44766.2864208564</v>
      </c>
      <c r="C6844" s="51">
        <v>1.004</v>
      </c>
      <c r="D6844" s="51">
        <v>67.0</v>
      </c>
      <c r="E6844" s="52" t="s">
        <v>25</v>
      </c>
      <c r="F6844" s="52" t="s">
        <v>26</v>
      </c>
      <c r="G6844" s="53"/>
    </row>
    <row r="6845">
      <c r="A6845" s="49">
        <v>44766.17186472222</v>
      </c>
      <c r="B6845" s="50">
        <v>44766.2968414699</v>
      </c>
      <c r="C6845" s="51">
        <v>1.004</v>
      </c>
      <c r="D6845" s="51">
        <v>67.0</v>
      </c>
      <c r="E6845" s="52" t="s">
        <v>25</v>
      </c>
      <c r="F6845" s="52" t="s">
        <v>26</v>
      </c>
      <c r="G6845" s="53"/>
    </row>
    <row r="6846">
      <c r="A6846" s="49">
        <v>44766.18228866898</v>
      </c>
      <c r="B6846" s="50">
        <v>44766.3072616435</v>
      </c>
      <c r="C6846" s="51">
        <v>1.004</v>
      </c>
      <c r="D6846" s="51">
        <v>67.0</v>
      </c>
      <c r="E6846" s="52" t="s">
        <v>25</v>
      </c>
      <c r="F6846" s="52" t="s">
        <v>26</v>
      </c>
      <c r="G6846" s="53"/>
    </row>
    <row r="6847">
      <c r="A6847" s="49">
        <v>44766.19270586806</v>
      </c>
      <c r="B6847" s="50">
        <v>44766.3176848379</v>
      </c>
      <c r="C6847" s="51">
        <v>1.004</v>
      </c>
      <c r="D6847" s="51">
        <v>67.0</v>
      </c>
      <c r="E6847" s="52" t="s">
        <v>25</v>
      </c>
      <c r="F6847" s="52" t="s">
        <v>26</v>
      </c>
      <c r="G6847" s="53"/>
    </row>
    <row r="6848">
      <c r="A6848" s="49">
        <v>44766.20314641204</v>
      </c>
      <c r="B6848" s="50">
        <v>44766.3281175578</v>
      </c>
      <c r="C6848" s="51">
        <v>1.004</v>
      </c>
      <c r="D6848" s="51">
        <v>67.0</v>
      </c>
      <c r="E6848" s="52" t="s">
        <v>25</v>
      </c>
      <c r="F6848" s="52" t="s">
        <v>26</v>
      </c>
      <c r="G6848" s="53"/>
    </row>
    <row r="6849">
      <c r="A6849" s="49">
        <v>44766.213564907404</v>
      </c>
      <c r="B6849" s="50">
        <v>44766.3385380671</v>
      </c>
      <c r="C6849" s="51">
        <v>1.004</v>
      </c>
      <c r="D6849" s="51">
        <v>67.0</v>
      </c>
      <c r="E6849" s="52" t="s">
        <v>25</v>
      </c>
      <c r="F6849" s="52" t="s">
        <v>26</v>
      </c>
      <c r="G6849" s="53"/>
    </row>
    <row r="6850">
      <c r="A6850" s="49">
        <v>44766.223986446756</v>
      </c>
      <c r="B6850" s="50">
        <v>44766.3489588657</v>
      </c>
      <c r="C6850" s="51">
        <v>1.004</v>
      </c>
      <c r="D6850" s="51">
        <v>67.0</v>
      </c>
      <c r="E6850" s="52" t="s">
        <v>25</v>
      </c>
      <c r="F6850" s="52" t="s">
        <v>26</v>
      </c>
      <c r="G6850" s="53"/>
    </row>
    <row r="6851">
      <c r="A6851" s="49">
        <v>44766.234419768516</v>
      </c>
      <c r="B6851" s="50">
        <v>44766.3593916319</v>
      </c>
      <c r="C6851" s="51">
        <v>1.004</v>
      </c>
      <c r="D6851" s="51">
        <v>67.0</v>
      </c>
      <c r="E6851" s="52" t="s">
        <v>25</v>
      </c>
      <c r="F6851" s="52" t="s">
        <v>26</v>
      </c>
      <c r="G6851" s="53"/>
    </row>
    <row r="6852">
      <c r="A6852" s="49">
        <v>44766.24484818287</v>
      </c>
      <c r="B6852" s="50">
        <v>44766.3698239583</v>
      </c>
      <c r="C6852" s="51">
        <v>1.004</v>
      </c>
      <c r="D6852" s="51">
        <v>67.0</v>
      </c>
      <c r="E6852" s="52" t="s">
        <v>25</v>
      </c>
      <c r="F6852" s="52" t="s">
        <v>26</v>
      </c>
      <c r="G6852" s="53"/>
    </row>
    <row r="6853">
      <c r="A6853" s="49">
        <v>44766.25527202546</v>
      </c>
      <c r="B6853" s="50">
        <v>44766.3802431828</v>
      </c>
      <c r="C6853" s="51">
        <v>1.004</v>
      </c>
      <c r="D6853" s="51">
        <v>67.0</v>
      </c>
      <c r="E6853" s="52" t="s">
        <v>25</v>
      </c>
      <c r="F6853" s="52" t="s">
        <v>26</v>
      </c>
      <c r="G6853" s="53"/>
    </row>
    <row r="6854">
      <c r="A6854" s="49">
        <v>44766.26568732639</v>
      </c>
      <c r="B6854" s="50">
        <v>44766.3906657407</v>
      </c>
      <c r="C6854" s="51">
        <v>1.004</v>
      </c>
      <c r="D6854" s="51">
        <v>67.0</v>
      </c>
      <c r="E6854" s="52" t="s">
        <v>25</v>
      </c>
      <c r="F6854" s="52" t="s">
        <v>26</v>
      </c>
      <c r="G6854" s="53"/>
    </row>
    <row r="6855">
      <c r="A6855" s="49">
        <v>44766.276104756944</v>
      </c>
      <c r="B6855" s="50">
        <v>44766.4010868287</v>
      </c>
      <c r="C6855" s="51">
        <v>1.004</v>
      </c>
      <c r="D6855" s="51">
        <v>67.0</v>
      </c>
      <c r="E6855" s="52" t="s">
        <v>25</v>
      </c>
      <c r="F6855" s="52" t="s">
        <v>26</v>
      </c>
      <c r="G6855" s="53"/>
    </row>
    <row r="6856">
      <c r="A6856" s="49">
        <v>44766.286548449076</v>
      </c>
      <c r="B6856" s="50">
        <v>44766.4115187615</v>
      </c>
      <c r="C6856" s="51">
        <v>1.004</v>
      </c>
      <c r="D6856" s="51">
        <v>67.0</v>
      </c>
      <c r="E6856" s="52" t="s">
        <v>25</v>
      </c>
      <c r="F6856" s="52" t="s">
        <v>26</v>
      </c>
      <c r="G6856" s="53"/>
    </row>
    <row r="6857">
      <c r="A6857" s="49">
        <v>44766.296964837966</v>
      </c>
      <c r="B6857" s="50">
        <v>44766.4219398958</v>
      </c>
      <c r="C6857" s="51">
        <v>1.004</v>
      </c>
      <c r="D6857" s="51">
        <v>67.0</v>
      </c>
      <c r="E6857" s="52" t="s">
        <v>25</v>
      </c>
      <c r="F6857" s="52" t="s">
        <v>26</v>
      </c>
      <c r="G6857" s="53"/>
    </row>
    <row r="6858">
      <c r="A6858" s="49">
        <v>44766.30738377315</v>
      </c>
      <c r="B6858" s="50">
        <v>44766.4323604166</v>
      </c>
      <c r="C6858" s="51">
        <v>1.004</v>
      </c>
      <c r="D6858" s="51">
        <v>67.0</v>
      </c>
      <c r="E6858" s="52" t="s">
        <v>25</v>
      </c>
      <c r="F6858" s="52" t="s">
        <v>26</v>
      </c>
      <c r="G6858" s="53"/>
    </row>
    <row r="6859">
      <c r="A6859" s="49">
        <v>44766.31780996528</v>
      </c>
      <c r="B6859" s="50">
        <v>44766.4427940856</v>
      </c>
      <c r="C6859" s="51">
        <v>1.004</v>
      </c>
      <c r="D6859" s="51">
        <v>67.0</v>
      </c>
      <c r="E6859" s="52" t="s">
        <v>25</v>
      </c>
      <c r="F6859" s="52" t="s">
        <v>26</v>
      </c>
      <c r="G6859" s="53"/>
    </row>
    <row r="6860">
      <c r="A6860" s="49">
        <v>44766.32823119213</v>
      </c>
      <c r="B6860" s="50">
        <v>44766.4532146296</v>
      </c>
      <c r="C6860" s="51">
        <v>1.004</v>
      </c>
      <c r="D6860" s="51">
        <v>67.0</v>
      </c>
      <c r="E6860" s="52" t="s">
        <v>25</v>
      </c>
      <c r="F6860" s="52" t="s">
        <v>26</v>
      </c>
      <c r="G6860" s="53"/>
    </row>
    <row r="6861">
      <c r="A6861" s="49">
        <v>44766.33865387732</v>
      </c>
      <c r="B6861" s="50">
        <v>44766.4636365625</v>
      </c>
      <c r="C6861" s="51">
        <v>1.004</v>
      </c>
      <c r="D6861" s="51">
        <v>67.0</v>
      </c>
      <c r="E6861" s="52" t="s">
        <v>25</v>
      </c>
      <c r="F6861" s="52" t="s">
        <v>26</v>
      </c>
      <c r="G6861" s="53"/>
    </row>
    <row r="6862">
      <c r="A6862" s="49">
        <v>44766.34908629629</v>
      </c>
      <c r="B6862" s="50">
        <v>44766.474059074</v>
      </c>
      <c r="C6862" s="51">
        <v>1.004</v>
      </c>
      <c r="D6862" s="51">
        <v>67.0</v>
      </c>
      <c r="E6862" s="52" t="s">
        <v>25</v>
      </c>
      <c r="F6862" s="52" t="s">
        <v>26</v>
      </c>
      <c r="G6862" s="53"/>
    </row>
    <row r="6863">
      <c r="A6863" s="49">
        <v>44766.35950239583</v>
      </c>
      <c r="B6863" s="50">
        <v>44766.4844783333</v>
      </c>
      <c r="C6863" s="51">
        <v>1.004</v>
      </c>
      <c r="D6863" s="51">
        <v>67.0</v>
      </c>
      <c r="E6863" s="52" t="s">
        <v>25</v>
      </c>
      <c r="F6863" s="52" t="s">
        <v>26</v>
      </c>
      <c r="G6863" s="53"/>
    </row>
    <row r="6864">
      <c r="A6864" s="49">
        <v>44766.36992354167</v>
      </c>
      <c r="B6864" s="50">
        <v>44766.4948997916</v>
      </c>
      <c r="C6864" s="51">
        <v>1.004</v>
      </c>
      <c r="D6864" s="51">
        <v>68.0</v>
      </c>
      <c r="E6864" s="52" t="s">
        <v>25</v>
      </c>
      <c r="F6864" s="52" t="s">
        <v>26</v>
      </c>
      <c r="G6864" s="53"/>
    </row>
    <row r="6865">
      <c r="A6865" s="49">
        <v>44766.38034341435</v>
      </c>
      <c r="B6865" s="50">
        <v>44766.5053202893</v>
      </c>
      <c r="C6865" s="51">
        <v>1.004</v>
      </c>
      <c r="D6865" s="51">
        <v>68.0</v>
      </c>
      <c r="E6865" s="52" t="s">
        <v>25</v>
      </c>
      <c r="F6865" s="52" t="s">
        <v>26</v>
      </c>
      <c r="G6865" s="53"/>
    </row>
    <row r="6866">
      <c r="A6866" s="49">
        <v>44766.390759988426</v>
      </c>
      <c r="B6866" s="50">
        <v>44766.5157416551</v>
      </c>
      <c r="C6866" s="51">
        <v>1.004</v>
      </c>
      <c r="D6866" s="51">
        <v>68.0</v>
      </c>
      <c r="E6866" s="52" t="s">
        <v>25</v>
      </c>
      <c r="F6866" s="52" t="s">
        <v>26</v>
      </c>
      <c r="G6866" s="53"/>
    </row>
    <row r="6867">
      <c r="A6867" s="49">
        <v>44766.40119072917</v>
      </c>
      <c r="B6867" s="50">
        <v>44766.5261638194</v>
      </c>
      <c r="C6867" s="51">
        <v>1.004</v>
      </c>
      <c r="D6867" s="51">
        <v>68.0</v>
      </c>
      <c r="E6867" s="52" t="s">
        <v>25</v>
      </c>
      <c r="F6867" s="52" t="s">
        <v>26</v>
      </c>
      <c r="G6867" s="53"/>
    </row>
    <row r="6868">
      <c r="A6868" s="49">
        <v>44766.41161253472</v>
      </c>
      <c r="B6868" s="50">
        <v>44766.536584155</v>
      </c>
      <c r="C6868" s="51">
        <v>1.004</v>
      </c>
      <c r="D6868" s="51">
        <v>68.0</v>
      </c>
      <c r="E6868" s="52" t="s">
        <v>25</v>
      </c>
      <c r="F6868" s="52" t="s">
        <v>26</v>
      </c>
      <c r="G6868" s="53"/>
    </row>
    <row r="6869">
      <c r="A6869" s="49">
        <v>44766.422031759255</v>
      </c>
      <c r="B6869" s="50">
        <v>44766.5470043287</v>
      </c>
      <c r="C6869" s="51">
        <v>1.004</v>
      </c>
      <c r="D6869" s="51">
        <v>68.0</v>
      </c>
      <c r="E6869" s="52" t="s">
        <v>25</v>
      </c>
      <c r="F6869" s="52" t="s">
        <v>26</v>
      </c>
      <c r="G6869" s="53"/>
    </row>
    <row r="6870">
      <c r="A6870" s="49">
        <v>44766.43246553241</v>
      </c>
      <c r="B6870" s="50">
        <v>44766.5574262963</v>
      </c>
      <c r="C6870" s="51">
        <v>1.004</v>
      </c>
      <c r="D6870" s="51">
        <v>68.0</v>
      </c>
      <c r="E6870" s="52" t="s">
        <v>25</v>
      </c>
      <c r="F6870" s="52" t="s">
        <v>26</v>
      </c>
      <c r="G6870" s="53"/>
    </row>
    <row r="6871">
      <c r="A6871" s="49">
        <v>44766.44287601852</v>
      </c>
      <c r="B6871" s="50">
        <v>44766.5678479282</v>
      </c>
      <c r="C6871" s="51">
        <v>1.004</v>
      </c>
      <c r="D6871" s="51">
        <v>68.0</v>
      </c>
      <c r="E6871" s="52" t="s">
        <v>25</v>
      </c>
      <c r="F6871" s="52" t="s">
        <v>26</v>
      </c>
      <c r="G6871" s="53"/>
    </row>
    <row r="6872">
      <c r="A6872" s="49">
        <v>44766.45329424768</v>
      </c>
      <c r="B6872" s="50">
        <v>44766.578270787</v>
      </c>
      <c r="C6872" s="51">
        <v>1.004</v>
      </c>
      <c r="D6872" s="51">
        <v>68.0</v>
      </c>
      <c r="E6872" s="52" t="s">
        <v>25</v>
      </c>
      <c r="F6872" s="52" t="s">
        <v>26</v>
      </c>
      <c r="G6872" s="53"/>
    </row>
    <row r="6873">
      <c r="A6873" s="49">
        <v>44766.4637096875</v>
      </c>
      <c r="B6873" s="50">
        <v>44766.5886924652</v>
      </c>
      <c r="C6873" s="51">
        <v>1.004</v>
      </c>
      <c r="D6873" s="51">
        <v>68.0</v>
      </c>
      <c r="E6873" s="52" t="s">
        <v>25</v>
      </c>
      <c r="F6873" s="52" t="s">
        <v>26</v>
      </c>
      <c r="G6873" s="53"/>
    </row>
    <row r="6874">
      <c r="A6874" s="49">
        <v>44766.47414569445</v>
      </c>
      <c r="B6874" s="50">
        <v>44766.5991139814</v>
      </c>
      <c r="C6874" s="51">
        <v>1.005</v>
      </c>
      <c r="D6874" s="51">
        <v>68.0</v>
      </c>
      <c r="E6874" s="52" t="s">
        <v>25</v>
      </c>
      <c r="F6874" s="52" t="s">
        <v>26</v>
      </c>
      <c r="G6874" s="53"/>
    </row>
    <row r="6875">
      <c r="A6875" s="49">
        <v>44766.48455940972</v>
      </c>
      <c r="B6875" s="50">
        <v>44766.6095361805</v>
      </c>
      <c r="C6875" s="51">
        <v>1.004</v>
      </c>
      <c r="D6875" s="51">
        <v>68.0</v>
      </c>
      <c r="E6875" s="52" t="s">
        <v>25</v>
      </c>
      <c r="F6875" s="52" t="s">
        <v>26</v>
      </c>
      <c r="G6875" s="53"/>
    </row>
    <row r="6876">
      <c r="A6876" s="49">
        <v>44766.49497733796</v>
      </c>
      <c r="B6876" s="50">
        <v>44766.6199574768</v>
      </c>
      <c r="C6876" s="51">
        <v>1.004</v>
      </c>
      <c r="D6876" s="51">
        <v>68.0</v>
      </c>
      <c r="E6876" s="52" t="s">
        <v>25</v>
      </c>
      <c r="F6876" s="52" t="s">
        <v>26</v>
      </c>
      <c r="G6876" s="53"/>
    </row>
    <row r="6877">
      <c r="A6877" s="49">
        <v>44766.505407847224</v>
      </c>
      <c r="B6877" s="50">
        <v>44766.6303799652</v>
      </c>
      <c r="C6877" s="51">
        <v>1.004</v>
      </c>
      <c r="D6877" s="51">
        <v>68.0</v>
      </c>
      <c r="E6877" s="52" t="s">
        <v>25</v>
      </c>
      <c r="F6877" s="52" t="s">
        <v>26</v>
      </c>
      <c r="G6877" s="53"/>
    </row>
    <row r="6878">
      <c r="A6878" s="49">
        <v>44766.51582540509</v>
      </c>
      <c r="B6878" s="50">
        <v>44766.6408003703</v>
      </c>
      <c r="C6878" s="51">
        <v>1.004</v>
      </c>
      <c r="D6878" s="51">
        <v>68.0</v>
      </c>
      <c r="E6878" s="52" t="s">
        <v>25</v>
      </c>
      <c r="F6878" s="52" t="s">
        <v>26</v>
      </c>
      <c r="G6878" s="53"/>
    </row>
    <row r="6879">
      <c r="A6879" s="49">
        <v>44766.52626025463</v>
      </c>
      <c r="B6879" s="50">
        <v>44766.6512330902</v>
      </c>
      <c r="C6879" s="51">
        <v>1.004</v>
      </c>
      <c r="D6879" s="51">
        <v>68.0</v>
      </c>
      <c r="E6879" s="52" t="s">
        <v>25</v>
      </c>
      <c r="F6879" s="52" t="s">
        <v>26</v>
      </c>
      <c r="G6879" s="53"/>
    </row>
    <row r="6880">
      <c r="A6880" s="49">
        <v>44766.536678969904</v>
      </c>
      <c r="B6880" s="50">
        <v>44766.6616543402</v>
      </c>
      <c r="C6880" s="51">
        <v>1.004</v>
      </c>
      <c r="D6880" s="51">
        <v>68.0</v>
      </c>
      <c r="E6880" s="52" t="s">
        <v>25</v>
      </c>
      <c r="F6880" s="52" t="s">
        <v>26</v>
      </c>
      <c r="G6880" s="53"/>
    </row>
    <row r="6881">
      <c r="A6881" s="49">
        <v>44766.5470987963</v>
      </c>
      <c r="B6881" s="50">
        <v>44766.6720771296</v>
      </c>
      <c r="C6881" s="51">
        <v>1.004</v>
      </c>
      <c r="D6881" s="51">
        <v>68.0</v>
      </c>
      <c r="E6881" s="52" t="s">
        <v>25</v>
      </c>
      <c r="F6881" s="52" t="s">
        <v>26</v>
      </c>
      <c r="G6881" s="53"/>
    </row>
    <row r="6882">
      <c r="A6882" s="49">
        <v>44766.55751849537</v>
      </c>
      <c r="B6882" s="50">
        <v>44766.6824975</v>
      </c>
      <c r="C6882" s="51">
        <v>1.004</v>
      </c>
      <c r="D6882" s="51">
        <v>68.0</v>
      </c>
      <c r="E6882" s="52" t="s">
        <v>25</v>
      </c>
      <c r="F6882" s="52" t="s">
        <v>26</v>
      </c>
      <c r="G6882" s="53"/>
    </row>
    <row r="6883">
      <c r="A6883" s="49">
        <v>44766.567946446754</v>
      </c>
      <c r="B6883" s="50">
        <v>44766.6929183101</v>
      </c>
      <c r="C6883" s="51">
        <v>1.004</v>
      </c>
      <c r="D6883" s="51">
        <v>68.0</v>
      </c>
      <c r="E6883" s="52" t="s">
        <v>25</v>
      </c>
      <c r="F6883" s="52" t="s">
        <v>26</v>
      </c>
      <c r="G6883" s="53"/>
    </row>
    <row r="6884">
      <c r="A6884" s="49">
        <v>44766.57836717593</v>
      </c>
      <c r="B6884" s="50">
        <v>44766.7033409953</v>
      </c>
      <c r="C6884" s="51">
        <v>1.004</v>
      </c>
      <c r="D6884" s="51">
        <v>68.0</v>
      </c>
      <c r="E6884" s="52" t="s">
        <v>25</v>
      </c>
      <c r="F6884" s="52" t="s">
        <v>26</v>
      </c>
      <c r="G6884" s="53"/>
    </row>
    <row r="6885">
      <c r="A6885" s="49">
        <v>44766.58879981481</v>
      </c>
      <c r="B6885" s="50">
        <v>44766.71377375</v>
      </c>
      <c r="C6885" s="51">
        <v>1.004</v>
      </c>
      <c r="D6885" s="51">
        <v>68.0</v>
      </c>
      <c r="E6885" s="52" t="s">
        <v>25</v>
      </c>
      <c r="F6885" s="52" t="s">
        <v>26</v>
      </c>
      <c r="G6885" s="53"/>
    </row>
    <row r="6886">
      <c r="A6886" s="49">
        <v>44766.59922427083</v>
      </c>
      <c r="B6886" s="50">
        <v>44766.7241956944</v>
      </c>
      <c r="C6886" s="51">
        <v>1.004</v>
      </c>
      <c r="D6886" s="51">
        <v>68.0</v>
      </c>
      <c r="E6886" s="52" t="s">
        <v>25</v>
      </c>
      <c r="F6886" s="52" t="s">
        <v>26</v>
      </c>
      <c r="G6886" s="53"/>
    </row>
    <row r="6887">
      <c r="A6887" s="49">
        <v>44766.60964541667</v>
      </c>
      <c r="B6887" s="50">
        <v>44766.7346155092</v>
      </c>
      <c r="C6887" s="51">
        <v>1.004</v>
      </c>
      <c r="D6887" s="51">
        <v>68.0</v>
      </c>
      <c r="E6887" s="52" t="s">
        <v>25</v>
      </c>
      <c r="F6887" s="52" t="s">
        <v>26</v>
      </c>
      <c r="G6887" s="53"/>
    </row>
    <row r="6888">
      <c r="A6888" s="49">
        <v>44766.6200630324</v>
      </c>
      <c r="B6888" s="50">
        <v>44766.7450375578</v>
      </c>
      <c r="C6888" s="51">
        <v>1.004</v>
      </c>
      <c r="D6888" s="51">
        <v>68.0</v>
      </c>
      <c r="E6888" s="52" t="s">
        <v>25</v>
      </c>
      <c r="F6888" s="52" t="s">
        <v>26</v>
      </c>
      <c r="G6888" s="53"/>
    </row>
    <row r="6889">
      <c r="A6889" s="49">
        <v>44766.63049309028</v>
      </c>
      <c r="B6889" s="50">
        <v>44766.7554700925</v>
      </c>
      <c r="C6889" s="51">
        <v>1.004</v>
      </c>
      <c r="D6889" s="51">
        <v>68.0</v>
      </c>
      <c r="E6889" s="52" t="s">
        <v>25</v>
      </c>
      <c r="F6889" s="52" t="s">
        <v>26</v>
      </c>
      <c r="G6889" s="53"/>
    </row>
    <row r="6890">
      <c r="A6890" s="49">
        <v>44766.64093060185</v>
      </c>
      <c r="B6890" s="50">
        <v>44766.7659032754</v>
      </c>
      <c r="C6890" s="51">
        <v>1.004</v>
      </c>
      <c r="D6890" s="51">
        <v>68.0</v>
      </c>
      <c r="E6890" s="52" t="s">
        <v>25</v>
      </c>
      <c r="F6890" s="52" t="s">
        <v>26</v>
      </c>
      <c r="G6890" s="53"/>
    </row>
    <row r="6891">
      <c r="A6891" s="49">
        <v>44766.651352789355</v>
      </c>
      <c r="B6891" s="50">
        <v>44766.7763243865</v>
      </c>
      <c r="C6891" s="51">
        <v>1.004</v>
      </c>
      <c r="D6891" s="51">
        <v>68.0</v>
      </c>
      <c r="E6891" s="52" t="s">
        <v>25</v>
      </c>
      <c r="F6891" s="52" t="s">
        <v>26</v>
      </c>
      <c r="G6891" s="53"/>
    </row>
    <row r="6892">
      <c r="A6892" s="49">
        <v>44766.66177202546</v>
      </c>
      <c r="B6892" s="50">
        <v>44766.7867443055</v>
      </c>
      <c r="C6892" s="51">
        <v>1.004</v>
      </c>
      <c r="D6892" s="51">
        <v>68.0</v>
      </c>
      <c r="E6892" s="52" t="s">
        <v>25</v>
      </c>
      <c r="F6892" s="52" t="s">
        <v>26</v>
      </c>
      <c r="G6892" s="53"/>
    </row>
    <row r="6893">
      <c r="A6893" s="49">
        <v>44766.67219107639</v>
      </c>
      <c r="B6893" s="50">
        <v>44766.7971659259</v>
      </c>
      <c r="C6893" s="51">
        <v>1.004</v>
      </c>
      <c r="D6893" s="51">
        <v>68.0</v>
      </c>
      <c r="E6893" s="52" t="s">
        <v>25</v>
      </c>
      <c r="F6893" s="52" t="s">
        <v>26</v>
      </c>
      <c r="G6893" s="53"/>
    </row>
    <row r="6894">
      <c r="A6894" s="49">
        <v>44766.68260903935</v>
      </c>
      <c r="B6894" s="50">
        <v>44766.8075883449</v>
      </c>
      <c r="C6894" s="51">
        <v>1.004</v>
      </c>
      <c r="D6894" s="51">
        <v>68.0</v>
      </c>
      <c r="E6894" s="52" t="s">
        <v>25</v>
      </c>
      <c r="F6894" s="52" t="s">
        <v>26</v>
      </c>
      <c r="G6894" s="53"/>
    </row>
    <row r="6895">
      <c r="A6895" s="49">
        <v>44766.693026134264</v>
      </c>
      <c r="B6895" s="50">
        <v>44766.8180095601</v>
      </c>
      <c r="C6895" s="51">
        <v>1.004</v>
      </c>
      <c r="D6895" s="51">
        <v>68.0</v>
      </c>
      <c r="E6895" s="52" t="s">
        <v>25</v>
      </c>
      <c r="F6895" s="52" t="s">
        <v>26</v>
      </c>
      <c r="G6895" s="53"/>
    </row>
    <row r="6896">
      <c r="A6896" s="49">
        <v>44766.70346240741</v>
      </c>
      <c r="B6896" s="50">
        <v>44766.8284310648</v>
      </c>
      <c r="C6896" s="51">
        <v>1.004</v>
      </c>
      <c r="D6896" s="51">
        <v>68.0</v>
      </c>
      <c r="E6896" s="52" t="s">
        <v>25</v>
      </c>
      <c r="F6896" s="52" t="s">
        <v>26</v>
      </c>
      <c r="G6896" s="53"/>
    </row>
    <row r="6897">
      <c r="A6897" s="49">
        <v>44766.71387712963</v>
      </c>
      <c r="B6897" s="50">
        <v>44766.8388540972</v>
      </c>
      <c r="C6897" s="51">
        <v>1.004</v>
      </c>
      <c r="D6897" s="51">
        <v>68.0</v>
      </c>
      <c r="E6897" s="52" t="s">
        <v>25</v>
      </c>
      <c r="F6897" s="52" t="s">
        <v>26</v>
      </c>
      <c r="G6897" s="53"/>
    </row>
    <row r="6898">
      <c r="A6898" s="49">
        <v>44766.72429701389</v>
      </c>
      <c r="B6898" s="50">
        <v>44766.8492743055</v>
      </c>
      <c r="C6898" s="51">
        <v>1.004</v>
      </c>
      <c r="D6898" s="51">
        <v>68.0</v>
      </c>
      <c r="E6898" s="52" t="s">
        <v>25</v>
      </c>
      <c r="F6898" s="52" t="s">
        <v>26</v>
      </c>
      <c r="G6898" s="53"/>
    </row>
    <row r="6899">
      <c r="A6899" s="49">
        <v>44766.73472479166</v>
      </c>
      <c r="B6899" s="50">
        <v>44766.8596967013</v>
      </c>
      <c r="C6899" s="51">
        <v>1.004</v>
      </c>
      <c r="D6899" s="51">
        <v>68.0</v>
      </c>
      <c r="E6899" s="52" t="s">
        <v>25</v>
      </c>
      <c r="F6899" s="52" t="s">
        <v>26</v>
      </c>
      <c r="G6899" s="53"/>
    </row>
    <row r="6900">
      <c r="A6900" s="49">
        <v>44766.74515472222</v>
      </c>
      <c r="B6900" s="50">
        <v>44766.8701302893</v>
      </c>
      <c r="C6900" s="51">
        <v>1.004</v>
      </c>
      <c r="D6900" s="51">
        <v>68.0</v>
      </c>
      <c r="E6900" s="52" t="s">
        <v>25</v>
      </c>
      <c r="F6900" s="52" t="s">
        <v>26</v>
      </c>
      <c r="G6900" s="53"/>
    </row>
    <row r="6901">
      <c r="A6901" s="49">
        <v>44766.755583101854</v>
      </c>
      <c r="B6901" s="50">
        <v>44766.8805516435</v>
      </c>
      <c r="C6901" s="51">
        <v>1.004</v>
      </c>
      <c r="D6901" s="51">
        <v>68.0</v>
      </c>
      <c r="E6901" s="52" t="s">
        <v>25</v>
      </c>
      <c r="F6901" s="52" t="s">
        <v>26</v>
      </c>
      <c r="G6901" s="53"/>
    </row>
    <row r="6902">
      <c r="A6902" s="49">
        <v>44766.765998877316</v>
      </c>
      <c r="B6902" s="50">
        <v>44766.8909723148</v>
      </c>
      <c r="C6902" s="51">
        <v>1.004</v>
      </c>
      <c r="D6902" s="51">
        <v>68.0</v>
      </c>
      <c r="E6902" s="52" t="s">
        <v>25</v>
      </c>
      <c r="F6902" s="52" t="s">
        <v>26</v>
      </c>
      <c r="G6902" s="53"/>
    </row>
    <row r="6903">
      <c r="A6903" s="49">
        <v>44766.776410543986</v>
      </c>
      <c r="B6903" s="50">
        <v>44766.9013939583</v>
      </c>
      <c r="C6903" s="51">
        <v>1.004</v>
      </c>
      <c r="D6903" s="51">
        <v>68.0</v>
      </c>
      <c r="E6903" s="52" t="s">
        <v>25</v>
      </c>
      <c r="F6903" s="52" t="s">
        <v>26</v>
      </c>
      <c r="G6903" s="53"/>
    </row>
    <row r="6904">
      <c r="A6904" s="49">
        <v>44766.78683534722</v>
      </c>
      <c r="B6904" s="50">
        <v>44766.9118133564</v>
      </c>
      <c r="C6904" s="51">
        <v>1.004</v>
      </c>
      <c r="D6904" s="51">
        <v>68.0</v>
      </c>
      <c r="E6904" s="52" t="s">
        <v>25</v>
      </c>
      <c r="F6904" s="52" t="s">
        <v>26</v>
      </c>
      <c r="G6904" s="53"/>
    </row>
    <row r="6905">
      <c r="A6905" s="49">
        <v>44766.7972665625</v>
      </c>
      <c r="B6905" s="50">
        <v>44766.9222330324</v>
      </c>
      <c r="C6905" s="51">
        <v>1.004</v>
      </c>
      <c r="D6905" s="51">
        <v>68.0</v>
      </c>
      <c r="E6905" s="52" t="s">
        <v>25</v>
      </c>
      <c r="F6905" s="52" t="s">
        <v>26</v>
      </c>
      <c r="G6905" s="53"/>
    </row>
    <row r="6906">
      <c r="A6906" s="49">
        <v>44766.8076840162</v>
      </c>
      <c r="B6906" s="50">
        <v>44766.9326534143</v>
      </c>
      <c r="C6906" s="51">
        <v>1.004</v>
      </c>
      <c r="D6906" s="51">
        <v>68.0</v>
      </c>
      <c r="E6906" s="52" t="s">
        <v>25</v>
      </c>
      <c r="F6906" s="52" t="s">
        <v>26</v>
      </c>
      <c r="G6906" s="53"/>
    </row>
    <row r="6907">
      <c r="A6907" s="49">
        <v>44766.81810493056</v>
      </c>
      <c r="B6907" s="50">
        <v>44766.9430751388</v>
      </c>
      <c r="C6907" s="51">
        <v>1.004</v>
      </c>
      <c r="D6907" s="51">
        <v>68.0</v>
      </c>
      <c r="E6907" s="52" t="s">
        <v>25</v>
      </c>
      <c r="F6907" s="52" t="s">
        <v>26</v>
      </c>
      <c r="G6907" s="53"/>
    </row>
    <row r="6908">
      <c r="A6908" s="49">
        <v>44766.828518993054</v>
      </c>
      <c r="B6908" s="50">
        <v>44766.9534963888</v>
      </c>
      <c r="C6908" s="51">
        <v>1.004</v>
      </c>
      <c r="D6908" s="51">
        <v>68.0</v>
      </c>
      <c r="E6908" s="52" t="s">
        <v>25</v>
      </c>
      <c r="F6908" s="52" t="s">
        <v>26</v>
      </c>
      <c r="G6908" s="53"/>
    </row>
    <row r="6909">
      <c r="A6909" s="49">
        <v>44766.83894743056</v>
      </c>
      <c r="B6909" s="50">
        <v>44766.9639271412</v>
      </c>
      <c r="C6909" s="51">
        <v>1.004</v>
      </c>
      <c r="D6909" s="51">
        <v>68.0</v>
      </c>
      <c r="E6909" s="52" t="s">
        <v>25</v>
      </c>
      <c r="F6909" s="52" t="s">
        <v>26</v>
      </c>
      <c r="G6909" s="53"/>
    </row>
    <row r="6910">
      <c r="A6910" s="49">
        <v>44766.849372048615</v>
      </c>
      <c r="B6910" s="50">
        <v>44766.9743471412</v>
      </c>
      <c r="C6910" s="51">
        <v>1.004</v>
      </c>
      <c r="D6910" s="51">
        <v>68.0</v>
      </c>
      <c r="E6910" s="52" t="s">
        <v>25</v>
      </c>
      <c r="F6910" s="52" t="s">
        <v>26</v>
      </c>
      <c r="G6910" s="53"/>
    </row>
    <row r="6911">
      <c r="A6911" s="49">
        <v>44766.85979803241</v>
      </c>
      <c r="B6911" s="50">
        <v>44766.9847702662</v>
      </c>
      <c r="C6911" s="51">
        <v>1.004</v>
      </c>
      <c r="D6911" s="51">
        <v>68.0</v>
      </c>
      <c r="E6911" s="52" t="s">
        <v>25</v>
      </c>
      <c r="F6911" s="52" t="s">
        <v>26</v>
      </c>
      <c r="G6911" s="53"/>
    </row>
    <row r="6912">
      <c r="A6912" s="49">
        <v>44766.87021621528</v>
      </c>
      <c r="B6912" s="50">
        <v>44766.9951908101</v>
      </c>
      <c r="C6912" s="51">
        <v>1.004</v>
      </c>
      <c r="D6912" s="51">
        <v>68.0</v>
      </c>
      <c r="E6912" s="52" t="s">
        <v>25</v>
      </c>
      <c r="F6912" s="52" t="s">
        <v>26</v>
      </c>
      <c r="G6912" s="53"/>
    </row>
    <row r="6913">
      <c r="A6913" s="49">
        <v>44766.880645428246</v>
      </c>
      <c r="B6913" s="50">
        <v>44767.0056124074</v>
      </c>
      <c r="C6913" s="51">
        <v>1.004</v>
      </c>
      <c r="D6913" s="51">
        <v>68.0</v>
      </c>
      <c r="E6913" s="52" t="s">
        <v>25</v>
      </c>
      <c r="F6913" s="52" t="s">
        <v>26</v>
      </c>
      <c r="G6913" s="53"/>
    </row>
    <row r="6914">
      <c r="A6914" s="49">
        <v>44766.89105479167</v>
      </c>
      <c r="B6914" s="50">
        <v>44767.0160311689</v>
      </c>
      <c r="C6914" s="51">
        <v>1.004</v>
      </c>
      <c r="D6914" s="51">
        <v>68.0</v>
      </c>
      <c r="E6914" s="52" t="s">
        <v>25</v>
      </c>
      <c r="F6914" s="52" t="s">
        <v>26</v>
      </c>
      <c r="G6914" s="53"/>
    </row>
    <row r="6915">
      <c r="A6915" s="49">
        <v>44766.90150047454</v>
      </c>
      <c r="B6915" s="50">
        <v>44767.0264647338</v>
      </c>
      <c r="C6915" s="51">
        <v>1.004</v>
      </c>
      <c r="D6915" s="51">
        <v>68.0</v>
      </c>
      <c r="E6915" s="52" t="s">
        <v>25</v>
      </c>
      <c r="F6915" s="52" t="s">
        <v>26</v>
      </c>
      <c r="G6915" s="53"/>
    </row>
    <row r="6916">
      <c r="A6916" s="49">
        <v>44766.911913668984</v>
      </c>
      <c r="B6916" s="50">
        <v>44767.0368857523</v>
      </c>
      <c r="C6916" s="51">
        <v>1.004</v>
      </c>
      <c r="D6916" s="51">
        <v>68.0</v>
      </c>
      <c r="E6916" s="52" t="s">
        <v>25</v>
      </c>
      <c r="F6916" s="52" t="s">
        <v>26</v>
      </c>
      <c r="G6916" s="53"/>
    </row>
    <row r="6917">
      <c r="A6917" s="49">
        <v>44766.9223360301</v>
      </c>
      <c r="B6917" s="50">
        <v>44767.0473062384</v>
      </c>
      <c r="C6917" s="51">
        <v>1.004</v>
      </c>
      <c r="D6917" s="51">
        <v>68.0</v>
      </c>
      <c r="E6917" s="52" t="s">
        <v>25</v>
      </c>
      <c r="F6917" s="52" t="s">
        <v>26</v>
      </c>
      <c r="G6917" s="53"/>
    </row>
    <row r="6918">
      <c r="A6918" s="49">
        <v>44766.9327552662</v>
      </c>
      <c r="B6918" s="50">
        <v>44767.0577293402</v>
      </c>
      <c r="C6918" s="51">
        <v>1.004</v>
      </c>
      <c r="D6918" s="51">
        <v>68.0</v>
      </c>
      <c r="E6918" s="52" t="s">
        <v>25</v>
      </c>
      <c r="F6918" s="52" t="s">
        <v>26</v>
      </c>
      <c r="G6918" s="53"/>
    </row>
    <row r="6919">
      <c r="A6919" s="49">
        <v>44766.94317967593</v>
      </c>
      <c r="B6919" s="50">
        <v>44767.0681502662</v>
      </c>
      <c r="C6919" s="51">
        <v>1.004</v>
      </c>
      <c r="D6919" s="51">
        <v>68.0</v>
      </c>
      <c r="E6919" s="52" t="s">
        <v>25</v>
      </c>
      <c r="F6919" s="52" t="s">
        <v>26</v>
      </c>
      <c r="G6919" s="53"/>
    </row>
    <row r="6920">
      <c r="A6920" s="49">
        <v>44766.95361140046</v>
      </c>
      <c r="B6920" s="50">
        <v>44767.0785826273</v>
      </c>
      <c r="C6920" s="51">
        <v>1.004</v>
      </c>
      <c r="D6920" s="51">
        <v>68.0</v>
      </c>
      <c r="E6920" s="52" t="s">
        <v>25</v>
      </c>
      <c r="F6920" s="52" t="s">
        <v>26</v>
      </c>
      <c r="G6920" s="53"/>
    </row>
    <row r="6921">
      <c r="A6921" s="49">
        <v>44766.964031469906</v>
      </c>
      <c r="B6921" s="50">
        <v>44767.0890030092</v>
      </c>
      <c r="C6921" s="51">
        <v>1.004</v>
      </c>
      <c r="D6921" s="51">
        <v>68.0</v>
      </c>
      <c r="E6921" s="52" t="s">
        <v>25</v>
      </c>
      <c r="F6921" s="52" t="s">
        <v>26</v>
      </c>
      <c r="G6921" s="53"/>
    </row>
    <row r="6922">
      <c r="A6922" s="49">
        <v>44766.97446752315</v>
      </c>
      <c r="B6922" s="50">
        <v>44767.0994355324</v>
      </c>
      <c r="C6922" s="51">
        <v>1.004</v>
      </c>
      <c r="D6922" s="51">
        <v>68.0</v>
      </c>
      <c r="E6922" s="52" t="s">
        <v>25</v>
      </c>
      <c r="F6922" s="52" t="s">
        <v>26</v>
      </c>
      <c r="G6922" s="53"/>
    </row>
    <row r="6923">
      <c r="A6923" s="49">
        <v>44766.98488412037</v>
      </c>
      <c r="B6923" s="50">
        <v>44767.109857118</v>
      </c>
      <c r="C6923" s="51">
        <v>1.004</v>
      </c>
      <c r="D6923" s="51">
        <v>68.0</v>
      </c>
      <c r="E6923" s="52" t="s">
        <v>25</v>
      </c>
      <c r="F6923" s="52" t="s">
        <v>26</v>
      </c>
      <c r="G6923" s="53"/>
    </row>
    <row r="6924">
      <c r="A6924" s="49">
        <v>44766.995323634255</v>
      </c>
      <c r="B6924" s="50">
        <v>44767.1203018981</v>
      </c>
      <c r="C6924" s="51">
        <v>1.004</v>
      </c>
      <c r="D6924" s="51">
        <v>68.0</v>
      </c>
      <c r="E6924" s="52" t="s">
        <v>25</v>
      </c>
      <c r="F6924" s="52" t="s">
        <v>26</v>
      </c>
      <c r="G6924" s="53"/>
    </row>
    <row r="6925">
      <c r="A6925" s="49">
        <v>44767.00575329861</v>
      </c>
      <c r="B6925" s="50">
        <v>44767.1307245023</v>
      </c>
      <c r="C6925" s="51">
        <v>1.004</v>
      </c>
      <c r="D6925" s="51">
        <v>68.0</v>
      </c>
      <c r="E6925" s="52" t="s">
        <v>25</v>
      </c>
      <c r="F6925" s="52" t="s">
        <v>26</v>
      </c>
      <c r="G6925" s="53"/>
    </row>
    <row r="6926">
      <c r="A6926" s="49">
        <v>44767.016174212964</v>
      </c>
      <c r="B6926" s="50">
        <v>44767.1411461805</v>
      </c>
      <c r="C6926" s="51">
        <v>1.004</v>
      </c>
      <c r="D6926" s="51">
        <v>68.0</v>
      </c>
      <c r="E6926" s="52" t="s">
        <v>25</v>
      </c>
      <c r="F6926" s="52" t="s">
        <v>26</v>
      </c>
      <c r="G6926" s="53"/>
    </row>
    <row r="6927">
      <c r="A6927" s="49">
        <v>44767.02659415509</v>
      </c>
      <c r="B6927" s="50">
        <v>44767.1515665277</v>
      </c>
      <c r="C6927" s="51">
        <v>1.004</v>
      </c>
      <c r="D6927" s="51">
        <v>68.0</v>
      </c>
      <c r="E6927" s="52" t="s">
        <v>25</v>
      </c>
      <c r="F6927" s="52" t="s">
        <v>26</v>
      </c>
      <c r="G6927" s="53"/>
    </row>
    <row r="6928">
      <c r="A6928" s="49">
        <v>44767.03701190972</v>
      </c>
      <c r="B6928" s="50">
        <v>44767.1619872106</v>
      </c>
      <c r="C6928" s="51">
        <v>1.004</v>
      </c>
      <c r="D6928" s="51">
        <v>68.0</v>
      </c>
      <c r="E6928" s="52" t="s">
        <v>25</v>
      </c>
      <c r="F6928" s="52" t="s">
        <v>26</v>
      </c>
      <c r="G6928" s="53"/>
    </row>
    <row r="6929">
      <c r="A6929" s="49">
        <v>44767.04744877315</v>
      </c>
      <c r="B6929" s="50">
        <v>44767.1724208217</v>
      </c>
      <c r="C6929" s="51">
        <v>1.004</v>
      </c>
      <c r="D6929" s="51">
        <v>68.0</v>
      </c>
      <c r="E6929" s="52" t="s">
        <v>25</v>
      </c>
      <c r="F6929" s="52" t="s">
        <v>26</v>
      </c>
      <c r="G6929" s="53"/>
    </row>
    <row r="6930">
      <c r="A6930" s="49">
        <v>44767.057869525466</v>
      </c>
      <c r="B6930" s="50">
        <v>44767.1828413426</v>
      </c>
      <c r="C6930" s="51">
        <v>1.004</v>
      </c>
      <c r="D6930" s="51">
        <v>68.0</v>
      </c>
      <c r="E6930" s="52" t="s">
        <v>25</v>
      </c>
      <c r="F6930" s="52" t="s">
        <v>26</v>
      </c>
      <c r="G6930" s="53"/>
    </row>
    <row r="6931">
      <c r="A6931" s="49">
        <v>44767.068287268514</v>
      </c>
      <c r="B6931" s="50">
        <v>44767.1932632407</v>
      </c>
      <c r="C6931" s="51">
        <v>1.004</v>
      </c>
      <c r="D6931" s="51">
        <v>68.0</v>
      </c>
      <c r="E6931" s="52" t="s">
        <v>25</v>
      </c>
      <c r="F6931" s="52" t="s">
        <v>26</v>
      </c>
      <c r="G6931" s="53"/>
    </row>
    <row r="6932">
      <c r="A6932" s="49">
        <v>44767.07873114583</v>
      </c>
      <c r="B6932" s="50">
        <v>44767.2036970486</v>
      </c>
      <c r="C6932" s="51">
        <v>1.004</v>
      </c>
      <c r="D6932" s="51">
        <v>68.0</v>
      </c>
      <c r="E6932" s="52" t="s">
        <v>25</v>
      </c>
      <c r="F6932" s="52" t="s">
        <v>26</v>
      </c>
      <c r="G6932" s="53"/>
    </row>
    <row r="6933">
      <c r="A6933" s="49">
        <v>44767.08914384259</v>
      </c>
      <c r="B6933" s="50">
        <v>44767.2141190625</v>
      </c>
      <c r="C6933" s="51">
        <v>1.004</v>
      </c>
      <c r="D6933" s="51">
        <v>69.0</v>
      </c>
      <c r="E6933" s="52" t="s">
        <v>25</v>
      </c>
      <c r="F6933" s="52" t="s">
        <v>26</v>
      </c>
      <c r="G6933" s="53"/>
    </row>
    <row r="6934">
      <c r="A6934" s="49">
        <v>44767.09955753472</v>
      </c>
      <c r="B6934" s="50">
        <v>44767.2245396875</v>
      </c>
      <c r="C6934" s="51">
        <v>1.004</v>
      </c>
      <c r="D6934" s="51">
        <v>68.0</v>
      </c>
      <c r="E6934" s="52" t="s">
        <v>25</v>
      </c>
      <c r="F6934" s="52" t="s">
        <v>26</v>
      </c>
      <c r="G6934" s="53"/>
    </row>
    <row r="6935">
      <c r="A6935" s="49">
        <v>44767.109997141204</v>
      </c>
      <c r="B6935" s="50">
        <v>44767.2349711921</v>
      </c>
      <c r="C6935" s="51">
        <v>1.004</v>
      </c>
      <c r="D6935" s="51">
        <v>69.0</v>
      </c>
      <c r="E6935" s="52" t="s">
        <v>25</v>
      </c>
      <c r="F6935" s="52" t="s">
        <v>26</v>
      </c>
      <c r="G6935" s="53"/>
    </row>
    <row r="6936">
      <c r="A6936" s="49">
        <v>44767.12042096065</v>
      </c>
      <c r="B6936" s="50">
        <v>44767.2453922453</v>
      </c>
      <c r="C6936" s="51">
        <v>1.004</v>
      </c>
      <c r="D6936" s="51">
        <v>69.0</v>
      </c>
      <c r="E6936" s="52" t="s">
        <v>25</v>
      </c>
      <c r="F6936" s="52" t="s">
        <v>26</v>
      </c>
      <c r="G6936" s="53"/>
    </row>
    <row r="6937">
      <c r="A6937" s="49">
        <v>44767.13084184028</v>
      </c>
      <c r="B6937" s="50">
        <v>44767.2558131828</v>
      </c>
      <c r="C6937" s="51">
        <v>1.004</v>
      </c>
      <c r="D6937" s="51">
        <v>69.0</v>
      </c>
      <c r="E6937" s="52" t="s">
        <v>25</v>
      </c>
      <c r="F6937" s="52" t="s">
        <v>26</v>
      </c>
      <c r="G6937" s="53"/>
    </row>
    <row r="6938">
      <c r="A6938" s="49">
        <v>44767.141262488425</v>
      </c>
      <c r="B6938" s="50">
        <v>44767.2662350925</v>
      </c>
      <c r="C6938" s="51">
        <v>1.004</v>
      </c>
      <c r="D6938" s="51">
        <v>69.0</v>
      </c>
      <c r="E6938" s="52" t="s">
        <v>25</v>
      </c>
      <c r="F6938" s="52" t="s">
        <v>26</v>
      </c>
      <c r="G6938" s="53"/>
    </row>
    <row r="6939">
      <c r="A6939" s="49">
        <v>44767.15168403935</v>
      </c>
      <c r="B6939" s="50">
        <v>44767.2766550925</v>
      </c>
      <c r="C6939" s="51">
        <v>1.004</v>
      </c>
      <c r="D6939" s="51">
        <v>69.0</v>
      </c>
      <c r="E6939" s="52" t="s">
        <v>25</v>
      </c>
      <c r="F6939" s="52" t="s">
        <v>26</v>
      </c>
      <c r="G6939" s="53"/>
    </row>
    <row r="6940">
      <c r="A6940" s="49">
        <v>44767.16209508102</v>
      </c>
      <c r="B6940" s="50">
        <v>44767.287076956</v>
      </c>
      <c r="C6940" s="51">
        <v>1.004</v>
      </c>
      <c r="D6940" s="51">
        <v>69.0</v>
      </c>
      <c r="E6940" s="52" t="s">
        <v>25</v>
      </c>
      <c r="F6940" s="52" t="s">
        <v>26</v>
      </c>
      <c r="G6940" s="53"/>
    </row>
    <row r="6941">
      <c r="A6941" s="49">
        <v>44767.17252627315</v>
      </c>
      <c r="B6941" s="50">
        <v>44767.2974967592</v>
      </c>
      <c r="C6941" s="51">
        <v>1.004</v>
      </c>
      <c r="D6941" s="51">
        <v>69.0</v>
      </c>
      <c r="E6941" s="52" t="s">
        <v>25</v>
      </c>
      <c r="F6941" s="52" t="s">
        <v>26</v>
      </c>
      <c r="G6941" s="53"/>
    </row>
    <row r="6942">
      <c r="A6942" s="49">
        <v>44767.182945925924</v>
      </c>
      <c r="B6942" s="50">
        <v>44767.3079169791</v>
      </c>
      <c r="C6942" s="51">
        <v>1.004</v>
      </c>
      <c r="D6942" s="51">
        <v>69.0</v>
      </c>
      <c r="E6942" s="52" t="s">
        <v>25</v>
      </c>
      <c r="F6942" s="52" t="s">
        <v>26</v>
      </c>
      <c r="G6942" s="53"/>
    </row>
    <row r="6943">
      <c r="A6943" s="49">
        <v>44767.193365486106</v>
      </c>
      <c r="B6943" s="50">
        <v>44767.3183387268</v>
      </c>
      <c r="C6943" s="51">
        <v>1.004</v>
      </c>
      <c r="D6943" s="51">
        <v>69.0</v>
      </c>
      <c r="E6943" s="52" t="s">
        <v>25</v>
      </c>
      <c r="F6943" s="52" t="s">
        <v>26</v>
      </c>
      <c r="G6943" s="53"/>
    </row>
    <row r="6944">
      <c r="A6944" s="49">
        <v>44767.20379269676</v>
      </c>
      <c r="B6944" s="50">
        <v>44767.3287605671</v>
      </c>
      <c r="C6944" s="51">
        <v>1.004</v>
      </c>
      <c r="D6944" s="51">
        <v>69.0</v>
      </c>
      <c r="E6944" s="52" t="s">
        <v>25</v>
      </c>
      <c r="F6944" s="52" t="s">
        <v>26</v>
      </c>
      <c r="G6944" s="53"/>
    </row>
    <row r="6945">
      <c r="A6945" s="49">
        <v>44767.21421501157</v>
      </c>
      <c r="B6945" s="50">
        <v>44767.339194699</v>
      </c>
      <c r="C6945" s="51">
        <v>1.004</v>
      </c>
      <c r="D6945" s="51">
        <v>69.0</v>
      </c>
      <c r="E6945" s="52" t="s">
        <v>25</v>
      </c>
      <c r="F6945" s="52" t="s">
        <v>26</v>
      </c>
      <c r="G6945" s="53"/>
    </row>
    <row r="6946">
      <c r="A6946" s="49">
        <v>44767.224651805554</v>
      </c>
      <c r="B6946" s="50">
        <v>44767.3496271296</v>
      </c>
      <c r="C6946" s="51">
        <v>1.004</v>
      </c>
      <c r="D6946" s="51">
        <v>69.0</v>
      </c>
      <c r="E6946" s="52" t="s">
        <v>25</v>
      </c>
      <c r="F6946" s="52" t="s">
        <v>26</v>
      </c>
      <c r="G6946" s="53"/>
    </row>
    <row r="6947">
      <c r="A6947" s="49">
        <v>44767.235069999995</v>
      </c>
      <c r="B6947" s="50">
        <v>44767.3600456365</v>
      </c>
      <c r="C6947" s="51">
        <v>1.004</v>
      </c>
      <c r="D6947" s="51">
        <v>69.0</v>
      </c>
      <c r="E6947" s="52" t="s">
        <v>25</v>
      </c>
      <c r="F6947" s="52" t="s">
        <v>26</v>
      </c>
      <c r="G6947" s="53"/>
    </row>
    <row r="6948">
      <c r="A6948" s="49">
        <v>44767.24550041667</v>
      </c>
      <c r="B6948" s="50">
        <v>44767.3704690509</v>
      </c>
      <c r="C6948" s="51">
        <v>1.004</v>
      </c>
      <c r="D6948" s="51">
        <v>69.0</v>
      </c>
      <c r="E6948" s="52" t="s">
        <v>25</v>
      </c>
      <c r="F6948" s="52" t="s">
        <v>26</v>
      </c>
      <c r="G6948" s="53"/>
    </row>
    <row r="6949">
      <c r="A6949" s="49">
        <v>44767.255911932865</v>
      </c>
      <c r="B6949" s="50">
        <v>44767.3808918171</v>
      </c>
      <c r="C6949" s="51">
        <v>1.004</v>
      </c>
      <c r="D6949" s="51">
        <v>69.0</v>
      </c>
      <c r="E6949" s="52" t="s">
        <v>25</v>
      </c>
      <c r="F6949" s="52" t="s">
        <v>26</v>
      </c>
      <c r="G6949" s="53"/>
    </row>
    <row r="6950">
      <c r="A6950" s="49">
        <v>44767.26635305556</v>
      </c>
      <c r="B6950" s="50">
        <v>44767.3913253472</v>
      </c>
      <c r="C6950" s="51">
        <v>1.004</v>
      </c>
      <c r="D6950" s="51">
        <v>69.0</v>
      </c>
      <c r="E6950" s="52" t="s">
        <v>25</v>
      </c>
      <c r="F6950" s="52" t="s">
        <v>26</v>
      </c>
      <c r="G6950" s="53"/>
    </row>
    <row r="6951">
      <c r="A6951" s="49">
        <v>44767.276769918986</v>
      </c>
      <c r="B6951" s="50">
        <v>44767.4017461689</v>
      </c>
      <c r="C6951" s="51">
        <v>1.004</v>
      </c>
      <c r="D6951" s="51">
        <v>69.0</v>
      </c>
      <c r="E6951" s="52" t="s">
        <v>25</v>
      </c>
      <c r="F6951" s="52" t="s">
        <v>26</v>
      </c>
      <c r="G6951" s="53"/>
    </row>
    <row r="6952">
      <c r="A6952" s="49">
        <v>44767.28721592593</v>
      </c>
      <c r="B6952" s="50">
        <v>44767.4121807407</v>
      </c>
      <c r="C6952" s="51">
        <v>1.004</v>
      </c>
      <c r="D6952" s="51">
        <v>69.0</v>
      </c>
      <c r="E6952" s="52" t="s">
        <v>25</v>
      </c>
      <c r="F6952" s="52" t="s">
        <v>26</v>
      </c>
      <c r="G6952" s="53"/>
    </row>
    <row r="6953">
      <c r="A6953" s="49">
        <v>44767.29764243055</v>
      </c>
      <c r="B6953" s="50">
        <v>44767.4226137963</v>
      </c>
      <c r="C6953" s="51">
        <v>1.004</v>
      </c>
      <c r="D6953" s="51">
        <v>69.0</v>
      </c>
      <c r="E6953" s="52" t="s">
        <v>25</v>
      </c>
      <c r="F6953" s="52" t="s">
        <v>26</v>
      </c>
      <c r="G6953" s="53"/>
    </row>
    <row r="6954">
      <c r="A6954" s="49">
        <v>44767.30805921296</v>
      </c>
      <c r="B6954" s="50">
        <v>44767.4330357291</v>
      </c>
      <c r="C6954" s="51">
        <v>1.004</v>
      </c>
      <c r="D6954" s="51">
        <v>69.0</v>
      </c>
      <c r="E6954" s="52" t="s">
        <v>25</v>
      </c>
      <c r="F6954" s="52" t="s">
        <v>26</v>
      </c>
      <c r="G6954" s="53"/>
    </row>
    <row r="6955">
      <c r="A6955" s="49">
        <v>44767.318495300926</v>
      </c>
      <c r="B6955" s="50">
        <v>44767.4434671064</v>
      </c>
      <c r="C6955" s="51">
        <v>1.004</v>
      </c>
      <c r="D6955" s="51">
        <v>69.0</v>
      </c>
      <c r="E6955" s="52" t="s">
        <v>25</v>
      </c>
      <c r="F6955" s="52" t="s">
        <v>26</v>
      </c>
      <c r="G6955" s="53"/>
    </row>
    <row r="6956">
      <c r="A6956" s="49">
        <v>44767.32891979167</v>
      </c>
      <c r="B6956" s="50">
        <v>44767.4538891782</v>
      </c>
      <c r="C6956" s="51">
        <v>1.004</v>
      </c>
      <c r="D6956" s="51">
        <v>69.0</v>
      </c>
      <c r="E6956" s="52" t="s">
        <v>25</v>
      </c>
      <c r="F6956" s="52" t="s">
        <v>26</v>
      </c>
      <c r="G6956" s="53"/>
    </row>
    <row r="6957">
      <c r="A6957" s="49">
        <v>44767.33933725694</v>
      </c>
      <c r="B6957" s="50">
        <v>44767.4643102662</v>
      </c>
      <c r="C6957" s="51">
        <v>1.004</v>
      </c>
      <c r="D6957" s="51">
        <v>69.0</v>
      </c>
      <c r="E6957" s="52" t="s">
        <v>25</v>
      </c>
      <c r="F6957" s="52" t="s">
        <v>26</v>
      </c>
      <c r="G6957" s="53"/>
    </row>
    <row r="6958">
      <c r="A6958" s="49">
        <v>44767.34976548611</v>
      </c>
      <c r="B6958" s="50">
        <v>44767.4747417245</v>
      </c>
      <c r="C6958" s="51">
        <v>1.004</v>
      </c>
      <c r="D6958" s="51">
        <v>69.0</v>
      </c>
      <c r="E6958" s="52" t="s">
        <v>25</v>
      </c>
      <c r="F6958" s="52" t="s">
        <v>26</v>
      </c>
      <c r="G6958" s="53"/>
    </row>
    <row r="6959">
      <c r="A6959" s="49">
        <v>44767.36019481481</v>
      </c>
      <c r="B6959" s="50">
        <v>44767.4851630902</v>
      </c>
      <c r="C6959" s="51">
        <v>1.004</v>
      </c>
      <c r="D6959" s="51">
        <v>69.0</v>
      </c>
      <c r="E6959" s="52" t="s">
        <v>25</v>
      </c>
      <c r="F6959" s="52" t="s">
        <v>26</v>
      </c>
      <c r="G6959" s="53"/>
    </row>
    <row r="6960">
      <c r="A6960" s="49">
        <v>44767.37062472222</v>
      </c>
      <c r="B6960" s="50">
        <v>44767.4955852199</v>
      </c>
      <c r="C6960" s="51">
        <v>1.004</v>
      </c>
      <c r="D6960" s="51">
        <v>69.0</v>
      </c>
      <c r="E6960" s="52" t="s">
        <v>25</v>
      </c>
      <c r="F6960" s="52" t="s">
        <v>26</v>
      </c>
      <c r="G6960" s="53"/>
    </row>
    <row r="6961">
      <c r="A6961" s="49">
        <v>44767.381048344905</v>
      </c>
      <c r="B6961" s="50">
        <v>44767.5060170833</v>
      </c>
      <c r="C6961" s="51">
        <v>1.004</v>
      </c>
      <c r="D6961" s="51">
        <v>69.0</v>
      </c>
      <c r="E6961" s="52" t="s">
        <v>25</v>
      </c>
      <c r="F6961" s="52" t="s">
        <v>26</v>
      </c>
      <c r="G6961" s="53"/>
    </row>
    <row r="6962">
      <c r="A6962" s="49">
        <v>44767.39148121528</v>
      </c>
      <c r="B6962" s="50">
        <v>44767.5164492708</v>
      </c>
      <c r="C6962" s="51">
        <v>1.004</v>
      </c>
      <c r="D6962" s="51">
        <v>69.0</v>
      </c>
      <c r="E6962" s="52" t="s">
        <v>25</v>
      </c>
      <c r="F6962" s="52" t="s">
        <v>26</v>
      </c>
      <c r="G6962" s="53"/>
    </row>
    <row r="6963">
      <c r="A6963" s="49">
        <v>44767.401908506945</v>
      </c>
      <c r="B6963" s="50">
        <v>44767.5268700925</v>
      </c>
      <c r="C6963" s="51">
        <v>1.004</v>
      </c>
      <c r="D6963" s="51">
        <v>69.0</v>
      </c>
      <c r="E6963" s="52" t="s">
        <v>25</v>
      </c>
      <c r="F6963" s="52" t="s">
        <v>26</v>
      </c>
      <c r="G6963" s="53"/>
    </row>
    <row r="6964">
      <c r="A6964" s="49">
        <v>44767.412319849536</v>
      </c>
      <c r="B6964" s="50">
        <v>44767.5372911458</v>
      </c>
      <c r="C6964" s="51">
        <v>1.004</v>
      </c>
      <c r="D6964" s="51">
        <v>69.0</v>
      </c>
      <c r="E6964" s="52" t="s">
        <v>25</v>
      </c>
      <c r="F6964" s="52" t="s">
        <v>26</v>
      </c>
      <c r="G6964" s="53"/>
    </row>
    <row r="6965">
      <c r="A6965" s="49">
        <v>44767.42273530093</v>
      </c>
      <c r="B6965" s="50">
        <v>44767.5477124884</v>
      </c>
      <c r="C6965" s="51">
        <v>1.004</v>
      </c>
      <c r="D6965" s="51">
        <v>69.0</v>
      </c>
      <c r="E6965" s="52" t="s">
        <v>25</v>
      </c>
      <c r="F6965" s="52" t="s">
        <v>26</v>
      </c>
      <c r="G6965" s="53"/>
    </row>
    <row r="6966">
      <c r="A6966" s="49">
        <v>44767.433163124995</v>
      </c>
      <c r="B6966" s="50">
        <v>44767.5581442245</v>
      </c>
      <c r="C6966" s="51">
        <v>1.004</v>
      </c>
      <c r="D6966" s="51">
        <v>69.0</v>
      </c>
      <c r="E6966" s="52" t="s">
        <v>25</v>
      </c>
      <c r="F6966" s="52" t="s">
        <v>26</v>
      </c>
      <c r="G6966" s="53"/>
    </row>
    <row r="6967">
      <c r="A6967" s="49">
        <v>44767.443595324075</v>
      </c>
      <c r="B6967" s="50">
        <v>44767.568576655</v>
      </c>
      <c r="C6967" s="51">
        <v>1.004</v>
      </c>
      <c r="D6967" s="51">
        <v>69.0</v>
      </c>
      <c r="E6967" s="52" t="s">
        <v>25</v>
      </c>
      <c r="F6967" s="52" t="s">
        <v>26</v>
      </c>
      <c r="G6967" s="53"/>
    </row>
    <row r="6968">
      <c r="A6968" s="49">
        <v>44767.45401605324</v>
      </c>
      <c r="B6968" s="50">
        <v>44767.5789960648</v>
      </c>
      <c r="C6968" s="51">
        <v>1.004</v>
      </c>
      <c r="D6968" s="51">
        <v>69.0</v>
      </c>
      <c r="E6968" s="52" t="s">
        <v>25</v>
      </c>
      <c r="F6968" s="52" t="s">
        <v>26</v>
      </c>
      <c r="G6968" s="53"/>
    </row>
    <row r="6969">
      <c r="A6969" s="49">
        <v>44767.46443519676</v>
      </c>
      <c r="B6969" s="50">
        <v>44767.5894160185</v>
      </c>
      <c r="C6969" s="51">
        <v>1.004</v>
      </c>
      <c r="D6969" s="51">
        <v>69.0</v>
      </c>
      <c r="E6969" s="52" t="s">
        <v>25</v>
      </c>
      <c r="F6969" s="52" t="s">
        <v>26</v>
      </c>
      <c r="G6969" s="53"/>
    </row>
    <row r="6970">
      <c r="A6970" s="49">
        <v>44767.47486282408</v>
      </c>
      <c r="B6970" s="50">
        <v>44767.5998365393</v>
      </c>
      <c r="C6970" s="51">
        <v>1.004</v>
      </c>
      <c r="D6970" s="51">
        <v>69.0</v>
      </c>
      <c r="E6970" s="52" t="s">
        <v>25</v>
      </c>
      <c r="F6970" s="52" t="s">
        <v>26</v>
      </c>
      <c r="G6970" s="53"/>
    </row>
    <row r="6971">
      <c r="A6971" s="49">
        <v>44767.48527226852</v>
      </c>
      <c r="B6971" s="50">
        <v>44767.6102557291</v>
      </c>
      <c r="C6971" s="51">
        <v>1.004</v>
      </c>
      <c r="D6971" s="51">
        <v>69.0</v>
      </c>
      <c r="E6971" s="52" t="s">
        <v>25</v>
      </c>
      <c r="F6971" s="52" t="s">
        <v>26</v>
      </c>
      <c r="G6971" s="53"/>
    </row>
    <row r="6972">
      <c r="A6972" s="49">
        <v>44767.49570003472</v>
      </c>
      <c r="B6972" s="50">
        <v>44767.6206774074</v>
      </c>
      <c r="C6972" s="51">
        <v>1.004</v>
      </c>
      <c r="D6972" s="51">
        <v>69.0</v>
      </c>
      <c r="E6972" s="52" t="s">
        <v>25</v>
      </c>
      <c r="F6972" s="52" t="s">
        <v>26</v>
      </c>
      <c r="G6972" s="53"/>
    </row>
    <row r="6973">
      <c r="A6973" s="49">
        <v>44767.5061283449</v>
      </c>
      <c r="B6973" s="50">
        <v>44767.6310985185</v>
      </c>
      <c r="C6973" s="51">
        <v>1.004</v>
      </c>
      <c r="D6973" s="51">
        <v>69.0</v>
      </c>
      <c r="E6973" s="52" t="s">
        <v>25</v>
      </c>
      <c r="F6973" s="52" t="s">
        <v>26</v>
      </c>
      <c r="G6973" s="53"/>
    </row>
    <row r="6974">
      <c r="A6974" s="49">
        <v>44767.5165531713</v>
      </c>
      <c r="B6974" s="50">
        <v>44767.6415199305</v>
      </c>
      <c r="C6974" s="51">
        <v>1.004</v>
      </c>
      <c r="D6974" s="51">
        <v>69.0</v>
      </c>
      <c r="E6974" s="52" t="s">
        <v>25</v>
      </c>
      <c r="F6974" s="52" t="s">
        <v>26</v>
      </c>
      <c r="G6974" s="53"/>
    </row>
    <row r="6975">
      <c r="A6975" s="49">
        <v>44767.52695755787</v>
      </c>
      <c r="B6975" s="50">
        <v>44767.6519413773</v>
      </c>
      <c r="C6975" s="51">
        <v>1.004</v>
      </c>
      <c r="D6975" s="51">
        <v>69.0</v>
      </c>
      <c r="E6975" s="52" t="s">
        <v>25</v>
      </c>
      <c r="F6975" s="52" t="s">
        <v>26</v>
      </c>
      <c r="G6975" s="53"/>
    </row>
    <row r="6976">
      <c r="A6976" s="49">
        <v>44767.53738908565</v>
      </c>
      <c r="B6976" s="50">
        <v>44767.662361956</v>
      </c>
      <c r="C6976" s="51">
        <v>1.004</v>
      </c>
      <c r="D6976" s="51">
        <v>69.0</v>
      </c>
      <c r="E6976" s="52" t="s">
        <v>25</v>
      </c>
      <c r="F6976" s="52" t="s">
        <v>26</v>
      </c>
      <c r="G6976" s="53"/>
    </row>
    <row r="6977">
      <c r="A6977" s="49">
        <v>44767.547794375</v>
      </c>
      <c r="B6977" s="50">
        <v>44767.6727814814</v>
      </c>
      <c r="C6977" s="51">
        <v>1.004</v>
      </c>
      <c r="D6977" s="51">
        <v>69.0</v>
      </c>
      <c r="E6977" s="52" t="s">
        <v>25</v>
      </c>
      <c r="F6977" s="52" t="s">
        <v>26</v>
      </c>
      <c r="G6977" s="53"/>
    </row>
    <row r="6978">
      <c r="A6978" s="49">
        <v>44767.55823273148</v>
      </c>
      <c r="B6978" s="50">
        <v>44767.6832026273</v>
      </c>
      <c r="C6978" s="51">
        <v>1.004</v>
      </c>
      <c r="D6978" s="51">
        <v>69.0</v>
      </c>
      <c r="E6978" s="52" t="s">
        <v>25</v>
      </c>
      <c r="F6978" s="52" t="s">
        <v>26</v>
      </c>
      <c r="G6978" s="53"/>
    </row>
    <row r="6979">
      <c r="A6979" s="49">
        <v>44767.56864861111</v>
      </c>
      <c r="B6979" s="50">
        <v>44767.693621493</v>
      </c>
      <c r="C6979" s="51">
        <v>1.004</v>
      </c>
      <c r="D6979" s="51">
        <v>69.0</v>
      </c>
      <c r="E6979" s="52" t="s">
        <v>25</v>
      </c>
      <c r="F6979" s="52" t="s">
        <v>26</v>
      </c>
      <c r="G6979" s="53"/>
    </row>
    <row r="6980">
      <c r="A6980" s="49">
        <v>44767.579064537036</v>
      </c>
      <c r="B6980" s="50">
        <v>44767.7040436689</v>
      </c>
      <c r="C6980" s="51">
        <v>1.004</v>
      </c>
      <c r="D6980" s="51">
        <v>69.0</v>
      </c>
      <c r="E6980" s="52" t="s">
        <v>25</v>
      </c>
      <c r="F6980" s="52" t="s">
        <v>26</v>
      </c>
      <c r="G6980" s="53"/>
    </row>
    <row r="6981">
      <c r="A6981" s="49">
        <v>44767.59050460648</v>
      </c>
      <c r="B6981" s="50">
        <v>44767.7144639351</v>
      </c>
      <c r="C6981" s="51">
        <v>1.004</v>
      </c>
      <c r="D6981" s="51">
        <v>69.0</v>
      </c>
      <c r="E6981" s="52" t="s">
        <v>25</v>
      </c>
      <c r="F6981" s="52" t="s">
        <v>26</v>
      </c>
      <c r="G6981" s="53"/>
    </row>
    <row r="6982">
      <c r="A6982" s="49">
        <v>44767.599908171294</v>
      </c>
      <c r="B6982" s="50">
        <v>44767.7248858796</v>
      </c>
      <c r="C6982" s="51">
        <v>1.004</v>
      </c>
      <c r="D6982" s="51">
        <v>69.0</v>
      </c>
      <c r="E6982" s="52" t="s">
        <v>25</v>
      </c>
      <c r="F6982" s="52" t="s">
        <v>26</v>
      </c>
      <c r="G6982" s="53"/>
    </row>
    <row r="6983">
      <c r="A6983" s="49">
        <v>44767.61033841435</v>
      </c>
      <c r="B6983" s="50">
        <v>44767.7353053356</v>
      </c>
      <c r="C6983" s="51">
        <v>1.004</v>
      </c>
      <c r="D6983" s="51">
        <v>69.0</v>
      </c>
      <c r="E6983" s="52" t="s">
        <v>25</v>
      </c>
      <c r="F6983" s="52" t="s">
        <v>26</v>
      </c>
      <c r="G6983" s="53"/>
    </row>
    <row r="6984">
      <c r="A6984" s="49">
        <v>44767.620750243055</v>
      </c>
      <c r="B6984" s="50">
        <v>44767.7457272569</v>
      </c>
      <c r="C6984" s="51">
        <v>1.004</v>
      </c>
      <c r="D6984" s="51">
        <v>69.0</v>
      </c>
      <c r="E6984" s="52" t="s">
        <v>25</v>
      </c>
      <c r="F6984" s="52" t="s">
        <v>26</v>
      </c>
      <c r="G6984" s="53"/>
    </row>
    <row r="6985">
      <c r="A6985" s="49">
        <v>44767.631177118055</v>
      </c>
      <c r="B6985" s="50">
        <v>44767.7561492013</v>
      </c>
      <c r="C6985" s="51">
        <v>1.004</v>
      </c>
      <c r="D6985" s="51">
        <v>69.0</v>
      </c>
      <c r="E6985" s="52" t="s">
        <v>25</v>
      </c>
      <c r="F6985" s="52" t="s">
        <v>26</v>
      </c>
      <c r="G6985" s="53"/>
    </row>
    <row r="6986">
      <c r="A6986" s="49">
        <v>44767.64160267361</v>
      </c>
      <c r="B6986" s="50">
        <v>44767.7665808333</v>
      </c>
      <c r="C6986" s="51">
        <v>1.004</v>
      </c>
      <c r="D6986" s="51">
        <v>69.0</v>
      </c>
      <c r="E6986" s="52" t="s">
        <v>25</v>
      </c>
      <c r="F6986" s="52" t="s">
        <v>26</v>
      </c>
      <c r="G6986" s="53"/>
    </row>
    <row r="6987">
      <c r="A6987" s="49">
        <v>44767.65204460648</v>
      </c>
      <c r="B6987" s="50">
        <v>44767.777015787</v>
      </c>
      <c r="C6987" s="51">
        <v>1.004</v>
      </c>
      <c r="D6987" s="51">
        <v>69.0</v>
      </c>
      <c r="E6987" s="52" t="s">
        <v>25</v>
      </c>
      <c r="F6987" s="52" t="s">
        <v>26</v>
      </c>
      <c r="G6987" s="53"/>
    </row>
    <row r="6988">
      <c r="A6988" s="49">
        <v>44767.66246688657</v>
      </c>
      <c r="B6988" s="50">
        <v>44767.7874380324</v>
      </c>
      <c r="C6988" s="51">
        <v>1.004</v>
      </c>
      <c r="D6988" s="51">
        <v>69.0</v>
      </c>
      <c r="E6988" s="52" t="s">
        <v>25</v>
      </c>
      <c r="F6988" s="52" t="s">
        <v>26</v>
      </c>
      <c r="G6988" s="53"/>
    </row>
    <row r="6989">
      <c r="A6989" s="49">
        <v>44767.67289472222</v>
      </c>
      <c r="B6989" s="50">
        <v>44767.7978706365</v>
      </c>
      <c r="C6989" s="51">
        <v>1.004</v>
      </c>
      <c r="D6989" s="51">
        <v>69.0</v>
      </c>
      <c r="E6989" s="52" t="s">
        <v>25</v>
      </c>
      <c r="F6989" s="52" t="s">
        <v>26</v>
      </c>
      <c r="G6989" s="53"/>
    </row>
    <row r="6990">
      <c r="A6990" s="49">
        <v>44767.68331982639</v>
      </c>
      <c r="B6990" s="50">
        <v>44767.808293831</v>
      </c>
      <c r="C6990" s="51">
        <v>1.004</v>
      </c>
      <c r="D6990" s="51">
        <v>69.0</v>
      </c>
      <c r="E6990" s="52" t="s">
        <v>25</v>
      </c>
      <c r="F6990" s="52" t="s">
        <v>26</v>
      </c>
      <c r="G6990" s="53"/>
    </row>
    <row r="6991">
      <c r="A6991" s="49">
        <v>44767.69373951389</v>
      </c>
      <c r="B6991" s="50">
        <v>44767.8187131713</v>
      </c>
      <c r="C6991" s="51">
        <v>1.004</v>
      </c>
      <c r="D6991" s="51">
        <v>69.0</v>
      </c>
      <c r="E6991" s="52" t="s">
        <v>25</v>
      </c>
      <c r="F6991" s="52" t="s">
        <v>26</v>
      </c>
      <c r="G6991" s="53"/>
    </row>
    <row r="6992">
      <c r="A6992" s="49">
        <v>44767.704156736116</v>
      </c>
      <c r="B6992" s="50">
        <v>44767.829134537</v>
      </c>
      <c r="C6992" s="51">
        <v>1.004</v>
      </c>
      <c r="D6992" s="51">
        <v>69.0</v>
      </c>
      <c r="E6992" s="52" t="s">
        <v>25</v>
      </c>
      <c r="F6992" s="52" t="s">
        <v>26</v>
      </c>
      <c r="G6992" s="53"/>
    </row>
    <row r="6993">
      <c r="A6993" s="49">
        <v>44767.71458021991</v>
      </c>
      <c r="B6993" s="50">
        <v>44767.8395535416</v>
      </c>
      <c r="C6993" s="51">
        <v>1.004</v>
      </c>
      <c r="D6993" s="51">
        <v>69.0</v>
      </c>
      <c r="E6993" s="52" t="s">
        <v>25</v>
      </c>
      <c r="F6993" s="52" t="s">
        <v>26</v>
      </c>
      <c r="G6993" s="53"/>
    </row>
    <row r="6994">
      <c r="A6994" s="49">
        <v>44767.724998819445</v>
      </c>
      <c r="B6994" s="50">
        <v>44767.8499734838</v>
      </c>
      <c r="C6994" s="51">
        <v>1.004</v>
      </c>
      <c r="D6994" s="51">
        <v>69.0</v>
      </c>
      <c r="E6994" s="52" t="s">
        <v>25</v>
      </c>
      <c r="F6994" s="52" t="s">
        <v>26</v>
      </c>
      <c r="G6994" s="53"/>
    </row>
    <row r="6995">
      <c r="A6995" s="49">
        <v>44767.73542340277</v>
      </c>
      <c r="B6995" s="50">
        <v>44767.8603943865</v>
      </c>
      <c r="C6995" s="51">
        <v>1.004</v>
      </c>
      <c r="D6995" s="51">
        <v>69.0</v>
      </c>
      <c r="E6995" s="52" t="s">
        <v>25</v>
      </c>
      <c r="F6995" s="52" t="s">
        <v>26</v>
      </c>
      <c r="G6995" s="53"/>
    </row>
    <row r="6996">
      <c r="A6996" s="49">
        <v>44767.745833622685</v>
      </c>
      <c r="B6996" s="50">
        <v>44767.8708140277</v>
      </c>
      <c r="C6996" s="51">
        <v>1.004</v>
      </c>
      <c r="D6996" s="51">
        <v>69.0</v>
      </c>
      <c r="E6996" s="52" t="s">
        <v>25</v>
      </c>
      <c r="F6996" s="52" t="s">
        <v>26</v>
      </c>
      <c r="G6996" s="53"/>
    </row>
    <row r="6997">
      <c r="A6997" s="49">
        <v>44767.75628818287</v>
      </c>
      <c r="B6997" s="50">
        <v>44767.8812584837</v>
      </c>
      <c r="C6997" s="51">
        <v>1.004</v>
      </c>
      <c r="D6997" s="51">
        <v>69.0</v>
      </c>
      <c r="E6997" s="52" t="s">
        <v>25</v>
      </c>
      <c r="F6997" s="52" t="s">
        <v>26</v>
      </c>
      <c r="G6997" s="53"/>
    </row>
    <row r="6998">
      <c r="A6998" s="49">
        <v>44767.76670609954</v>
      </c>
      <c r="B6998" s="50">
        <v>44767.8916804976</v>
      </c>
      <c r="C6998" s="51">
        <v>1.004</v>
      </c>
      <c r="D6998" s="51">
        <v>69.0</v>
      </c>
      <c r="E6998" s="52" t="s">
        <v>25</v>
      </c>
      <c r="F6998" s="52" t="s">
        <v>26</v>
      </c>
      <c r="G6998" s="53"/>
    </row>
    <row r="6999">
      <c r="A6999" s="49">
        <v>44767.777124189815</v>
      </c>
      <c r="B6999" s="50">
        <v>44767.9021025</v>
      </c>
      <c r="C6999" s="51">
        <v>1.004</v>
      </c>
      <c r="D6999" s="51">
        <v>69.0</v>
      </c>
      <c r="E6999" s="52" t="s">
        <v>25</v>
      </c>
      <c r="F6999" s="52" t="s">
        <v>26</v>
      </c>
      <c r="G6999" s="53"/>
    </row>
    <row r="7000">
      <c r="A7000" s="49">
        <v>44767.787561516205</v>
      </c>
      <c r="B7000" s="50">
        <v>44767.912535868</v>
      </c>
      <c r="C7000" s="51">
        <v>1.004</v>
      </c>
      <c r="D7000" s="51">
        <v>69.0</v>
      </c>
      <c r="E7000" s="52" t="s">
        <v>25</v>
      </c>
      <c r="F7000" s="52" t="s">
        <v>26</v>
      </c>
      <c r="G7000" s="53"/>
    </row>
    <row r="7001">
      <c r="A7001" s="49">
        <v>44767.797972685185</v>
      </c>
      <c r="B7001" s="50">
        <v>44767.9229555439</v>
      </c>
      <c r="C7001" s="51">
        <v>1.004</v>
      </c>
      <c r="D7001" s="51">
        <v>69.0</v>
      </c>
      <c r="E7001" s="52" t="s">
        <v>25</v>
      </c>
      <c r="F7001" s="52" t="s">
        <v>26</v>
      </c>
      <c r="G7001" s="53"/>
    </row>
    <row r="7002">
      <c r="A7002" s="49">
        <v>44767.80841403935</v>
      </c>
      <c r="B7002" s="50">
        <v>44767.9333870486</v>
      </c>
      <c r="C7002" s="51">
        <v>1.004</v>
      </c>
      <c r="D7002" s="51">
        <v>69.0</v>
      </c>
      <c r="E7002" s="52" t="s">
        <v>25</v>
      </c>
      <c r="F7002" s="52" t="s">
        <v>26</v>
      </c>
      <c r="G7002" s="53"/>
    </row>
    <row r="7003">
      <c r="A7003" s="49">
        <v>44767.81884738426</v>
      </c>
      <c r="B7003" s="50">
        <v>44767.943808831</v>
      </c>
      <c r="C7003" s="51">
        <v>1.004</v>
      </c>
      <c r="D7003" s="51">
        <v>69.0</v>
      </c>
      <c r="E7003" s="52" t="s">
        <v>25</v>
      </c>
      <c r="F7003" s="52" t="s">
        <v>26</v>
      </c>
      <c r="G7003" s="53"/>
    </row>
    <row r="7004">
      <c r="A7004" s="49">
        <v>44767.829253090276</v>
      </c>
      <c r="B7004" s="50">
        <v>44767.9542316898</v>
      </c>
      <c r="C7004" s="51">
        <v>1.004</v>
      </c>
      <c r="D7004" s="51">
        <v>69.0</v>
      </c>
      <c r="E7004" s="52" t="s">
        <v>25</v>
      </c>
      <c r="F7004" s="52" t="s">
        <v>26</v>
      </c>
      <c r="G7004" s="53"/>
    </row>
    <row r="7005">
      <c r="A7005" s="49">
        <v>44767.8396828588</v>
      </c>
      <c r="B7005" s="50">
        <v>44767.9646636574</v>
      </c>
      <c r="C7005" s="51">
        <v>1.004</v>
      </c>
      <c r="D7005" s="51">
        <v>69.0</v>
      </c>
      <c r="E7005" s="52" t="s">
        <v>25</v>
      </c>
      <c r="F7005" s="52" t="s">
        <v>26</v>
      </c>
      <c r="G7005" s="53"/>
    </row>
    <row r="7006">
      <c r="A7006" s="49">
        <v>44767.85013980324</v>
      </c>
      <c r="B7006" s="50">
        <v>44767.9751101388</v>
      </c>
      <c r="C7006" s="51">
        <v>1.004</v>
      </c>
      <c r="D7006" s="51">
        <v>69.0</v>
      </c>
      <c r="E7006" s="52" t="s">
        <v>25</v>
      </c>
      <c r="F7006" s="52" t="s">
        <v>26</v>
      </c>
      <c r="G7006" s="53"/>
    </row>
    <row r="7007">
      <c r="A7007" s="49">
        <v>44767.86058572917</v>
      </c>
      <c r="B7007" s="50">
        <v>44767.9855558796</v>
      </c>
      <c r="C7007" s="51">
        <v>1.004</v>
      </c>
      <c r="D7007" s="51">
        <v>69.0</v>
      </c>
      <c r="E7007" s="52" t="s">
        <v>25</v>
      </c>
      <c r="F7007" s="52" t="s">
        <v>26</v>
      </c>
      <c r="G7007" s="53"/>
    </row>
    <row r="7008">
      <c r="A7008" s="49">
        <v>44767.87100090278</v>
      </c>
      <c r="B7008" s="50">
        <v>44767.9959758217</v>
      </c>
      <c r="C7008" s="51">
        <v>1.004</v>
      </c>
      <c r="D7008" s="51">
        <v>69.0</v>
      </c>
      <c r="E7008" s="52" t="s">
        <v>25</v>
      </c>
      <c r="F7008" s="52" t="s">
        <v>26</v>
      </c>
      <c r="G7008" s="53"/>
    </row>
    <row r="7009">
      <c r="A7009" s="49">
        <v>44767.88142585648</v>
      </c>
      <c r="B7009" s="50">
        <v>44768.006399074</v>
      </c>
      <c r="C7009" s="51">
        <v>1.004</v>
      </c>
      <c r="D7009" s="51">
        <v>69.0</v>
      </c>
      <c r="E7009" s="52" t="s">
        <v>25</v>
      </c>
      <c r="F7009" s="52" t="s">
        <v>26</v>
      </c>
      <c r="G7009" s="53"/>
    </row>
    <row r="7010">
      <c r="A7010" s="49">
        <v>44767.89186083333</v>
      </c>
      <c r="B7010" s="50">
        <v>44768.0168322453</v>
      </c>
      <c r="C7010" s="51">
        <v>1.004</v>
      </c>
      <c r="D7010" s="51">
        <v>69.0</v>
      </c>
      <c r="E7010" s="52" t="s">
        <v>25</v>
      </c>
      <c r="F7010" s="52" t="s">
        <v>26</v>
      </c>
      <c r="G7010" s="53"/>
    </row>
    <row r="7011">
      <c r="A7011" s="49">
        <v>44767.90228045139</v>
      </c>
      <c r="B7011" s="50">
        <v>44768.0272540972</v>
      </c>
      <c r="C7011" s="51">
        <v>1.004</v>
      </c>
      <c r="D7011" s="51">
        <v>69.0</v>
      </c>
      <c r="E7011" s="52" t="s">
        <v>25</v>
      </c>
      <c r="F7011" s="52" t="s">
        <v>26</v>
      </c>
      <c r="G7011" s="53"/>
    </row>
    <row r="7012">
      <c r="A7012" s="49">
        <v>44767.91269576389</v>
      </c>
      <c r="B7012" s="50">
        <v>44768.0376755324</v>
      </c>
      <c r="C7012" s="51">
        <v>1.004</v>
      </c>
      <c r="D7012" s="51">
        <v>69.0</v>
      </c>
      <c r="E7012" s="52" t="s">
        <v>25</v>
      </c>
      <c r="F7012" s="52" t="s">
        <v>26</v>
      </c>
      <c r="G7012" s="53"/>
    </row>
    <row r="7013">
      <c r="A7013" s="49">
        <v>44767.92312784722</v>
      </c>
      <c r="B7013" s="50">
        <v>44768.0480966551</v>
      </c>
      <c r="C7013" s="51">
        <v>1.004</v>
      </c>
      <c r="D7013" s="51">
        <v>69.0</v>
      </c>
      <c r="E7013" s="52" t="s">
        <v>25</v>
      </c>
      <c r="F7013" s="52" t="s">
        <v>26</v>
      </c>
      <c r="G7013" s="53"/>
    </row>
    <row r="7014">
      <c r="A7014" s="49">
        <v>44767.933548078705</v>
      </c>
      <c r="B7014" s="50">
        <v>44768.0585173148</v>
      </c>
      <c r="C7014" s="51">
        <v>1.004</v>
      </c>
      <c r="D7014" s="51">
        <v>69.0</v>
      </c>
      <c r="E7014" s="52" t="s">
        <v>25</v>
      </c>
      <c r="F7014" s="52" t="s">
        <v>26</v>
      </c>
      <c r="G7014" s="53"/>
    </row>
    <row r="7015">
      <c r="A7015" s="49">
        <v>44767.94396671296</v>
      </c>
      <c r="B7015" s="50">
        <v>44768.0689381018</v>
      </c>
      <c r="C7015" s="51">
        <v>1.004</v>
      </c>
      <c r="D7015" s="51">
        <v>69.0</v>
      </c>
      <c r="E7015" s="52" t="s">
        <v>25</v>
      </c>
      <c r="F7015" s="52" t="s">
        <v>26</v>
      </c>
      <c r="G7015" s="53"/>
    </row>
    <row r="7016">
      <c r="A7016" s="49">
        <v>44767.95438818287</v>
      </c>
      <c r="B7016" s="50">
        <v>44768.0793598263</v>
      </c>
      <c r="C7016" s="51">
        <v>1.004</v>
      </c>
      <c r="D7016" s="51">
        <v>69.0</v>
      </c>
      <c r="E7016" s="52" t="s">
        <v>25</v>
      </c>
      <c r="F7016" s="52" t="s">
        <v>26</v>
      </c>
      <c r="G7016" s="53"/>
    </row>
    <row r="7017">
      <c r="A7017" s="49">
        <v>44767.964820891204</v>
      </c>
      <c r="B7017" s="50">
        <v>44768.0897917824</v>
      </c>
      <c r="C7017" s="51">
        <v>1.004</v>
      </c>
      <c r="D7017" s="51">
        <v>69.0</v>
      </c>
      <c r="E7017" s="52" t="s">
        <v>25</v>
      </c>
      <c r="F7017" s="52" t="s">
        <v>26</v>
      </c>
      <c r="G7017" s="53"/>
    </row>
    <row r="7018">
      <c r="A7018" s="49">
        <v>44767.97523239584</v>
      </c>
      <c r="B7018" s="50">
        <v>44768.1002139004</v>
      </c>
      <c r="C7018" s="51">
        <v>1.004</v>
      </c>
      <c r="D7018" s="51">
        <v>69.0</v>
      </c>
      <c r="E7018" s="52" t="s">
        <v>25</v>
      </c>
      <c r="F7018" s="52" t="s">
        <v>26</v>
      </c>
      <c r="G7018" s="53"/>
    </row>
    <row r="7019">
      <c r="A7019" s="49">
        <v>44767.98566576389</v>
      </c>
      <c r="B7019" s="50">
        <v>44768.1106359722</v>
      </c>
      <c r="C7019" s="51">
        <v>1.004</v>
      </c>
      <c r="D7019" s="51">
        <v>69.0</v>
      </c>
      <c r="E7019" s="52" t="s">
        <v>25</v>
      </c>
      <c r="F7019" s="52" t="s">
        <v>26</v>
      </c>
      <c r="G7019" s="53"/>
    </row>
    <row r="7020">
      <c r="A7020" s="49">
        <v>44767.996106921295</v>
      </c>
      <c r="B7020" s="50">
        <v>44768.1210683912</v>
      </c>
      <c r="C7020" s="51">
        <v>1.004</v>
      </c>
      <c r="D7020" s="51">
        <v>69.0</v>
      </c>
      <c r="E7020" s="52" t="s">
        <v>25</v>
      </c>
      <c r="F7020" s="52" t="s">
        <v>26</v>
      </c>
      <c r="G7020" s="53"/>
    </row>
    <row r="7021">
      <c r="A7021" s="49">
        <v>44768.0065178125</v>
      </c>
      <c r="B7021" s="50">
        <v>44768.1314886574</v>
      </c>
      <c r="C7021" s="51">
        <v>1.004</v>
      </c>
      <c r="D7021" s="51">
        <v>70.0</v>
      </c>
      <c r="E7021" s="52" t="s">
        <v>25</v>
      </c>
      <c r="F7021" s="52" t="s">
        <v>26</v>
      </c>
      <c r="G7021" s="53"/>
    </row>
    <row r="7022">
      <c r="A7022" s="49">
        <v>44768.0169322338</v>
      </c>
      <c r="B7022" s="50">
        <v>44768.141910162</v>
      </c>
      <c r="C7022" s="51">
        <v>1.004</v>
      </c>
      <c r="D7022" s="51">
        <v>69.0</v>
      </c>
      <c r="E7022" s="52" t="s">
        <v>25</v>
      </c>
      <c r="F7022" s="52" t="s">
        <v>26</v>
      </c>
      <c r="G7022" s="53"/>
    </row>
    <row r="7023">
      <c r="A7023" s="49">
        <v>44768.02735263889</v>
      </c>
      <c r="B7023" s="50">
        <v>44768.1523325347</v>
      </c>
      <c r="C7023" s="51">
        <v>1.004</v>
      </c>
      <c r="D7023" s="51">
        <v>70.0</v>
      </c>
      <c r="E7023" s="52" t="s">
        <v>25</v>
      </c>
      <c r="F7023" s="52" t="s">
        <v>26</v>
      </c>
      <c r="G7023" s="53"/>
    </row>
    <row r="7024">
      <c r="A7024" s="49">
        <v>44768.03778104167</v>
      </c>
      <c r="B7024" s="50">
        <v>44768.1627516088</v>
      </c>
      <c r="C7024" s="51">
        <v>1.004</v>
      </c>
      <c r="D7024" s="51">
        <v>69.0</v>
      </c>
      <c r="E7024" s="52" t="s">
        <v>25</v>
      </c>
      <c r="F7024" s="52" t="s">
        <v>26</v>
      </c>
      <c r="G7024" s="53"/>
    </row>
    <row r="7025">
      <c r="A7025" s="49">
        <v>44768.04819728009</v>
      </c>
      <c r="B7025" s="50">
        <v>44768.1731725578</v>
      </c>
      <c r="C7025" s="51">
        <v>1.004</v>
      </c>
      <c r="D7025" s="51">
        <v>69.0</v>
      </c>
      <c r="E7025" s="52" t="s">
        <v>25</v>
      </c>
      <c r="F7025" s="52" t="s">
        <v>26</v>
      </c>
      <c r="G7025" s="53"/>
    </row>
    <row r="7026">
      <c r="A7026" s="49">
        <v>44768.05862978009</v>
      </c>
      <c r="B7026" s="50">
        <v>44768.183605787</v>
      </c>
      <c r="C7026" s="51">
        <v>1.004</v>
      </c>
      <c r="D7026" s="51">
        <v>70.0</v>
      </c>
      <c r="E7026" s="52" t="s">
        <v>25</v>
      </c>
      <c r="F7026" s="52" t="s">
        <v>26</v>
      </c>
      <c r="G7026" s="53"/>
    </row>
    <row r="7027">
      <c r="A7027" s="49">
        <v>44768.069047384255</v>
      </c>
      <c r="B7027" s="50">
        <v>44768.1940267129</v>
      </c>
      <c r="C7027" s="51">
        <v>1.004</v>
      </c>
      <c r="D7027" s="51">
        <v>70.0</v>
      </c>
      <c r="E7027" s="52" t="s">
        <v>25</v>
      </c>
      <c r="F7027" s="52" t="s">
        <v>26</v>
      </c>
      <c r="G7027" s="53"/>
    </row>
    <row r="7028">
      <c r="A7028" s="49">
        <v>44768.07947502314</v>
      </c>
      <c r="B7028" s="50">
        <v>44768.2044591782</v>
      </c>
      <c r="C7028" s="51">
        <v>1.004</v>
      </c>
      <c r="D7028" s="51">
        <v>70.0</v>
      </c>
      <c r="E7028" s="52" t="s">
        <v>25</v>
      </c>
      <c r="F7028" s="52" t="s">
        <v>26</v>
      </c>
      <c r="G7028" s="53"/>
    </row>
    <row r="7029">
      <c r="A7029" s="49">
        <v>44768.08990305556</v>
      </c>
      <c r="B7029" s="50">
        <v>44768.2148809722</v>
      </c>
      <c r="C7029" s="51">
        <v>1.004</v>
      </c>
      <c r="D7029" s="51">
        <v>70.0</v>
      </c>
      <c r="E7029" s="52" t="s">
        <v>25</v>
      </c>
      <c r="F7029" s="52" t="s">
        <v>26</v>
      </c>
      <c r="G7029" s="53"/>
    </row>
    <row r="7030">
      <c r="A7030" s="49">
        <v>44768.10032041666</v>
      </c>
      <c r="B7030" s="50">
        <v>44768.2253010069</v>
      </c>
      <c r="C7030" s="51">
        <v>1.004</v>
      </c>
      <c r="D7030" s="51">
        <v>70.0</v>
      </c>
      <c r="E7030" s="52" t="s">
        <v>25</v>
      </c>
      <c r="F7030" s="52" t="s">
        <v>26</v>
      </c>
      <c r="G7030" s="53"/>
    </row>
    <row r="7031">
      <c r="A7031" s="49">
        <v>44768.11075224537</v>
      </c>
      <c r="B7031" s="50">
        <v>44768.2357221643</v>
      </c>
      <c r="C7031" s="51">
        <v>1.004</v>
      </c>
      <c r="D7031" s="51">
        <v>70.0</v>
      </c>
      <c r="E7031" s="52" t="s">
        <v>25</v>
      </c>
      <c r="F7031" s="52" t="s">
        <v>26</v>
      </c>
      <c r="G7031" s="53"/>
    </row>
    <row r="7032">
      <c r="A7032" s="49">
        <v>44768.12116766204</v>
      </c>
      <c r="B7032" s="50">
        <v>44768.2461436689</v>
      </c>
      <c r="C7032" s="51">
        <v>1.004</v>
      </c>
      <c r="D7032" s="51">
        <v>70.0</v>
      </c>
      <c r="E7032" s="52" t="s">
        <v>25</v>
      </c>
      <c r="F7032" s="52" t="s">
        <v>26</v>
      </c>
      <c r="G7032" s="53"/>
    </row>
    <row r="7033">
      <c r="A7033" s="49">
        <v>44768.13158560185</v>
      </c>
      <c r="B7033" s="50">
        <v>44768.2565660416</v>
      </c>
      <c r="C7033" s="51">
        <v>1.004</v>
      </c>
      <c r="D7033" s="51">
        <v>70.0</v>
      </c>
      <c r="E7033" s="52" t="s">
        <v>25</v>
      </c>
      <c r="F7033" s="52" t="s">
        <v>26</v>
      </c>
      <c r="G7033" s="53"/>
    </row>
    <row r="7034">
      <c r="A7034" s="49">
        <v>44768.14201858796</v>
      </c>
      <c r="B7034" s="50">
        <v>44768.2669866435</v>
      </c>
      <c r="C7034" s="51">
        <v>1.004</v>
      </c>
      <c r="D7034" s="51">
        <v>70.0</v>
      </c>
      <c r="E7034" s="52" t="s">
        <v>25</v>
      </c>
      <c r="F7034" s="52" t="s">
        <v>26</v>
      </c>
      <c r="G7034" s="53"/>
    </row>
    <row r="7035">
      <c r="A7035" s="49">
        <v>44768.15243753472</v>
      </c>
      <c r="B7035" s="50">
        <v>44768.27740603</v>
      </c>
      <c r="C7035" s="51">
        <v>1.004</v>
      </c>
      <c r="D7035" s="51">
        <v>70.0</v>
      </c>
      <c r="E7035" s="52" t="s">
        <v>25</v>
      </c>
      <c r="F7035" s="52" t="s">
        <v>26</v>
      </c>
      <c r="G7035" s="53"/>
    </row>
    <row r="7036">
      <c r="A7036" s="49">
        <v>44768.162866087965</v>
      </c>
      <c r="B7036" s="50">
        <v>44768.28784</v>
      </c>
      <c r="C7036" s="51">
        <v>1.004</v>
      </c>
      <c r="D7036" s="51">
        <v>70.0</v>
      </c>
      <c r="E7036" s="52" t="s">
        <v>25</v>
      </c>
      <c r="F7036" s="52" t="s">
        <v>26</v>
      </c>
      <c r="G7036" s="53"/>
    </row>
    <row r="7037">
      <c r="A7037" s="49">
        <v>44768.17329842593</v>
      </c>
      <c r="B7037" s="50">
        <v>44768.2982742129</v>
      </c>
      <c r="C7037" s="51">
        <v>1.004</v>
      </c>
      <c r="D7037" s="51">
        <v>70.0</v>
      </c>
      <c r="E7037" s="52" t="s">
        <v>25</v>
      </c>
      <c r="F7037" s="52" t="s">
        <v>26</v>
      </c>
      <c r="G7037" s="53"/>
    </row>
    <row r="7038">
      <c r="A7038" s="49">
        <v>44768.18371802084</v>
      </c>
      <c r="B7038" s="50">
        <v>44768.3086945486</v>
      </c>
      <c r="C7038" s="51">
        <v>1.004</v>
      </c>
      <c r="D7038" s="51">
        <v>70.0</v>
      </c>
      <c r="E7038" s="52" t="s">
        <v>25</v>
      </c>
      <c r="F7038" s="52" t="s">
        <v>26</v>
      </c>
      <c r="G7038" s="53"/>
    </row>
    <row r="7039">
      <c r="A7039" s="49">
        <v>44768.19414195602</v>
      </c>
      <c r="B7039" s="50">
        <v>44768.3191136458</v>
      </c>
      <c r="C7039" s="51">
        <v>1.004</v>
      </c>
      <c r="D7039" s="51">
        <v>70.0</v>
      </c>
      <c r="E7039" s="52" t="s">
        <v>25</v>
      </c>
      <c r="F7039" s="52" t="s">
        <v>26</v>
      </c>
      <c r="G7039" s="53"/>
    </row>
    <row r="7040">
      <c r="A7040" s="49">
        <v>44768.20456275463</v>
      </c>
      <c r="B7040" s="50">
        <v>44768.3295334838</v>
      </c>
      <c r="C7040" s="51">
        <v>1.004</v>
      </c>
      <c r="D7040" s="51">
        <v>70.0</v>
      </c>
      <c r="E7040" s="52" t="s">
        <v>25</v>
      </c>
      <c r="F7040" s="52" t="s">
        <v>26</v>
      </c>
      <c r="G7040" s="53"/>
    </row>
    <row r="7041">
      <c r="A7041" s="49">
        <v>44768.2149743287</v>
      </c>
      <c r="B7041" s="50">
        <v>44768.3399531018</v>
      </c>
      <c r="C7041" s="51">
        <v>1.004</v>
      </c>
      <c r="D7041" s="51">
        <v>70.0</v>
      </c>
      <c r="E7041" s="52" t="s">
        <v>25</v>
      </c>
      <c r="F7041" s="52" t="s">
        <v>26</v>
      </c>
      <c r="G7041" s="53"/>
    </row>
    <row r="7042">
      <c r="A7042" s="49">
        <v>44768.22539890047</v>
      </c>
      <c r="B7042" s="50">
        <v>44768.3503723726</v>
      </c>
      <c r="C7042" s="51">
        <v>1.004</v>
      </c>
      <c r="D7042" s="51">
        <v>70.0</v>
      </c>
      <c r="E7042" s="52" t="s">
        <v>25</v>
      </c>
      <c r="F7042" s="52" t="s">
        <v>26</v>
      </c>
      <c r="G7042" s="53"/>
    </row>
    <row r="7043">
      <c r="A7043" s="49">
        <v>44768.235821875</v>
      </c>
      <c r="B7043" s="50">
        <v>44768.3607939467</v>
      </c>
      <c r="C7043" s="51">
        <v>1.004</v>
      </c>
      <c r="D7043" s="51">
        <v>70.0</v>
      </c>
      <c r="E7043" s="52" t="s">
        <v>25</v>
      </c>
      <c r="F7043" s="52" t="s">
        <v>26</v>
      </c>
      <c r="G7043" s="53"/>
    </row>
    <row r="7044">
      <c r="A7044" s="49">
        <v>44768.24624877315</v>
      </c>
      <c r="B7044" s="50">
        <v>44768.3712158449</v>
      </c>
      <c r="C7044" s="51">
        <v>1.004</v>
      </c>
      <c r="D7044" s="51">
        <v>70.0</v>
      </c>
      <c r="E7044" s="52" t="s">
        <v>25</v>
      </c>
      <c r="F7044" s="52" t="s">
        <v>26</v>
      </c>
      <c r="G7044" s="53"/>
    </row>
    <row r="7045">
      <c r="A7045" s="49">
        <v>44768.25665775463</v>
      </c>
      <c r="B7045" s="50">
        <v>44768.3816384259</v>
      </c>
      <c r="C7045" s="51">
        <v>1.004</v>
      </c>
      <c r="D7045" s="51">
        <v>70.0</v>
      </c>
      <c r="E7045" s="52" t="s">
        <v>25</v>
      </c>
      <c r="F7045" s="52" t="s">
        <v>26</v>
      </c>
      <c r="G7045" s="53"/>
    </row>
    <row r="7046">
      <c r="A7046" s="49">
        <v>44768.26709313657</v>
      </c>
      <c r="B7046" s="50">
        <v>44768.3920600347</v>
      </c>
      <c r="C7046" s="51">
        <v>1.004</v>
      </c>
      <c r="D7046" s="51">
        <v>70.0</v>
      </c>
      <c r="E7046" s="52" t="s">
        <v>25</v>
      </c>
      <c r="F7046" s="52" t="s">
        <v>26</v>
      </c>
      <c r="G7046" s="53"/>
    </row>
    <row r="7047">
      <c r="A7047" s="49">
        <v>44768.27752350694</v>
      </c>
      <c r="B7047" s="50">
        <v>44768.402493368</v>
      </c>
      <c r="C7047" s="51">
        <v>1.004</v>
      </c>
      <c r="D7047" s="51">
        <v>70.0</v>
      </c>
      <c r="E7047" s="52" t="s">
        <v>25</v>
      </c>
      <c r="F7047" s="52" t="s">
        <v>26</v>
      </c>
      <c r="G7047" s="53"/>
    </row>
    <row r="7048">
      <c r="A7048" s="49">
        <v>44768.287945625</v>
      </c>
      <c r="B7048" s="50">
        <v>44768.412914456</v>
      </c>
      <c r="C7048" s="51">
        <v>1.004</v>
      </c>
      <c r="D7048" s="51">
        <v>70.0</v>
      </c>
      <c r="E7048" s="52" t="s">
        <v>25</v>
      </c>
      <c r="F7048" s="52" t="s">
        <v>26</v>
      </c>
      <c r="G7048" s="53"/>
    </row>
    <row r="7049">
      <c r="A7049" s="49">
        <v>44768.29836314815</v>
      </c>
      <c r="B7049" s="50">
        <v>44768.4233368171</v>
      </c>
      <c r="C7049" s="51">
        <v>1.004</v>
      </c>
      <c r="D7049" s="51">
        <v>70.0</v>
      </c>
      <c r="E7049" s="52" t="s">
        <v>25</v>
      </c>
      <c r="F7049" s="52" t="s">
        <v>26</v>
      </c>
      <c r="G7049" s="53"/>
    </row>
    <row r="7050">
      <c r="A7050" s="49">
        <v>44768.30877831018</v>
      </c>
      <c r="B7050" s="50">
        <v>44768.4337580092</v>
      </c>
      <c r="C7050" s="51">
        <v>1.004</v>
      </c>
      <c r="D7050" s="51">
        <v>70.0</v>
      </c>
      <c r="E7050" s="52" t="s">
        <v>25</v>
      </c>
      <c r="F7050" s="52" t="s">
        <v>26</v>
      </c>
      <c r="G7050" s="53"/>
    </row>
    <row r="7051">
      <c r="A7051" s="49">
        <v>44768.31920024306</v>
      </c>
      <c r="B7051" s="50">
        <v>44768.4441789236</v>
      </c>
      <c r="C7051" s="51">
        <v>1.004</v>
      </c>
      <c r="D7051" s="51">
        <v>70.0</v>
      </c>
      <c r="E7051" s="52" t="s">
        <v>25</v>
      </c>
      <c r="F7051" s="52" t="s">
        <v>26</v>
      </c>
      <c r="G7051" s="53"/>
    </row>
    <row r="7052">
      <c r="A7052" s="49">
        <v>44768.329630555556</v>
      </c>
      <c r="B7052" s="50">
        <v>44768.454612037</v>
      </c>
      <c r="C7052" s="51">
        <v>1.004</v>
      </c>
      <c r="D7052" s="51">
        <v>70.0</v>
      </c>
      <c r="E7052" s="52" t="s">
        <v>25</v>
      </c>
      <c r="F7052" s="52" t="s">
        <v>26</v>
      </c>
      <c r="G7052" s="53"/>
    </row>
    <row r="7053">
      <c r="A7053" s="49">
        <v>44768.34005924768</v>
      </c>
      <c r="B7053" s="50">
        <v>44768.4650330092</v>
      </c>
      <c r="C7053" s="51">
        <v>1.004</v>
      </c>
      <c r="D7053" s="51">
        <v>70.0</v>
      </c>
      <c r="E7053" s="52" t="s">
        <v>25</v>
      </c>
      <c r="F7053" s="52" t="s">
        <v>26</v>
      </c>
      <c r="G7053" s="53"/>
    </row>
    <row r="7054">
      <c r="A7054" s="49">
        <v>44768.35048498843</v>
      </c>
      <c r="B7054" s="50">
        <v>44768.4754542245</v>
      </c>
      <c r="C7054" s="51">
        <v>1.004</v>
      </c>
      <c r="D7054" s="51">
        <v>70.0</v>
      </c>
      <c r="E7054" s="52" t="s">
        <v>25</v>
      </c>
      <c r="F7054" s="52" t="s">
        <v>26</v>
      </c>
      <c r="G7054" s="53"/>
    </row>
    <row r="7055">
      <c r="A7055" s="49">
        <v>44768.360889247684</v>
      </c>
      <c r="B7055" s="50">
        <v>44768.485873206</v>
      </c>
      <c r="C7055" s="51">
        <v>1.004</v>
      </c>
      <c r="D7055" s="51">
        <v>70.0</v>
      </c>
      <c r="E7055" s="52" t="s">
        <v>25</v>
      </c>
      <c r="F7055" s="52" t="s">
        <v>26</v>
      </c>
      <c r="G7055" s="53"/>
    </row>
    <row r="7056">
      <c r="A7056" s="49">
        <v>44768.3713240162</v>
      </c>
      <c r="B7056" s="50">
        <v>44768.4962958796</v>
      </c>
      <c r="C7056" s="51">
        <v>1.004</v>
      </c>
      <c r="D7056" s="51">
        <v>70.0</v>
      </c>
      <c r="E7056" s="52" t="s">
        <v>25</v>
      </c>
      <c r="F7056" s="52" t="s">
        <v>26</v>
      </c>
      <c r="G7056" s="53"/>
    </row>
    <row r="7057">
      <c r="A7057" s="49">
        <v>44768.38174677083</v>
      </c>
      <c r="B7057" s="50">
        <v>44768.5067168287</v>
      </c>
      <c r="C7057" s="51">
        <v>1.004</v>
      </c>
      <c r="D7057" s="51">
        <v>70.0</v>
      </c>
      <c r="E7057" s="52" t="s">
        <v>25</v>
      </c>
      <c r="F7057" s="52" t="s">
        <v>26</v>
      </c>
      <c r="G7057" s="53"/>
    </row>
    <row r="7058">
      <c r="A7058" s="49">
        <v>44768.392163310185</v>
      </c>
      <c r="B7058" s="50">
        <v>44768.5171403125</v>
      </c>
      <c r="C7058" s="51">
        <v>1.004</v>
      </c>
      <c r="D7058" s="51">
        <v>70.0</v>
      </c>
      <c r="E7058" s="52" t="s">
        <v>25</v>
      </c>
      <c r="F7058" s="52" t="s">
        <v>26</v>
      </c>
      <c r="G7058" s="53"/>
    </row>
    <row r="7059">
      <c r="A7059" s="49">
        <v>44768.40259556713</v>
      </c>
      <c r="B7059" s="50">
        <v>44768.5275731134</v>
      </c>
      <c r="C7059" s="51">
        <v>1.004</v>
      </c>
      <c r="D7059" s="51">
        <v>70.0</v>
      </c>
      <c r="E7059" s="52" t="s">
        <v>25</v>
      </c>
      <c r="F7059" s="52" t="s">
        <v>26</v>
      </c>
      <c r="G7059" s="53"/>
    </row>
    <row r="7060">
      <c r="A7060" s="49">
        <v>44768.4130242824</v>
      </c>
      <c r="B7060" s="50">
        <v>44768.5379946412</v>
      </c>
      <c r="C7060" s="51">
        <v>1.004</v>
      </c>
      <c r="D7060" s="51">
        <v>70.0</v>
      </c>
      <c r="E7060" s="52" t="s">
        <v>25</v>
      </c>
      <c r="F7060" s="52" t="s">
        <v>26</v>
      </c>
      <c r="G7060" s="53"/>
    </row>
    <row r="7061">
      <c r="A7061" s="49">
        <v>44768.42344915509</v>
      </c>
      <c r="B7061" s="50">
        <v>44768.5484291088</v>
      </c>
      <c r="C7061" s="51">
        <v>1.004</v>
      </c>
      <c r="D7061" s="51">
        <v>70.0</v>
      </c>
      <c r="E7061" s="52" t="s">
        <v>25</v>
      </c>
      <c r="F7061" s="52" t="s">
        <v>26</v>
      </c>
      <c r="G7061" s="53"/>
    </row>
    <row r="7062">
      <c r="A7062" s="49">
        <v>44768.43388171296</v>
      </c>
      <c r="B7062" s="50">
        <v>44768.558850324</v>
      </c>
      <c r="C7062" s="51">
        <v>1.004</v>
      </c>
      <c r="D7062" s="51">
        <v>70.0</v>
      </c>
      <c r="E7062" s="52" t="s">
        <v>25</v>
      </c>
      <c r="F7062" s="52" t="s">
        <v>26</v>
      </c>
      <c r="G7062" s="53"/>
    </row>
    <row r="7063">
      <c r="A7063" s="49">
        <v>44768.44430030092</v>
      </c>
      <c r="B7063" s="50">
        <v>44768.569271574</v>
      </c>
      <c r="C7063" s="51">
        <v>1.004</v>
      </c>
      <c r="D7063" s="51">
        <v>70.0</v>
      </c>
      <c r="E7063" s="52" t="s">
        <v>25</v>
      </c>
      <c r="F7063" s="52" t="s">
        <v>26</v>
      </c>
      <c r="G7063" s="53"/>
    </row>
    <row r="7064">
      <c r="A7064" s="49">
        <v>44768.45471179398</v>
      </c>
      <c r="B7064" s="50">
        <v>44768.5796894097</v>
      </c>
      <c r="C7064" s="51">
        <v>1.004</v>
      </c>
      <c r="D7064" s="51">
        <v>70.0</v>
      </c>
      <c r="E7064" s="52" t="s">
        <v>25</v>
      </c>
      <c r="F7064" s="52" t="s">
        <v>26</v>
      </c>
      <c r="G7064" s="53"/>
    </row>
    <row r="7065">
      <c r="A7065" s="49">
        <v>44768.46512756945</v>
      </c>
      <c r="B7065" s="50">
        <v>44768.5901102662</v>
      </c>
      <c r="C7065" s="51">
        <v>1.004</v>
      </c>
      <c r="D7065" s="51">
        <v>70.0</v>
      </c>
      <c r="E7065" s="52" t="s">
        <v>25</v>
      </c>
      <c r="F7065" s="52" t="s">
        <v>26</v>
      </c>
      <c r="G7065" s="53"/>
    </row>
    <row r="7066">
      <c r="A7066" s="49">
        <v>44768.47554849537</v>
      </c>
      <c r="B7066" s="50">
        <v>44768.6005322222</v>
      </c>
      <c r="C7066" s="51">
        <v>1.004</v>
      </c>
      <c r="D7066" s="51">
        <v>70.0</v>
      </c>
      <c r="E7066" s="52" t="s">
        <v>25</v>
      </c>
      <c r="F7066" s="52" t="s">
        <v>26</v>
      </c>
      <c r="G7066" s="53"/>
    </row>
    <row r="7067">
      <c r="A7067" s="49">
        <v>44768.48598225694</v>
      </c>
      <c r="B7067" s="50">
        <v>44768.6109535416</v>
      </c>
      <c r="C7067" s="51">
        <v>1.004</v>
      </c>
      <c r="D7067" s="51">
        <v>70.0</v>
      </c>
      <c r="E7067" s="52" t="s">
        <v>25</v>
      </c>
      <c r="F7067" s="52" t="s">
        <v>26</v>
      </c>
      <c r="G7067" s="53"/>
    </row>
    <row r="7068">
      <c r="A7068" s="49">
        <v>44768.49641122685</v>
      </c>
      <c r="B7068" s="50">
        <v>44768.6213864236</v>
      </c>
      <c r="C7068" s="51">
        <v>1.004</v>
      </c>
      <c r="D7068" s="51">
        <v>70.0</v>
      </c>
      <c r="E7068" s="52" t="s">
        <v>25</v>
      </c>
      <c r="F7068" s="52" t="s">
        <v>26</v>
      </c>
      <c r="G7068" s="53"/>
    </row>
    <row r="7069">
      <c r="A7069" s="49">
        <v>44768.50684789351</v>
      </c>
      <c r="B7069" s="50">
        <v>44768.6318188541</v>
      </c>
      <c r="C7069" s="51">
        <v>1.004</v>
      </c>
      <c r="D7069" s="51">
        <v>70.0</v>
      </c>
      <c r="E7069" s="52" t="s">
        <v>25</v>
      </c>
      <c r="F7069" s="52" t="s">
        <v>26</v>
      </c>
      <c r="G7069" s="53"/>
    </row>
    <row r="7070">
      <c r="A7070" s="49">
        <v>44768.5172584838</v>
      </c>
      <c r="B7070" s="50">
        <v>44768.6422403124</v>
      </c>
      <c r="C7070" s="51">
        <v>1.004</v>
      </c>
      <c r="D7070" s="51">
        <v>70.0</v>
      </c>
      <c r="E7070" s="52" t="s">
        <v>25</v>
      </c>
      <c r="F7070" s="52" t="s">
        <v>26</v>
      </c>
      <c r="G7070" s="53"/>
    </row>
    <row r="7071">
      <c r="A7071" s="49">
        <v>44768.52769497685</v>
      </c>
      <c r="B7071" s="50">
        <v>44768.6526637615</v>
      </c>
      <c r="C7071" s="51">
        <v>1.004</v>
      </c>
      <c r="D7071" s="51">
        <v>70.0</v>
      </c>
      <c r="E7071" s="52" t="s">
        <v>25</v>
      </c>
      <c r="F7071" s="52" t="s">
        <v>26</v>
      </c>
      <c r="G7071" s="53"/>
    </row>
    <row r="7072">
      <c r="A7072" s="49">
        <v>44768.53811303241</v>
      </c>
      <c r="B7072" s="50">
        <v>44768.6630862963</v>
      </c>
      <c r="C7072" s="51">
        <v>1.004</v>
      </c>
      <c r="D7072" s="51">
        <v>70.0</v>
      </c>
      <c r="E7072" s="52" t="s">
        <v>25</v>
      </c>
      <c r="F7072" s="52" t="s">
        <v>26</v>
      </c>
      <c r="G7072" s="53"/>
    </row>
    <row r="7073">
      <c r="A7073" s="49">
        <v>44768.548530520835</v>
      </c>
      <c r="B7073" s="50">
        <v>44768.6735087152</v>
      </c>
      <c r="C7073" s="51">
        <v>1.004</v>
      </c>
      <c r="D7073" s="51">
        <v>70.0</v>
      </c>
      <c r="E7073" s="52" t="s">
        <v>25</v>
      </c>
      <c r="F7073" s="52" t="s">
        <v>26</v>
      </c>
      <c r="G7073" s="53"/>
    </row>
    <row r="7074">
      <c r="A7074" s="49">
        <v>44768.55894703703</v>
      </c>
      <c r="B7074" s="50">
        <v>44768.6839293055</v>
      </c>
      <c r="C7074" s="51">
        <v>1.004</v>
      </c>
      <c r="D7074" s="51">
        <v>70.0</v>
      </c>
      <c r="E7074" s="52" t="s">
        <v>25</v>
      </c>
      <c r="F7074" s="52" t="s">
        <v>26</v>
      </c>
      <c r="G7074" s="53"/>
    </row>
    <row r="7075">
      <c r="A7075" s="49">
        <v>44768.569393287034</v>
      </c>
      <c r="B7075" s="50">
        <v>44768.6943617592</v>
      </c>
      <c r="C7075" s="51">
        <v>1.004</v>
      </c>
      <c r="D7075" s="51">
        <v>70.0</v>
      </c>
      <c r="E7075" s="52" t="s">
        <v>25</v>
      </c>
      <c r="F7075" s="52" t="s">
        <v>26</v>
      </c>
      <c r="G7075" s="53"/>
    </row>
    <row r="7076">
      <c r="A7076" s="49">
        <v>44768.5798225</v>
      </c>
      <c r="B7076" s="50">
        <v>44768.7047942824</v>
      </c>
      <c r="C7076" s="51">
        <v>1.004</v>
      </c>
      <c r="D7076" s="51">
        <v>70.0</v>
      </c>
      <c r="E7076" s="52" t="s">
        <v>25</v>
      </c>
      <c r="F7076" s="52" t="s">
        <v>26</v>
      </c>
      <c r="G7076" s="53"/>
    </row>
    <row r="7077">
      <c r="A7077" s="49">
        <v>44768.59026519676</v>
      </c>
      <c r="B7077" s="50">
        <v>44768.7152401273</v>
      </c>
      <c r="C7077" s="51">
        <v>1.004</v>
      </c>
      <c r="D7077" s="51">
        <v>70.0</v>
      </c>
      <c r="E7077" s="52" t="s">
        <v>25</v>
      </c>
      <c r="F7077" s="52" t="s">
        <v>26</v>
      </c>
      <c r="G7077" s="53"/>
    </row>
    <row r="7078">
      <c r="A7078" s="49">
        <v>44768.600686805556</v>
      </c>
      <c r="B7078" s="50">
        <v>44768.7256594213</v>
      </c>
      <c r="C7078" s="51">
        <v>1.004</v>
      </c>
      <c r="D7078" s="51">
        <v>70.0</v>
      </c>
      <c r="E7078" s="52" t="s">
        <v>25</v>
      </c>
      <c r="F7078" s="52" t="s">
        <v>26</v>
      </c>
      <c r="G7078" s="53"/>
    </row>
    <row r="7079">
      <c r="A7079" s="49">
        <v>44768.61110835648</v>
      </c>
      <c r="B7079" s="50">
        <v>44768.7360811574</v>
      </c>
      <c r="C7079" s="51">
        <v>1.004</v>
      </c>
      <c r="D7079" s="51">
        <v>70.0</v>
      </c>
      <c r="E7079" s="52" t="s">
        <v>25</v>
      </c>
      <c r="F7079" s="52" t="s">
        <v>26</v>
      </c>
      <c r="G7079" s="53"/>
    </row>
    <row r="7080">
      <c r="A7080" s="49">
        <v>44768.62152859954</v>
      </c>
      <c r="B7080" s="50">
        <v>44768.7465012268</v>
      </c>
      <c r="C7080" s="51">
        <v>1.004</v>
      </c>
      <c r="D7080" s="51">
        <v>70.0</v>
      </c>
      <c r="E7080" s="52" t="s">
        <v>25</v>
      </c>
      <c r="F7080" s="52" t="s">
        <v>26</v>
      </c>
      <c r="G7080" s="53"/>
    </row>
    <row r="7081">
      <c r="A7081" s="49">
        <v>44768.631951944444</v>
      </c>
      <c r="B7081" s="50">
        <v>44768.7569216087</v>
      </c>
      <c r="C7081" s="51">
        <v>1.004</v>
      </c>
      <c r="D7081" s="51">
        <v>70.0</v>
      </c>
      <c r="E7081" s="52" t="s">
        <v>25</v>
      </c>
      <c r="F7081" s="52" t="s">
        <v>26</v>
      </c>
      <c r="G7081" s="53"/>
    </row>
    <row r="7082">
      <c r="A7082" s="49">
        <v>44768.64236751157</v>
      </c>
      <c r="B7082" s="50">
        <v>44768.767344074</v>
      </c>
      <c r="C7082" s="51">
        <v>1.004</v>
      </c>
      <c r="D7082" s="51">
        <v>69.0</v>
      </c>
      <c r="E7082" s="52" t="s">
        <v>25</v>
      </c>
      <c r="F7082" s="52" t="s">
        <v>26</v>
      </c>
      <c r="G7082" s="53"/>
    </row>
    <row r="7083">
      <c r="A7083" s="49">
        <v>44768.65278552083</v>
      </c>
      <c r="B7083" s="50">
        <v>44768.7777646759</v>
      </c>
      <c r="C7083" s="51">
        <v>1.004</v>
      </c>
      <c r="D7083" s="51">
        <v>69.0</v>
      </c>
      <c r="E7083" s="52" t="s">
        <v>25</v>
      </c>
      <c r="F7083" s="52" t="s">
        <v>26</v>
      </c>
      <c r="G7083" s="53"/>
    </row>
    <row r="7084">
      <c r="A7084" s="49">
        <v>44768.663205324076</v>
      </c>
      <c r="B7084" s="50">
        <v>44768.7881853356</v>
      </c>
      <c r="C7084" s="51">
        <v>1.004</v>
      </c>
      <c r="D7084" s="51">
        <v>68.0</v>
      </c>
      <c r="E7084" s="52" t="s">
        <v>25</v>
      </c>
      <c r="F7084" s="52" t="s">
        <v>26</v>
      </c>
      <c r="G7084" s="53"/>
    </row>
    <row r="7085">
      <c r="A7085" s="49">
        <v>44768.67363662037</v>
      </c>
      <c r="B7085" s="50">
        <v>44768.7986165162</v>
      </c>
      <c r="C7085" s="51">
        <v>1.004</v>
      </c>
      <c r="D7085" s="51">
        <v>67.0</v>
      </c>
      <c r="E7085" s="52" t="s">
        <v>25</v>
      </c>
      <c r="F7085" s="52" t="s">
        <v>26</v>
      </c>
      <c r="G7085" s="53"/>
    </row>
    <row r="7086">
      <c r="A7086" s="49">
        <v>44768.684055833335</v>
      </c>
      <c r="B7086" s="50">
        <v>44768.809038831</v>
      </c>
      <c r="C7086" s="51">
        <v>1.004</v>
      </c>
      <c r="D7086" s="51">
        <v>67.0</v>
      </c>
      <c r="E7086" s="52" t="s">
        <v>25</v>
      </c>
      <c r="F7086" s="52" t="s">
        <v>26</v>
      </c>
      <c r="G7086" s="53"/>
    </row>
    <row r="7087">
      <c r="A7087" s="49">
        <v>44768.69448795139</v>
      </c>
      <c r="B7087" s="50">
        <v>44768.8194614351</v>
      </c>
      <c r="C7087" s="51">
        <v>1.004</v>
      </c>
      <c r="D7087" s="51">
        <v>66.0</v>
      </c>
      <c r="E7087" s="52" t="s">
        <v>25</v>
      </c>
      <c r="F7087" s="52" t="s">
        <v>26</v>
      </c>
      <c r="G7087" s="53"/>
    </row>
    <row r="7088">
      <c r="A7088" s="49">
        <v>44768.70491078704</v>
      </c>
      <c r="B7088" s="50">
        <v>44768.8298817361</v>
      </c>
      <c r="C7088" s="51">
        <v>1.004</v>
      </c>
      <c r="D7088" s="51">
        <v>66.0</v>
      </c>
      <c r="E7088" s="52" t="s">
        <v>25</v>
      </c>
      <c r="F7088" s="52" t="s">
        <v>26</v>
      </c>
      <c r="G7088" s="53"/>
    </row>
    <row r="7089">
      <c r="A7089" s="49">
        <v>44768.715320902775</v>
      </c>
      <c r="B7089" s="50">
        <v>44768.8403008564</v>
      </c>
      <c r="C7089" s="51">
        <v>1.004</v>
      </c>
      <c r="D7089" s="51">
        <v>66.0</v>
      </c>
      <c r="E7089" s="52" t="s">
        <v>25</v>
      </c>
      <c r="F7089" s="52" t="s">
        <v>26</v>
      </c>
      <c r="G7089" s="53"/>
    </row>
    <row r="7090">
      <c r="A7090" s="49">
        <v>44768.72575049769</v>
      </c>
      <c r="B7090" s="50">
        <v>44768.8507224884</v>
      </c>
      <c r="C7090" s="51">
        <v>1.004</v>
      </c>
      <c r="D7090" s="51">
        <v>66.0</v>
      </c>
      <c r="E7090" s="52" t="s">
        <v>25</v>
      </c>
      <c r="F7090" s="52" t="s">
        <v>26</v>
      </c>
      <c r="G7090" s="53"/>
    </row>
    <row r="7091">
      <c r="A7091" s="49">
        <v>44768.73616008102</v>
      </c>
      <c r="B7091" s="50">
        <v>44768.8611433217</v>
      </c>
      <c r="C7091" s="51">
        <v>1.004</v>
      </c>
      <c r="D7091" s="51">
        <v>66.0</v>
      </c>
      <c r="E7091" s="52" t="s">
        <v>25</v>
      </c>
      <c r="F7091" s="52" t="s">
        <v>26</v>
      </c>
      <c r="G7091" s="53"/>
    </row>
    <row r="7092">
      <c r="A7092" s="49">
        <v>44768.74659265047</v>
      </c>
      <c r="B7092" s="50">
        <v>44768.8715639467</v>
      </c>
      <c r="C7092" s="51">
        <v>1.004</v>
      </c>
      <c r="D7092" s="51">
        <v>66.0</v>
      </c>
      <c r="E7092" s="52" t="s">
        <v>25</v>
      </c>
      <c r="F7092" s="52" t="s">
        <v>26</v>
      </c>
      <c r="G7092" s="53"/>
    </row>
    <row r="7093">
      <c r="A7093" s="49">
        <v>44768.75700978009</v>
      </c>
      <c r="B7093" s="50">
        <v>44768.8819845833</v>
      </c>
      <c r="C7093" s="51">
        <v>1.004</v>
      </c>
      <c r="D7093" s="51">
        <v>66.0</v>
      </c>
      <c r="E7093" s="52" t="s">
        <v>25</v>
      </c>
      <c r="F7093" s="52" t="s">
        <v>26</v>
      </c>
      <c r="G7093" s="53"/>
    </row>
    <row r="7094">
      <c r="A7094" s="49">
        <v>44768.76745167824</v>
      </c>
      <c r="B7094" s="50">
        <v>44768.89242978</v>
      </c>
      <c r="C7094" s="51">
        <v>1.004</v>
      </c>
      <c r="D7094" s="51">
        <v>66.0</v>
      </c>
      <c r="E7094" s="52" t="s">
        <v>25</v>
      </c>
      <c r="F7094" s="52" t="s">
        <v>26</v>
      </c>
      <c r="G7094" s="53"/>
    </row>
    <row r="7095">
      <c r="A7095" s="49">
        <v>44768.77788721064</v>
      </c>
      <c r="B7095" s="50">
        <v>44768.9028629513</v>
      </c>
      <c r="C7095" s="51">
        <v>1.003</v>
      </c>
      <c r="D7095" s="51">
        <v>66.0</v>
      </c>
      <c r="E7095" s="52" t="s">
        <v>25</v>
      </c>
      <c r="F7095" s="52" t="s">
        <v>26</v>
      </c>
      <c r="G7095" s="53"/>
    </row>
    <row r="7096">
      <c r="A7096" s="49">
        <v>44768.788299907406</v>
      </c>
      <c r="B7096" s="50">
        <v>44768.9132841782</v>
      </c>
      <c r="C7096" s="51">
        <v>1.004</v>
      </c>
      <c r="D7096" s="51">
        <v>66.0</v>
      </c>
      <c r="E7096" s="52" t="s">
        <v>25</v>
      </c>
      <c r="F7096" s="52" t="s">
        <v>26</v>
      </c>
      <c r="G7096" s="53"/>
    </row>
    <row r="7097">
      <c r="A7097" s="49">
        <v>44768.7987215162</v>
      </c>
      <c r="B7097" s="50">
        <v>44768.9237047338</v>
      </c>
      <c r="C7097" s="51">
        <v>1.004</v>
      </c>
      <c r="D7097" s="51">
        <v>66.0</v>
      </c>
      <c r="E7097" s="52" t="s">
        <v>25</v>
      </c>
      <c r="F7097" s="52" t="s">
        <v>26</v>
      </c>
      <c r="G7097" s="53"/>
    </row>
    <row r="7098">
      <c r="A7098" s="49">
        <v>44768.80915461805</v>
      </c>
      <c r="B7098" s="50">
        <v>44768.9341273842</v>
      </c>
      <c r="C7098" s="51">
        <v>1.004</v>
      </c>
      <c r="D7098" s="51">
        <v>66.0</v>
      </c>
      <c r="E7098" s="52" t="s">
        <v>25</v>
      </c>
      <c r="F7098" s="52" t="s">
        <v>26</v>
      </c>
      <c r="G7098" s="53"/>
    </row>
    <row r="7099">
      <c r="A7099" s="49">
        <v>44768.81957290509</v>
      </c>
      <c r="B7099" s="50">
        <v>44768.9445491319</v>
      </c>
      <c r="C7099" s="51">
        <v>1.004</v>
      </c>
      <c r="D7099" s="51">
        <v>66.0</v>
      </c>
      <c r="E7099" s="52" t="s">
        <v>25</v>
      </c>
      <c r="F7099" s="52" t="s">
        <v>26</v>
      </c>
      <c r="G7099" s="53"/>
    </row>
    <row r="7100">
      <c r="A7100" s="49">
        <v>44768.82999158565</v>
      </c>
      <c r="B7100" s="50">
        <v>44768.9549694213</v>
      </c>
      <c r="C7100" s="51">
        <v>1.004</v>
      </c>
      <c r="D7100" s="51">
        <v>66.0</v>
      </c>
      <c r="E7100" s="52" t="s">
        <v>25</v>
      </c>
      <c r="F7100" s="52" t="s">
        <v>26</v>
      </c>
      <c r="G7100" s="53"/>
    </row>
    <row r="7101">
      <c r="A7101" s="49">
        <v>44768.840421099536</v>
      </c>
      <c r="B7101" s="50">
        <v>44768.9653910648</v>
      </c>
      <c r="C7101" s="51">
        <v>1.004</v>
      </c>
      <c r="D7101" s="51">
        <v>66.0</v>
      </c>
      <c r="E7101" s="52" t="s">
        <v>25</v>
      </c>
      <c r="F7101" s="52" t="s">
        <v>26</v>
      </c>
      <c r="G7101" s="53"/>
    </row>
    <row r="7102">
      <c r="A7102" s="49">
        <v>44768.85084047454</v>
      </c>
      <c r="B7102" s="50">
        <v>44768.9758132523</v>
      </c>
      <c r="C7102" s="51">
        <v>1.004</v>
      </c>
      <c r="D7102" s="51">
        <v>66.0</v>
      </c>
      <c r="E7102" s="52" t="s">
        <v>25</v>
      </c>
      <c r="F7102" s="52" t="s">
        <v>26</v>
      </c>
      <c r="G7102" s="53"/>
    </row>
    <row r="7103">
      <c r="A7103" s="49">
        <v>44768.861261134254</v>
      </c>
      <c r="B7103" s="50">
        <v>44768.9862353472</v>
      </c>
      <c r="C7103" s="51">
        <v>1.004</v>
      </c>
      <c r="D7103" s="51">
        <v>66.0</v>
      </c>
      <c r="E7103" s="52" t="s">
        <v>25</v>
      </c>
      <c r="F7103" s="52" t="s">
        <v>26</v>
      </c>
      <c r="G7103" s="53"/>
    </row>
    <row r="7104">
      <c r="A7104" s="49">
        <v>44768.87167738426</v>
      </c>
      <c r="B7104" s="50">
        <v>44768.9966568634</v>
      </c>
      <c r="C7104" s="51">
        <v>1.004</v>
      </c>
      <c r="D7104" s="51">
        <v>66.0</v>
      </c>
      <c r="E7104" s="52" t="s">
        <v>25</v>
      </c>
      <c r="F7104" s="52" t="s">
        <v>26</v>
      </c>
      <c r="G7104" s="53"/>
    </row>
    <row r="7105">
      <c r="A7105" s="49">
        <v>44768.88210575232</v>
      </c>
      <c r="B7105" s="50">
        <v>44769.0070897106</v>
      </c>
      <c r="C7105" s="51">
        <v>1.004</v>
      </c>
      <c r="D7105" s="51">
        <v>66.0</v>
      </c>
      <c r="E7105" s="52" t="s">
        <v>25</v>
      </c>
      <c r="F7105" s="52" t="s">
        <v>26</v>
      </c>
      <c r="G7105" s="53"/>
    </row>
    <row r="7106">
      <c r="A7106" s="49">
        <v>44768.89254108796</v>
      </c>
      <c r="B7106" s="50">
        <v>44769.017511412</v>
      </c>
      <c r="C7106" s="51">
        <v>1.004</v>
      </c>
      <c r="D7106" s="51">
        <v>66.0</v>
      </c>
      <c r="E7106" s="52" t="s">
        <v>25</v>
      </c>
      <c r="F7106" s="52" t="s">
        <v>26</v>
      </c>
      <c r="G7106" s="53"/>
    </row>
    <row r="7107">
      <c r="A7107" s="49">
        <v>44768.90338349537</v>
      </c>
      <c r="B7107" s="50">
        <v>44769.0279322453</v>
      </c>
      <c r="C7107" s="51">
        <v>1.004</v>
      </c>
      <c r="D7107" s="51">
        <v>66.0</v>
      </c>
      <c r="E7107" s="52" t="s">
        <v>25</v>
      </c>
      <c r="F7107" s="52" t="s">
        <v>26</v>
      </c>
      <c r="G7107" s="53"/>
    </row>
    <row r="7108">
      <c r="A7108" s="49">
        <v>44768.91338253472</v>
      </c>
      <c r="B7108" s="50">
        <v>44769.0383540277</v>
      </c>
      <c r="C7108" s="51">
        <v>1.004</v>
      </c>
      <c r="D7108" s="51">
        <v>66.0</v>
      </c>
      <c r="E7108" s="52" t="s">
        <v>25</v>
      </c>
      <c r="F7108" s="52" t="s">
        <v>26</v>
      </c>
      <c r="G7108" s="53"/>
    </row>
    <row r="7109">
      <c r="A7109" s="49">
        <v>44768.9238045949</v>
      </c>
      <c r="B7109" s="50">
        <v>44769.048773449</v>
      </c>
      <c r="C7109" s="51">
        <v>1.004</v>
      </c>
      <c r="D7109" s="51">
        <v>66.0</v>
      </c>
      <c r="E7109" s="52" t="s">
        <v>25</v>
      </c>
      <c r="F7109" s="52" t="s">
        <v>26</v>
      </c>
      <c r="G7109" s="53"/>
    </row>
    <row r="7110">
      <c r="A7110" s="49">
        <v>44768.93423478009</v>
      </c>
      <c r="B7110" s="50">
        <v>44769.0592043171</v>
      </c>
      <c r="C7110" s="51">
        <v>1.004</v>
      </c>
      <c r="D7110" s="51">
        <v>67.0</v>
      </c>
      <c r="E7110" s="52" t="s">
        <v>25</v>
      </c>
      <c r="F7110" s="52" t="s">
        <v>26</v>
      </c>
      <c r="G7110" s="53"/>
    </row>
    <row r="7111">
      <c r="A7111" s="49">
        <v>44768.94464828704</v>
      </c>
      <c r="B7111" s="50">
        <v>44769.0696249305</v>
      </c>
      <c r="C7111" s="51">
        <v>1.004</v>
      </c>
      <c r="D7111" s="51">
        <v>67.0</v>
      </c>
      <c r="E7111" s="52" t="s">
        <v>25</v>
      </c>
      <c r="F7111" s="52" t="s">
        <v>26</v>
      </c>
      <c r="G7111" s="53"/>
    </row>
    <row r="7112">
      <c r="A7112" s="49">
        <v>44768.95506478009</v>
      </c>
      <c r="B7112" s="50">
        <v>44769.0800465509</v>
      </c>
      <c r="C7112" s="51">
        <v>1.004</v>
      </c>
      <c r="D7112" s="51">
        <v>67.0</v>
      </c>
      <c r="E7112" s="52" t="s">
        <v>25</v>
      </c>
      <c r="F7112" s="52" t="s">
        <v>26</v>
      </c>
      <c r="G7112" s="53"/>
    </row>
    <row r="7113">
      <c r="A7113" s="49">
        <v>44768.965488483795</v>
      </c>
      <c r="B7113" s="50">
        <v>44769.090466875</v>
      </c>
      <c r="C7113" s="51">
        <v>1.004</v>
      </c>
      <c r="D7113" s="51">
        <v>67.0</v>
      </c>
      <c r="E7113" s="52" t="s">
        <v>25</v>
      </c>
      <c r="F7113" s="52" t="s">
        <v>26</v>
      </c>
      <c r="G7113" s="53"/>
    </row>
    <row r="7114">
      <c r="A7114" s="49">
        <v>44768.975905706015</v>
      </c>
      <c r="B7114" s="50">
        <v>44769.1008874189</v>
      </c>
      <c r="C7114" s="51">
        <v>1.004</v>
      </c>
      <c r="D7114" s="51">
        <v>67.0</v>
      </c>
      <c r="E7114" s="52" t="s">
        <v>25</v>
      </c>
      <c r="F7114" s="52" t="s">
        <v>26</v>
      </c>
      <c r="G7114" s="53"/>
    </row>
    <row r="7115">
      <c r="A7115" s="49">
        <v>44768.986343125</v>
      </c>
      <c r="B7115" s="50">
        <v>44769.1113087847</v>
      </c>
      <c r="C7115" s="51">
        <v>1.004</v>
      </c>
      <c r="D7115" s="51">
        <v>67.0</v>
      </c>
      <c r="E7115" s="52" t="s">
        <v>25</v>
      </c>
      <c r="F7115" s="52" t="s">
        <v>26</v>
      </c>
      <c r="G7115" s="53"/>
    </row>
    <row r="7116">
      <c r="A7116" s="49">
        <v>44768.996754444444</v>
      </c>
      <c r="B7116" s="50">
        <v>44769.1217301851</v>
      </c>
      <c r="C7116" s="51">
        <v>1.004</v>
      </c>
      <c r="D7116" s="51">
        <v>67.0</v>
      </c>
      <c r="E7116" s="52" t="s">
        <v>25</v>
      </c>
      <c r="F7116" s="52" t="s">
        <v>26</v>
      </c>
      <c r="G7116" s="53"/>
    </row>
    <row r="7117">
      <c r="A7117" s="49">
        <v>44769.00718270833</v>
      </c>
      <c r="B7117" s="50">
        <v>44769.132151875</v>
      </c>
      <c r="C7117" s="51">
        <v>1.004</v>
      </c>
      <c r="D7117" s="51">
        <v>67.0</v>
      </c>
      <c r="E7117" s="52" t="s">
        <v>25</v>
      </c>
      <c r="F7117" s="52" t="s">
        <v>26</v>
      </c>
      <c r="G7117" s="53"/>
    </row>
    <row r="7118">
      <c r="A7118" s="49">
        <v>44769.01760436343</v>
      </c>
      <c r="B7118" s="50">
        <v>44769.1425745023</v>
      </c>
      <c r="C7118" s="51">
        <v>1.004</v>
      </c>
      <c r="D7118" s="51">
        <v>67.0</v>
      </c>
      <c r="E7118" s="52" t="s">
        <v>25</v>
      </c>
      <c r="F7118" s="52" t="s">
        <v>26</v>
      </c>
      <c r="G7118" s="53"/>
    </row>
    <row r="7119">
      <c r="A7119" s="49">
        <v>44769.02802684028</v>
      </c>
      <c r="B7119" s="50">
        <v>44769.1529951388</v>
      </c>
      <c r="C7119" s="51">
        <v>1.004</v>
      </c>
      <c r="D7119" s="51">
        <v>67.0</v>
      </c>
      <c r="E7119" s="52" t="s">
        <v>25</v>
      </c>
      <c r="F7119" s="52" t="s">
        <v>26</v>
      </c>
      <c r="G7119" s="53"/>
    </row>
    <row r="7120">
      <c r="A7120" s="49">
        <v>44769.03844642361</v>
      </c>
      <c r="B7120" s="50">
        <v>44769.1634164467</v>
      </c>
      <c r="C7120" s="51">
        <v>1.004</v>
      </c>
      <c r="D7120" s="51">
        <v>67.0</v>
      </c>
      <c r="E7120" s="52" t="s">
        <v>25</v>
      </c>
      <c r="F7120" s="52" t="s">
        <v>26</v>
      </c>
      <c r="G7120" s="53"/>
    </row>
    <row r="7121">
      <c r="A7121" s="49">
        <v>44769.04886484954</v>
      </c>
      <c r="B7121" s="50">
        <v>44769.173837581</v>
      </c>
      <c r="C7121" s="51">
        <v>1.004</v>
      </c>
      <c r="D7121" s="51">
        <v>67.0</v>
      </c>
      <c r="E7121" s="52" t="s">
        <v>25</v>
      </c>
      <c r="F7121" s="52" t="s">
        <v>26</v>
      </c>
      <c r="G7121" s="53"/>
    </row>
    <row r="7122">
      <c r="A7122" s="49">
        <v>44769.0593153588</v>
      </c>
      <c r="B7122" s="50">
        <v>44769.1842831944</v>
      </c>
      <c r="C7122" s="51">
        <v>1.004</v>
      </c>
      <c r="D7122" s="51">
        <v>67.0</v>
      </c>
      <c r="E7122" s="52" t="s">
        <v>25</v>
      </c>
      <c r="F7122" s="52" t="s">
        <v>26</v>
      </c>
      <c r="G7122" s="53"/>
    </row>
    <row r="7123">
      <c r="A7123" s="49">
        <v>44769.06973832176</v>
      </c>
      <c r="B7123" s="50">
        <v>44769.1947054861</v>
      </c>
      <c r="C7123" s="51">
        <v>1.004</v>
      </c>
      <c r="D7123" s="51">
        <v>67.0</v>
      </c>
      <c r="E7123" s="52" t="s">
        <v>25</v>
      </c>
      <c r="F7123" s="52" t="s">
        <v>26</v>
      </c>
      <c r="G7123" s="53"/>
    </row>
    <row r="7124">
      <c r="A7124" s="49">
        <v>44769.0801565625</v>
      </c>
      <c r="B7124" s="50">
        <v>44769.2051257754</v>
      </c>
      <c r="C7124" s="51">
        <v>1.004</v>
      </c>
      <c r="D7124" s="51">
        <v>67.0</v>
      </c>
      <c r="E7124" s="52" t="s">
        <v>25</v>
      </c>
      <c r="F7124" s="52" t="s">
        <v>26</v>
      </c>
      <c r="G7124" s="53"/>
    </row>
    <row r="7125">
      <c r="A7125" s="49">
        <v>44769.09057231482</v>
      </c>
      <c r="B7125" s="50">
        <v>44769.2155462268</v>
      </c>
      <c r="C7125" s="51">
        <v>1.004</v>
      </c>
      <c r="D7125" s="51">
        <v>67.0</v>
      </c>
      <c r="E7125" s="52" t="s">
        <v>25</v>
      </c>
      <c r="F7125" s="52" t="s">
        <v>26</v>
      </c>
      <c r="G7125" s="53"/>
    </row>
    <row r="7126">
      <c r="A7126" s="49">
        <v>44769.10099303241</v>
      </c>
      <c r="B7126" s="50">
        <v>44769.2259670833</v>
      </c>
      <c r="C7126" s="51">
        <v>1.004</v>
      </c>
      <c r="D7126" s="51">
        <v>67.0</v>
      </c>
      <c r="E7126" s="52" t="s">
        <v>25</v>
      </c>
      <c r="F7126" s="52" t="s">
        <v>26</v>
      </c>
      <c r="G7126" s="53"/>
    </row>
    <row r="7127">
      <c r="A7127" s="49">
        <v>44769.11140917824</v>
      </c>
      <c r="B7127" s="50">
        <v>44769.2363894213</v>
      </c>
      <c r="C7127" s="51">
        <v>1.004</v>
      </c>
      <c r="D7127" s="51">
        <v>67.0</v>
      </c>
      <c r="E7127" s="52" t="s">
        <v>25</v>
      </c>
      <c r="F7127" s="52" t="s">
        <v>26</v>
      </c>
      <c r="G7127" s="53"/>
    </row>
    <row r="7128">
      <c r="A7128" s="49">
        <v>44769.121839722226</v>
      </c>
      <c r="B7128" s="50">
        <v>44769.2468108217</v>
      </c>
      <c r="C7128" s="51">
        <v>1.004</v>
      </c>
      <c r="D7128" s="51">
        <v>67.0</v>
      </c>
      <c r="E7128" s="52" t="s">
        <v>25</v>
      </c>
      <c r="F7128" s="52" t="s">
        <v>26</v>
      </c>
      <c r="G7128" s="53"/>
    </row>
    <row r="7129">
      <c r="A7129" s="49">
        <v>44769.13225765046</v>
      </c>
      <c r="B7129" s="50">
        <v>44769.2572306713</v>
      </c>
      <c r="C7129" s="51">
        <v>1.004</v>
      </c>
      <c r="D7129" s="51">
        <v>67.0</v>
      </c>
      <c r="E7129" s="52" t="s">
        <v>25</v>
      </c>
      <c r="F7129" s="52" t="s">
        <v>26</v>
      </c>
      <c r="G7129" s="53"/>
    </row>
    <row r="7130">
      <c r="A7130" s="49">
        <v>44769.142676504634</v>
      </c>
      <c r="B7130" s="50">
        <v>44769.2676509606</v>
      </c>
      <c r="C7130" s="51">
        <v>1.004</v>
      </c>
      <c r="D7130" s="51">
        <v>67.0</v>
      </c>
      <c r="E7130" s="52" t="s">
        <v>25</v>
      </c>
      <c r="F7130" s="52" t="s">
        <v>26</v>
      </c>
      <c r="G7130" s="53"/>
    </row>
    <row r="7131">
      <c r="A7131" s="49">
        <v>44769.153091493055</v>
      </c>
      <c r="B7131" s="50">
        <v>44769.278072118</v>
      </c>
      <c r="C7131" s="51">
        <v>1.004</v>
      </c>
      <c r="D7131" s="51">
        <v>67.0</v>
      </c>
      <c r="E7131" s="52" t="s">
        <v>25</v>
      </c>
      <c r="F7131" s="52" t="s">
        <v>26</v>
      </c>
      <c r="G7131" s="53"/>
    </row>
    <row r="7132">
      <c r="A7132" s="49">
        <v>44769.16354608796</v>
      </c>
      <c r="B7132" s="50">
        <v>44769.2885171296</v>
      </c>
      <c r="C7132" s="51">
        <v>1.004</v>
      </c>
      <c r="D7132" s="51">
        <v>67.0</v>
      </c>
      <c r="E7132" s="52" t="s">
        <v>25</v>
      </c>
      <c r="F7132" s="52" t="s">
        <v>26</v>
      </c>
      <c r="G7132" s="53"/>
    </row>
    <row r="7133">
      <c r="A7133" s="49">
        <v>44769.17396403935</v>
      </c>
      <c r="B7133" s="50">
        <v>44769.2989376967</v>
      </c>
      <c r="C7133" s="51">
        <v>1.004</v>
      </c>
      <c r="D7133" s="51">
        <v>67.0</v>
      </c>
      <c r="E7133" s="52" t="s">
        <v>25</v>
      </c>
      <c r="F7133" s="52" t="s">
        <v>26</v>
      </c>
      <c r="G7133" s="53"/>
    </row>
    <row r="7134">
      <c r="A7134" s="49">
        <v>44769.184393981486</v>
      </c>
      <c r="B7134" s="50">
        <v>44769.3093699768</v>
      </c>
      <c r="C7134" s="51">
        <v>1.004</v>
      </c>
      <c r="D7134" s="51">
        <v>67.0</v>
      </c>
      <c r="E7134" s="52" t="s">
        <v>25</v>
      </c>
      <c r="F7134" s="52" t="s">
        <v>26</v>
      </c>
      <c r="G7134" s="53"/>
    </row>
    <row r="7135">
      <c r="A7135" s="49">
        <v>44769.19482116898</v>
      </c>
      <c r="B7135" s="50">
        <v>44769.3197929166</v>
      </c>
      <c r="C7135" s="51">
        <v>1.004</v>
      </c>
      <c r="D7135" s="51">
        <v>67.0</v>
      </c>
      <c r="E7135" s="52" t="s">
        <v>25</v>
      </c>
      <c r="F7135" s="52" t="s">
        <v>26</v>
      </c>
      <c r="G7135" s="53"/>
    </row>
    <row r="7136">
      <c r="A7136" s="49">
        <v>44769.205244895835</v>
      </c>
      <c r="B7136" s="50">
        <v>44769.3302149305</v>
      </c>
      <c r="C7136" s="51">
        <v>1.004</v>
      </c>
      <c r="D7136" s="51">
        <v>67.0</v>
      </c>
      <c r="E7136" s="52" t="s">
        <v>25</v>
      </c>
      <c r="F7136" s="52" t="s">
        <v>26</v>
      </c>
      <c r="G7136" s="53"/>
    </row>
    <row r="7137">
      <c r="A7137" s="49">
        <v>44769.215688344906</v>
      </c>
      <c r="B7137" s="50">
        <v>44769.3406469675</v>
      </c>
      <c r="C7137" s="51">
        <v>1.004</v>
      </c>
      <c r="D7137" s="51">
        <v>67.0</v>
      </c>
      <c r="E7137" s="52" t="s">
        <v>25</v>
      </c>
      <c r="F7137" s="52" t="s">
        <v>26</v>
      </c>
      <c r="G7137" s="53"/>
    </row>
    <row r="7138">
      <c r="A7138" s="49">
        <v>44769.22608940973</v>
      </c>
      <c r="B7138" s="50">
        <v>44769.3510693287</v>
      </c>
      <c r="C7138" s="51">
        <v>1.004</v>
      </c>
      <c r="D7138" s="51">
        <v>67.0</v>
      </c>
      <c r="E7138" s="52" t="s">
        <v>25</v>
      </c>
      <c r="F7138" s="52" t="s">
        <v>26</v>
      </c>
      <c r="G7138" s="53"/>
    </row>
    <row r="7139">
      <c r="A7139" s="49">
        <v>44769.23651636574</v>
      </c>
      <c r="B7139" s="50">
        <v>44769.3614904282</v>
      </c>
      <c r="C7139" s="51">
        <v>1.004</v>
      </c>
      <c r="D7139" s="51">
        <v>67.0</v>
      </c>
      <c r="E7139" s="52" t="s">
        <v>25</v>
      </c>
      <c r="F7139" s="52" t="s">
        <v>26</v>
      </c>
      <c r="G7139" s="53"/>
    </row>
    <row r="7140">
      <c r="A7140" s="49">
        <v>44769.246942997685</v>
      </c>
      <c r="B7140" s="50">
        <v>44769.3719107291</v>
      </c>
      <c r="C7140" s="51">
        <v>1.004</v>
      </c>
      <c r="D7140" s="51">
        <v>67.0</v>
      </c>
      <c r="E7140" s="52" t="s">
        <v>25</v>
      </c>
      <c r="F7140" s="52" t="s">
        <v>26</v>
      </c>
      <c r="G7140" s="53"/>
    </row>
    <row r="7141">
      <c r="A7141" s="49">
        <v>44769.25737664352</v>
      </c>
      <c r="B7141" s="50">
        <v>44769.3823553472</v>
      </c>
      <c r="C7141" s="51">
        <v>1.004</v>
      </c>
      <c r="D7141" s="51">
        <v>67.0</v>
      </c>
      <c r="E7141" s="52" t="s">
        <v>25</v>
      </c>
      <c r="F7141" s="52" t="s">
        <v>26</v>
      </c>
      <c r="G7141" s="53"/>
    </row>
    <row r="7142">
      <c r="A7142" s="49">
        <v>44769.267809259254</v>
      </c>
      <c r="B7142" s="50">
        <v>44769.3927767361</v>
      </c>
      <c r="C7142" s="51">
        <v>1.004</v>
      </c>
      <c r="D7142" s="51">
        <v>67.0</v>
      </c>
      <c r="E7142" s="52" t="s">
        <v>25</v>
      </c>
      <c r="F7142" s="52" t="s">
        <v>26</v>
      </c>
      <c r="G7142" s="53"/>
    </row>
    <row r="7143">
      <c r="A7143" s="49">
        <v>44769.278224814814</v>
      </c>
      <c r="B7143" s="50">
        <v>44769.4031983217</v>
      </c>
      <c r="C7143" s="51">
        <v>1.004</v>
      </c>
      <c r="D7143" s="51">
        <v>67.0</v>
      </c>
      <c r="E7143" s="52" t="s">
        <v>25</v>
      </c>
      <c r="F7143" s="52" t="s">
        <v>26</v>
      </c>
      <c r="G7143" s="53"/>
    </row>
    <row r="7144">
      <c r="A7144" s="49">
        <v>44769.28865643519</v>
      </c>
      <c r="B7144" s="50">
        <v>44769.4136307986</v>
      </c>
      <c r="C7144" s="51">
        <v>1.004</v>
      </c>
      <c r="D7144" s="51">
        <v>67.0</v>
      </c>
      <c r="E7144" s="52" t="s">
        <v>25</v>
      </c>
      <c r="F7144" s="52" t="s">
        <v>26</v>
      </c>
      <c r="G7144" s="53"/>
    </row>
    <row r="7145">
      <c r="A7145" s="49">
        <v>44769.29908358796</v>
      </c>
      <c r="B7145" s="50">
        <v>44769.4240510069</v>
      </c>
      <c r="C7145" s="51">
        <v>1.004</v>
      </c>
      <c r="D7145" s="51">
        <v>67.0</v>
      </c>
      <c r="E7145" s="52" t="s">
        <v>25</v>
      </c>
      <c r="F7145" s="52" t="s">
        <v>26</v>
      </c>
      <c r="G7145" s="53"/>
    </row>
    <row r="7146">
      <c r="A7146" s="49">
        <v>44769.30949309027</v>
      </c>
      <c r="B7146" s="50">
        <v>44769.4344733449</v>
      </c>
      <c r="C7146" s="51">
        <v>1.004</v>
      </c>
      <c r="D7146" s="51">
        <v>67.0</v>
      </c>
      <c r="E7146" s="52" t="s">
        <v>25</v>
      </c>
      <c r="F7146" s="52" t="s">
        <v>26</v>
      </c>
      <c r="G7146" s="53"/>
    </row>
    <row r="7147">
      <c r="A7147" s="49">
        <v>44769.319922731476</v>
      </c>
      <c r="B7147" s="50">
        <v>44769.4448944097</v>
      </c>
      <c r="C7147" s="51">
        <v>1.004</v>
      </c>
      <c r="D7147" s="51">
        <v>67.0</v>
      </c>
      <c r="E7147" s="52" t="s">
        <v>25</v>
      </c>
      <c r="F7147" s="52" t="s">
        <v>26</v>
      </c>
      <c r="G7147" s="53"/>
    </row>
    <row r="7148">
      <c r="A7148" s="49">
        <v>44769.33033997685</v>
      </c>
      <c r="B7148" s="50">
        <v>44769.4553149189</v>
      </c>
      <c r="C7148" s="51">
        <v>1.004</v>
      </c>
      <c r="D7148" s="51">
        <v>67.0</v>
      </c>
      <c r="E7148" s="52" t="s">
        <v>25</v>
      </c>
      <c r="F7148" s="52" t="s">
        <v>26</v>
      </c>
      <c r="G7148" s="53"/>
    </row>
    <row r="7149">
      <c r="A7149" s="49">
        <v>44769.34075337963</v>
      </c>
      <c r="B7149" s="50">
        <v>44769.4657377893</v>
      </c>
      <c r="C7149" s="51">
        <v>1.004</v>
      </c>
      <c r="D7149" s="51">
        <v>67.0</v>
      </c>
      <c r="E7149" s="52" t="s">
        <v>25</v>
      </c>
      <c r="F7149" s="52" t="s">
        <v>26</v>
      </c>
      <c r="G7149" s="53"/>
    </row>
    <row r="7150">
      <c r="A7150" s="49">
        <v>44769.35119509259</v>
      </c>
      <c r="B7150" s="50">
        <v>44769.4761689467</v>
      </c>
      <c r="C7150" s="51">
        <v>1.004</v>
      </c>
      <c r="D7150" s="51">
        <v>67.0</v>
      </c>
      <c r="E7150" s="52" t="s">
        <v>25</v>
      </c>
      <c r="F7150" s="52" t="s">
        <v>26</v>
      </c>
      <c r="G7150" s="53"/>
    </row>
    <row r="7151">
      <c r="A7151" s="49">
        <v>44769.36161799768</v>
      </c>
      <c r="B7151" s="50">
        <v>44769.4866006597</v>
      </c>
      <c r="C7151" s="51">
        <v>1.004</v>
      </c>
      <c r="D7151" s="51">
        <v>67.0</v>
      </c>
      <c r="E7151" s="52" t="s">
        <v>25</v>
      </c>
      <c r="F7151" s="52" t="s">
        <v>26</v>
      </c>
      <c r="G7151" s="53"/>
    </row>
    <row r="7152">
      <c r="A7152" s="49">
        <v>44769.37206268519</v>
      </c>
      <c r="B7152" s="50">
        <v>44769.4970327199</v>
      </c>
      <c r="C7152" s="51">
        <v>1.004</v>
      </c>
      <c r="D7152" s="51">
        <v>67.0</v>
      </c>
      <c r="E7152" s="52" t="s">
        <v>25</v>
      </c>
      <c r="F7152" s="52" t="s">
        <v>26</v>
      </c>
      <c r="G7152" s="53"/>
    </row>
    <row r="7153">
      <c r="A7153" s="49">
        <v>44769.38247861111</v>
      </c>
      <c r="B7153" s="50">
        <v>44769.5074543055</v>
      </c>
      <c r="C7153" s="51">
        <v>1.004</v>
      </c>
      <c r="D7153" s="51">
        <v>67.0</v>
      </c>
      <c r="E7153" s="52" t="s">
        <v>25</v>
      </c>
      <c r="F7153" s="52" t="s">
        <v>26</v>
      </c>
      <c r="G7153" s="53"/>
    </row>
    <row r="7154">
      <c r="A7154" s="49">
        <v>44769.392896770834</v>
      </c>
      <c r="B7154" s="50">
        <v>44769.5178769328</v>
      </c>
      <c r="C7154" s="51">
        <v>1.004</v>
      </c>
      <c r="D7154" s="51">
        <v>67.0</v>
      </c>
      <c r="E7154" s="52" t="s">
        <v>25</v>
      </c>
      <c r="F7154" s="52" t="s">
        <v>26</v>
      </c>
      <c r="G7154" s="53"/>
    </row>
    <row r="7155">
      <c r="A7155" s="49">
        <v>44769.40332622685</v>
      </c>
      <c r="B7155" s="50">
        <v>44769.5282984606</v>
      </c>
      <c r="C7155" s="51">
        <v>1.004</v>
      </c>
      <c r="D7155" s="51">
        <v>67.0</v>
      </c>
      <c r="E7155" s="52" t="s">
        <v>25</v>
      </c>
      <c r="F7155" s="52" t="s">
        <v>26</v>
      </c>
      <c r="G7155" s="53"/>
    </row>
    <row r="7156">
      <c r="A7156" s="49">
        <v>44769.41373961806</v>
      </c>
      <c r="B7156" s="50">
        <v>44769.5387191666</v>
      </c>
      <c r="C7156" s="51">
        <v>1.004</v>
      </c>
      <c r="D7156" s="51">
        <v>67.0</v>
      </c>
      <c r="E7156" s="52" t="s">
        <v>25</v>
      </c>
      <c r="F7156" s="52" t="s">
        <v>26</v>
      </c>
      <c r="G7156" s="53"/>
    </row>
    <row r="7157">
      <c r="A7157" s="49">
        <v>44769.42417456019</v>
      </c>
      <c r="B7157" s="50">
        <v>44769.5491417013</v>
      </c>
      <c r="C7157" s="51">
        <v>1.004</v>
      </c>
      <c r="D7157" s="51">
        <v>67.0</v>
      </c>
      <c r="E7157" s="52" t="s">
        <v>25</v>
      </c>
      <c r="F7157" s="52" t="s">
        <v>26</v>
      </c>
      <c r="G7157" s="53"/>
    </row>
    <row r="7158">
      <c r="A7158" s="49">
        <v>44769.43459585648</v>
      </c>
      <c r="B7158" s="50">
        <v>44769.5595651388</v>
      </c>
      <c r="C7158" s="51">
        <v>1.004</v>
      </c>
      <c r="D7158" s="51">
        <v>67.0</v>
      </c>
      <c r="E7158" s="52" t="s">
        <v>25</v>
      </c>
      <c r="F7158" s="52" t="s">
        <v>26</v>
      </c>
      <c r="G7158" s="53"/>
    </row>
    <row r="7159">
      <c r="A7159" s="49">
        <v>44769.44502024306</v>
      </c>
      <c r="B7159" s="50">
        <v>44769.5699984838</v>
      </c>
      <c r="C7159" s="51">
        <v>1.004</v>
      </c>
      <c r="D7159" s="51">
        <v>67.0</v>
      </c>
      <c r="E7159" s="52" t="s">
        <v>25</v>
      </c>
      <c r="F7159" s="52" t="s">
        <v>26</v>
      </c>
      <c r="G7159" s="53"/>
    </row>
    <row r="7160">
      <c r="A7160" s="49">
        <v>44769.455438136574</v>
      </c>
      <c r="B7160" s="50">
        <v>44769.5804192708</v>
      </c>
      <c r="C7160" s="51">
        <v>1.004</v>
      </c>
      <c r="D7160" s="51">
        <v>67.0</v>
      </c>
      <c r="E7160" s="52" t="s">
        <v>25</v>
      </c>
      <c r="F7160" s="52" t="s">
        <v>26</v>
      </c>
      <c r="G7160" s="53"/>
    </row>
    <row r="7161">
      <c r="A7161" s="49">
        <v>44769.465869085645</v>
      </c>
      <c r="B7161" s="50">
        <v>44769.5908409027</v>
      </c>
      <c r="C7161" s="51">
        <v>1.004</v>
      </c>
      <c r="D7161" s="51">
        <v>67.0</v>
      </c>
      <c r="E7161" s="52" t="s">
        <v>25</v>
      </c>
      <c r="F7161" s="52" t="s">
        <v>26</v>
      </c>
      <c r="G7161" s="53"/>
    </row>
    <row r="7162">
      <c r="A7162" s="49">
        <v>44769.47629853009</v>
      </c>
      <c r="B7162" s="50">
        <v>44769.6012742939</v>
      </c>
      <c r="C7162" s="51">
        <v>1.004</v>
      </c>
      <c r="D7162" s="51">
        <v>67.0</v>
      </c>
      <c r="E7162" s="52" t="s">
        <v>25</v>
      </c>
      <c r="F7162" s="52" t="s">
        <v>26</v>
      </c>
      <c r="G7162" s="53"/>
    </row>
    <row r="7163">
      <c r="A7163" s="49">
        <v>44769.48671603009</v>
      </c>
      <c r="B7163" s="50">
        <v>44769.6116991088</v>
      </c>
      <c r="C7163" s="51">
        <v>1.004</v>
      </c>
      <c r="D7163" s="51">
        <v>67.0</v>
      </c>
      <c r="E7163" s="52" t="s">
        <v>25</v>
      </c>
      <c r="F7163" s="52" t="s">
        <v>26</v>
      </c>
      <c r="G7163" s="53"/>
    </row>
    <row r="7164">
      <c r="A7164" s="49">
        <v>44769.49714612268</v>
      </c>
      <c r="B7164" s="50">
        <v>44769.6221224305</v>
      </c>
      <c r="C7164" s="51">
        <v>1.004</v>
      </c>
      <c r="D7164" s="51">
        <v>67.0</v>
      </c>
      <c r="E7164" s="52" t="s">
        <v>25</v>
      </c>
      <c r="F7164" s="52" t="s">
        <v>26</v>
      </c>
      <c r="G7164" s="53"/>
    </row>
    <row r="7165">
      <c r="A7165" s="49">
        <v>44769.50756773148</v>
      </c>
      <c r="B7165" s="50">
        <v>44769.6325459722</v>
      </c>
      <c r="C7165" s="51">
        <v>1.004</v>
      </c>
      <c r="D7165" s="51">
        <v>67.0</v>
      </c>
      <c r="E7165" s="52" t="s">
        <v>25</v>
      </c>
      <c r="F7165" s="52" t="s">
        <v>26</v>
      </c>
      <c r="G7165" s="53"/>
    </row>
    <row r="7166">
      <c r="A7166" s="49">
        <v>44769.517981655095</v>
      </c>
      <c r="B7166" s="50">
        <v>44769.6429674189</v>
      </c>
      <c r="C7166" s="51">
        <v>1.004</v>
      </c>
      <c r="D7166" s="51">
        <v>67.0</v>
      </c>
      <c r="E7166" s="52" t="s">
        <v>25</v>
      </c>
      <c r="F7166" s="52" t="s">
        <v>26</v>
      </c>
      <c r="G7166" s="53"/>
    </row>
    <row r="7167">
      <c r="A7167" s="49">
        <v>44769.52843885416</v>
      </c>
      <c r="B7167" s="50">
        <v>44769.6534107291</v>
      </c>
      <c r="C7167" s="51">
        <v>1.004</v>
      </c>
      <c r="D7167" s="51">
        <v>67.0</v>
      </c>
      <c r="E7167" s="52" t="s">
        <v>25</v>
      </c>
      <c r="F7167" s="52" t="s">
        <v>26</v>
      </c>
      <c r="G7167" s="53"/>
    </row>
    <row r="7168">
      <c r="A7168" s="49">
        <v>44769.53886069445</v>
      </c>
      <c r="B7168" s="50">
        <v>44769.6638301273</v>
      </c>
      <c r="C7168" s="51">
        <v>1.004</v>
      </c>
      <c r="D7168" s="51">
        <v>67.0</v>
      </c>
      <c r="E7168" s="52" t="s">
        <v>25</v>
      </c>
      <c r="F7168" s="52" t="s">
        <v>26</v>
      </c>
      <c r="G7168" s="53"/>
    </row>
    <row r="7169">
      <c r="A7169" s="49">
        <v>44769.5492835301</v>
      </c>
      <c r="B7169" s="50">
        <v>44769.6742518055</v>
      </c>
      <c r="C7169" s="51">
        <v>1.004</v>
      </c>
      <c r="D7169" s="51">
        <v>67.0</v>
      </c>
      <c r="E7169" s="52" t="s">
        <v>25</v>
      </c>
      <c r="F7169" s="52" t="s">
        <v>26</v>
      </c>
      <c r="G7169" s="53"/>
    </row>
    <row r="7170">
      <c r="A7170" s="49">
        <v>44769.55970254629</v>
      </c>
      <c r="B7170" s="50">
        <v>44769.6846726389</v>
      </c>
      <c r="C7170" s="51">
        <v>1.004</v>
      </c>
      <c r="D7170" s="51">
        <v>67.0</v>
      </c>
      <c r="E7170" s="52" t="s">
        <v>25</v>
      </c>
      <c r="F7170" s="52" t="s">
        <v>26</v>
      </c>
      <c r="G7170" s="53"/>
    </row>
    <row r="7171">
      <c r="A7171" s="49">
        <v>44769.570119745375</v>
      </c>
      <c r="B7171" s="50">
        <v>44769.6950928703</v>
      </c>
      <c r="C7171" s="51">
        <v>1.004</v>
      </c>
      <c r="D7171" s="51">
        <v>67.0</v>
      </c>
      <c r="E7171" s="52" t="s">
        <v>25</v>
      </c>
      <c r="F7171" s="52" t="s">
        <v>26</v>
      </c>
      <c r="G7171" s="53"/>
    </row>
    <row r="7172">
      <c r="A7172" s="49">
        <v>44769.580539201386</v>
      </c>
      <c r="B7172" s="50">
        <v>44769.7055142129</v>
      </c>
      <c r="C7172" s="51">
        <v>1.004</v>
      </c>
      <c r="D7172" s="51">
        <v>67.0</v>
      </c>
      <c r="E7172" s="52" t="s">
        <v>25</v>
      </c>
      <c r="F7172" s="52" t="s">
        <v>26</v>
      </c>
      <c r="G7172" s="53"/>
    </row>
    <row r="7173">
      <c r="A7173" s="49">
        <v>44769.59096015047</v>
      </c>
      <c r="B7173" s="50">
        <v>44769.7159343518</v>
      </c>
      <c r="C7173" s="51">
        <v>1.004</v>
      </c>
      <c r="D7173" s="51">
        <v>68.0</v>
      </c>
      <c r="E7173" s="52" t="s">
        <v>25</v>
      </c>
      <c r="F7173" s="52" t="s">
        <v>26</v>
      </c>
      <c r="G7173" s="53"/>
    </row>
    <row r="7174">
      <c r="A7174" s="49">
        <v>44769.60138357639</v>
      </c>
      <c r="B7174" s="50">
        <v>44769.7263563541</v>
      </c>
      <c r="C7174" s="51">
        <v>1.004</v>
      </c>
      <c r="D7174" s="51">
        <v>68.0</v>
      </c>
      <c r="E7174" s="52" t="s">
        <v>25</v>
      </c>
      <c r="F7174" s="52" t="s">
        <v>26</v>
      </c>
      <c r="G7174" s="53"/>
    </row>
    <row r="7175">
      <c r="A7175" s="49">
        <v>44769.611803148146</v>
      </c>
      <c r="B7175" s="50">
        <v>44769.7367772338</v>
      </c>
      <c r="C7175" s="51">
        <v>1.004</v>
      </c>
      <c r="D7175" s="51">
        <v>68.0</v>
      </c>
      <c r="E7175" s="52" t="s">
        <v>25</v>
      </c>
      <c r="F7175" s="52" t="s">
        <v>26</v>
      </c>
      <c r="G7175" s="53"/>
    </row>
    <row r="7176">
      <c r="A7176" s="49">
        <v>44769.62222431713</v>
      </c>
      <c r="B7176" s="50">
        <v>44769.7471986458</v>
      </c>
      <c r="C7176" s="51">
        <v>1.004</v>
      </c>
      <c r="D7176" s="51">
        <v>68.0</v>
      </c>
      <c r="E7176" s="52" t="s">
        <v>25</v>
      </c>
      <c r="F7176" s="52" t="s">
        <v>26</v>
      </c>
      <c r="G7176" s="53"/>
    </row>
    <row r="7177">
      <c r="A7177" s="49">
        <v>44769.6326406713</v>
      </c>
      <c r="B7177" s="50">
        <v>44769.7576224421</v>
      </c>
      <c r="C7177" s="51">
        <v>1.004</v>
      </c>
      <c r="D7177" s="51">
        <v>68.0</v>
      </c>
      <c r="E7177" s="52" t="s">
        <v>25</v>
      </c>
      <c r="F7177" s="52" t="s">
        <v>26</v>
      </c>
      <c r="G7177" s="53"/>
    </row>
    <row r="7178">
      <c r="A7178" s="49">
        <v>44769.64307053241</v>
      </c>
      <c r="B7178" s="50">
        <v>44769.7680454861</v>
      </c>
      <c r="C7178" s="51">
        <v>1.004</v>
      </c>
      <c r="D7178" s="51">
        <v>68.0</v>
      </c>
      <c r="E7178" s="52" t="s">
        <v>25</v>
      </c>
      <c r="F7178" s="52" t="s">
        <v>26</v>
      </c>
      <c r="G7178" s="53"/>
    </row>
    <row r="7179">
      <c r="A7179" s="49">
        <v>44769.65349172454</v>
      </c>
      <c r="B7179" s="50">
        <v>44769.7784647569</v>
      </c>
      <c r="C7179" s="51">
        <v>1.004</v>
      </c>
      <c r="D7179" s="51">
        <v>68.0</v>
      </c>
      <c r="E7179" s="52" t="s">
        <v>25</v>
      </c>
      <c r="F7179" s="52" t="s">
        <v>26</v>
      </c>
      <c r="G7179" s="53"/>
    </row>
    <row r="7180">
      <c r="A7180" s="49">
        <v>44769.66390833333</v>
      </c>
      <c r="B7180" s="50">
        <v>44769.7888874884</v>
      </c>
      <c r="C7180" s="51">
        <v>1.004</v>
      </c>
      <c r="D7180" s="51">
        <v>68.0</v>
      </c>
      <c r="E7180" s="52" t="s">
        <v>25</v>
      </c>
      <c r="F7180" s="52" t="s">
        <v>26</v>
      </c>
      <c r="G7180" s="53"/>
    </row>
    <row r="7181">
      <c r="A7181" s="49">
        <v>44769.674338564815</v>
      </c>
      <c r="B7181" s="50">
        <v>44769.799318368</v>
      </c>
      <c r="C7181" s="51">
        <v>1.004</v>
      </c>
      <c r="D7181" s="51">
        <v>68.0</v>
      </c>
      <c r="E7181" s="52" t="s">
        <v>25</v>
      </c>
      <c r="F7181" s="52" t="s">
        <v>26</v>
      </c>
      <c r="G7181" s="53"/>
    </row>
    <row r="7182">
      <c r="A7182" s="49">
        <v>44769.68476253472</v>
      </c>
      <c r="B7182" s="50">
        <v>44769.8097380439</v>
      </c>
      <c r="C7182" s="51">
        <v>1.004</v>
      </c>
      <c r="D7182" s="51">
        <v>68.0</v>
      </c>
      <c r="E7182" s="52" t="s">
        <v>25</v>
      </c>
      <c r="F7182" s="52" t="s">
        <v>26</v>
      </c>
      <c r="G7182" s="53"/>
    </row>
    <row r="7183">
      <c r="A7183" s="49">
        <v>44769.69520611111</v>
      </c>
      <c r="B7183" s="50">
        <v>44769.8201838194</v>
      </c>
      <c r="C7183" s="51">
        <v>1.004</v>
      </c>
      <c r="D7183" s="51">
        <v>68.0</v>
      </c>
      <c r="E7183" s="52" t="s">
        <v>25</v>
      </c>
      <c r="F7183" s="52" t="s">
        <v>26</v>
      </c>
      <c r="G7183" s="53"/>
    </row>
    <row r="7184">
      <c r="A7184" s="49">
        <v>44769.705644270834</v>
      </c>
      <c r="B7184" s="50">
        <v>44769.8306041203</v>
      </c>
      <c r="C7184" s="51">
        <v>1.004</v>
      </c>
      <c r="D7184" s="51">
        <v>68.0</v>
      </c>
      <c r="E7184" s="52" t="s">
        <v>25</v>
      </c>
      <c r="F7184" s="52" t="s">
        <v>26</v>
      </c>
      <c r="G7184" s="53"/>
    </row>
    <row r="7185">
      <c r="A7185" s="49">
        <v>44769.71605383102</v>
      </c>
      <c r="B7185" s="50">
        <v>44769.8410360995</v>
      </c>
      <c r="C7185" s="51">
        <v>1.004</v>
      </c>
      <c r="D7185" s="51">
        <v>68.0</v>
      </c>
      <c r="E7185" s="52" t="s">
        <v>25</v>
      </c>
      <c r="F7185" s="52" t="s">
        <v>26</v>
      </c>
      <c r="G7185" s="53"/>
    </row>
    <row r="7186">
      <c r="A7186" s="49">
        <v>44769.72646921297</v>
      </c>
      <c r="B7186" s="50">
        <v>44769.8514555671</v>
      </c>
      <c r="C7186" s="51">
        <v>1.004</v>
      </c>
      <c r="D7186" s="51">
        <v>68.0</v>
      </c>
      <c r="E7186" s="52" t="s">
        <v>25</v>
      </c>
      <c r="F7186" s="52" t="s">
        <v>26</v>
      </c>
      <c r="G7186" s="53"/>
    </row>
    <row r="7187">
      <c r="A7187" s="49">
        <v>44769.73690275463</v>
      </c>
      <c r="B7187" s="50">
        <v>44769.8618768055</v>
      </c>
      <c r="C7187" s="51">
        <v>1.004</v>
      </c>
      <c r="D7187" s="51">
        <v>68.0</v>
      </c>
      <c r="E7187" s="52" t="s">
        <v>25</v>
      </c>
      <c r="F7187" s="52" t="s">
        <v>26</v>
      </c>
      <c r="G7187" s="53"/>
    </row>
    <row r="7188">
      <c r="A7188" s="49">
        <v>44769.74731976852</v>
      </c>
      <c r="B7188" s="50">
        <v>44769.8722974074</v>
      </c>
      <c r="C7188" s="51">
        <v>1.004</v>
      </c>
      <c r="D7188" s="51">
        <v>68.0</v>
      </c>
      <c r="E7188" s="52" t="s">
        <v>25</v>
      </c>
      <c r="F7188" s="52" t="s">
        <v>26</v>
      </c>
      <c r="G7188" s="53"/>
    </row>
    <row r="7189">
      <c r="A7189" s="49">
        <v>44769.75773442129</v>
      </c>
      <c r="B7189" s="50">
        <v>44769.8827193981</v>
      </c>
      <c r="C7189" s="51">
        <v>1.004</v>
      </c>
      <c r="D7189" s="51">
        <v>68.0</v>
      </c>
      <c r="E7189" s="52" t="s">
        <v>25</v>
      </c>
      <c r="F7189" s="52" t="s">
        <v>26</v>
      </c>
      <c r="G7189" s="53"/>
    </row>
    <row r="7190">
      <c r="A7190" s="49">
        <v>44769.76817034722</v>
      </c>
      <c r="B7190" s="50">
        <v>44769.8931413657</v>
      </c>
      <c r="C7190" s="51">
        <v>1.004</v>
      </c>
      <c r="D7190" s="51">
        <v>68.0</v>
      </c>
      <c r="E7190" s="52" t="s">
        <v>25</v>
      </c>
      <c r="F7190" s="52" t="s">
        <v>26</v>
      </c>
      <c r="G7190" s="53"/>
    </row>
    <row r="7191">
      <c r="A7191" s="49">
        <v>44769.778587430555</v>
      </c>
      <c r="B7191" s="50">
        <v>44769.9035617939</v>
      </c>
      <c r="C7191" s="51">
        <v>1.004</v>
      </c>
      <c r="D7191" s="51">
        <v>68.0</v>
      </c>
      <c r="E7191" s="52" t="s">
        <v>25</v>
      </c>
      <c r="F7191" s="52" t="s">
        <v>26</v>
      </c>
      <c r="G7191" s="53"/>
    </row>
    <row r="7192">
      <c r="A7192" s="49">
        <v>44769.789018553245</v>
      </c>
      <c r="B7192" s="50">
        <v>44769.9139935648</v>
      </c>
      <c r="C7192" s="51">
        <v>1.004</v>
      </c>
      <c r="D7192" s="51">
        <v>68.0</v>
      </c>
      <c r="E7192" s="52" t="s">
        <v>25</v>
      </c>
      <c r="F7192" s="52" t="s">
        <v>26</v>
      </c>
      <c r="G7192" s="53"/>
    </row>
    <row r="7193">
      <c r="A7193" s="49">
        <v>44769.79943971065</v>
      </c>
      <c r="B7193" s="50">
        <v>44769.9244140856</v>
      </c>
      <c r="C7193" s="51">
        <v>1.004</v>
      </c>
      <c r="D7193" s="51">
        <v>68.0</v>
      </c>
      <c r="E7193" s="52" t="s">
        <v>25</v>
      </c>
      <c r="F7193" s="52" t="s">
        <v>26</v>
      </c>
      <c r="G7193" s="53"/>
    </row>
    <row r="7194">
      <c r="A7194" s="49">
        <v>44769.809872708334</v>
      </c>
      <c r="B7194" s="50">
        <v>44769.9348451851</v>
      </c>
      <c r="C7194" s="51">
        <v>1.004</v>
      </c>
      <c r="D7194" s="51">
        <v>68.0</v>
      </c>
      <c r="E7194" s="52" t="s">
        <v>25</v>
      </c>
      <c r="F7194" s="52" t="s">
        <v>26</v>
      </c>
      <c r="G7194" s="53"/>
    </row>
    <row r="7195">
      <c r="A7195" s="49">
        <v>44769.820291724536</v>
      </c>
      <c r="B7195" s="50">
        <v>44769.9452676389</v>
      </c>
      <c r="C7195" s="51">
        <v>1.004</v>
      </c>
      <c r="D7195" s="51">
        <v>68.0</v>
      </c>
      <c r="E7195" s="52" t="s">
        <v>25</v>
      </c>
      <c r="F7195" s="52" t="s">
        <v>26</v>
      </c>
      <c r="G7195" s="53"/>
    </row>
    <row r="7196">
      <c r="A7196" s="49">
        <v>44769.83071076389</v>
      </c>
      <c r="B7196" s="50">
        <v>44769.9556894444</v>
      </c>
      <c r="C7196" s="51">
        <v>1.004</v>
      </c>
      <c r="D7196" s="51">
        <v>68.0</v>
      </c>
      <c r="E7196" s="52" t="s">
        <v>25</v>
      </c>
      <c r="F7196" s="52" t="s">
        <v>26</v>
      </c>
      <c r="G7196" s="53"/>
    </row>
    <row r="7197">
      <c r="A7197" s="49">
        <v>44769.84112534722</v>
      </c>
      <c r="B7197" s="50">
        <v>44769.9661104051</v>
      </c>
      <c r="C7197" s="51">
        <v>1.004</v>
      </c>
      <c r="D7197" s="51">
        <v>68.0</v>
      </c>
      <c r="E7197" s="52" t="s">
        <v>25</v>
      </c>
      <c r="F7197" s="52" t="s">
        <v>26</v>
      </c>
      <c r="G7197" s="53"/>
    </row>
    <row r="7198">
      <c r="A7198" s="49">
        <v>44769.851570046296</v>
      </c>
      <c r="B7198" s="50">
        <v>44769.9765431712</v>
      </c>
      <c r="C7198" s="51">
        <v>1.004</v>
      </c>
      <c r="D7198" s="51">
        <v>68.0</v>
      </c>
      <c r="E7198" s="52" t="s">
        <v>25</v>
      </c>
      <c r="F7198" s="52" t="s">
        <v>26</v>
      </c>
      <c r="G7198" s="53"/>
    </row>
    <row r="7199">
      <c r="A7199" s="49">
        <v>44769.861988055556</v>
      </c>
      <c r="B7199" s="50">
        <v>44769.9869632754</v>
      </c>
      <c r="C7199" s="51">
        <v>1.004</v>
      </c>
      <c r="D7199" s="51">
        <v>68.0</v>
      </c>
      <c r="E7199" s="52" t="s">
        <v>25</v>
      </c>
      <c r="F7199" s="52" t="s">
        <v>26</v>
      </c>
      <c r="G7199" s="53"/>
    </row>
    <row r="7200">
      <c r="A7200" s="49">
        <v>44769.87240798611</v>
      </c>
      <c r="B7200" s="50">
        <v>44769.9973851388</v>
      </c>
      <c r="C7200" s="51">
        <v>1.004</v>
      </c>
      <c r="D7200" s="51">
        <v>68.0</v>
      </c>
      <c r="E7200" s="52" t="s">
        <v>25</v>
      </c>
      <c r="F7200" s="52" t="s">
        <v>26</v>
      </c>
      <c r="G7200" s="53"/>
    </row>
    <row r="7201">
      <c r="A7201" s="49">
        <v>44769.88282997685</v>
      </c>
      <c r="B7201" s="50">
        <v>44770.0078065509</v>
      </c>
      <c r="C7201" s="51">
        <v>1.004</v>
      </c>
      <c r="D7201" s="51">
        <v>68.0</v>
      </c>
      <c r="E7201" s="52" t="s">
        <v>25</v>
      </c>
      <c r="F7201" s="52" t="s">
        <v>26</v>
      </c>
      <c r="G7201" s="53"/>
    </row>
    <row r="7202">
      <c r="A7202" s="49">
        <v>44769.89324988426</v>
      </c>
      <c r="B7202" s="50">
        <v>44770.0182249421</v>
      </c>
      <c r="C7202" s="51">
        <v>1.004</v>
      </c>
      <c r="D7202" s="51">
        <v>68.0</v>
      </c>
      <c r="E7202" s="52" t="s">
        <v>25</v>
      </c>
      <c r="F7202" s="52" t="s">
        <v>26</v>
      </c>
      <c r="G7202" s="53"/>
    </row>
    <row r="7203">
      <c r="A7203" s="49">
        <v>44769.90368208333</v>
      </c>
      <c r="B7203" s="50">
        <v>44770.0286576967</v>
      </c>
      <c r="C7203" s="51">
        <v>1.004</v>
      </c>
      <c r="D7203" s="51">
        <v>68.0</v>
      </c>
      <c r="E7203" s="52" t="s">
        <v>25</v>
      </c>
      <c r="F7203" s="52" t="s">
        <v>26</v>
      </c>
      <c r="G7203" s="53"/>
    </row>
    <row r="7204">
      <c r="A7204" s="49">
        <v>44769.91411381944</v>
      </c>
      <c r="B7204" s="50">
        <v>44770.0390897801</v>
      </c>
      <c r="C7204" s="51">
        <v>1.004</v>
      </c>
      <c r="D7204" s="51">
        <v>68.0</v>
      </c>
      <c r="E7204" s="52" t="s">
        <v>25</v>
      </c>
      <c r="F7204" s="52" t="s">
        <v>26</v>
      </c>
      <c r="G7204" s="53"/>
    </row>
    <row r="7205">
      <c r="A7205" s="49">
        <v>44769.924537812505</v>
      </c>
      <c r="B7205" s="50">
        <v>44770.0495100578</v>
      </c>
      <c r="C7205" s="51">
        <v>1.004</v>
      </c>
      <c r="D7205" s="51">
        <v>68.0</v>
      </c>
      <c r="E7205" s="52" t="s">
        <v>25</v>
      </c>
      <c r="F7205" s="52" t="s">
        <v>26</v>
      </c>
      <c r="G7205" s="53"/>
    </row>
    <row r="7206">
      <c r="A7206" s="49">
        <v>44769.9349580787</v>
      </c>
      <c r="B7206" s="50">
        <v>44770.0599310301</v>
      </c>
      <c r="C7206" s="51">
        <v>1.004</v>
      </c>
      <c r="D7206" s="51">
        <v>68.0</v>
      </c>
      <c r="E7206" s="52" t="s">
        <v>25</v>
      </c>
      <c r="F7206" s="52" t="s">
        <v>26</v>
      </c>
      <c r="G7206" s="53"/>
    </row>
    <row r="7207">
      <c r="A7207" s="49">
        <v>44769.945373634255</v>
      </c>
      <c r="B7207" s="50">
        <v>44770.0703529861</v>
      </c>
      <c r="C7207" s="51">
        <v>1.004</v>
      </c>
      <c r="D7207" s="51">
        <v>68.0</v>
      </c>
      <c r="E7207" s="52" t="s">
        <v>25</v>
      </c>
      <c r="F7207" s="52" t="s">
        <v>26</v>
      </c>
      <c r="G7207" s="53"/>
    </row>
    <row r="7208">
      <c r="A7208" s="49">
        <v>44769.955800717595</v>
      </c>
      <c r="B7208" s="50">
        <v>44770.0807741898</v>
      </c>
      <c r="C7208" s="51">
        <v>1.004</v>
      </c>
      <c r="D7208" s="51">
        <v>68.0</v>
      </c>
      <c r="E7208" s="52" t="s">
        <v>25</v>
      </c>
      <c r="F7208" s="52" t="s">
        <v>26</v>
      </c>
      <c r="G7208" s="53"/>
    </row>
    <row r="7209">
      <c r="A7209" s="49">
        <v>44769.96621092592</v>
      </c>
      <c r="B7209" s="50">
        <v>44770.0911950231</v>
      </c>
      <c r="C7209" s="51">
        <v>1.004</v>
      </c>
      <c r="D7209" s="51">
        <v>68.0</v>
      </c>
      <c r="E7209" s="52" t="s">
        <v>25</v>
      </c>
      <c r="F7209" s="52" t="s">
        <v>26</v>
      </c>
      <c r="G7209" s="53"/>
    </row>
    <row r="7210">
      <c r="A7210" s="49">
        <v>44769.97664165509</v>
      </c>
      <c r="B7210" s="50">
        <v>44770.1016161689</v>
      </c>
      <c r="C7210" s="51">
        <v>1.004</v>
      </c>
      <c r="D7210" s="51">
        <v>68.0</v>
      </c>
      <c r="E7210" s="52" t="s">
        <v>25</v>
      </c>
      <c r="F7210" s="52" t="s">
        <v>26</v>
      </c>
      <c r="G7210" s="53"/>
    </row>
    <row r="7211">
      <c r="A7211" s="49">
        <v>44769.9870594213</v>
      </c>
      <c r="B7211" s="50">
        <v>44770.1120377199</v>
      </c>
      <c r="C7211" s="51">
        <v>1.004</v>
      </c>
      <c r="D7211" s="51">
        <v>68.0</v>
      </c>
      <c r="E7211" s="52" t="s">
        <v>25</v>
      </c>
      <c r="F7211" s="52" t="s">
        <v>26</v>
      </c>
      <c r="G7211" s="53"/>
    </row>
    <row r="7212">
      <c r="A7212" s="49">
        <v>44769.997488796296</v>
      </c>
      <c r="B7212" s="50">
        <v>44770.1224603819</v>
      </c>
      <c r="C7212" s="51">
        <v>1.004</v>
      </c>
      <c r="D7212" s="51">
        <v>68.0</v>
      </c>
      <c r="E7212" s="52" t="s">
        <v>25</v>
      </c>
      <c r="F7212" s="52" t="s">
        <v>26</v>
      </c>
      <c r="G7212" s="53"/>
    </row>
    <row r="7213">
      <c r="A7213" s="49">
        <v>44770.007908935186</v>
      </c>
      <c r="B7213" s="50">
        <v>44770.1328811458</v>
      </c>
      <c r="C7213" s="51">
        <v>1.004</v>
      </c>
      <c r="D7213" s="51">
        <v>68.0</v>
      </c>
      <c r="E7213" s="52" t="s">
        <v>25</v>
      </c>
      <c r="F7213" s="52" t="s">
        <v>26</v>
      </c>
      <c r="G7213" s="53"/>
    </row>
    <row r="7214">
      <c r="A7214" s="49">
        <v>44770.01838091435</v>
      </c>
      <c r="B7214" s="50">
        <v>44770.143303287</v>
      </c>
      <c r="C7214" s="51">
        <v>1.004</v>
      </c>
      <c r="D7214" s="51">
        <v>68.0</v>
      </c>
      <c r="E7214" s="52" t="s">
        <v>25</v>
      </c>
      <c r="F7214" s="52" t="s">
        <v>26</v>
      </c>
      <c r="G7214" s="53"/>
    </row>
    <row r="7215">
      <c r="A7215" s="49">
        <v>44770.02876410879</v>
      </c>
      <c r="B7215" s="50">
        <v>44770.1537366435</v>
      </c>
      <c r="C7215" s="51">
        <v>1.004</v>
      </c>
      <c r="D7215" s="51">
        <v>68.0</v>
      </c>
      <c r="E7215" s="52" t="s">
        <v>25</v>
      </c>
      <c r="F7215" s="52" t="s">
        <v>26</v>
      </c>
      <c r="G7215" s="53"/>
    </row>
    <row r="7216">
      <c r="A7216" s="49">
        <v>44770.03919166667</v>
      </c>
      <c r="B7216" s="50">
        <v>44770.1641593634</v>
      </c>
      <c r="C7216" s="51">
        <v>1.004</v>
      </c>
      <c r="D7216" s="51">
        <v>68.0</v>
      </c>
      <c r="E7216" s="52" t="s">
        <v>25</v>
      </c>
      <c r="F7216" s="52" t="s">
        <v>26</v>
      </c>
      <c r="G7216" s="53"/>
    </row>
    <row r="7217">
      <c r="A7217" s="49">
        <v>44770.049608877314</v>
      </c>
      <c r="B7217" s="50">
        <v>44770.1745815624</v>
      </c>
      <c r="C7217" s="51">
        <v>1.004</v>
      </c>
      <c r="D7217" s="51">
        <v>68.0</v>
      </c>
      <c r="E7217" s="52" t="s">
        <v>25</v>
      </c>
      <c r="F7217" s="52" t="s">
        <v>26</v>
      </c>
      <c r="G7217" s="53"/>
    </row>
    <row r="7218">
      <c r="A7218" s="49">
        <v>44770.06001952547</v>
      </c>
      <c r="B7218" s="50">
        <v>44770.1850036111</v>
      </c>
      <c r="C7218" s="51">
        <v>1.004</v>
      </c>
      <c r="D7218" s="51">
        <v>68.0</v>
      </c>
      <c r="E7218" s="52" t="s">
        <v>25</v>
      </c>
      <c r="F7218" s="52" t="s">
        <v>26</v>
      </c>
      <c r="G7218" s="53"/>
    </row>
    <row r="7219">
      <c r="A7219" s="49">
        <v>44770.070446111116</v>
      </c>
      <c r="B7219" s="50">
        <v>44770.1954247106</v>
      </c>
      <c r="C7219" s="51">
        <v>1.004</v>
      </c>
      <c r="D7219" s="51">
        <v>68.0</v>
      </c>
      <c r="E7219" s="52" t="s">
        <v>25</v>
      </c>
      <c r="F7219" s="52" t="s">
        <v>26</v>
      </c>
      <c r="G7219" s="53"/>
    </row>
    <row r="7220">
      <c r="A7220" s="49">
        <v>44770.08086778935</v>
      </c>
      <c r="B7220" s="50">
        <v>44770.2058459606</v>
      </c>
      <c r="C7220" s="51">
        <v>1.004</v>
      </c>
      <c r="D7220" s="51">
        <v>68.0</v>
      </c>
      <c r="E7220" s="52" t="s">
        <v>25</v>
      </c>
      <c r="F7220" s="52" t="s">
        <v>26</v>
      </c>
      <c r="G7220" s="53"/>
    </row>
    <row r="7221">
      <c r="A7221" s="49">
        <v>44770.09130509259</v>
      </c>
      <c r="B7221" s="50">
        <v>44770.2162794328</v>
      </c>
      <c r="C7221" s="51">
        <v>1.004</v>
      </c>
      <c r="D7221" s="51">
        <v>68.0</v>
      </c>
      <c r="E7221" s="52" t="s">
        <v>25</v>
      </c>
      <c r="F7221" s="52" t="s">
        <v>26</v>
      </c>
      <c r="G7221" s="53"/>
    </row>
    <row r="7222">
      <c r="A7222" s="49">
        <v>44770.10172655093</v>
      </c>
      <c r="B7222" s="50">
        <v>44770.2267007523</v>
      </c>
      <c r="C7222" s="51">
        <v>1.004</v>
      </c>
      <c r="D7222" s="51">
        <v>68.0</v>
      </c>
      <c r="E7222" s="52" t="s">
        <v>25</v>
      </c>
      <c r="F7222" s="52" t="s">
        <v>26</v>
      </c>
      <c r="G7222" s="53"/>
    </row>
    <row r="7223">
      <c r="A7223" s="49">
        <v>44770.112158206015</v>
      </c>
      <c r="B7223" s="50">
        <v>44770.2371334259</v>
      </c>
      <c r="C7223" s="51">
        <v>1.004</v>
      </c>
      <c r="D7223" s="51">
        <v>68.0</v>
      </c>
      <c r="E7223" s="52" t="s">
        <v>25</v>
      </c>
      <c r="F7223" s="52" t="s">
        <v>26</v>
      </c>
      <c r="G7223" s="53"/>
    </row>
    <row r="7224">
      <c r="A7224" s="49">
        <v>44770.1225759838</v>
      </c>
      <c r="B7224" s="50">
        <v>44770.2475534953</v>
      </c>
      <c r="C7224" s="51">
        <v>1.004</v>
      </c>
      <c r="D7224" s="51">
        <v>68.0</v>
      </c>
      <c r="E7224" s="52" t="s">
        <v>25</v>
      </c>
      <c r="F7224" s="52" t="s">
        <v>26</v>
      </c>
      <c r="G7224" s="53"/>
    </row>
    <row r="7225">
      <c r="A7225" s="49">
        <v>44770.13300372685</v>
      </c>
      <c r="B7225" s="50">
        <v>44770.2579760879</v>
      </c>
      <c r="C7225" s="51">
        <v>1.004</v>
      </c>
      <c r="D7225" s="51">
        <v>68.0</v>
      </c>
      <c r="E7225" s="52" t="s">
        <v>25</v>
      </c>
      <c r="F7225" s="52" t="s">
        <v>26</v>
      </c>
      <c r="G7225" s="53"/>
    </row>
    <row r="7226">
      <c r="A7226" s="49">
        <v>44770.143425937495</v>
      </c>
      <c r="B7226" s="50">
        <v>44770.2683968055</v>
      </c>
      <c r="C7226" s="51">
        <v>1.004</v>
      </c>
      <c r="D7226" s="51">
        <v>68.0</v>
      </c>
      <c r="E7226" s="52" t="s">
        <v>25</v>
      </c>
      <c r="F7226" s="52" t="s">
        <v>26</v>
      </c>
      <c r="G7226" s="53"/>
    </row>
    <row r="7227">
      <c r="A7227" s="49">
        <v>44770.15384289352</v>
      </c>
      <c r="B7227" s="50">
        <v>44770.2788185532</v>
      </c>
      <c r="C7227" s="51">
        <v>1.004</v>
      </c>
      <c r="D7227" s="51">
        <v>68.0</v>
      </c>
      <c r="E7227" s="52" t="s">
        <v>25</v>
      </c>
      <c r="F7227" s="52" t="s">
        <v>26</v>
      </c>
      <c r="G7227" s="53"/>
    </row>
    <row r="7228">
      <c r="A7228" s="49">
        <v>44770.164270127316</v>
      </c>
      <c r="B7228" s="50">
        <v>44770.289238912</v>
      </c>
      <c r="C7228" s="51">
        <v>1.004</v>
      </c>
      <c r="D7228" s="51">
        <v>68.0</v>
      </c>
      <c r="E7228" s="52" t="s">
        <v>25</v>
      </c>
      <c r="F7228" s="52" t="s">
        <v>26</v>
      </c>
      <c r="G7228" s="53"/>
    </row>
    <row r="7229">
      <c r="A7229" s="49">
        <v>44770.174683923615</v>
      </c>
      <c r="B7229" s="50">
        <v>44770.2996592824</v>
      </c>
      <c r="C7229" s="51">
        <v>1.004</v>
      </c>
      <c r="D7229" s="51">
        <v>68.0</v>
      </c>
      <c r="E7229" s="52" t="s">
        <v>25</v>
      </c>
      <c r="F7229" s="52" t="s">
        <v>26</v>
      </c>
      <c r="G7229" s="53"/>
    </row>
    <row r="7230">
      <c r="A7230" s="49">
        <v>44770.18512383102</v>
      </c>
      <c r="B7230" s="50">
        <v>44770.3100936226</v>
      </c>
      <c r="C7230" s="51">
        <v>1.004</v>
      </c>
      <c r="D7230" s="51">
        <v>68.0</v>
      </c>
      <c r="E7230" s="52" t="s">
        <v>25</v>
      </c>
      <c r="F7230" s="52" t="s">
        <v>26</v>
      </c>
      <c r="G7230" s="53"/>
    </row>
    <row r="7231">
      <c r="A7231" s="49">
        <v>44770.19554888889</v>
      </c>
      <c r="B7231" s="50">
        <v>44770.3205249074</v>
      </c>
      <c r="C7231" s="51">
        <v>1.004</v>
      </c>
      <c r="D7231" s="51">
        <v>68.0</v>
      </c>
      <c r="E7231" s="52" t="s">
        <v>25</v>
      </c>
      <c r="F7231" s="52" t="s">
        <v>26</v>
      </c>
      <c r="G7231" s="53"/>
    </row>
    <row r="7232">
      <c r="A7232" s="49">
        <v>44770.20596303241</v>
      </c>
      <c r="B7232" s="50">
        <v>44770.3309448842</v>
      </c>
      <c r="C7232" s="51">
        <v>1.004</v>
      </c>
      <c r="D7232" s="51">
        <v>68.0</v>
      </c>
      <c r="E7232" s="52" t="s">
        <v>25</v>
      </c>
      <c r="F7232" s="52" t="s">
        <v>26</v>
      </c>
      <c r="G7232" s="53"/>
    </row>
    <row r="7233">
      <c r="A7233" s="49">
        <v>44770.21639188657</v>
      </c>
      <c r="B7233" s="50">
        <v>44770.3413650694</v>
      </c>
      <c r="C7233" s="51">
        <v>1.004</v>
      </c>
      <c r="D7233" s="51">
        <v>68.0</v>
      </c>
      <c r="E7233" s="52" t="s">
        <v>25</v>
      </c>
      <c r="F7233" s="52" t="s">
        <v>26</v>
      </c>
      <c r="G7233" s="53"/>
    </row>
    <row r="7234">
      <c r="A7234" s="49">
        <v>44770.22681637731</v>
      </c>
      <c r="B7234" s="50">
        <v>44770.3517865393</v>
      </c>
      <c r="C7234" s="51">
        <v>1.004</v>
      </c>
      <c r="D7234" s="51">
        <v>68.0</v>
      </c>
      <c r="E7234" s="52" t="s">
        <v>25</v>
      </c>
      <c r="F7234" s="52" t="s">
        <v>26</v>
      </c>
      <c r="G7234" s="53"/>
    </row>
    <row r="7235">
      <c r="A7235" s="49">
        <v>44770.237229108796</v>
      </c>
      <c r="B7235" s="50">
        <v>44770.362207824</v>
      </c>
      <c r="C7235" s="51">
        <v>1.004</v>
      </c>
      <c r="D7235" s="51">
        <v>69.0</v>
      </c>
      <c r="E7235" s="52" t="s">
        <v>25</v>
      </c>
      <c r="F7235" s="52" t="s">
        <v>26</v>
      </c>
      <c r="G7235" s="53"/>
    </row>
    <row r="7236">
      <c r="A7236" s="49">
        <v>44770.24764803241</v>
      </c>
      <c r="B7236" s="50">
        <v>44770.3726304398</v>
      </c>
      <c r="C7236" s="51">
        <v>1.004</v>
      </c>
      <c r="D7236" s="51">
        <v>69.0</v>
      </c>
      <c r="E7236" s="52" t="s">
        <v>25</v>
      </c>
      <c r="F7236" s="52" t="s">
        <v>26</v>
      </c>
      <c r="G7236" s="53"/>
    </row>
    <row r="7237">
      <c r="A7237" s="49">
        <v>44770.25807628472</v>
      </c>
      <c r="B7237" s="50">
        <v>44770.3830508217</v>
      </c>
      <c r="C7237" s="51">
        <v>1.004</v>
      </c>
      <c r="D7237" s="51">
        <v>69.0</v>
      </c>
      <c r="E7237" s="52" t="s">
        <v>25</v>
      </c>
      <c r="F7237" s="52" t="s">
        <v>26</v>
      </c>
      <c r="G7237" s="53"/>
    </row>
    <row r="7238">
      <c r="A7238" s="49">
        <v>44770.26849148148</v>
      </c>
      <c r="B7238" s="50">
        <v>44770.3934722685</v>
      </c>
      <c r="C7238" s="51">
        <v>1.004</v>
      </c>
      <c r="D7238" s="51">
        <v>69.0</v>
      </c>
      <c r="E7238" s="52" t="s">
        <v>25</v>
      </c>
      <c r="F7238" s="52" t="s">
        <v>26</v>
      </c>
      <c r="G7238" s="53"/>
    </row>
    <row r="7239">
      <c r="A7239" s="49">
        <v>44770.27893351852</v>
      </c>
      <c r="B7239" s="50">
        <v>44770.403905081</v>
      </c>
      <c r="C7239" s="51">
        <v>1.004</v>
      </c>
      <c r="D7239" s="51">
        <v>69.0</v>
      </c>
      <c r="E7239" s="52" t="s">
        <v>25</v>
      </c>
      <c r="F7239" s="52" t="s">
        <v>26</v>
      </c>
      <c r="G7239" s="53"/>
    </row>
    <row r="7240">
      <c r="A7240" s="49">
        <v>44770.28935594908</v>
      </c>
      <c r="B7240" s="50">
        <v>44770.4143282175</v>
      </c>
      <c r="C7240" s="51">
        <v>1.004</v>
      </c>
      <c r="D7240" s="51">
        <v>69.0</v>
      </c>
      <c r="E7240" s="52" t="s">
        <v>25</v>
      </c>
      <c r="F7240" s="52" t="s">
        <v>26</v>
      </c>
      <c r="G7240" s="53"/>
    </row>
    <row r="7241">
      <c r="A7241" s="49">
        <v>44770.29977002315</v>
      </c>
      <c r="B7241" s="50">
        <v>44770.4247480324</v>
      </c>
      <c r="C7241" s="51">
        <v>1.004</v>
      </c>
      <c r="D7241" s="51">
        <v>69.0</v>
      </c>
      <c r="E7241" s="52" t="s">
        <v>25</v>
      </c>
      <c r="F7241" s="52" t="s">
        <v>26</v>
      </c>
      <c r="G7241" s="53"/>
    </row>
    <row r="7242">
      <c r="A7242" s="49">
        <v>44770.31020303241</v>
      </c>
      <c r="B7242" s="50">
        <v>44770.4351812152</v>
      </c>
      <c r="C7242" s="51">
        <v>1.004</v>
      </c>
      <c r="D7242" s="51">
        <v>69.0</v>
      </c>
      <c r="E7242" s="52" t="s">
        <v>25</v>
      </c>
      <c r="F7242" s="52" t="s">
        <v>26</v>
      </c>
      <c r="G7242" s="53"/>
    </row>
    <row r="7243">
      <c r="A7243" s="49">
        <v>44770.320629444446</v>
      </c>
      <c r="B7243" s="50">
        <v>44770.4456032523</v>
      </c>
      <c r="C7243" s="51">
        <v>1.004</v>
      </c>
      <c r="D7243" s="51">
        <v>69.0</v>
      </c>
      <c r="E7243" s="52" t="s">
        <v>25</v>
      </c>
      <c r="F7243" s="52" t="s">
        <v>26</v>
      </c>
      <c r="G7243" s="53"/>
    </row>
    <row r="7244">
      <c r="A7244" s="49">
        <v>44770.33104774306</v>
      </c>
      <c r="B7244" s="50">
        <v>44770.4560243171</v>
      </c>
      <c r="C7244" s="51">
        <v>1.004</v>
      </c>
      <c r="D7244" s="51">
        <v>69.0</v>
      </c>
      <c r="E7244" s="52" t="s">
        <v>25</v>
      </c>
      <c r="F7244" s="52" t="s">
        <v>26</v>
      </c>
      <c r="G7244" s="53"/>
    </row>
    <row r="7245">
      <c r="A7245" s="49">
        <v>44770.34146751158</v>
      </c>
      <c r="B7245" s="50">
        <v>44770.4664457754</v>
      </c>
      <c r="C7245" s="51">
        <v>1.004</v>
      </c>
      <c r="D7245" s="51">
        <v>69.0</v>
      </c>
      <c r="E7245" s="52" t="s">
        <v>25</v>
      </c>
      <c r="F7245" s="52" t="s">
        <v>26</v>
      </c>
      <c r="G7245" s="53"/>
    </row>
    <row r="7246">
      <c r="A7246" s="49">
        <v>44770.35188836805</v>
      </c>
      <c r="B7246" s="50">
        <v>44770.4768677083</v>
      </c>
      <c r="C7246" s="51">
        <v>1.004</v>
      </c>
      <c r="D7246" s="51">
        <v>69.0</v>
      </c>
      <c r="E7246" s="52" t="s">
        <v>25</v>
      </c>
      <c r="F7246" s="52" t="s">
        <v>26</v>
      </c>
      <c r="G7246" s="53"/>
    </row>
    <row r="7247">
      <c r="A7247" s="49">
        <v>44770.36232083333</v>
      </c>
      <c r="B7247" s="50">
        <v>44770.4872993402</v>
      </c>
      <c r="C7247" s="51">
        <v>1.004</v>
      </c>
      <c r="D7247" s="51">
        <v>69.0</v>
      </c>
      <c r="E7247" s="52" t="s">
        <v>25</v>
      </c>
      <c r="F7247" s="52" t="s">
        <v>26</v>
      </c>
      <c r="G7247" s="53"/>
    </row>
    <row r="7248">
      <c r="A7248" s="49">
        <v>44770.37275358796</v>
      </c>
      <c r="B7248" s="50">
        <v>44770.4977310879</v>
      </c>
      <c r="C7248" s="51">
        <v>1.004</v>
      </c>
      <c r="D7248" s="51">
        <v>69.0</v>
      </c>
      <c r="E7248" s="52" t="s">
        <v>25</v>
      </c>
      <c r="F7248" s="52" t="s">
        <v>26</v>
      </c>
      <c r="G7248" s="53"/>
    </row>
    <row r="7249">
      <c r="A7249" s="49">
        <v>44770.383171134265</v>
      </c>
      <c r="B7249" s="50">
        <v>44770.5081515393</v>
      </c>
      <c r="C7249" s="51">
        <v>1.004</v>
      </c>
      <c r="D7249" s="51">
        <v>69.0</v>
      </c>
      <c r="E7249" s="52" t="s">
        <v>25</v>
      </c>
      <c r="F7249" s="52" t="s">
        <v>26</v>
      </c>
      <c r="G7249" s="53"/>
    </row>
    <row r="7250">
      <c r="A7250" s="49">
        <v>44770.39359762731</v>
      </c>
      <c r="B7250" s="50">
        <v>44770.5185722222</v>
      </c>
      <c r="C7250" s="51">
        <v>1.004</v>
      </c>
      <c r="D7250" s="51">
        <v>69.0</v>
      </c>
      <c r="E7250" s="52" t="s">
        <v>25</v>
      </c>
      <c r="F7250" s="52" t="s">
        <v>26</v>
      </c>
      <c r="G7250" s="53"/>
    </row>
    <row r="7251">
      <c r="A7251" s="49">
        <v>44770.40401903936</v>
      </c>
      <c r="B7251" s="50">
        <v>44770.5289935185</v>
      </c>
      <c r="C7251" s="51">
        <v>1.004</v>
      </c>
      <c r="D7251" s="51">
        <v>69.0</v>
      </c>
      <c r="E7251" s="52" t="s">
        <v>25</v>
      </c>
      <c r="F7251" s="52" t="s">
        <v>26</v>
      </c>
      <c r="G7251" s="53"/>
    </row>
    <row r="7252">
      <c r="A7252" s="49">
        <v>44770.41444046296</v>
      </c>
      <c r="B7252" s="50">
        <v>44770.5394156018</v>
      </c>
      <c r="C7252" s="51">
        <v>1.004</v>
      </c>
      <c r="D7252" s="51">
        <v>69.0</v>
      </c>
      <c r="E7252" s="52" t="s">
        <v>25</v>
      </c>
      <c r="F7252" s="52" t="s">
        <v>26</v>
      </c>
      <c r="G7252" s="53"/>
    </row>
    <row r="7253">
      <c r="A7253" s="49">
        <v>44770.42487533565</v>
      </c>
      <c r="B7253" s="50">
        <v>44770.5498493171</v>
      </c>
      <c r="C7253" s="51">
        <v>1.004</v>
      </c>
      <c r="D7253" s="51">
        <v>69.0</v>
      </c>
      <c r="E7253" s="52" t="s">
        <v>25</v>
      </c>
      <c r="F7253" s="52" t="s">
        <v>26</v>
      </c>
      <c r="G7253" s="53"/>
    </row>
    <row r="7254">
      <c r="A7254" s="49">
        <v>44770.43529393518</v>
      </c>
      <c r="B7254" s="50">
        <v>44770.5602712615</v>
      </c>
      <c r="C7254" s="51">
        <v>1.004</v>
      </c>
      <c r="D7254" s="51">
        <v>69.0</v>
      </c>
      <c r="E7254" s="52" t="s">
        <v>25</v>
      </c>
      <c r="F7254" s="52" t="s">
        <v>26</v>
      </c>
      <c r="G7254" s="53"/>
    </row>
    <row r="7255">
      <c r="A7255" s="49">
        <v>44770.4457341088</v>
      </c>
      <c r="B7255" s="50">
        <v>44770.5707156365</v>
      </c>
      <c r="C7255" s="51">
        <v>1.004</v>
      </c>
      <c r="D7255" s="51">
        <v>69.0</v>
      </c>
      <c r="E7255" s="52" t="s">
        <v>25</v>
      </c>
      <c r="F7255" s="52" t="s">
        <v>26</v>
      </c>
      <c r="G7255" s="53"/>
    </row>
    <row r="7256">
      <c r="A7256" s="49">
        <v>44770.45616439814</v>
      </c>
      <c r="B7256" s="50">
        <v>44770.581138368</v>
      </c>
      <c r="C7256" s="51">
        <v>1.004</v>
      </c>
      <c r="D7256" s="51">
        <v>69.0</v>
      </c>
      <c r="E7256" s="52" t="s">
        <v>25</v>
      </c>
      <c r="F7256" s="52" t="s">
        <v>26</v>
      </c>
      <c r="G7256" s="53"/>
    </row>
    <row r="7257">
      <c r="A7257" s="49">
        <v>44770.46659590278</v>
      </c>
      <c r="B7257" s="50">
        <v>44770.5915708796</v>
      </c>
      <c r="C7257" s="51">
        <v>1.004</v>
      </c>
      <c r="D7257" s="51">
        <v>69.0</v>
      </c>
      <c r="E7257" s="52" t="s">
        <v>25</v>
      </c>
      <c r="F7257" s="52" t="s">
        <v>26</v>
      </c>
      <c r="G7257" s="53"/>
    </row>
    <row r="7258">
      <c r="A7258" s="49">
        <v>44770.47701269676</v>
      </c>
      <c r="B7258" s="50">
        <v>44770.6019923032</v>
      </c>
      <c r="C7258" s="51">
        <v>1.004</v>
      </c>
      <c r="D7258" s="51">
        <v>69.0</v>
      </c>
      <c r="E7258" s="52" t="s">
        <v>25</v>
      </c>
      <c r="F7258" s="52" t="s">
        <v>26</v>
      </c>
      <c r="G7258" s="53"/>
    </row>
    <row r="7259">
      <c r="A7259" s="49">
        <v>44770.48744113426</v>
      </c>
      <c r="B7259" s="50">
        <v>44770.6124144791</v>
      </c>
      <c r="C7259" s="51">
        <v>1.004</v>
      </c>
      <c r="D7259" s="51">
        <v>69.0</v>
      </c>
      <c r="E7259" s="52" t="s">
        <v>25</v>
      </c>
      <c r="F7259" s="52" t="s">
        <v>26</v>
      </c>
      <c r="G7259" s="53"/>
    </row>
    <row r="7260">
      <c r="A7260" s="49">
        <v>44770.497857870374</v>
      </c>
      <c r="B7260" s="50">
        <v>44770.6228336805</v>
      </c>
      <c r="C7260" s="51">
        <v>1.004</v>
      </c>
      <c r="D7260" s="51">
        <v>69.0</v>
      </c>
      <c r="E7260" s="52" t="s">
        <v>25</v>
      </c>
      <c r="F7260" s="52" t="s">
        <v>26</v>
      </c>
      <c r="G7260" s="53"/>
    </row>
    <row r="7261">
      <c r="A7261" s="49">
        <v>44770.50829118055</v>
      </c>
      <c r="B7261" s="50">
        <v>44770.6332663773</v>
      </c>
      <c r="C7261" s="51">
        <v>1.004</v>
      </c>
      <c r="D7261" s="51">
        <v>69.0</v>
      </c>
      <c r="E7261" s="52" t="s">
        <v>25</v>
      </c>
      <c r="F7261" s="52" t="s">
        <v>26</v>
      </c>
      <c r="G7261" s="53"/>
    </row>
    <row r="7262">
      <c r="A7262" s="49">
        <v>44770.51870909722</v>
      </c>
      <c r="B7262" s="50">
        <v>44770.6436877662</v>
      </c>
      <c r="C7262" s="51">
        <v>1.004</v>
      </c>
      <c r="D7262" s="51">
        <v>69.0</v>
      </c>
      <c r="E7262" s="52" t="s">
        <v>25</v>
      </c>
      <c r="F7262" s="52" t="s">
        <v>26</v>
      </c>
      <c r="G7262" s="53"/>
    </row>
    <row r="7263">
      <c r="A7263" s="49">
        <v>44770.52912564814</v>
      </c>
      <c r="B7263" s="50">
        <v>44770.6541108333</v>
      </c>
      <c r="C7263" s="51">
        <v>1.004</v>
      </c>
      <c r="D7263" s="51">
        <v>69.0</v>
      </c>
      <c r="E7263" s="52" t="s">
        <v>25</v>
      </c>
      <c r="F7263" s="52" t="s">
        <v>26</v>
      </c>
      <c r="G7263" s="53"/>
    </row>
    <row r="7264">
      <c r="A7264" s="49">
        <v>44770.53955923612</v>
      </c>
      <c r="B7264" s="50">
        <v>44770.6645333912</v>
      </c>
      <c r="C7264" s="51">
        <v>1.004</v>
      </c>
      <c r="D7264" s="51">
        <v>69.0</v>
      </c>
      <c r="E7264" s="52" t="s">
        <v>25</v>
      </c>
      <c r="F7264" s="52" t="s">
        <v>26</v>
      </c>
      <c r="G7264" s="53"/>
    </row>
    <row r="7265">
      <c r="A7265" s="49">
        <v>44770.550012141204</v>
      </c>
      <c r="B7265" s="50">
        <v>44770.6749889004</v>
      </c>
      <c r="C7265" s="51">
        <v>1.004</v>
      </c>
      <c r="D7265" s="51">
        <v>69.0</v>
      </c>
      <c r="E7265" s="52" t="s">
        <v>25</v>
      </c>
      <c r="F7265" s="52" t="s">
        <v>26</v>
      </c>
      <c r="G7265" s="53"/>
    </row>
    <row r="7266">
      <c r="A7266" s="49">
        <v>44770.560433067134</v>
      </c>
      <c r="B7266" s="50">
        <v>44770.6854111111</v>
      </c>
      <c r="C7266" s="51">
        <v>1.004</v>
      </c>
      <c r="D7266" s="51">
        <v>69.0</v>
      </c>
      <c r="E7266" s="52" t="s">
        <v>25</v>
      </c>
      <c r="F7266" s="52" t="s">
        <v>26</v>
      </c>
      <c r="G7266" s="53"/>
    </row>
    <row r="7267">
      <c r="A7267" s="49">
        <v>44770.57084616898</v>
      </c>
      <c r="B7267" s="50">
        <v>44770.6958320949</v>
      </c>
      <c r="C7267" s="51">
        <v>1.004</v>
      </c>
      <c r="D7267" s="51">
        <v>69.0</v>
      </c>
      <c r="E7267" s="52" t="s">
        <v>25</v>
      </c>
      <c r="F7267" s="52" t="s">
        <v>26</v>
      </c>
      <c r="G7267" s="53"/>
    </row>
    <row r="7268">
      <c r="A7268" s="49">
        <v>44770.58128049769</v>
      </c>
      <c r="B7268" s="50">
        <v>44770.7062553703</v>
      </c>
      <c r="C7268" s="51">
        <v>1.004</v>
      </c>
      <c r="D7268" s="51">
        <v>69.0</v>
      </c>
      <c r="E7268" s="52" t="s">
        <v>25</v>
      </c>
      <c r="F7268" s="52" t="s">
        <v>26</v>
      </c>
      <c r="G7268" s="53"/>
    </row>
    <row r="7269">
      <c r="A7269" s="49">
        <v>44770.59169980324</v>
      </c>
      <c r="B7269" s="50">
        <v>44770.7166759953</v>
      </c>
      <c r="C7269" s="51">
        <v>1.004</v>
      </c>
      <c r="D7269" s="51">
        <v>69.0</v>
      </c>
      <c r="E7269" s="52" t="s">
        <v>25</v>
      </c>
      <c r="F7269" s="52" t="s">
        <v>26</v>
      </c>
      <c r="G7269" s="53"/>
    </row>
    <row r="7270">
      <c r="A7270" s="49">
        <v>44770.60212277778</v>
      </c>
      <c r="B7270" s="50">
        <v>44770.7270971759</v>
      </c>
      <c r="C7270" s="51">
        <v>1.004</v>
      </c>
      <c r="D7270" s="51">
        <v>69.0</v>
      </c>
      <c r="E7270" s="52" t="s">
        <v>25</v>
      </c>
      <c r="F7270" s="52" t="s">
        <v>26</v>
      </c>
      <c r="G7270" s="53"/>
    </row>
    <row r="7271">
      <c r="A7271" s="49">
        <v>44770.61254199074</v>
      </c>
      <c r="B7271" s="50">
        <v>44770.7375186689</v>
      </c>
      <c r="C7271" s="51">
        <v>1.004</v>
      </c>
      <c r="D7271" s="51">
        <v>69.0</v>
      </c>
      <c r="E7271" s="52" t="s">
        <v>25</v>
      </c>
      <c r="F7271" s="52" t="s">
        <v>26</v>
      </c>
      <c r="G7271" s="53"/>
    </row>
    <row r="7272">
      <c r="A7272" s="49">
        <v>44770.62296341435</v>
      </c>
      <c r="B7272" s="50">
        <v>44770.7479379166</v>
      </c>
      <c r="C7272" s="51">
        <v>1.004</v>
      </c>
      <c r="D7272" s="51">
        <v>69.0</v>
      </c>
      <c r="E7272" s="52" t="s">
        <v>25</v>
      </c>
      <c r="F7272" s="52" t="s">
        <v>26</v>
      </c>
      <c r="G7272" s="53"/>
    </row>
    <row r="7273">
      <c r="A7273" s="49">
        <v>44770.63338060185</v>
      </c>
      <c r="B7273" s="50">
        <v>44770.7583578935</v>
      </c>
      <c r="C7273" s="51">
        <v>1.004</v>
      </c>
      <c r="D7273" s="51">
        <v>69.0</v>
      </c>
      <c r="E7273" s="52" t="s">
        <v>25</v>
      </c>
      <c r="F7273" s="52" t="s">
        <v>26</v>
      </c>
      <c r="G7273" s="53"/>
    </row>
    <row r="7274">
      <c r="A7274" s="49">
        <v>44770.643800879625</v>
      </c>
      <c r="B7274" s="50">
        <v>44770.7687799305</v>
      </c>
      <c r="C7274" s="51">
        <v>1.004</v>
      </c>
      <c r="D7274" s="51">
        <v>69.0</v>
      </c>
      <c r="E7274" s="52" t="s">
        <v>25</v>
      </c>
      <c r="F7274" s="52" t="s">
        <v>26</v>
      </c>
      <c r="G7274" s="53"/>
    </row>
    <row r="7275">
      <c r="A7275" s="49">
        <v>44770.65422538195</v>
      </c>
      <c r="B7275" s="50">
        <v>44770.7791991551</v>
      </c>
      <c r="C7275" s="51">
        <v>1.004</v>
      </c>
      <c r="D7275" s="51">
        <v>69.0</v>
      </c>
      <c r="E7275" s="52" t="s">
        <v>25</v>
      </c>
      <c r="F7275" s="52" t="s">
        <v>26</v>
      </c>
      <c r="G7275" s="53"/>
    </row>
    <row r="7276">
      <c r="A7276" s="49">
        <v>44770.664645798606</v>
      </c>
      <c r="B7276" s="50">
        <v>44770.7896207407</v>
      </c>
      <c r="C7276" s="51">
        <v>1.004</v>
      </c>
      <c r="D7276" s="51">
        <v>69.0</v>
      </c>
      <c r="E7276" s="52" t="s">
        <v>25</v>
      </c>
      <c r="F7276" s="52" t="s">
        <v>26</v>
      </c>
      <c r="G7276" s="53"/>
    </row>
    <row r="7277">
      <c r="A7277" s="49">
        <v>44770.6750615162</v>
      </c>
      <c r="B7277" s="50">
        <v>44770.8000428472</v>
      </c>
      <c r="C7277" s="51">
        <v>1.004</v>
      </c>
      <c r="D7277" s="51">
        <v>69.0</v>
      </c>
      <c r="E7277" s="52" t="s">
        <v>25</v>
      </c>
      <c r="F7277" s="52" t="s">
        <v>26</v>
      </c>
      <c r="G7277" s="53"/>
    </row>
    <row r="7278">
      <c r="A7278" s="49">
        <v>44770.68551761574</v>
      </c>
      <c r="B7278" s="50">
        <v>44770.8104889004</v>
      </c>
      <c r="C7278" s="51">
        <v>1.004</v>
      </c>
      <c r="D7278" s="51">
        <v>69.0</v>
      </c>
      <c r="E7278" s="52" t="s">
        <v>25</v>
      </c>
      <c r="F7278" s="52" t="s">
        <v>26</v>
      </c>
      <c r="G7278" s="53"/>
    </row>
    <row r="7279">
      <c r="A7279" s="49">
        <v>44770.695935763884</v>
      </c>
      <c r="B7279" s="50">
        <v>44770.8209101041</v>
      </c>
      <c r="C7279" s="51">
        <v>1.004</v>
      </c>
      <c r="D7279" s="51">
        <v>69.0</v>
      </c>
      <c r="E7279" s="52" t="s">
        <v>25</v>
      </c>
      <c r="F7279" s="52" t="s">
        <v>26</v>
      </c>
      <c r="G7279" s="53"/>
    </row>
    <row r="7280">
      <c r="A7280" s="49">
        <v>44770.706362349534</v>
      </c>
      <c r="B7280" s="50">
        <v>44770.8313427777</v>
      </c>
      <c r="C7280" s="51">
        <v>1.004</v>
      </c>
      <c r="D7280" s="51">
        <v>69.0</v>
      </c>
      <c r="E7280" s="52" t="s">
        <v>25</v>
      </c>
      <c r="F7280" s="52" t="s">
        <v>26</v>
      </c>
      <c r="G7280" s="53"/>
    </row>
    <row r="7281">
      <c r="A7281" s="49">
        <v>44770.71679</v>
      </c>
      <c r="B7281" s="50">
        <v>44770.8417646527</v>
      </c>
      <c r="C7281" s="51">
        <v>1.004</v>
      </c>
      <c r="D7281" s="51">
        <v>69.0</v>
      </c>
      <c r="E7281" s="52" t="s">
        <v>25</v>
      </c>
      <c r="F7281" s="52" t="s">
        <v>26</v>
      </c>
      <c r="G7281" s="53"/>
    </row>
    <row r="7282">
      <c r="A7282" s="49">
        <v>44770.72721159722</v>
      </c>
      <c r="B7282" s="50">
        <v>44770.8521860879</v>
      </c>
      <c r="C7282" s="51">
        <v>1.004</v>
      </c>
      <c r="D7282" s="51">
        <v>69.0</v>
      </c>
      <c r="E7282" s="52" t="s">
        <v>25</v>
      </c>
      <c r="F7282" s="52" t="s">
        <v>26</v>
      </c>
      <c r="G7282" s="53"/>
    </row>
    <row r="7283">
      <c r="A7283" s="49">
        <v>44770.73764295139</v>
      </c>
      <c r="B7283" s="50">
        <v>44770.8626186805</v>
      </c>
      <c r="C7283" s="51">
        <v>1.004</v>
      </c>
      <c r="D7283" s="51">
        <v>69.0</v>
      </c>
      <c r="E7283" s="52" t="s">
        <v>25</v>
      </c>
      <c r="F7283" s="52" t="s">
        <v>26</v>
      </c>
      <c r="G7283" s="53"/>
    </row>
    <row r="7284">
      <c r="A7284" s="49">
        <v>44770.74806666667</v>
      </c>
      <c r="B7284" s="50">
        <v>44770.8730393055</v>
      </c>
      <c r="C7284" s="51">
        <v>1.004</v>
      </c>
      <c r="D7284" s="51">
        <v>69.0</v>
      </c>
      <c r="E7284" s="52" t="s">
        <v>25</v>
      </c>
      <c r="F7284" s="52" t="s">
        <v>26</v>
      </c>
      <c r="G7284" s="53"/>
    </row>
    <row r="7285">
      <c r="A7285" s="49">
        <v>44770.75848336806</v>
      </c>
      <c r="B7285" s="50">
        <v>44770.8834596527</v>
      </c>
      <c r="C7285" s="51">
        <v>1.004</v>
      </c>
      <c r="D7285" s="51">
        <v>69.0</v>
      </c>
      <c r="E7285" s="52" t="s">
        <v>25</v>
      </c>
      <c r="F7285" s="52" t="s">
        <v>26</v>
      </c>
      <c r="G7285" s="53"/>
    </row>
    <row r="7286">
      <c r="A7286" s="49">
        <v>44770.768906006946</v>
      </c>
      <c r="B7286" s="50">
        <v>44770.8938804745</v>
      </c>
      <c r="C7286" s="51">
        <v>1.004</v>
      </c>
      <c r="D7286" s="51">
        <v>69.0</v>
      </c>
      <c r="E7286" s="52" t="s">
        <v>25</v>
      </c>
      <c r="F7286" s="52" t="s">
        <v>26</v>
      </c>
      <c r="G7286" s="53"/>
    </row>
    <row r="7287">
      <c r="A7287" s="49">
        <v>44770.77933423611</v>
      </c>
      <c r="B7287" s="50">
        <v>44770.9043038888</v>
      </c>
      <c r="C7287" s="51">
        <v>1.004</v>
      </c>
      <c r="D7287" s="51">
        <v>69.0</v>
      </c>
      <c r="E7287" s="52" t="s">
        <v>25</v>
      </c>
      <c r="F7287" s="52" t="s">
        <v>26</v>
      </c>
      <c r="G7287" s="53"/>
    </row>
    <row r="7288">
      <c r="A7288" s="49">
        <v>44770.78974574074</v>
      </c>
      <c r="B7288" s="50">
        <v>44770.9147248379</v>
      </c>
      <c r="C7288" s="51">
        <v>1.004</v>
      </c>
      <c r="D7288" s="51">
        <v>69.0</v>
      </c>
      <c r="E7288" s="52" t="s">
        <v>25</v>
      </c>
      <c r="F7288" s="52" t="s">
        <v>26</v>
      </c>
      <c r="G7288" s="53"/>
    </row>
    <row r="7289">
      <c r="A7289" s="49">
        <v>44770.80018021991</v>
      </c>
      <c r="B7289" s="50">
        <v>44770.9251469791</v>
      </c>
      <c r="C7289" s="51">
        <v>1.004</v>
      </c>
      <c r="D7289" s="51">
        <v>69.0</v>
      </c>
      <c r="E7289" s="52" t="s">
        <v>25</v>
      </c>
      <c r="F7289" s="52" t="s">
        <v>26</v>
      </c>
      <c r="G7289" s="53"/>
    </row>
    <row r="7290">
      <c r="A7290" s="49">
        <v>44770.81059328704</v>
      </c>
      <c r="B7290" s="50">
        <v>44770.9355675</v>
      </c>
      <c r="C7290" s="51">
        <v>1.004</v>
      </c>
      <c r="D7290" s="51">
        <v>69.0</v>
      </c>
      <c r="E7290" s="52" t="s">
        <v>25</v>
      </c>
      <c r="F7290" s="52" t="s">
        <v>26</v>
      </c>
      <c r="G7290" s="53"/>
    </row>
    <row r="7291">
      <c r="A7291" s="49">
        <v>44770.821015775466</v>
      </c>
      <c r="B7291" s="50">
        <v>44770.9459884027</v>
      </c>
      <c r="C7291" s="51">
        <v>1.004</v>
      </c>
      <c r="D7291" s="51">
        <v>69.0</v>
      </c>
      <c r="E7291" s="52" t="s">
        <v>25</v>
      </c>
      <c r="F7291" s="52" t="s">
        <v>26</v>
      </c>
      <c r="G7291" s="53"/>
    </row>
    <row r="7292">
      <c r="A7292" s="49">
        <v>44770.83143210648</v>
      </c>
      <c r="B7292" s="50">
        <v>44770.9564096643</v>
      </c>
      <c r="C7292" s="51">
        <v>1.004</v>
      </c>
      <c r="D7292" s="51">
        <v>69.0</v>
      </c>
      <c r="E7292" s="52" t="s">
        <v>25</v>
      </c>
      <c r="F7292" s="52" t="s">
        <v>26</v>
      </c>
      <c r="G7292" s="53"/>
    </row>
    <row r="7293">
      <c r="A7293" s="49">
        <v>44770.84185251157</v>
      </c>
      <c r="B7293" s="50">
        <v>44770.9668306597</v>
      </c>
      <c r="C7293" s="51">
        <v>1.004</v>
      </c>
      <c r="D7293" s="51">
        <v>69.0</v>
      </c>
      <c r="E7293" s="52" t="s">
        <v>25</v>
      </c>
      <c r="F7293" s="52" t="s">
        <v>26</v>
      </c>
      <c r="G7293" s="53"/>
    </row>
    <row r="7294">
      <c r="A7294" s="49">
        <v>44770.85230789352</v>
      </c>
      <c r="B7294" s="50">
        <v>44770.977286875</v>
      </c>
      <c r="C7294" s="51">
        <v>1.004</v>
      </c>
      <c r="D7294" s="51">
        <v>69.0</v>
      </c>
      <c r="E7294" s="52" t="s">
        <v>25</v>
      </c>
      <c r="F7294" s="52" t="s">
        <v>26</v>
      </c>
      <c r="G7294" s="53"/>
    </row>
    <row r="7295">
      <c r="A7295" s="49">
        <v>44770.86272986111</v>
      </c>
      <c r="B7295" s="50">
        <v>44770.9877062963</v>
      </c>
      <c r="C7295" s="51">
        <v>1.004</v>
      </c>
      <c r="D7295" s="51">
        <v>69.0</v>
      </c>
      <c r="E7295" s="52" t="s">
        <v>25</v>
      </c>
      <c r="F7295" s="52" t="s">
        <v>26</v>
      </c>
      <c r="G7295" s="53"/>
    </row>
    <row r="7296">
      <c r="A7296" s="49">
        <v>44770.87314997685</v>
      </c>
      <c r="B7296" s="50">
        <v>44770.9981264814</v>
      </c>
      <c r="C7296" s="51">
        <v>1.004</v>
      </c>
      <c r="D7296" s="51">
        <v>69.0</v>
      </c>
      <c r="E7296" s="52" t="s">
        <v>25</v>
      </c>
      <c r="F7296" s="52" t="s">
        <v>26</v>
      </c>
      <c r="G7296" s="53"/>
    </row>
    <row r="7297">
      <c r="A7297" s="49">
        <v>44770.88378201389</v>
      </c>
      <c r="B7297" s="50">
        <v>44771.0085475578</v>
      </c>
      <c r="C7297" s="51">
        <v>1.004</v>
      </c>
      <c r="D7297" s="51">
        <v>69.0</v>
      </c>
      <c r="E7297" s="52" t="s">
        <v>25</v>
      </c>
      <c r="F7297" s="52" t="s">
        <v>26</v>
      </c>
      <c r="G7297" s="53"/>
    </row>
    <row r="7298">
      <c r="A7298" s="49">
        <v>44770.89402041667</v>
      </c>
      <c r="B7298" s="50">
        <v>44771.0189924189</v>
      </c>
      <c r="C7298" s="51">
        <v>1.004</v>
      </c>
      <c r="D7298" s="51">
        <v>69.0</v>
      </c>
      <c r="E7298" s="52" t="s">
        <v>25</v>
      </c>
      <c r="F7298" s="52" t="s">
        <v>26</v>
      </c>
      <c r="G7298" s="53"/>
    </row>
    <row r="7299">
      <c r="A7299" s="49">
        <v>44770.90443271991</v>
      </c>
      <c r="B7299" s="50">
        <v>44771.0294151157</v>
      </c>
      <c r="C7299" s="51">
        <v>1.004</v>
      </c>
      <c r="D7299" s="51">
        <v>69.0</v>
      </c>
      <c r="E7299" s="52" t="s">
        <v>25</v>
      </c>
      <c r="F7299" s="52" t="s">
        <v>26</v>
      </c>
      <c r="G7299" s="53"/>
    </row>
    <row r="7300">
      <c r="A7300" s="49">
        <v>44770.91486739583</v>
      </c>
      <c r="B7300" s="50">
        <v>44771.0398475231</v>
      </c>
      <c r="C7300" s="51">
        <v>1.004</v>
      </c>
      <c r="D7300" s="51">
        <v>69.0</v>
      </c>
      <c r="E7300" s="52" t="s">
        <v>25</v>
      </c>
      <c r="F7300" s="52" t="s">
        <v>26</v>
      </c>
      <c r="G7300" s="53"/>
    </row>
    <row r="7301">
      <c r="A7301" s="49">
        <v>44770.92534113426</v>
      </c>
      <c r="B7301" s="50">
        <v>44771.0503127893</v>
      </c>
      <c r="C7301" s="51">
        <v>1.004</v>
      </c>
      <c r="D7301" s="51">
        <v>69.0</v>
      </c>
      <c r="E7301" s="52" t="s">
        <v>25</v>
      </c>
      <c r="F7301" s="52" t="s">
        <v>26</v>
      </c>
      <c r="G7301" s="53"/>
    </row>
    <row r="7302">
      <c r="A7302" s="49">
        <v>44770.93576496528</v>
      </c>
      <c r="B7302" s="50">
        <v>44771.0607323032</v>
      </c>
      <c r="C7302" s="51">
        <v>1.004</v>
      </c>
      <c r="D7302" s="51">
        <v>69.0</v>
      </c>
      <c r="E7302" s="52" t="s">
        <v>25</v>
      </c>
      <c r="F7302" s="52" t="s">
        <v>26</v>
      </c>
      <c r="G7302" s="53"/>
    </row>
    <row r="7303">
      <c r="A7303" s="49">
        <v>44770.94617412037</v>
      </c>
      <c r="B7303" s="50">
        <v>44771.0711515162</v>
      </c>
      <c r="C7303" s="51">
        <v>1.004</v>
      </c>
      <c r="D7303" s="51">
        <v>69.0</v>
      </c>
      <c r="E7303" s="52" t="s">
        <v>25</v>
      </c>
      <c r="F7303" s="52" t="s">
        <v>26</v>
      </c>
      <c r="G7303" s="53"/>
    </row>
    <row r="7304">
      <c r="A7304" s="49">
        <v>44770.956601620375</v>
      </c>
      <c r="B7304" s="50">
        <v>44771.081573206</v>
      </c>
      <c r="C7304" s="51">
        <v>1.004</v>
      </c>
      <c r="D7304" s="51">
        <v>69.0</v>
      </c>
      <c r="E7304" s="52" t="s">
        <v>25</v>
      </c>
      <c r="F7304" s="52" t="s">
        <v>26</v>
      </c>
      <c r="G7304" s="53"/>
    </row>
    <row r="7305">
      <c r="A7305" s="49">
        <v>44770.9670229051</v>
      </c>
      <c r="B7305" s="50">
        <v>44771.0919933101</v>
      </c>
      <c r="C7305" s="51">
        <v>1.004</v>
      </c>
      <c r="D7305" s="51">
        <v>69.0</v>
      </c>
      <c r="E7305" s="52" t="s">
        <v>25</v>
      </c>
      <c r="F7305" s="52" t="s">
        <v>26</v>
      </c>
      <c r="G7305" s="53"/>
    </row>
    <row r="7306">
      <c r="A7306" s="49">
        <v>44770.977441828705</v>
      </c>
      <c r="B7306" s="50">
        <v>44771.1024125578</v>
      </c>
      <c r="C7306" s="51">
        <v>1.004</v>
      </c>
      <c r="D7306" s="51">
        <v>69.0</v>
      </c>
      <c r="E7306" s="52" t="s">
        <v>25</v>
      </c>
      <c r="F7306" s="52" t="s">
        <v>26</v>
      </c>
      <c r="G7306" s="53"/>
    </row>
    <row r="7307">
      <c r="A7307" s="49">
        <v>44770.9878613426</v>
      </c>
      <c r="B7307" s="50">
        <v>44771.1128332986</v>
      </c>
      <c r="C7307" s="51">
        <v>1.004</v>
      </c>
      <c r="D7307" s="51">
        <v>69.0</v>
      </c>
      <c r="E7307" s="52" t="s">
        <v>25</v>
      </c>
      <c r="F7307" s="52" t="s">
        <v>26</v>
      </c>
      <c r="G7307" s="53"/>
    </row>
    <row r="7308">
      <c r="A7308" s="49">
        <v>44770.99828612269</v>
      </c>
      <c r="B7308" s="50">
        <v>44771.1232545254</v>
      </c>
      <c r="C7308" s="51">
        <v>1.004</v>
      </c>
      <c r="D7308" s="51">
        <v>69.0</v>
      </c>
      <c r="E7308" s="52" t="s">
        <v>25</v>
      </c>
      <c r="F7308" s="52" t="s">
        <v>26</v>
      </c>
      <c r="G7308" s="53"/>
    </row>
    <row r="7309">
      <c r="A7309" s="49">
        <v>44771.00870421296</v>
      </c>
      <c r="B7309" s="50">
        <v>44771.1336756481</v>
      </c>
      <c r="C7309" s="51">
        <v>1.004</v>
      </c>
      <c r="D7309" s="51">
        <v>69.0</v>
      </c>
      <c r="E7309" s="52" t="s">
        <v>25</v>
      </c>
      <c r="F7309" s="52" t="s">
        <v>26</v>
      </c>
      <c r="G7309" s="53"/>
    </row>
    <row r="7310">
      <c r="A7310" s="49">
        <v>44771.01912560185</v>
      </c>
      <c r="B7310" s="50">
        <v>44771.1440962847</v>
      </c>
      <c r="C7310" s="51">
        <v>1.004</v>
      </c>
      <c r="D7310" s="51">
        <v>69.0</v>
      </c>
      <c r="E7310" s="52" t="s">
        <v>25</v>
      </c>
      <c r="F7310" s="52" t="s">
        <v>26</v>
      </c>
      <c r="G7310" s="53"/>
    </row>
    <row r="7311">
      <c r="A7311" s="49">
        <v>44771.02956516204</v>
      </c>
      <c r="B7311" s="50">
        <v>44771.1545400925</v>
      </c>
      <c r="C7311" s="51">
        <v>1.004</v>
      </c>
      <c r="D7311" s="51">
        <v>69.0</v>
      </c>
      <c r="E7311" s="52" t="s">
        <v>25</v>
      </c>
      <c r="F7311" s="52" t="s">
        <v>26</v>
      </c>
      <c r="G7311" s="53"/>
    </row>
    <row r="7312">
      <c r="A7312" s="49">
        <v>44771.039981967595</v>
      </c>
      <c r="B7312" s="50">
        <v>44771.1649613541</v>
      </c>
      <c r="C7312" s="51">
        <v>1.004</v>
      </c>
      <c r="D7312" s="51">
        <v>69.0</v>
      </c>
      <c r="E7312" s="52" t="s">
        <v>25</v>
      </c>
      <c r="F7312" s="52" t="s">
        <v>26</v>
      </c>
      <c r="G7312" s="53"/>
    </row>
    <row r="7313">
      <c r="A7313" s="49">
        <v>44771.05042958334</v>
      </c>
      <c r="B7313" s="50">
        <v>44771.1753841203</v>
      </c>
      <c r="C7313" s="51">
        <v>1.004</v>
      </c>
      <c r="D7313" s="51">
        <v>69.0</v>
      </c>
      <c r="E7313" s="52" t="s">
        <v>25</v>
      </c>
      <c r="F7313" s="52" t="s">
        <v>26</v>
      </c>
      <c r="G7313" s="53"/>
    </row>
    <row r="7314">
      <c r="A7314" s="49">
        <v>44771.06084039352</v>
      </c>
      <c r="B7314" s="50">
        <v>44771.1858070717</v>
      </c>
      <c r="C7314" s="51">
        <v>1.004</v>
      </c>
      <c r="D7314" s="51">
        <v>69.0</v>
      </c>
      <c r="E7314" s="52" t="s">
        <v>25</v>
      </c>
      <c r="F7314" s="52" t="s">
        <v>26</v>
      </c>
      <c r="G7314" s="53"/>
    </row>
    <row r="7315">
      <c r="A7315" s="49">
        <v>44771.0712656713</v>
      </c>
      <c r="B7315" s="50">
        <v>44771.1962405324</v>
      </c>
      <c r="C7315" s="51">
        <v>1.004</v>
      </c>
      <c r="D7315" s="51">
        <v>69.0</v>
      </c>
      <c r="E7315" s="52" t="s">
        <v>25</v>
      </c>
      <c r="F7315" s="52" t="s">
        <v>26</v>
      </c>
      <c r="G7315" s="53"/>
    </row>
    <row r="7316">
      <c r="A7316" s="49">
        <v>44771.08168456018</v>
      </c>
      <c r="B7316" s="50">
        <v>44771.2066623611</v>
      </c>
      <c r="C7316" s="51">
        <v>1.004</v>
      </c>
      <c r="D7316" s="51">
        <v>69.0</v>
      </c>
      <c r="E7316" s="52" t="s">
        <v>25</v>
      </c>
      <c r="F7316" s="52" t="s">
        <v>26</v>
      </c>
      <c r="G7316" s="53"/>
    </row>
    <row r="7317">
      <c r="A7317" s="49">
        <v>44771.09210984954</v>
      </c>
      <c r="B7317" s="50">
        <v>44771.2170827777</v>
      </c>
      <c r="C7317" s="51">
        <v>1.004</v>
      </c>
      <c r="D7317" s="51">
        <v>69.0</v>
      </c>
      <c r="E7317" s="52" t="s">
        <v>25</v>
      </c>
      <c r="F7317" s="52" t="s">
        <v>26</v>
      </c>
      <c r="G7317" s="53"/>
    </row>
    <row r="7318">
      <c r="A7318" s="49">
        <v>44771.10253554398</v>
      </c>
      <c r="B7318" s="50">
        <v>44771.2275050463</v>
      </c>
      <c r="C7318" s="51">
        <v>1.004</v>
      </c>
      <c r="D7318" s="51">
        <v>69.0</v>
      </c>
      <c r="E7318" s="52" t="s">
        <v>25</v>
      </c>
      <c r="F7318" s="52" t="s">
        <v>26</v>
      </c>
      <c r="G7318" s="53"/>
    </row>
    <row r="7319">
      <c r="A7319" s="49">
        <v>44771.112956550925</v>
      </c>
      <c r="B7319" s="50">
        <v>44771.2379265625</v>
      </c>
      <c r="C7319" s="51">
        <v>1.004</v>
      </c>
      <c r="D7319" s="51">
        <v>69.0</v>
      </c>
      <c r="E7319" s="52" t="s">
        <v>25</v>
      </c>
      <c r="F7319" s="52" t="s">
        <v>26</v>
      </c>
      <c r="G7319" s="53"/>
    </row>
    <row r="7320">
      <c r="A7320" s="49">
        <v>44771.12337636574</v>
      </c>
      <c r="B7320" s="50">
        <v>44771.2483476736</v>
      </c>
      <c r="C7320" s="51">
        <v>1.004</v>
      </c>
      <c r="D7320" s="51">
        <v>70.0</v>
      </c>
      <c r="E7320" s="52" t="s">
        <v>25</v>
      </c>
      <c r="F7320" s="52" t="s">
        <v>26</v>
      </c>
      <c r="G7320" s="53"/>
    </row>
    <row r="7321">
      <c r="A7321" s="49">
        <v>44771.13379479166</v>
      </c>
      <c r="B7321" s="50">
        <v>44771.2587695486</v>
      </c>
      <c r="C7321" s="51">
        <v>1.004</v>
      </c>
      <c r="D7321" s="51">
        <v>70.0</v>
      </c>
      <c r="E7321" s="52" t="s">
        <v>25</v>
      </c>
      <c r="F7321" s="52" t="s">
        <v>26</v>
      </c>
      <c r="G7321" s="53"/>
    </row>
    <row r="7322">
      <c r="A7322" s="49">
        <v>44771.144215</v>
      </c>
      <c r="B7322" s="50">
        <v>44771.269190324</v>
      </c>
      <c r="C7322" s="51">
        <v>1.004</v>
      </c>
      <c r="D7322" s="51">
        <v>70.0</v>
      </c>
      <c r="E7322" s="52" t="s">
        <v>25</v>
      </c>
      <c r="F7322" s="52" t="s">
        <v>26</v>
      </c>
      <c r="G7322" s="53"/>
    </row>
    <row r="7323">
      <c r="A7323" s="49">
        <v>44771.15463376157</v>
      </c>
      <c r="B7323" s="50">
        <v>44771.2796119212</v>
      </c>
      <c r="C7323" s="51">
        <v>1.004</v>
      </c>
      <c r="D7323" s="51">
        <v>70.0</v>
      </c>
      <c r="E7323" s="52" t="s">
        <v>25</v>
      </c>
      <c r="F7323" s="52" t="s">
        <v>26</v>
      </c>
      <c r="G7323" s="53"/>
    </row>
    <row r="7324">
      <c r="A7324" s="49">
        <v>44771.16505002315</v>
      </c>
      <c r="B7324" s="50">
        <v>44771.2900327083</v>
      </c>
      <c r="C7324" s="51">
        <v>1.004</v>
      </c>
      <c r="D7324" s="51">
        <v>69.0</v>
      </c>
      <c r="E7324" s="52" t="s">
        <v>25</v>
      </c>
      <c r="F7324" s="52" t="s">
        <v>26</v>
      </c>
      <c r="G7324" s="53"/>
    </row>
    <row r="7325">
      <c r="A7325" s="49">
        <v>44771.17548056713</v>
      </c>
      <c r="B7325" s="50">
        <v>44771.3004547106</v>
      </c>
      <c r="C7325" s="51">
        <v>1.004</v>
      </c>
      <c r="D7325" s="51">
        <v>70.0</v>
      </c>
      <c r="E7325" s="52" t="s">
        <v>25</v>
      </c>
      <c r="F7325" s="52" t="s">
        <v>26</v>
      </c>
      <c r="G7325" s="53"/>
    </row>
    <row r="7326">
      <c r="A7326" s="49">
        <v>44771.185899918986</v>
      </c>
      <c r="B7326" s="50">
        <v>44771.3108764699</v>
      </c>
      <c r="C7326" s="51">
        <v>1.004</v>
      </c>
      <c r="D7326" s="51">
        <v>70.0</v>
      </c>
      <c r="E7326" s="52" t="s">
        <v>25</v>
      </c>
      <c r="F7326" s="52" t="s">
        <v>26</v>
      </c>
      <c r="G7326" s="53"/>
    </row>
    <row r="7327">
      <c r="A7327" s="49">
        <v>44771.196331597224</v>
      </c>
      <c r="B7327" s="50">
        <v>44771.3212973611</v>
      </c>
      <c r="C7327" s="51">
        <v>1.004</v>
      </c>
      <c r="D7327" s="51">
        <v>70.0</v>
      </c>
      <c r="E7327" s="52" t="s">
        <v>25</v>
      </c>
      <c r="F7327" s="52" t="s">
        <v>26</v>
      </c>
      <c r="G7327" s="53"/>
    </row>
    <row r="7328">
      <c r="A7328" s="49">
        <v>44771.20675829861</v>
      </c>
      <c r="B7328" s="50">
        <v>44771.3317299074</v>
      </c>
      <c r="C7328" s="51">
        <v>1.004</v>
      </c>
      <c r="D7328" s="51">
        <v>70.0</v>
      </c>
      <c r="E7328" s="52" t="s">
        <v>25</v>
      </c>
      <c r="F7328" s="52" t="s">
        <v>26</v>
      </c>
      <c r="G7328" s="53"/>
    </row>
    <row r="7329">
      <c r="A7329" s="49">
        <v>44771.2171871875</v>
      </c>
      <c r="B7329" s="50">
        <v>44771.3421618287</v>
      </c>
      <c r="C7329" s="51">
        <v>1.004</v>
      </c>
      <c r="D7329" s="51">
        <v>70.0</v>
      </c>
      <c r="E7329" s="52" t="s">
        <v>25</v>
      </c>
      <c r="F7329" s="52" t="s">
        <v>26</v>
      </c>
      <c r="G7329" s="53"/>
    </row>
    <row r="7330">
      <c r="A7330" s="49">
        <v>44771.22760175926</v>
      </c>
      <c r="B7330" s="50">
        <v>44771.3525828587</v>
      </c>
      <c r="C7330" s="51">
        <v>1.004</v>
      </c>
      <c r="D7330" s="51">
        <v>70.0</v>
      </c>
      <c r="E7330" s="52" t="s">
        <v>25</v>
      </c>
      <c r="F7330" s="52" t="s">
        <v>26</v>
      </c>
      <c r="G7330" s="53"/>
    </row>
    <row r="7331">
      <c r="A7331" s="49">
        <v>44771.238034571754</v>
      </c>
      <c r="B7331" s="50">
        <v>44771.3630044907</v>
      </c>
      <c r="C7331" s="51">
        <v>1.004</v>
      </c>
      <c r="D7331" s="51">
        <v>70.0</v>
      </c>
      <c r="E7331" s="52" t="s">
        <v>25</v>
      </c>
      <c r="F7331" s="52" t="s">
        <v>26</v>
      </c>
      <c r="G7331" s="53"/>
    </row>
    <row r="7332">
      <c r="A7332" s="49">
        <v>44771.24845820601</v>
      </c>
      <c r="B7332" s="50">
        <v>44771.3734356134</v>
      </c>
      <c r="C7332" s="51">
        <v>1.004</v>
      </c>
      <c r="D7332" s="51">
        <v>70.0</v>
      </c>
      <c r="E7332" s="52" t="s">
        <v>25</v>
      </c>
      <c r="F7332" s="52" t="s">
        <v>26</v>
      </c>
      <c r="G7332" s="53"/>
    </row>
    <row r="7333">
      <c r="A7333" s="49">
        <v>44771.25888450231</v>
      </c>
      <c r="B7333" s="50">
        <v>44771.3838576157</v>
      </c>
      <c r="C7333" s="51">
        <v>1.004</v>
      </c>
      <c r="D7333" s="51">
        <v>70.0</v>
      </c>
      <c r="E7333" s="52" t="s">
        <v>25</v>
      </c>
      <c r="F7333" s="52" t="s">
        <v>26</v>
      </c>
      <c r="G7333" s="53"/>
    </row>
    <row r="7334">
      <c r="A7334" s="49">
        <v>44771.26930586806</v>
      </c>
      <c r="B7334" s="50">
        <v>44771.3942801041</v>
      </c>
      <c r="C7334" s="51">
        <v>1.004</v>
      </c>
      <c r="D7334" s="51">
        <v>70.0</v>
      </c>
      <c r="E7334" s="52" t="s">
        <v>25</v>
      </c>
      <c r="F7334" s="52" t="s">
        <v>26</v>
      </c>
      <c r="G7334" s="53"/>
    </row>
    <row r="7335">
      <c r="A7335" s="49">
        <v>44771.27972869213</v>
      </c>
      <c r="B7335" s="50">
        <v>44771.4047000694</v>
      </c>
      <c r="C7335" s="51">
        <v>1.004</v>
      </c>
      <c r="D7335" s="51">
        <v>70.0</v>
      </c>
      <c r="E7335" s="52" t="s">
        <v>25</v>
      </c>
      <c r="F7335" s="52" t="s">
        <v>26</v>
      </c>
      <c r="G7335" s="53"/>
    </row>
    <row r="7336">
      <c r="A7336" s="49">
        <v>44771.290148796295</v>
      </c>
      <c r="B7336" s="50">
        <v>44771.4151205902</v>
      </c>
      <c r="C7336" s="51">
        <v>1.004</v>
      </c>
      <c r="D7336" s="51">
        <v>70.0</v>
      </c>
      <c r="E7336" s="52" t="s">
        <v>25</v>
      </c>
      <c r="F7336" s="52" t="s">
        <v>26</v>
      </c>
      <c r="G7336" s="53"/>
    </row>
    <row r="7337">
      <c r="A7337" s="49">
        <v>44771.30057965278</v>
      </c>
      <c r="B7337" s="50">
        <v>44771.4255524768</v>
      </c>
      <c r="C7337" s="51">
        <v>1.004</v>
      </c>
      <c r="D7337" s="51">
        <v>70.0</v>
      </c>
      <c r="E7337" s="52" t="s">
        <v>25</v>
      </c>
      <c r="F7337" s="52" t="s">
        <v>26</v>
      </c>
      <c r="G7337" s="53"/>
    </row>
    <row r="7338">
      <c r="A7338" s="49">
        <v>44771.310997824075</v>
      </c>
      <c r="B7338" s="50">
        <v>44771.4359706828</v>
      </c>
      <c r="C7338" s="51">
        <v>1.004</v>
      </c>
      <c r="D7338" s="51">
        <v>70.0</v>
      </c>
      <c r="E7338" s="52" t="s">
        <v>25</v>
      </c>
      <c r="F7338" s="52" t="s">
        <v>26</v>
      </c>
      <c r="G7338" s="53"/>
    </row>
    <row r="7339">
      <c r="A7339" s="49">
        <v>44771.32142929398</v>
      </c>
      <c r="B7339" s="50">
        <v>44771.4464042939</v>
      </c>
      <c r="C7339" s="51">
        <v>1.004</v>
      </c>
      <c r="D7339" s="51">
        <v>70.0</v>
      </c>
      <c r="E7339" s="52" t="s">
        <v>25</v>
      </c>
      <c r="F7339" s="52" t="s">
        <v>26</v>
      </c>
      <c r="G7339" s="53"/>
    </row>
    <row r="7340">
      <c r="A7340" s="49">
        <v>44771.331861412036</v>
      </c>
      <c r="B7340" s="50">
        <v>44771.4568367129</v>
      </c>
      <c r="C7340" s="51">
        <v>1.004</v>
      </c>
      <c r="D7340" s="51">
        <v>70.0</v>
      </c>
      <c r="E7340" s="52" t="s">
        <v>25</v>
      </c>
      <c r="F7340" s="52" t="s">
        <v>26</v>
      </c>
      <c r="G7340" s="53"/>
    </row>
    <row r="7341">
      <c r="A7341" s="49">
        <v>44771.34228568287</v>
      </c>
      <c r="B7341" s="50">
        <v>44771.4672587847</v>
      </c>
      <c r="C7341" s="51">
        <v>1.004</v>
      </c>
      <c r="D7341" s="51">
        <v>70.0</v>
      </c>
      <c r="E7341" s="52" t="s">
        <v>25</v>
      </c>
      <c r="F7341" s="52" t="s">
        <v>26</v>
      </c>
      <c r="G7341" s="53"/>
    </row>
    <row r="7342">
      <c r="A7342" s="49">
        <v>44771.35270482639</v>
      </c>
      <c r="B7342" s="50">
        <v>44771.4776798958</v>
      </c>
      <c r="C7342" s="51">
        <v>1.004</v>
      </c>
      <c r="D7342" s="51">
        <v>70.0</v>
      </c>
      <c r="E7342" s="52" t="s">
        <v>25</v>
      </c>
      <c r="F7342" s="52" t="s">
        <v>26</v>
      </c>
      <c r="G7342" s="53"/>
    </row>
    <row r="7343">
      <c r="A7343" s="49">
        <v>44771.363139884255</v>
      </c>
      <c r="B7343" s="50">
        <v>44771.4881135301</v>
      </c>
      <c r="C7343" s="51">
        <v>1.004</v>
      </c>
      <c r="D7343" s="51">
        <v>70.0</v>
      </c>
      <c r="E7343" s="52" t="s">
        <v>25</v>
      </c>
      <c r="F7343" s="52" t="s">
        <v>26</v>
      </c>
      <c r="G7343" s="53"/>
    </row>
    <row r="7344">
      <c r="A7344" s="49">
        <v>44771.373580150466</v>
      </c>
      <c r="B7344" s="50">
        <v>44771.4985456481</v>
      </c>
      <c r="C7344" s="51">
        <v>1.004</v>
      </c>
      <c r="D7344" s="51">
        <v>70.0</v>
      </c>
      <c r="E7344" s="52" t="s">
        <v>25</v>
      </c>
      <c r="F7344" s="52" t="s">
        <v>26</v>
      </c>
      <c r="G7344" s="53"/>
    </row>
    <row r="7345">
      <c r="A7345" s="49">
        <v>44771.38399113426</v>
      </c>
      <c r="B7345" s="50">
        <v>44771.508969537</v>
      </c>
      <c r="C7345" s="51">
        <v>1.004</v>
      </c>
      <c r="D7345" s="51">
        <v>70.0</v>
      </c>
      <c r="E7345" s="52" t="s">
        <v>25</v>
      </c>
      <c r="F7345" s="52" t="s">
        <v>26</v>
      </c>
      <c r="G7345" s="53"/>
    </row>
    <row r="7346">
      <c r="A7346" s="49">
        <v>44771.394427997686</v>
      </c>
      <c r="B7346" s="50">
        <v>44771.5194006712</v>
      </c>
      <c r="C7346" s="51">
        <v>1.004</v>
      </c>
      <c r="D7346" s="51">
        <v>70.0</v>
      </c>
      <c r="E7346" s="52" t="s">
        <v>25</v>
      </c>
      <c r="F7346" s="52" t="s">
        <v>26</v>
      </c>
      <c r="G7346" s="53"/>
    </row>
    <row r="7347">
      <c r="A7347" s="49">
        <v>44771.404851168976</v>
      </c>
      <c r="B7347" s="50">
        <v>44771.5298347106</v>
      </c>
      <c r="C7347" s="51">
        <v>1.004</v>
      </c>
      <c r="D7347" s="51">
        <v>70.0</v>
      </c>
      <c r="E7347" s="52" t="s">
        <v>25</v>
      </c>
      <c r="F7347" s="52" t="s">
        <v>26</v>
      </c>
      <c r="G7347" s="53"/>
    </row>
    <row r="7348">
      <c r="A7348" s="49">
        <v>44771.41529237269</v>
      </c>
      <c r="B7348" s="50">
        <v>44771.5402670833</v>
      </c>
      <c r="C7348" s="51">
        <v>1.004</v>
      </c>
      <c r="D7348" s="51">
        <v>70.0</v>
      </c>
      <c r="E7348" s="52" t="s">
        <v>25</v>
      </c>
      <c r="F7348" s="52" t="s">
        <v>26</v>
      </c>
      <c r="G7348" s="53"/>
    </row>
    <row r="7349">
      <c r="A7349" s="49">
        <v>44771.425715081015</v>
      </c>
      <c r="B7349" s="50">
        <v>44771.5506878472</v>
      </c>
      <c r="C7349" s="51">
        <v>1.004</v>
      </c>
      <c r="D7349" s="51">
        <v>70.0</v>
      </c>
      <c r="E7349" s="52" t="s">
        <v>25</v>
      </c>
      <c r="F7349" s="52" t="s">
        <v>26</v>
      </c>
      <c r="G7349" s="53"/>
    </row>
    <row r="7350">
      <c r="A7350" s="49">
        <v>44771.43613318287</v>
      </c>
      <c r="B7350" s="50">
        <v>44771.5611104166</v>
      </c>
      <c r="C7350" s="51">
        <v>1.004</v>
      </c>
      <c r="D7350" s="51">
        <v>70.0</v>
      </c>
      <c r="E7350" s="52" t="s">
        <v>25</v>
      </c>
      <c r="F7350" s="52" t="s">
        <v>26</v>
      </c>
      <c r="G7350" s="53"/>
    </row>
    <row r="7351">
      <c r="A7351" s="49">
        <v>44771.446563391204</v>
      </c>
      <c r="B7351" s="50">
        <v>44771.5715300231</v>
      </c>
      <c r="C7351" s="51">
        <v>1.004</v>
      </c>
      <c r="D7351" s="51">
        <v>70.0</v>
      </c>
      <c r="E7351" s="52" t="s">
        <v>25</v>
      </c>
      <c r="F7351" s="52" t="s">
        <v>26</v>
      </c>
      <c r="G7351" s="53"/>
    </row>
    <row r="7352">
      <c r="A7352" s="49">
        <v>44771.45697472223</v>
      </c>
      <c r="B7352" s="50">
        <v>44771.581951574</v>
      </c>
      <c r="C7352" s="51">
        <v>1.004</v>
      </c>
      <c r="D7352" s="51">
        <v>70.0</v>
      </c>
      <c r="E7352" s="52" t="s">
        <v>25</v>
      </c>
      <c r="F7352" s="52" t="s">
        <v>26</v>
      </c>
      <c r="G7352" s="53"/>
    </row>
    <row r="7353">
      <c r="A7353" s="49">
        <v>44771.46741038194</v>
      </c>
      <c r="B7353" s="50">
        <v>44771.5923845486</v>
      </c>
      <c r="C7353" s="51">
        <v>1.004</v>
      </c>
      <c r="D7353" s="51">
        <v>70.0</v>
      </c>
      <c r="E7353" s="52" t="s">
        <v>25</v>
      </c>
      <c r="F7353" s="52" t="s">
        <v>26</v>
      </c>
      <c r="G7353" s="53"/>
    </row>
    <row r="7354">
      <c r="A7354" s="49">
        <v>44771.47783552083</v>
      </c>
      <c r="B7354" s="50">
        <v>44771.60280603</v>
      </c>
      <c r="C7354" s="51">
        <v>1.004</v>
      </c>
      <c r="D7354" s="51">
        <v>70.0</v>
      </c>
      <c r="E7354" s="52" t="s">
        <v>25</v>
      </c>
      <c r="F7354" s="52" t="s">
        <v>26</v>
      </c>
      <c r="G7354" s="53"/>
    </row>
    <row r="7355">
      <c r="A7355" s="49">
        <v>44771.48824953704</v>
      </c>
      <c r="B7355" s="50">
        <v>44771.6132293402</v>
      </c>
      <c r="C7355" s="51">
        <v>1.004</v>
      </c>
      <c r="D7355" s="51">
        <v>70.0</v>
      </c>
      <c r="E7355" s="52" t="s">
        <v>25</v>
      </c>
      <c r="F7355" s="52" t="s">
        <v>26</v>
      </c>
      <c r="G7355" s="53"/>
    </row>
    <row r="7356">
      <c r="A7356" s="49">
        <v>44771.49867864583</v>
      </c>
      <c r="B7356" s="50">
        <v>44771.6236511805</v>
      </c>
      <c r="C7356" s="51">
        <v>1.004</v>
      </c>
      <c r="D7356" s="51">
        <v>70.0</v>
      </c>
      <c r="E7356" s="52" t="s">
        <v>25</v>
      </c>
      <c r="F7356" s="52" t="s">
        <v>26</v>
      </c>
      <c r="G7356" s="53"/>
    </row>
    <row r="7357">
      <c r="A7357" s="49">
        <v>44771.50909690972</v>
      </c>
      <c r="B7357" s="50">
        <v>44771.6340704745</v>
      </c>
      <c r="C7357" s="51">
        <v>1.004</v>
      </c>
      <c r="D7357" s="51">
        <v>70.0</v>
      </c>
      <c r="E7357" s="52" t="s">
        <v>25</v>
      </c>
      <c r="F7357" s="52" t="s">
        <v>26</v>
      </c>
      <c r="G7357" s="53"/>
    </row>
    <row r="7358">
      <c r="A7358" s="49">
        <v>44771.519528125005</v>
      </c>
      <c r="B7358" s="50">
        <v>44771.6445031134</v>
      </c>
      <c r="C7358" s="51">
        <v>1.004</v>
      </c>
      <c r="D7358" s="51">
        <v>70.0</v>
      </c>
      <c r="E7358" s="52" t="s">
        <v>25</v>
      </c>
      <c r="F7358" s="52" t="s">
        <v>26</v>
      </c>
      <c r="G7358" s="53"/>
    </row>
    <row r="7359">
      <c r="A7359" s="49">
        <v>44771.5299491551</v>
      </c>
      <c r="B7359" s="50">
        <v>44771.654923831</v>
      </c>
      <c r="C7359" s="51">
        <v>1.004</v>
      </c>
      <c r="D7359" s="51">
        <v>70.0</v>
      </c>
      <c r="E7359" s="52" t="s">
        <v>25</v>
      </c>
      <c r="F7359" s="52" t="s">
        <v>26</v>
      </c>
      <c r="G7359" s="53"/>
    </row>
    <row r="7360">
      <c r="A7360" s="49">
        <v>44771.540371469906</v>
      </c>
      <c r="B7360" s="50">
        <v>44771.665343993</v>
      </c>
      <c r="C7360" s="51">
        <v>1.004</v>
      </c>
      <c r="D7360" s="51">
        <v>70.0</v>
      </c>
      <c r="E7360" s="52" t="s">
        <v>25</v>
      </c>
      <c r="F7360" s="52" t="s">
        <v>26</v>
      </c>
      <c r="G7360" s="53"/>
    </row>
    <row r="7361">
      <c r="A7361" s="49">
        <v>44771.55079221065</v>
      </c>
      <c r="B7361" s="50">
        <v>44771.6757643055</v>
      </c>
      <c r="C7361" s="51">
        <v>1.004</v>
      </c>
      <c r="D7361" s="51">
        <v>70.0</v>
      </c>
      <c r="E7361" s="52" t="s">
        <v>25</v>
      </c>
      <c r="F7361" s="52" t="s">
        <v>26</v>
      </c>
      <c r="G7361" s="53"/>
    </row>
    <row r="7362">
      <c r="A7362" s="49">
        <v>44771.56120542824</v>
      </c>
      <c r="B7362" s="50">
        <v>44771.6861845138</v>
      </c>
      <c r="C7362" s="51">
        <v>1.004</v>
      </c>
      <c r="D7362" s="51">
        <v>70.0</v>
      </c>
      <c r="E7362" s="52" t="s">
        <v>25</v>
      </c>
      <c r="F7362" s="52" t="s">
        <v>26</v>
      </c>
      <c r="G7362" s="53"/>
    </row>
    <row r="7363">
      <c r="A7363" s="49">
        <v>44771.57167991898</v>
      </c>
      <c r="B7363" s="50">
        <v>44771.6966530208</v>
      </c>
      <c r="C7363" s="51">
        <v>1.004</v>
      </c>
      <c r="D7363" s="51">
        <v>70.0</v>
      </c>
      <c r="E7363" s="52" t="s">
        <v>25</v>
      </c>
      <c r="F7363" s="52" t="s">
        <v>26</v>
      </c>
      <c r="G7363" s="53"/>
    </row>
    <row r="7364">
      <c r="A7364" s="49">
        <v>44771.58209940972</v>
      </c>
      <c r="B7364" s="50">
        <v>44771.7070727083</v>
      </c>
      <c r="C7364" s="51">
        <v>1.004</v>
      </c>
      <c r="D7364" s="51">
        <v>70.0</v>
      </c>
      <c r="E7364" s="52" t="s">
        <v>25</v>
      </c>
      <c r="F7364" s="52" t="s">
        <v>26</v>
      </c>
      <c r="G7364" s="53"/>
    </row>
    <row r="7365">
      <c r="A7365" s="49">
        <v>44771.59251674768</v>
      </c>
      <c r="B7365" s="50">
        <v>44771.7174950115</v>
      </c>
      <c r="C7365" s="51">
        <v>1.004</v>
      </c>
      <c r="D7365" s="51">
        <v>70.0</v>
      </c>
      <c r="E7365" s="52" t="s">
        <v>25</v>
      </c>
      <c r="F7365" s="52" t="s">
        <v>26</v>
      </c>
      <c r="G7365" s="53"/>
    </row>
    <row r="7366">
      <c r="A7366" s="49">
        <v>44771.60294603009</v>
      </c>
      <c r="B7366" s="50">
        <v>44771.7279171875</v>
      </c>
      <c r="C7366" s="51">
        <v>1.004</v>
      </c>
      <c r="D7366" s="51">
        <v>70.0</v>
      </c>
      <c r="E7366" s="52" t="s">
        <v>25</v>
      </c>
      <c r="F7366" s="52" t="s">
        <v>26</v>
      </c>
      <c r="G7366" s="53"/>
    </row>
    <row r="7367">
      <c r="A7367" s="49">
        <v>44771.613365868056</v>
      </c>
      <c r="B7367" s="50">
        <v>44771.738337037</v>
      </c>
      <c r="C7367" s="51">
        <v>1.004</v>
      </c>
      <c r="D7367" s="51">
        <v>70.0</v>
      </c>
      <c r="E7367" s="52" t="s">
        <v>25</v>
      </c>
      <c r="F7367" s="52" t="s">
        <v>26</v>
      </c>
      <c r="G7367" s="53"/>
    </row>
    <row r="7368">
      <c r="A7368" s="49">
        <v>44771.62378334491</v>
      </c>
      <c r="B7368" s="50">
        <v>44771.7487598958</v>
      </c>
      <c r="C7368" s="51">
        <v>1.004</v>
      </c>
      <c r="D7368" s="51">
        <v>70.0</v>
      </c>
      <c r="E7368" s="52" t="s">
        <v>25</v>
      </c>
      <c r="F7368" s="52" t="s">
        <v>26</v>
      </c>
      <c r="G7368" s="53"/>
    </row>
    <row r="7369">
      <c r="A7369" s="49">
        <v>44771.63420834491</v>
      </c>
      <c r="B7369" s="50">
        <v>44771.7591798611</v>
      </c>
      <c r="C7369" s="51">
        <v>1.004</v>
      </c>
      <c r="D7369" s="51">
        <v>70.0</v>
      </c>
      <c r="E7369" s="52" t="s">
        <v>25</v>
      </c>
      <c r="F7369" s="52" t="s">
        <v>26</v>
      </c>
      <c r="G7369" s="53"/>
    </row>
    <row r="7370">
      <c r="A7370" s="49">
        <v>44771.6446287963</v>
      </c>
      <c r="B7370" s="50">
        <v>44771.7696011805</v>
      </c>
      <c r="C7370" s="51">
        <v>1.004</v>
      </c>
      <c r="D7370" s="51">
        <v>70.0</v>
      </c>
      <c r="E7370" s="52" t="s">
        <v>25</v>
      </c>
      <c r="F7370" s="52" t="s">
        <v>26</v>
      </c>
      <c r="G7370" s="53"/>
    </row>
    <row r="7371">
      <c r="A7371" s="49">
        <v>44771.65504684028</v>
      </c>
      <c r="B7371" s="50">
        <v>44771.7800215277</v>
      </c>
      <c r="C7371" s="51">
        <v>1.004</v>
      </c>
      <c r="D7371" s="51">
        <v>70.0</v>
      </c>
      <c r="E7371" s="52" t="s">
        <v>25</v>
      </c>
      <c r="F7371" s="52" t="s">
        <v>26</v>
      </c>
      <c r="G7371" s="53"/>
    </row>
    <row r="7372">
      <c r="A7372" s="49">
        <v>44771.66547018518</v>
      </c>
      <c r="B7372" s="50">
        <v>44771.7904420833</v>
      </c>
      <c r="C7372" s="51">
        <v>1.004</v>
      </c>
      <c r="D7372" s="51">
        <v>70.0</v>
      </c>
      <c r="E7372" s="52" t="s">
        <v>25</v>
      </c>
      <c r="F7372" s="52" t="s">
        <v>26</v>
      </c>
      <c r="G7372" s="53"/>
    </row>
    <row r="7373">
      <c r="A7373" s="49">
        <v>44771.67588627315</v>
      </c>
      <c r="B7373" s="50">
        <v>44771.8008621875</v>
      </c>
      <c r="C7373" s="51">
        <v>1.004</v>
      </c>
      <c r="D7373" s="51">
        <v>70.0</v>
      </c>
      <c r="E7373" s="52" t="s">
        <v>25</v>
      </c>
      <c r="F7373" s="52" t="s">
        <v>26</v>
      </c>
      <c r="G7373" s="53"/>
    </row>
    <row r="7374">
      <c r="A7374" s="49">
        <v>44771.68632987268</v>
      </c>
      <c r="B7374" s="50">
        <v>44771.8113068865</v>
      </c>
      <c r="C7374" s="51">
        <v>1.004</v>
      </c>
      <c r="D7374" s="51">
        <v>70.0</v>
      </c>
      <c r="E7374" s="52" t="s">
        <v>25</v>
      </c>
      <c r="F7374" s="52" t="s">
        <v>26</v>
      </c>
      <c r="G7374" s="53"/>
    </row>
    <row r="7375">
      <c r="A7375" s="49">
        <v>44771.696753564815</v>
      </c>
      <c r="B7375" s="50">
        <v>44771.821729074</v>
      </c>
      <c r="C7375" s="51">
        <v>1.004</v>
      </c>
      <c r="D7375" s="51">
        <v>70.0</v>
      </c>
      <c r="E7375" s="52" t="s">
        <v>25</v>
      </c>
      <c r="F7375" s="52" t="s">
        <v>26</v>
      </c>
      <c r="G7375" s="53"/>
    </row>
    <row r="7376">
      <c r="A7376" s="49">
        <v>44771.70717515046</v>
      </c>
      <c r="B7376" s="50">
        <v>44771.8321497569</v>
      </c>
      <c r="C7376" s="51">
        <v>1.004</v>
      </c>
      <c r="D7376" s="51">
        <v>70.0</v>
      </c>
      <c r="E7376" s="52" t="s">
        <v>25</v>
      </c>
      <c r="F7376" s="52" t="s">
        <v>26</v>
      </c>
      <c r="G7376" s="53"/>
    </row>
    <row r="7377">
      <c r="A7377" s="49">
        <v>44771.71759871527</v>
      </c>
      <c r="B7377" s="50">
        <v>44771.8425720254</v>
      </c>
      <c r="C7377" s="51">
        <v>1.004</v>
      </c>
      <c r="D7377" s="51">
        <v>70.0</v>
      </c>
      <c r="E7377" s="52" t="s">
        <v>25</v>
      </c>
      <c r="F7377" s="52" t="s">
        <v>26</v>
      </c>
      <c r="G7377" s="53"/>
    </row>
    <row r="7378">
      <c r="A7378" s="49">
        <v>44771.72801578704</v>
      </c>
      <c r="B7378" s="50">
        <v>44771.8529931597</v>
      </c>
      <c r="C7378" s="51">
        <v>1.004</v>
      </c>
      <c r="D7378" s="51">
        <v>70.0</v>
      </c>
      <c r="E7378" s="52" t="s">
        <v>25</v>
      </c>
      <c r="F7378" s="52" t="s">
        <v>26</v>
      </c>
      <c r="G7378" s="53"/>
    </row>
    <row r="7379">
      <c r="A7379" s="49">
        <v>44771.738446006944</v>
      </c>
      <c r="B7379" s="50">
        <v>44771.8634253125</v>
      </c>
      <c r="C7379" s="51">
        <v>1.004</v>
      </c>
      <c r="D7379" s="51">
        <v>70.0</v>
      </c>
      <c r="E7379" s="52" t="s">
        <v>25</v>
      </c>
      <c r="F7379" s="52" t="s">
        <v>26</v>
      </c>
      <c r="G7379" s="53"/>
    </row>
    <row r="7380">
      <c r="A7380" s="49">
        <v>44771.74888480324</v>
      </c>
      <c r="B7380" s="50">
        <v>44771.8738597338</v>
      </c>
      <c r="C7380" s="51">
        <v>1.004</v>
      </c>
      <c r="D7380" s="51">
        <v>70.0</v>
      </c>
      <c r="E7380" s="52" t="s">
        <v>25</v>
      </c>
      <c r="F7380" s="52" t="s">
        <v>26</v>
      </c>
      <c r="G7380" s="53"/>
    </row>
    <row r="7381">
      <c r="A7381" s="49">
        <v>44771.75931515046</v>
      </c>
      <c r="B7381" s="50">
        <v>44771.8842938541</v>
      </c>
      <c r="C7381" s="51">
        <v>1.004</v>
      </c>
      <c r="D7381" s="51">
        <v>70.0</v>
      </c>
      <c r="E7381" s="52" t="s">
        <v>25</v>
      </c>
      <c r="F7381" s="52" t="s">
        <v>26</v>
      </c>
      <c r="G7381" s="53"/>
    </row>
    <row r="7382">
      <c r="A7382" s="49">
        <v>44771.76972971065</v>
      </c>
      <c r="B7382" s="50">
        <v>44771.8947145138</v>
      </c>
      <c r="C7382" s="51">
        <v>1.004</v>
      </c>
      <c r="D7382" s="51">
        <v>70.0</v>
      </c>
      <c r="E7382" s="52" t="s">
        <v>25</v>
      </c>
      <c r="F7382" s="52" t="s">
        <v>26</v>
      </c>
      <c r="G7382" s="53"/>
    </row>
    <row r="7383">
      <c r="A7383" s="49">
        <v>44771.78014993056</v>
      </c>
      <c r="B7383" s="50">
        <v>44771.9051347222</v>
      </c>
      <c r="C7383" s="51">
        <v>1.004</v>
      </c>
      <c r="D7383" s="51">
        <v>70.0</v>
      </c>
      <c r="E7383" s="52" t="s">
        <v>25</v>
      </c>
      <c r="F7383" s="52" t="s">
        <v>26</v>
      </c>
      <c r="G7383" s="53"/>
    </row>
    <row r="7384">
      <c r="A7384" s="49">
        <v>44771.79059408564</v>
      </c>
      <c r="B7384" s="50">
        <v>44771.9155691898</v>
      </c>
      <c r="C7384" s="51">
        <v>1.004</v>
      </c>
      <c r="D7384" s="51">
        <v>69.0</v>
      </c>
      <c r="E7384" s="52" t="s">
        <v>25</v>
      </c>
      <c r="F7384" s="52" t="s">
        <v>26</v>
      </c>
      <c r="G7384" s="53"/>
    </row>
    <row r="7385">
      <c r="A7385" s="49">
        <v>44771.801015115736</v>
      </c>
      <c r="B7385" s="50">
        <v>44771.9259907638</v>
      </c>
      <c r="C7385" s="51">
        <v>1.004</v>
      </c>
      <c r="D7385" s="51">
        <v>68.0</v>
      </c>
      <c r="E7385" s="52" t="s">
        <v>25</v>
      </c>
      <c r="F7385" s="52" t="s">
        <v>26</v>
      </c>
      <c r="G7385" s="53"/>
    </row>
    <row r="7386">
      <c r="A7386" s="49">
        <v>44771.81144726852</v>
      </c>
      <c r="B7386" s="50">
        <v>44771.9364234259</v>
      </c>
      <c r="C7386" s="51">
        <v>1.004</v>
      </c>
      <c r="D7386" s="51">
        <v>67.0</v>
      </c>
      <c r="E7386" s="52" t="s">
        <v>25</v>
      </c>
      <c r="F7386" s="52" t="s">
        <v>26</v>
      </c>
      <c r="G7386" s="53"/>
    </row>
    <row r="7387">
      <c r="A7387" s="49">
        <v>44771.821868865736</v>
      </c>
      <c r="B7387" s="50">
        <v>44771.9468449074</v>
      </c>
      <c r="C7387" s="51">
        <v>1.004</v>
      </c>
      <c r="D7387" s="51">
        <v>67.0</v>
      </c>
      <c r="E7387" s="52" t="s">
        <v>25</v>
      </c>
      <c r="F7387" s="52" t="s">
        <v>26</v>
      </c>
      <c r="G7387" s="53"/>
    </row>
    <row r="7388">
      <c r="A7388" s="49">
        <v>44771.83229466435</v>
      </c>
      <c r="B7388" s="50">
        <v>44771.9572790972</v>
      </c>
      <c r="C7388" s="51">
        <v>1.004</v>
      </c>
      <c r="D7388" s="51">
        <v>66.0</v>
      </c>
      <c r="E7388" s="52" t="s">
        <v>25</v>
      </c>
      <c r="F7388" s="52" t="s">
        <v>26</v>
      </c>
      <c r="G7388" s="53"/>
    </row>
    <row r="7389">
      <c r="A7389" s="49">
        <v>44771.84273643518</v>
      </c>
      <c r="B7389" s="50">
        <v>44771.9677128009</v>
      </c>
      <c r="C7389" s="51">
        <v>1.004</v>
      </c>
      <c r="D7389" s="51">
        <v>66.0</v>
      </c>
      <c r="E7389" s="52" t="s">
        <v>25</v>
      </c>
      <c r="F7389" s="52" t="s">
        <v>26</v>
      </c>
      <c r="G7389" s="53"/>
    </row>
    <row r="7390">
      <c r="A7390" s="49">
        <v>44771.85315203704</v>
      </c>
      <c r="B7390" s="50">
        <v>44771.9781352083</v>
      </c>
      <c r="C7390" s="51">
        <v>1.004</v>
      </c>
      <c r="D7390" s="51">
        <v>66.0</v>
      </c>
      <c r="E7390" s="52" t="s">
        <v>25</v>
      </c>
      <c r="F7390" s="52" t="s">
        <v>26</v>
      </c>
      <c r="G7390" s="53"/>
    </row>
    <row r="7391">
      <c r="A7391" s="49">
        <v>44771.8635838426</v>
      </c>
      <c r="B7391" s="50">
        <v>44771.988557581</v>
      </c>
      <c r="C7391" s="51">
        <v>1.004</v>
      </c>
      <c r="D7391" s="51">
        <v>66.0</v>
      </c>
      <c r="E7391" s="52" t="s">
        <v>25</v>
      </c>
      <c r="F7391" s="52" t="s">
        <v>26</v>
      </c>
      <c r="G7391" s="53"/>
    </row>
    <row r="7392">
      <c r="A7392" s="49">
        <v>44771.874007094906</v>
      </c>
      <c r="B7392" s="50">
        <v>44771.9989775</v>
      </c>
      <c r="C7392" s="51">
        <v>1.004</v>
      </c>
      <c r="D7392" s="51">
        <v>66.0</v>
      </c>
      <c r="E7392" s="52" t="s">
        <v>25</v>
      </c>
      <c r="F7392" s="52" t="s">
        <v>26</v>
      </c>
      <c r="G7392" s="53"/>
    </row>
    <row r="7393">
      <c r="A7393" s="49">
        <v>44771.88443491898</v>
      </c>
      <c r="B7393" s="50">
        <v>44772.0094111574</v>
      </c>
      <c r="C7393" s="51">
        <v>1.004</v>
      </c>
      <c r="D7393" s="51">
        <v>66.0</v>
      </c>
      <c r="E7393" s="52" t="s">
        <v>25</v>
      </c>
      <c r="F7393" s="52" t="s">
        <v>26</v>
      </c>
      <c r="G7393" s="53"/>
    </row>
    <row r="7394">
      <c r="A7394" s="49">
        <v>44771.894850625</v>
      </c>
      <c r="B7394" s="50">
        <v>44772.019832662</v>
      </c>
      <c r="C7394" s="51">
        <v>1.004</v>
      </c>
      <c r="D7394" s="51">
        <v>66.0</v>
      </c>
      <c r="E7394" s="52" t="s">
        <v>25</v>
      </c>
      <c r="F7394" s="52" t="s">
        <v>26</v>
      </c>
      <c r="G7394" s="53"/>
    </row>
    <row r="7395">
      <c r="A7395" s="49">
        <v>44771.90527253472</v>
      </c>
      <c r="B7395" s="50">
        <v>44772.0302522106</v>
      </c>
      <c r="C7395" s="51">
        <v>1.004</v>
      </c>
      <c r="D7395" s="51">
        <v>66.0</v>
      </c>
      <c r="E7395" s="52" t="s">
        <v>25</v>
      </c>
      <c r="F7395" s="52" t="s">
        <v>26</v>
      </c>
      <c r="G7395" s="53"/>
    </row>
    <row r="7396">
      <c r="A7396" s="49">
        <v>44771.91570400463</v>
      </c>
      <c r="B7396" s="50">
        <v>44772.0406744675</v>
      </c>
      <c r="C7396" s="51">
        <v>1.004</v>
      </c>
      <c r="D7396" s="51">
        <v>66.0</v>
      </c>
      <c r="E7396" s="52" t="s">
        <v>25</v>
      </c>
      <c r="F7396" s="52" t="s">
        <v>26</v>
      </c>
      <c r="G7396" s="53"/>
    </row>
    <row r="7397">
      <c r="A7397" s="49">
        <v>44771.92611878472</v>
      </c>
      <c r="B7397" s="50">
        <v>44772.0510955555</v>
      </c>
      <c r="C7397" s="51">
        <v>1.004</v>
      </c>
      <c r="D7397" s="51">
        <v>66.0</v>
      </c>
      <c r="E7397" s="52" t="s">
        <v>25</v>
      </c>
      <c r="F7397" s="52" t="s">
        <v>26</v>
      </c>
      <c r="G7397" s="53"/>
    </row>
    <row r="7398">
      <c r="A7398" s="49">
        <v>44771.93653979167</v>
      </c>
      <c r="B7398" s="50">
        <v>44772.0615172685</v>
      </c>
      <c r="C7398" s="51">
        <v>1.004</v>
      </c>
      <c r="D7398" s="51">
        <v>66.0</v>
      </c>
      <c r="E7398" s="52" t="s">
        <v>25</v>
      </c>
      <c r="F7398" s="52" t="s">
        <v>26</v>
      </c>
      <c r="G7398" s="53"/>
    </row>
    <row r="7399">
      <c r="A7399" s="49">
        <v>44771.94695726852</v>
      </c>
      <c r="B7399" s="50">
        <v>44772.0719384143</v>
      </c>
      <c r="C7399" s="51">
        <v>1.004</v>
      </c>
      <c r="D7399" s="51">
        <v>66.0</v>
      </c>
      <c r="E7399" s="52" t="s">
        <v>25</v>
      </c>
      <c r="F7399" s="52" t="s">
        <v>26</v>
      </c>
      <c r="G7399" s="53"/>
    </row>
    <row r="7400">
      <c r="A7400" s="49">
        <v>44771.95737446759</v>
      </c>
      <c r="B7400" s="50">
        <v>44772.0823600231</v>
      </c>
      <c r="C7400" s="51">
        <v>1.004</v>
      </c>
      <c r="D7400" s="51">
        <v>66.0</v>
      </c>
      <c r="E7400" s="52" t="s">
        <v>25</v>
      </c>
      <c r="F7400" s="52" t="s">
        <v>26</v>
      </c>
      <c r="G7400" s="53"/>
    </row>
    <row r="7401">
      <c r="A7401" s="49">
        <v>44771.96779672454</v>
      </c>
      <c r="B7401" s="50">
        <v>44772.0927812037</v>
      </c>
      <c r="C7401" s="51">
        <v>1.004</v>
      </c>
      <c r="D7401" s="51">
        <v>66.0</v>
      </c>
      <c r="E7401" s="52" t="s">
        <v>25</v>
      </c>
      <c r="F7401" s="52" t="s">
        <v>26</v>
      </c>
      <c r="G7401" s="53"/>
    </row>
    <row r="7402">
      <c r="A7402" s="49">
        <v>44771.97821969907</v>
      </c>
      <c r="B7402" s="50">
        <v>44772.1032023611</v>
      </c>
      <c r="C7402" s="51">
        <v>1.004</v>
      </c>
      <c r="D7402" s="51">
        <v>66.0</v>
      </c>
      <c r="E7402" s="52" t="s">
        <v>25</v>
      </c>
      <c r="F7402" s="52" t="s">
        <v>26</v>
      </c>
      <c r="G7402" s="53"/>
    </row>
    <row r="7403">
      <c r="A7403" s="49">
        <v>44771.98864865741</v>
      </c>
      <c r="B7403" s="50">
        <v>44772.1136231712</v>
      </c>
      <c r="C7403" s="51">
        <v>1.003</v>
      </c>
      <c r="D7403" s="51">
        <v>66.0</v>
      </c>
      <c r="E7403" s="52" t="s">
        <v>25</v>
      </c>
      <c r="F7403" s="52" t="s">
        <v>26</v>
      </c>
      <c r="G7403" s="53"/>
    </row>
    <row r="7404">
      <c r="A7404" s="49">
        <v>44771.99905979166</v>
      </c>
      <c r="B7404" s="50">
        <v>44772.1240431365</v>
      </c>
      <c r="C7404" s="51">
        <v>1.004</v>
      </c>
      <c r="D7404" s="51">
        <v>66.0</v>
      </c>
      <c r="E7404" s="52" t="s">
        <v>25</v>
      </c>
      <c r="F7404" s="52" t="s">
        <v>26</v>
      </c>
      <c r="G7404" s="53"/>
    </row>
    <row r="7405">
      <c r="A7405" s="49">
        <v>44772.00948988426</v>
      </c>
      <c r="B7405" s="50">
        <v>44772.1344637037</v>
      </c>
      <c r="C7405" s="51">
        <v>1.004</v>
      </c>
      <c r="D7405" s="51">
        <v>66.0</v>
      </c>
      <c r="E7405" s="52" t="s">
        <v>25</v>
      </c>
      <c r="F7405" s="52" t="s">
        <v>26</v>
      </c>
      <c r="G7405" s="53"/>
    </row>
    <row r="7406">
      <c r="A7406" s="49">
        <v>44772.01991070602</v>
      </c>
      <c r="B7406" s="50">
        <v>44772.1448859375</v>
      </c>
      <c r="C7406" s="51">
        <v>1.004</v>
      </c>
      <c r="D7406" s="51">
        <v>66.0</v>
      </c>
      <c r="E7406" s="52" t="s">
        <v>25</v>
      </c>
      <c r="F7406" s="52" t="s">
        <v>26</v>
      </c>
      <c r="G7406" s="53"/>
    </row>
    <row r="7407">
      <c r="A7407" s="49">
        <v>44772.0303313426</v>
      </c>
      <c r="B7407" s="50">
        <v>44772.1553067824</v>
      </c>
      <c r="C7407" s="51">
        <v>1.004</v>
      </c>
      <c r="D7407" s="51">
        <v>66.0</v>
      </c>
      <c r="E7407" s="52" t="s">
        <v>25</v>
      </c>
      <c r="F7407" s="52" t="s">
        <v>26</v>
      </c>
      <c r="G7407" s="53"/>
    </row>
    <row r="7408">
      <c r="A7408" s="49">
        <v>44772.04075296296</v>
      </c>
      <c r="B7408" s="50">
        <v>44772.1657283101</v>
      </c>
      <c r="C7408" s="51">
        <v>1.004</v>
      </c>
      <c r="D7408" s="51">
        <v>66.0</v>
      </c>
      <c r="E7408" s="52" t="s">
        <v>25</v>
      </c>
      <c r="F7408" s="52" t="s">
        <v>26</v>
      </c>
      <c r="G7408" s="53"/>
    </row>
    <row r="7409">
      <c r="A7409" s="49">
        <v>44772.05117315972</v>
      </c>
      <c r="B7409" s="50">
        <v>44772.176148125</v>
      </c>
      <c r="C7409" s="51">
        <v>1.004</v>
      </c>
      <c r="D7409" s="51">
        <v>66.0</v>
      </c>
      <c r="E7409" s="52" t="s">
        <v>25</v>
      </c>
      <c r="F7409" s="52" t="s">
        <v>26</v>
      </c>
      <c r="G7409" s="53"/>
    </row>
    <row r="7410">
      <c r="A7410" s="49">
        <v>44772.06159677083</v>
      </c>
      <c r="B7410" s="50">
        <v>44772.1865697453</v>
      </c>
      <c r="C7410" s="51">
        <v>1.004</v>
      </c>
      <c r="D7410" s="51">
        <v>66.0</v>
      </c>
      <c r="E7410" s="52" t="s">
        <v>25</v>
      </c>
      <c r="F7410" s="52" t="s">
        <v>26</v>
      </c>
      <c r="G7410" s="53"/>
    </row>
    <row r="7411">
      <c r="A7411" s="49">
        <v>44772.0720209838</v>
      </c>
      <c r="B7411" s="50">
        <v>44772.1970025231</v>
      </c>
      <c r="C7411" s="51">
        <v>1.004</v>
      </c>
      <c r="D7411" s="51">
        <v>66.0</v>
      </c>
      <c r="E7411" s="52" t="s">
        <v>25</v>
      </c>
      <c r="F7411" s="52" t="s">
        <v>26</v>
      </c>
      <c r="G7411" s="53"/>
    </row>
    <row r="7412">
      <c r="A7412" s="49">
        <v>44772.08243859954</v>
      </c>
      <c r="B7412" s="50">
        <v>44772.207422743</v>
      </c>
      <c r="C7412" s="51">
        <v>1.004</v>
      </c>
      <c r="D7412" s="51">
        <v>66.0</v>
      </c>
      <c r="E7412" s="52" t="s">
        <v>25</v>
      </c>
      <c r="F7412" s="52" t="s">
        <v>26</v>
      </c>
      <c r="G7412" s="53"/>
    </row>
    <row r="7413">
      <c r="A7413" s="49">
        <v>44772.09287245371</v>
      </c>
      <c r="B7413" s="50">
        <v>44772.2178457407</v>
      </c>
      <c r="C7413" s="51">
        <v>1.004</v>
      </c>
      <c r="D7413" s="51">
        <v>66.0</v>
      </c>
      <c r="E7413" s="52" t="s">
        <v>25</v>
      </c>
      <c r="F7413" s="52" t="s">
        <v>26</v>
      </c>
      <c r="G7413" s="53"/>
    </row>
    <row r="7414">
      <c r="A7414" s="49">
        <v>44772.103293113425</v>
      </c>
      <c r="B7414" s="50">
        <v>44772.2282668055</v>
      </c>
      <c r="C7414" s="51">
        <v>1.004</v>
      </c>
      <c r="D7414" s="51">
        <v>66.0</v>
      </c>
      <c r="E7414" s="52" t="s">
        <v>25</v>
      </c>
      <c r="F7414" s="52" t="s">
        <v>26</v>
      </c>
      <c r="G7414" s="53"/>
    </row>
    <row r="7415">
      <c r="A7415" s="49">
        <v>44772.11371282407</v>
      </c>
      <c r="B7415" s="50">
        <v>44772.2386872453</v>
      </c>
      <c r="C7415" s="51">
        <v>1.004</v>
      </c>
      <c r="D7415" s="51">
        <v>66.0</v>
      </c>
      <c r="E7415" s="52" t="s">
        <v>25</v>
      </c>
      <c r="F7415" s="52" t="s">
        <v>26</v>
      </c>
      <c r="G7415" s="53"/>
    </row>
    <row r="7416">
      <c r="A7416" s="49">
        <v>44772.12413493056</v>
      </c>
      <c r="B7416" s="50">
        <v>44772.2491092013</v>
      </c>
      <c r="C7416" s="51">
        <v>1.004</v>
      </c>
      <c r="D7416" s="51">
        <v>66.0</v>
      </c>
      <c r="E7416" s="52" t="s">
        <v>25</v>
      </c>
      <c r="F7416" s="52" t="s">
        <v>26</v>
      </c>
      <c r="G7416" s="53"/>
    </row>
    <row r="7417">
      <c r="A7417" s="49">
        <v>44772.13455630787</v>
      </c>
      <c r="B7417" s="50">
        <v>44772.2595287268</v>
      </c>
      <c r="C7417" s="51">
        <v>1.004</v>
      </c>
      <c r="D7417" s="51">
        <v>66.0</v>
      </c>
      <c r="E7417" s="52" t="s">
        <v>25</v>
      </c>
      <c r="F7417" s="52" t="s">
        <v>26</v>
      </c>
      <c r="G7417" s="53"/>
    </row>
    <row r="7418">
      <c r="A7418" s="49">
        <v>44772.144978854165</v>
      </c>
      <c r="B7418" s="50">
        <v>44772.26994978</v>
      </c>
      <c r="C7418" s="51">
        <v>1.004</v>
      </c>
      <c r="D7418" s="51">
        <v>66.0</v>
      </c>
      <c r="E7418" s="52" t="s">
        <v>25</v>
      </c>
      <c r="F7418" s="52" t="s">
        <v>26</v>
      </c>
      <c r="G7418" s="53"/>
    </row>
    <row r="7419">
      <c r="A7419" s="49">
        <v>44772.15539829861</v>
      </c>
      <c r="B7419" s="50">
        <v>44772.2803707407</v>
      </c>
      <c r="C7419" s="51">
        <v>1.004</v>
      </c>
      <c r="D7419" s="51">
        <v>66.0</v>
      </c>
      <c r="E7419" s="52" t="s">
        <v>25</v>
      </c>
      <c r="F7419" s="52" t="s">
        <v>26</v>
      </c>
      <c r="G7419" s="53"/>
    </row>
    <row r="7420">
      <c r="A7420" s="49">
        <v>44772.165818634254</v>
      </c>
      <c r="B7420" s="50">
        <v>44772.2907921527</v>
      </c>
      <c r="C7420" s="51">
        <v>1.004</v>
      </c>
      <c r="D7420" s="51">
        <v>66.0</v>
      </c>
      <c r="E7420" s="52" t="s">
        <v>25</v>
      </c>
      <c r="F7420" s="52" t="s">
        <v>26</v>
      </c>
      <c r="G7420" s="53"/>
    </row>
    <row r="7421">
      <c r="A7421" s="49">
        <v>44772.17624890046</v>
      </c>
      <c r="B7421" s="50">
        <v>44772.3012229166</v>
      </c>
      <c r="C7421" s="51">
        <v>1.004</v>
      </c>
      <c r="D7421" s="51">
        <v>66.0</v>
      </c>
      <c r="E7421" s="52" t="s">
        <v>25</v>
      </c>
      <c r="F7421" s="52" t="s">
        <v>26</v>
      </c>
      <c r="G7421" s="53"/>
    </row>
    <row r="7422">
      <c r="A7422" s="49">
        <v>44772.18667202546</v>
      </c>
      <c r="B7422" s="50">
        <v>44772.3116435069</v>
      </c>
      <c r="C7422" s="51">
        <v>1.004</v>
      </c>
      <c r="D7422" s="51">
        <v>67.0</v>
      </c>
      <c r="E7422" s="52" t="s">
        <v>25</v>
      </c>
      <c r="F7422" s="52" t="s">
        <v>26</v>
      </c>
      <c r="G7422" s="53"/>
    </row>
    <row r="7423">
      <c r="A7423" s="49">
        <v>44772.19709015047</v>
      </c>
      <c r="B7423" s="50">
        <v>44772.3220635879</v>
      </c>
      <c r="C7423" s="51">
        <v>1.004</v>
      </c>
      <c r="D7423" s="51">
        <v>67.0</v>
      </c>
      <c r="E7423" s="52" t="s">
        <v>25</v>
      </c>
      <c r="F7423" s="52" t="s">
        <v>26</v>
      </c>
      <c r="G7423" s="53"/>
    </row>
    <row r="7424">
      <c r="A7424" s="49">
        <v>44772.20750958333</v>
      </c>
      <c r="B7424" s="50">
        <v>44772.3324849652</v>
      </c>
      <c r="C7424" s="51">
        <v>1.004</v>
      </c>
      <c r="D7424" s="51">
        <v>66.0</v>
      </c>
      <c r="E7424" s="52" t="s">
        <v>25</v>
      </c>
      <c r="F7424" s="52" t="s">
        <v>26</v>
      </c>
      <c r="G7424" s="53"/>
    </row>
    <row r="7425">
      <c r="A7425" s="49">
        <v>44772.21792481482</v>
      </c>
      <c r="B7425" s="50">
        <v>44772.3429055208</v>
      </c>
      <c r="C7425" s="51">
        <v>1.004</v>
      </c>
      <c r="D7425" s="51">
        <v>66.0</v>
      </c>
      <c r="E7425" s="52" t="s">
        <v>25</v>
      </c>
      <c r="F7425" s="52" t="s">
        <v>26</v>
      </c>
      <c r="G7425" s="53"/>
    </row>
    <row r="7426">
      <c r="A7426" s="49">
        <v>44772.22835453704</v>
      </c>
      <c r="B7426" s="50">
        <v>44772.353325</v>
      </c>
      <c r="C7426" s="51">
        <v>1.004</v>
      </c>
      <c r="D7426" s="51">
        <v>67.0</v>
      </c>
      <c r="E7426" s="52" t="s">
        <v>25</v>
      </c>
      <c r="F7426" s="52" t="s">
        <v>26</v>
      </c>
      <c r="G7426" s="53"/>
    </row>
    <row r="7427">
      <c r="A7427" s="49">
        <v>44772.238780451386</v>
      </c>
      <c r="B7427" s="50">
        <v>44772.3637582638</v>
      </c>
      <c r="C7427" s="51">
        <v>1.004</v>
      </c>
      <c r="D7427" s="51">
        <v>67.0</v>
      </c>
      <c r="E7427" s="52" t="s">
        <v>25</v>
      </c>
      <c r="F7427" s="52" t="s">
        <v>26</v>
      </c>
      <c r="G7427" s="53"/>
    </row>
    <row r="7428">
      <c r="A7428" s="49">
        <v>44772.24920114584</v>
      </c>
      <c r="B7428" s="50">
        <v>44772.3741797916</v>
      </c>
      <c r="C7428" s="51">
        <v>1.004</v>
      </c>
      <c r="D7428" s="51">
        <v>67.0</v>
      </c>
      <c r="E7428" s="52" t="s">
        <v>25</v>
      </c>
      <c r="F7428" s="52" t="s">
        <v>26</v>
      </c>
      <c r="G7428" s="53"/>
    </row>
    <row r="7429">
      <c r="A7429" s="49">
        <v>44772.25962575231</v>
      </c>
      <c r="B7429" s="50">
        <v>44772.384602037</v>
      </c>
      <c r="C7429" s="51">
        <v>1.004</v>
      </c>
      <c r="D7429" s="51">
        <v>67.0</v>
      </c>
      <c r="E7429" s="52" t="s">
        <v>25</v>
      </c>
      <c r="F7429" s="52" t="s">
        <v>26</v>
      </c>
      <c r="G7429" s="53"/>
    </row>
    <row r="7430">
      <c r="A7430" s="49">
        <v>44772.270041689815</v>
      </c>
      <c r="B7430" s="50">
        <v>44772.3950241319</v>
      </c>
      <c r="C7430" s="51">
        <v>1.004</v>
      </c>
      <c r="D7430" s="51">
        <v>67.0</v>
      </c>
      <c r="E7430" s="52" t="s">
        <v>25</v>
      </c>
      <c r="F7430" s="52" t="s">
        <v>26</v>
      </c>
      <c r="G7430" s="53"/>
    </row>
    <row r="7431">
      <c r="A7431" s="49">
        <v>44772.28048339121</v>
      </c>
      <c r="B7431" s="50">
        <v>44772.4054580324</v>
      </c>
      <c r="C7431" s="51">
        <v>1.004</v>
      </c>
      <c r="D7431" s="51">
        <v>67.0</v>
      </c>
      <c r="E7431" s="52" t="s">
        <v>25</v>
      </c>
      <c r="F7431" s="52" t="s">
        <v>26</v>
      </c>
      <c r="G7431" s="53"/>
    </row>
    <row r="7432">
      <c r="A7432" s="49">
        <v>44772.29090317129</v>
      </c>
      <c r="B7432" s="50">
        <v>44772.4158773726</v>
      </c>
      <c r="C7432" s="51">
        <v>1.004</v>
      </c>
      <c r="D7432" s="51">
        <v>67.0</v>
      </c>
      <c r="E7432" s="52" t="s">
        <v>25</v>
      </c>
      <c r="F7432" s="52" t="s">
        <v>26</v>
      </c>
      <c r="G7432" s="53"/>
    </row>
    <row r="7433">
      <c r="A7433" s="49">
        <v>44772.30132215278</v>
      </c>
      <c r="B7433" s="50">
        <v>44772.4262990625</v>
      </c>
      <c r="C7433" s="51">
        <v>1.004</v>
      </c>
      <c r="D7433" s="51">
        <v>67.0</v>
      </c>
      <c r="E7433" s="52" t="s">
        <v>25</v>
      </c>
      <c r="F7433" s="52" t="s">
        <v>26</v>
      </c>
      <c r="G7433" s="53"/>
    </row>
    <row r="7434">
      <c r="A7434" s="49">
        <v>44772.31174651621</v>
      </c>
      <c r="B7434" s="50">
        <v>44772.4367210995</v>
      </c>
      <c r="C7434" s="51">
        <v>1.004</v>
      </c>
      <c r="D7434" s="51">
        <v>67.0</v>
      </c>
      <c r="E7434" s="52" t="s">
        <v>25</v>
      </c>
      <c r="F7434" s="52" t="s">
        <v>26</v>
      </c>
      <c r="G7434" s="53"/>
    </row>
    <row r="7435">
      <c r="A7435" s="49">
        <v>44772.322170127314</v>
      </c>
      <c r="B7435" s="50">
        <v>44772.4471429861</v>
      </c>
      <c r="C7435" s="51">
        <v>1.004</v>
      </c>
      <c r="D7435" s="51">
        <v>67.0</v>
      </c>
      <c r="E7435" s="52" t="s">
        <v>25</v>
      </c>
      <c r="F7435" s="52" t="s">
        <v>26</v>
      </c>
      <c r="G7435" s="53"/>
    </row>
    <row r="7436">
      <c r="A7436" s="49">
        <v>44772.33259348379</v>
      </c>
      <c r="B7436" s="50">
        <v>44772.4575631018</v>
      </c>
      <c r="C7436" s="51">
        <v>1.004</v>
      </c>
      <c r="D7436" s="51">
        <v>67.0</v>
      </c>
      <c r="E7436" s="52" t="s">
        <v>25</v>
      </c>
      <c r="F7436" s="52" t="s">
        <v>26</v>
      </c>
      <c r="G7436" s="53"/>
    </row>
    <row r="7437">
      <c r="A7437" s="49">
        <v>44772.34301087963</v>
      </c>
      <c r="B7437" s="50">
        <v>44772.4679841203</v>
      </c>
      <c r="C7437" s="51">
        <v>1.004</v>
      </c>
      <c r="D7437" s="51">
        <v>67.0</v>
      </c>
      <c r="E7437" s="52" t="s">
        <v>25</v>
      </c>
      <c r="F7437" s="52" t="s">
        <v>26</v>
      </c>
      <c r="G7437" s="53"/>
    </row>
    <row r="7438">
      <c r="A7438" s="49">
        <v>44772.35346341435</v>
      </c>
      <c r="B7438" s="50">
        <v>44772.4784401736</v>
      </c>
      <c r="C7438" s="51">
        <v>1.004</v>
      </c>
      <c r="D7438" s="51">
        <v>67.0</v>
      </c>
      <c r="E7438" s="52" t="s">
        <v>25</v>
      </c>
      <c r="F7438" s="52" t="s">
        <v>26</v>
      </c>
      <c r="G7438" s="53"/>
    </row>
    <row r="7439">
      <c r="A7439" s="49">
        <v>44772.36389649306</v>
      </c>
      <c r="B7439" s="50">
        <v>44772.4888601041</v>
      </c>
      <c r="C7439" s="51">
        <v>1.004</v>
      </c>
      <c r="D7439" s="51">
        <v>67.0</v>
      </c>
      <c r="E7439" s="52" t="s">
        <v>25</v>
      </c>
      <c r="F7439" s="52" t="s">
        <v>26</v>
      </c>
      <c r="G7439" s="53"/>
    </row>
    <row r="7440">
      <c r="A7440" s="49">
        <v>44772.37431893518</v>
      </c>
      <c r="B7440" s="50">
        <v>44772.4992935532</v>
      </c>
      <c r="C7440" s="51">
        <v>1.004</v>
      </c>
      <c r="D7440" s="51">
        <v>67.0</v>
      </c>
      <c r="E7440" s="52" t="s">
        <v>25</v>
      </c>
      <c r="F7440" s="52" t="s">
        <v>26</v>
      </c>
      <c r="G7440" s="53"/>
    </row>
    <row r="7441">
      <c r="A7441" s="49">
        <v>44772.384729756945</v>
      </c>
      <c r="B7441" s="50">
        <v>44772.509713368</v>
      </c>
      <c r="C7441" s="51">
        <v>1.004</v>
      </c>
      <c r="D7441" s="51">
        <v>67.0</v>
      </c>
      <c r="E7441" s="52" t="s">
        <v>25</v>
      </c>
      <c r="F7441" s="52" t="s">
        <v>26</v>
      </c>
      <c r="G7441" s="53"/>
    </row>
    <row r="7442">
      <c r="A7442" s="49">
        <v>44772.395148958334</v>
      </c>
      <c r="B7442" s="50">
        <v>44772.5201340509</v>
      </c>
      <c r="C7442" s="51">
        <v>1.004</v>
      </c>
      <c r="D7442" s="51">
        <v>67.0</v>
      </c>
      <c r="E7442" s="52" t="s">
        <v>25</v>
      </c>
      <c r="F7442" s="52" t="s">
        <v>26</v>
      </c>
      <c r="G7442" s="53"/>
    </row>
    <row r="7443">
      <c r="A7443" s="49">
        <v>44772.405592407405</v>
      </c>
      <c r="B7443" s="50">
        <v>44772.5305671296</v>
      </c>
      <c r="C7443" s="51">
        <v>1.004</v>
      </c>
      <c r="D7443" s="51">
        <v>67.0</v>
      </c>
      <c r="E7443" s="52" t="s">
        <v>25</v>
      </c>
      <c r="F7443" s="52" t="s">
        <v>26</v>
      </c>
      <c r="G7443" s="53"/>
    </row>
    <row r="7444">
      <c r="A7444" s="49">
        <v>44772.41601023148</v>
      </c>
      <c r="B7444" s="50">
        <v>44772.5409891319</v>
      </c>
      <c r="C7444" s="51">
        <v>1.004</v>
      </c>
      <c r="D7444" s="51">
        <v>67.0</v>
      </c>
      <c r="E7444" s="52" t="s">
        <v>25</v>
      </c>
      <c r="F7444" s="52" t="s">
        <v>26</v>
      </c>
      <c r="G7444" s="53"/>
    </row>
    <row r="7445">
      <c r="A7445" s="49">
        <v>44772.42643034722</v>
      </c>
      <c r="B7445" s="50">
        <v>44772.5514100463</v>
      </c>
      <c r="C7445" s="51">
        <v>1.004</v>
      </c>
      <c r="D7445" s="51">
        <v>67.0</v>
      </c>
      <c r="E7445" s="52" t="s">
        <v>25</v>
      </c>
      <c r="F7445" s="52" t="s">
        <v>26</v>
      </c>
      <c r="G7445" s="53"/>
    </row>
    <row r="7446">
      <c r="A7446" s="49">
        <v>44772.4368525926</v>
      </c>
      <c r="B7446" s="50">
        <v>44772.5618308564</v>
      </c>
      <c r="C7446" s="51">
        <v>1.004</v>
      </c>
      <c r="D7446" s="51">
        <v>67.0</v>
      </c>
      <c r="E7446" s="52" t="s">
        <v>25</v>
      </c>
      <c r="F7446" s="52" t="s">
        <v>26</v>
      </c>
      <c r="G7446" s="53"/>
    </row>
    <row r="7447">
      <c r="A7447" s="49">
        <v>44772.447285393515</v>
      </c>
      <c r="B7447" s="50">
        <v>44772.5722627199</v>
      </c>
      <c r="C7447" s="51">
        <v>1.004</v>
      </c>
      <c r="D7447" s="51">
        <v>67.0</v>
      </c>
      <c r="E7447" s="52" t="s">
        <v>25</v>
      </c>
      <c r="F7447" s="52" t="s">
        <v>26</v>
      </c>
      <c r="G7447" s="53"/>
    </row>
    <row r="7448">
      <c r="A7448" s="49">
        <v>44772.457709421295</v>
      </c>
      <c r="B7448" s="50">
        <v>44772.582695324</v>
      </c>
      <c r="C7448" s="51">
        <v>1.004</v>
      </c>
      <c r="D7448" s="51">
        <v>67.0</v>
      </c>
      <c r="E7448" s="52" t="s">
        <v>25</v>
      </c>
      <c r="F7448" s="52" t="s">
        <v>26</v>
      </c>
      <c r="G7448" s="53"/>
    </row>
    <row r="7449">
      <c r="A7449" s="49">
        <v>44772.46814008102</v>
      </c>
      <c r="B7449" s="50">
        <v>44772.5931167129</v>
      </c>
      <c r="C7449" s="51">
        <v>1.004</v>
      </c>
      <c r="D7449" s="51">
        <v>67.0</v>
      </c>
      <c r="E7449" s="52" t="s">
        <v>25</v>
      </c>
      <c r="F7449" s="52" t="s">
        <v>26</v>
      </c>
      <c r="G7449" s="53"/>
    </row>
    <row r="7450">
      <c r="A7450" s="49">
        <v>44772.47857393519</v>
      </c>
      <c r="B7450" s="50">
        <v>44772.6035482986</v>
      </c>
      <c r="C7450" s="51">
        <v>1.004</v>
      </c>
      <c r="D7450" s="51">
        <v>67.0</v>
      </c>
      <c r="E7450" s="52" t="s">
        <v>25</v>
      </c>
      <c r="F7450" s="52" t="s">
        <v>26</v>
      </c>
      <c r="G7450" s="53"/>
    </row>
    <row r="7451">
      <c r="A7451" s="49">
        <v>44772.48899625</v>
      </c>
      <c r="B7451" s="50">
        <v>44772.6139693287</v>
      </c>
      <c r="C7451" s="51">
        <v>1.004</v>
      </c>
      <c r="D7451" s="51">
        <v>67.0</v>
      </c>
      <c r="E7451" s="52" t="s">
        <v>25</v>
      </c>
      <c r="F7451" s="52" t="s">
        <v>26</v>
      </c>
      <c r="G7451" s="53"/>
    </row>
    <row r="7452">
      <c r="A7452" s="49">
        <v>44772.49941608796</v>
      </c>
      <c r="B7452" s="50">
        <v>44772.6243902199</v>
      </c>
      <c r="C7452" s="51">
        <v>1.004</v>
      </c>
      <c r="D7452" s="51">
        <v>67.0</v>
      </c>
      <c r="E7452" s="52" t="s">
        <v>25</v>
      </c>
      <c r="F7452" s="52" t="s">
        <v>26</v>
      </c>
      <c r="G7452" s="53"/>
    </row>
    <row r="7453">
      <c r="A7453" s="49">
        <v>44772.50984864583</v>
      </c>
      <c r="B7453" s="50">
        <v>44772.6348237615</v>
      </c>
      <c r="C7453" s="51">
        <v>1.004</v>
      </c>
      <c r="D7453" s="51">
        <v>67.0</v>
      </c>
      <c r="E7453" s="52" t="s">
        <v>25</v>
      </c>
      <c r="F7453" s="52" t="s">
        <v>26</v>
      </c>
      <c r="G7453" s="53"/>
    </row>
    <row r="7454">
      <c r="A7454" s="49">
        <v>44772.52026642361</v>
      </c>
      <c r="B7454" s="50">
        <v>44772.6452454976</v>
      </c>
      <c r="C7454" s="51">
        <v>1.004</v>
      </c>
      <c r="D7454" s="51">
        <v>67.0</v>
      </c>
      <c r="E7454" s="52" t="s">
        <v>25</v>
      </c>
      <c r="F7454" s="52" t="s">
        <v>26</v>
      </c>
      <c r="G7454" s="53"/>
    </row>
    <row r="7455">
      <c r="A7455" s="49">
        <v>44772.53069355324</v>
      </c>
      <c r="B7455" s="50">
        <v>44772.655665243</v>
      </c>
      <c r="C7455" s="51">
        <v>1.004</v>
      </c>
      <c r="D7455" s="51">
        <v>67.0</v>
      </c>
      <c r="E7455" s="52" t="s">
        <v>25</v>
      </c>
      <c r="F7455" s="52" t="s">
        <v>26</v>
      </c>
      <c r="G7455" s="53"/>
    </row>
    <row r="7456">
      <c r="A7456" s="49">
        <v>44772.54111268518</v>
      </c>
      <c r="B7456" s="50">
        <v>44772.6660874537</v>
      </c>
      <c r="C7456" s="51">
        <v>1.004</v>
      </c>
      <c r="D7456" s="51">
        <v>67.0</v>
      </c>
      <c r="E7456" s="52" t="s">
        <v>25</v>
      </c>
      <c r="F7456" s="52" t="s">
        <v>26</v>
      </c>
      <c r="G7456" s="53"/>
    </row>
    <row r="7457">
      <c r="A7457" s="49">
        <v>44772.55153369213</v>
      </c>
      <c r="B7457" s="50">
        <v>44772.6765083796</v>
      </c>
      <c r="C7457" s="51">
        <v>1.004</v>
      </c>
      <c r="D7457" s="51">
        <v>67.0</v>
      </c>
      <c r="E7457" s="52" t="s">
        <v>25</v>
      </c>
      <c r="F7457" s="52" t="s">
        <v>26</v>
      </c>
      <c r="G7457" s="53"/>
    </row>
    <row r="7458">
      <c r="A7458" s="49">
        <v>44772.56196583333</v>
      </c>
      <c r="B7458" s="50">
        <v>44772.6869431134</v>
      </c>
      <c r="C7458" s="51">
        <v>1.004</v>
      </c>
      <c r="D7458" s="51">
        <v>67.0</v>
      </c>
      <c r="E7458" s="52" t="s">
        <v>25</v>
      </c>
      <c r="F7458" s="52" t="s">
        <v>26</v>
      </c>
      <c r="G7458" s="53"/>
    </row>
    <row r="7459">
      <c r="A7459" s="49">
        <v>44772.57238662037</v>
      </c>
      <c r="B7459" s="50">
        <v>44772.6973630439</v>
      </c>
      <c r="C7459" s="51">
        <v>1.004</v>
      </c>
      <c r="D7459" s="51">
        <v>67.0</v>
      </c>
      <c r="E7459" s="52" t="s">
        <v>25</v>
      </c>
      <c r="F7459" s="52" t="s">
        <v>26</v>
      </c>
      <c r="G7459" s="53"/>
    </row>
    <row r="7460">
      <c r="A7460" s="49">
        <v>44772.58282270833</v>
      </c>
      <c r="B7460" s="50">
        <v>44772.7077974652</v>
      </c>
      <c r="C7460" s="51">
        <v>1.004</v>
      </c>
      <c r="D7460" s="51">
        <v>67.0</v>
      </c>
      <c r="E7460" s="52" t="s">
        <v>25</v>
      </c>
      <c r="F7460" s="52" t="s">
        <v>26</v>
      </c>
      <c r="G7460" s="53"/>
    </row>
    <row r="7461">
      <c r="A7461" s="49">
        <v>44772.593246006945</v>
      </c>
      <c r="B7461" s="50">
        <v>44772.7182290162</v>
      </c>
      <c r="C7461" s="51">
        <v>1.004</v>
      </c>
      <c r="D7461" s="51">
        <v>67.0</v>
      </c>
      <c r="E7461" s="52" t="s">
        <v>25</v>
      </c>
      <c r="F7461" s="52" t="s">
        <v>26</v>
      </c>
      <c r="G7461" s="53"/>
    </row>
    <row r="7462">
      <c r="A7462" s="49">
        <v>44772.603676388884</v>
      </c>
      <c r="B7462" s="50">
        <v>44772.7286512037</v>
      </c>
      <c r="C7462" s="51">
        <v>1.004</v>
      </c>
      <c r="D7462" s="51">
        <v>67.0</v>
      </c>
      <c r="E7462" s="52" t="s">
        <v>25</v>
      </c>
      <c r="F7462" s="52" t="s">
        <v>26</v>
      </c>
      <c r="G7462" s="53"/>
    </row>
    <row r="7463">
      <c r="A7463" s="49">
        <v>44772.61409756944</v>
      </c>
      <c r="B7463" s="50">
        <v>44772.7390730555</v>
      </c>
      <c r="C7463" s="51">
        <v>1.004</v>
      </c>
      <c r="D7463" s="51">
        <v>67.0</v>
      </c>
      <c r="E7463" s="52" t="s">
        <v>25</v>
      </c>
      <c r="F7463" s="52" t="s">
        <v>26</v>
      </c>
      <c r="G7463" s="53"/>
    </row>
    <row r="7464">
      <c r="A7464" s="49">
        <v>44772.62452471065</v>
      </c>
      <c r="B7464" s="50">
        <v>44772.7495076967</v>
      </c>
      <c r="C7464" s="51">
        <v>1.004</v>
      </c>
      <c r="D7464" s="51">
        <v>67.0</v>
      </c>
      <c r="E7464" s="52" t="s">
        <v>25</v>
      </c>
      <c r="F7464" s="52" t="s">
        <v>26</v>
      </c>
      <c r="G7464" s="53"/>
    </row>
    <row r="7465">
      <c r="A7465" s="49">
        <v>44772.634966111116</v>
      </c>
      <c r="B7465" s="50">
        <v>44772.759951412</v>
      </c>
      <c r="C7465" s="51">
        <v>1.004</v>
      </c>
      <c r="D7465" s="51">
        <v>67.0</v>
      </c>
      <c r="E7465" s="52" t="s">
        <v>25</v>
      </c>
      <c r="F7465" s="52" t="s">
        <v>26</v>
      </c>
      <c r="G7465" s="53"/>
    </row>
    <row r="7466">
      <c r="A7466" s="49">
        <v>44772.645388599536</v>
      </c>
      <c r="B7466" s="50">
        <v>44772.7703726851</v>
      </c>
      <c r="C7466" s="51">
        <v>1.004</v>
      </c>
      <c r="D7466" s="51">
        <v>67.0</v>
      </c>
      <c r="E7466" s="52" t="s">
        <v>25</v>
      </c>
      <c r="F7466" s="52" t="s">
        <v>26</v>
      </c>
      <c r="G7466" s="53"/>
    </row>
    <row r="7467">
      <c r="A7467" s="49">
        <v>44772.65583043981</v>
      </c>
      <c r="B7467" s="50">
        <v>44772.7808055671</v>
      </c>
      <c r="C7467" s="51">
        <v>1.004</v>
      </c>
      <c r="D7467" s="51">
        <v>67.0</v>
      </c>
      <c r="E7467" s="52" t="s">
        <v>25</v>
      </c>
      <c r="F7467" s="52" t="s">
        <v>26</v>
      </c>
      <c r="G7467" s="53"/>
    </row>
    <row r="7468">
      <c r="A7468" s="49">
        <v>44772.666250381946</v>
      </c>
      <c r="B7468" s="50">
        <v>44772.7912274652</v>
      </c>
      <c r="C7468" s="51">
        <v>1.004</v>
      </c>
      <c r="D7468" s="51">
        <v>67.0</v>
      </c>
      <c r="E7468" s="52" t="s">
        <v>25</v>
      </c>
      <c r="F7468" s="52" t="s">
        <v>26</v>
      </c>
      <c r="G7468" s="53"/>
    </row>
    <row r="7469">
      <c r="A7469" s="49">
        <v>44772.67666881945</v>
      </c>
      <c r="B7469" s="50">
        <v>44772.8016479513</v>
      </c>
      <c r="C7469" s="51">
        <v>1.004</v>
      </c>
      <c r="D7469" s="51">
        <v>67.0</v>
      </c>
      <c r="E7469" s="52" t="s">
        <v>25</v>
      </c>
      <c r="F7469" s="52" t="s">
        <v>26</v>
      </c>
      <c r="G7469" s="53"/>
    </row>
    <row r="7470">
      <c r="A7470" s="49">
        <v>44772.68708391204</v>
      </c>
      <c r="B7470" s="50">
        <v>44772.812068368</v>
      </c>
      <c r="C7470" s="51">
        <v>1.004</v>
      </c>
      <c r="D7470" s="51">
        <v>67.0</v>
      </c>
      <c r="E7470" s="52" t="s">
        <v>25</v>
      </c>
      <c r="F7470" s="52" t="s">
        <v>26</v>
      </c>
      <c r="G7470" s="53"/>
    </row>
    <row r="7471">
      <c r="A7471" s="49">
        <v>44772.69751292824</v>
      </c>
      <c r="B7471" s="50">
        <v>44772.8224872685</v>
      </c>
      <c r="C7471" s="51">
        <v>1.004</v>
      </c>
      <c r="D7471" s="51">
        <v>67.0</v>
      </c>
      <c r="E7471" s="52" t="s">
        <v>25</v>
      </c>
      <c r="F7471" s="52" t="s">
        <v>26</v>
      </c>
      <c r="G7471" s="53"/>
    </row>
    <row r="7472">
      <c r="A7472" s="49">
        <v>44772.70794584491</v>
      </c>
      <c r="B7472" s="50">
        <v>44772.8329215046</v>
      </c>
      <c r="C7472" s="51">
        <v>1.004</v>
      </c>
      <c r="D7472" s="51">
        <v>67.0</v>
      </c>
      <c r="E7472" s="52" t="s">
        <v>25</v>
      </c>
      <c r="F7472" s="52" t="s">
        <v>26</v>
      </c>
      <c r="G7472" s="53"/>
    </row>
    <row r="7473">
      <c r="A7473" s="49">
        <v>44772.71836983797</v>
      </c>
      <c r="B7473" s="50">
        <v>44772.8433451388</v>
      </c>
      <c r="C7473" s="51">
        <v>1.004</v>
      </c>
      <c r="D7473" s="51">
        <v>67.0</v>
      </c>
      <c r="E7473" s="52" t="s">
        <v>25</v>
      </c>
      <c r="F7473" s="52" t="s">
        <v>26</v>
      </c>
      <c r="G7473" s="53"/>
    </row>
    <row r="7474">
      <c r="A7474" s="49">
        <v>44772.72880891204</v>
      </c>
      <c r="B7474" s="50">
        <v>44772.8537773148</v>
      </c>
      <c r="C7474" s="51">
        <v>1.004</v>
      </c>
      <c r="D7474" s="51">
        <v>67.0</v>
      </c>
      <c r="E7474" s="52" t="s">
        <v>25</v>
      </c>
      <c r="F7474" s="52" t="s">
        <v>26</v>
      </c>
      <c r="G7474" s="53"/>
    </row>
    <row r="7475">
      <c r="A7475" s="49">
        <v>44772.73923528935</v>
      </c>
      <c r="B7475" s="50">
        <v>44772.8642098032</v>
      </c>
      <c r="C7475" s="51">
        <v>1.004</v>
      </c>
      <c r="D7475" s="51">
        <v>67.0</v>
      </c>
      <c r="E7475" s="52" t="s">
        <v>25</v>
      </c>
      <c r="F7475" s="52" t="s">
        <v>26</v>
      </c>
      <c r="G7475" s="53"/>
    </row>
    <row r="7476">
      <c r="A7476" s="49">
        <v>44772.74965780093</v>
      </c>
      <c r="B7476" s="50">
        <v>44772.8746321875</v>
      </c>
      <c r="C7476" s="51">
        <v>1.004</v>
      </c>
      <c r="D7476" s="51">
        <v>67.0</v>
      </c>
      <c r="E7476" s="52" t="s">
        <v>25</v>
      </c>
      <c r="F7476" s="52" t="s">
        <v>26</v>
      </c>
      <c r="G7476" s="53"/>
    </row>
    <row r="7477">
      <c r="A7477" s="49">
        <v>44772.76008096065</v>
      </c>
      <c r="B7477" s="50">
        <v>44772.8850524421</v>
      </c>
      <c r="C7477" s="51">
        <v>1.004</v>
      </c>
      <c r="D7477" s="51">
        <v>67.0</v>
      </c>
      <c r="E7477" s="52" t="s">
        <v>25</v>
      </c>
      <c r="F7477" s="52" t="s">
        <v>26</v>
      </c>
      <c r="G7477" s="53"/>
    </row>
    <row r="7478">
      <c r="A7478" s="49">
        <v>44772.77049376158</v>
      </c>
      <c r="B7478" s="50">
        <v>44772.8954732754</v>
      </c>
      <c r="C7478" s="51">
        <v>1.004</v>
      </c>
      <c r="D7478" s="51">
        <v>67.0</v>
      </c>
      <c r="E7478" s="52" t="s">
        <v>25</v>
      </c>
      <c r="F7478" s="52" t="s">
        <v>26</v>
      </c>
      <c r="G7478" s="53"/>
    </row>
    <row r="7479">
      <c r="A7479" s="49">
        <v>44772.78093224537</v>
      </c>
      <c r="B7479" s="50">
        <v>44772.9059180324</v>
      </c>
      <c r="C7479" s="51">
        <v>1.004</v>
      </c>
      <c r="D7479" s="51">
        <v>67.0</v>
      </c>
      <c r="E7479" s="52" t="s">
        <v>25</v>
      </c>
      <c r="F7479" s="52" t="s">
        <v>26</v>
      </c>
      <c r="G7479" s="53"/>
    </row>
    <row r="7480">
      <c r="A7480" s="49">
        <v>44772.79137224537</v>
      </c>
      <c r="B7480" s="50">
        <v>44772.9163498032</v>
      </c>
      <c r="C7480" s="51">
        <v>1.004</v>
      </c>
      <c r="D7480" s="51">
        <v>67.0</v>
      </c>
      <c r="E7480" s="52" t="s">
        <v>25</v>
      </c>
      <c r="F7480" s="52" t="s">
        <v>26</v>
      </c>
      <c r="G7480" s="53"/>
    </row>
    <row r="7481">
      <c r="A7481" s="49">
        <v>44772.801811736106</v>
      </c>
      <c r="B7481" s="50">
        <v>44772.9267824768</v>
      </c>
      <c r="C7481" s="51">
        <v>1.004</v>
      </c>
      <c r="D7481" s="51">
        <v>67.0</v>
      </c>
      <c r="E7481" s="52" t="s">
        <v>25</v>
      </c>
      <c r="F7481" s="52" t="s">
        <v>26</v>
      </c>
      <c r="G7481" s="53"/>
    </row>
    <row r="7482">
      <c r="A7482" s="49">
        <v>44772.81222840278</v>
      </c>
      <c r="B7482" s="50">
        <v>44772.9372025694</v>
      </c>
      <c r="C7482" s="51">
        <v>1.004</v>
      </c>
      <c r="D7482" s="51">
        <v>67.0</v>
      </c>
      <c r="E7482" s="52" t="s">
        <v>25</v>
      </c>
      <c r="F7482" s="52" t="s">
        <v>26</v>
      </c>
      <c r="G7482" s="53"/>
    </row>
    <row r="7483">
      <c r="A7483" s="49">
        <v>44772.82264668982</v>
      </c>
      <c r="B7483" s="50">
        <v>44772.9476234606</v>
      </c>
      <c r="C7483" s="51">
        <v>1.004</v>
      </c>
      <c r="D7483" s="51">
        <v>67.0</v>
      </c>
      <c r="E7483" s="52" t="s">
        <v>25</v>
      </c>
      <c r="F7483" s="52" t="s">
        <v>26</v>
      </c>
      <c r="G7483" s="53"/>
    </row>
    <row r="7484">
      <c r="A7484" s="49">
        <v>44772.83307065972</v>
      </c>
      <c r="B7484" s="50">
        <v>44772.9580550347</v>
      </c>
      <c r="C7484" s="51">
        <v>1.004</v>
      </c>
      <c r="D7484" s="51">
        <v>67.0</v>
      </c>
      <c r="E7484" s="52" t="s">
        <v>25</v>
      </c>
      <c r="F7484" s="52" t="s">
        <v>26</v>
      </c>
      <c r="G7484" s="53"/>
    </row>
    <row r="7485">
      <c r="A7485" s="49">
        <v>44772.84348945602</v>
      </c>
      <c r="B7485" s="50">
        <v>44772.9684758101</v>
      </c>
      <c r="C7485" s="51">
        <v>1.004</v>
      </c>
      <c r="D7485" s="51">
        <v>67.0</v>
      </c>
      <c r="E7485" s="52" t="s">
        <v>25</v>
      </c>
      <c r="F7485" s="52" t="s">
        <v>26</v>
      </c>
      <c r="G7485" s="53"/>
    </row>
    <row r="7486">
      <c r="A7486" s="49">
        <v>44772.85393784722</v>
      </c>
      <c r="B7486" s="50">
        <v>44772.9789099074</v>
      </c>
      <c r="C7486" s="51">
        <v>1.004</v>
      </c>
      <c r="D7486" s="51">
        <v>68.0</v>
      </c>
      <c r="E7486" s="52" t="s">
        <v>25</v>
      </c>
      <c r="F7486" s="52" t="s">
        <v>26</v>
      </c>
      <c r="G7486" s="53"/>
    </row>
    <row r="7487">
      <c r="A7487" s="49">
        <v>44772.86434828704</v>
      </c>
      <c r="B7487" s="50">
        <v>44772.9893300926</v>
      </c>
      <c r="C7487" s="51">
        <v>1.004</v>
      </c>
      <c r="D7487" s="51">
        <v>68.0</v>
      </c>
      <c r="E7487" s="52" t="s">
        <v>25</v>
      </c>
      <c r="F7487" s="52" t="s">
        <v>26</v>
      </c>
      <c r="G7487" s="53"/>
    </row>
    <row r="7488">
      <c r="A7488" s="49">
        <v>44772.87477034722</v>
      </c>
      <c r="B7488" s="50">
        <v>44772.9997528009</v>
      </c>
      <c r="C7488" s="51">
        <v>1.004</v>
      </c>
      <c r="D7488" s="51">
        <v>68.0</v>
      </c>
      <c r="E7488" s="52" t="s">
        <v>25</v>
      </c>
      <c r="F7488" s="52" t="s">
        <v>26</v>
      </c>
      <c r="G7488" s="53"/>
    </row>
    <row r="7489">
      <c r="A7489" s="49">
        <v>44772.88519071759</v>
      </c>
      <c r="B7489" s="50">
        <v>44773.0101731249</v>
      </c>
      <c r="C7489" s="51">
        <v>1.004</v>
      </c>
      <c r="D7489" s="51">
        <v>68.0</v>
      </c>
      <c r="E7489" s="52" t="s">
        <v>25</v>
      </c>
      <c r="F7489" s="52" t="s">
        <v>26</v>
      </c>
      <c r="G7489" s="53"/>
    </row>
    <row r="7490">
      <c r="A7490" s="49">
        <v>44772.89561831018</v>
      </c>
      <c r="B7490" s="50">
        <v>44773.0205948611</v>
      </c>
      <c r="C7490" s="51">
        <v>1.004</v>
      </c>
      <c r="D7490" s="51">
        <v>68.0</v>
      </c>
      <c r="E7490" s="52" t="s">
        <v>25</v>
      </c>
      <c r="F7490" s="52" t="s">
        <v>26</v>
      </c>
      <c r="G7490" s="53"/>
    </row>
    <row r="7491">
      <c r="A7491" s="49">
        <v>44772.906050729165</v>
      </c>
      <c r="B7491" s="50">
        <v>44773.0310273264</v>
      </c>
      <c r="C7491" s="51">
        <v>1.004</v>
      </c>
      <c r="D7491" s="51">
        <v>68.0</v>
      </c>
      <c r="E7491" s="52" t="s">
        <v>25</v>
      </c>
      <c r="F7491" s="52" t="s">
        <v>26</v>
      </c>
      <c r="G7491" s="53"/>
    </row>
    <row r="7492">
      <c r="A7492" s="49">
        <v>44772.916465069444</v>
      </c>
      <c r="B7492" s="50">
        <v>44773.0414481713</v>
      </c>
      <c r="C7492" s="51">
        <v>1.004</v>
      </c>
      <c r="D7492" s="51">
        <v>68.0</v>
      </c>
      <c r="E7492" s="52" t="s">
        <v>25</v>
      </c>
      <c r="F7492" s="52" t="s">
        <v>26</v>
      </c>
      <c r="G7492" s="53"/>
    </row>
    <row r="7493">
      <c r="A7493" s="49">
        <v>44772.9269006713</v>
      </c>
      <c r="B7493" s="50">
        <v>44773.0518807291</v>
      </c>
      <c r="C7493" s="51">
        <v>1.004</v>
      </c>
      <c r="D7493" s="51">
        <v>68.0</v>
      </c>
      <c r="E7493" s="52" t="s">
        <v>25</v>
      </c>
      <c r="F7493" s="52" t="s">
        <v>26</v>
      </c>
      <c r="G7493" s="53"/>
    </row>
    <row r="7494">
      <c r="A7494" s="49">
        <v>44772.93732143518</v>
      </c>
      <c r="B7494" s="50">
        <v>44773.0623012731</v>
      </c>
      <c r="C7494" s="51">
        <v>1.004</v>
      </c>
      <c r="D7494" s="51">
        <v>68.0</v>
      </c>
      <c r="E7494" s="52" t="s">
        <v>25</v>
      </c>
      <c r="F7494" s="52" t="s">
        <v>26</v>
      </c>
      <c r="G7494" s="53"/>
    </row>
    <row r="7495">
      <c r="A7495" s="49">
        <v>44772.947759097224</v>
      </c>
      <c r="B7495" s="50">
        <v>44773.0727330324</v>
      </c>
      <c r="C7495" s="51">
        <v>1.004</v>
      </c>
      <c r="D7495" s="51">
        <v>68.0</v>
      </c>
      <c r="E7495" s="52" t="s">
        <v>25</v>
      </c>
      <c r="F7495" s="52" t="s">
        <v>26</v>
      </c>
      <c r="G7495" s="53"/>
    </row>
    <row r="7496">
      <c r="A7496" s="49">
        <v>44772.95818069445</v>
      </c>
      <c r="B7496" s="50">
        <v>44773.0831543634</v>
      </c>
      <c r="C7496" s="51">
        <v>1.004</v>
      </c>
      <c r="D7496" s="51">
        <v>68.0</v>
      </c>
      <c r="E7496" s="52" t="s">
        <v>25</v>
      </c>
      <c r="F7496" s="52" t="s">
        <v>26</v>
      </c>
      <c r="G7496" s="53"/>
    </row>
    <row r="7497">
      <c r="A7497" s="49">
        <v>44772.96859726852</v>
      </c>
      <c r="B7497" s="50">
        <v>44773.0935758101</v>
      </c>
      <c r="C7497" s="51">
        <v>1.004</v>
      </c>
      <c r="D7497" s="51">
        <v>68.0</v>
      </c>
      <c r="E7497" s="52" t="s">
        <v>25</v>
      </c>
      <c r="F7497" s="52" t="s">
        <v>26</v>
      </c>
      <c r="G7497" s="53"/>
    </row>
    <row r="7498">
      <c r="A7498" s="49">
        <v>44772.979013344906</v>
      </c>
      <c r="B7498" s="50">
        <v>44773.1039972685</v>
      </c>
      <c r="C7498" s="51">
        <v>1.004</v>
      </c>
      <c r="D7498" s="51">
        <v>68.0</v>
      </c>
      <c r="E7498" s="52" t="s">
        <v>25</v>
      </c>
      <c r="F7498" s="52" t="s">
        <v>26</v>
      </c>
      <c r="G7498" s="53"/>
    </row>
    <row r="7499">
      <c r="A7499" s="49">
        <v>44772.98945310185</v>
      </c>
      <c r="B7499" s="50">
        <v>44773.1144290972</v>
      </c>
      <c r="C7499" s="51">
        <v>1.004</v>
      </c>
      <c r="D7499" s="51">
        <v>68.0</v>
      </c>
      <c r="E7499" s="52" t="s">
        <v>25</v>
      </c>
      <c r="F7499" s="52" t="s">
        <v>26</v>
      </c>
      <c r="G7499" s="53"/>
    </row>
    <row r="7500">
      <c r="A7500" s="49">
        <v>44772.99987508102</v>
      </c>
      <c r="B7500" s="50">
        <v>44773.1248503356</v>
      </c>
      <c r="C7500" s="51">
        <v>1.004</v>
      </c>
      <c r="D7500" s="51">
        <v>68.0</v>
      </c>
      <c r="E7500" s="52" t="s">
        <v>25</v>
      </c>
      <c r="F7500" s="52" t="s">
        <v>26</v>
      </c>
      <c r="G7500" s="53"/>
    </row>
    <row r="7501">
      <c r="A7501" s="49">
        <v>44773.01029802083</v>
      </c>
      <c r="B7501" s="50">
        <v>44773.1352704629</v>
      </c>
      <c r="C7501" s="51">
        <v>1.004</v>
      </c>
      <c r="D7501" s="51">
        <v>68.0</v>
      </c>
      <c r="E7501" s="52" t="s">
        <v>25</v>
      </c>
      <c r="F7501" s="52" t="s">
        <v>26</v>
      </c>
      <c r="G7501" s="53"/>
    </row>
    <row r="7502">
      <c r="A7502" s="49">
        <v>44773.020723124995</v>
      </c>
      <c r="B7502" s="50">
        <v>44773.1456903356</v>
      </c>
      <c r="C7502" s="51">
        <v>1.004</v>
      </c>
      <c r="D7502" s="51">
        <v>68.0</v>
      </c>
      <c r="E7502" s="52" t="s">
        <v>25</v>
      </c>
      <c r="F7502" s="52" t="s">
        <v>26</v>
      </c>
      <c r="G7502" s="53"/>
    </row>
    <row r="7503">
      <c r="A7503" s="49">
        <v>44773.031137673606</v>
      </c>
      <c r="B7503" s="50">
        <v>44773.1561126273</v>
      </c>
      <c r="C7503" s="51">
        <v>1.004</v>
      </c>
      <c r="D7503" s="51">
        <v>68.0</v>
      </c>
      <c r="E7503" s="52" t="s">
        <v>25</v>
      </c>
      <c r="F7503" s="52" t="s">
        <v>26</v>
      </c>
      <c r="G7503" s="53"/>
    </row>
    <row r="7504">
      <c r="A7504" s="49">
        <v>44773.04156716436</v>
      </c>
      <c r="B7504" s="50">
        <v>44773.1665456018</v>
      </c>
      <c r="C7504" s="51">
        <v>1.004</v>
      </c>
      <c r="D7504" s="51">
        <v>68.0</v>
      </c>
      <c r="E7504" s="52" t="s">
        <v>25</v>
      </c>
      <c r="F7504" s="52" t="s">
        <v>26</v>
      </c>
      <c r="G7504" s="53"/>
    </row>
    <row r="7505">
      <c r="A7505" s="49">
        <v>44773.05198174769</v>
      </c>
      <c r="B7505" s="50">
        <v>44773.1769655555</v>
      </c>
      <c r="C7505" s="51">
        <v>1.004</v>
      </c>
      <c r="D7505" s="51">
        <v>68.0</v>
      </c>
      <c r="E7505" s="52" t="s">
        <v>25</v>
      </c>
      <c r="F7505" s="52" t="s">
        <v>26</v>
      </c>
      <c r="G7505" s="53"/>
    </row>
    <row r="7506">
      <c r="A7506" s="49">
        <v>44773.06240259259</v>
      </c>
      <c r="B7506" s="50">
        <v>44773.1873858564</v>
      </c>
      <c r="C7506" s="51">
        <v>1.004</v>
      </c>
      <c r="D7506" s="51">
        <v>68.0</v>
      </c>
      <c r="E7506" s="52" t="s">
        <v>25</v>
      </c>
      <c r="F7506" s="52" t="s">
        <v>26</v>
      </c>
      <c r="G7506" s="53"/>
    </row>
    <row r="7507">
      <c r="A7507" s="49">
        <v>44773.07283488426</v>
      </c>
      <c r="B7507" s="50">
        <v>44773.1978092939</v>
      </c>
      <c r="C7507" s="51">
        <v>1.004</v>
      </c>
      <c r="D7507" s="51">
        <v>68.0</v>
      </c>
      <c r="E7507" s="52" t="s">
        <v>25</v>
      </c>
      <c r="F7507" s="52" t="s">
        <v>26</v>
      </c>
      <c r="G7507" s="53"/>
    </row>
    <row r="7508">
      <c r="A7508" s="49">
        <v>44773.083260451385</v>
      </c>
      <c r="B7508" s="50">
        <v>44773.208229456</v>
      </c>
      <c r="C7508" s="51">
        <v>1.004</v>
      </c>
      <c r="D7508" s="51">
        <v>68.0</v>
      </c>
      <c r="E7508" s="52" t="s">
        <v>25</v>
      </c>
      <c r="F7508" s="52" t="s">
        <v>26</v>
      </c>
      <c r="G7508" s="53"/>
    </row>
    <row r="7509">
      <c r="A7509" s="49">
        <v>44773.09366456019</v>
      </c>
      <c r="B7509" s="50">
        <v>44773.2186495833</v>
      </c>
      <c r="C7509" s="51">
        <v>1.004</v>
      </c>
      <c r="D7509" s="51">
        <v>68.0</v>
      </c>
      <c r="E7509" s="52" t="s">
        <v>25</v>
      </c>
      <c r="F7509" s="52" t="s">
        <v>26</v>
      </c>
      <c r="G7509" s="53"/>
    </row>
    <row r="7510">
      <c r="A7510" s="49">
        <v>44773.10409760417</v>
      </c>
      <c r="B7510" s="50">
        <v>44773.2290717013</v>
      </c>
      <c r="C7510" s="51">
        <v>1.004</v>
      </c>
      <c r="D7510" s="51">
        <v>68.0</v>
      </c>
      <c r="E7510" s="52" t="s">
        <v>25</v>
      </c>
      <c r="F7510" s="52" t="s">
        <v>26</v>
      </c>
      <c r="G7510" s="53"/>
    </row>
    <row r="7511">
      <c r="A7511" s="49">
        <v>44773.11451818287</v>
      </c>
      <c r="B7511" s="50">
        <v>44773.2394934259</v>
      </c>
      <c r="C7511" s="51">
        <v>1.004</v>
      </c>
      <c r="D7511" s="51">
        <v>68.0</v>
      </c>
      <c r="E7511" s="52" t="s">
        <v>25</v>
      </c>
      <c r="F7511" s="52" t="s">
        <v>26</v>
      </c>
      <c r="G7511" s="53"/>
    </row>
    <row r="7512">
      <c r="A7512" s="49">
        <v>44773.12493480324</v>
      </c>
      <c r="B7512" s="50">
        <v>44773.2499142129</v>
      </c>
      <c r="C7512" s="51">
        <v>1.004</v>
      </c>
      <c r="D7512" s="51">
        <v>68.0</v>
      </c>
      <c r="E7512" s="52" t="s">
        <v>25</v>
      </c>
      <c r="F7512" s="52" t="s">
        <v>26</v>
      </c>
      <c r="G7512" s="53"/>
    </row>
    <row r="7513">
      <c r="A7513" s="49">
        <v>44773.1353721875</v>
      </c>
      <c r="B7513" s="50">
        <v>44773.2603483101</v>
      </c>
      <c r="C7513" s="51">
        <v>1.004</v>
      </c>
      <c r="D7513" s="51">
        <v>68.0</v>
      </c>
      <c r="E7513" s="52" t="s">
        <v>25</v>
      </c>
      <c r="F7513" s="52" t="s">
        <v>26</v>
      </c>
      <c r="G7513" s="53"/>
    </row>
    <row r="7514">
      <c r="A7514" s="49">
        <v>44773.14579222222</v>
      </c>
      <c r="B7514" s="50">
        <v>44773.2707711342</v>
      </c>
      <c r="C7514" s="51">
        <v>1.004</v>
      </c>
      <c r="D7514" s="51">
        <v>68.0</v>
      </c>
      <c r="E7514" s="52" t="s">
        <v>25</v>
      </c>
      <c r="F7514" s="52" t="s">
        <v>26</v>
      </c>
      <c r="G7514" s="53"/>
    </row>
    <row r="7515">
      <c r="A7515" s="49">
        <v>44773.15620783565</v>
      </c>
      <c r="B7515" s="50">
        <v>44773.2811941435</v>
      </c>
      <c r="C7515" s="51">
        <v>1.004</v>
      </c>
      <c r="D7515" s="51">
        <v>68.0</v>
      </c>
      <c r="E7515" s="52" t="s">
        <v>25</v>
      </c>
      <c r="F7515" s="52" t="s">
        <v>26</v>
      </c>
      <c r="G7515" s="53"/>
    </row>
    <row r="7516">
      <c r="A7516" s="49">
        <v>44773.16665788194</v>
      </c>
      <c r="B7516" s="50">
        <v>44773.2916266551</v>
      </c>
      <c r="C7516" s="51">
        <v>1.004</v>
      </c>
      <c r="D7516" s="51">
        <v>68.0</v>
      </c>
      <c r="E7516" s="52" t="s">
        <v>25</v>
      </c>
      <c r="F7516" s="52" t="s">
        <v>26</v>
      </c>
      <c r="G7516" s="53"/>
    </row>
    <row r="7517">
      <c r="A7517" s="49">
        <v>44773.17707385417</v>
      </c>
      <c r="B7517" s="50">
        <v>44773.3020476041</v>
      </c>
      <c r="C7517" s="51">
        <v>1.004</v>
      </c>
      <c r="D7517" s="51">
        <v>68.0</v>
      </c>
      <c r="E7517" s="52" t="s">
        <v>25</v>
      </c>
      <c r="F7517" s="52" t="s">
        <v>26</v>
      </c>
      <c r="G7517" s="53"/>
    </row>
    <row r="7518">
      <c r="A7518" s="49">
        <v>44773.18749196759</v>
      </c>
      <c r="B7518" s="50">
        <v>44773.312468125</v>
      </c>
      <c r="C7518" s="51">
        <v>1.004</v>
      </c>
      <c r="D7518" s="51">
        <v>68.0</v>
      </c>
      <c r="E7518" s="52" t="s">
        <v>25</v>
      </c>
      <c r="F7518" s="52" t="s">
        <v>26</v>
      </c>
      <c r="G7518" s="53"/>
    </row>
    <row r="7519">
      <c r="A7519" s="49">
        <v>44773.197907442125</v>
      </c>
      <c r="B7519" s="50">
        <v>44773.3228898263</v>
      </c>
      <c r="C7519" s="51">
        <v>1.004</v>
      </c>
      <c r="D7519" s="51">
        <v>68.0</v>
      </c>
      <c r="E7519" s="52" t="s">
        <v>25</v>
      </c>
      <c r="F7519" s="52" t="s">
        <v>26</v>
      </c>
      <c r="G7519" s="53"/>
    </row>
    <row r="7520">
      <c r="A7520" s="49">
        <v>44773.2083375463</v>
      </c>
      <c r="B7520" s="50">
        <v>44773.333312905</v>
      </c>
      <c r="C7520" s="51">
        <v>1.004</v>
      </c>
      <c r="D7520" s="51">
        <v>68.0</v>
      </c>
      <c r="E7520" s="52" t="s">
        <v>25</v>
      </c>
      <c r="F7520" s="52" t="s">
        <v>26</v>
      </c>
      <c r="G7520" s="53"/>
    </row>
    <row r="7521">
      <c r="A7521" s="49">
        <v>44773.218757546296</v>
      </c>
      <c r="B7521" s="50">
        <v>44773.3437347338</v>
      </c>
      <c r="C7521" s="51">
        <v>1.004</v>
      </c>
      <c r="D7521" s="51">
        <v>68.0</v>
      </c>
      <c r="E7521" s="52" t="s">
        <v>25</v>
      </c>
      <c r="F7521" s="52" t="s">
        <v>26</v>
      </c>
      <c r="G7521" s="53"/>
    </row>
    <row r="7522">
      <c r="A7522" s="49">
        <v>44773.22918195602</v>
      </c>
      <c r="B7522" s="50">
        <v>44773.3541553935</v>
      </c>
      <c r="C7522" s="51">
        <v>1.004</v>
      </c>
      <c r="D7522" s="51">
        <v>68.0</v>
      </c>
      <c r="E7522" s="52" t="s">
        <v>25</v>
      </c>
      <c r="F7522" s="52" t="s">
        <v>26</v>
      </c>
      <c r="G7522" s="53"/>
    </row>
    <row r="7523">
      <c r="A7523" s="49">
        <v>44773.239595266205</v>
      </c>
      <c r="B7523" s="50">
        <v>44773.3645763773</v>
      </c>
      <c r="C7523" s="51">
        <v>1.004</v>
      </c>
      <c r="D7523" s="51">
        <v>68.0</v>
      </c>
      <c r="E7523" s="52" t="s">
        <v>25</v>
      </c>
      <c r="F7523" s="52" t="s">
        <v>26</v>
      </c>
      <c r="G7523" s="53"/>
    </row>
    <row r="7524">
      <c r="A7524" s="49">
        <v>44773.25001716435</v>
      </c>
      <c r="B7524" s="50">
        <v>44773.3749975231</v>
      </c>
      <c r="C7524" s="51">
        <v>1.004</v>
      </c>
      <c r="D7524" s="51">
        <v>68.0</v>
      </c>
      <c r="E7524" s="52" t="s">
        <v>25</v>
      </c>
      <c r="F7524" s="52" t="s">
        <v>26</v>
      </c>
      <c r="G7524" s="53"/>
    </row>
    <row r="7525">
      <c r="A7525" s="49">
        <v>44773.260444803236</v>
      </c>
      <c r="B7525" s="50">
        <v>44773.3854184838</v>
      </c>
      <c r="C7525" s="51">
        <v>1.004</v>
      </c>
      <c r="D7525" s="51">
        <v>68.0</v>
      </c>
      <c r="E7525" s="52" t="s">
        <v>25</v>
      </c>
      <c r="F7525" s="52" t="s">
        <v>26</v>
      </c>
      <c r="G7525" s="53"/>
    </row>
    <row r="7526">
      <c r="A7526" s="49">
        <v>44773.27087221065</v>
      </c>
      <c r="B7526" s="50">
        <v>44773.3958502662</v>
      </c>
      <c r="C7526" s="51">
        <v>1.004</v>
      </c>
      <c r="D7526" s="51">
        <v>68.0</v>
      </c>
      <c r="E7526" s="52" t="s">
        <v>25</v>
      </c>
      <c r="F7526" s="52" t="s">
        <v>26</v>
      </c>
      <c r="G7526" s="53"/>
    </row>
    <row r="7527">
      <c r="A7527" s="49">
        <v>44773.28130400463</v>
      </c>
      <c r="B7527" s="50">
        <v>44773.4062828819</v>
      </c>
      <c r="C7527" s="51">
        <v>1.004</v>
      </c>
      <c r="D7527" s="51">
        <v>68.0</v>
      </c>
      <c r="E7527" s="52" t="s">
        <v>25</v>
      </c>
      <c r="F7527" s="52" t="s">
        <v>26</v>
      </c>
      <c r="G7527" s="53"/>
    </row>
    <row r="7528">
      <c r="A7528" s="49">
        <v>44773.29173452547</v>
      </c>
      <c r="B7528" s="50">
        <v>44773.4167033333</v>
      </c>
      <c r="C7528" s="51">
        <v>1.004</v>
      </c>
      <c r="D7528" s="51">
        <v>68.0</v>
      </c>
      <c r="E7528" s="52" t="s">
        <v>25</v>
      </c>
      <c r="F7528" s="52" t="s">
        <v>26</v>
      </c>
      <c r="G7528" s="53"/>
    </row>
    <row r="7529">
      <c r="A7529" s="49">
        <v>44773.3021496875</v>
      </c>
      <c r="B7529" s="50">
        <v>44773.4271261226</v>
      </c>
      <c r="C7529" s="51">
        <v>1.004</v>
      </c>
      <c r="D7529" s="51">
        <v>68.0</v>
      </c>
      <c r="E7529" s="52" t="s">
        <v>25</v>
      </c>
      <c r="F7529" s="52" t="s">
        <v>26</v>
      </c>
      <c r="G7529" s="53"/>
    </row>
    <row r="7530">
      <c r="A7530" s="49">
        <v>44773.312569155096</v>
      </c>
      <c r="B7530" s="50">
        <v>44773.4375452199</v>
      </c>
      <c r="C7530" s="51">
        <v>1.004</v>
      </c>
      <c r="D7530" s="51">
        <v>68.0</v>
      </c>
      <c r="E7530" s="52" t="s">
        <v>25</v>
      </c>
      <c r="F7530" s="52" t="s">
        <v>26</v>
      </c>
      <c r="G7530" s="53"/>
    </row>
    <row r="7531">
      <c r="A7531" s="49">
        <v>44773.32298650463</v>
      </c>
      <c r="B7531" s="50">
        <v>44773.4479674884</v>
      </c>
      <c r="C7531" s="51">
        <v>1.004</v>
      </c>
      <c r="D7531" s="51">
        <v>68.0</v>
      </c>
      <c r="E7531" s="52" t="s">
        <v>25</v>
      </c>
      <c r="F7531" s="52" t="s">
        <v>26</v>
      </c>
      <c r="G7531" s="53"/>
    </row>
    <row r="7532">
      <c r="A7532" s="49">
        <v>44773.3334243287</v>
      </c>
      <c r="B7532" s="50">
        <v>44773.458399074</v>
      </c>
      <c r="C7532" s="51">
        <v>1.004</v>
      </c>
      <c r="D7532" s="51">
        <v>68.0</v>
      </c>
      <c r="E7532" s="52" t="s">
        <v>25</v>
      </c>
      <c r="F7532" s="52" t="s">
        <v>26</v>
      </c>
      <c r="G7532" s="53"/>
    </row>
    <row r="7533">
      <c r="A7533" s="49">
        <v>44773.34384450231</v>
      </c>
      <c r="B7533" s="50">
        <v>44773.4688206597</v>
      </c>
      <c r="C7533" s="51">
        <v>1.004</v>
      </c>
      <c r="D7533" s="51">
        <v>68.0</v>
      </c>
      <c r="E7533" s="52" t="s">
        <v>25</v>
      </c>
      <c r="F7533" s="52" t="s">
        <v>26</v>
      </c>
      <c r="G7533" s="53"/>
    </row>
    <row r="7534">
      <c r="A7534" s="49">
        <v>44773.35427678241</v>
      </c>
      <c r="B7534" s="50">
        <v>44773.4792524884</v>
      </c>
      <c r="C7534" s="51">
        <v>1.004</v>
      </c>
      <c r="D7534" s="51">
        <v>68.0</v>
      </c>
      <c r="E7534" s="52" t="s">
        <v>25</v>
      </c>
      <c r="F7534" s="52" t="s">
        <v>26</v>
      </c>
      <c r="G7534" s="53"/>
    </row>
    <row r="7535">
      <c r="A7535" s="49">
        <v>44773.364696770834</v>
      </c>
      <c r="B7535" s="50">
        <v>44773.4896733449</v>
      </c>
      <c r="C7535" s="51">
        <v>1.004</v>
      </c>
      <c r="D7535" s="51">
        <v>68.0</v>
      </c>
      <c r="E7535" s="52" t="s">
        <v>25</v>
      </c>
      <c r="F7535" s="52" t="s">
        <v>26</v>
      </c>
      <c r="G7535" s="53"/>
    </row>
    <row r="7536">
      <c r="A7536" s="49">
        <v>44773.37512702546</v>
      </c>
      <c r="B7536" s="50">
        <v>44773.5001029051</v>
      </c>
      <c r="C7536" s="51">
        <v>1.004</v>
      </c>
      <c r="D7536" s="51">
        <v>68.0</v>
      </c>
      <c r="E7536" s="52" t="s">
        <v>25</v>
      </c>
      <c r="F7536" s="52" t="s">
        <v>26</v>
      </c>
      <c r="G7536" s="53"/>
    </row>
    <row r="7537">
      <c r="A7537" s="49">
        <v>44773.385545729165</v>
      </c>
      <c r="B7537" s="50">
        <v>44773.5105239236</v>
      </c>
      <c r="C7537" s="51">
        <v>1.004</v>
      </c>
      <c r="D7537" s="51">
        <v>69.0</v>
      </c>
      <c r="E7537" s="52" t="s">
        <v>25</v>
      </c>
      <c r="F7537" s="52" t="s">
        <v>26</v>
      </c>
      <c r="G7537" s="53"/>
    </row>
    <row r="7538">
      <c r="A7538" s="49">
        <v>44773.39596277778</v>
      </c>
      <c r="B7538" s="50">
        <v>44773.5209429282</v>
      </c>
      <c r="C7538" s="51">
        <v>1.004</v>
      </c>
      <c r="D7538" s="51">
        <v>68.0</v>
      </c>
      <c r="E7538" s="52" t="s">
        <v>25</v>
      </c>
      <c r="F7538" s="52" t="s">
        <v>26</v>
      </c>
      <c r="G7538" s="53"/>
    </row>
    <row r="7539">
      <c r="A7539" s="49">
        <v>44773.4063880787</v>
      </c>
      <c r="B7539" s="50">
        <v>44773.5313628125</v>
      </c>
      <c r="C7539" s="51">
        <v>1.004</v>
      </c>
      <c r="D7539" s="51">
        <v>69.0</v>
      </c>
      <c r="E7539" s="52" t="s">
        <v>25</v>
      </c>
      <c r="F7539" s="52" t="s">
        <v>26</v>
      </c>
      <c r="G7539" s="53"/>
    </row>
    <row r="7540">
      <c r="A7540" s="49">
        <v>44773.41680467593</v>
      </c>
      <c r="B7540" s="50">
        <v>44773.5417844097</v>
      </c>
      <c r="C7540" s="51">
        <v>1.004</v>
      </c>
      <c r="D7540" s="51">
        <v>69.0</v>
      </c>
      <c r="E7540" s="52" t="s">
        <v>25</v>
      </c>
      <c r="F7540" s="52" t="s">
        <v>26</v>
      </c>
      <c r="G7540" s="53"/>
    </row>
    <row r="7541">
      <c r="A7541" s="49">
        <v>44773.42724094907</v>
      </c>
      <c r="B7541" s="50">
        <v>44773.5522157175</v>
      </c>
      <c r="C7541" s="51">
        <v>1.004</v>
      </c>
      <c r="D7541" s="51">
        <v>68.0</v>
      </c>
      <c r="E7541" s="52" t="s">
        <v>25</v>
      </c>
      <c r="F7541" s="52" t="s">
        <v>26</v>
      </c>
      <c r="G7541" s="53"/>
    </row>
    <row r="7542">
      <c r="A7542" s="49">
        <v>44773.437661435186</v>
      </c>
      <c r="B7542" s="50">
        <v>44773.562637581</v>
      </c>
      <c r="C7542" s="51">
        <v>1.004</v>
      </c>
      <c r="D7542" s="51">
        <v>69.0</v>
      </c>
      <c r="E7542" s="52" t="s">
        <v>25</v>
      </c>
      <c r="F7542" s="52" t="s">
        <v>26</v>
      </c>
      <c r="G7542" s="53"/>
    </row>
    <row r="7543">
      <c r="A7543" s="49">
        <v>44773.44808199074</v>
      </c>
      <c r="B7543" s="50">
        <v>44773.5730579282</v>
      </c>
      <c r="C7543" s="51">
        <v>1.004</v>
      </c>
      <c r="D7543" s="51">
        <v>69.0</v>
      </c>
      <c r="E7543" s="52" t="s">
        <v>25</v>
      </c>
      <c r="F7543" s="52" t="s">
        <v>26</v>
      </c>
      <c r="G7543" s="53"/>
    </row>
    <row r="7544">
      <c r="A7544" s="49">
        <v>44773.45849424769</v>
      </c>
      <c r="B7544" s="50">
        <v>44773.5834793865</v>
      </c>
      <c r="C7544" s="51">
        <v>1.004</v>
      </c>
      <c r="D7544" s="51">
        <v>69.0</v>
      </c>
      <c r="E7544" s="52" t="s">
        <v>25</v>
      </c>
      <c r="F7544" s="52" t="s">
        <v>26</v>
      </c>
      <c r="G7544" s="53"/>
    </row>
    <row r="7545">
      <c r="A7545" s="49">
        <v>44773.46891591435</v>
      </c>
      <c r="B7545" s="50">
        <v>44773.5939008449</v>
      </c>
      <c r="C7545" s="51">
        <v>1.004</v>
      </c>
      <c r="D7545" s="51">
        <v>69.0</v>
      </c>
      <c r="E7545" s="52" t="s">
        <v>25</v>
      </c>
      <c r="F7545" s="52" t="s">
        <v>26</v>
      </c>
      <c r="G7545" s="53"/>
    </row>
    <row r="7546">
      <c r="A7546" s="49">
        <v>44773.47934892361</v>
      </c>
      <c r="B7546" s="50">
        <v>44773.6043226967</v>
      </c>
      <c r="C7546" s="51">
        <v>1.004</v>
      </c>
      <c r="D7546" s="51">
        <v>69.0</v>
      </c>
      <c r="E7546" s="52" t="s">
        <v>25</v>
      </c>
      <c r="F7546" s="52" t="s">
        <v>26</v>
      </c>
      <c r="G7546" s="53"/>
    </row>
    <row r="7547">
      <c r="A7547" s="49">
        <v>44773.48977017361</v>
      </c>
      <c r="B7547" s="50">
        <v>44773.6147453703</v>
      </c>
      <c r="C7547" s="51">
        <v>1.004</v>
      </c>
      <c r="D7547" s="51">
        <v>69.0</v>
      </c>
      <c r="E7547" s="52" t="s">
        <v>25</v>
      </c>
      <c r="F7547" s="52" t="s">
        <v>26</v>
      </c>
      <c r="G7547" s="53"/>
    </row>
    <row r="7548">
      <c r="A7548" s="49">
        <v>44773.50019670139</v>
      </c>
      <c r="B7548" s="50">
        <v>44773.6251663657</v>
      </c>
      <c r="C7548" s="51">
        <v>1.004</v>
      </c>
      <c r="D7548" s="51">
        <v>69.0</v>
      </c>
      <c r="E7548" s="52" t="s">
        <v>25</v>
      </c>
      <c r="F7548" s="52" t="s">
        <v>26</v>
      </c>
      <c r="G7548" s="53"/>
    </row>
    <row r="7549">
      <c r="A7549" s="49">
        <v>44773.510621759255</v>
      </c>
      <c r="B7549" s="50">
        <v>44773.6355990625</v>
      </c>
      <c r="C7549" s="51">
        <v>1.004</v>
      </c>
      <c r="D7549" s="51">
        <v>69.0</v>
      </c>
      <c r="E7549" s="52" t="s">
        <v>25</v>
      </c>
      <c r="F7549" s="52" t="s">
        <v>26</v>
      </c>
      <c r="G7549" s="53"/>
    </row>
    <row r="7550">
      <c r="A7550" s="49">
        <v>44773.52104581019</v>
      </c>
      <c r="B7550" s="50">
        <v>44773.6460189814</v>
      </c>
      <c r="C7550" s="51">
        <v>1.004</v>
      </c>
      <c r="D7550" s="51">
        <v>69.0</v>
      </c>
      <c r="E7550" s="52" t="s">
        <v>25</v>
      </c>
      <c r="F7550" s="52" t="s">
        <v>26</v>
      </c>
      <c r="G7550" s="53"/>
    </row>
    <row r="7551">
      <c r="A7551" s="49">
        <v>44773.53147652777</v>
      </c>
      <c r="B7551" s="50">
        <v>44773.6564521643</v>
      </c>
      <c r="C7551" s="51">
        <v>1.004</v>
      </c>
      <c r="D7551" s="51">
        <v>69.0</v>
      </c>
      <c r="E7551" s="52" t="s">
        <v>25</v>
      </c>
      <c r="F7551" s="52" t="s">
        <v>26</v>
      </c>
      <c r="G7551" s="53"/>
    </row>
    <row r="7552">
      <c r="A7552" s="49">
        <v>44773.54190858796</v>
      </c>
      <c r="B7552" s="50">
        <v>44773.6668849074</v>
      </c>
      <c r="C7552" s="51">
        <v>1.004</v>
      </c>
      <c r="D7552" s="51">
        <v>69.0</v>
      </c>
      <c r="E7552" s="52" t="s">
        <v>25</v>
      </c>
      <c r="F7552" s="52" t="s">
        <v>26</v>
      </c>
      <c r="G7552" s="53"/>
    </row>
    <row r="7553">
      <c r="A7553" s="49">
        <v>44773.55232966435</v>
      </c>
      <c r="B7553" s="50">
        <v>44773.6773049884</v>
      </c>
      <c r="C7553" s="51">
        <v>1.004</v>
      </c>
      <c r="D7553" s="51">
        <v>69.0</v>
      </c>
      <c r="E7553" s="52" t="s">
        <v>25</v>
      </c>
      <c r="F7553" s="52" t="s">
        <v>26</v>
      </c>
      <c r="G7553" s="53"/>
    </row>
    <row r="7554">
      <c r="A7554" s="49">
        <v>44773.562761203706</v>
      </c>
      <c r="B7554" s="50">
        <v>44773.6877376388</v>
      </c>
      <c r="C7554" s="51">
        <v>1.004</v>
      </c>
      <c r="D7554" s="51">
        <v>69.0</v>
      </c>
      <c r="E7554" s="52" t="s">
        <v>25</v>
      </c>
      <c r="F7554" s="52" t="s">
        <v>26</v>
      </c>
      <c r="G7554" s="53"/>
    </row>
    <row r="7555">
      <c r="A7555" s="49">
        <v>44773.57318006945</v>
      </c>
      <c r="B7555" s="50">
        <v>44773.6981589236</v>
      </c>
      <c r="C7555" s="51">
        <v>1.004</v>
      </c>
      <c r="D7555" s="51">
        <v>69.0</v>
      </c>
      <c r="E7555" s="52" t="s">
        <v>25</v>
      </c>
      <c r="F7555" s="52" t="s">
        <v>26</v>
      </c>
      <c r="G7555" s="53"/>
    </row>
    <row r="7556">
      <c r="A7556" s="49">
        <v>44773.58359540509</v>
      </c>
      <c r="B7556" s="50">
        <v>44773.7085808333</v>
      </c>
      <c r="C7556" s="51">
        <v>1.004</v>
      </c>
      <c r="D7556" s="51">
        <v>69.0</v>
      </c>
      <c r="E7556" s="52" t="s">
        <v>25</v>
      </c>
      <c r="F7556" s="52" t="s">
        <v>26</v>
      </c>
      <c r="G7556" s="53"/>
    </row>
    <row r="7557">
      <c r="A7557" s="49">
        <v>44773.59402554398</v>
      </c>
      <c r="B7557" s="50">
        <v>44773.7190026157</v>
      </c>
      <c r="C7557" s="51">
        <v>1.004</v>
      </c>
      <c r="D7557" s="51">
        <v>69.0</v>
      </c>
      <c r="E7557" s="52" t="s">
        <v>25</v>
      </c>
      <c r="F7557" s="52" t="s">
        <v>26</v>
      </c>
      <c r="G7557" s="53"/>
    </row>
    <row r="7558">
      <c r="A7558" s="49">
        <v>44773.60444826389</v>
      </c>
      <c r="B7558" s="50">
        <v>44773.7294237384</v>
      </c>
      <c r="C7558" s="51">
        <v>1.004</v>
      </c>
      <c r="D7558" s="51">
        <v>69.0</v>
      </c>
      <c r="E7558" s="52" t="s">
        <v>25</v>
      </c>
      <c r="F7558" s="52" t="s">
        <v>26</v>
      </c>
      <c r="G7558" s="53"/>
    </row>
    <row r="7559">
      <c r="A7559" s="49">
        <v>44773.61486047454</v>
      </c>
      <c r="B7559" s="50">
        <v>44773.7398437731</v>
      </c>
      <c r="C7559" s="51">
        <v>1.004</v>
      </c>
      <c r="D7559" s="51">
        <v>69.0</v>
      </c>
      <c r="E7559" s="52" t="s">
        <v>25</v>
      </c>
      <c r="F7559" s="52" t="s">
        <v>26</v>
      </c>
      <c r="G7559" s="53"/>
    </row>
    <row r="7560">
      <c r="A7560" s="49">
        <v>44773.62529081019</v>
      </c>
      <c r="B7560" s="50">
        <v>44773.7502648379</v>
      </c>
      <c r="C7560" s="51">
        <v>1.004</v>
      </c>
      <c r="D7560" s="51">
        <v>69.0</v>
      </c>
      <c r="E7560" s="52" t="s">
        <v>25</v>
      </c>
      <c r="F7560" s="52" t="s">
        <v>26</v>
      </c>
      <c r="G7560" s="53"/>
    </row>
    <row r="7561">
      <c r="A7561" s="49">
        <v>44773.635706319445</v>
      </c>
      <c r="B7561" s="50">
        <v>44773.7606861226</v>
      </c>
      <c r="C7561" s="51">
        <v>1.004</v>
      </c>
      <c r="D7561" s="51">
        <v>69.0</v>
      </c>
      <c r="E7561" s="52" t="s">
        <v>25</v>
      </c>
      <c r="F7561" s="52" t="s">
        <v>26</v>
      </c>
      <c r="G7561" s="53"/>
    </row>
    <row r="7562">
      <c r="A7562" s="49">
        <v>44773.646123530096</v>
      </c>
      <c r="B7562" s="50">
        <v>44773.7711086805</v>
      </c>
      <c r="C7562" s="51">
        <v>1.004</v>
      </c>
      <c r="D7562" s="51">
        <v>69.0</v>
      </c>
      <c r="E7562" s="52" t="s">
        <v>25</v>
      </c>
      <c r="F7562" s="52" t="s">
        <v>26</v>
      </c>
      <c r="G7562" s="53"/>
    </row>
    <row r="7563">
      <c r="A7563" s="49">
        <v>44773.64728909722</v>
      </c>
      <c r="B7563" s="50">
        <v>44773.762544699</v>
      </c>
      <c r="C7563" s="51">
        <v>1.004</v>
      </c>
      <c r="D7563" s="51">
        <v>69.0</v>
      </c>
      <c r="E7563" s="52" t="s">
        <v>25</v>
      </c>
      <c r="F7563" s="52" t="s">
        <v>26</v>
      </c>
      <c r="G7563" s="53"/>
    </row>
    <row r="7564">
      <c r="A7564" s="49">
        <v>44773.64799709491</v>
      </c>
      <c r="B7564" s="50">
        <v>44773.7729821643</v>
      </c>
      <c r="C7564" s="51">
        <v>1.004</v>
      </c>
      <c r="D7564" s="51">
        <v>69.0</v>
      </c>
      <c r="E7564" s="52" t="s">
        <v>25</v>
      </c>
      <c r="F7564" s="52" t="s">
        <v>26</v>
      </c>
      <c r="G7564" s="53"/>
    </row>
    <row r="7565">
      <c r="A7565" s="49">
        <v>44773.6584421875</v>
      </c>
      <c r="B7565" s="50">
        <v>44773.7834165856</v>
      </c>
      <c r="C7565" s="51">
        <v>1.004</v>
      </c>
      <c r="D7565" s="51">
        <v>69.0</v>
      </c>
      <c r="E7565" s="52" t="s">
        <v>25</v>
      </c>
      <c r="F7565" s="52" t="s">
        <v>26</v>
      </c>
      <c r="G7565" s="53"/>
    </row>
    <row r="7566">
      <c r="A7566" s="49">
        <v>44773.66885495371</v>
      </c>
      <c r="B7566" s="50">
        <v>44773.7938386574</v>
      </c>
      <c r="C7566" s="51">
        <v>1.004</v>
      </c>
      <c r="D7566" s="51">
        <v>69.0</v>
      </c>
      <c r="E7566" s="52" t="s">
        <v>25</v>
      </c>
      <c r="F7566" s="52" t="s">
        <v>26</v>
      </c>
      <c r="G7566" s="53"/>
    </row>
    <row r="7567">
      <c r="A7567" s="49">
        <v>44773.67928630787</v>
      </c>
      <c r="B7567" s="50">
        <v>44773.8042601273</v>
      </c>
      <c r="C7567" s="51">
        <v>1.004</v>
      </c>
      <c r="D7567" s="51">
        <v>69.0</v>
      </c>
      <c r="E7567" s="52" t="s">
        <v>25</v>
      </c>
      <c r="F7567" s="52" t="s">
        <v>26</v>
      </c>
      <c r="G7567" s="53"/>
    </row>
    <row r="7568">
      <c r="A7568" s="49">
        <v>44773.689709328704</v>
      </c>
      <c r="B7568" s="50">
        <v>44773.8146798263</v>
      </c>
      <c r="C7568" s="51">
        <v>1.004</v>
      </c>
      <c r="D7568" s="51">
        <v>69.0</v>
      </c>
      <c r="E7568" s="52" t="s">
        <v>25</v>
      </c>
      <c r="F7568" s="52" t="s">
        <v>26</v>
      </c>
      <c r="G7568" s="53"/>
    </row>
    <row r="7569">
      <c r="A7569" s="49">
        <v>44773.70012662037</v>
      </c>
      <c r="B7569" s="50">
        <v>44773.8251011226</v>
      </c>
      <c r="C7569" s="51">
        <v>1.004</v>
      </c>
      <c r="D7569" s="51">
        <v>69.0</v>
      </c>
      <c r="E7569" s="52" t="s">
        <v>25</v>
      </c>
      <c r="F7569" s="52" t="s">
        <v>26</v>
      </c>
      <c r="G7569" s="53"/>
    </row>
    <row r="7570">
      <c r="A7570" s="49">
        <v>44773.71055553241</v>
      </c>
      <c r="B7570" s="50">
        <v>44773.8355236805</v>
      </c>
      <c r="C7570" s="51">
        <v>1.004</v>
      </c>
      <c r="D7570" s="51">
        <v>69.0</v>
      </c>
      <c r="E7570" s="52" t="s">
        <v>25</v>
      </c>
      <c r="F7570" s="52" t="s">
        <v>26</v>
      </c>
      <c r="G7570" s="53"/>
    </row>
    <row r="7571">
      <c r="A7571" s="49">
        <v>44773.72097094907</v>
      </c>
      <c r="B7571" s="50">
        <v>44773.8459442592</v>
      </c>
      <c r="C7571" s="51">
        <v>1.004</v>
      </c>
      <c r="D7571" s="51">
        <v>69.0</v>
      </c>
      <c r="E7571" s="52" t="s">
        <v>25</v>
      </c>
      <c r="F7571" s="52" t="s">
        <v>26</v>
      </c>
      <c r="G7571" s="53"/>
    </row>
    <row r="7572">
      <c r="A7572" s="49">
        <v>44773.73139366898</v>
      </c>
      <c r="B7572" s="50">
        <v>44773.8563661458</v>
      </c>
      <c r="C7572" s="51">
        <v>1.004</v>
      </c>
      <c r="D7572" s="51">
        <v>69.0</v>
      </c>
      <c r="E7572" s="52" t="s">
        <v>25</v>
      </c>
      <c r="F7572" s="52" t="s">
        <v>26</v>
      </c>
      <c r="G7572" s="53"/>
    </row>
    <row r="7573">
      <c r="A7573" s="49">
        <v>44773.74180880787</v>
      </c>
      <c r="B7573" s="50">
        <v>44773.8667868865</v>
      </c>
      <c r="C7573" s="51">
        <v>1.004</v>
      </c>
      <c r="D7573" s="51">
        <v>69.0</v>
      </c>
      <c r="E7573" s="52" t="s">
        <v>25</v>
      </c>
      <c r="F7573" s="52" t="s">
        <v>26</v>
      </c>
      <c r="G7573" s="53"/>
    </row>
    <row r="7574">
      <c r="A7574" s="49">
        <v>44773.75223359954</v>
      </c>
      <c r="B7574" s="50">
        <v>44773.8772082175</v>
      </c>
      <c r="C7574" s="51">
        <v>1.004</v>
      </c>
      <c r="D7574" s="51">
        <v>69.0</v>
      </c>
      <c r="E7574" s="52" t="s">
        <v>25</v>
      </c>
      <c r="F7574" s="52" t="s">
        <v>26</v>
      </c>
      <c r="G7574" s="53"/>
    </row>
    <row r="7575">
      <c r="A7575" s="49">
        <v>44773.762648958334</v>
      </c>
      <c r="B7575" s="50">
        <v>44773.887630625</v>
      </c>
      <c r="C7575" s="51">
        <v>1.004</v>
      </c>
      <c r="D7575" s="51">
        <v>69.0</v>
      </c>
      <c r="E7575" s="52" t="s">
        <v>25</v>
      </c>
      <c r="F7575" s="52" t="s">
        <v>26</v>
      </c>
      <c r="G7575" s="53"/>
    </row>
    <row r="7576">
      <c r="A7576" s="49">
        <v>44773.77309472222</v>
      </c>
      <c r="B7576" s="50">
        <v>44773.8980738078</v>
      </c>
      <c r="C7576" s="51">
        <v>1.004</v>
      </c>
      <c r="D7576" s="51">
        <v>69.0</v>
      </c>
      <c r="E7576" s="52" t="s">
        <v>25</v>
      </c>
      <c r="F7576" s="52" t="s">
        <v>26</v>
      </c>
      <c r="G7576" s="53"/>
    </row>
    <row r="7577">
      <c r="A7577" s="49">
        <v>44773.78353855324</v>
      </c>
      <c r="B7577" s="50">
        <v>44773.9085075231</v>
      </c>
      <c r="C7577" s="51">
        <v>1.004</v>
      </c>
      <c r="D7577" s="51">
        <v>69.0</v>
      </c>
      <c r="E7577" s="52" t="s">
        <v>25</v>
      </c>
      <c r="F7577" s="52" t="s">
        <v>26</v>
      </c>
      <c r="G7577" s="53"/>
    </row>
    <row r="7578">
      <c r="A7578" s="49">
        <v>44773.793954374996</v>
      </c>
      <c r="B7578" s="50">
        <v>44773.918930949</v>
      </c>
      <c r="C7578" s="51">
        <v>1.004</v>
      </c>
      <c r="D7578" s="51">
        <v>69.0</v>
      </c>
      <c r="E7578" s="52" t="s">
        <v>25</v>
      </c>
      <c r="F7578" s="52" t="s">
        <v>26</v>
      </c>
      <c r="G7578" s="53"/>
    </row>
    <row r="7579">
      <c r="A7579" s="49">
        <v>44773.80437133102</v>
      </c>
      <c r="B7579" s="50">
        <v>44773.9293527893</v>
      </c>
      <c r="C7579" s="51">
        <v>1.004</v>
      </c>
      <c r="D7579" s="51">
        <v>69.0</v>
      </c>
      <c r="E7579" s="52" t="s">
        <v>25</v>
      </c>
      <c r="F7579" s="52" t="s">
        <v>26</v>
      </c>
      <c r="G7579" s="53"/>
    </row>
    <row r="7580">
      <c r="A7580" s="49">
        <v>44773.81479409723</v>
      </c>
      <c r="B7580" s="50">
        <v>44773.9397718518</v>
      </c>
      <c r="C7580" s="51">
        <v>1.004</v>
      </c>
      <c r="D7580" s="51">
        <v>69.0</v>
      </c>
      <c r="E7580" s="52" t="s">
        <v>25</v>
      </c>
      <c r="F7580" s="52" t="s">
        <v>26</v>
      </c>
      <c r="G7580" s="53"/>
    </row>
    <row r="7581">
      <c r="A7581" s="49">
        <v>44773.82521108796</v>
      </c>
      <c r="B7581" s="50">
        <v>44773.9501929051</v>
      </c>
      <c r="C7581" s="51">
        <v>1.004</v>
      </c>
      <c r="D7581" s="51">
        <v>69.0</v>
      </c>
      <c r="E7581" s="52" t="s">
        <v>25</v>
      </c>
      <c r="F7581" s="52" t="s">
        <v>26</v>
      </c>
      <c r="G7581" s="53"/>
    </row>
    <row r="7582">
      <c r="A7582" s="49">
        <v>44773.83565208333</v>
      </c>
      <c r="B7582" s="50">
        <v>44773.960614074</v>
      </c>
      <c r="C7582" s="51">
        <v>1.004</v>
      </c>
      <c r="D7582" s="51">
        <v>69.0</v>
      </c>
      <c r="E7582" s="52" t="s">
        <v>25</v>
      </c>
      <c r="F7582" s="52" t="s">
        <v>26</v>
      </c>
      <c r="G7582" s="53"/>
    </row>
    <row r="7583">
      <c r="A7583" s="49">
        <v>44773.84607576389</v>
      </c>
      <c r="B7583" s="50">
        <v>44773.971047581</v>
      </c>
      <c r="C7583" s="51">
        <v>1.004</v>
      </c>
      <c r="D7583" s="51">
        <v>69.0</v>
      </c>
      <c r="E7583" s="52" t="s">
        <v>25</v>
      </c>
      <c r="F7583" s="52" t="s">
        <v>26</v>
      </c>
      <c r="G7583" s="53"/>
    </row>
    <row r="7584">
      <c r="A7584" s="49">
        <v>44773.85649395833</v>
      </c>
      <c r="B7584" s="50">
        <v>44773.9814667824</v>
      </c>
      <c r="C7584" s="51">
        <v>1.004</v>
      </c>
      <c r="D7584" s="51">
        <v>69.0</v>
      </c>
      <c r="E7584" s="52" t="s">
        <v>25</v>
      </c>
      <c r="F7584" s="52" t="s">
        <v>26</v>
      </c>
      <c r="G7584" s="53"/>
    </row>
    <row r="7585">
      <c r="A7585" s="49">
        <v>44773.86692605324</v>
      </c>
      <c r="B7585" s="50">
        <v>44773.9918993518</v>
      </c>
      <c r="C7585" s="51">
        <v>1.004</v>
      </c>
      <c r="D7585" s="51">
        <v>69.0</v>
      </c>
      <c r="E7585" s="52" t="s">
        <v>25</v>
      </c>
      <c r="F7585" s="52" t="s">
        <v>26</v>
      </c>
      <c r="G7585" s="53"/>
    </row>
    <row r="7586">
      <c r="A7586" s="49">
        <v>44773.87734365741</v>
      </c>
      <c r="B7586" s="50">
        <v>44774.0023209375</v>
      </c>
      <c r="C7586" s="51">
        <v>1.004</v>
      </c>
      <c r="D7586" s="51">
        <v>69.0</v>
      </c>
      <c r="E7586" s="52" t="s">
        <v>25</v>
      </c>
      <c r="F7586" s="52" t="s">
        <v>26</v>
      </c>
      <c r="G7586" s="53"/>
    </row>
    <row r="7587">
      <c r="A7587" s="49">
        <v>44773.8877631713</v>
      </c>
      <c r="B7587" s="50">
        <v>44774.0127419097</v>
      </c>
      <c r="C7587" s="51">
        <v>1.004</v>
      </c>
      <c r="D7587" s="51">
        <v>69.0</v>
      </c>
      <c r="E7587" s="52" t="s">
        <v>25</v>
      </c>
      <c r="F7587" s="52" t="s">
        <v>26</v>
      </c>
      <c r="G7587" s="53"/>
    </row>
    <row r="7588">
      <c r="A7588" s="49">
        <v>44773.89818314815</v>
      </c>
      <c r="B7588" s="50">
        <v>44774.0231633217</v>
      </c>
      <c r="C7588" s="51">
        <v>1.004</v>
      </c>
      <c r="D7588" s="51">
        <v>69.0</v>
      </c>
      <c r="E7588" s="52" t="s">
        <v>25</v>
      </c>
      <c r="F7588" s="52" t="s">
        <v>26</v>
      </c>
      <c r="G7588" s="53"/>
    </row>
    <row r="7589">
      <c r="A7589" s="49">
        <v>44773.90861222222</v>
      </c>
      <c r="B7589" s="50">
        <v>44774.0335846064</v>
      </c>
      <c r="C7589" s="51">
        <v>1.004</v>
      </c>
      <c r="D7589" s="51">
        <v>69.0</v>
      </c>
      <c r="E7589" s="52" t="s">
        <v>25</v>
      </c>
      <c r="F7589" s="52" t="s">
        <v>26</v>
      </c>
      <c r="G7589" s="53"/>
    </row>
    <row r="7590">
      <c r="A7590" s="49">
        <v>44773.91903775463</v>
      </c>
      <c r="B7590" s="50">
        <v>44774.0440181481</v>
      </c>
      <c r="C7590" s="51">
        <v>1.004</v>
      </c>
      <c r="D7590" s="51">
        <v>69.0</v>
      </c>
      <c r="E7590" s="52" t="s">
        <v>25</v>
      </c>
      <c r="F7590" s="52" t="s">
        <v>26</v>
      </c>
      <c r="G7590" s="53"/>
    </row>
    <row r="7591">
      <c r="A7591" s="49">
        <v>44773.929470324074</v>
      </c>
      <c r="B7591" s="50">
        <v>44774.0544385069</v>
      </c>
      <c r="C7591" s="51">
        <v>1.004</v>
      </c>
      <c r="D7591" s="51">
        <v>69.0</v>
      </c>
      <c r="E7591" s="52" t="s">
        <v>25</v>
      </c>
      <c r="F7591" s="52" t="s">
        <v>26</v>
      </c>
      <c r="G7591" s="53"/>
    </row>
    <row r="7592">
      <c r="A7592" s="49">
        <v>44773.939890925925</v>
      </c>
      <c r="B7592" s="50">
        <v>44774.0648608912</v>
      </c>
      <c r="C7592" s="51">
        <v>1.004</v>
      </c>
      <c r="D7592" s="51">
        <v>69.0</v>
      </c>
      <c r="E7592" s="52" t="s">
        <v>25</v>
      </c>
      <c r="F7592" s="52" t="s">
        <v>26</v>
      </c>
      <c r="G7592" s="53"/>
    </row>
    <row r="7593">
      <c r="A7593" s="49">
        <v>44773.95030978009</v>
      </c>
      <c r="B7593" s="50">
        <v>44774.0752825694</v>
      </c>
      <c r="C7593" s="51">
        <v>1.004</v>
      </c>
      <c r="D7593" s="51">
        <v>69.0</v>
      </c>
      <c r="E7593" s="52" t="s">
        <v>25</v>
      </c>
      <c r="F7593" s="52" t="s">
        <v>26</v>
      </c>
      <c r="G7593" s="53"/>
    </row>
    <row r="7594">
      <c r="A7594" s="49">
        <v>44773.96073501157</v>
      </c>
      <c r="B7594" s="50">
        <v>44774.0857035879</v>
      </c>
      <c r="C7594" s="51">
        <v>1.004</v>
      </c>
      <c r="D7594" s="51">
        <v>69.0</v>
      </c>
      <c r="E7594" s="52" t="s">
        <v>25</v>
      </c>
      <c r="F7594" s="52" t="s">
        <v>26</v>
      </c>
      <c r="G7594" s="53"/>
    </row>
    <row r="7595">
      <c r="A7595" s="49">
        <v>44773.97114061343</v>
      </c>
      <c r="B7595" s="50">
        <v>44774.0961232638</v>
      </c>
      <c r="C7595" s="51">
        <v>1.004</v>
      </c>
      <c r="D7595" s="51">
        <v>69.0</v>
      </c>
      <c r="E7595" s="52" t="s">
        <v>25</v>
      </c>
      <c r="F7595" s="52" t="s">
        <v>26</v>
      </c>
      <c r="G7595" s="53"/>
    </row>
    <row r="7596">
      <c r="A7596" s="49">
        <v>44773.981575300924</v>
      </c>
      <c r="B7596" s="50">
        <v>44774.1065459259</v>
      </c>
      <c r="C7596" s="51">
        <v>1.004</v>
      </c>
      <c r="D7596" s="51">
        <v>69.0</v>
      </c>
      <c r="E7596" s="52" t="s">
        <v>25</v>
      </c>
      <c r="F7596" s="52" t="s">
        <v>26</v>
      </c>
      <c r="G7596" s="53"/>
    </row>
    <row r="7597">
      <c r="A7597" s="49">
        <v>44773.99199555555</v>
      </c>
      <c r="B7597" s="50">
        <v>44774.1169679166</v>
      </c>
      <c r="C7597" s="51">
        <v>1.004</v>
      </c>
      <c r="D7597" s="51">
        <v>69.0</v>
      </c>
      <c r="E7597" s="52" t="s">
        <v>25</v>
      </c>
      <c r="F7597" s="52" t="s">
        <v>26</v>
      </c>
      <c r="G7597" s="53"/>
    </row>
    <row r="7598">
      <c r="A7598" s="49">
        <v>44774.002419004624</v>
      </c>
      <c r="B7598" s="50">
        <v>44774.1273888773</v>
      </c>
      <c r="C7598" s="51">
        <v>1.004</v>
      </c>
      <c r="D7598" s="51">
        <v>69.0</v>
      </c>
      <c r="E7598" s="52" t="s">
        <v>25</v>
      </c>
      <c r="F7598" s="52" t="s">
        <v>26</v>
      </c>
      <c r="G7598" s="53"/>
    </row>
    <row r="7599">
      <c r="A7599" s="49">
        <v>44774.0128346412</v>
      </c>
      <c r="B7599" s="50">
        <v>44774.1378117476</v>
      </c>
      <c r="C7599" s="51">
        <v>1.004</v>
      </c>
      <c r="D7599" s="51">
        <v>69.0</v>
      </c>
      <c r="E7599" s="52" t="s">
        <v>25</v>
      </c>
      <c r="F7599" s="52" t="s">
        <v>26</v>
      </c>
      <c r="G7599" s="53"/>
    </row>
    <row r="7600">
      <c r="A7600" s="49">
        <v>44774.02328878472</v>
      </c>
      <c r="B7600" s="50">
        <v>44774.1482576736</v>
      </c>
      <c r="C7600" s="51">
        <v>1.004</v>
      </c>
      <c r="D7600" s="51">
        <v>69.0</v>
      </c>
      <c r="E7600" s="52" t="s">
        <v>25</v>
      </c>
      <c r="F7600" s="52" t="s">
        <v>26</v>
      </c>
      <c r="G7600" s="53"/>
    </row>
    <row r="7601">
      <c r="A7601" s="49">
        <v>44774.03371934028</v>
      </c>
      <c r="B7601" s="50">
        <v>44774.1586887384</v>
      </c>
      <c r="C7601" s="51">
        <v>1.004</v>
      </c>
      <c r="D7601" s="51">
        <v>69.0</v>
      </c>
      <c r="E7601" s="52" t="s">
        <v>25</v>
      </c>
      <c r="F7601" s="52" t="s">
        <v>26</v>
      </c>
      <c r="G7601" s="53"/>
    </row>
    <row r="7602">
      <c r="A7602" s="49">
        <v>44774.044127245375</v>
      </c>
      <c r="B7602" s="50">
        <v>44774.1691092476</v>
      </c>
      <c r="C7602" s="51">
        <v>1.004</v>
      </c>
      <c r="D7602" s="51">
        <v>69.0</v>
      </c>
      <c r="E7602" s="52" t="s">
        <v>25</v>
      </c>
      <c r="F7602" s="52" t="s">
        <v>26</v>
      </c>
      <c r="G7602" s="53"/>
    </row>
    <row r="7603">
      <c r="A7603" s="49">
        <v>44774.0545537037</v>
      </c>
      <c r="B7603" s="50">
        <v>44774.1795297685</v>
      </c>
      <c r="C7603" s="51">
        <v>1.004</v>
      </c>
      <c r="D7603" s="51">
        <v>69.0</v>
      </c>
      <c r="E7603" s="52" t="s">
        <v>25</v>
      </c>
      <c r="F7603" s="52" t="s">
        <v>26</v>
      </c>
      <c r="G7603" s="53"/>
    </row>
    <row r="7604">
      <c r="A7604" s="49">
        <v>44774.06498112269</v>
      </c>
      <c r="B7604" s="50">
        <v>44774.1899493634</v>
      </c>
      <c r="C7604" s="51">
        <v>1.004</v>
      </c>
      <c r="D7604" s="51">
        <v>69.0</v>
      </c>
      <c r="E7604" s="52" t="s">
        <v>25</v>
      </c>
      <c r="F7604" s="52" t="s">
        <v>26</v>
      </c>
      <c r="G7604" s="53"/>
    </row>
    <row r="7605">
      <c r="A7605" s="49">
        <v>44774.075410081015</v>
      </c>
      <c r="B7605" s="50">
        <v>44774.2003937847</v>
      </c>
      <c r="C7605" s="51">
        <v>1.004</v>
      </c>
      <c r="D7605" s="51">
        <v>69.0</v>
      </c>
      <c r="E7605" s="52" t="s">
        <v>25</v>
      </c>
      <c r="F7605" s="52" t="s">
        <v>26</v>
      </c>
      <c r="G7605" s="53"/>
    </row>
    <row r="7606">
      <c r="A7606" s="49">
        <v>44774.08584975694</v>
      </c>
      <c r="B7606" s="50">
        <v>44774.2108151273</v>
      </c>
      <c r="C7606" s="51">
        <v>1.004</v>
      </c>
      <c r="D7606" s="51">
        <v>69.0</v>
      </c>
      <c r="E7606" s="52" t="s">
        <v>25</v>
      </c>
      <c r="F7606" s="52" t="s">
        <v>26</v>
      </c>
      <c r="G7606" s="53"/>
    </row>
    <row r="7607">
      <c r="A7607" s="49">
        <v>44774.09626715278</v>
      </c>
      <c r="B7607" s="50">
        <v>44774.221236412</v>
      </c>
      <c r="C7607" s="51">
        <v>1.004</v>
      </c>
      <c r="D7607" s="51">
        <v>69.0</v>
      </c>
      <c r="E7607" s="52" t="s">
        <v>25</v>
      </c>
      <c r="F7607" s="52" t="s">
        <v>26</v>
      </c>
      <c r="G7607" s="53"/>
    </row>
    <row r="7608">
      <c r="A7608" s="49">
        <v>44774.1066846412</v>
      </c>
      <c r="B7608" s="50">
        <v>44774.2316575231</v>
      </c>
      <c r="C7608" s="51">
        <v>1.004</v>
      </c>
      <c r="D7608" s="51">
        <v>69.0</v>
      </c>
      <c r="E7608" s="52" t="s">
        <v>25</v>
      </c>
      <c r="F7608" s="52" t="s">
        <v>26</v>
      </c>
      <c r="G7608" s="53"/>
    </row>
    <row r="7609">
      <c r="A7609" s="49">
        <v>44774.11709989583</v>
      </c>
      <c r="B7609" s="50">
        <v>44774.2420795023</v>
      </c>
      <c r="C7609" s="51">
        <v>1.004</v>
      </c>
      <c r="D7609" s="51">
        <v>69.0</v>
      </c>
      <c r="E7609" s="52" t="s">
        <v>25</v>
      </c>
      <c r="F7609" s="52" t="s">
        <v>26</v>
      </c>
      <c r="G7609" s="53"/>
    </row>
    <row r="7610">
      <c r="A7610" s="49">
        <v>44774.12755010417</v>
      </c>
      <c r="B7610" s="50">
        <v>44774.2525116666</v>
      </c>
      <c r="C7610" s="51">
        <v>1.004</v>
      </c>
      <c r="D7610" s="51">
        <v>69.0</v>
      </c>
      <c r="E7610" s="52" t="s">
        <v>25</v>
      </c>
      <c r="F7610" s="52" t="s">
        <v>26</v>
      </c>
      <c r="G7610" s="53"/>
    </row>
    <row r="7611">
      <c r="A7611" s="49">
        <v>44774.137961712964</v>
      </c>
      <c r="B7611" s="50">
        <v>44774.2629321296</v>
      </c>
      <c r="C7611" s="51">
        <v>1.004</v>
      </c>
      <c r="D7611" s="51">
        <v>69.0</v>
      </c>
      <c r="E7611" s="52" t="s">
        <v>25</v>
      </c>
      <c r="F7611" s="52" t="s">
        <v>26</v>
      </c>
      <c r="G7611" s="53"/>
    </row>
    <row r="7612">
      <c r="A7612" s="49">
        <v>44774.148378784725</v>
      </c>
      <c r="B7612" s="50">
        <v>44774.2733552083</v>
      </c>
      <c r="C7612" s="51">
        <v>1.004</v>
      </c>
      <c r="D7612" s="51">
        <v>69.0</v>
      </c>
      <c r="E7612" s="52" t="s">
        <v>25</v>
      </c>
      <c r="F7612" s="52" t="s">
        <v>26</v>
      </c>
      <c r="G7612" s="53"/>
    </row>
    <row r="7613">
      <c r="A7613" s="49">
        <v>44774.15879469908</v>
      </c>
      <c r="B7613" s="50">
        <v>44774.2837774074</v>
      </c>
      <c r="C7613" s="51">
        <v>1.004</v>
      </c>
      <c r="D7613" s="51">
        <v>69.0</v>
      </c>
      <c r="E7613" s="52" t="s">
        <v>25</v>
      </c>
      <c r="F7613" s="52" t="s">
        <v>26</v>
      </c>
      <c r="G7613" s="53"/>
    </row>
    <row r="7614">
      <c r="A7614" s="49">
        <v>44774.1692271875</v>
      </c>
      <c r="B7614" s="50">
        <v>44774.2941995601</v>
      </c>
      <c r="C7614" s="51">
        <v>1.004</v>
      </c>
      <c r="D7614" s="51">
        <v>69.0</v>
      </c>
      <c r="E7614" s="52" t="s">
        <v>25</v>
      </c>
      <c r="F7614" s="52" t="s">
        <v>26</v>
      </c>
      <c r="G7614" s="53"/>
    </row>
    <row r="7615">
      <c r="A7615" s="49">
        <v>44774.179660891205</v>
      </c>
      <c r="B7615" s="50">
        <v>44774.3046307638</v>
      </c>
      <c r="C7615" s="51">
        <v>1.004</v>
      </c>
      <c r="D7615" s="51">
        <v>69.0</v>
      </c>
      <c r="E7615" s="52" t="s">
        <v>25</v>
      </c>
      <c r="F7615" s="52" t="s">
        <v>26</v>
      </c>
      <c r="G7615" s="53"/>
    </row>
    <row r="7616">
      <c r="A7616" s="49">
        <v>44774.190084270835</v>
      </c>
      <c r="B7616" s="50">
        <v>44774.3150630324</v>
      </c>
      <c r="C7616" s="51">
        <v>1.004</v>
      </c>
      <c r="D7616" s="51">
        <v>69.0</v>
      </c>
      <c r="E7616" s="52" t="s">
        <v>25</v>
      </c>
      <c r="F7616" s="52" t="s">
        <v>26</v>
      </c>
      <c r="G7616" s="53"/>
    </row>
    <row r="7617">
      <c r="A7617" s="49">
        <v>44774.20052799769</v>
      </c>
      <c r="B7617" s="50">
        <v>44774.3254972222</v>
      </c>
      <c r="C7617" s="51">
        <v>1.004</v>
      </c>
      <c r="D7617" s="51">
        <v>69.0</v>
      </c>
      <c r="E7617" s="52" t="s">
        <v>25</v>
      </c>
      <c r="F7617" s="52" t="s">
        <v>26</v>
      </c>
      <c r="G7617" s="53"/>
    </row>
    <row r="7618">
      <c r="A7618" s="49">
        <v>44774.21096946759</v>
      </c>
      <c r="B7618" s="50">
        <v>44774.3359425578</v>
      </c>
      <c r="C7618" s="51">
        <v>1.004</v>
      </c>
      <c r="D7618" s="51">
        <v>69.0</v>
      </c>
      <c r="E7618" s="52" t="s">
        <v>25</v>
      </c>
      <c r="F7618" s="52" t="s">
        <v>26</v>
      </c>
      <c r="G7618" s="53"/>
    </row>
    <row r="7619">
      <c r="A7619" s="49">
        <v>44774.2213886574</v>
      </c>
      <c r="B7619" s="50">
        <v>44774.3463639004</v>
      </c>
      <c r="C7619" s="51">
        <v>1.004</v>
      </c>
      <c r="D7619" s="51">
        <v>69.0</v>
      </c>
      <c r="E7619" s="52" t="s">
        <v>25</v>
      </c>
      <c r="F7619" s="52" t="s">
        <v>26</v>
      </c>
      <c r="G7619" s="53"/>
    </row>
    <row r="7620">
      <c r="A7620" s="49">
        <v>44774.231805972224</v>
      </c>
      <c r="B7620" s="50">
        <v>44774.3567835069</v>
      </c>
      <c r="C7620" s="51">
        <v>1.004</v>
      </c>
      <c r="D7620" s="51">
        <v>69.0</v>
      </c>
      <c r="E7620" s="52" t="s">
        <v>25</v>
      </c>
      <c r="F7620" s="52" t="s">
        <v>26</v>
      </c>
      <c r="G7620" s="53"/>
    </row>
    <row r="7621">
      <c r="A7621" s="49">
        <v>44774.242241087966</v>
      </c>
      <c r="B7621" s="50">
        <v>44774.3672055324</v>
      </c>
      <c r="C7621" s="51">
        <v>1.004</v>
      </c>
      <c r="D7621" s="51">
        <v>69.0</v>
      </c>
      <c r="E7621" s="52" t="s">
        <v>25</v>
      </c>
      <c r="F7621" s="52" t="s">
        <v>26</v>
      </c>
      <c r="G7621" s="53"/>
    </row>
    <row r="7622">
      <c r="A7622" s="49">
        <v>44774.25265357639</v>
      </c>
      <c r="B7622" s="50">
        <v>44774.3776267361</v>
      </c>
      <c r="C7622" s="51">
        <v>1.004</v>
      </c>
      <c r="D7622" s="51">
        <v>69.0</v>
      </c>
      <c r="E7622" s="52" t="s">
        <v>25</v>
      </c>
      <c r="F7622" s="52" t="s">
        <v>26</v>
      </c>
      <c r="G7622" s="53"/>
    </row>
    <row r="7623">
      <c r="A7623" s="49">
        <v>44774.263078414355</v>
      </c>
      <c r="B7623" s="50">
        <v>44774.3880481713</v>
      </c>
      <c r="C7623" s="51">
        <v>1.004</v>
      </c>
      <c r="D7623" s="51">
        <v>69.0</v>
      </c>
      <c r="E7623" s="52" t="s">
        <v>25</v>
      </c>
      <c r="F7623" s="52" t="s">
        <v>26</v>
      </c>
      <c r="G7623" s="53"/>
    </row>
    <row r="7624">
      <c r="A7624" s="49">
        <v>44774.27348949074</v>
      </c>
      <c r="B7624" s="50">
        <v>44774.3984684606</v>
      </c>
      <c r="C7624" s="51">
        <v>1.004</v>
      </c>
      <c r="D7624" s="51">
        <v>69.0</v>
      </c>
      <c r="E7624" s="52" t="s">
        <v>25</v>
      </c>
      <c r="F7624" s="52" t="s">
        <v>26</v>
      </c>
      <c r="G7624" s="53"/>
    </row>
    <row r="7625">
      <c r="A7625" s="49">
        <v>44774.28392270833</v>
      </c>
      <c r="B7625" s="50">
        <v>44774.4088907291</v>
      </c>
      <c r="C7625" s="51">
        <v>1.004</v>
      </c>
      <c r="D7625" s="51">
        <v>69.0</v>
      </c>
      <c r="E7625" s="52" t="s">
        <v>25</v>
      </c>
      <c r="F7625" s="52" t="s">
        <v>26</v>
      </c>
      <c r="G7625" s="53"/>
    </row>
    <row r="7626">
      <c r="A7626" s="49">
        <v>44774.29433958333</v>
      </c>
      <c r="B7626" s="50">
        <v>44774.4193120254</v>
      </c>
      <c r="C7626" s="51">
        <v>1.004</v>
      </c>
      <c r="D7626" s="51">
        <v>69.0</v>
      </c>
      <c r="E7626" s="52" t="s">
        <v>25</v>
      </c>
      <c r="F7626" s="52" t="s">
        <v>26</v>
      </c>
      <c r="G7626" s="53"/>
    </row>
    <row r="7627">
      <c r="A7627" s="49">
        <v>44774.30477145834</v>
      </c>
      <c r="B7627" s="50">
        <v>44774.4297463194</v>
      </c>
      <c r="C7627" s="51">
        <v>1.004</v>
      </c>
      <c r="D7627" s="51">
        <v>69.0</v>
      </c>
      <c r="E7627" s="52" t="s">
        <v>25</v>
      </c>
      <c r="F7627" s="52" t="s">
        <v>26</v>
      </c>
      <c r="G7627" s="53"/>
    </row>
    <row r="7628">
      <c r="A7628" s="49">
        <v>44774.31519465278</v>
      </c>
      <c r="B7628" s="50">
        <v>44774.4401661458</v>
      </c>
      <c r="C7628" s="51">
        <v>1.004</v>
      </c>
      <c r="D7628" s="51">
        <v>69.0</v>
      </c>
      <c r="E7628" s="52" t="s">
        <v>25</v>
      </c>
      <c r="F7628" s="52" t="s">
        <v>26</v>
      </c>
      <c r="G7628" s="53"/>
    </row>
    <row r="7629">
      <c r="A7629" s="49">
        <v>44774.325625625</v>
      </c>
      <c r="B7629" s="50">
        <v>44774.4505995254</v>
      </c>
      <c r="C7629" s="51">
        <v>1.004</v>
      </c>
      <c r="D7629" s="51">
        <v>70.0</v>
      </c>
      <c r="E7629" s="52" t="s">
        <v>25</v>
      </c>
      <c r="F7629" s="52" t="s">
        <v>26</v>
      </c>
      <c r="G7629" s="53"/>
    </row>
    <row r="7630">
      <c r="A7630" s="49">
        <v>44774.33603846065</v>
      </c>
      <c r="B7630" s="50">
        <v>44774.4610200463</v>
      </c>
      <c r="C7630" s="51">
        <v>1.004</v>
      </c>
      <c r="D7630" s="51">
        <v>70.0</v>
      </c>
      <c r="E7630" s="52" t="s">
        <v>25</v>
      </c>
      <c r="F7630" s="52" t="s">
        <v>26</v>
      </c>
      <c r="G7630" s="53"/>
    </row>
    <row r="7631">
      <c r="A7631" s="49">
        <v>44774.346482430556</v>
      </c>
      <c r="B7631" s="50">
        <v>44774.4714523263</v>
      </c>
      <c r="C7631" s="51">
        <v>1.004</v>
      </c>
      <c r="D7631" s="51">
        <v>69.0</v>
      </c>
      <c r="E7631" s="52" t="s">
        <v>25</v>
      </c>
      <c r="F7631" s="52" t="s">
        <v>26</v>
      </c>
      <c r="G7631" s="53"/>
    </row>
    <row r="7632">
      <c r="A7632" s="49">
        <v>44774.35689819444</v>
      </c>
      <c r="B7632" s="50">
        <v>44774.481875787</v>
      </c>
      <c r="C7632" s="51">
        <v>1.004</v>
      </c>
      <c r="D7632" s="51">
        <v>69.0</v>
      </c>
      <c r="E7632" s="52" t="s">
        <v>25</v>
      </c>
      <c r="F7632" s="52" t="s">
        <v>26</v>
      </c>
      <c r="G7632" s="53"/>
    </row>
    <row r="7633">
      <c r="A7633" s="49">
        <v>44774.36733017361</v>
      </c>
      <c r="B7633" s="50">
        <v>44774.4922987615</v>
      </c>
      <c r="C7633" s="51">
        <v>1.004</v>
      </c>
      <c r="D7633" s="51">
        <v>70.0</v>
      </c>
      <c r="E7633" s="52" t="s">
        <v>25</v>
      </c>
      <c r="F7633" s="52" t="s">
        <v>26</v>
      </c>
      <c r="G7633" s="53"/>
    </row>
    <row r="7634">
      <c r="A7634" s="49">
        <v>44774.377748009254</v>
      </c>
      <c r="B7634" s="50">
        <v>44774.5027197338</v>
      </c>
      <c r="C7634" s="51">
        <v>1.004</v>
      </c>
      <c r="D7634" s="51">
        <v>70.0</v>
      </c>
      <c r="E7634" s="52" t="s">
        <v>25</v>
      </c>
      <c r="F7634" s="52" t="s">
        <v>26</v>
      </c>
      <c r="G7634" s="53"/>
    </row>
    <row r="7635">
      <c r="A7635" s="49">
        <v>44774.38817965278</v>
      </c>
      <c r="B7635" s="50">
        <v>44774.5131525463</v>
      </c>
      <c r="C7635" s="51">
        <v>1.004</v>
      </c>
      <c r="D7635" s="51">
        <v>70.0</v>
      </c>
      <c r="E7635" s="52" t="s">
        <v>25</v>
      </c>
      <c r="F7635" s="52" t="s">
        <v>26</v>
      </c>
      <c r="G7635" s="53"/>
    </row>
    <row r="7636">
      <c r="A7636" s="49">
        <v>44774.39859699074</v>
      </c>
      <c r="B7636" s="50">
        <v>44774.5235743634</v>
      </c>
      <c r="C7636" s="51">
        <v>1.004</v>
      </c>
      <c r="D7636" s="51">
        <v>70.0</v>
      </c>
      <c r="E7636" s="52" t="s">
        <v>25</v>
      </c>
      <c r="F7636" s="52" t="s">
        <v>26</v>
      </c>
      <c r="G7636" s="53"/>
    </row>
    <row r="7637">
      <c r="A7637" s="49">
        <v>44774.40902388889</v>
      </c>
      <c r="B7637" s="50">
        <v>44774.5340071759</v>
      </c>
      <c r="C7637" s="51">
        <v>1.004</v>
      </c>
      <c r="D7637" s="51">
        <v>70.0</v>
      </c>
      <c r="E7637" s="52" t="s">
        <v>25</v>
      </c>
      <c r="F7637" s="52" t="s">
        <v>26</v>
      </c>
      <c r="G7637" s="53"/>
    </row>
    <row r="7638">
      <c r="A7638" s="49">
        <v>44774.41944820602</v>
      </c>
      <c r="B7638" s="50">
        <v>44774.5444284606</v>
      </c>
      <c r="C7638" s="51">
        <v>1.004</v>
      </c>
      <c r="D7638" s="51">
        <v>70.0</v>
      </c>
      <c r="E7638" s="52" t="s">
        <v>25</v>
      </c>
      <c r="F7638" s="52" t="s">
        <v>26</v>
      </c>
      <c r="G7638" s="53"/>
    </row>
    <row r="7639">
      <c r="A7639" s="49">
        <v>44774.42989020833</v>
      </c>
      <c r="B7639" s="50">
        <v>44774.5548610532</v>
      </c>
      <c r="C7639" s="51">
        <v>1.004</v>
      </c>
      <c r="D7639" s="51">
        <v>70.0</v>
      </c>
      <c r="E7639" s="52" t="s">
        <v>25</v>
      </c>
      <c r="F7639" s="52" t="s">
        <v>26</v>
      </c>
      <c r="G7639" s="53"/>
    </row>
    <row r="7640">
      <c r="A7640" s="49">
        <v>44774.440308854166</v>
      </c>
      <c r="B7640" s="50">
        <v>44774.5652811458</v>
      </c>
      <c r="C7640" s="51">
        <v>1.004</v>
      </c>
      <c r="D7640" s="51">
        <v>70.0</v>
      </c>
      <c r="E7640" s="52" t="s">
        <v>25</v>
      </c>
      <c r="F7640" s="52" t="s">
        <v>26</v>
      </c>
      <c r="G7640" s="53"/>
    </row>
    <row r="7641">
      <c r="A7641" s="49">
        <v>44774.45072842593</v>
      </c>
      <c r="B7641" s="50">
        <v>44774.5757045138</v>
      </c>
      <c r="C7641" s="51">
        <v>1.004</v>
      </c>
      <c r="D7641" s="51">
        <v>70.0</v>
      </c>
      <c r="E7641" s="52" t="s">
        <v>25</v>
      </c>
      <c r="F7641" s="52" t="s">
        <v>26</v>
      </c>
      <c r="G7641" s="53"/>
    </row>
    <row r="7642">
      <c r="A7642" s="49">
        <v>44774.46115451389</v>
      </c>
      <c r="B7642" s="50">
        <v>44774.5861266319</v>
      </c>
      <c r="C7642" s="51">
        <v>1.004</v>
      </c>
      <c r="D7642" s="51">
        <v>70.0</v>
      </c>
      <c r="E7642" s="52" t="s">
        <v>25</v>
      </c>
      <c r="F7642" s="52" t="s">
        <v>26</v>
      </c>
      <c r="G7642" s="53"/>
    </row>
    <row r="7643">
      <c r="A7643" s="49">
        <v>44774.471578425924</v>
      </c>
      <c r="B7643" s="50">
        <v>44774.5965478356</v>
      </c>
      <c r="C7643" s="51">
        <v>1.004</v>
      </c>
      <c r="D7643" s="51">
        <v>70.0</v>
      </c>
      <c r="E7643" s="52" t="s">
        <v>25</v>
      </c>
      <c r="F7643" s="52" t="s">
        <v>26</v>
      </c>
      <c r="G7643" s="53"/>
    </row>
    <row r="7644">
      <c r="A7644" s="49">
        <v>44774.48199641204</v>
      </c>
      <c r="B7644" s="50">
        <v>44774.6069681597</v>
      </c>
      <c r="C7644" s="51">
        <v>1.004</v>
      </c>
      <c r="D7644" s="51">
        <v>70.0</v>
      </c>
      <c r="E7644" s="52" t="s">
        <v>25</v>
      </c>
      <c r="F7644" s="52" t="s">
        <v>26</v>
      </c>
      <c r="G7644" s="53"/>
    </row>
    <row r="7645">
      <c r="A7645" s="49">
        <v>44774.49240912037</v>
      </c>
      <c r="B7645" s="50">
        <v>44774.6173887963</v>
      </c>
      <c r="C7645" s="51">
        <v>1.004</v>
      </c>
      <c r="D7645" s="51">
        <v>70.0</v>
      </c>
      <c r="E7645" s="52" t="s">
        <v>25</v>
      </c>
      <c r="F7645" s="52" t="s">
        <v>26</v>
      </c>
      <c r="G7645" s="53"/>
    </row>
    <row r="7646">
      <c r="A7646" s="49">
        <v>44774.50286184028</v>
      </c>
      <c r="B7646" s="50">
        <v>44774.6278333564</v>
      </c>
      <c r="C7646" s="51">
        <v>1.004</v>
      </c>
      <c r="D7646" s="51">
        <v>70.0</v>
      </c>
      <c r="E7646" s="52" t="s">
        <v>25</v>
      </c>
      <c r="F7646" s="52" t="s">
        <v>26</v>
      </c>
      <c r="G7646" s="53"/>
    </row>
    <row r="7647">
      <c r="A7647" s="49">
        <v>44774.51329650463</v>
      </c>
      <c r="B7647" s="50">
        <v>44774.6382656018</v>
      </c>
      <c r="C7647" s="51">
        <v>1.004</v>
      </c>
      <c r="D7647" s="51">
        <v>70.0</v>
      </c>
      <c r="E7647" s="52" t="s">
        <v>25</v>
      </c>
      <c r="F7647" s="52" t="s">
        <v>26</v>
      </c>
      <c r="G7647" s="53"/>
    </row>
    <row r="7648">
      <c r="A7648" s="49">
        <v>44774.52371980324</v>
      </c>
      <c r="B7648" s="50">
        <v>44774.6486877662</v>
      </c>
      <c r="C7648" s="51">
        <v>1.004</v>
      </c>
      <c r="D7648" s="51">
        <v>70.0</v>
      </c>
      <c r="E7648" s="52" t="s">
        <v>25</v>
      </c>
      <c r="F7648" s="52" t="s">
        <v>26</v>
      </c>
      <c r="G7648" s="53"/>
    </row>
    <row r="7649">
      <c r="A7649" s="49">
        <v>44774.53413327546</v>
      </c>
      <c r="B7649" s="50">
        <v>44774.6591085648</v>
      </c>
      <c r="C7649" s="51">
        <v>1.004</v>
      </c>
      <c r="D7649" s="51">
        <v>70.0</v>
      </c>
      <c r="E7649" s="52" t="s">
        <v>25</v>
      </c>
      <c r="F7649" s="52" t="s">
        <v>26</v>
      </c>
      <c r="G7649" s="53"/>
    </row>
    <row r="7650">
      <c r="A7650" s="49">
        <v>44774.54455200231</v>
      </c>
      <c r="B7650" s="50">
        <v>44774.6695311342</v>
      </c>
      <c r="C7650" s="51">
        <v>1.004</v>
      </c>
      <c r="D7650" s="51">
        <v>70.0</v>
      </c>
      <c r="E7650" s="52" t="s">
        <v>25</v>
      </c>
      <c r="F7650" s="52" t="s">
        <v>26</v>
      </c>
      <c r="G7650" s="53"/>
    </row>
    <row r="7651">
      <c r="A7651" s="49">
        <v>44774.554981608795</v>
      </c>
      <c r="B7651" s="50">
        <v>44774.6799524074</v>
      </c>
      <c r="C7651" s="51">
        <v>1.004</v>
      </c>
      <c r="D7651" s="51">
        <v>70.0</v>
      </c>
      <c r="E7651" s="52" t="s">
        <v>25</v>
      </c>
      <c r="F7651" s="52" t="s">
        <v>26</v>
      </c>
      <c r="G7651" s="53"/>
    </row>
    <row r="7652">
      <c r="A7652" s="49">
        <v>44774.565411296295</v>
      </c>
      <c r="B7652" s="50">
        <v>44774.6903860416</v>
      </c>
      <c r="C7652" s="51">
        <v>1.004</v>
      </c>
      <c r="D7652" s="51">
        <v>70.0</v>
      </c>
      <c r="E7652" s="52" t="s">
        <v>25</v>
      </c>
      <c r="F7652" s="52" t="s">
        <v>26</v>
      </c>
      <c r="G7652" s="53"/>
    </row>
    <row r="7653">
      <c r="A7653" s="49">
        <v>44774.57583582176</v>
      </c>
      <c r="B7653" s="50">
        <v>44774.7008068055</v>
      </c>
      <c r="C7653" s="51">
        <v>1.004</v>
      </c>
      <c r="D7653" s="51">
        <v>70.0</v>
      </c>
      <c r="E7653" s="52" t="s">
        <v>25</v>
      </c>
      <c r="F7653" s="52" t="s">
        <v>26</v>
      </c>
      <c r="G7653" s="53"/>
    </row>
    <row r="7654">
      <c r="A7654" s="49">
        <v>44774.58625366898</v>
      </c>
      <c r="B7654" s="50">
        <v>44774.7112295949</v>
      </c>
      <c r="C7654" s="51">
        <v>1.004</v>
      </c>
      <c r="D7654" s="51">
        <v>70.0</v>
      </c>
      <c r="E7654" s="52" t="s">
        <v>25</v>
      </c>
      <c r="F7654" s="52" t="s">
        <v>26</v>
      </c>
      <c r="G7654" s="53"/>
    </row>
    <row r="7655">
      <c r="A7655" s="49">
        <v>44774.596676076384</v>
      </c>
      <c r="B7655" s="50">
        <v>44774.7216517939</v>
      </c>
      <c r="C7655" s="51">
        <v>1.004</v>
      </c>
      <c r="D7655" s="51">
        <v>70.0</v>
      </c>
      <c r="E7655" s="52" t="s">
        <v>25</v>
      </c>
      <c r="F7655" s="52" t="s">
        <v>26</v>
      </c>
      <c r="G7655" s="53"/>
    </row>
    <row r="7656">
      <c r="A7656" s="49">
        <v>44774.607112233796</v>
      </c>
      <c r="B7656" s="50">
        <v>44774.7320956481</v>
      </c>
      <c r="C7656" s="51">
        <v>1.004</v>
      </c>
      <c r="D7656" s="51">
        <v>70.0</v>
      </c>
      <c r="E7656" s="52" t="s">
        <v>25</v>
      </c>
      <c r="F7656" s="52" t="s">
        <v>26</v>
      </c>
      <c r="G7656" s="53"/>
    </row>
    <row r="7657">
      <c r="A7657" s="49">
        <v>44774.61754148148</v>
      </c>
      <c r="B7657" s="50">
        <v>44774.7425192361</v>
      </c>
      <c r="C7657" s="51">
        <v>1.004</v>
      </c>
      <c r="D7657" s="51">
        <v>70.0</v>
      </c>
      <c r="E7657" s="52" t="s">
        <v>25</v>
      </c>
      <c r="F7657" s="52" t="s">
        <v>26</v>
      </c>
      <c r="G7657" s="53"/>
    </row>
    <row r="7658">
      <c r="A7658" s="49">
        <v>44774.627959363424</v>
      </c>
      <c r="B7658" s="50">
        <v>44774.752939375</v>
      </c>
      <c r="C7658" s="51">
        <v>1.004</v>
      </c>
      <c r="D7658" s="51">
        <v>70.0</v>
      </c>
      <c r="E7658" s="52" t="s">
        <v>25</v>
      </c>
      <c r="F7658" s="52" t="s">
        <v>26</v>
      </c>
      <c r="G7658" s="53"/>
    </row>
    <row r="7659">
      <c r="A7659" s="49">
        <v>44774.6384115625</v>
      </c>
      <c r="B7659" s="50">
        <v>44774.7633854398</v>
      </c>
      <c r="C7659" s="51">
        <v>1.004</v>
      </c>
      <c r="D7659" s="51">
        <v>70.0</v>
      </c>
      <c r="E7659" s="52" t="s">
        <v>25</v>
      </c>
      <c r="F7659" s="52" t="s">
        <v>26</v>
      </c>
      <c r="G7659" s="53"/>
    </row>
    <row r="7660">
      <c r="A7660" s="49">
        <v>44774.64884578704</v>
      </c>
      <c r="B7660" s="50">
        <v>44774.7738162963</v>
      </c>
      <c r="C7660" s="51">
        <v>1.004</v>
      </c>
      <c r="D7660" s="51">
        <v>70.0</v>
      </c>
      <c r="E7660" s="52" t="s">
        <v>25</v>
      </c>
      <c r="F7660" s="52" t="s">
        <v>26</v>
      </c>
      <c r="G7660" s="53"/>
    </row>
    <row r="7661">
      <c r="A7661" s="49">
        <v>44774.65926270833</v>
      </c>
      <c r="B7661" s="50">
        <v>44774.784237581</v>
      </c>
      <c r="C7661" s="51">
        <v>1.004</v>
      </c>
      <c r="D7661" s="51">
        <v>70.0</v>
      </c>
      <c r="E7661" s="52" t="s">
        <v>25</v>
      </c>
      <c r="F7661" s="52" t="s">
        <v>26</v>
      </c>
      <c r="G7661" s="53"/>
    </row>
    <row r="7662">
      <c r="A7662" s="49">
        <v>44774.669687256945</v>
      </c>
      <c r="B7662" s="50">
        <v>44774.7946575462</v>
      </c>
      <c r="C7662" s="51">
        <v>1.004</v>
      </c>
      <c r="D7662" s="51">
        <v>70.0</v>
      </c>
      <c r="E7662" s="52" t="s">
        <v>25</v>
      </c>
      <c r="F7662" s="52" t="s">
        <v>26</v>
      </c>
      <c r="G7662" s="53"/>
    </row>
    <row r="7663">
      <c r="A7663" s="49">
        <v>44774.680100405094</v>
      </c>
      <c r="B7663" s="50">
        <v>44774.8050796527</v>
      </c>
      <c r="C7663" s="51">
        <v>1.004</v>
      </c>
      <c r="D7663" s="51">
        <v>70.0</v>
      </c>
      <c r="E7663" s="52" t="s">
        <v>25</v>
      </c>
      <c r="F7663" s="52" t="s">
        <v>26</v>
      </c>
      <c r="G7663" s="53"/>
    </row>
    <row r="7664">
      <c r="A7664" s="49">
        <v>44774.69052862268</v>
      </c>
      <c r="B7664" s="50">
        <v>44774.8155007407</v>
      </c>
      <c r="C7664" s="51">
        <v>1.004</v>
      </c>
      <c r="D7664" s="51">
        <v>70.0</v>
      </c>
      <c r="E7664" s="52" t="s">
        <v>25</v>
      </c>
      <c r="F7664" s="52" t="s">
        <v>26</v>
      </c>
      <c r="G7664" s="53"/>
    </row>
    <row r="7665">
      <c r="A7665" s="49">
        <v>44774.70094871528</v>
      </c>
      <c r="B7665" s="50">
        <v>44774.8259226851</v>
      </c>
      <c r="C7665" s="51">
        <v>1.004</v>
      </c>
      <c r="D7665" s="51">
        <v>70.0</v>
      </c>
      <c r="E7665" s="52" t="s">
        <v>25</v>
      </c>
      <c r="F7665" s="52" t="s">
        <v>26</v>
      </c>
      <c r="G7665" s="53"/>
    </row>
    <row r="7666">
      <c r="A7666" s="49">
        <v>44774.711364560186</v>
      </c>
      <c r="B7666" s="50">
        <v>44774.8363441898</v>
      </c>
      <c r="C7666" s="51">
        <v>1.004</v>
      </c>
      <c r="D7666" s="51">
        <v>70.0</v>
      </c>
      <c r="E7666" s="52" t="s">
        <v>25</v>
      </c>
      <c r="F7666" s="52" t="s">
        <v>26</v>
      </c>
      <c r="G7666" s="53"/>
    </row>
    <row r="7667">
      <c r="A7667" s="49">
        <v>44774.721781458335</v>
      </c>
      <c r="B7667" s="50">
        <v>44774.8467643055</v>
      </c>
      <c r="C7667" s="51">
        <v>1.004</v>
      </c>
      <c r="D7667" s="51">
        <v>70.0</v>
      </c>
      <c r="E7667" s="52" t="s">
        <v>25</v>
      </c>
      <c r="F7667" s="52" t="s">
        <v>26</v>
      </c>
      <c r="G7667" s="53"/>
    </row>
    <row r="7668">
      <c r="A7668" s="49">
        <v>44774.73222334491</v>
      </c>
      <c r="B7668" s="50">
        <v>44774.8571967013</v>
      </c>
      <c r="C7668" s="51">
        <v>1.004</v>
      </c>
      <c r="D7668" s="51">
        <v>70.0</v>
      </c>
      <c r="E7668" s="52" t="s">
        <v>25</v>
      </c>
      <c r="F7668" s="52" t="s">
        <v>26</v>
      </c>
      <c r="G7668" s="53"/>
    </row>
    <row r="7669">
      <c r="A7669" s="49">
        <v>44774.74264430556</v>
      </c>
      <c r="B7669" s="50">
        <v>44774.8676170717</v>
      </c>
      <c r="C7669" s="51">
        <v>1.004</v>
      </c>
      <c r="D7669" s="51">
        <v>70.0</v>
      </c>
      <c r="E7669" s="52" t="s">
        <v>25</v>
      </c>
      <c r="F7669" s="52" t="s">
        <v>26</v>
      </c>
      <c r="G7669" s="53"/>
    </row>
    <row r="7670">
      <c r="A7670" s="49">
        <v>44774.75306195602</v>
      </c>
      <c r="B7670" s="50">
        <v>44774.8780379976</v>
      </c>
      <c r="C7670" s="51">
        <v>1.004</v>
      </c>
      <c r="D7670" s="51">
        <v>70.0</v>
      </c>
      <c r="E7670" s="52" t="s">
        <v>25</v>
      </c>
      <c r="F7670" s="52" t="s">
        <v>26</v>
      </c>
      <c r="G7670" s="53"/>
    </row>
    <row r="7671">
      <c r="A7671" s="49">
        <v>44774.76348190972</v>
      </c>
      <c r="B7671" s="50">
        <v>44774.8884607175</v>
      </c>
      <c r="C7671" s="51">
        <v>1.004</v>
      </c>
      <c r="D7671" s="51">
        <v>70.0</v>
      </c>
      <c r="E7671" s="52" t="s">
        <v>25</v>
      </c>
      <c r="F7671" s="52" t="s">
        <v>26</v>
      </c>
      <c r="G7671" s="53"/>
    </row>
    <row r="7672">
      <c r="A7672" s="49">
        <v>44774.77390032407</v>
      </c>
      <c r="B7672" s="50">
        <v>44774.8988813426</v>
      </c>
      <c r="C7672" s="51">
        <v>1.004</v>
      </c>
      <c r="D7672" s="51">
        <v>70.0</v>
      </c>
      <c r="E7672" s="52" t="s">
        <v>25</v>
      </c>
      <c r="F7672" s="52" t="s">
        <v>26</v>
      </c>
      <c r="G7672" s="53"/>
    </row>
    <row r="7673">
      <c r="A7673" s="49">
        <v>44774.784337986115</v>
      </c>
      <c r="B7673" s="50">
        <v>44774.9093038194</v>
      </c>
      <c r="C7673" s="51">
        <v>1.004</v>
      </c>
      <c r="D7673" s="51">
        <v>70.0</v>
      </c>
      <c r="E7673" s="52" t="s">
        <v>25</v>
      </c>
      <c r="F7673" s="52" t="s">
        <v>26</v>
      </c>
      <c r="G7673" s="53"/>
    </row>
    <row r="7674">
      <c r="A7674" s="49">
        <v>44774.79475166667</v>
      </c>
      <c r="B7674" s="50">
        <v>44774.9197254166</v>
      </c>
      <c r="C7674" s="51">
        <v>1.004</v>
      </c>
      <c r="D7674" s="51">
        <v>70.0</v>
      </c>
      <c r="E7674" s="52" t="s">
        <v>25</v>
      </c>
      <c r="F7674" s="52" t="s">
        <v>26</v>
      </c>
      <c r="G7674" s="53"/>
    </row>
    <row r="7675">
      <c r="A7675" s="49">
        <v>44774.805167592596</v>
      </c>
      <c r="B7675" s="50">
        <v>44774.9301459375</v>
      </c>
      <c r="C7675" s="51">
        <v>1.004</v>
      </c>
      <c r="D7675" s="51">
        <v>70.0</v>
      </c>
      <c r="E7675" s="52" t="s">
        <v>25</v>
      </c>
      <c r="F7675" s="52" t="s">
        <v>26</v>
      </c>
      <c r="G7675" s="53"/>
    </row>
    <row r="7676">
      <c r="A7676" s="49">
        <v>44774.81558971065</v>
      </c>
      <c r="B7676" s="50">
        <v>44774.9405673495</v>
      </c>
      <c r="C7676" s="51">
        <v>1.004</v>
      </c>
      <c r="D7676" s="51">
        <v>70.0</v>
      </c>
      <c r="E7676" s="52" t="s">
        <v>25</v>
      </c>
      <c r="F7676" s="52" t="s">
        <v>26</v>
      </c>
      <c r="G7676" s="53"/>
    </row>
    <row r="7677">
      <c r="A7677" s="49">
        <v>44774.82601583333</v>
      </c>
      <c r="B7677" s="50">
        <v>44774.9509985879</v>
      </c>
      <c r="C7677" s="51">
        <v>1.004</v>
      </c>
      <c r="D7677" s="51">
        <v>70.0</v>
      </c>
      <c r="E7677" s="52" t="s">
        <v>25</v>
      </c>
      <c r="F7677" s="52" t="s">
        <v>26</v>
      </c>
      <c r="G7677" s="53"/>
    </row>
    <row r="7678">
      <c r="A7678" s="49">
        <v>44774.83644611111</v>
      </c>
      <c r="B7678" s="50">
        <v>44774.9614321759</v>
      </c>
      <c r="C7678" s="51">
        <v>1.004</v>
      </c>
      <c r="D7678" s="51">
        <v>70.0</v>
      </c>
      <c r="E7678" s="52" t="s">
        <v>25</v>
      </c>
      <c r="F7678" s="52" t="s">
        <v>26</v>
      </c>
      <c r="G7678" s="53"/>
    </row>
    <row r="7679">
      <c r="A7679" s="49">
        <v>44774.84688547454</v>
      </c>
      <c r="B7679" s="50">
        <v>44774.971854155</v>
      </c>
      <c r="C7679" s="51">
        <v>1.004</v>
      </c>
      <c r="D7679" s="51">
        <v>70.0</v>
      </c>
      <c r="E7679" s="52" t="s">
        <v>25</v>
      </c>
      <c r="F7679" s="52" t="s">
        <v>26</v>
      </c>
      <c r="G7679" s="53"/>
    </row>
    <row r="7680">
      <c r="A7680" s="49">
        <v>44774.85731127315</v>
      </c>
      <c r="B7680" s="50">
        <v>44774.9822866666</v>
      </c>
      <c r="C7680" s="51">
        <v>1.004</v>
      </c>
      <c r="D7680" s="51">
        <v>70.0</v>
      </c>
      <c r="E7680" s="52" t="s">
        <v>25</v>
      </c>
      <c r="F7680" s="52" t="s">
        <v>26</v>
      </c>
      <c r="G7680" s="53"/>
    </row>
    <row r="7681">
      <c r="A7681" s="49">
        <v>44774.86772688657</v>
      </c>
      <c r="B7681" s="50">
        <v>44774.9927093518</v>
      </c>
      <c r="C7681" s="51">
        <v>1.004</v>
      </c>
      <c r="D7681" s="51">
        <v>70.0</v>
      </c>
      <c r="E7681" s="52" t="s">
        <v>25</v>
      </c>
      <c r="F7681" s="52" t="s">
        <v>26</v>
      </c>
      <c r="G7681" s="53"/>
    </row>
    <row r="7682">
      <c r="A7682" s="49">
        <v>44774.878168738425</v>
      </c>
      <c r="B7682" s="50">
        <v>44775.0031419444</v>
      </c>
      <c r="C7682" s="51">
        <v>1.004</v>
      </c>
      <c r="D7682" s="51">
        <v>70.0</v>
      </c>
      <c r="E7682" s="52" t="s">
        <v>25</v>
      </c>
      <c r="F7682" s="52" t="s">
        <v>26</v>
      </c>
      <c r="G7682" s="53"/>
    </row>
    <row r="7683">
      <c r="A7683" s="49">
        <v>44774.888590069444</v>
      </c>
      <c r="B7683" s="50">
        <v>44775.013562118</v>
      </c>
      <c r="C7683" s="51">
        <v>1.004</v>
      </c>
      <c r="D7683" s="51">
        <v>70.0</v>
      </c>
      <c r="E7683" s="52" t="s">
        <v>25</v>
      </c>
      <c r="F7683" s="52" t="s">
        <v>26</v>
      </c>
      <c r="G7683" s="53"/>
    </row>
    <row r="7684">
      <c r="A7684" s="49">
        <v>44774.899009409724</v>
      </c>
      <c r="B7684" s="50">
        <v>44775.0239836921</v>
      </c>
      <c r="C7684" s="51">
        <v>1.004</v>
      </c>
      <c r="D7684" s="51">
        <v>70.0</v>
      </c>
      <c r="E7684" s="52" t="s">
        <v>25</v>
      </c>
      <c r="F7684" s="52" t="s">
        <v>26</v>
      </c>
      <c r="G7684" s="53"/>
    </row>
    <row r="7685">
      <c r="A7685" s="49">
        <v>44774.909425046295</v>
      </c>
      <c r="B7685" s="50">
        <v>44775.0344051736</v>
      </c>
      <c r="C7685" s="51">
        <v>1.003</v>
      </c>
      <c r="D7685" s="51">
        <v>68.0</v>
      </c>
      <c r="E7685" s="52" t="s">
        <v>25</v>
      </c>
      <c r="F7685" s="52" t="s">
        <v>26</v>
      </c>
      <c r="G7685" s="53"/>
    </row>
    <row r="7686">
      <c r="A7686" s="49">
        <v>44774.9198652662</v>
      </c>
      <c r="B7686" s="50">
        <v>44775.0448374884</v>
      </c>
      <c r="C7686" s="51">
        <v>1.004</v>
      </c>
      <c r="D7686" s="51">
        <v>68.0</v>
      </c>
      <c r="E7686" s="52" t="s">
        <v>25</v>
      </c>
      <c r="F7686" s="52" t="s">
        <v>26</v>
      </c>
      <c r="G7686" s="53"/>
    </row>
    <row r="7687">
      <c r="A7687" s="49">
        <v>44774.930286331015</v>
      </c>
      <c r="B7687" s="50">
        <v>44775.0552584953</v>
      </c>
      <c r="C7687" s="51">
        <v>1.004</v>
      </c>
      <c r="D7687" s="51">
        <v>67.0</v>
      </c>
      <c r="E7687" s="52" t="s">
        <v>25</v>
      </c>
      <c r="F7687" s="52" t="s">
        <v>26</v>
      </c>
      <c r="G7687" s="53"/>
    </row>
    <row r="7688">
      <c r="A7688" s="49">
        <v>44774.94070348379</v>
      </c>
      <c r="B7688" s="50">
        <v>44775.0656817476</v>
      </c>
      <c r="C7688" s="51">
        <v>1.004</v>
      </c>
      <c r="D7688" s="51">
        <v>66.0</v>
      </c>
      <c r="E7688" s="52" t="s">
        <v>25</v>
      </c>
      <c r="F7688" s="52" t="s">
        <v>26</v>
      </c>
      <c r="G7688" s="53"/>
    </row>
    <row r="7689">
      <c r="A7689" s="49">
        <v>44774.95114253472</v>
      </c>
      <c r="B7689" s="50">
        <v>44775.0761156828</v>
      </c>
      <c r="C7689" s="51">
        <v>1.004</v>
      </c>
      <c r="D7689" s="51">
        <v>66.0</v>
      </c>
      <c r="E7689" s="52" t="s">
        <v>25</v>
      </c>
      <c r="F7689" s="52" t="s">
        <v>26</v>
      </c>
      <c r="G7689" s="53"/>
    </row>
    <row r="7690">
      <c r="A7690" s="49">
        <v>44774.96157550926</v>
      </c>
      <c r="B7690" s="50">
        <v>44775.0865473032</v>
      </c>
      <c r="C7690" s="51">
        <v>1.004</v>
      </c>
      <c r="D7690" s="51">
        <v>66.0</v>
      </c>
      <c r="E7690" s="52" t="s">
        <v>25</v>
      </c>
      <c r="F7690" s="52" t="s">
        <v>26</v>
      </c>
      <c r="G7690" s="53"/>
    </row>
    <row r="7691">
      <c r="A7691" s="49">
        <v>44774.97200263889</v>
      </c>
      <c r="B7691" s="50">
        <v>44775.0969807291</v>
      </c>
      <c r="C7691" s="51">
        <v>1.004</v>
      </c>
      <c r="D7691" s="51">
        <v>66.0</v>
      </c>
      <c r="E7691" s="52" t="s">
        <v>25</v>
      </c>
      <c r="F7691" s="52" t="s">
        <v>26</v>
      </c>
      <c r="G7691" s="53"/>
    </row>
    <row r="7692">
      <c r="A7692" s="49">
        <v>44774.98241917824</v>
      </c>
      <c r="B7692" s="50">
        <v>44775.1074017013</v>
      </c>
      <c r="C7692" s="51">
        <v>1.004</v>
      </c>
      <c r="D7692" s="51">
        <v>66.0</v>
      </c>
      <c r="E7692" s="52" t="s">
        <v>25</v>
      </c>
      <c r="F7692" s="52" t="s">
        <v>26</v>
      </c>
      <c r="G7692" s="53"/>
    </row>
    <row r="7693">
      <c r="A7693" s="49">
        <v>44774.99284427083</v>
      </c>
      <c r="B7693" s="50">
        <v>44775.117822037</v>
      </c>
      <c r="C7693" s="51">
        <v>1.004</v>
      </c>
      <c r="D7693" s="51">
        <v>66.0</v>
      </c>
      <c r="E7693" s="52" t="s">
        <v>25</v>
      </c>
      <c r="F7693" s="52" t="s">
        <v>26</v>
      </c>
      <c r="G7693" s="53"/>
    </row>
    <row r="7694">
      <c r="A7694" s="49">
        <v>44775.003286736115</v>
      </c>
      <c r="B7694" s="50">
        <v>44775.1282553472</v>
      </c>
      <c r="C7694" s="51">
        <v>1.004</v>
      </c>
      <c r="D7694" s="51">
        <v>66.0</v>
      </c>
      <c r="E7694" s="52" t="s">
        <v>25</v>
      </c>
      <c r="F7694" s="52" t="s">
        <v>26</v>
      </c>
      <c r="G7694" s="53"/>
    </row>
    <row r="7695">
      <c r="A7695" s="49">
        <v>44775.01369678241</v>
      </c>
      <c r="B7695" s="50">
        <v>44775.138677037</v>
      </c>
      <c r="C7695" s="51">
        <v>1.004</v>
      </c>
      <c r="D7695" s="51">
        <v>66.0</v>
      </c>
      <c r="E7695" s="52" t="s">
        <v>25</v>
      </c>
      <c r="F7695" s="52" t="s">
        <v>26</v>
      </c>
      <c r="G7695" s="53"/>
    </row>
    <row r="7696">
      <c r="A7696" s="49">
        <v>44775.02413074074</v>
      </c>
      <c r="B7696" s="50">
        <v>44775.1491007523</v>
      </c>
      <c r="C7696" s="51">
        <v>1.004</v>
      </c>
      <c r="D7696" s="51">
        <v>66.0</v>
      </c>
      <c r="E7696" s="52" t="s">
        <v>25</v>
      </c>
      <c r="F7696" s="52" t="s">
        <v>26</v>
      </c>
      <c r="G7696" s="53"/>
    </row>
    <row r="7697">
      <c r="A7697" s="49">
        <v>44775.03454353009</v>
      </c>
      <c r="B7697" s="50">
        <v>44775.1595236226</v>
      </c>
      <c r="C7697" s="51">
        <v>1.004</v>
      </c>
      <c r="D7697" s="51">
        <v>66.0</v>
      </c>
      <c r="E7697" s="52" t="s">
        <v>25</v>
      </c>
      <c r="F7697" s="52" t="s">
        <v>26</v>
      </c>
      <c r="G7697" s="53"/>
    </row>
    <row r="7698">
      <c r="A7698" s="49">
        <v>44775.04497938657</v>
      </c>
      <c r="B7698" s="50">
        <v>44775.1699467013</v>
      </c>
      <c r="C7698" s="51">
        <v>1.004</v>
      </c>
      <c r="D7698" s="51">
        <v>66.0</v>
      </c>
      <c r="E7698" s="52" t="s">
        <v>25</v>
      </c>
      <c r="F7698" s="52" t="s">
        <v>26</v>
      </c>
      <c r="G7698" s="53"/>
    </row>
    <row r="7699">
      <c r="A7699" s="49">
        <v>44775.05539091435</v>
      </c>
      <c r="B7699" s="50">
        <v>44775.1803677199</v>
      </c>
      <c r="C7699" s="51">
        <v>1.004</v>
      </c>
      <c r="D7699" s="51">
        <v>66.0</v>
      </c>
      <c r="E7699" s="52" t="s">
        <v>25</v>
      </c>
      <c r="F7699" s="52" t="s">
        <v>26</v>
      </c>
      <c r="G7699" s="53"/>
    </row>
    <row r="7700">
      <c r="A7700" s="49">
        <v>44775.06581869213</v>
      </c>
      <c r="B7700" s="50">
        <v>44775.1907914699</v>
      </c>
      <c r="C7700" s="51">
        <v>1.004</v>
      </c>
      <c r="D7700" s="51">
        <v>66.0</v>
      </c>
      <c r="E7700" s="52" t="s">
        <v>25</v>
      </c>
      <c r="F7700" s="52" t="s">
        <v>26</v>
      </c>
      <c r="G7700" s="53"/>
    </row>
    <row r="7701">
      <c r="A7701" s="49">
        <v>44775.076237326386</v>
      </c>
      <c r="B7701" s="50">
        <v>44775.2012117013</v>
      </c>
      <c r="C7701" s="51">
        <v>1.004</v>
      </c>
      <c r="D7701" s="51">
        <v>66.0</v>
      </c>
      <c r="E7701" s="52" t="s">
        <v>25</v>
      </c>
      <c r="F7701" s="52" t="s">
        <v>26</v>
      </c>
      <c r="G7701" s="53"/>
    </row>
    <row r="7702">
      <c r="A7702" s="49">
        <v>44775.08665986111</v>
      </c>
      <c r="B7702" s="50">
        <v>44775.2116318518</v>
      </c>
      <c r="C7702" s="51">
        <v>1.004</v>
      </c>
      <c r="D7702" s="51">
        <v>66.0</v>
      </c>
      <c r="E7702" s="52" t="s">
        <v>25</v>
      </c>
      <c r="F7702" s="52" t="s">
        <v>26</v>
      </c>
      <c r="G7702" s="53"/>
    </row>
    <row r="7703">
      <c r="A7703" s="49">
        <v>44775.09708039352</v>
      </c>
      <c r="B7703" s="50">
        <v>44775.2220549421</v>
      </c>
      <c r="C7703" s="51">
        <v>1.004</v>
      </c>
      <c r="D7703" s="51">
        <v>66.0</v>
      </c>
      <c r="E7703" s="52" t="s">
        <v>25</v>
      </c>
      <c r="F7703" s="52" t="s">
        <v>26</v>
      </c>
      <c r="G7703" s="53"/>
    </row>
    <row r="7704">
      <c r="A7704" s="49">
        <v>44775.107504976855</v>
      </c>
      <c r="B7704" s="50">
        <v>44775.2324762731</v>
      </c>
      <c r="C7704" s="51">
        <v>1.004</v>
      </c>
      <c r="D7704" s="51">
        <v>66.0</v>
      </c>
      <c r="E7704" s="52" t="s">
        <v>25</v>
      </c>
      <c r="F7704" s="52" t="s">
        <v>26</v>
      </c>
      <c r="G7704" s="53"/>
    </row>
    <row r="7705">
      <c r="A7705" s="49">
        <v>44775.11792521991</v>
      </c>
      <c r="B7705" s="50">
        <v>44775.2428980208</v>
      </c>
      <c r="C7705" s="51">
        <v>1.004</v>
      </c>
      <c r="D7705" s="51">
        <v>66.0</v>
      </c>
      <c r="E7705" s="52" t="s">
        <v>25</v>
      </c>
      <c r="F7705" s="52" t="s">
        <v>26</v>
      </c>
      <c r="G7705" s="53"/>
    </row>
    <row r="7706">
      <c r="A7706" s="49">
        <v>44775.12834357639</v>
      </c>
      <c r="B7706" s="50">
        <v>44775.2533175578</v>
      </c>
      <c r="C7706" s="51">
        <v>1.004</v>
      </c>
      <c r="D7706" s="51">
        <v>66.0</v>
      </c>
      <c r="E7706" s="52" t="s">
        <v>25</v>
      </c>
      <c r="F7706" s="52" t="s">
        <v>26</v>
      </c>
      <c r="G7706" s="53"/>
    </row>
    <row r="7707">
      <c r="A7707" s="49">
        <v>44775.1387646875</v>
      </c>
      <c r="B7707" s="50">
        <v>44775.2637393055</v>
      </c>
      <c r="C7707" s="51">
        <v>1.004</v>
      </c>
      <c r="D7707" s="51">
        <v>66.0</v>
      </c>
      <c r="E7707" s="52" t="s">
        <v>25</v>
      </c>
      <c r="F7707" s="52" t="s">
        <v>26</v>
      </c>
      <c r="G7707" s="53"/>
    </row>
    <row r="7708">
      <c r="A7708" s="49">
        <v>44775.14918324074</v>
      </c>
      <c r="B7708" s="50">
        <v>44775.2741597801</v>
      </c>
      <c r="C7708" s="51">
        <v>1.004</v>
      </c>
      <c r="D7708" s="51">
        <v>66.0</v>
      </c>
      <c r="E7708" s="52" t="s">
        <v>25</v>
      </c>
      <c r="F7708" s="52" t="s">
        <v>26</v>
      </c>
      <c r="G7708" s="53"/>
    </row>
    <row r="7709">
      <c r="A7709" s="49">
        <v>44775.15959675926</v>
      </c>
      <c r="B7709" s="50">
        <v>44775.2845793865</v>
      </c>
      <c r="C7709" s="51">
        <v>1.004</v>
      </c>
      <c r="D7709" s="51">
        <v>66.0</v>
      </c>
      <c r="E7709" s="52" t="s">
        <v>25</v>
      </c>
      <c r="F7709" s="52" t="s">
        <v>26</v>
      </c>
      <c r="G7709" s="53"/>
    </row>
    <row r="7710">
      <c r="A7710" s="49">
        <v>44775.1700296875</v>
      </c>
      <c r="B7710" s="50">
        <v>44775.2950015625</v>
      </c>
      <c r="C7710" s="51">
        <v>1.004</v>
      </c>
      <c r="D7710" s="51">
        <v>66.0</v>
      </c>
      <c r="E7710" s="52" t="s">
        <v>25</v>
      </c>
      <c r="F7710" s="52" t="s">
        <v>26</v>
      </c>
      <c r="G7710" s="53"/>
    </row>
    <row r="7711">
      <c r="A7711" s="49">
        <v>44775.180471631946</v>
      </c>
      <c r="B7711" s="50">
        <v>44775.3054458912</v>
      </c>
      <c r="C7711" s="51">
        <v>1.004</v>
      </c>
      <c r="D7711" s="51">
        <v>66.0</v>
      </c>
      <c r="E7711" s="52" t="s">
        <v>25</v>
      </c>
      <c r="F7711" s="52" t="s">
        <v>26</v>
      </c>
      <c r="G7711" s="53"/>
    </row>
    <row r="7712">
      <c r="A7712" s="49">
        <v>44775.19088974537</v>
      </c>
      <c r="B7712" s="50">
        <v>44775.3158679398</v>
      </c>
      <c r="C7712" s="51">
        <v>1.004</v>
      </c>
      <c r="D7712" s="51">
        <v>66.0</v>
      </c>
      <c r="E7712" s="52" t="s">
        <v>25</v>
      </c>
      <c r="F7712" s="52" t="s">
        <v>26</v>
      </c>
      <c r="G7712" s="53"/>
    </row>
    <row r="7713">
      <c r="A7713" s="49">
        <v>44775.20131694444</v>
      </c>
      <c r="B7713" s="50">
        <v>44775.3262997569</v>
      </c>
      <c r="C7713" s="51">
        <v>1.004</v>
      </c>
      <c r="D7713" s="51">
        <v>66.0</v>
      </c>
      <c r="E7713" s="52" t="s">
        <v>25</v>
      </c>
      <c r="F7713" s="52" t="s">
        <v>26</v>
      </c>
      <c r="G7713" s="53"/>
    </row>
    <row r="7714">
      <c r="A7714" s="49">
        <v>44775.21174778935</v>
      </c>
      <c r="B7714" s="50">
        <v>44775.3367207986</v>
      </c>
      <c r="C7714" s="51">
        <v>1.004</v>
      </c>
      <c r="D7714" s="51">
        <v>66.0</v>
      </c>
      <c r="E7714" s="52" t="s">
        <v>25</v>
      </c>
      <c r="F7714" s="52" t="s">
        <v>26</v>
      </c>
      <c r="G7714" s="53"/>
    </row>
    <row r="7715">
      <c r="A7715" s="49">
        <v>44775.22216746528</v>
      </c>
      <c r="B7715" s="50">
        <v>44775.3471423032</v>
      </c>
      <c r="C7715" s="51">
        <v>1.004</v>
      </c>
      <c r="D7715" s="51">
        <v>66.0</v>
      </c>
      <c r="E7715" s="52" t="s">
        <v>25</v>
      </c>
      <c r="F7715" s="52" t="s">
        <v>26</v>
      </c>
      <c r="G7715" s="53"/>
    </row>
    <row r="7716">
      <c r="A7716" s="49">
        <v>44775.23259659723</v>
      </c>
      <c r="B7716" s="50">
        <v>44775.3575746759</v>
      </c>
      <c r="C7716" s="51">
        <v>1.004</v>
      </c>
      <c r="D7716" s="51">
        <v>66.0</v>
      </c>
      <c r="E7716" s="52" t="s">
        <v>25</v>
      </c>
      <c r="F7716" s="52" t="s">
        <v>26</v>
      </c>
      <c r="G7716" s="53"/>
    </row>
    <row r="7717">
      <c r="A7717" s="49">
        <v>44775.24302043981</v>
      </c>
      <c r="B7717" s="50">
        <v>44775.3679949074</v>
      </c>
      <c r="C7717" s="51">
        <v>1.004</v>
      </c>
      <c r="D7717" s="51">
        <v>66.0</v>
      </c>
      <c r="E7717" s="52" t="s">
        <v>25</v>
      </c>
      <c r="F7717" s="52" t="s">
        <v>26</v>
      </c>
      <c r="G7717" s="53"/>
    </row>
    <row r="7718">
      <c r="A7718" s="49">
        <v>44775.2534427662</v>
      </c>
      <c r="B7718" s="50">
        <v>44775.3784167245</v>
      </c>
      <c r="C7718" s="51">
        <v>1.004</v>
      </c>
      <c r="D7718" s="51">
        <v>66.0</v>
      </c>
      <c r="E7718" s="52" t="s">
        <v>25</v>
      </c>
      <c r="F7718" s="52" t="s">
        <v>26</v>
      </c>
      <c r="G7718" s="53"/>
    </row>
    <row r="7719">
      <c r="A7719" s="49">
        <v>44775.26387631944</v>
      </c>
      <c r="B7719" s="50">
        <v>44775.3888486921</v>
      </c>
      <c r="C7719" s="51">
        <v>1.004</v>
      </c>
      <c r="D7719" s="51">
        <v>66.0</v>
      </c>
      <c r="E7719" s="52" t="s">
        <v>25</v>
      </c>
      <c r="F7719" s="52" t="s">
        <v>26</v>
      </c>
      <c r="G7719" s="53"/>
    </row>
    <row r="7720">
      <c r="A7720" s="49">
        <v>44775.27430476852</v>
      </c>
      <c r="B7720" s="50">
        <v>44775.3992706944</v>
      </c>
      <c r="C7720" s="51">
        <v>1.004</v>
      </c>
      <c r="D7720" s="51">
        <v>66.0</v>
      </c>
      <c r="E7720" s="52" t="s">
        <v>25</v>
      </c>
      <c r="F7720" s="52" t="s">
        <v>26</v>
      </c>
      <c r="G7720" s="53"/>
    </row>
    <row r="7721">
      <c r="A7721" s="49">
        <v>44775.28471918982</v>
      </c>
      <c r="B7721" s="50">
        <v>44775.4096913657</v>
      </c>
      <c r="C7721" s="51">
        <v>1.004</v>
      </c>
      <c r="D7721" s="51">
        <v>66.0</v>
      </c>
      <c r="E7721" s="52" t="s">
        <v>25</v>
      </c>
      <c r="F7721" s="52" t="s">
        <v>26</v>
      </c>
      <c r="G7721" s="53"/>
    </row>
    <row r="7722">
      <c r="A7722" s="49">
        <v>44775.295132060186</v>
      </c>
      <c r="B7722" s="50">
        <v>44775.420112743</v>
      </c>
      <c r="C7722" s="51">
        <v>1.004</v>
      </c>
      <c r="D7722" s="51">
        <v>66.0</v>
      </c>
      <c r="E7722" s="52" t="s">
        <v>25</v>
      </c>
      <c r="F7722" s="52" t="s">
        <v>26</v>
      </c>
      <c r="G7722" s="53"/>
    </row>
    <row r="7723">
      <c r="A7723" s="49">
        <v>44775.305565601855</v>
      </c>
      <c r="B7723" s="50">
        <v>44775.4305337268</v>
      </c>
      <c r="C7723" s="51">
        <v>1.004</v>
      </c>
      <c r="D7723" s="51">
        <v>66.0</v>
      </c>
      <c r="E7723" s="52" t="s">
        <v>25</v>
      </c>
      <c r="F7723" s="52" t="s">
        <v>26</v>
      </c>
      <c r="G7723" s="53"/>
    </row>
    <row r="7724">
      <c r="A7724" s="49">
        <v>44775.31598784722</v>
      </c>
      <c r="B7724" s="50">
        <v>44775.4409551967</v>
      </c>
      <c r="C7724" s="51">
        <v>1.004</v>
      </c>
      <c r="D7724" s="51">
        <v>66.0</v>
      </c>
      <c r="E7724" s="52" t="s">
        <v>25</v>
      </c>
      <c r="F7724" s="52" t="s">
        <v>26</v>
      </c>
      <c r="G7724" s="53"/>
    </row>
    <row r="7725">
      <c r="A7725" s="49">
        <v>44775.336880312505</v>
      </c>
      <c r="B7725" s="50">
        <v>44775.4618458333</v>
      </c>
      <c r="C7725" s="51">
        <v>1.004</v>
      </c>
      <c r="D7725" s="51">
        <v>67.0</v>
      </c>
      <c r="E7725" s="52" t="s">
        <v>25</v>
      </c>
      <c r="F7725" s="52" t="s">
        <v>26</v>
      </c>
      <c r="G7725" s="53"/>
    </row>
    <row r="7726">
      <c r="A7726" s="49">
        <v>44775.347310717596</v>
      </c>
      <c r="B7726" s="50">
        <v>44775.4722772338</v>
      </c>
      <c r="C7726" s="51">
        <v>1.004</v>
      </c>
      <c r="D7726" s="51">
        <v>66.0</v>
      </c>
      <c r="E7726" s="52" t="s">
        <v>25</v>
      </c>
      <c r="F7726" s="52" t="s">
        <v>26</v>
      </c>
      <c r="G7726" s="53"/>
    </row>
    <row r="7727">
      <c r="A7727" s="49">
        <v>44775.35772753472</v>
      </c>
      <c r="B7727" s="50">
        <v>44775.4826975925</v>
      </c>
      <c r="C7727" s="51">
        <v>1.004</v>
      </c>
      <c r="D7727" s="51">
        <v>67.0</v>
      </c>
      <c r="E7727" s="52" t="s">
        <v>25</v>
      </c>
      <c r="F7727" s="52" t="s">
        <v>26</v>
      </c>
      <c r="G7727" s="53"/>
    </row>
    <row r="7728">
      <c r="A7728" s="49">
        <v>44775.36814731482</v>
      </c>
      <c r="B7728" s="50">
        <v>44775.4931179398</v>
      </c>
      <c r="C7728" s="51">
        <v>1.004</v>
      </c>
      <c r="D7728" s="51">
        <v>67.0</v>
      </c>
      <c r="E7728" s="52" t="s">
        <v>25</v>
      </c>
      <c r="F7728" s="52" t="s">
        <v>26</v>
      </c>
      <c r="G7728" s="53"/>
    </row>
    <row r="7729">
      <c r="A7729" s="49">
        <v>44775.37858001157</v>
      </c>
      <c r="B7729" s="50">
        <v>44775.5035508449</v>
      </c>
      <c r="C7729" s="51">
        <v>1.004</v>
      </c>
      <c r="D7729" s="51">
        <v>67.0</v>
      </c>
      <c r="E7729" s="52" t="s">
        <v>25</v>
      </c>
      <c r="F7729" s="52" t="s">
        <v>26</v>
      </c>
      <c r="G7729" s="53"/>
    </row>
    <row r="7730">
      <c r="A7730" s="49">
        <v>44775.3889971412</v>
      </c>
      <c r="B7730" s="50">
        <v>44775.5139712384</v>
      </c>
      <c r="C7730" s="51">
        <v>1.004</v>
      </c>
      <c r="D7730" s="51">
        <v>67.0</v>
      </c>
      <c r="E7730" s="52" t="s">
        <v>25</v>
      </c>
      <c r="F7730" s="52" t="s">
        <v>26</v>
      </c>
      <c r="G7730" s="53"/>
    </row>
    <row r="7731">
      <c r="A7731" s="49">
        <v>44775.39942335648</v>
      </c>
      <c r="B7731" s="50">
        <v>44775.5243920486</v>
      </c>
      <c r="C7731" s="51">
        <v>1.004</v>
      </c>
      <c r="D7731" s="51">
        <v>67.0</v>
      </c>
      <c r="E7731" s="52" t="s">
        <v>25</v>
      </c>
      <c r="F7731" s="52" t="s">
        <v>26</v>
      </c>
      <c r="G7731" s="53"/>
    </row>
    <row r="7732">
      <c r="A7732" s="49">
        <v>44775.40985055556</v>
      </c>
      <c r="B7732" s="50">
        <v>44775.5348151389</v>
      </c>
      <c r="C7732" s="51">
        <v>1.004</v>
      </c>
      <c r="D7732" s="51">
        <v>67.0</v>
      </c>
      <c r="E7732" s="52" t="s">
        <v>25</v>
      </c>
      <c r="F7732" s="52" t="s">
        <v>26</v>
      </c>
      <c r="G7732" s="53"/>
    </row>
    <row r="7733">
      <c r="A7733" s="49">
        <v>44775.420292083334</v>
      </c>
      <c r="B7733" s="50">
        <v>44775.5452356365</v>
      </c>
      <c r="C7733" s="51">
        <v>1.004</v>
      </c>
      <c r="D7733" s="51">
        <v>67.0</v>
      </c>
      <c r="E7733" s="52" t="s">
        <v>25</v>
      </c>
      <c r="F7733" s="52" t="s">
        <v>26</v>
      </c>
      <c r="G7733" s="53"/>
    </row>
    <row r="7734">
      <c r="A7734" s="49">
        <v>44775.43068747685</v>
      </c>
      <c r="B7734" s="50">
        <v>44775.5556548726</v>
      </c>
      <c r="C7734" s="51">
        <v>1.004</v>
      </c>
      <c r="D7734" s="51">
        <v>67.0</v>
      </c>
      <c r="E7734" s="52" t="s">
        <v>25</v>
      </c>
      <c r="F7734" s="52" t="s">
        <v>26</v>
      </c>
      <c r="G7734" s="53"/>
    </row>
    <row r="7735">
      <c r="A7735" s="49">
        <v>44775.441103171295</v>
      </c>
      <c r="B7735" s="50">
        <v>44775.5660748148</v>
      </c>
      <c r="C7735" s="51">
        <v>1.004</v>
      </c>
      <c r="D7735" s="51">
        <v>67.0</v>
      </c>
      <c r="E7735" s="52" t="s">
        <v>25</v>
      </c>
      <c r="F7735" s="52" t="s">
        <v>26</v>
      </c>
      <c r="G7735" s="53"/>
    </row>
    <row r="7736">
      <c r="A7736" s="49">
        <v>44775.451527268524</v>
      </c>
      <c r="B7736" s="50">
        <v>44775.576497037</v>
      </c>
      <c r="C7736" s="51">
        <v>1.004</v>
      </c>
      <c r="D7736" s="51">
        <v>67.0</v>
      </c>
      <c r="E7736" s="52" t="s">
        <v>25</v>
      </c>
      <c r="F7736" s="52" t="s">
        <v>26</v>
      </c>
      <c r="G7736" s="53"/>
    </row>
    <row r="7737">
      <c r="A7737" s="49">
        <v>44775.46193896991</v>
      </c>
      <c r="B7737" s="50">
        <v>44775.5869175231</v>
      </c>
      <c r="C7737" s="51">
        <v>1.004</v>
      </c>
      <c r="D7737" s="51">
        <v>67.0</v>
      </c>
      <c r="E7737" s="52" t="s">
        <v>25</v>
      </c>
      <c r="F7737" s="52" t="s">
        <v>26</v>
      </c>
      <c r="G7737" s="53"/>
    </row>
    <row r="7738">
      <c r="A7738" s="49">
        <v>44775.472366030095</v>
      </c>
      <c r="B7738" s="50">
        <v>44775.5973386805</v>
      </c>
      <c r="C7738" s="51">
        <v>1.004</v>
      </c>
      <c r="D7738" s="51">
        <v>67.0</v>
      </c>
      <c r="E7738" s="52" t="s">
        <v>25</v>
      </c>
      <c r="F7738" s="52" t="s">
        <v>26</v>
      </c>
      <c r="G7738" s="53"/>
    </row>
    <row r="7739">
      <c r="A7739" s="49">
        <v>44775.482776944446</v>
      </c>
      <c r="B7739" s="50">
        <v>44775.6077573726</v>
      </c>
      <c r="C7739" s="51">
        <v>1.004</v>
      </c>
      <c r="D7739" s="51">
        <v>67.0</v>
      </c>
      <c r="E7739" s="52" t="s">
        <v>25</v>
      </c>
      <c r="F7739" s="52" t="s">
        <v>26</v>
      </c>
      <c r="G7739" s="53"/>
    </row>
    <row r="7740">
      <c r="A7740" s="49">
        <v>44775.493199178236</v>
      </c>
      <c r="B7740" s="50">
        <v>44775.6181791551</v>
      </c>
      <c r="C7740" s="51">
        <v>1.004</v>
      </c>
      <c r="D7740" s="51">
        <v>67.0</v>
      </c>
      <c r="E7740" s="52" t="s">
        <v>25</v>
      </c>
      <c r="F7740" s="52" t="s">
        <v>26</v>
      </c>
      <c r="G7740" s="53"/>
    </row>
    <row r="7741">
      <c r="A7741" s="49">
        <v>44775.503624398145</v>
      </c>
      <c r="B7741" s="50">
        <v>44775.6285980787</v>
      </c>
      <c r="C7741" s="51">
        <v>1.004</v>
      </c>
      <c r="D7741" s="51">
        <v>67.0</v>
      </c>
      <c r="E7741" s="52" t="s">
        <v>25</v>
      </c>
      <c r="F7741" s="52" t="s">
        <v>26</v>
      </c>
      <c r="G7741" s="53"/>
    </row>
    <row r="7742">
      <c r="A7742" s="49">
        <v>44775.514072986116</v>
      </c>
      <c r="B7742" s="50">
        <v>44775.6390196759</v>
      </c>
      <c r="C7742" s="51">
        <v>1.004</v>
      </c>
      <c r="D7742" s="51">
        <v>67.0</v>
      </c>
      <c r="E7742" s="52" t="s">
        <v>25</v>
      </c>
      <c r="F7742" s="52" t="s">
        <v>26</v>
      </c>
      <c r="G7742" s="53"/>
    </row>
    <row r="7743">
      <c r="A7743" s="49">
        <v>44775.52450543981</v>
      </c>
      <c r="B7743" s="50">
        <v>44775.6494629745</v>
      </c>
      <c r="C7743" s="51">
        <v>1.004</v>
      </c>
      <c r="D7743" s="51">
        <v>67.0</v>
      </c>
      <c r="E7743" s="52" t="s">
        <v>25</v>
      </c>
      <c r="F7743" s="52" t="s">
        <v>26</v>
      </c>
      <c r="G7743" s="53"/>
    </row>
    <row r="7744">
      <c r="A7744" s="49">
        <v>44775.53491928241</v>
      </c>
      <c r="B7744" s="50">
        <v>44775.6598955671</v>
      </c>
      <c r="C7744" s="51">
        <v>1.004</v>
      </c>
      <c r="D7744" s="51">
        <v>67.0</v>
      </c>
      <c r="E7744" s="52" t="s">
        <v>25</v>
      </c>
      <c r="F7744" s="52" t="s">
        <v>26</v>
      </c>
      <c r="G7744" s="53"/>
    </row>
    <row r="7745">
      <c r="A7745" s="49">
        <v>44775.54534725695</v>
      </c>
      <c r="B7745" s="50">
        <v>44775.6703165046</v>
      </c>
      <c r="C7745" s="51">
        <v>1.004</v>
      </c>
      <c r="D7745" s="51">
        <v>67.0</v>
      </c>
      <c r="E7745" s="52" t="s">
        <v>25</v>
      </c>
      <c r="F7745" s="52" t="s">
        <v>26</v>
      </c>
      <c r="G7745" s="53"/>
    </row>
    <row r="7746">
      <c r="A7746" s="49">
        <v>44775.55576392361</v>
      </c>
      <c r="B7746" s="50">
        <v>44775.6807370138</v>
      </c>
      <c r="C7746" s="51">
        <v>1.004</v>
      </c>
      <c r="D7746" s="51">
        <v>67.0</v>
      </c>
      <c r="E7746" s="52" t="s">
        <v>25</v>
      </c>
      <c r="F7746" s="52" t="s">
        <v>26</v>
      </c>
      <c r="G7746" s="53"/>
    </row>
    <row r="7747">
      <c r="A7747" s="49">
        <v>44775.566195983796</v>
      </c>
      <c r="B7747" s="50">
        <v>44775.6911691319</v>
      </c>
      <c r="C7747" s="51">
        <v>1.004</v>
      </c>
      <c r="D7747" s="51">
        <v>67.0</v>
      </c>
      <c r="E7747" s="52" t="s">
        <v>25</v>
      </c>
      <c r="F7747" s="52" t="s">
        <v>26</v>
      </c>
      <c r="G7747" s="53"/>
    </row>
    <row r="7748">
      <c r="A7748" s="49">
        <v>44775.576626678245</v>
      </c>
      <c r="B7748" s="50">
        <v>44775.7016013426</v>
      </c>
      <c r="C7748" s="51">
        <v>1.004</v>
      </c>
      <c r="D7748" s="51">
        <v>67.0</v>
      </c>
      <c r="E7748" s="52" t="s">
        <v>25</v>
      </c>
      <c r="F7748" s="52" t="s">
        <v>26</v>
      </c>
      <c r="G7748" s="53"/>
    </row>
    <row r="7749">
      <c r="A7749" s="49">
        <v>44775.58705234954</v>
      </c>
      <c r="B7749" s="50">
        <v>44775.712035868</v>
      </c>
      <c r="C7749" s="51">
        <v>1.004</v>
      </c>
      <c r="D7749" s="51">
        <v>67.0</v>
      </c>
      <c r="E7749" s="52" t="s">
        <v>25</v>
      </c>
      <c r="F7749" s="52" t="s">
        <v>26</v>
      </c>
      <c r="G7749" s="53"/>
    </row>
    <row r="7750">
      <c r="A7750" s="49">
        <v>44775.5974871875</v>
      </c>
      <c r="B7750" s="50">
        <v>44775.7224584838</v>
      </c>
      <c r="C7750" s="51">
        <v>1.004</v>
      </c>
      <c r="D7750" s="51">
        <v>67.0</v>
      </c>
      <c r="E7750" s="52" t="s">
        <v>25</v>
      </c>
      <c r="F7750" s="52" t="s">
        <v>26</v>
      </c>
      <c r="G7750" s="53"/>
    </row>
    <row r="7751">
      <c r="A7751" s="49">
        <v>44775.60790592592</v>
      </c>
      <c r="B7751" s="50">
        <v>44775.7328789583</v>
      </c>
      <c r="C7751" s="51">
        <v>1.004</v>
      </c>
      <c r="D7751" s="51">
        <v>67.0</v>
      </c>
      <c r="E7751" s="52" t="s">
        <v>25</v>
      </c>
      <c r="F7751" s="52" t="s">
        <v>26</v>
      </c>
      <c r="G7751" s="53"/>
    </row>
    <row r="7752">
      <c r="A7752" s="49">
        <v>44775.61832887732</v>
      </c>
      <c r="B7752" s="50">
        <v>44775.7432998379</v>
      </c>
      <c r="C7752" s="51">
        <v>1.004</v>
      </c>
      <c r="D7752" s="51">
        <v>67.0</v>
      </c>
      <c r="E7752" s="52" t="s">
        <v>25</v>
      </c>
      <c r="F7752" s="52" t="s">
        <v>26</v>
      </c>
      <c r="G7752" s="53"/>
    </row>
    <row r="7753">
      <c r="A7753" s="49">
        <v>44775.628746180555</v>
      </c>
      <c r="B7753" s="50">
        <v>44775.7537208796</v>
      </c>
      <c r="C7753" s="51">
        <v>1.004</v>
      </c>
      <c r="D7753" s="51">
        <v>67.0</v>
      </c>
      <c r="E7753" s="52" t="s">
        <v>25</v>
      </c>
      <c r="F7753" s="52" t="s">
        <v>26</v>
      </c>
      <c r="G7753" s="53"/>
    </row>
    <row r="7754">
      <c r="A7754" s="49">
        <v>44775.63919693287</v>
      </c>
      <c r="B7754" s="50">
        <v>44775.7641519791</v>
      </c>
      <c r="C7754" s="51">
        <v>1.004</v>
      </c>
      <c r="D7754" s="51">
        <v>67.0</v>
      </c>
      <c r="E7754" s="52" t="s">
        <v>25</v>
      </c>
      <c r="F7754" s="52" t="s">
        <v>26</v>
      </c>
      <c r="G7754" s="53"/>
    </row>
    <row r="7755">
      <c r="A7755" s="49">
        <v>44775.649604375</v>
      </c>
      <c r="B7755" s="50">
        <v>44775.7745733333</v>
      </c>
      <c r="C7755" s="51">
        <v>1.004</v>
      </c>
      <c r="D7755" s="51">
        <v>67.0</v>
      </c>
      <c r="E7755" s="52" t="s">
        <v>25</v>
      </c>
      <c r="F7755" s="52" t="s">
        <v>26</v>
      </c>
      <c r="G7755" s="53"/>
    </row>
    <row r="7756">
      <c r="A7756" s="49">
        <v>44775.66002087963</v>
      </c>
      <c r="B7756" s="50">
        <v>44775.7849935416</v>
      </c>
      <c r="C7756" s="51">
        <v>1.004</v>
      </c>
      <c r="D7756" s="51">
        <v>67.0</v>
      </c>
      <c r="E7756" s="52" t="s">
        <v>25</v>
      </c>
      <c r="F7756" s="52" t="s">
        <v>26</v>
      </c>
      <c r="G7756" s="53"/>
    </row>
    <row r="7757">
      <c r="A7757" s="49">
        <v>44775.67044030092</v>
      </c>
      <c r="B7757" s="50">
        <v>44775.7954151388</v>
      </c>
      <c r="C7757" s="51">
        <v>1.004</v>
      </c>
      <c r="D7757" s="51">
        <v>67.0</v>
      </c>
      <c r="E7757" s="52" t="s">
        <v>25</v>
      </c>
      <c r="F7757" s="52" t="s">
        <v>26</v>
      </c>
      <c r="G7757" s="53"/>
    </row>
    <row r="7758">
      <c r="A7758" s="49">
        <v>44775.68085553241</v>
      </c>
      <c r="B7758" s="50">
        <v>44775.8058373148</v>
      </c>
      <c r="C7758" s="51">
        <v>1.004</v>
      </c>
      <c r="D7758" s="51">
        <v>67.0</v>
      </c>
      <c r="E7758" s="52" t="s">
        <v>25</v>
      </c>
      <c r="F7758" s="52" t="s">
        <v>26</v>
      </c>
      <c r="G7758" s="53"/>
    </row>
    <row r="7759">
      <c r="A7759" s="49">
        <v>44775.6912790162</v>
      </c>
      <c r="B7759" s="50">
        <v>44775.8162587152</v>
      </c>
      <c r="C7759" s="51">
        <v>1.004</v>
      </c>
      <c r="D7759" s="51">
        <v>67.0</v>
      </c>
      <c r="E7759" s="52" t="s">
        <v>25</v>
      </c>
      <c r="F7759" s="52" t="s">
        <v>26</v>
      </c>
      <c r="G7759" s="53"/>
    </row>
    <row r="7760">
      <c r="A7760" s="49">
        <v>44775.70170704861</v>
      </c>
      <c r="B7760" s="50">
        <v>44775.8266805671</v>
      </c>
      <c r="C7760" s="51">
        <v>1.004</v>
      </c>
      <c r="D7760" s="51">
        <v>67.0</v>
      </c>
      <c r="E7760" s="52" t="s">
        <v>25</v>
      </c>
      <c r="F7760" s="52" t="s">
        <v>26</v>
      </c>
      <c r="G7760" s="53"/>
    </row>
    <row r="7761">
      <c r="A7761" s="49">
        <v>44775.71214452546</v>
      </c>
      <c r="B7761" s="50">
        <v>44775.8371126504</v>
      </c>
      <c r="C7761" s="51">
        <v>1.004</v>
      </c>
      <c r="D7761" s="51">
        <v>67.0</v>
      </c>
      <c r="E7761" s="52" t="s">
        <v>25</v>
      </c>
      <c r="F7761" s="52" t="s">
        <v>26</v>
      </c>
      <c r="G7761" s="53"/>
    </row>
    <row r="7762">
      <c r="A7762" s="49">
        <v>44775.72255662037</v>
      </c>
      <c r="B7762" s="50">
        <v>44775.8475339583</v>
      </c>
      <c r="C7762" s="51">
        <v>1.004</v>
      </c>
      <c r="D7762" s="51">
        <v>67.0</v>
      </c>
      <c r="E7762" s="52" t="s">
        <v>25</v>
      </c>
      <c r="F7762" s="52" t="s">
        <v>26</v>
      </c>
      <c r="G7762" s="53"/>
    </row>
    <row r="7763">
      <c r="A7763" s="49">
        <v>44775.73298223379</v>
      </c>
      <c r="B7763" s="50">
        <v>44775.8579570833</v>
      </c>
      <c r="C7763" s="51">
        <v>1.004</v>
      </c>
      <c r="D7763" s="51">
        <v>67.0</v>
      </c>
      <c r="E7763" s="52" t="s">
        <v>25</v>
      </c>
      <c r="F7763" s="52" t="s">
        <v>26</v>
      </c>
      <c r="G7763" s="53"/>
    </row>
    <row r="7764">
      <c r="A7764" s="49">
        <v>44775.74340554398</v>
      </c>
      <c r="B7764" s="50">
        <v>44775.8683773611</v>
      </c>
      <c r="C7764" s="51">
        <v>1.004</v>
      </c>
      <c r="D7764" s="51">
        <v>67.0</v>
      </c>
      <c r="E7764" s="52" t="s">
        <v>25</v>
      </c>
      <c r="F7764" s="52" t="s">
        <v>26</v>
      </c>
      <c r="G7764" s="53"/>
    </row>
    <row r="7765">
      <c r="A7765" s="49">
        <v>44775.75383123843</v>
      </c>
      <c r="B7765" s="50">
        <v>44775.8787975</v>
      </c>
      <c r="C7765" s="51">
        <v>1.004</v>
      </c>
      <c r="D7765" s="51">
        <v>67.0</v>
      </c>
      <c r="E7765" s="52" t="s">
        <v>25</v>
      </c>
      <c r="F7765" s="52" t="s">
        <v>26</v>
      </c>
      <c r="G7765" s="53"/>
    </row>
    <row r="7766">
      <c r="A7766" s="49">
        <v>44775.76424902778</v>
      </c>
      <c r="B7766" s="50">
        <v>44775.8892177083</v>
      </c>
      <c r="C7766" s="51">
        <v>1.004</v>
      </c>
      <c r="D7766" s="51">
        <v>67.0</v>
      </c>
      <c r="E7766" s="52" t="s">
        <v>25</v>
      </c>
      <c r="F7766" s="52" t="s">
        <v>26</v>
      </c>
      <c r="G7766" s="53"/>
    </row>
    <row r="7767">
      <c r="A7767" s="49">
        <v>44775.77466199074</v>
      </c>
      <c r="B7767" s="50">
        <v>44775.8996390972</v>
      </c>
      <c r="C7767" s="51">
        <v>1.004</v>
      </c>
      <c r="D7767" s="51">
        <v>67.0</v>
      </c>
      <c r="E7767" s="52" t="s">
        <v>25</v>
      </c>
      <c r="F7767" s="52" t="s">
        <v>26</v>
      </c>
      <c r="G7767" s="53"/>
    </row>
    <row r="7768">
      <c r="A7768" s="49">
        <v>44775.78508952547</v>
      </c>
      <c r="B7768" s="50">
        <v>44775.9100623611</v>
      </c>
      <c r="C7768" s="51">
        <v>1.004</v>
      </c>
      <c r="D7768" s="51">
        <v>67.0</v>
      </c>
      <c r="E7768" s="52" t="s">
        <v>25</v>
      </c>
      <c r="F7768" s="52" t="s">
        <v>26</v>
      </c>
      <c r="G7768" s="53"/>
    </row>
    <row r="7769">
      <c r="A7769" s="49">
        <v>44775.79551762731</v>
      </c>
      <c r="B7769" s="50">
        <v>44775.920495787</v>
      </c>
      <c r="C7769" s="51">
        <v>1.004</v>
      </c>
      <c r="D7769" s="51">
        <v>67.0</v>
      </c>
      <c r="E7769" s="52" t="s">
        <v>25</v>
      </c>
      <c r="F7769" s="52" t="s">
        <v>26</v>
      </c>
      <c r="G7769" s="53"/>
    </row>
    <row r="7770">
      <c r="A7770" s="49">
        <v>44775.80593967593</v>
      </c>
      <c r="B7770" s="50">
        <v>44775.9309144328</v>
      </c>
      <c r="C7770" s="51">
        <v>1.004</v>
      </c>
      <c r="D7770" s="51">
        <v>67.0</v>
      </c>
      <c r="E7770" s="52" t="s">
        <v>25</v>
      </c>
      <c r="F7770" s="52" t="s">
        <v>26</v>
      </c>
      <c r="G7770" s="53"/>
    </row>
    <row r="7771">
      <c r="A7771" s="49">
        <v>44775.81636378472</v>
      </c>
      <c r="B7771" s="50">
        <v>44775.9413358796</v>
      </c>
      <c r="C7771" s="51">
        <v>1.004</v>
      </c>
      <c r="D7771" s="51">
        <v>67.0</v>
      </c>
      <c r="E7771" s="52" t="s">
        <v>25</v>
      </c>
      <c r="F7771" s="52" t="s">
        <v>26</v>
      </c>
      <c r="G7771" s="53"/>
    </row>
    <row r="7772">
      <c r="A7772" s="49">
        <v>44775.826780868054</v>
      </c>
      <c r="B7772" s="50">
        <v>44775.9517570601</v>
      </c>
      <c r="C7772" s="51">
        <v>1.004</v>
      </c>
      <c r="D7772" s="51">
        <v>67.0</v>
      </c>
      <c r="E7772" s="52" t="s">
        <v>25</v>
      </c>
      <c r="F7772" s="52" t="s">
        <v>26</v>
      </c>
      <c r="G7772" s="53"/>
    </row>
    <row r="7773">
      <c r="A7773" s="49">
        <v>44775.83720219907</v>
      </c>
      <c r="B7773" s="50">
        <v>44775.9621797569</v>
      </c>
      <c r="C7773" s="51">
        <v>1.004</v>
      </c>
      <c r="D7773" s="51">
        <v>67.0</v>
      </c>
      <c r="E7773" s="52" t="s">
        <v>25</v>
      </c>
      <c r="F7773" s="52" t="s">
        <v>26</v>
      </c>
      <c r="G7773" s="53"/>
    </row>
    <row r="7774">
      <c r="A7774" s="49">
        <v>44775.84762503472</v>
      </c>
      <c r="B7774" s="50">
        <v>44775.9726007523</v>
      </c>
      <c r="C7774" s="51">
        <v>1.004</v>
      </c>
      <c r="D7774" s="51">
        <v>67.0</v>
      </c>
      <c r="E7774" s="52" t="s">
        <v>25</v>
      </c>
      <c r="F7774" s="52" t="s">
        <v>26</v>
      </c>
      <c r="G7774" s="53"/>
    </row>
    <row r="7775">
      <c r="A7775" s="49">
        <v>44775.85805650463</v>
      </c>
      <c r="B7775" s="50">
        <v>44775.9830342476</v>
      </c>
      <c r="C7775" s="51">
        <v>1.004</v>
      </c>
      <c r="D7775" s="51">
        <v>67.0</v>
      </c>
      <c r="E7775" s="52" t="s">
        <v>25</v>
      </c>
      <c r="F7775" s="52" t="s">
        <v>26</v>
      </c>
      <c r="G7775" s="53"/>
    </row>
    <row r="7776">
      <c r="A7776" s="49">
        <v>44775.868480833335</v>
      </c>
      <c r="B7776" s="50">
        <v>44775.9934550578</v>
      </c>
      <c r="C7776" s="51">
        <v>1.004</v>
      </c>
      <c r="D7776" s="51">
        <v>67.0</v>
      </c>
      <c r="E7776" s="52" t="s">
        <v>25</v>
      </c>
      <c r="F7776" s="52" t="s">
        <v>26</v>
      </c>
      <c r="G7776" s="53"/>
    </row>
    <row r="7777">
      <c r="A7777" s="49">
        <v>44775.878903668985</v>
      </c>
      <c r="B7777" s="50">
        <v>44776.0038772337</v>
      </c>
      <c r="C7777" s="51">
        <v>1.004</v>
      </c>
      <c r="D7777" s="51">
        <v>67.0</v>
      </c>
      <c r="E7777" s="52" t="s">
        <v>25</v>
      </c>
      <c r="F7777" s="52" t="s">
        <v>26</v>
      </c>
      <c r="G7777" s="53"/>
    </row>
    <row r="7778">
      <c r="A7778" s="49">
        <v>44775.88932890046</v>
      </c>
      <c r="B7778" s="50">
        <v>44776.014297662</v>
      </c>
      <c r="C7778" s="51">
        <v>1.004</v>
      </c>
      <c r="D7778" s="51">
        <v>67.0</v>
      </c>
      <c r="E7778" s="52" t="s">
        <v>25</v>
      </c>
      <c r="F7778" s="52" t="s">
        <v>26</v>
      </c>
      <c r="G7778" s="53"/>
    </row>
    <row r="7779">
      <c r="A7779" s="49">
        <v>44775.899745625</v>
      </c>
      <c r="B7779" s="50">
        <v>44776.0247186342</v>
      </c>
      <c r="C7779" s="51">
        <v>1.004</v>
      </c>
      <c r="D7779" s="51">
        <v>67.0</v>
      </c>
      <c r="E7779" s="52" t="s">
        <v>25</v>
      </c>
      <c r="F7779" s="52" t="s">
        <v>26</v>
      </c>
      <c r="G7779" s="53"/>
    </row>
    <row r="7780">
      <c r="A7780" s="49">
        <v>44775.91016047454</v>
      </c>
      <c r="B7780" s="50">
        <v>44776.0351414583</v>
      </c>
      <c r="C7780" s="51">
        <v>1.004</v>
      </c>
      <c r="D7780" s="51">
        <v>67.0</v>
      </c>
      <c r="E7780" s="52" t="s">
        <v>25</v>
      </c>
      <c r="F7780" s="52" t="s">
        <v>26</v>
      </c>
      <c r="G7780" s="53"/>
    </row>
    <row r="7781">
      <c r="A7781" s="49">
        <v>44775.92058346065</v>
      </c>
      <c r="B7781" s="50">
        <v>44776.0455621064</v>
      </c>
      <c r="C7781" s="51">
        <v>1.004</v>
      </c>
      <c r="D7781" s="51">
        <v>68.0</v>
      </c>
      <c r="E7781" s="52" t="s">
        <v>25</v>
      </c>
      <c r="F7781" s="52" t="s">
        <v>26</v>
      </c>
      <c r="G7781" s="53"/>
    </row>
    <row r="7782">
      <c r="A7782" s="49">
        <v>44775.930998738426</v>
      </c>
      <c r="B7782" s="50">
        <v>44776.0559835069</v>
      </c>
      <c r="C7782" s="51">
        <v>1.004</v>
      </c>
      <c r="D7782" s="51">
        <v>67.0</v>
      </c>
      <c r="E7782" s="52" t="s">
        <v>25</v>
      </c>
      <c r="F7782" s="52" t="s">
        <v>26</v>
      </c>
      <c r="G7782" s="53"/>
    </row>
    <row r="7783">
      <c r="A7783" s="49">
        <v>44775.94142847222</v>
      </c>
      <c r="B7783" s="50">
        <v>44776.0664058796</v>
      </c>
      <c r="C7783" s="51">
        <v>1.004</v>
      </c>
      <c r="D7783" s="51">
        <v>67.0</v>
      </c>
      <c r="E7783" s="52" t="s">
        <v>25</v>
      </c>
      <c r="F7783" s="52" t="s">
        <v>26</v>
      </c>
      <c r="G7783" s="53"/>
    </row>
    <row r="7784">
      <c r="A7784" s="49">
        <v>44775.951849571764</v>
      </c>
      <c r="B7784" s="50">
        <v>44776.0768258796</v>
      </c>
      <c r="C7784" s="51">
        <v>1.004</v>
      </c>
      <c r="D7784" s="51">
        <v>68.0</v>
      </c>
      <c r="E7784" s="52" t="s">
        <v>25</v>
      </c>
      <c r="F7784" s="52" t="s">
        <v>26</v>
      </c>
      <c r="G7784" s="53"/>
    </row>
    <row r="7785">
      <c r="A7785" s="49">
        <v>44775.96227390046</v>
      </c>
      <c r="B7785" s="50">
        <v>44776.087247905</v>
      </c>
      <c r="C7785" s="51">
        <v>1.004</v>
      </c>
      <c r="D7785" s="51">
        <v>68.0</v>
      </c>
      <c r="E7785" s="52" t="s">
        <v>25</v>
      </c>
      <c r="F7785" s="52" t="s">
        <v>26</v>
      </c>
      <c r="G7785" s="53"/>
    </row>
    <row r="7786">
      <c r="A7786" s="49">
        <v>44775.972699039354</v>
      </c>
      <c r="B7786" s="50">
        <v>44776.0976689699</v>
      </c>
      <c r="C7786" s="51">
        <v>1.004</v>
      </c>
      <c r="D7786" s="51">
        <v>68.0</v>
      </c>
      <c r="E7786" s="52" t="s">
        <v>25</v>
      </c>
      <c r="F7786" s="52" t="s">
        <v>26</v>
      </c>
      <c r="G7786" s="53"/>
    </row>
    <row r="7787">
      <c r="A7787" s="49">
        <v>44775.98310996528</v>
      </c>
      <c r="B7787" s="50">
        <v>44776.1080897222</v>
      </c>
      <c r="C7787" s="51">
        <v>1.004</v>
      </c>
      <c r="D7787" s="51">
        <v>68.0</v>
      </c>
      <c r="E7787" s="52" t="s">
        <v>25</v>
      </c>
      <c r="F7787" s="52" t="s">
        <v>26</v>
      </c>
      <c r="G7787" s="53"/>
    </row>
    <row r="7788">
      <c r="A7788" s="49">
        <v>44775.99355701389</v>
      </c>
      <c r="B7788" s="50">
        <v>44776.1185242824</v>
      </c>
      <c r="C7788" s="51">
        <v>1.004</v>
      </c>
      <c r="D7788" s="51">
        <v>68.0</v>
      </c>
      <c r="E7788" s="52" t="s">
        <v>25</v>
      </c>
      <c r="F7788" s="52" t="s">
        <v>26</v>
      </c>
      <c r="G7788" s="53"/>
    </row>
    <row r="7789">
      <c r="A7789" s="49">
        <v>44776.00396986111</v>
      </c>
      <c r="B7789" s="50">
        <v>44776.128945787</v>
      </c>
      <c r="C7789" s="51">
        <v>1.004</v>
      </c>
      <c r="D7789" s="51">
        <v>68.0</v>
      </c>
      <c r="E7789" s="52" t="s">
        <v>25</v>
      </c>
      <c r="F7789" s="52" t="s">
        <v>26</v>
      </c>
      <c r="G7789" s="53"/>
    </row>
    <row r="7790">
      <c r="A7790" s="49">
        <v>44776.014402939814</v>
      </c>
      <c r="B7790" s="50">
        <v>44776.1393785069</v>
      </c>
      <c r="C7790" s="51">
        <v>1.004</v>
      </c>
      <c r="D7790" s="51">
        <v>68.0</v>
      </c>
      <c r="E7790" s="52" t="s">
        <v>25</v>
      </c>
      <c r="F7790" s="52" t="s">
        <v>26</v>
      </c>
      <c r="G7790" s="53"/>
    </row>
    <row r="7791">
      <c r="A7791" s="49">
        <v>44776.024827430556</v>
      </c>
      <c r="B7791" s="50">
        <v>44776.149801875</v>
      </c>
      <c r="C7791" s="51">
        <v>1.004</v>
      </c>
      <c r="D7791" s="51">
        <v>68.0</v>
      </c>
      <c r="E7791" s="52" t="s">
        <v>25</v>
      </c>
      <c r="F7791" s="52" t="s">
        <v>26</v>
      </c>
      <c r="G7791" s="53"/>
    </row>
    <row r="7792">
      <c r="A7792" s="49">
        <v>44776.03526528935</v>
      </c>
      <c r="B7792" s="50">
        <v>44776.1602341203</v>
      </c>
      <c r="C7792" s="51">
        <v>1.004</v>
      </c>
      <c r="D7792" s="51">
        <v>68.0</v>
      </c>
      <c r="E7792" s="52" t="s">
        <v>25</v>
      </c>
      <c r="F7792" s="52" t="s">
        <v>26</v>
      </c>
      <c r="G7792" s="53"/>
    </row>
    <row r="7793">
      <c r="A7793" s="49">
        <v>44776.04567825231</v>
      </c>
      <c r="B7793" s="50">
        <v>44776.1706558449</v>
      </c>
      <c r="C7793" s="51">
        <v>1.004</v>
      </c>
      <c r="D7793" s="51">
        <v>68.0</v>
      </c>
      <c r="E7793" s="52" t="s">
        <v>25</v>
      </c>
      <c r="F7793" s="52" t="s">
        <v>26</v>
      </c>
      <c r="G7793" s="53"/>
    </row>
    <row r="7794">
      <c r="A7794" s="49">
        <v>44776.05610402778</v>
      </c>
      <c r="B7794" s="50">
        <v>44776.1810769907</v>
      </c>
      <c r="C7794" s="51">
        <v>1.004</v>
      </c>
      <c r="D7794" s="51">
        <v>68.0</v>
      </c>
      <c r="E7794" s="52" t="s">
        <v>25</v>
      </c>
      <c r="F7794" s="52" t="s">
        <v>26</v>
      </c>
      <c r="G7794" s="53"/>
    </row>
    <row r="7795">
      <c r="A7795" s="49">
        <v>44776.06651935185</v>
      </c>
      <c r="B7795" s="50">
        <v>44776.1914986458</v>
      </c>
      <c r="C7795" s="51">
        <v>1.004</v>
      </c>
      <c r="D7795" s="51">
        <v>68.0</v>
      </c>
      <c r="E7795" s="52" t="s">
        <v>25</v>
      </c>
      <c r="F7795" s="52" t="s">
        <v>26</v>
      </c>
      <c r="G7795" s="53"/>
    </row>
    <row r="7796">
      <c r="A7796" s="49">
        <v>44776.07694530093</v>
      </c>
      <c r="B7796" s="50">
        <v>44776.2019195833</v>
      </c>
      <c r="C7796" s="51">
        <v>1.004</v>
      </c>
      <c r="D7796" s="51">
        <v>68.0</v>
      </c>
      <c r="E7796" s="52" t="s">
        <v>25</v>
      </c>
      <c r="F7796" s="52" t="s">
        <v>26</v>
      </c>
      <c r="G7796" s="53"/>
    </row>
    <row r="7797">
      <c r="A7797" s="49">
        <v>44776.08736770833</v>
      </c>
      <c r="B7797" s="50">
        <v>44776.2123404282</v>
      </c>
      <c r="C7797" s="51">
        <v>1.004</v>
      </c>
      <c r="D7797" s="51">
        <v>68.0</v>
      </c>
      <c r="E7797" s="52" t="s">
        <v>25</v>
      </c>
      <c r="F7797" s="52" t="s">
        <v>26</v>
      </c>
      <c r="G7797" s="53"/>
    </row>
    <row r="7798">
      <c r="A7798" s="49">
        <v>44776.09778596065</v>
      </c>
      <c r="B7798" s="50">
        <v>44776.2227640046</v>
      </c>
      <c r="C7798" s="51">
        <v>1.004</v>
      </c>
      <c r="D7798" s="51">
        <v>68.0</v>
      </c>
      <c r="E7798" s="52" t="s">
        <v>25</v>
      </c>
      <c r="F7798" s="52" t="s">
        <v>26</v>
      </c>
      <c r="G7798" s="53"/>
    </row>
    <row r="7799">
      <c r="A7799" s="49">
        <v>44776.1082034375</v>
      </c>
      <c r="B7799" s="50">
        <v>44776.2331842476</v>
      </c>
      <c r="C7799" s="51">
        <v>1.004</v>
      </c>
      <c r="D7799" s="51">
        <v>68.0</v>
      </c>
      <c r="E7799" s="52" t="s">
        <v>25</v>
      </c>
      <c r="F7799" s="52" t="s">
        <v>26</v>
      </c>
      <c r="G7799" s="53"/>
    </row>
    <row r="7800">
      <c r="A7800" s="49">
        <v>44776.118633645834</v>
      </c>
      <c r="B7800" s="50">
        <v>44776.2436045717</v>
      </c>
      <c r="C7800" s="51">
        <v>1.004</v>
      </c>
      <c r="D7800" s="51">
        <v>68.0</v>
      </c>
      <c r="E7800" s="52" t="s">
        <v>25</v>
      </c>
      <c r="F7800" s="52" t="s">
        <v>26</v>
      </c>
      <c r="G7800" s="53"/>
    </row>
    <row r="7801">
      <c r="A7801" s="49">
        <v>44776.129053020835</v>
      </c>
      <c r="B7801" s="50">
        <v>44776.2540253356</v>
      </c>
      <c r="C7801" s="51">
        <v>1.004</v>
      </c>
      <c r="D7801" s="51">
        <v>68.0</v>
      </c>
      <c r="E7801" s="52" t="s">
        <v>25</v>
      </c>
      <c r="F7801" s="52" t="s">
        <v>26</v>
      </c>
      <c r="G7801" s="53"/>
    </row>
    <row r="7802">
      <c r="A7802" s="49">
        <v>44776.13948587963</v>
      </c>
      <c r="B7802" s="50">
        <v>44776.2644580324</v>
      </c>
      <c r="C7802" s="51">
        <v>1.004</v>
      </c>
      <c r="D7802" s="51">
        <v>68.0</v>
      </c>
      <c r="E7802" s="52" t="s">
        <v>25</v>
      </c>
      <c r="F7802" s="52" t="s">
        <v>26</v>
      </c>
      <c r="G7802" s="53"/>
    </row>
    <row r="7803">
      <c r="A7803" s="49">
        <v>44776.14989774306</v>
      </c>
      <c r="B7803" s="50">
        <v>44776.2748793865</v>
      </c>
      <c r="C7803" s="51">
        <v>1.004</v>
      </c>
      <c r="D7803" s="51">
        <v>68.0</v>
      </c>
      <c r="E7803" s="52" t="s">
        <v>25</v>
      </c>
      <c r="F7803" s="52" t="s">
        <v>26</v>
      </c>
      <c r="G7803" s="53"/>
    </row>
    <row r="7804">
      <c r="A7804" s="49">
        <v>44776.16031814815</v>
      </c>
      <c r="B7804" s="50">
        <v>44776.2853010648</v>
      </c>
      <c r="C7804" s="51">
        <v>1.004</v>
      </c>
      <c r="D7804" s="51">
        <v>68.0</v>
      </c>
      <c r="E7804" s="52" t="s">
        <v>25</v>
      </c>
      <c r="F7804" s="52" t="s">
        <v>26</v>
      </c>
      <c r="G7804" s="53"/>
    </row>
    <row r="7805">
      <c r="A7805" s="49">
        <v>44776.170737465276</v>
      </c>
      <c r="B7805" s="50">
        <v>44776.2957201736</v>
      </c>
      <c r="C7805" s="51">
        <v>1.004</v>
      </c>
      <c r="D7805" s="51">
        <v>68.0</v>
      </c>
      <c r="E7805" s="52" t="s">
        <v>25</v>
      </c>
      <c r="F7805" s="52" t="s">
        <v>26</v>
      </c>
      <c r="G7805" s="53"/>
    </row>
    <row r="7806">
      <c r="A7806" s="49">
        <v>44776.181168518524</v>
      </c>
      <c r="B7806" s="50">
        <v>44776.3061422685</v>
      </c>
      <c r="C7806" s="51">
        <v>1.004</v>
      </c>
      <c r="D7806" s="51">
        <v>68.0</v>
      </c>
      <c r="E7806" s="52" t="s">
        <v>25</v>
      </c>
      <c r="F7806" s="52" t="s">
        <v>26</v>
      </c>
      <c r="G7806" s="53"/>
    </row>
    <row r="7807">
      <c r="A7807" s="49">
        <v>44776.19160078704</v>
      </c>
      <c r="B7807" s="50">
        <v>44776.3165740625</v>
      </c>
      <c r="C7807" s="51">
        <v>1.004</v>
      </c>
      <c r="D7807" s="51">
        <v>68.0</v>
      </c>
      <c r="E7807" s="52" t="s">
        <v>25</v>
      </c>
      <c r="F7807" s="52" t="s">
        <v>26</v>
      </c>
      <c r="G7807" s="53"/>
    </row>
    <row r="7808">
      <c r="A7808" s="49">
        <v>44776.20201991899</v>
      </c>
      <c r="B7808" s="50">
        <v>44776.3269953356</v>
      </c>
      <c r="C7808" s="51">
        <v>1.004</v>
      </c>
      <c r="D7808" s="51">
        <v>68.0</v>
      </c>
      <c r="E7808" s="52" t="s">
        <v>25</v>
      </c>
      <c r="F7808" s="52" t="s">
        <v>26</v>
      </c>
      <c r="G7808" s="53"/>
    </row>
    <row r="7809">
      <c r="A7809" s="49">
        <v>44776.2124365162</v>
      </c>
      <c r="B7809" s="50">
        <v>44776.3374156597</v>
      </c>
      <c r="C7809" s="51">
        <v>1.004</v>
      </c>
      <c r="D7809" s="51">
        <v>68.0</v>
      </c>
      <c r="E7809" s="52" t="s">
        <v>25</v>
      </c>
      <c r="F7809" s="52" t="s">
        <v>26</v>
      </c>
      <c r="G7809" s="53"/>
    </row>
    <row r="7810">
      <c r="A7810" s="49">
        <v>44776.22287657407</v>
      </c>
      <c r="B7810" s="50">
        <v>44776.3478489699</v>
      </c>
      <c r="C7810" s="51">
        <v>1.004</v>
      </c>
      <c r="D7810" s="51">
        <v>68.0</v>
      </c>
      <c r="E7810" s="52" t="s">
        <v>25</v>
      </c>
      <c r="F7810" s="52" t="s">
        <v>26</v>
      </c>
      <c r="G7810" s="53"/>
    </row>
    <row r="7811">
      <c r="A7811" s="49">
        <v>44776.233308842595</v>
      </c>
      <c r="B7811" s="50">
        <v>44776.3582810069</v>
      </c>
      <c r="C7811" s="51">
        <v>1.004</v>
      </c>
      <c r="D7811" s="51">
        <v>68.0</v>
      </c>
      <c r="E7811" s="52" t="s">
        <v>25</v>
      </c>
      <c r="F7811" s="52" t="s">
        <v>26</v>
      </c>
      <c r="G7811" s="53"/>
    </row>
    <row r="7812">
      <c r="A7812" s="49">
        <v>44776.24372745371</v>
      </c>
      <c r="B7812" s="50">
        <v>44776.3687005439</v>
      </c>
      <c r="C7812" s="51">
        <v>1.004</v>
      </c>
      <c r="D7812" s="51">
        <v>68.0</v>
      </c>
      <c r="E7812" s="52" t="s">
        <v>25</v>
      </c>
      <c r="F7812" s="52" t="s">
        <v>26</v>
      </c>
      <c r="G7812" s="53"/>
    </row>
    <row r="7813">
      <c r="A7813" s="49">
        <v>44776.25415140046</v>
      </c>
      <c r="B7813" s="50">
        <v>44776.3791224768</v>
      </c>
      <c r="C7813" s="51">
        <v>1.004</v>
      </c>
      <c r="D7813" s="51">
        <v>68.0</v>
      </c>
      <c r="E7813" s="52" t="s">
        <v>25</v>
      </c>
      <c r="F7813" s="52" t="s">
        <v>26</v>
      </c>
      <c r="G7813" s="53"/>
    </row>
    <row r="7814">
      <c r="A7814" s="49">
        <v>44776.26456145833</v>
      </c>
      <c r="B7814" s="50">
        <v>44776.3895435995</v>
      </c>
      <c r="C7814" s="51">
        <v>1.004</v>
      </c>
      <c r="D7814" s="51">
        <v>68.0</v>
      </c>
      <c r="E7814" s="52" t="s">
        <v>25</v>
      </c>
      <c r="F7814" s="52" t="s">
        <v>26</v>
      </c>
      <c r="G7814" s="53"/>
    </row>
    <row r="7815">
      <c r="A7815" s="49">
        <v>44776.27499513889</v>
      </c>
      <c r="B7815" s="50">
        <v>44776.3999756134</v>
      </c>
      <c r="C7815" s="51">
        <v>1.004</v>
      </c>
      <c r="D7815" s="51">
        <v>68.0</v>
      </c>
      <c r="E7815" s="52" t="s">
        <v>25</v>
      </c>
      <c r="F7815" s="52" t="s">
        <v>26</v>
      </c>
      <c r="G7815" s="53"/>
    </row>
    <row r="7816">
      <c r="A7816" s="49">
        <v>44776.28542506944</v>
      </c>
      <c r="B7816" s="50">
        <v>44776.4103980092</v>
      </c>
      <c r="C7816" s="51">
        <v>1.004</v>
      </c>
      <c r="D7816" s="51">
        <v>68.0</v>
      </c>
      <c r="E7816" s="52" t="s">
        <v>25</v>
      </c>
      <c r="F7816" s="52" t="s">
        <v>26</v>
      </c>
      <c r="G7816" s="53"/>
    </row>
    <row r="7817">
      <c r="A7817" s="49">
        <v>44776.29584664352</v>
      </c>
      <c r="B7817" s="50">
        <v>44776.420819375</v>
      </c>
      <c r="C7817" s="51">
        <v>1.004</v>
      </c>
      <c r="D7817" s="51">
        <v>68.0</v>
      </c>
      <c r="E7817" s="52" t="s">
        <v>25</v>
      </c>
      <c r="F7817" s="52" t="s">
        <v>26</v>
      </c>
      <c r="G7817" s="53"/>
    </row>
    <row r="7818">
      <c r="A7818" s="49">
        <v>44776.30626751157</v>
      </c>
      <c r="B7818" s="50">
        <v>44776.4312406018</v>
      </c>
      <c r="C7818" s="51">
        <v>1.004</v>
      </c>
      <c r="D7818" s="51">
        <v>68.0</v>
      </c>
      <c r="E7818" s="52" t="s">
        <v>25</v>
      </c>
      <c r="F7818" s="52" t="s">
        <v>26</v>
      </c>
      <c r="G7818" s="53"/>
    </row>
    <row r="7819">
      <c r="A7819" s="49">
        <v>44776.316691238426</v>
      </c>
      <c r="B7819" s="50">
        <v>44776.4416611574</v>
      </c>
      <c r="C7819" s="51">
        <v>1.004</v>
      </c>
      <c r="D7819" s="51">
        <v>68.0</v>
      </c>
      <c r="E7819" s="52" t="s">
        <v>25</v>
      </c>
      <c r="F7819" s="52" t="s">
        <v>26</v>
      </c>
      <c r="G7819" s="53"/>
    </row>
    <row r="7820">
      <c r="A7820" s="49">
        <v>44776.32710539352</v>
      </c>
      <c r="B7820" s="50">
        <v>44776.4520829282</v>
      </c>
      <c r="C7820" s="51">
        <v>1.004</v>
      </c>
      <c r="D7820" s="51">
        <v>68.0</v>
      </c>
      <c r="E7820" s="52" t="s">
        <v>25</v>
      </c>
      <c r="F7820" s="52" t="s">
        <v>26</v>
      </c>
      <c r="G7820" s="53"/>
    </row>
    <row r="7821">
      <c r="A7821" s="49">
        <v>44776.337529826385</v>
      </c>
      <c r="B7821" s="50">
        <v>44776.4625028819</v>
      </c>
      <c r="C7821" s="51">
        <v>1.004</v>
      </c>
      <c r="D7821" s="51">
        <v>68.0</v>
      </c>
      <c r="E7821" s="52" t="s">
        <v>25</v>
      </c>
      <c r="F7821" s="52" t="s">
        <v>26</v>
      </c>
      <c r="G7821" s="53"/>
    </row>
    <row r="7822">
      <c r="A7822" s="49">
        <v>44776.34795384259</v>
      </c>
      <c r="B7822" s="50">
        <v>44776.4729233912</v>
      </c>
      <c r="C7822" s="51">
        <v>1.004</v>
      </c>
      <c r="D7822" s="51">
        <v>68.0</v>
      </c>
      <c r="E7822" s="52" t="s">
        <v>25</v>
      </c>
      <c r="F7822" s="52" t="s">
        <v>26</v>
      </c>
      <c r="G7822" s="53"/>
    </row>
    <row r="7823">
      <c r="A7823" s="49">
        <v>44776.358370208334</v>
      </c>
      <c r="B7823" s="50">
        <v>44776.4833430671</v>
      </c>
      <c r="C7823" s="51">
        <v>1.004</v>
      </c>
      <c r="D7823" s="51">
        <v>68.0</v>
      </c>
      <c r="E7823" s="52" t="s">
        <v>25</v>
      </c>
      <c r="F7823" s="52" t="s">
        <v>26</v>
      </c>
      <c r="G7823" s="53"/>
    </row>
    <row r="7824">
      <c r="A7824" s="49">
        <v>44776.368786851854</v>
      </c>
      <c r="B7824" s="50">
        <v>44776.4937634143</v>
      </c>
      <c r="C7824" s="51">
        <v>1.004</v>
      </c>
      <c r="D7824" s="51">
        <v>68.0</v>
      </c>
      <c r="E7824" s="52" t="s">
        <v>25</v>
      </c>
      <c r="F7824" s="52" t="s">
        <v>26</v>
      </c>
      <c r="G7824" s="53"/>
    </row>
    <row r="7825">
      <c r="A7825" s="49">
        <v>44776.379221446754</v>
      </c>
      <c r="B7825" s="50">
        <v>44776.5041959259</v>
      </c>
      <c r="C7825" s="51">
        <v>1.004</v>
      </c>
      <c r="D7825" s="51">
        <v>68.0</v>
      </c>
      <c r="E7825" s="52" t="s">
        <v>25</v>
      </c>
      <c r="F7825" s="52" t="s">
        <v>26</v>
      </c>
      <c r="G7825" s="53"/>
    </row>
    <row r="7826">
      <c r="A7826" s="49">
        <v>44776.3896409375</v>
      </c>
      <c r="B7826" s="50">
        <v>44776.5146177314</v>
      </c>
      <c r="C7826" s="51">
        <v>1.004</v>
      </c>
      <c r="D7826" s="51">
        <v>68.0</v>
      </c>
      <c r="E7826" s="52" t="s">
        <v>25</v>
      </c>
      <c r="F7826" s="52" t="s">
        <v>26</v>
      </c>
      <c r="G7826" s="53"/>
    </row>
    <row r="7827">
      <c r="A7827" s="49">
        <v>44776.40006721065</v>
      </c>
      <c r="B7827" s="50">
        <v>44776.525038449</v>
      </c>
      <c r="C7827" s="51">
        <v>1.004</v>
      </c>
      <c r="D7827" s="51">
        <v>68.0</v>
      </c>
      <c r="E7827" s="52" t="s">
        <v>25</v>
      </c>
      <c r="F7827" s="52" t="s">
        <v>26</v>
      </c>
      <c r="G7827" s="53"/>
    </row>
    <row r="7828">
      <c r="A7828" s="49">
        <v>44776.410478125</v>
      </c>
      <c r="B7828" s="50">
        <v>44776.5354582407</v>
      </c>
      <c r="C7828" s="51">
        <v>1.004</v>
      </c>
      <c r="D7828" s="51">
        <v>68.0</v>
      </c>
      <c r="E7828" s="52" t="s">
        <v>25</v>
      </c>
      <c r="F7828" s="52" t="s">
        <v>26</v>
      </c>
      <c r="G7828" s="53"/>
    </row>
    <row r="7829">
      <c r="A7829" s="49">
        <v>44776.420914664355</v>
      </c>
      <c r="B7829" s="50">
        <v>44776.5458804629</v>
      </c>
      <c r="C7829" s="51">
        <v>1.004</v>
      </c>
      <c r="D7829" s="51">
        <v>68.0</v>
      </c>
      <c r="E7829" s="52" t="s">
        <v>25</v>
      </c>
      <c r="F7829" s="52" t="s">
        <v>26</v>
      </c>
      <c r="G7829" s="53"/>
    </row>
    <row r="7830">
      <c r="A7830" s="49">
        <v>44776.431324386576</v>
      </c>
      <c r="B7830" s="50">
        <v>44776.5563026041</v>
      </c>
      <c r="C7830" s="51">
        <v>1.004</v>
      </c>
      <c r="D7830" s="51">
        <v>68.0</v>
      </c>
      <c r="E7830" s="52" t="s">
        <v>25</v>
      </c>
      <c r="F7830" s="52" t="s">
        <v>26</v>
      </c>
      <c r="G7830" s="53"/>
    </row>
    <row r="7831">
      <c r="A7831" s="49">
        <v>44776.441747453704</v>
      </c>
      <c r="B7831" s="50">
        <v>44776.5667227083</v>
      </c>
      <c r="C7831" s="51">
        <v>1.004</v>
      </c>
      <c r="D7831" s="51">
        <v>68.0</v>
      </c>
      <c r="E7831" s="52" t="s">
        <v>25</v>
      </c>
      <c r="F7831" s="52" t="s">
        <v>26</v>
      </c>
      <c r="G7831" s="53"/>
    </row>
    <row r="7832">
      <c r="A7832" s="49">
        <v>44776.45217387732</v>
      </c>
      <c r="B7832" s="50">
        <v>44776.5771437037</v>
      </c>
      <c r="C7832" s="51">
        <v>1.004</v>
      </c>
      <c r="D7832" s="51">
        <v>68.0</v>
      </c>
      <c r="E7832" s="52" t="s">
        <v>25</v>
      </c>
      <c r="F7832" s="52" t="s">
        <v>26</v>
      </c>
      <c r="G7832" s="53"/>
    </row>
    <row r="7833">
      <c r="A7833" s="49">
        <v>44776.462592337964</v>
      </c>
      <c r="B7833" s="50">
        <v>44776.5875644328</v>
      </c>
      <c r="C7833" s="51">
        <v>1.004</v>
      </c>
      <c r="D7833" s="51">
        <v>68.0</v>
      </c>
      <c r="E7833" s="52" t="s">
        <v>25</v>
      </c>
      <c r="F7833" s="52" t="s">
        <v>26</v>
      </c>
      <c r="G7833" s="53"/>
    </row>
    <row r="7834">
      <c r="A7834" s="49">
        <v>44776.47301630787</v>
      </c>
      <c r="B7834" s="50">
        <v>44776.5979836805</v>
      </c>
      <c r="C7834" s="51">
        <v>1.004</v>
      </c>
      <c r="D7834" s="51">
        <v>68.0</v>
      </c>
      <c r="E7834" s="52" t="s">
        <v>25</v>
      </c>
      <c r="F7834" s="52" t="s">
        <v>26</v>
      </c>
      <c r="G7834" s="53"/>
    </row>
    <row r="7835">
      <c r="A7835" s="49">
        <v>44776.483433078705</v>
      </c>
      <c r="B7835" s="50">
        <v>44776.6084031713</v>
      </c>
      <c r="C7835" s="51">
        <v>1.004</v>
      </c>
      <c r="D7835" s="51">
        <v>68.0</v>
      </c>
      <c r="E7835" s="52" t="s">
        <v>25</v>
      </c>
      <c r="F7835" s="52" t="s">
        <v>26</v>
      </c>
      <c r="G7835" s="53"/>
    </row>
    <row r="7836">
      <c r="A7836" s="49">
        <v>44776.49385917824</v>
      </c>
      <c r="B7836" s="50">
        <v>44776.6188361921</v>
      </c>
      <c r="C7836" s="51">
        <v>1.004</v>
      </c>
      <c r="D7836" s="51">
        <v>68.0</v>
      </c>
      <c r="E7836" s="52" t="s">
        <v>25</v>
      </c>
      <c r="F7836" s="52" t="s">
        <v>26</v>
      </c>
      <c r="G7836" s="53"/>
    </row>
    <row r="7837">
      <c r="A7837" s="49">
        <v>44776.50428149306</v>
      </c>
      <c r="B7837" s="50">
        <v>44776.6292569675</v>
      </c>
      <c r="C7837" s="51">
        <v>1.004</v>
      </c>
      <c r="D7837" s="51">
        <v>68.0</v>
      </c>
      <c r="E7837" s="52" t="s">
        <v>25</v>
      </c>
      <c r="F7837" s="52" t="s">
        <v>26</v>
      </c>
      <c r="G7837" s="53"/>
    </row>
    <row r="7838">
      <c r="A7838" s="49">
        <v>44776.51470490741</v>
      </c>
      <c r="B7838" s="50">
        <v>44776.6396790162</v>
      </c>
      <c r="C7838" s="51">
        <v>1.004</v>
      </c>
      <c r="D7838" s="51">
        <v>68.0</v>
      </c>
      <c r="E7838" s="52" t="s">
        <v>25</v>
      </c>
      <c r="F7838" s="52" t="s">
        <v>26</v>
      </c>
      <c r="G7838" s="53"/>
    </row>
    <row r="7839">
      <c r="A7839" s="49">
        <v>44776.52513023149</v>
      </c>
      <c r="B7839" s="50">
        <v>44776.6501008101</v>
      </c>
      <c r="C7839" s="51">
        <v>1.004</v>
      </c>
      <c r="D7839" s="51">
        <v>68.0</v>
      </c>
      <c r="E7839" s="52" t="s">
        <v>25</v>
      </c>
      <c r="F7839" s="52" t="s">
        <v>26</v>
      </c>
      <c r="G7839" s="53"/>
    </row>
    <row r="7840">
      <c r="A7840" s="49">
        <v>44776.53554423611</v>
      </c>
      <c r="B7840" s="50">
        <v>44776.6605218634</v>
      </c>
      <c r="C7840" s="51">
        <v>1.004</v>
      </c>
      <c r="D7840" s="51">
        <v>68.0</v>
      </c>
      <c r="E7840" s="52" t="s">
        <v>25</v>
      </c>
      <c r="F7840" s="52" t="s">
        <v>26</v>
      </c>
      <c r="G7840" s="53"/>
    </row>
    <row r="7841">
      <c r="A7841" s="49">
        <v>44776.54596851852</v>
      </c>
      <c r="B7841" s="50">
        <v>44776.6709436805</v>
      </c>
      <c r="C7841" s="51">
        <v>1.004</v>
      </c>
      <c r="D7841" s="51">
        <v>68.0</v>
      </c>
      <c r="E7841" s="52" t="s">
        <v>25</v>
      </c>
      <c r="F7841" s="52" t="s">
        <v>26</v>
      </c>
      <c r="G7841" s="53"/>
    </row>
    <row r="7842">
      <c r="A7842" s="49">
        <v>44776.55638231481</v>
      </c>
      <c r="B7842" s="50">
        <v>44776.681366574</v>
      </c>
      <c r="C7842" s="51">
        <v>1.004</v>
      </c>
      <c r="D7842" s="51">
        <v>68.0</v>
      </c>
      <c r="E7842" s="52" t="s">
        <v>25</v>
      </c>
      <c r="F7842" s="52" t="s">
        <v>26</v>
      </c>
      <c r="G7842" s="53"/>
    </row>
    <row r="7843">
      <c r="A7843" s="49">
        <v>44776.56681787037</v>
      </c>
      <c r="B7843" s="50">
        <v>44776.69179875</v>
      </c>
      <c r="C7843" s="51">
        <v>1.004</v>
      </c>
      <c r="D7843" s="51">
        <v>69.0</v>
      </c>
      <c r="E7843" s="52" t="s">
        <v>25</v>
      </c>
      <c r="F7843" s="52" t="s">
        <v>26</v>
      </c>
      <c r="G7843" s="53"/>
    </row>
    <row r="7844">
      <c r="A7844" s="49">
        <v>44776.5772408912</v>
      </c>
      <c r="B7844" s="50">
        <v>44776.7022188888</v>
      </c>
      <c r="C7844" s="51">
        <v>1.004</v>
      </c>
      <c r="D7844" s="51">
        <v>68.0</v>
      </c>
      <c r="E7844" s="52" t="s">
        <v>25</v>
      </c>
      <c r="F7844" s="52" t="s">
        <v>26</v>
      </c>
      <c r="G7844" s="53"/>
    </row>
    <row r="7845">
      <c r="A7845" s="49">
        <v>44776.587673472226</v>
      </c>
      <c r="B7845" s="50">
        <v>44776.712641331</v>
      </c>
      <c r="C7845" s="51">
        <v>1.004</v>
      </c>
      <c r="D7845" s="51">
        <v>68.0</v>
      </c>
      <c r="E7845" s="52" t="s">
        <v>25</v>
      </c>
      <c r="F7845" s="52" t="s">
        <v>26</v>
      </c>
      <c r="G7845" s="53"/>
    </row>
    <row r="7846">
      <c r="A7846" s="49">
        <v>44776.59808957176</v>
      </c>
      <c r="B7846" s="50">
        <v>44776.723062581</v>
      </c>
      <c r="C7846" s="51">
        <v>1.004</v>
      </c>
      <c r="D7846" s="51">
        <v>68.0</v>
      </c>
      <c r="E7846" s="52" t="s">
        <v>25</v>
      </c>
      <c r="F7846" s="52" t="s">
        <v>26</v>
      </c>
      <c r="G7846" s="53"/>
    </row>
    <row r="7847">
      <c r="A7847" s="49">
        <v>44776.608515555556</v>
      </c>
      <c r="B7847" s="50">
        <v>44776.7334832638</v>
      </c>
      <c r="C7847" s="51">
        <v>1.004</v>
      </c>
      <c r="D7847" s="51">
        <v>69.0</v>
      </c>
      <c r="E7847" s="52" t="s">
        <v>25</v>
      </c>
      <c r="F7847" s="52" t="s">
        <v>26</v>
      </c>
      <c r="G7847" s="53"/>
    </row>
    <row r="7848">
      <c r="A7848" s="49">
        <v>44776.61893005787</v>
      </c>
      <c r="B7848" s="50">
        <v>44776.7439052199</v>
      </c>
      <c r="C7848" s="51">
        <v>1.004</v>
      </c>
      <c r="D7848" s="51">
        <v>69.0</v>
      </c>
      <c r="E7848" s="52" t="s">
        <v>25</v>
      </c>
      <c r="F7848" s="52" t="s">
        <v>26</v>
      </c>
      <c r="G7848" s="53"/>
    </row>
    <row r="7849">
      <c r="A7849" s="49">
        <v>44776.629361087966</v>
      </c>
      <c r="B7849" s="50">
        <v>44776.7543281481</v>
      </c>
      <c r="C7849" s="51">
        <v>1.004</v>
      </c>
      <c r="D7849" s="51">
        <v>69.0</v>
      </c>
      <c r="E7849" s="52" t="s">
        <v>25</v>
      </c>
      <c r="F7849" s="52" t="s">
        <v>26</v>
      </c>
      <c r="G7849" s="53"/>
    </row>
    <row r="7850">
      <c r="A7850" s="49">
        <v>44776.63977987268</v>
      </c>
      <c r="B7850" s="50">
        <v>44776.7647492708</v>
      </c>
      <c r="C7850" s="51">
        <v>1.004</v>
      </c>
      <c r="D7850" s="51">
        <v>69.0</v>
      </c>
      <c r="E7850" s="52" t="s">
        <v>25</v>
      </c>
      <c r="F7850" s="52" t="s">
        <v>26</v>
      </c>
      <c r="G7850" s="53"/>
    </row>
    <row r="7851">
      <c r="A7851" s="49">
        <v>44776.65020329861</v>
      </c>
      <c r="B7851" s="50">
        <v>44776.7751699189</v>
      </c>
      <c r="C7851" s="51">
        <v>1.004</v>
      </c>
      <c r="D7851" s="51">
        <v>68.0</v>
      </c>
      <c r="E7851" s="52" t="s">
        <v>25</v>
      </c>
      <c r="F7851" s="52" t="s">
        <v>26</v>
      </c>
      <c r="G7851" s="53"/>
    </row>
    <row r="7852">
      <c r="A7852" s="49">
        <v>44776.66061584491</v>
      </c>
      <c r="B7852" s="50">
        <v>44776.7855909953</v>
      </c>
      <c r="C7852" s="51">
        <v>1.004</v>
      </c>
      <c r="D7852" s="51">
        <v>69.0</v>
      </c>
      <c r="E7852" s="52" t="s">
        <v>25</v>
      </c>
      <c r="F7852" s="52" t="s">
        <v>26</v>
      </c>
      <c r="G7852" s="53"/>
    </row>
    <row r="7853">
      <c r="A7853" s="49">
        <v>44776.671044745366</v>
      </c>
      <c r="B7853" s="50">
        <v>44776.7960123611</v>
      </c>
      <c r="C7853" s="51">
        <v>1.004</v>
      </c>
      <c r="D7853" s="51">
        <v>69.0</v>
      </c>
      <c r="E7853" s="52" t="s">
        <v>25</v>
      </c>
      <c r="F7853" s="52" t="s">
        <v>26</v>
      </c>
      <c r="G7853" s="53"/>
    </row>
    <row r="7854">
      <c r="A7854" s="49">
        <v>44776.68146128472</v>
      </c>
      <c r="B7854" s="50">
        <v>44776.8064332986</v>
      </c>
      <c r="C7854" s="51">
        <v>1.004</v>
      </c>
      <c r="D7854" s="51">
        <v>69.0</v>
      </c>
      <c r="E7854" s="52" t="s">
        <v>25</v>
      </c>
      <c r="F7854" s="52" t="s">
        <v>26</v>
      </c>
      <c r="G7854" s="53"/>
    </row>
    <row r="7855">
      <c r="A7855" s="49">
        <v>44776.69188961806</v>
      </c>
      <c r="B7855" s="50">
        <v>44776.81685603</v>
      </c>
      <c r="C7855" s="51">
        <v>1.004</v>
      </c>
      <c r="D7855" s="51">
        <v>69.0</v>
      </c>
      <c r="E7855" s="52" t="s">
        <v>25</v>
      </c>
      <c r="F7855" s="52" t="s">
        <v>26</v>
      </c>
      <c r="G7855" s="53"/>
    </row>
    <row r="7856">
      <c r="A7856" s="49">
        <v>44776.70230400463</v>
      </c>
      <c r="B7856" s="50">
        <v>44776.8272779629</v>
      </c>
      <c r="C7856" s="51">
        <v>1.004</v>
      </c>
      <c r="D7856" s="51">
        <v>69.0</v>
      </c>
      <c r="E7856" s="52" t="s">
        <v>25</v>
      </c>
      <c r="F7856" s="52" t="s">
        <v>26</v>
      </c>
      <c r="G7856" s="53"/>
    </row>
    <row r="7857">
      <c r="A7857" s="49">
        <v>44776.712723668985</v>
      </c>
      <c r="B7857" s="50">
        <v>44776.8376971759</v>
      </c>
      <c r="C7857" s="51">
        <v>1.004</v>
      </c>
      <c r="D7857" s="51">
        <v>69.0</v>
      </c>
      <c r="E7857" s="52" t="s">
        <v>25</v>
      </c>
      <c r="F7857" s="52" t="s">
        <v>26</v>
      </c>
      <c r="G7857" s="53"/>
    </row>
    <row r="7858">
      <c r="A7858" s="49">
        <v>44776.72315550926</v>
      </c>
      <c r="B7858" s="50">
        <v>44776.8481306134</v>
      </c>
      <c r="C7858" s="51">
        <v>1.004</v>
      </c>
      <c r="D7858" s="51">
        <v>69.0</v>
      </c>
      <c r="E7858" s="52" t="s">
        <v>25</v>
      </c>
      <c r="F7858" s="52" t="s">
        <v>26</v>
      </c>
      <c r="G7858" s="53"/>
    </row>
    <row r="7859">
      <c r="A7859" s="49">
        <v>44776.73358303241</v>
      </c>
      <c r="B7859" s="50">
        <v>44776.8585516666</v>
      </c>
      <c r="C7859" s="51">
        <v>1.004</v>
      </c>
      <c r="D7859" s="51">
        <v>69.0</v>
      </c>
      <c r="E7859" s="52" t="s">
        <v>25</v>
      </c>
      <c r="F7859" s="52" t="s">
        <v>26</v>
      </c>
      <c r="G7859" s="53"/>
    </row>
    <row r="7860">
      <c r="A7860" s="49">
        <v>44776.744009016205</v>
      </c>
      <c r="B7860" s="50">
        <v>44776.868974618</v>
      </c>
      <c r="C7860" s="51">
        <v>1.004</v>
      </c>
      <c r="D7860" s="51">
        <v>69.0</v>
      </c>
      <c r="E7860" s="52" t="s">
        <v>25</v>
      </c>
      <c r="F7860" s="52" t="s">
        <v>26</v>
      </c>
      <c r="G7860" s="53"/>
    </row>
    <row r="7861">
      <c r="A7861" s="49">
        <v>44776.75443832176</v>
      </c>
      <c r="B7861" s="50">
        <v>44776.879410081</v>
      </c>
      <c r="C7861" s="51">
        <v>1.004</v>
      </c>
      <c r="D7861" s="51">
        <v>69.0</v>
      </c>
      <c r="E7861" s="52" t="s">
        <v>25</v>
      </c>
      <c r="F7861" s="52" t="s">
        <v>26</v>
      </c>
      <c r="G7861" s="53"/>
    </row>
    <row r="7862">
      <c r="A7862" s="49">
        <v>44776.7648644213</v>
      </c>
      <c r="B7862" s="50">
        <v>44776.8898306018</v>
      </c>
      <c r="C7862" s="51">
        <v>1.004</v>
      </c>
      <c r="D7862" s="51">
        <v>69.0</v>
      </c>
      <c r="E7862" s="52" t="s">
        <v>25</v>
      </c>
      <c r="F7862" s="52" t="s">
        <v>26</v>
      </c>
      <c r="G7862" s="53"/>
    </row>
    <row r="7863">
      <c r="A7863" s="49">
        <v>44776.775278298606</v>
      </c>
      <c r="B7863" s="50">
        <v>44776.9002523495</v>
      </c>
      <c r="C7863" s="51">
        <v>1.004</v>
      </c>
      <c r="D7863" s="51">
        <v>69.0</v>
      </c>
      <c r="E7863" s="52" t="s">
        <v>25</v>
      </c>
      <c r="F7863" s="52" t="s">
        <v>26</v>
      </c>
      <c r="G7863" s="53"/>
    </row>
    <row r="7864">
      <c r="A7864" s="49">
        <v>44776.785706574075</v>
      </c>
      <c r="B7864" s="50">
        <v>44776.9106748611</v>
      </c>
      <c r="C7864" s="51">
        <v>1.004</v>
      </c>
      <c r="D7864" s="51">
        <v>69.0</v>
      </c>
      <c r="E7864" s="52" t="s">
        <v>25</v>
      </c>
      <c r="F7864" s="52" t="s">
        <v>26</v>
      </c>
      <c r="G7864" s="53"/>
    </row>
    <row r="7865">
      <c r="A7865" s="49">
        <v>44776.796128622686</v>
      </c>
      <c r="B7865" s="50">
        <v>44776.9210957638</v>
      </c>
      <c r="C7865" s="51">
        <v>1.004</v>
      </c>
      <c r="D7865" s="51">
        <v>69.0</v>
      </c>
      <c r="E7865" s="52" t="s">
        <v>25</v>
      </c>
      <c r="F7865" s="52" t="s">
        <v>26</v>
      </c>
      <c r="G7865" s="53"/>
    </row>
    <row r="7866">
      <c r="A7866" s="49">
        <v>44776.80654427083</v>
      </c>
      <c r="B7866" s="50">
        <v>44776.9315175925</v>
      </c>
      <c r="C7866" s="51">
        <v>1.004</v>
      </c>
      <c r="D7866" s="51">
        <v>69.0</v>
      </c>
      <c r="E7866" s="52" t="s">
        <v>25</v>
      </c>
      <c r="F7866" s="52" t="s">
        <v>26</v>
      </c>
      <c r="G7866" s="53"/>
    </row>
    <row r="7867">
      <c r="A7867" s="49">
        <v>44776.8169734375</v>
      </c>
      <c r="B7867" s="50">
        <v>44776.9419393287</v>
      </c>
      <c r="C7867" s="51">
        <v>1.004</v>
      </c>
      <c r="D7867" s="51">
        <v>69.0</v>
      </c>
      <c r="E7867" s="52" t="s">
        <v>25</v>
      </c>
      <c r="F7867" s="52" t="s">
        <v>26</v>
      </c>
      <c r="G7867" s="53"/>
    </row>
    <row r="7868">
      <c r="A7868" s="49">
        <v>44776.82739273148</v>
      </c>
      <c r="B7868" s="50">
        <v>44776.9523596412</v>
      </c>
      <c r="C7868" s="51">
        <v>1.004</v>
      </c>
      <c r="D7868" s="51">
        <v>69.0</v>
      </c>
      <c r="E7868" s="52" t="s">
        <v>25</v>
      </c>
      <c r="F7868" s="52" t="s">
        <v>26</v>
      </c>
      <c r="G7868" s="53"/>
    </row>
    <row r="7869">
      <c r="A7869" s="49">
        <v>44776.837812858794</v>
      </c>
      <c r="B7869" s="50">
        <v>44776.9627813888</v>
      </c>
      <c r="C7869" s="51">
        <v>1.004</v>
      </c>
      <c r="D7869" s="51">
        <v>69.0</v>
      </c>
      <c r="E7869" s="52" t="s">
        <v>25</v>
      </c>
      <c r="F7869" s="52" t="s">
        <v>26</v>
      </c>
      <c r="G7869" s="53"/>
    </row>
    <row r="7870">
      <c r="A7870" s="49">
        <v>44776.84823537037</v>
      </c>
      <c r="B7870" s="50">
        <v>44776.9732015162</v>
      </c>
      <c r="C7870" s="51">
        <v>1.004</v>
      </c>
      <c r="D7870" s="51">
        <v>69.0</v>
      </c>
      <c r="E7870" s="52" t="s">
        <v>25</v>
      </c>
      <c r="F7870" s="52" t="s">
        <v>26</v>
      </c>
      <c r="G7870" s="53"/>
    </row>
    <row r="7871">
      <c r="A7871" s="49">
        <v>44776.85865454861</v>
      </c>
      <c r="B7871" s="50">
        <v>44776.9836222222</v>
      </c>
      <c r="C7871" s="51">
        <v>1.004</v>
      </c>
      <c r="D7871" s="51">
        <v>69.0</v>
      </c>
      <c r="E7871" s="52" t="s">
        <v>25</v>
      </c>
      <c r="F7871" s="52" t="s">
        <v>26</v>
      </c>
      <c r="G7871" s="53"/>
    </row>
    <row r="7872">
      <c r="A7872" s="49">
        <v>44776.86906622685</v>
      </c>
      <c r="B7872" s="50">
        <v>44776.9940431828</v>
      </c>
      <c r="C7872" s="51">
        <v>1.004</v>
      </c>
      <c r="D7872" s="51">
        <v>69.0</v>
      </c>
      <c r="E7872" s="52" t="s">
        <v>25</v>
      </c>
      <c r="F7872" s="52" t="s">
        <v>26</v>
      </c>
      <c r="G7872" s="53"/>
    </row>
    <row r="7873">
      <c r="A7873" s="49">
        <v>44776.87949600694</v>
      </c>
      <c r="B7873" s="50">
        <v>44777.0044647106</v>
      </c>
      <c r="C7873" s="51">
        <v>1.004</v>
      </c>
      <c r="D7873" s="51">
        <v>69.0</v>
      </c>
      <c r="E7873" s="52" t="s">
        <v>25</v>
      </c>
      <c r="F7873" s="52" t="s">
        <v>26</v>
      </c>
      <c r="G7873" s="53"/>
    </row>
    <row r="7874">
      <c r="A7874" s="49">
        <v>44776.889914583335</v>
      </c>
      <c r="B7874" s="50">
        <v>44777.0148854166</v>
      </c>
      <c r="C7874" s="51">
        <v>1.004</v>
      </c>
      <c r="D7874" s="51">
        <v>69.0</v>
      </c>
      <c r="E7874" s="52" t="s">
        <v>25</v>
      </c>
      <c r="F7874" s="52" t="s">
        <v>26</v>
      </c>
      <c r="G7874" s="53"/>
    </row>
    <row r="7875">
      <c r="A7875" s="49">
        <v>44776.90033576389</v>
      </c>
      <c r="B7875" s="50">
        <v>44777.0253066088</v>
      </c>
      <c r="C7875" s="51">
        <v>1.004</v>
      </c>
      <c r="D7875" s="51">
        <v>69.0</v>
      </c>
      <c r="E7875" s="52" t="s">
        <v>25</v>
      </c>
      <c r="F7875" s="52" t="s">
        <v>26</v>
      </c>
      <c r="G7875" s="53"/>
    </row>
    <row r="7876">
      <c r="A7876" s="49">
        <v>44776.910764120374</v>
      </c>
      <c r="B7876" s="50">
        <v>44777.0357279629</v>
      </c>
      <c r="C7876" s="51">
        <v>1.004</v>
      </c>
      <c r="D7876" s="51">
        <v>69.0</v>
      </c>
      <c r="E7876" s="52" t="s">
        <v>25</v>
      </c>
      <c r="F7876" s="52" t="s">
        <v>26</v>
      </c>
      <c r="G7876" s="53"/>
    </row>
    <row r="7877">
      <c r="A7877" s="49">
        <v>44776.92119434028</v>
      </c>
      <c r="B7877" s="50">
        <v>44777.0461620138</v>
      </c>
      <c r="C7877" s="51">
        <v>1.004</v>
      </c>
      <c r="D7877" s="51">
        <v>69.0</v>
      </c>
      <c r="E7877" s="52" t="s">
        <v>25</v>
      </c>
      <c r="F7877" s="52" t="s">
        <v>26</v>
      </c>
      <c r="G7877" s="53"/>
    </row>
    <row r="7878">
      <c r="A7878" s="49">
        <v>44776.93161238426</v>
      </c>
      <c r="B7878" s="50">
        <v>44777.0565836689</v>
      </c>
      <c r="C7878" s="51">
        <v>1.004</v>
      </c>
      <c r="D7878" s="51">
        <v>69.0</v>
      </c>
      <c r="E7878" s="52" t="s">
        <v>25</v>
      </c>
      <c r="F7878" s="52" t="s">
        <v>26</v>
      </c>
      <c r="G7878" s="53"/>
    </row>
    <row r="7879">
      <c r="A7879" s="49">
        <v>44776.942031597224</v>
      </c>
      <c r="B7879" s="50">
        <v>44777.0670050347</v>
      </c>
      <c r="C7879" s="51">
        <v>1.004</v>
      </c>
      <c r="D7879" s="51">
        <v>69.0</v>
      </c>
      <c r="E7879" s="52" t="s">
        <v>25</v>
      </c>
      <c r="F7879" s="52" t="s">
        <v>26</v>
      </c>
      <c r="G7879" s="53"/>
    </row>
    <row r="7880">
      <c r="A7880" s="49">
        <v>44776.95246677083</v>
      </c>
      <c r="B7880" s="50">
        <v>44777.0774274652</v>
      </c>
      <c r="C7880" s="51">
        <v>1.004</v>
      </c>
      <c r="D7880" s="51">
        <v>69.0</v>
      </c>
      <c r="E7880" s="52" t="s">
        <v>25</v>
      </c>
      <c r="F7880" s="52" t="s">
        <v>26</v>
      </c>
      <c r="G7880" s="53"/>
    </row>
    <row r="7881">
      <c r="A7881" s="49">
        <v>44776.96288200231</v>
      </c>
      <c r="B7881" s="50">
        <v>44777.0878503587</v>
      </c>
      <c r="C7881" s="51">
        <v>1.004</v>
      </c>
      <c r="D7881" s="51">
        <v>69.0</v>
      </c>
      <c r="E7881" s="52" t="s">
        <v>25</v>
      </c>
      <c r="F7881" s="52" t="s">
        <v>26</v>
      </c>
      <c r="G7881" s="53"/>
    </row>
    <row r="7882">
      <c r="A7882" s="49">
        <v>44776.97331153935</v>
      </c>
      <c r="B7882" s="50">
        <v>44777.0982835648</v>
      </c>
      <c r="C7882" s="51">
        <v>1.004</v>
      </c>
      <c r="D7882" s="51">
        <v>69.0</v>
      </c>
      <c r="E7882" s="52" t="s">
        <v>25</v>
      </c>
      <c r="F7882" s="52" t="s">
        <v>26</v>
      </c>
      <c r="G7882" s="53"/>
    </row>
    <row r="7883">
      <c r="A7883" s="49">
        <v>44776.98373681713</v>
      </c>
      <c r="B7883" s="50">
        <v>44777.1087023495</v>
      </c>
      <c r="C7883" s="51">
        <v>1.004</v>
      </c>
      <c r="D7883" s="51">
        <v>69.0</v>
      </c>
      <c r="E7883" s="52" t="s">
        <v>25</v>
      </c>
      <c r="F7883" s="52" t="s">
        <v>26</v>
      </c>
      <c r="G7883" s="53"/>
    </row>
    <row r="7884">
      <c r="A7884" s="49">
        <v>44776.994143206015</v>
      </c>
      <c r="B7884" s="50">
        <v>44777.1191222106</v>
      </c>
      <c r="C7884" s="51">
        <v>1.004</v>
      </c>
      <c r="D7884" s="51">
        <v>69.0</v>
      </c>
      <c r="E7884" s="52" t="s">
        <v>25</v>
      </c>
      <c r="F7884" s="52" t="s">
        <v>26</v>
      </c>
      <c r="G7884" s="53"/>
    </row>
    <row r="7885">
      <c r="A7885" s="49">
        <v>44777.00457827546</v>
      </c>
      <c r="B7885" s="50">
        <v>44777.1295434143</v>
      </c>
      <c r="C7885" s="51">
        <v>1.004</v>
      </c>
      <c r="D7885" s="51">
        <v>69.0</v>
      </c>
      <c r="E7885" s="52" t="s">
        <v>25</v>
      </c>
      <c r="F7885" s="52" t="s">
        <v>26</v>
      </c>
      <c r="G7885" s="53"/>
    </row>
    <row r="7886">
      <c r="A7886" s="49">
        <v>44777.014998495375</v>
      </c>
      <c r="B7886" s="50">
        <v>44777.1399642245</v>
      </c>
      <c r="C7886" s="51">
        <v>1.004</v>
      </c>
      <c r="D7886" s="51">
        <v>69.0</v>
      </c>
      <c r="E7886" s="52" t="s">
        <v>25</v>
      </c>
      <c r="F7886" s="52" t="s">
        <v>26</v>
      </c>
      <c r="G7886" s="53"/>
    </row>
    <row r="7887">
      <c r="A7887" s="49">
        <v>44777.025415625</v>
      </c>
      <c r="B7887" s="50">
        <v>44777.1503861458</v>
      </c>
      <c r="C7887" s="51">
        <v>1.004</v>
      </c>
      <c r="D7887" s="51">
        <v>69.0</v>
      </c>
      <c r="E7887" s="52" t="s">
        <v>25</v>
      </c>
      <c r="F7887" s="52" t="s">
        <v>26</v>
      </c>
      <c r="G7887" s="53"/>
    </row>
    <row r="7888">
      <c r="A7888" s="49">
        <v>44777.035829976856</v>
      </c>
      <c r="B7888" s="50">
        <v>44777.1608080092</v>
      </c>
      <c r="C7888" s="51">
        <v>1.004</v>
      </c>
      <c r="D7888" s="51">
        <v>69.0</v>
      </c>
      <c r="E7888" s="52" t="s">
        <v>25</v>
      </c>
      <c r="F7888" s="52" t="s">
        <v>26</v>
      </c>
      <c r="G7888" s="53"/>
    </row>
    <row r="7889">
      <c r="A7889" s="49">
        <v>44777.04626173611</v>
      </c>
      <c r="B7889" s="50">
        <v>44777.171228449</v>
      </c>
      <c r="C7889" s="51">
        <v>1.004</v>
      </c>
      <c r="D7889" s="51">
        <v>69.0</v>
      </c>
      <c r="E7889" s="52" t="s">
        <v>25</v>
      </c>
      <c r="F7889" s="52" t="s">
        <v>26</v>
      </c>
      <c r="G7889" s="53"/>
    </row>
    <row r="7890">
      <c r="A7890" s="49">
        <v>44777.05668476852</v>
      </c>
      <c r="B7890" s="50">
        <v>44777.181649699</v>
      </c>
      <c r="C7890" s="51">
        <v>1.004</v>
      </c>
      <c r="D7890" s="51">
        <v>69.0</v>
      </c>
      <c r="E7890" s="52" t="s">
        <v>25</v>
      </c>
      <c r="F7890" s="52" t="s">
        <v>26</v>
      </c>
      <c r="G7890" s="53"/>
    </row>
    <row r="7891">
      <c r="A7891" s="49">
        <v>44777.06712490741</v>
      </c>
      <c r="B7891" s="50">
        <v>44777.1920940277</v>
      </c>
      <c r="C7891" s="51">
        <v>1.004</v>
      </c>
      <c r="D7891" s="51">
        <v>69.0</v>
      </c>
      <c r="E7891" s="52" t="s">
        <v>25</v>
      </c>
      <c r="F7891" s="52" t="s">
        <v>26</v>
      </c>
      <c r="G7891" s="53"/>
    </row>
    <row r="7892">
      <c r="A7892" s="49">
        <v>44777.07755609954</v>
      </c>
      <c r="B7892" s="50">
        <v>44777.2025289699</v>
      </c>
      <c r="C7892" s="51">
        <v>1.004</v>
      </c>
      <c r="D7892" s="51">
        <v>69.0</v>
      </c>
      <c r="E7892" s="52" t="s">
        <v>25</v>
      </c>
      <c r="F7892" s="52" t="s">
        <v>26</v>
      </c>
      <c r="G7892" s="53"/>
    </row>
    <row r="7893">
      <c r="A7893" s="49">
        <v>44777.08798414352</v>
      </c>
      <c r="B7893" s="50">
        <v>44777.2129507291</v>
      </c>
      <c r="C7893" s="51">
        <v>1.004</v>
      </c>
      <c r="D7893" s="51">
        <v>69.0</v>
      </c>
      <c r="E7893" s="52" t="s">
        <v>25</v>
      </c>
      <c r="F7893" s="52" t="s">
        <v>26</v>
      </c>
      <c r="G7893" s="53"/>
    </row>
    <row r="7894">
      <c r="A7894" s="49">
        <v>44777.09840519676</v>
      </c>
      <c r="B7894" s="50">
        <v>44777.2233723263</v>
      </c>
      <c r="C7894" s="51">
        <v>1.004</v>
      </c>
      <c r="D7894" s="51">
        <v>69.0</v>
      </c>
      <c r="E7894" s="52" t="s">
        <v>25</v>
      </c>
      <c r="F7894" s="52" t="s">
        <v>26</v>
      </c>
      <c r="G7894" s="53"/>
    </row>
    <row r="7895">
      <c r="A7895" s="49">
        <v>44777.10883570602</v>
      </c>
      <c r="B7895" s="50">
        <v>44777.2338026041</v>
      </c>
      <c r="C7895" s="51">
        <v>1.004</v>
      </c>
      <c r="D7895" s="51">
        <v>69.0</v>
      </c>
      <c r="E7895" s="52" t="s">
        <v>25</v>
      </c>
      <c r="F7895" s="52" t="s">
        <v>26</v>
      </c>
      <c r="G7895" s="53"/>
    </row>
    <row r="7896">
      <c r="A7896" s="49">
        <v>44777.11925697917</v>
      </c>
      <c r="B7896" s="50">
        <v>44777.2442234838</v>
      </c>
      <c r="C7896" s="51">
        <v>1.004</v>
      </c>
      <c r="D7896" s="51">
        <v>69.0</v>
      </c>
      <c r="E7896" s="52" t="s">
        <v>25</v>
      </c>
      <c r="F7896" s="52" t="s">
        <v>26</v>
      </c>
      <c r="G7896" s="53"/>
    </row>
    <row r="7897">
      <c r="A7897" s="49">
        <v>44777.1296758449</v>
      </c>
      <c r="B7897" s="50">
        <v>44777.2546433101</v>
      </c>
      <c r="C7897" s="51">
        <v>1.004</v>
      </c>
      <c r="D7897" s="51">
        <v>69.0</v>
      </c>
      <c r="E7897" s="52" t="s">
        <v>25</v>
      </c>
      <c r="F7897" s="52" t="s">
        <v>26</v>
      </c>
      <c r="G7897" s="53"/>
    </row>
    <row r="7898">
      <c r="A7898" s="49">
        <v>44777.1400962037</v>
      </c>
      <c r="B7898" s="50">
        <v>44777.2650638541</v>
      </c>
      <c r="C7898" s="51">
        <v>1.004</v>
      </c>
      <c r="D7898" s="51">
        <v>69.0</v>
      </c>
      <c r="E7898" s="52" t="s">
        <v>25</v>
      </c>
      <c r="F7898" s="52" t="s">
        <v>26</v>
      </c>
      <c r="G7898" s="53"/>
    </row>
    <row r="7899">
      <c r="A7899" s="49">
        <v>44777.15052917824</v>
      </c>
      <c r="B7899" s="50">
        <v>44777.2754973495</v>
      </c>
      <c r="C7899" s="51">
        <v>1.004</v>
      </c>
      <c r="D7899" s="51">
        <v>69.0</v>
      </c>
      <c r="E7899" s="52" t="s">
        <v>25</v>
      </c>
      <c r="F7899" s="52" t="s">
        <v>26</v>
      </c>
      <c r="G7899" s="53"/>
    </row>
    <row r="7900">
      <c r="A7900" s="49">
        <v>44777.160948668985</v>
      </c>
      <c r="B7900" s="50">
        <v>44777.2859186458</v>
      </c>
      <c r="C7900" s="51">
        <v>1.004</v>
      </c>
      <c r="D7900" s="51">
        <v>69.0</v>
      </c>
      <c r="E7900" s="52" t="s">
        <v>25</v>
      </c>
      <c r="F7900" s="52" t="s">
        <v>26</v>
      </c>
      <c r="G7900" s="53"/>
    </row>
    <row r="7901">
      <c r="A7901" s="49">
        <v>44777.17137275463</v>
      </c>
      <c r="B7901" s="50">
        <v>44777.296340162</v>
      </c>
      <c r="C7901" s="51">
        <v>1.004</v>
      </c>
      <c r="D7901" s="51">
        <v>69.0</v>
      </c>
      <c r="E7901" s="52" t="s">
        <v>25</v>
      </c>
      <c r="F7901" s="52" t="s">
        <v>26</v>
      </c>
      <c r="G7901" s="53"/>
    </row>
    <row r="7902">
      <c r="A7902" s="49">
        <v>44777.18181879629</v>
      </c>
      <c r="B7902" s="50">
        <v>44777.3067851041</v>
      </c>
      <c r="C7902" s="51">
        <v>1.004</v>
      </c>
      <c r="D7902" s="51">
        <v>69.0</v>
      </c>
      <c r="E7902" s="52" t="s">
        <v>25</v>
      </c>
      <c r="F7902" s="52" t="s">
        <v>26</v>
      </c>
      <c r="G7902" s="53"/>
    </row>
    <row r="7903">
      <c r="A7903" s="49">
        <v>44777.19223373843</v>
      </c>
      <c r="B7903" s="50">
        <v>44777.3172052662</v>
      </c>
      <c r="C7903" s="51">
        <v>1.004</v>
      </c>
      <c r="D7903" s="51">
        <v>69.0</v>
      </c>
      <c r="E7903" s="52" t="s">
        <v>25</v>
      </c>
      <c r="F7903" s="52" t="s">
        <v>26</v>
      </c>
      <c r="G7903" s="53"/>
    </row>
    <row r="7904">
      <c r="A7904" s="49">
        <v>44777.20264631945</v>
      </c>
      <c r="B7904" s="50">
        <v>44777.3276258449</v>
      </c>
      <c r="C7904" s="51">
        <v>1.004</v>
      </c>
      <c r="D7904" s="51">
        <v>69.0</v>
      </c>
      <c r="E7904" s="52" t="s">
        <v>25</v>
      </c>
      <c r="F7904" s="52" t="s">
        <v>26</v>
      </c>
      <c r="G7904" s="53"/>
    </row>
    <row r="7905">
      <c r="A7905" s="49">
        <v>44777.21307831019</v>
      </c>
      <c r="B7905" s="50">
        <v>44777.3380472453</v>
      </c>
      <c r="C7905" s="51">
        <v>1.004</v>
      </c>
      <c r="D7905" s="51">
        <v>69.0</v>
      </c>
      <c r="E7905" s="52" t="s">
        <v>25</v>
      </c>
      <c r="F7905" s="52" t="s">
        <v>26</v>
      </c>
      <c r="G7905" s="53"/>
    </row>
    <row r="7906">
      <c r="A7906" s="49">
        <v>44777.22351923611</v>
      </c>
      <c r="B7906" s="50">
        <v>44777.3484786921</v>
      </c>
      <c r="C7906" s="51">
        <v>1.004</v>
      </c>
      <c r="D7906" s="51">
        <v>69.0</v>
      </c>
      <c r="E7906" s="52" t="s">
        <v>25</v>
      </c>
      <c r="F7906" s="52" t="s">
        <v>26</v>
      </c>
      <c r="G7906" s="53"/>
    </row>
    <row r="7907">
      <c r="A7907" s="49">
        <v>44777.233929131944</v>
      </c>
      <c r="B7907" s="50">
        <v>44777.3588992939</v>
      </c>
      <c r="C7907" s="51">
        <v>1.004</v>
      </c>
      <c r="D7907" s="51">
        <v>69.0</v>
      </c>
      <c r="E7907" s="52" t="s">
        <v>25</v>
      </c>
      <c r="F7907" s="52" t="s">
        <v>26</v>
      </c>
      <c r="G7907" s="53"/>
    </row>
    <row r="7908">
      <c r="A7908" s="49">
        <v>44777.24435826389</v>
      </c>
      <c r="B7908" s="50">
        <v>44777.3693223958</v>
      </c>
      <c r="C7908" s="51">
        <v>1.004</v>
      </c>
      <c r="D7908" s="51">
        <v>69.0</v>
      </c>
      <c r="E7908" s="52" t="s">
        <v>25</v>
      </c>
      <c r="F7908" s="52" t="s">
        <v>26</v>
      </c>
      <c r="G7908" s="53"/>
    </row>
    <row r="7909">
      <c r="A7909" s="49">
        <v>44777.25478368056</v>
      </c>
      <c r="B7909" s="50">
        <v>44777.3797547106</v>
      </c>
      <c r="C7909" s="51">
        <v>1.004</v>
      </c>
      <c r="D7909" s="51">
        <v>69.0</v>
      </c>
      <c r="E7909" s="52" t="s">
        <v>25</v>
      </c>
      <c r="F7909" s="52" t="s">
        <v>26</v>
      </c>
      <c r="G7909" s="53"/>
    </row>
    <row r="7910">
      <c r="A7910" s="49">
        <v>44777.2652075463</v>
      </c>
      <c r="B7910" s="50">
        <v>44777.3901755092</v>
      </c>
      <c r="C7910" s="51">
        <v>1.004</v>
      </c>
      <c r="D7910" s="51">
        <v>69.0</v>
      </c>
      <c r="E7910" s="52" t="s">
        <v>25</v>
      </c>
      <c r="F7910" s="52" t="s">
        <v>26</v>
      </c>
      <c r="G7910" s="53"/>
    </row>
    <row r="7911">
      <c r="A7911" s="49">
        <v>44777.275622974536</v>
      </c>
      <c r="B7911" s="50">
        <v>44777.4005967361</v>
      </c>
      <c r="C7911" s="51">
        <v>1.004</v>
      </c>
      <c r="D7911" s="51">
        <v>69.0</v>
      </c>
      <c r="E7911" s="52" t="s">
        <v>25</v>
      </c>
      <c r="F7911" s="52" t="s">
        <v>26</v>
      </c>
      <c r="G7911" s="53"/>
    </row>
    <row r="7912">
      <c r="A7912" s="49">
        <v>44777.2860550926</v>
      </c>
      <c r="B7912" s="50">
        <v>44777.4110294907</v>
      </c>
      <c r="C7912" s="51">
        <v>1.004</v>
      </c>
      <c r="D7912" s="51">
        <v>69.0</v>
      </c>
      <c r="E7912" s="52" t="s">
        <v>25</v>
      </c>
      <c r="F7912" s="52" t="s">
        <v>26</v>
      </c>
      <c r="G7912" s="53"/>
    </row>
    <row r="7913">
      <c r="A7913" s="49">
        <v>44777.296486921296</v>
      </c>
      <c r="B7913" s="50">
        <v>44777.4214621643</v>
      </c>
      <c r="C7913" s="51">
        <v>1.004</v>
      </c>
      <c r="D7913" s="51">
        <v>69.0</v>
      </c>
      <c r="E7913" s="52" t="s">
        <v>25</v>
      </c>
      <c r="F7913" s="52" t="s">
        <v>26</v>
      </c>
      <c r="G7913" s="53"/>
    </row>
    <row r="7914">
      <c r="A7914" s="49">
        <v>44777.30692376157</v>
      </c>
      <c r="B7914" s="50">
        <v>44777.4318831712</v>
      </c>
      <c r="C7914" s="51">
        <v>1.004</v>
      </c>
      <c r="D7914" s="51">
        <v>69.0</v>
      </c>
      <c r="E7914" s="52" t="s">
        <v>25</v>
      </c>
      <c r="F7914" s="52" t="s">
        <v>26</v>
      </c>
      <c r="G7914" s="53"/>
    </row>
    <row r="7915">
      <c r="A7915" s="49">
        <v>44777.317357673615</v>
      </c>
      <c r="B7915" s="50">
        <v>44777.4423277314</v>
      </c>
      <c r="C7915" s="51">
        <v>1.004</v>
      </c>
      <c r="D7915" s="51">
        <v>69.0</v>
      </c>
      <c r="E7915" s="52" t="s">
        <v>25</v>
      </c>
      <c r="F7915" s="52" t="s">
        <v>26</v>
      </c>
      <c r="G7915" s="53"/>
    </row>
    <row r="7916">
      <c r="A7916" s="49">
        <v>44777.32777415509</v>
      </c>
      <c r="B7916" s="50">
        <v>44777.4527500578</v>
      </c>
      <c r="C7916" s="51">
        <v>1.004</v>
      </c>
      <c r="D7916" s="51">
        <v>69.0</v>
      </c>
      <c r="E7916" s="52" t="s">
        <v>25</v>
      </c>
      <c r="F7916" s="52" t="s">
        <v>26</v>
      </c>
      <c r="G7916" s="53"/>
    </row>
    <row r="7917">
      <c r="A7917" s="49">
        <v>44777.338209837966</v>
      </c>
      <c r="B7917" s="50">
        <v>44777.46317125</v>
      </c>
      <c r="C7917" s="51">
        <v>1.004</v>
      </c>
      <c r="D7917" s="51">
        <v>69.0</v>
      </c>
      <c r="E7917" s="52" t="s">
        <v>25</v>
      </c>
      <c r="F7917" s="52" t="s">
        <v>26</v>
      </c>
      <c r="G7917" s="53"/>
    </row>
    <row r="7918">
      <c r="A7918" s="49">
        <v>44777.34862344907</v>
      </c>
      <c r="B7918" s="50">
        <v>44777.473590787</v>
      </c>
      <c r="C7918" s="51">
        <v>1.004</v>
      </c>
      <c r="D7918" s="51">
        <v>69.0</v>
      </c>
      <c r="E7918" s="52" t="s">
        <v>25</v>
      </c>
      <c r="F7918" s="52" t="s">
        <v>26</v>
      </c>
      <c r="G7918" s="53"/>
    </row>
    <row r="7919">
      <c r="A7919" s="49">
        <v>44777.35905688658</v>
      </c>
      <c r="B7919" s="50">
        <v>44777.4840245601</v>
      </c>
      <c r="C7919" s="51">
        <v>1.004</v>
      </c>
      <c r="D7919" s="51">
        <v>69.0</v>
      </c>
      <c r="E7919" s="52" t="s">
        <v>25</v>
      </c>
      <c r="F7919" s="52" t="s">
        <v>26</v>
      </c>
      <c r="G7919" s="53"/>
    </row>
    <row r="7920">
      <c r="A7920" s="49">
        <v>44777.36948113426</v>
      </c>
      <c r="B7920" s="50">
        <v>44777.4944480439</v>
      </c>
      <c r="C7920" s="51">
        <v>1.004</v>
      </c>
      <c r="D7920" s="51">
        <v>69.0</v>
      </c>
      <c r="E7920" s="52" t="s">
        <v>25</v>
      </c>
      <c r="F7920" s="52" t="s">
        <v>26</v>
      </c>
      <c r="G7920" s="53"/>
    </row>
    <row r="7921">
      <c r="A7921" s="49">
        <v>44777.379921087966</v>
      </c>
      <c r="B7921" s="50">
        <v>44777.5048804861</v>
      </c>
      <c r="C7921" s="51">
        <v>1.004</v>
      </c>
      <c r="D7921" s="51">
        <v>69.0</v>
      </c>
      <c r="E7921" s="52" t="s">
        <v>25</v>
      </c>
      <c r="F7921" s="52" t="s">
        <v>26</v>
      </c>
      <c r="G7921" s="53"/>
    </row>
    <row r="7922">
      <c r="A7922" s="49">
        <v>44777.39033392361</v>
      </c>
      <c r="B7922" s="50">
        <v>44777.5152998263</v>
      </c>
      <c r="C7922" s="51">
        <v>1.004</v>
      </c>
      <c r="D7922" s="51">
        <v>69.0</v>
      </c>
      <c r="E7922" s="52" t="s">
        <v>25</v>
      </c>
      <c r="F7922" s="52" t="s">
        <v>26</v>
      </c>
      <c r="G7922" s="53"/>
    </row>
    <row r="7923">
      <c r="A7923" s="49">
        <v>44777.40075212963</v>
      </c>
      <c r="B7923" s="50">
        <v>44777.5257206365</v>
      </c>
      <c r="C7923" s="51">
        <v>1.004</v>
      </c>
      <c r="D7923" s="51">
        <v>69.0</v>
      </c>
      <c r="E7923" s="52" t="s">
        <v>25</v>
      </c>
      <c r="F7923" s="52" t="s">
        <v>26</v>
      </c>
      <c r="G7923" s="53"/>
    </row>
    <row r="7924">
      <c r="A7924" s="49">
        <v>44777.41117260417</v>
      </c>
      <c r="B7924" s="50">
        <v>44777.5361428009</v>
      </c>
      <c r="C7924" s="51">
        <v>1.004</v>
      </c>
      <c r="D7924" s="51">
        <v>69.0</v>
      </c>
      <c r="E7924" s="52" t="s">
        <v>25</v>
      </c>
      <c r="F7924" s="52" t="s">
        <v>26</v>
      </c>
      <c r="G7924" s="53"/>
    </row>
    <row r="7925">
      <c r="A7925" s="49">
        <v>44777.4216075463</v>
      </c>
      <c r="B7925" s="50">
        <v>44777.546575868</v>
      </c>
      <c r="C7925" s="51">
        <v>1.004</v>
      </c>
      <c r="D7925" s="51">
        <v>69.0</v>
      </c>
      <c r="E7925" s="52" t="s">
        <v>25</v>
      </c>
      <c r="F7925" s="52" t="s">
        <v>26</v>
      </c>
      <c r="G7925" s="53"/>
    </row>
    <row r="7926">
      <c r="A7926" s="49">
        <v>44777.43203994213</v>
      </c>
      <c r="B7926" s="50">
        <v>44777.557009456</v>
      </c>
      <c r="C7926" s="51">
        <v>1.004</v>
      </c>
      <c r="D7926" s="51">
        <v>69.0</v>
      </c>
      <c r="E7926" s="52" t="s">
        <v>25</v>
      </c>
      <c r="F7926" s="52" t="s">
        <v>26</v>
      </c>
      <c r="G7926" s="53"/>
    </row>
    <row r="7927">
      <c r="A7927" s="49">
        <v>44777.44245065972</v>
      </c>
      <c r="B7927" s="50">
        <v>44777.567430868</v>
      </c>
      <c r="C7927" s="51">
        <v>1.004</v>
      </c>
      <c r="D7927" s="51">
        <v>69.0</v>
      </c>
      <c r="E7927" s="52" t="s">
        <v>25</v>
      </c>
      <c r="F7927" s="52" t="s">
        <v>26</v>
      </c>
      <c r="G7927" s="53"/>
    </row>
    <row r="7928">
      <c r="A7928" s="49">
        <v>44777.452888252315</v>
      </c>
      <c r="B7928" s="50">
        <v>44777.577850949</v>
      </c>
      <c r="C7928" s="51">
        <v>1.004</v>
      </c>
      <c r="D7928" s="51">
        <v>69.0</v>
      </c>
      <c r="E7928" s="52" t="s">
        <v>25</v>
      </c>
      <c r="F7928" s="52" t="s">
        <v>26</v>
      </c>
      <c r="G7928" s="53"/>
    </row>
    <row r="7929">
      <c r="A7929" s="49">
        <v>44777.463311493055</v>
      </c>
      <c r="B7929" s="50">
        <v>44777.5882841203</v>
      </c>
      <c r="C7929" s="51">
        <v>1.004</v>
      </c>
      <c r="D7929" s="51">
        <v>69.0</v>
      </c>
      <c r="E7929" s="52" t="s">
        <v>25</v>
      </c>
      <c r="F7929" s="52" t="s">
        <v>26</v>
      </c>
      <c r="G7929" s="53"/>
    </row>
    <row r="7930">
      <c r="A7930" s="49">
        <v>44777.47373109954</v>
      </c>
      <c r="B7930" s="50">
        <v>44777.5987062268</v>
      </c>
      <c r="C7930" s="51">
        <v>1.004</v>
      </c>
      <c r="D7930" s="51">
        <v>69.0</v>
      </c>
      <c r="E7930" s="52" t="s">
        <v>25</v>
      </c>
      <c r="F7930" s="52" t="s">
        <v>26</v>
      </c>
      <c r="G7930" s="53"/>
    </row>
    <row r="7931">
      <c r="A7931" s="49">
        <v>44777.484173379635</v>
      </c>
      <c r="B7931" s="50">
        <v>44777.6091386921</v>
      </c>
      <c r="C7931" s="51">
        <v>1.004</v>
      </c>
      <c r="D7931" s="51">
        <v>69.0</v>
      </c>
      <c r="E7931" s="52" t="s">
        <v>25</v>
      </c>
      <c r="F7931" s="52" t="s">
        <v>26</v>
      </c>
      <c r="G7931" s="53"/>
    </row>
    <row r="7932">
      <c r="A7932" s="49">
        <v>44777.49461081019</v>
      </c>
      <c r="B7932" s="50">
        <v>44777.6195823148</v>
      </c>
      <c r="C7932" s="51">
        <v>1.004</v>
      </c>
      <c r="D7932" s="51">
        <v>69.0</v>
      </c>
      <c r="E7932" s="52" t="s">
        <v>25</v>
      </c>
      <c r="F7932" s="52" t="s">
        <v>26</v>
      </c>
      <c r="G7932" s="53"/>
    </row>
    <row r="7933">
      <c r="A7933" s="49">
        <v>44777.50502769676</v>
      </c>
      <c r="B7933" s="50">
        <v>44777.6300026157</v>
      </c>
      <c r="C7933" s="51">
        <v>1.004</v>
      </c>
      <c r="D7933" s="51">
        <v>69.0</v>
      </c>
      <c r="E7933" s="52" t="s">
        <v>25</v>
      </c>
      <c r="F7933" s="52" t="s">
        <v>26</v>
      </c>
      <c r="G7933" s="53"/>
    </row>
    <row r="7934">
      <c r="A7934" s="49">
        <v>44777.51544883102</v>
      </c>
      <c r="B7934" s="50">
        <v>44777.6404224884</v>
      </c>
      <c r="C7934" s="51">
        <v>1.004</v>
      </c>
      <c r="D7934" s="51">
        <v>70.0</v>
      </c>
      <c r="E7934" s="52" t="s">
        <v>25</v>
      </c>
      <c r="F7934" s="52" t="s">
        <v>26</v>
      </c>
      <c r="G7934" s="53"/>
    </row>
    <row r="7935">
      <c r="A7935" s="49">
        <v>44777.52587017362</v>
      </c>
      <c r="B7935" s="50">
        <v>44777.6508439583</v>
      </c>
      <c r="C7935" s="51">
        <v>1.004</v>
      </c>
      <c r="D7935" s="51">
        <v>69.0</v>
      </c>
      <c r="E7935" s="52" t="s">
        <v>25</v>
      </c>
      <c r="F7935" s="52" t="s">
        <v>26</v>
      </c>
      <c r="G7935" s="53"/>
    </row>
    <row r="7936">
      <c r="A7936" s="49">
        <v>44777.536300775464</v>
      </c>
      <c r="B7936" s="50">
        <v>44777.6612765046</v>
      </c>
      <c r="C7936" s="51">
        <v>1.004</v>
      </c>
      <c r="D7936" s="51">
        <v>69.0</v>
      </c>
      <c r="E7936" s="52" t="s">
        <v>25</v>
      </c>
      <c r="F7936" s="52" t="s">
        <v>26</v>
      </c>
      <c r="G7936" s="53"/>
    </row>
    <row r="7937">
      <c r="A7937" s="49">
        <v>44777.54674585648</v>
      </c>
      <c r="B7937" s="50">
        <v>44777.6717196064</v>
      </c>
      <c r="C7937" s="51">
        <v>1.004</v>
      </c>
      <c r="D7937" s="51">
        <v>70.0</v>
      </c>
      <c r="E7937" s="52" t="s">
        <v>25</v>
      </c>
      <c r="F7937" s="52" t="s">
        <v>26</v>
      </c>
      <c r="G7937" s="53"/>
    </row>
    <row r="7938">
      <c r="A7938" s="49">
        <v>44777.55717408565</v>
      </c>
      <c r="B7938" s="50">
        <v>44777.6821417476</v>
      </c>
      <c r="C7938" s="51">
        <v>1.004</v>
      </c>
      <c r="D7938" s="51">
        <v>69.0</v>
      </c>
      <c r="E7938" s="52" t="s">
        <v>25</v>
      </c>
      <c r="F7938" s="52" t="s">
        <v>26</v>
      </c>
      <c r="G7938" s="53"/>
    </row>
    <row r="7939">
      <c r="A7939" s="49">
        <v>44777.567592708336</v>
      </c>
      <c r="B7939" s="50">
        <v>44777.6925629398</v>
      </c>
      <c r="C7939" s="51">
        <v>1.004</v>
      </c>
      <c r="D7939" s="51">
        <v>69.0</v>
      </c>
      <c r="E7939" s="52" t="s">
        <v>25</v>
      </c>
      <c r="F7939" s="52" t="s">
        <v>26</v>
      </c>
      <c r="G7939" s="53"/>
    </row>
    <row r="7940">
      <c r="A7940" s="49">
        <v>44777.5780130787</v>
      </c>
      <c r="B7940" s="50">
        <v>44777.7029830324</v>
      </c>
      <c r="C7940" s="51">
        <v>1.004</v>
      </c>
      <c r="D7940" s="51">
        <v>69.0</v>
      </c>
      <c r="E7940" s="52" t="s">
        <v>25</v>
      </c>
      <c r="F7940" s="52" t="s">
        <v>26</v>
      </c>
      <c r="G7940" s="53"/>
    </row>
    <row r="7941">
      <c r="A7941" s="49">
        <v>44777.58845768518</v>
      </c>
      <c r="B7941" s="50">
        <v>44777.713405868</v>
      </c>
      <c r="C7941" s="51">
        <v>1.004</v>
      </c>
      <c r="D7941" s="51">
        <v>69.0</v>
      </c>
      <c r="E7941" s="52" t="s">
        <v>25</v>
      </c>
      <c r="F7941" s="52" t="s">
        <v>26</v>
      </c>
      <c r="G7941" s="53"/>
    </row>
    <row r="7942">
      <c r="A7942" s="49">
        <v>44777.59886086806</v>
      </c>
      <c r="B7942" s="50">
        <v>44777.7238400347</v>
      </c>
      <c r="C7942" s="51">
        <v>1.004</v>
      </c>
      <c r="D7942" s="51">
        <v>69.0</v>
      </c>
      <c r="E7942" s="52" t="s">
        <v>25</v>
      </c>
      <c r="F7942" s="52" t="s">
        <v>26</v>
      </c>
      <c r="G7942" s="53"/>
    </row>
    <row r="7943">
      <c r="A7943" s="49">
        <v>44777.60928440972</v>
      </c>
      <c r="B7943" s="50">
        <v>44777.7342592476</v>
      </c>
      <c r="C7943" s="51">
        <v>1.004</v>
      </c>
      <c r="D7943" s="51">
        <v>69.0</v>
      </c>
      <c r="E7943" s="52" t="s">
        <v>25</v>
      </c>
      <c r="F7943" s="52" t="s">
        <v>26</v>
      </c>
      <c r="G7943" s="53"/>
    </row>
    <row r="7944">
      <c r="A7944" s="49">
        <v>44777.6197025</v>
      </c>
      <c r="B7944" s="50">
        <v>44777.7446802546</v>
      </c>
      <c r="C7944" s="51">
        <v>1.004</v>
      </c>
      <c r="D7944" s="51">
        <v>70.0</v>
      </c>
      <c r="E7944" s="52" t="s">
        <v>25</v>
      </c>
      <c r="F7944" s="52" t="s">
        <v>26</v>
      </c>
      <c r="G7944" s="53"/>
    </row>
    <row r="7945">
      <c r="A7945" s="49">
        <v>44777.63012623842</v>
      </c>
      <c r="B7945" s="50">
        <v>44777.7551002662</v>
      </c>
      <c r="C7945" s="51">
        <v>1.004</v>
      </c>
      <c r="D7945" s="51">
        <v>69.0</v>
      </c>
      <c r="E7945" s="52" t="s">
        <v>25</v>
      </c>
      <c r="F7945" s="52" t="s">
        <v>26</v>
      </c>
      <c r="G7945" s="53"/>
    </row>
    <row r="7946">
      <c r="A7946" s="49">
        <v>44777.64054622685</v>
      </c>
      <c r="B7946" s="50">
        <v>44777.7655191666</v>
      </c>
      <c r="C7946" s="51">
        <v>1.004</v>
      </c>
      <c r="D7946" s="51">
        <v>69.0</v>
      </c>
      <c r="E7946" s="52" t="s">
        <v>25</v>
      </c>
      <c r="F7946" s="52" t="s">
        <v>26</v>
      </c>
      <c r="G7946" s="53"/>
    </row>
    <row r="7947">
      <c r="A7947" s="49">
        <v>44777.65097993056</v>
      </c>
      <c r="B7947" s="50">
        <v>44777.7759512268</v>
      </c>
      <c r="C7947" s="51">
        <v>1.004</v>
      </c>
      <c r="D7947" s="51">
        <v>69.0</v>
      </c>
      <c r="E7947" s="52" t="s">
        <v>25</v>
      </c>
      <c r="F7947" s="52" t="s">
        <v>26</v>
      </c>
      <c r="G7947" s="53"/>
    </row>
    <row r="7948">
      <c r="A7948" s="49">
        <v>44777.66140383102</v>
      </c>
      <c r="B7948" s="50">
        <v>44777.7863713541</v>
      </c>
      <c r="C7948" s="51">
        <v>1.004</v>
      </c>
      <c r="D7948" s="51">
        <v>69.0</v>
      </c>
      <c r="E7948" s="52" t="s">
        <v>25</v>
      </c>
      <c r="F7948" s="52" t="s">
        <v>26</v>
      </c>
      <c r="G7948" s="53"/>
    </row>
    <row r="7949">
      <c r="A7949" s="49">
        <v>44777.672474652776</v>
      </c>
      <c r="B7949" s="50">
        <v>44777.7968051157</v>
      </c>
      <c r="C7949" s="51">
        <v>1.004</v>
      </c>
      <c r="D7949" s="51">
        <v>69.0</v>
      </c>
      <c r="E7949" s="52" t="s">
        <v>25</v>
      </c>
      <c r="F7949" s="52" t="s">
        <v>26</v>
      </c>
      <c r="G7949" s="53"/>
    </row>
    <row r="7950">
      <c r="A7950" s="49">
        <v>44777.68225424769</v>
      </c>
      <c r="B7950" s="50">
        <v>44777.8072254861</v>
      </c>
      <c r="C7950" s="51">
        <v>1.004</v>
      </c>
      <c r="D7950" s="51">
        <v>70.0</v>
      </c>
      <c r="E7950" s="52" t="s">
        <v>25</v>
      </c>
      <c r="F7950" s="52" t="s">
        <v>26</v>
      </c>
      <c r="G7950" s="53"/>
    </row>
    <row r="7951">
      <c r="A7951" s="49">
        <v>44777.69267608796</v>
      </c>
      <c r="B7951" s="50">
        <v>44777.8176460069</v>
      </c>
      <c r="C7951" s="51">
        <v>1.004</v>
      </c>
      <c r="D7951" s="51">
        <v>70.0</v>
      </c>
      <c r="E7951" s="52" t="s">
        <v>25</v>
      </c>
      <c r="F7951" s="52" t="s">
        <v>26</v>
      </c>
      <c r="G7951" s="53"/>
    </row>
    <row r="7952">
      <c r="A7952" s="49">
        <v>44777.703096655096</v>
      </c>
      <c r="B7952" s="50">
        <v>44777.8280659606</v>
      </c>
      <c r="C7952" s="51">
        <v>1.004</v>
      </c>
      <c r="D7952" s="51">
        <v>69.0</v>
      </c>
      <c r="E7952" s="52" t="s">
        <v>25</v>
      </c>
      <c r="F7952" s="52" t="s">
        <v>26</v>
      </c>
      <c r="G7952" s="53"/>
    </row>
    <row r="7953">
      <c r="A7953" s="49">
        <v>44777.71351888889</v>
      </c>
      <c r="B7953" s="50">
        <v>44777.8384870949</v>
      </c>
      <c r="C7953" s="51">
        <v>1.004</v>
      </c>
      <c r="D7953" s="51">
        <v>70.0</v>
      </c>
      <c r="E7953" s="52" t="s">
        <v>25</v>
      </c>
      <c r="F7953" s="52" t="s">
        <v>26</v>
      </c>
      <c r="G7953" s="53"/>
    </row>
    <row r="7954">
      <c r="A7954" s="49">
        <v>44777.72393822917</v>
      </c>
      <c r="B7954" s="50">
        <v>44777.8489085416</v>
      </c>
      <c r="C7954" s="51">
        <v>1.004</v>
      </c>
      <c r="D7954" s="51">
        <v>70.0</v>
      </c>
      <c r="E7954" s="52" t="s">
        <v>25</v>
      </c>
      <c r="F7954" s="52" t="s">
        <v>26</v>
      </c>
      <c r="G7954" s="53"/>
    </row>
    <row r="7955">
      <c r="A7955" s="49">
        <v>44777.73435828704</v>
      </c>
      <c r="B7955" s="50">
        <v>44777.8593285763</v>
      </c>
      <c r="C7955" s="51">
        <v>1.004</v>
      </c>
      <c r="D7955" s="51">
        <v>70.0</v>
      </c>
      <c r="E7955" s="52" t="s">
        <v>25</v>
      </c>
      <c r="F7955" s="52" t="s">
        <v>26</v>
      </c>
      <c r="G7955" s="53"/>
    </row>
    <row r="7956">
      <c r="A7956" s="49">
        <v>44777.7447956713</v>
      </c>
      <c r="B7956" s="50">
        <v>44777.8697617361</v>
      </c>
      <c r="C7956" s="51">
        <v>1.004</v>
      </c>
      <c r="D7956" s="51">
        <v>70.0</v>
      </c>
      <c r="E7956" s="52" t="s">
        <v>25</v>
      </c>
      <c r="F7956" s="52" t="s">
        <v>26</v>
      </c>
      <c r="G7956" s="53"/>
    </row>
    <row r="7957">
      <c r="A7957" s="49">
        <v>44777.755214675926</v>
      </c>
      <c r="B7957" s="50">
        <v>44777.8801821759</v>
      </c>
      <c r="C7957" s="51">
        <v>1.004</v>
      </c>
      <c r="D7957" s="51">
        <v>70.0</v>
      </c>
      <c r="E7957" s="52" t="s">
        <v>25</v>
      </c>
      <c r="F7957" s="52" t="s">
        <v>26</v>
      </c>
      <c r="G7957" s="53"/>
    </row>
    <row r="7958">
      <c r="A7958" s="49">
        <v>44777.76563483797</v>
      </c>
      <c r="B7958" s="50">
        <v>44777.8906030902</v>
      </c>
      <c r="C7958" s="51">
        <v>1.004</v>
      </c>
      <c r="D7958" s="51">
        <v>70.0</v>
      </c>
      <c r="E7958" s="52" t="s">
        <v>25</v>
      </c>
      <c r="F7958" s="52" t="s">
        <v>26</v>
      </c>
      <c r="G7958" s="53"/>
    </row>
    <row r="7959">
      <c r="A7959" s="49">
        <v>44777.77605231482</v>
      </c>
      <c r="B7959" s="50">
        <v>44777.9010256597</v>
      </c>
      <c r="C7959" s="51">
        <v>1.004</v>
      </c>
      <c r="D7959" s="51">
        <v>70.0</v>
      </c>
      <c r="E7959" s="52" t="s">
        <v>25</v>
      </c>
      <c r="F7959" s="52" t="s">
        <v>26</v>
      </c>
      <c r="G7959" s="53"/>
    </row>
    <row r="7960">
      <c r="A7960" s="49">
        <v>44777.78647525463</v>
      </c>
      <c r="B7960" s="50">
        <v>44777.9114466782</v>
      </c>
      <c r="C7960" s="51">
        <v>1.004</v>
      </c>
      <c r="D7960" s="51">
        <v>70.0</v>
      </c>
      <c r="E7960" s="52" t="s">
        <v>25</v>
      </c>
      <c r="F7960" s="52" t="s">
        <v>26</v>
      </c>
      <c r="G7960" s="53"/>
    </row>
    <row r="7961">
      <c r="A7961" s="49">
        <v>44777.79689145833</v>
      </c>
      <c r="B7961" s="50">
        <v>44777.921868831</v>
      </c>
      <c r="C7961" s="51">
        <v>1.004</v>
      </c>
      <c r="D7961" s="51">
        <v>70.0</v>
      </c>
      <c r="E7961" s="52" t="s">
        <v>25</v>
      </c>
      <c r="F7961" s="52" t="s">
        <v>26</v>
      </c>
      <c r="G7961" s="53"/>
    </row>
    <row r="7962">
      <c r="A7962" s="49">
        <v>44777.80732184028</v>
      </c>
      <c r="B7962" s="50">
        <v>44777.9322913889</v>
      </c>
      <c r="C7962" s="51">
        <v>1.004</v>
      </c>
      <c r="D7962" s="51">
        <v>70.0</v>
      </c>
      <c r="E7962" s="52" t="s">
        <v>25</v>
      </c>
      <c r="F7962" s="52" t="s">
        <v>26</v>
      </c>
      <c r="G7962" s="53"/>
    </row>
    <row r="7963">
      <c r="A7963" s="49">
        <v>44777.81773664352</v>
      </c>
      <c r="B7963" s="50">
        <v>44777.9427135879</v>
      </c>
      <c r="C7963" s="51">
        <v>1.004</v>
      </c>
      <c r="D7963" s="51">
        <v>70.0</v>
      </c>
      <c r="E7963" s="52" t="s">
        <v>25</v>
      </c>
      <c r="F7963" s="52" t="s">
        <v>26</v>
      </c>
      <c r="G7963" s="53"/>
    </row>
    <row r="7964">
      <c r="A7964" s="49">
        <v>44777.828177152776</v>
      </c>
      <c r="B7964" s="50">
        <v>44777.9531466435</v>
      </c>
      <c r="C7964" s="51">
        <v>1.004</v>
      </c>
      <c r="D7964" s="51">
        <v>70.0</v>
      </c>
      <c r="E7964" s="52" t="s">
        <v>25</v>
      </c>
      <c r="F7964" s="52" t="s">
        <v>26</v>
      </c>
      <c r="G7964" s="53"/>
    </row>
    <row r="7965">
      <c r="A7965" s="49">
        <v>44777.838597291666</v>
      </c>
      <c r="B7965" s="50">
        <v>44777.9635684027</v>
      </c>
      <c r="C7965" s="51">
        <v>1.004</v>
      </c>
      <c r="D7965" s="51">
        <v>70.0</v>
      </c>
      <c r="E7965" s="52" t="s">
        <v>25</v>
      </c>
      <c r="F7965" s="52" t="s">
        <v>26</v>
      </c>
      <c r="G7965" s="53"/>
    </row>
    <row r="7966">
      <c r="A7966" s="49">
        <v>44777.84902271991</v>
      </c>
      <c r="B7966" s="50">
        <v>44777.9739905092</v>
      </c>
      <c r="C7966" s="51">
        <v>1.004</v>
      </c>
      <c r="D7966" s="51">
        <v>70.0</v>
      </c>
      <c r="E7966" s="52" t="s">
        <v>25</v>
      </c>
      <c r="F7966" s="52" t="s">
        <v>26</v>
      </c>
      <c r="G7966" s="53"/>
    </row>
    <row r="7967">
      <c r="A7967" s="49">
        <v>44777.85944252315</v>
      </c>
      <c r="B7967" s="50">
        <v>44777.984412199</v>
      </c>
      <c r="C7967" s="51">
        <v>1.003</v>
      </c>
      <c r="D7967" s="51">
        <v>70.0</v>
      </c>
      <c r="E7967" s="52" t="s">
        <v>25</v>
      </c>
      <c r="F7967" s="52" t="s">
        <v>26</v>
      </c>
      <c r="G7967" s="53"/>
    </row>
    <row r="7968">
      <c r="A7968" s="49">
        <v>44777.86986167824</v>
      </c>
      <c r="B7968" s="50">
        <v>44777.9948314351</v>
      </c>
      <c r="C7968" s="51">
        <v>1.004</v>
      </c>
      <c r="D7968" s="51">
        <v>70.0</v>
      </c>
      <c r="E7968" s="52" t="s">
        <v>25</v>
      </c>
      <c r="F7968" s="52" t="s">
        <v>26</v>
      </c>
      <c r="G7968" s="53"/>
    </row>
    <row r="7969">
      <c r="A7969" s="49">
        <v>44777.8802849537</v>
      </c>
      <c r="B7969" s="50">
        <v>44778.005252662</v>
      </c>
      <c r="C7969" s="51">
        <v>1.004</v>
      </c>
      <c r="D7969" s="51">
        <v>70.0</v>
      </c>
      <c r="E7969" s="52" t="s">
        <v>25</v>
      </c>
      <c r="F7969" s="52" t="s">
        <v>26</v>
      </c>
      <c r="G7969" s="53"/>
    </row>
    <row r="7970">
      <c r="A7970" s="49">
        <v>44777.89069893518</v>
      </c>
      <c r="B7970" s="50">
        <v>44778.0156756018</v>
      </c>
      <c r="C7970" s="51">
        <v>1.004</v>
      </c>
      <c r="D7970" s="51">
        <v>70.0</v>
      </c>
      <c r="E7970" s="52" t="s">
        <v>25</v>
      </c>
      <c r="F7970" s="52" t="s">
        <v>26</v>
      </c>
      <c r="G7970" s="53"/>
    </row>
    <row r="7971">
      <c r="A7971" s="49">
        <v>44777.90112833334</v>
      </c>
      <c r="B7971" s="50">
        <v>44778.0260973842</v>
      </c>
      <c r="C7971" s="51">
        <v>1.004</v>
      </c>
      <c r="D7971" s="51">
        <v>70.0</v>
      </c>
      <c r="E7971" s="52" t="s">
        <v>25</v>
      </c>
      <c r="F7971" s="52" t="s">
        <v>26</v>
      </c>
      <c r="G7971" s="53"/>
    </row>
    <row r="7972">
      <c r="A7972" s="49">
        <v>44777.91154680555</v>
      </c>
      <c r="B7972" s="50">
        <v>44778.036516875</v>
      </c>
      <c r="C7972" s="51">
        <v>1.004</v>
      </c>
      <c r="D7972" s="51">
        <v>70.0</v>
      </c>
      <c r="E7972" s="52" t="s">
        <v>25</v>
      </c>
      <c r="F7972" s="52" t="s">
        <v>26</v>
      </c>
      <c r="G7972" s="53"/>
    </row>
    <row r="7973">
      <c r="A7973" s="49">
        <v>44777.92196637731</v>
      </c>
      <c r="B7973" s="50">
        <v>44778.0469379398</v>
      </c>
      <c r="C7973" s="51">
        <v>1.004</v>
      </c>
      <c r="D7973" s="51">
        <v>70.0</v>
      </c>
      <c r="E7973" s="52" t="s">
        <v>25</v>
      </c>
      <c r="F7973" s="52" t="s">
        <v>26</v>
      </c>
      <c r="G7973" s="53"/>
    </row>
    <row r="7974">
      <c r="A7974" s="49">
        <v>44777.93239246528</v>
      </c>
      <c r="B7974" s="50">
        <v>44778.0573601388</v>
      </c>
      <c r="C7974" s="51">
        <v>1.004</v>
      </c>
      <c r="D7974" s="51">
        <v>70.0</v>
      </c>
      <c r="E7974" s="52" t="s">
        <v>25</v>
      </c>
      <c r="F7974" s="52" t="s">
        <v>26</v>
      </c>
      <c r="G7974" s="53"/>
    </row>
    <row r="7975">
      <c r="A7975" s="49">
        <v>44777.94281172454</v>
      </c>
      <c r="B7975" s="50">
        <v>44778.0677803935</v>
      </c>
      <c r="C7975" s="51">
        <v>1.004</v>
      </c>
      <c r="D7975" s="51">
        <v>70.0</v>
      </c>
      <c r="E7975" s="52" t="s">
        <v>25</v>
      </c>
      <c r="F7975" s="52" t="s">
        <v>26</v>
      </c>
      <c r="G7975" s="53"/>
    </row>
    <row r="7976">
      <c r="A7976" s="49">
        <v>44777.9532328125</v>
      </c>
      <c r="B7976" s="50">
        <v>44778.0782023264</v>
      </c>
      <c r="C7976" s="51">
        <v>1.004</v>
      </c>
      <c r="D7976" s="51">
        <v>70.0</v>
      </c>
      <c r="E7976" s="52" t="s">
        <v>25</v>
      </c>
      <c r="F7976" s="52" t="s">
        <v>26</v>
      </c>
      <c r="G7976" s="53"/>
    </row>
    <row r="7977">
      <c r="A7977" s="49">
        <v>44777.963652418985</v>
      </c>
      <c r="B7977" s="50">
        <v>44778.088623831</v>
      </c>
      <c r="C7977" s="51">
        <v>1.004</v>
      </c>
      <c r="D7977" s="51">
        <v>70.0</v>
      </c>
      <c r="E7977" s="52" t="s">
        <v>25</v>
      </c>
      <c r="F7977" s="52" t="s">
        <v>26</v>
      </c>
      <c r="G7977" s="53"/>
    </row>
    <row r="7978">
      <c r="A7978" s="49">
        <v>44777.97406707176</v>
      </c>
      <c r="B7978" s="50">
        <v>44778.0990449884</v>
      </c>
      <c r="C7978" s="51">
        <v>1.004</v>
      </c>
      <c r="D7978" s="51">
        <v>70.0</v>
      </c>
      <c r="E7978" s="52" t="s">
        <v>25</v>
      </c>
      <c r="F7978" s="52" t="s">
        <v>26</v>
      </c>
      <c r="G7978" s="53"/>
    </row>
    <row r="7979">
      <c r="A7979" s="49">
        <v>44777.98451016204</v>
      </c>
      <c r="B7979" s="50">
        <v>44778.1094782407</v>
      </c>
      <c r="C7979" s="51">
        <v>1.004</v>
      </c>
      <c r="D7979" s="51">
        <v>70.0</v>
      </c>
      <c r="E7979" s="52" t="s">
        <v>25</v>
      </c>
      <c r="F7979" s="52" t="s">
        <v>26</v>
      </c>
      <c r="G7979" s="53"/>
    </row>
    <row r="7980">
      <c r="A7980" s="49">
        <v>44777.99492946759</v>
      </c>
      <c r="B7980" s="50">
        <v>44778.1198991435</v>
      </c>
      <c r="C7980" s="51">
        <v>1.004</v>
      </c>
      <c r="D7980" s="51">
        <v>70.0</v>
      </c>
      <c r="E7980" s="52" t="s">
        <v>25</v>
      </c>
      <c r="F7980" s="52" t="s">
        <v>26</v>
      </c>
      <c r="G7980" s="53"/>
    </row>
    <row r="7981">
      <c r="A7981" s="49">
        <v>44778.005348252314</v>
      </c>
      <c r="B7981" s="50">
        <v>44778.1303210532</v>
      </c>
      <c r="C7981" s="51">
        <v>1.004</v>
      </c>
      <c r="D7981" s="51">
        <v>70.0</v>
      </c>
      <c r="E7981" s="52" t="s">
        <v>25</v>
      </c>
      <c r="F7981" s="52" t="s">
        <v>26</v>
      </c>
      <c r="G7981" s="53"/>
    </row>
    <row r="7982">
      <c r="A7982" s="49">
        <v>44778.01576137732</v>
      </c>
      <c r="B7982" s="50">
        <v>44778.1407419907</v>
      </c>
      <c r="C7982" s="51">
        <v>1.004</v>
      </c>
      <c r="D7982" s="51">
        <v>70.0</v>
      </c>
      <c r="E7982" s="52" t="s">
        <v>25</v>
      </c>
      <c r="F7982" s="52" t="s">
        <v>26</v>
      </c>
      <c r="G7982" s="53"/>
    </row>
    <row r="7983">
      <c r="A7983" s="49">
        <v>44778.02618350694</v>
      </c>
      <c r="B7983" s="50">
        <v>44778.15116353</v>
      </c>
      <c r="C7983" s="51">
        <v>1.004</v>
      </c>
      <c r="D7983" s="51">
        <v>70.0</v>
      </c>
      <c r="E7983" s="52" t="s">
        <v>25</v>
      </c>
      <c r="F7983" s="52" t="s">
        <v>26</v>
      </c>
      <c r="G7983" s="53"/>
    </row>
    <row r="7984">
      <c r="A7984" s="49">
        <v>44778.03661915509</v>
      </c>
      <c r="B7984" s="50">
        <v>44778.1615842939</v>
      </c>
      <c r="C7984" s="51">
        <v>1.004</v>
      </c>
      <c r="D7984" s="51">
        <v>70.0</v>
      </c>
      <c r="E7984" s="52" t="s">
        <v>25</v>
      </c>
      <c r="F7984" s="52" t="s">
        <v>26</v>
      </c>
      <c r="G7984" s="53"/>
    </row>
    <row r="7985">
      <c r="A7985" s="49">
        <v>44778.04703537037</v>
      </c>
      <c r="B7985" s="50">
        <v>44778.1720071759</v>
      </c>
      <c r="C7985" s="51">
        <v>1.004</v>
      </c>
      <c r="D7985" s="51">
        <v>70.0</v>
      </c>
      <c r="E7985" s="52" t="s">
        <v>25</v>
      </c>
      <c r="F7985" s="52" t="s">
        <v>26</v>
      </c>
      <c r="G7985" s="53"/>
    </row>
    <row r="7986">
      <c r="A7986" s="49">
        <v>44778.057452141205</v>
      </c>
      <c r="B7986" s="50">
        <v>44778.1824278472</v>
      </c>
      <c r="C7986" s="51">
        <v>1.004</v>
      </c>
      <c r="D7986" s="51">
        <v>70.0</v>
      </c>
      <c r="E7986" s="52" t="s">
        <v>25</v>
      </c>
      <c r="F7986" s="52" t="s">
        <v>26</v>
      </c>
      <c r="G7986" s="53"/>
    </row>
    <row r="7987">
      <c r="A7987" s="49">
        <v>44778.06788209491</v>
      </c>
      <c r="B7987" s="50">
        <v>44778.1928507523</v>
      </c>
      <c r="C7987" s="51">
        <v>1.004</v>
      </c>
      <c r="D7987" s="51">
        <v>70.0</v>
      </c>
      <c r="E7987" s="52" t="s">
        <v>25</v>
      </c>
      <c r="F7987" s="52" t="s">
        <v>26</v>
      </c>
      <c r="G7987" s="53"/>
    </row>
    <row r="7988">
      <c r="A7988" s="49">
        <v>44778.07830130787</v>
      </c>
      <c r="B7988" s="50">
        <v>44778.2032702314</v>
      </c>
      <c r="C7988" s="51">
        <v>1.004</v>
      </c>
      <c r="D7988" s="51">
        <v>70.0</v>
      </c>
      <c r="E7988" s="52" t="s">
        <v>25</v>
      </c>
      <c r="F7988" s="52" t="s">
        <v>26</v>
      </c>
      <c r="G7988" s="53"/>
    </row>
    <row r="7989">
      <c r="A7989" s="49">
        <v>44778.08872373843</v>
      </c>
      <c r="B7989" s="50">
        <v>44778.2136913657</v>
      </c>
      <c r="C7989" s="51">
        <v>1.004</v>
      </c>
      <c r="D7989" s="51">
        <v>70.0</v>
      </c>
      <c r="E7989" s="52" t="s">
        <v>25</v>
      </c>
      <c r="F7989" s="52" t="s">
        <v>26</v>
      </c>
      <c r="G7989" s="53"/>
    </row>
    <row r="7990">
      <c r="A7990" s="49">
        <v>44778.09914121528</v>
      </c>
      <c r="B7990" s="50">
        <v>44778.2241134259</v>
      </c>
      <c r="C7990" s="51">
        <v>1.004</v>
      </c>
      <c r="D7990" s="51">
        <v>70.0</v>
      </c>
      <c r="E7990" s="52" t="s">
        <v>25</v>
      </c>
      <c r="F7990" s="52" t="s">
        <v>26</v>
      </c>
      <c r="G7990" s="53"/>
    </row>
    <row r="7991">
      <c r="A7991" s="49">
        <v>44778.10955717592</v>
      </c>
      <c r="B7991" s="50">
        <v>44778.2345351967</v>
      </c>
      <c r="C7991" s="51">
        <v>1.004</v>
      </c>
      <c r="D7991" s="51">
        <v>70.0</v>
      </c>
      <c r="E7991" s="52" t="s">
        <v>25</v>
      </c>
      <c r="F7991" s="52" t="s">
        <v>26</v>
      </c>
      <c r="G7991" s="53"/>
    </row>
    <row r="7992">
      <c r="A7992" s="49">
        <v>44778.11998611111</v>
      </c>
      <c r="B7992" s="50">
        <v>44778.2449561458</v>
      </c>
      <c r="C7992" s="51">
        <v>1.004</v>
      </c>
      <c r="D7992" s="51">
        <v>70.0</v>
      </c>
      <c r="E7992" s="52" t="s">
        <v>25</v>
      </c>
      <c r="F7992" s="52" t="s">
        <v>26</v>
      </c>
      <c r="G7992" s="53"/>
    </row>
    <row r="7993">
      <c r="A7993" s="49">
        <v>44778.13040576389</v>
      </c>
      <c r="B7993" s="50">
        <v>44778.2553764004</v>
      </c>
      <c r="C7993" s="51">
        <v>1.004</v>
      </c>
      <c r="D7993" s="51">
        <v>70.0</v>
      </c>
      <c r="E7993" s="52" t="s">
        <v>25</v>
      </c>
      <c r="F7993" s="52" t="s">
        <v>26</v>
      </c>
      <c r="G7993" s="53"/>
    </row>
    <row r="7994">
      <c r="A7994" s="49">
        <v>44778.1408353588</v>
      </c>
      <c r="B7994" s="50">
        <v>44778.2658099768</v>
      </c>
      <c r="C7994" s="51">
        <v>1.004</v>
      </c>
      <c r="D7994" s="51">
        <v>70.0</v>
      </c>
      <c r="E7994" s="52" t="s">
        <v>25</v>
      </c>
      <c r="F7994" s="52" t="s">
        <v>26</v>
      </c>
      <c r="G7994" s="53"/>
    </row>
    <row r="7995">
      <c r="A7995" s="49">
        <v>44778.15125585649</v>
      </c>
      <c r="B7995" s="50">
        <v>44778.2762285879</v>
      </c>
      <c r="C7995" s="51">
        <v>1.004</v>
      </c>
      <c r="D7995" s="51">
        <v>70.0</v>
      </c>
      <c r="E7995" s="52" t="s">
        <v>25</v>
      </c>
      <c r="F7995" s="52" t="s">
        <v>26</v>
      </c>
      <c r="G7995" s="53"/>
    </row>
    <row r="7996">
      <c r="A7996" s="49">
        <v>44778.161685960644</v>
      </c>
      <c r="B7996" s="50">
        <v>44778.2866506134</v>
      </c>
      <c r="C7996" s="51">
        <v>1.004</v>
      </c>
      <c r="D7996" s="51">
        <v>70.0</v>
      </c>
      <c r="E7996" s="52" t="s">
        <v>25</v>
      </c>
      <c r="F7996" s="52" t="s">
        <v>26</v>
      </c>
      <c r="G7996" s="53"/>
    </row>
    <row r="7997">
      <c r="A7997" s="49">
        <v>44778.17213520833</v>
      </c>
      <c r="B7997" s="50">
        <v>44778.2970963888</v>
      </c>
      <c r="C7997" s="51">
        <v>1.004</v>
      </c>
      <c r="D7997" s="51">
        <v>70.0</v>
      </c>
      <c r="E7997" s="52" t="s">
        <v>25</v>
      </c>
      <c r="F7997" s="52" t="s">
        <v>26</v>
      </c>
      <c r="G7997" s="53"/>
    </row>
    <row r="7998">
      <c r="A7998" s="49">
        <v>44778.182561319445</v>
      </c>
      <c r="B7998" s="50">
        <v>44778.3075295486</v>
      </c>
      <c r="C7998" s="51">
        <v>1.004</v>
      </c>
      <c r="D7998" s="51">
        <v>70.0</v>
      </c>
      <c r="E7998" s="52" t="s">
        <v>25</v>
      </c>
      <c r="F7998" s="52" t="s">
        <v>26</v>
      </c>
      <c r="G7998" s="53"/>
    </row>
    <row r="7999">
      <c r="A7999" s="49">
        <v>44778.19298400463</v>
      </c>
      <c r="B7999" s="50">
        <v>44778.3179517824</v>
      </c>
      <c r="C7999" s="51">
        <v>1.004</v>
      </c>
      <c r="D7999" s="51">
        <v>70.0</v>
      </c>
      <c r="E7999" s="52" t="s">
        <v>25</v>
      </c>
      <c r="F7999" s="52" t="s">
        <v>26</v>
      </c>
      <c r="G7999" s="53"/>
    </row>
    <row r="8000">
      <c r="A8000" s="49">
        <v>44778.20340871528</v>
      </c>
      <c r="B8000" s="50">
        <v>44778.3283839814</v>
      </c>
      <c r="C8000" s="51">
        <v>1.004</v>
      </c>
      <c r="D8000" s="51">
        <v>70.0</v>
      </c>
      <c r="E8000" s="52" t="s">
        <v>25</v>
      </c>
      <c r="F8000" s="52" t="s">
        <v>26</v>
      </c>
      <c r="G8000" s="53"/>
    </row>
    <row r="8001">
      <c r="A8001" s="49">
        <v>44778.213839178236</v>
      </c>
      <c r="B8001" s="50">
        <v>44778.3388078125</v>
      </c>
      <c r="C8001" s="51">
        <v>1.004</v>
      </c>
      <c r="D8001" s="51">
        <v>70.0</v>
      </c>
      <c r="E8001" s="52" t="s">
        <v>25</v>
      </c>
      <c r="F8001" s="52" t="s">
        <v>26</v>
      </c>
      <c r="G8001" s="53"/>
    </row>
    <row r="8002">
      <c r="A8002" s="49">
        <v>44778.22426855324</v>
      </c>
      <c r="B8002" s="50">
        <v>44778.3492397453</v>
      </c>
      <c r="C8002" s="51">
        <v>1.004</v>
      </c>
      <c r="D8002" s="51">
        <v>70.0</v>
      </c>
      <c r="E8002" s="52" t="s">
        <v>25</v>
      </c>
      <c r="F8002" s="52" t="s">
        <v>26</v>
      </c>
      <c r="G8002" s="53"/>
    </row>
    <row r="8003">
      <c r="A8003" s="49">
        <v>44778.23468879629</v>
      </c>
      <c r="B8003" s="50">
        <v>44778.3596607407</v>
      </c>
      <c r="C8003" s="51">
        <v>1.004</v>
      </c>
      <c r="D8003" s="51">
        <v>70.0</v>
      </c>
      <c r="E8003" s="52" t="s">
        <v>25</v>
      </c>
      <c r="F8003" s="52" t="s">
        <v>26</v>
      </c>
      <c r="G8003" s="53"/>
    </row>
    <row r="8004">
      <c r="A8004" s="49">
        <v>44778.24511421296</v>
      </c>
      <c r="B8004" s="50">
        <v>44778.3700822222</v>
      </c>
      <c r="C8004" s="51">
        <v>1.004</v>
      </c>
      <c r="D8004" s="51">
        <v>70.0</v>
      </c>
      <c r="E8004" s="52" t="s">
        <v>25</v>
      </c>
      <c r="F8004" s="52" t="s">
        <v>26</v>
      </c>
      <c r="G8004" s="53"/>
    </row>
    <row r="8005">
      <c r="A8005" s="49">
        <v>44778.25553412037</v>
      </c>
      <c r="B8005" s="50">
        <v>44778.3805029745</v>
      </c>
      <c r="C8005" s="51">
        <v>1.004</v>
      </c>
      <c r="D8005" s="51">
        <v>70.0</v>
      </c>
      <c r="E8005" s="52" t="s">
        <v>25</v>
      </c>
      <c r="F8005" s="52" t="s">
        <v>26</v>
      </c>
      <c r="G8005" s="53"/>
    </row>
    <row r="8006">
      <c r="A8006" s="49">
        <v>44778.26595134259</v>
      </c>
      <c r="B8006" s="50">
        <v>44778.3909236111</v>
      </c>
      <c r="C8006" s="51">
        <v>1.004</v>
      </c>
      <c r="D8006" s="51">
        <v>70.0</v>
      </c>
      <c r="E8006" s="52" t="s">
        <v>25</v>
      </c>
      <c r="F8006" s="52" t="s">
        <v>26</v>
      </c>
      <c r="G8006" s="53"/>
    </row>
    <row r="8007">
      <c r="A8007" s="49">
        <v>44778.27639331018</v>
      </c>
      <c r="B8007" s="50">
        <v>44778.4013669212</v>
      </c>
      <c r="C8007" s="51">
        <v>1.004</v>
      </c>
      <c r="D8007" s="51">
        <v>70.0</v>
      </c>
      <c r="E8007" s="52" t="s">
        <v>25</v>
      </c>
      <c r="F8007" s="52" t="s">
        <v>26</v>
      </c>
      <c r="G8007" s="53"/>
    </row>
    <row r="8008">
      <c r="A8008" s="49">
        <v>44778.286813009254</v>
      </c>
      <c r="B8008" s="50">
        <v>44778.4117885416</v>
      </c>
      <c r="C8008" s="51">
        <v>1.003</v>
      </c>
      <c r="D8008" s="51">
        <v>70.0</v>
      </c>
      <c r="E8008" s="52" t="s">
        <v>25</v>
      </c>
      <c r="F8008" s="52" t="s">
        <v>26</v>
      </c>
      <c r="G8008" s="53"/>
    </row>
    <row r="8009">
      <c r="A8009" s="49">
        <v>44778.297251365744</v>
      </c>
      <c r="B8009" s="50">
        <v>44778.4222095949</v>
      </c>
      <c r="C8009" s="51">
        <v>1.004</v>
      </c>
      <c r="D8009" s="51">
        <v>69.0</v>
      </c>
      <c r="E8009" s="52" t="s">
        <v>25</v>
      </c>
      <c r="F8009" s="52" t="s">
        <v>26</v>
      </c>
      <c r="G8009" s="53"/>
    </row>
    <row r="8010">
      <c r="A8010" s="49">
        <v>44778.30768496528</v>
      </c>
      <c r="B8010" s="50">
        <v>44778.4326536226</v>
      </c>
      <c r="C8010" s="51">
        <v>1.003</v>
      </c>
      <c r="D8010" s="51">
        <v>68.0</v>
      </c>
      <c r="E8010" s="52" t="s">
        <v>25</v>
      </c>
      <c r="F8010" s="52" t="s">
        <v>26</v>
      </c>
      <c r="G8010" s="53"/>
    </row>
    <row r="8011">
      <c r="A8011" s="49">
        <v>44778.31811445602</v>
      </c>
      <c r="B8011" s="50">
        <v>44778.4430866666</v>
      </c>
      <c r="C8011" s="51">
        <v>1.004</v>
      </c>
      <c r="D8011" s="51">
        <v>68.0</v>
      </c>
      <c r="E8011" s="52" t="s">
        <v>25</v>
      </c>
      <c r="F8011" s="52" t="s">
        <v>26</v>
      </c>
      <c r="G8011" s="53"/>
    </row>
    <row r="8012">
      <c r="A8012" s="49">
        <v>44778.32853924768</v>
      </c>
      <c r="B8012" s="50">
        <v>44778.4535083101</v>
      </c>
      <c r="C8012" s="51">
        <v>1.004</v>
      </c>
      <c r="D8012" s="51">
        <v>67.0</v>
      </c>
      <c r="E8012" s="52" t="s">
        <v>25</v>
      </c>
      <c r="F8012" s="52" t="s">
        <v>26</v>
      </c>
      <c r="G8012" s="53"/>
    </row>
    <row r="8013">
      <c r="A8013" s="49">
        <v>44778.3389594676</v>
      </c>
      <c r="B8013" s="50">
        <v>44778.463929074</v>
      </c>
      <c r="C8013" s="51">
        <v>1.003</v>
      </c>
      <c r="D8013" s="51">
        <v>67.0</v>
      </c>
      <c r="E8013" s="52" t="s">
        <v>25</v>
      </c>
      <c r="F8013" s="52" t="s">
        <v>26</v>
      </c>
      <c r="G8013" s="53"/>
    </row>
    <row r="8014">
      <c r="A8014" s="49">
        <v>44778.34937844907</v>
      </c>
      <c r="B8014" s="50">
        <v>44778.4743504398</v>
      </c>
      <c r="C8014" s="51">
        <v>1.004</v>
      </c>
      <c r="D8014" s="51">
        <v>66.0</v>
      </c>
      <c r="E8014" s="52" t="s">
        <v>25</v>
      </c>
      <c r="F8014" s="52" t="s">
        <v>26</v>
      </c>
      <c r="G8014" s="53"/>
    </row>
    <row r="8015">
      <c r="A8015" s="49">
        <v>44778.35979555556</v>
      </c>
      <c r="B8015" s="50">
        <v>44778.4847697916</v>
      </c>
      <c r="C8015" s="51">
        <v>1.004</v>
      </c>
      <c r="D8015" s="51">
        <v>66.0</v>
      </c>
      <c r="E8015" s="52" t="s">
        <v>25</v>
      </c>
      <c r="F8015" s="52" t="s">
        <v>26</v>
      </c>
      <c r="G8015" s="53"/>
    </row>
    <row r="8016">
      <c r="A8016" s="49">
        <v>44778.370211064816</v>
      </c>
      <c r="B8016" s="50">
        <v>44778.4951907291</v>
      </c>
      <c r="C8016" s="51">
        <v>1.004</v>
      </c>
      <c r="D8016" s="51">
        <v>66.0</v>
      </c>
      <c r="E8016" s="52" t="s">
        <v>25</v>
      </c>
      <c r="F8016" s="52" t="s">
        <v>26</v>
      </c>
      <c r="G8016" s="53"/>
    </row>
    <row r="8017">
      <c r="A8017" s="49">
        <v>44778.380631203705</v>
      </c>
      <c r="B8017" s="50">
        <v>44778.5056104976</v>
      </c>
      <c r="C8017" s="51">
        <v>1.004</v>
      </c>
      <c r="D8017" s="51">
        <v>66.0</v>
      </c>
      <c r="E8017" s="52" t="s">
        <v>25</v>
      </c>
      <c r="F8017" s="52" t="s">
        <v>26</v>
      </c>
      <c r="G8017" s="53"/>
    </row>
    <row r="8018">
      <c r="A8018" s="49">
        <v>44778.391060381946</v>
      </c>
      <c r="B8018" s="50">
        <v>44778.516032905</v>
      </c>
      <c r="C8018" s="51">
        <v>1.004</v>
      </c>
      <c r="D8018" s="51">
        <v>66.0</v>
      </c>
      <c r="E8018" s="52" t="s">
        <v>25</v>
      </c>
      <c r="F8018" s="52" t="s">
        <v>26</v>
      </c>
      <c r="G8018" s="53"/>
    </row>
    <row r="8019">
      <c r="A8019" s="49">
        <v>44778.40147672454</v>
      </c>
      <c r="B8019" s="50">
        <v>44778.5264526504</v>
      </c>
      <c r="C8019" s="51">
        <v>1.004</v>
      </c>
      <c r="D8019" s="51">
        <v>66.0</v>
      </c>
      <c r="E8019" s="52" t="s">
        <v>25</v>
      </c>
      <c r="F8019" s="52" t="s">
        <v>26</v>
      </c>
      <c r="G8019" s="53"/>
    </row>
    <row r="8020">
      <c r="A8020" s="49">
        <v>44778.41190315972</v>
      </c>
      <c r="B8020" s="50">
        <v>44778.5368855671</v>
      </c>
      <c r="C8020" s="51">
        <v>1.004</v>
      </c>
      <c r="D8020" s="51">
        <v>66.0</v>
      </c>
      <c r="E8020" s="52" t="s">
        <v>25</v>
      </c>
      <c r="F8020" s="52" t="s">
        <v>26</v>
      </c>
      <c r="G8020" s="53"/>
    </row>
    <row r="8021">
      <c r="A8021" s="49">
        <v>44778.42232802083</v>
      </c>
      <c r="B8021" s="50">
        <v>44778.5473081018</v>
      </c>
      <c r="C8021" s="51">
        <v>1.004</v>
      </c>
      <c r="D8021" s="51">
        <v>66.0</v>
      </c>
      <c r="E8021" s="52" t="s">
        <v>25</v>
      </c>
      <c r="F8021" s="52" t="s">
        <v>26</v>
      </c>
      <c r="G8021" s="53"/>
    </row>
    <row r="8022">
      <c r="A8022" s="49">
        <v>44778.43276016203</v>
      </c>
      <c r="B8022" s="50">
        <v>44778.557730949</v>
      </c>
      <c r="C8022" s="51">
        <v>1.004</v>
      </c>
      <c r="D8022" s="51">
        <v>66.0</v>
      </c>
      <c r="E8022" s="52" t="s">
        <v>25</v>
      </c>
      <c r="F8022" s="52" t="s">
        <v>26</v>
      </c>
      <c r="G8022" s="53"/>
    </row>
    <row r="8023">
      <c r="A8023" s="49">
        <v>44778.443180567134</v>
      </c>
      <c r="B8023" s="50">
        <v>44778.5681512615</v>
      </c>
      <c r="C8023" s="51">
        <v>1.004</v>
      </c>
      <c r="D8023" s="51">
        <v>66.0</v>
      </c>
      <c r="E8023" s="52" t="s">
        <v>25</v>
      </c>
      <c r="F8023" s="52" t="s">
        <v>26</v>
      </c>
      <c r="G8023" s="53"/>
    </row>
    <row r="8024">
      <c r="A8024" s="49">
        <v>44778.45360982639</v>
      </c>
      <c r="B8024" s="50">
        <v>44778.5785842361</v>
      </c>
      <c r="C8024" s="51">
        <v>1.004</v>
      </c>
      <c r="D8024" s="51">
        <v>66.0</v>
      </c>
      <c r="E8024" s="52" t="s">
        <v>25</v>
      </c>
      <c r="F8024" s="52" t="s">
        <v>26</v>
      </c>
      <c r="G8024" s="53"/>
    </row>
    <row r="8025">
      <c r="A8025" s="49">
        <v>44778.46404236111</v>
      </c>
      <c r="B8025" s="50">
        <v>44778.5890066319</v>
      </c>
      <c r="C8025" s="51">
        <v>1.004</v>
      </c>
      <c r="D8025" s="51">
        <v>66.0</v>
      </c>
      <c r="E8025" s="52" t="s">
        <v>25</v>
      </c>
      <c r="F8025" s="52" t="s">
        <v>26</v>
      </c>
      <c r="G8025" s="53"/>
    </row>
    <row r="8026">
      <c r="A8026" s="49">
        <v>44778.47446684028</v>
      </c>
      <c r="B8026" s="50">
        <v>44778.5994402893</v>
      </c>
      <c r="C8026" s="51">
        <v>1.004</v>
      </c>
      <c r="D8026" s="51">
        <v>66.0</v>
      </c>
      <c r="E8026" s="52" t="s">
        <v>25</v>
      </c>
      <c r="F8026" s="52" t="s">
        <v>26</v>
      </c>
      <c r="G8026" s="53"/>
    </row>
    <row r="8027">
      <c r="A8027" s="49">
        <v>44778.4848961574</v>
      </c>
      <c r="B8027" s="50">
        <v>44778.6098725115</v>
      </c>
      <c r="C8027" s="51">
        <v>1.004</v>
      </c>
      <c r="D8027" s="51">
        <v>66.0</v>
      </c>
      <c r="E8027" s="52" t="s">
        <v>25</v>
      </c>
      <c r="F8027" s="52" t="s">
        <v>26</v>
      </c>
      <c r="G8027" s="53"/>
    </row>
    <row r="8028">
      <c r="A8028" s="49">
        <v>44778.495321145834</v>
      </c>
      <c r="B8028" s="50">
        <v>44778.6202941203</v>
      </c>
      <c r="C8028" s="51">
        <v>1.004</v>
      </c>
      <c r="D8028" s="51">
        <v>66.0</v>
      </c>
      <c r="E8028" s="52" t="s">
        <v>25</v>
      </c>
      <c r="F8028" s="52" t="s">
        <v>26</v>
      </c>
      <c r="G8028" s="53"/>
    </row>
    <row r="8029">
      <c r="A8029" s="49">
        <v>44778.50574699074</v>
      </c>
      <c r="B8029" s="50">
        <v>44778.6307144328</v>
      </c>
      <c r="C8029" s="51">
        <v>1.004</v>
      </c>
      <c r="D8029" s="51">
        <v>66.0</v>
      </c>
      <c r="E8029" s="52" t="s">
        <v>25</v>
      </c>
      <c r="F8029" s="52" t="s">
        <v>26</v>
      </c>
      <c r="G8029" s="53"/>
    </row>
    <row r="8030">
      <c r="A8030" s="49">
        <v>44778.51619247685</v>
      </c>
      <c r="B8030" s="50">
        <v>44778.6411482754</v>
      </c>
      <c r="C8030" s="51">
        <v>1.004</v>
      </c>
      <c r="D8030" s="51">
        <v>66.0</v>
      </c>
      <c r="E8030" s="52" t="s">
        <v>25</v>
      </c>
      <c r="F8030" s="52" t="s">
        <v>26</v>
      </c>
      <c r="G8030" s="53"/>
    </row>
    <row r="8031">
      <c r="A8031" s="49">
        <v>44778.526594641204</v>
      </c>
      <c r="B8031" s="50">
        <v>44778.6515697685</v>
      </c>
      <c r="C8031" s="51">
        <v>1.004</v>
      </c>
      <c r="D8031" s="51">
        <v>66.0</v>
      </c>
      <c r="E8031" s="52" t="s">
        <v>25</v>
      </c>
      <c r="F8031" s="52" t="s">
        <v>26</v>
      </c>
      <c r="G8031" s="53"/>
    </row>
    <row r="8032">
      <c r="A8032" s="49">
        <v>44778.537029074076</v>
      </c>
      <c r="B8032" s="50">
        <v>44778.6620002777</v>
      </c>
      <c r="C8032" s="51">
        <v>1.004</v>
      </c>
      <c r="D8032" s="51">
        <v>66.0</v>
      </c>
      <c r="E8032" s="52" t="s">
        <v>25</v>
      </c>
      <c r="F8032" s="52" t="s">
        <v>26</v>
      </c>
      <c r="G8032" s="53"/>
    </row>
    <row r="8033">
      <c r="A8033" s="49">
        <v>44778.547447488425</v>
      </c>
      <c r="B8033" s="50">
        <v>44778.672421331</v>
      </c>
      <c r="C8033" s="51">
        <v>1.004</v>
      </c>
      <c r="D8033" s="51">
        <v>66.0</v>
      </c>
      <c r="E8033" s="52" t="s">
        <v>25</v>
      </c>
      <c r="F8033" s="52" t="s">
        <v>26</v>
      </c>
      <c r="G8033" s="53"/>
    </row>
    <row r="8034">
      <c r="A8034" s="49">
        <v>44778.55787641204</v>
      </c>
      <c r="B8034" s="50">
        <v>44778.6828413657</v>
      </c>
      <c r="C8034" s="51">
        <v>1.004</v>
      </c>
      <c r="D8034" s="51">
        <v>66.0</v>
      </c>
      <c r="E8034" s="52" t="s">
        <v>25</v>
      </c>
      <c r="F8034" s="52" t="s">
        <v>26</v>
      </c>
      <c r="G8034" s="53"/>
    </row>
    <row r="8035">
      <c r="A8035" s="49">
        <v>44778.568292951386</v>
      </c>
      <c r="B8035" s="50">
        <v>44778.6932634722</v>
      </c>
      <c r="C8035" s="51">
        <v>1.004</v>
      </c>
      <c r="D8035" s="51">
        <v>66.0</v>
      </c>
      <c r="E8035" s="52" t="s">
        <v>25</v>
      </c>
      <c r="F8035" s="52" t="s">
        <v>26</v>
      </c>
      <c r="G8035" s="53"/>
    </row>
    <row r="8036">
      <c r="A8036" s="49">
        <v>44778.5787165625</v>
      </c>
      <c r="B8036" s="50">
        <v>44778.7036847916</v>
      </c>
      <c r="C8036" s="51">
        <v>1.004</v>
      </c>
      <c r="D8036" s="51">
        <v>66.0</v>
      </c>
      <c r="E8036" s="52" t="s">
        <v>25</v>
      </c>
      <c r="F8036" s="52" t="s">
        <v>26</v>
      </c>
      <c r="G8036" s="53"/>
    </row>
    <row r="8037">
      <c r="A8037" s="49">
        <v>44778.589134131944</v>
      </c>
      <c r="B8037" s="50">
        <v>44778.7141055671</v>
      </c>
      <c r="C8037" s="51">
        <v>1.004</v>
      </c>
      <c r="D8037" s="51">
        <v>66.0</v>
      </c>
      <c r="E8037" s="52" t="s">
        <v>25</v>
      </c>
      <c r="F8037" s="52" t="s">
        <v>26</v>
      </c>
      <c r="G8037" s="53"/>
    </row>
    <row r="8038">
      <c r="A8038" s="49">
        <v>44778.59954761574</v>
      </c>
      <c r="B8038" s="50">
        <v>44778.7245266898</v>
      </c>
      <c r="C8038" s="51">
        <v>1.004</v>
      </c>
      <c r="D8038" s="51">
        <v>66.0</v>
      </c>
      <c r="E8038" s="52" t="s">
        <v>25</v>
      </c>
      <c r="F8038" s="52" t="s">
        <v>26</v>
      </c>
      <c r="G8038" s="53"/>
    </row>
    <row r="8039">
      <c r="A8039" s="49">
        <v>44778.60998346064</v>
      </c>
      <c r="B8039" s="50">
        <v>44778.7349488425</v>
      </c>
      <c r="C8039" s="51">
        <v>1.004</v>
      </c>
      <c r="D8039" s="51">
        <v>66.0</v>
      </c>
      <c r="E8039" s="52" t="s">
        <v>25</v>
      </c>
      <c r="F8039" s="52" t="s">
        <v>26</v>
      </c>
      <c r="G8039" s="53"/>
    </row>
    <row r="8040">
      <c r="A8040" s="49">
        <v>44778.620396412036</v>
      </c>
      <c r="B8040" s="50">
        <v>44778.7453694907</v>
      </c>
      <c r="C8040" s="51">
        <v>1.004</v>
      </c>
      <c r="D8040" s="51">
        <v>66.0</v>
      </c>
      <c r="E8040" s="52" t="s">
        <v>25</v>
      </c>
      <c r="F8040" s="52" t="s">
        <v>26</v>
      </c>
      <c r="G8040" s="53"/>
    </row>
    <row r="8041">
      <c r="A8041" s="49">
        <v>44778.63081428241</v>
      </c>
      <c r="B8041" s="50">
        <v>44778.7557908796</v>
      </c>
      <c r="C8041" s="51">
        <v>1.004</v>
      </c>
      <c r="D8041" s="51">
        <v>66.0</v>
      </c>
      <c r="E8041" s="52" t="s">
        <v>25</v>
      </c>
      <c r="F8041" s="52" t="s">
        <v>26</v>
      </c>
      <c r="G8041" s="53"/>
    </row>
    <row r="8042">
      <c r="A8042" s="49">
        <v>44778.64124353009</v>
      </c>
      <c r="B8042" s="50">
        <v>44778.76621228</v>
      </c>
      <c r="C8042" s="51">
        <v>1.004</v>
      </c>
      <c r="D8042" s="51">
        <v>66.0</v>
      </c>
      <c r="E8042" s="52" t="s">
        <v>25</v>
      </c>
      <c r="F8042" s="52" t="s">
        <v>26</v>
      </c>
      <c r="G8042" s="53"/>
    </row>
    <row r="8043">
      <c r="A8043" s="49">
        <v>44778.65165984954</v>
      </c>
      <c r="B8043" s="50">
        <v>44778.7766327546</v>
      </c>
      <c r="C8043" s="51">
        <v>1.004</v>
      </c>
      <c r="D8043" s="51">
        <v>66.0</v>
      </c>
      <c r="E8043" s="52" t="s">
        <v>25</v>
      </c>
      <c r="F8043" s="52" t="s">
        <v>26</v>
      </c>
      <c r="G8043" s="53"/>
    </row>
    <row r="8044">
      <c r="A8044" s="49">
        <v>44778.66209042824</v>
      </c>
      <c r="B8044" s="50">
        <v>44778.7870545949</v>
      </c>
      <c r="C8044" s="51">
        <v>1.004</v>
      </c>
      <c r="D8044" s="51">
        <v>66.0</v>
      </c>
      <c r="E8044" s="52" t="s">
        <v>25</v>
      </c>
      <c r="F8044" s="52" t="s">
        <v>26</v>
      </c>
      <c r="G8044" s="53"/>
    </row>
    <row r="8045">
      <c r="A8045" s="49">
        <v>44778.67252152778</v>
      </c>
      <c r="B8045" s="50">
        <v>44778.797487199</v>
      </c>
      <c r="C8045" s="51">
        <v>1.004</v>
      </c>
      <c r="D8045" s="51">
        <v>66.0</v>
      </c>
      <c r="E8045" s="52" t="s">
        <v>25</v>
      </c>
      <c r="F8045" s="52" t="s">
        <v>26</v>
      </c>
      <c r="G8045" s="53"/>
    </row>
    <row r="8046">
      <c r="A8046" s="49">
        <v>44778.68294114583</v>
      </c>
      <c r="B8046" s="50">
        <v>44778.8079071296</v>
      </c>
      <c r="C8046" s="51">
        <v>1.004</v>
      </c>
      <c r="D8046" s="51">
        <v>66.0</v>
      </c>
      <c r="E8046" s="52" t="s">
        <v>25</v>
      </c>
      <c r="F8046" s="52" t="s">
        <v>26</v>
      </c>
      <c r="G8046" s="53"/>
    </row>
    <row r="8047">
      <c r="A8047" s="49">
        <v>44778.69335207176</v>
      </c>
      <c r="B8047" s="50">
        <v>44778.8183286342</v>
      </c>
      <c r="C8047" s="51">
        <v>1.004</v>
      </c>
      <c r="D8047" s="51">
        <v>66.0</v>
      </c>
      <c r="E8047" s="52" t="s">
        <v>25</v>
      </c>
      <c r="F8047" s="52" t="s">
        <v>26</v>
      </c>
      <c r="G8047" s="53"/>
    </row>
    <row r="8048">
      <c r="A8048" s="49">
        <v>44778.703782638884</v>
      </c>
      <c r="B8048" s="50">
        <v>44778.8287618865</v>
      </c>
      <c r="C8048" s="51">
        <v>1.004</v>
      </c>
      <c r="D8048" s="51">
        <v>66.0</v>
      </c>
      <c r="E8048" s="52" t="s">
        <v>25</v>
      </c>
      <c r="F8048" s="52" t="s">
        <v>26</v>
      </c>
      <c r="G8048" s="53"/>
    </row>
    <row r="8049">
      <c r="A8049" s="49">
        <v>44778.714215381944</v>
      </c>
      <c r="B8049" s="50">
        <v>44778.8391848958</v>
      </c>
      <c r="C8049" s="51">
        <v>1.004</v>
      </c>
      <c r="D8049" s="51">
        <v>66.0</v>
      </c>
      <c r="E8049" s="52" t="s">
        <v>25</v>
      </c>
      <c r="F8049" s="52" t="s">
        <v>26</v>
      </c>
      <c r="G8049" s="53"/>
    </row>
    <row r="8050">
      <c r="A8050" s="49">
        <v>44778.724632893514</v>
      </c>
      <c r="B8050" s="50">
        <v>44778.8496063773</v>
      </c>
      <c r="C8050" s="51">
        <v>1.004</v>
      </c>
      <c r="D8050" s="51">
        <v>67.0</v>
      </c>
      <c r="E8050" s="52" t="s">
        <v>25</v>
      </c>
      <c r="F8050" s="52" t="s">
        <v>26</v>
      </c>
      <c r="G8050" s="53"/>
    </row>
    <row r="8051">
      <c r="A8051" s="49">
        <v>44778.73505386574</v>
      </c>
      <c r="B8051" s="50">
        <v>44778.8600254282</v>
      </c>
      <c r="C8051" s="51">
        <v>1.004</v>
      </c>
      <c r="D8051" s="51">
        <v>67.0</v>
      </c>
      <c r="E8051" s="52" t="s">
        <v>25</v>
      </c>
      <c r="F8051" s="52" t="s">
        <v>26</v>
      </c>
      <c r="G8051" s="53"/>
    </row>
    <row r="8052">
      <c r="A8052" s="49">
        <v>44778.74547896991</v>
      </c>
      <c r="B8052" s="50">
        <v>44778.8704587615</v>
      </c>
      <c r="C8052" s="51">
        <v>1.004</v>
      </c>
      <c r="D8052" s="51">
        <v>66.0</v>
      </c>
      <c r="E8052" s="52" t="s">
        <v>25</v>
      </c>
      <c r="F8052" s="52" t="s">
        <v>26</v>
      </c>
      <c r="G8052" s="53"/>
    </row>
    <row r="8053">
      <c r="A8053" s="49">
        <v>44778.75591195602</v>
      </c>
      <c r="B8053" s="50">
        <v>44778.8808824074</v>
      </c>
      <c r="C8053" s="51">
        <v>1.004</v>
      </c>
      <c r="D8053" s="51">
        <v>67.0</v>
      </c>
      <c r="E8053" s="52" t="s">
        <v>25</v>
      </c>
      <c r="F8053" s="52" t="s">
        <v>26</v>
      </c>
      <c r="G8053" s="53"/>
    </row>
    <row r="8054">
      <c r="A8054" s="49">
        <v>44778.76633033565</v>
      </c>
      <c r="B8054" s="50">
        <v>44778.8913032176</v>
      </c>
      <c r="C8054" s="51">
        <v>1.004</v>
      </c>
      <c r="D8054" s="51">
        <v>67.0</v>
      </c>
      <c r="E8054" s="52" t="s">
        <v>25</v>
      </c>
      <c r="F8054" s="52" t="s">
        <v>26</v>
      </c>
      <c r="G8054" s="53"/>
    </row>
    <row r="8055">
      <c r="A8055" s="49">
        <v>44778.776743379625</v>
      </c>
      <c r="B8055" s="50">
        <v>44778.9017243055</v>
      </c>
      <c r="C8055" s="51">
        <v>1.004</v>
      </c>
      <c r="D8055" s="51">
        <v>67.0</v>
      </c>
      <c r="E8055" s="52" t="s">
        <v>25</v>
      </c>
      <c r="F8055" s="52" t="s">
        <v>26</v>
      </c>
      <c r="G8055" s="53"/>
    </row>
    <row r="8056">
      <c r="A8056" s="49">
        <v>44778.78717922454</v>
      </c>
      <c r="B8056" s="50">
        <v>44778.9121537731</v>
      </c>
      <c r="C8056" s="51">
        <v>1.004</v>
      </c>
      <c r="D8056" s="51">
        <v>67.0</v>
      </c>
      <c r="E8056" s="52" t="s">
        <v>25</v>
      </c>
      <c r="F8056" s="52" t="s">
        <v>26</v>
      </c>
      <c r="G8056" s="53"/>
    </row>
    <row r="8057">
      <c r="A8057" s="49">
        <v>44778.797597372686</v>
      </c>
      <c r="B8057" s="50">
        <v>44778.9225760879</v>
      </c>
      <c r="C8057" s="51">
        <v>1.004</v>
      </c>
      <c r="D8057" s="51">
        <v>67.0</v>
      </c>
      <c r="E8057" s="52" t="s">
        <v>25</v>
      </c>
      <c r="F8057" s="52" t="s">
        <v>26</v>
      </c>
      <c r="G8057" s="53"/>
    </row>
    <row r="8058">
      <c r="A8058" s="49">
        <v>44778.80802873842</v>
      </c>
      <c r="B8058" s="50">
        <v>44778.9329976504</v>
      </c>
      <c r="C8058" s="51">
        <v>1.004</v>
      </c>
      <c r="D8058" s="51">
        <v>67.0</v>
      </c>
      <c r="E8058" s="52" t="s">
        <v>25</v>
      </c>
      <c r="F8058" s="52" t="s">
        <v>26</v>
      </c>
      <c r="G8058" s="53"/>
    </row>
    <row r="8059">
      <c r="A8059" s="49">
        <v>44778.81844857639</v>
      </c>
      <c r="B8059" s="50">
        <v>44778.9434191088</v>
      </c>
      <c r="C8059" s="51">
        <v>1.004</v>
      </c>
      <c r="D8059" s="51">
        <v>67.0</v>
      </c>
      <c r="E8059" s="52" t="s">
        <v>25</v>
      </c>
      <c r="F8059" s="52" t="s">
        <v>26</v>
      </c>
      <c r="G8059" s="53"/>
    </row>
    <row r="8060">
      <c r="A8060" s="49">
        <v>44778.82886837963</v>
      </c>
      <c r="B8060" s="50">
        <v>44778.9538398495</v>
      </c>
      <c r="C8060" s="51">
        <v>1.004</v>
      </c>
      <c r="D8060" s="51">
        <v>67.0</v>
      </c>
      <c r="E8060" s="52" t="s">
        <v>25</v>
      </c>
      <c r="F8060" s="52" t="s">
        <v>26</v>
      </c>
      <c r="G8060" s="53"/>
    </row>
    <row r="8061">
      <c r="A8061" s="49">
        <v>44778.83930165509</v>
      </c>
      <c r="B8061" s="50">
        <v>44778.9642715856</v>
      </c>
      <c r="C8061" s="51">
        <v>1.004</v>
      </c>
      <c r="D8061" s="51">
        <v>67.0</v>
      </c>
      <c r="E8061" s="52" t="s">
        <v>25</v>
      </c>
      <c r="F8061" s="52" t="s">
        <v>26</v>
      </c>
      <c r="G8061" s="53"/>
    </row>
    <row r="8062">
      <c r="A8062" s="49">
        <v>44778.84971913195</v>
      </c>
      <c r="B8062" s="50">
        <v>44778.9746927893</v>
      </c>
      <c r="C8062" s="51">
        <v>1.004</v>
      </c>
      <c r="D8062" s="51">
        <v>67.0</v>
      </c>
      <c r="E8062" s="52" t="s">
        <v>25</v>
      </c>
      <c r="F8062" s="52" t="s">
        <v>26</v>
      </c>
      <c r="G8062" s="53"/>
    </row>
    <row r="8063">
      <c r="A8063" s="49">
        <v>44778.8601428588</v>
      </c>
      <c r="B8063" s="50">
        <v>44778.9851136226</v>
      </c>
      <c r="C8063" s="51">
        <v>1.004</v>
      </c>
      <c r="D8063" s="51">
        <v>67.0</v>
      </c>
      <c r="E8063" s="52" t="s">
        <v>25</v>
      </c>
      <c r="F8063" s="52" t="s">
        <v>26</v>
      </c>
      <c r="G8063" s="53"/>
    </row>
    <row r="8064">
      <c r="A8064" s="49">
        <v>44778.87060443287</v>
      </c>
      <c r="B8064" s="50">
        <v>44778.9955685532</v>
      </c>
      <c r="C8064" s="51">
        <v>1.004</v>
      </c>
      <c r="D8064" s="51">
        <v>67.0</v>
      </c>
      <c r="E8064" s="52" t="s">
        <v>25</v>
      </c>
      <c r="F8064" s="52" t="s">
        <v>26</v>
      </c>
      <c r="G8064" s="53"/>
    </row>
    <row r="8065">
      <c r="A8065" s="49">
        <v>44778.88101045139</v>
      </c>
      <c r="B8065" s="50">
        <v>44779.0059893865</v>
      </c>
      <c r="C8065" s="51">
        <v>1.004</v>
      </c>
      <c r="D8065" s="51">
        <v>67.0</v>
      </c>
      <c r="E8065" s="52" t="s">
        <v>25</v>
      </c>
      <c r="F8065" s="52" t="s">
        <v>26</v>
      </c>
      <c r="G8065" s="53"/>
    </row>
    <row r="8066">
      <c r="A8066" s="49">
        <v>44778.89144341435</v>
      </c>
      <c r="B8066" s="50">
        <v>44779.0164106018</v>
      </c>
      <c r="C8066" s="51">
        <v>1.004</v>
      </c>
      <c r="D8066" s="51">
        <v>67.0</v>
      </c>
      <c r="E8066" s="52" t="s">
        <v>25</v>
      </c>
      <c r="F8066" s="52" t="s">
        <v>26</v>
      </c>
      <c r="G8066" s="53"/>
    </row>
    <row r="8067">
      <c r="A8067" s="49">
        <v>44778.90186233797</v>
      </c>
      <c r="B8067" s="50">
        <v>44779.0268310532</v>
      </c>
      <c r="C8067" s="51">
        <v>1.004</v>
      </c>
      <c r="D8067" s="51">
        <v>67.0</v>
      </c>
      <c r="E8067" s="52" t="s">
        <v>25</v>
      </c>
      <c r="F8067" s="52" t="s">
        <v>26</v>
      </c>
      <c r="G8067" s="53"/>
    </row>
    <row r="8068">
      <c r="A8068" s="49">
        <v>44778.91229587963</v>
      </c>
      <c r="B8068" s="50">
        <v>44779.0372631365</v>
      </c>
      <c r="C8068" s="51">
        <v>1.004</v>
      </c>
      <c r="D8068" s="51">
        <v>67.0</v>
      </c>
      <c r="E8068" s="52" t="s">
        <v>25</v>
      </c>
      <c r="F8068" s="52" t="s">
        <v>26</v>
      </c>
      <c r="G8068" s="53"/>
    </row>
    <row r="8069">
      <c r="A8069" s="49">
        <v>44778.9227269213</v>
      </c>
      <c r="B8069" s="50">
        <v>44779.0476952662</v>
      </c>
      <c r="C8069" s="51">
        <v>1.004</v>
      </c>
      <c r="D8069" s="51">
        <v>67.0</v>
      </c>
      <c r="E8069" s="52" t="s">
        <v>25</v>
      </c>
      <c r="F8069" s="52" t="s">
        <v>26</v>
      </c>
      <c r="G8069" s="53"/>
    </row>
    <row r="8070">
      <c r="A8070" s="49">
        <v>44778.93316561343</v>
      </c>
      <c r="B8070" s="50">
        <v>44779.0581391898</v>
      </c>
      <c r="C8070" s="51">
        <v>1.004</v>
      </c>
      <c r="D8070" s="51">
        <v>67.0</v>
      </c>
      <c r="E8070" s="52" t="s">
        <v>25</v>
      </c>
      <c r="F8070" s="52" t="s">
        <v>26</v>
      </c>
      <c r="G8070" s="53"/>
    </row>
    <row r="8071">
      <c r="A8071" s="49">
        <v>44778.94359964121</v>
      </c>
      <c r="B8071" s="50">
        <v>44779.0685726736</v>
      </c>
      <c r="C8071" s="51">
        <v>1.004</v>
      </c>
      <c r="D8071" s="51">
        <v>67.0</v>
      </c>
      <c r="E8071" s="52" t="s">
        <v>25</v>
      </c>
      <c r="F8071" s="52" t="s">
        <v>26</v>
      </c>
      <c r="G8071" s="53"/>
    </row>
    <row r="8072">
      <c r="A8072" s="49">
        <v>44778.954019791665</v>
      </c>
      <c r="B8072" s="50">
        <v>44779.0789940046</v>
      </c>
      <c r="C8072" s="51">
        <v>1.004</v>
      </c>
      <c r="D8072" s="51">
        <v>67.0</v>
      </c>
      <c r="E8072" s="52" t="s">
        <v>25</v>
      </c>
      <c r="F8072" s="52" t="s">
        <v>26</v>
      </c>
      <c r="G8072" s="53"/>
    </row>
    <row r="8073">
      <c r="A8073" s="49">
        <v>44778.96444960649</v>
      </c>
      <c r="B8073" s="50">
        <v>44779.0894276851</v>
      </c>
      <c r="C8073" s="51">
        <v>1.004</v>
      </c>
      <c r="D8073" s="51">
        <v>67.0</v>
      </c>
      <c r="E8073" s="52" t="s">
        <v>25</v>
      </c>
      <c r="F8073" s="52" t="s">
        <v>26</v>
      </c>
      <c r="G8073" s="53"/>
    </row>
    <row r="8074">
      <c r="A8074" s="49">
        <v>44778.97488228009</v>
      </c>
      <c r="B8074" s="50">
        <v>44779.0998485995</v>
      </c>
      <c r="C8074" s="51">
        <v>1.004</v>
      </c>
      <c r="D8074" s="51">
        <v>67.0</v>
      </c>
      <c r="E8074" s="52" t="s">
        <v>25</v>
      </c>
      <c r="F8074" s="52" t="s">
        <v>26</v>
      </c>
      <c r="G8074" s="53"/>
    </row>
    <row r="8075">
      <c r="A8075" s="49">
        <v>44778.98530060185</v>
      </c>
      <c r="B8075" s="50">
        <v>44779.1102679745</v>
      </c>
      <c r="C8075" s="51">
        <v>1.004</v>
      </c>
      <c r="D8075" s="51">
        <v>67.0</v>
      </c>
      <c r="E8075" s="52" t="s">
        <v>25</v>
      </c>
      <c r="F8075" s="52" t="s">
        <v>26</v>
      </c>
      <c r="G8075" s="53"/>
    </row>
    <row r="8076">
      <c r="A8076" s="49">
        <v>44778.99571087963</v>
      </c>
      <c r="B8076" s="50">
        <v>44779.1206876504</v>
      </c>
      <c r="C8076" s="51">
        <v>1.004</v>
      </c>
      <c r="D8076" s="51">
        <v>67.0</v>
      </c>
      <c r="E8076" s="52" t="s">
        <v>25</v>
      </c>
      <c r="F8076" s="52" t="s">
        <v>26</v>
      </c>
      <c r="G8076" s="53"/>
    </row>
    <row r="8077">
      <c r="A8077" s="49">
        <v>44779.006141562495</v>
      </c>
      <c r="B8077" s="50">
        <v>44779.1311088889</v>
      </c>
      <c r="C8077" s="51">
        <v>1.004</v>
      </c>
      <c r="D8077" s="51">
        <v>67.0</v>
      </c>
      <c r="E8077" s="52" t="s">
        <v>25</v>
      </c>
      <c r="F8077" s="52" t="s">
        <v>26</v>
      </c>
      <c r="G8077" s="53"/>
    </row>
    <row r="8078">
      <c r="A8078" s="49">
        <v>44779.016565949074</v>
      </c>
      <c r="B8078" s="50">
        <v>44779.1415318865</v>
      </c>
      <c r="C8078" s="51">
        <v>1.004</v>
      </c>
      <c r="D8078" s="51">
        <v>67.0</v>
      </c>
      <c r="E8078" s="52" t="s">
        <v>25</v>
      </c>
      <c r="F8078" s="52" t="s">
        <v>26</v>
      </c>
      <c r="G8078" s="53"/>
    </row>
    <row r="8079">
      <c r="A8079" s="49">
        <v>44779.026978379625</v>
      </c>
      <c r="B8079" s="50">
        <v>44779.1519548726</v>
      </c>
      <c r="C8079" s="51">
        <v>1.004</v>
      </c>
      <c r="D8079" s="51">
        <v>67.0</v>
      </c>
      <c r="E8079" s="52" t="s">
        <v>25</v>
      </c>
      <c r="F8079" s="52" t="s">
        <v>26</v>
      </c>
      <c r="G8079" s="53"/>
    </row>
    <row r="8080">
      <c r="A8080" s="49">
        <v>44779.03739703704</v>
      </c>
      <c r="B8080" s="50">
        <v>44779.1623748958</v>
      </c>
      <c r="C8080" s="51">
        <v>1.004</v>
      </c>
      <c r="D8080" s="51">
        <v>67.0</v>
      </c>
      <c r="E8080" s="52" t="s">
        <v>25</v>
      </c>
      <c r="F8080" s="52" t="s">
        <v>26</v>
      </c>
      <c r="G8080" s="53"/>
    </row>
    <row r="8081">
      <c r="A8081" s="49">
        <v>44779.04783152777</v>
      </c>
      <c r="B8081" s="50">
        <v>44779.1727967824</v>
      </c>
      <c r="C8081" s="51">
        <v>1.004</v>
      </c>
      <c r="D8081" s="51">
        <v>67.0</v>
      </c>
      <c r="E8081" s="52" t="s">
        <v>25</v>
      </c>
      <c r="F8081" s="52" t="s">
        <v>26</v>
      </c>
      <c r="G8081" s="53"/>
    </row>
    <row r="8082">
      <c r="A8082" s="49">
        <v>44779.05824809028</v>
      </c>
      <c r="B8082" s="50">
        <v>44779.1832185648</v>
      </c>
      <c r="C8082" s="51">
        <v>1.004</v>
      </c>
      <c r="D8082" s="51">
        <v>67.0</v>
      </c>
      <c r="E8082" s="52" t="s">
        <v>25</v>
      </c>
      <c r="F8082" s="52" t="s">
        <v>26</v>
      </c>
      <c r="G8082" s="53"/>
    </row>
    <row r="8083">
      <c r="A8083" s="49">
        <v>44779.06867814815</v>
      </c>
      <c r="B8083" s="50">
        <v>44779.1936512037</v>
      </c>
      <c r="C8083" s="51">
        <v>1.004</v>
      </c>
      <c r="D8083" s="51">
        <v>67.0</v>
      </c>
      <c r="E8083" s="52" t="s">
        <v>25</v>
      </c>
      <c r="F8083" s="52" t="s">
        <v>26</v>
      </c>
      <c r="G8083" s="53"/>
    </row>
    <row r="8084">
      <c r="A8084" s="49">
        <v>44779.07911346065</v>
      </c>
      <c r="B8084" s="50">
        <v>44779.2040826851</v>
      </c>
      <c r="C8084" s="51">
        <v>1.004</v>
      </c>
      <c r="D8084" s="51">
        <v>67.0</v>
      </c>
      <c r="E8084" s="52" t="s">
        <v>25</v>
      </c>
      <c r="F8084" s="52" t="s">
        <v>26</v>
      </c>
      <c r="G8084" s="53"/>
    </row>
    <row r="8085">
      <c r="A8085" s="49">
        <v>44779.089528993056</v>
      </c>
      <c r="B8085" s="50">
        <v>44779.2145040856</v>
      </c>
      <c r="C8085" s="51">
        <v>1.004</v>
      </c>
      <c r="D8085" s="51">
        <v>67.0</v>
      </c>
      <c r="E8085" s="52" t="s">
        <v>25</v>
      </c>
      <c r="F8085" s="52" t="s">
        <v>26</v>
      </c>
      <c r="G8085" s="53"/>
    </row>
    <row r="8086">
      <c r="A8086" s="49">
        <v>44779.099957997685</v>
      </c>
      <c r="B8086" s="50">
        <v>44779.2249248726</v>
      </c>
      <c r="C8086" s="51">
        <v>1.004</v>
      </c>
      <c r="D8086" s="51">
        <v>67.0</v>
      </c>
      <c r="E8086" s="52" t="s">
        <v>25</v>
      </c>
      <c r="F8086" s="52" t="s">
        <v>26</v>
      </c>
      <c r="G8086" s="53"/>
    </row>
    <row r="8087">
      <c r="A8087" s="49">
        <v>44779.110376446755</v>
      </c>
      <c r="B8087" s="50">
        <v>44779.2353454745</v>
      </c>
      <c r="C8087" s="51">
        <v>1.004</v>
      </c>
      <c r="D8087" s="51">
        <v>67.0</v>
      </c>
      <c r="E8087" s="52" t="s">
        <v>25</v>
      </c>
      <c r="F8087" s="52" t="s">
        <v>26</v>
      </c>
      <c r="G8087" s="53"/>
    </row>
    <row r="8088">
      <c r="A8088" s="49">
        <v>44779.120798275464</v>
      </c>
      <c r="B8088" s="50">
        <v>44779.2457657638</v>
      </c>
      <c r="C8088" s="51">
        <v>1.004</v>
      </c>
      <c r="D8088" s="51">
        <v>67.0</v>
      </c>
      <c r="E8088" s="52" t="s">
        <v>25</v>
      </c>
      <c r="F8088" s="52" t="s">
        <v>26</v>
      </c>
      <c r="G8088" s="53"/>
    </row>
    <row r="8089">
      <c r="A8089" s="49">
        <v>44779.131221689815</v>
      </c>
      <c r="B8089" s="50">
        <v>44779.2561869791</v>
      </c>
      <c r="C8089" s="51">
        <v>1.004</v>
      </c>
      <c r="D8089" s="51">
        <v>67.0</v>
      </c>
      <c r="E8089" s="52" t="s">
        <v>25</v>
      </c>
      <c r="F8089" s="52" t="s">
        <v>26</v>
      </c>
      <c r="G8089" s="53"/>
    </row>
    <row r="8090">
      <c r="A8090" s="49">
        <v>44779.14164888889</v>
      </c>
      <c r="B8090" s="50">
        <v>44779.2666182986</v>
      </c>
      <c r="C8090" s="51">
        <v>1.004</v>
      </c>
      <c r="D8090" s="51">
        <v>67.0</v>
      </c>
      <c r="E8090" s="52" t="s">
        <v>25</v>
      </c>
      <c r="F8090" s="52" t="s">
        <v>26</v>
      </c>
      <c r="G8090" s="53"/>
    </row>
    <row r="8091">
      <c r="A8091" s="49">
        <v>44779.15207229167</v>
      </c>
      <c r="B8091" s="50">
        <v>44779.2770391319</v>
      </c>
      <c r="C8091" s="51">
        <v>1.004</v>
      </c>
      <c r="D8091" s="51">
        <v>67.0</v>
      </c>
      <c r="E8091" s="52" t="s">
        <v>25</v>
      </c>
      <c r="F8091" s="52" t="s">
        <v>26</v>
      </c>
      <c r="G8091" s="53"/>
    </row>
    <row r="8092">
      <c r="A8092" s="49">
        <v>44779.16248990741</v>
      </c>
      <c r="B8092" s="50">
        <v>44779.287460243</v>
      </c>
      <c r="C8092" s="51">
        <v>1.004</v>
      </c>
      <c r="D8092" s="51">
        <v>67.0</v>
      </c>
      <c r="E8092" s="52" t="s">
        <v>25</v>
      </c>
      <c r="F8092" s="52" t="s">
        <v>26</v>
      </c>
      <c r="G8092" s="53"/>
    </row>
    <row r="8093">
      <c r="A8093" s="49">
        <v>44779.17291349537</v>
      </c>
      <c r="B8093" s="50">
        <v>44779.2978820254</v>
      </c>
      <c r="C8093" s="51">
        <v>1.004</v>
      </c>
      <c r="D8093" s="51">
        <v>67.0</v>
      </c>
      <c r="E8093" s="52" t="s">
        <v>25</v>
      </c>
      <c r="F8093" s="52" t="s">
        <v>26</v>
      </c>
      <c r="G8093" s="53"/>
    </row>
    <row r="8094">
      <c r="A8094" s="49">
        <v>44779.18333170139</v>
      </c>
      <c r="B8094" s="50">
        <v>44779.3083032407</v>
      </c>
      <c r="C8094" s="51">
        <v>1.004</v>
      </c>
      <c r="D8094" s="51">
        <v>67.0</v>
      </c>
      <c r="E8094" s="52" t="s">
        <v>25</v>
      </c>
      <c r="F8094" s="52" t="s">
        <v>26</v>
      </c>
      <c r="G8094" s="53"/>
    </row>
    <row r="8095">
      <c r="A8095" s="49">
        <v>44779.19374559028</v>
      </c>
      <c r="B8095" s="50">
        <v>44779.3187250925</v>
      </c>
      <c r="C8095" s="51">
        <v>1.004</v>
      </c>
      <c r="D8095" s="51">
        <v>67.0</v>
      </c>
      <c r="E8095" s="52" t="s">
        <v>25</v>
      </c>
      <c r="F8095" s="52" t="s">
        <v>26</v>
      </c>
      <c r="G8095" s="53"/>
    </row>
    <row r="8096">
      <c r="A8096" s="49">
        <v>44779.204177418986</v>
      </c>
      <c r="B8096" s="50">
        <v>44779.3291459143</v>
      </c>
      <c r="C8096" s="51">
        <v>1.004</v>
      </c>
      <c r="D8096" s="51">
        <v>67.0</v>
      </c>
      <c r="E8096" s="52" t="s">
        <v>25</v>
      </c>
      <c r="F8096" s="52" t="s">
        <v>26</v>
      </c>
      <c r="G8096" s="53"/>
    </row>
    <row r="8097">
      <c r="A8097" s="49">
        <v>44779.21460092593</v>
      </c>
      <c r="B8097" s="50">
        <v>44779.3395688657</v>
      </c>
      <c r="C8097" s="51">
        <v>1.004</v>
      </c>
      <c r="D8097" s="51">
        <v>67.0</v>
      </c>
      <c r="E8097" s="52" t="s">
        <v>25</v>
      </c>
      <c r="F8097" s="52" t="s">
        <v>26</v>
      </c>
      <c r="G8097" s="53"/>
    </row>
    <row r="8098">
      <c r="A8098" s="49">
        <v>44779.22502732639</v>
      </c>
      <c r="B8098" s="50">
        <v>44779.3500019444</v>
      </c>
      <c r="C8098" s="51">
        <v>1.004</v>
      </c>
      <c r="D8098" s="51">
        <v>67.0</v>
      </c>
      <c r="E8098" s="52" t="s">
        <v>25</v>
      </c>
      <c r="F8098" s="52" t="s">
        <v>26</v>
      </c>
      <c r="G8098" s="53"/>
    </row>
    <row r="8099">
      <c r="A8099" s="49">
        <v>44779.235457048606</v>
      </c>
      <c r="B8099" s="50">
        <v>44779.3604254398</v>
      </c>
      <c r="C8099" s="51">
        <v>1.004</v>
      </c>
      <c r="D8099" s="51">
        <v>67.0</v>
      </c>
      <c r="E8099" s="52" t="s">
        <v>25</v>
      </c>
      <c r="F8099" s="52" t="s">
        <v>26</v>
      </c>
      <c r="G8099" s="53"/>
    </row>
    <row r="8100">
      <c r="A8100" s="49">
        <v>44779.24587482639</v>
      </c>
      <c r="B8100" s="50">
        <v>44779.3708458333</v>
      </c>
      <c r="C8100" s="51">
        <v>1.004</v>
      </c>
      <c r="D8100" s="51">
        <v>67.0</v>
      </c>
      <c r="E8100" s="52" t="s">
        <v>25</v>
      </c>
      <c r="F8100" s="52" t="s">
        <v>26</v>
      </c>
      <c r="G8100" s="53"/>
    </row>
    <row r="8101">
      <c r="A8101" s="49">
        <v>44779.25630196759</v>
      </c>
      <c r="B8101" s="50">
        <v>44779.3812795254</v>
      </c>
      <c r="C8101" s="51">
        <v>1.004</v>
      </c>
      <c r="D8101" s="51">
        <v>67.0</v>
      </c>
      <c r="E8101" s="52" t="s">
        <v>25</v>
      </c>
      <c r="F8101" s="52" t="s">
        <v>26</v>
      </c>
      <c r="G8101" s="53"/>
    </row>
    <row r="8102">
      <c r="A8102" s="49">
        <v>44779.26673454861</v>
      </c>
      <c r="B8102" s="50">
        <v>44779.3917012963</v>
      </c>
      <c r="C8102" s="51">
        <v>1.004</v>
      </c>
      <c r="D8102" s="51">
        <v>68.0</v>
      </c>
      <c r="E8102" s="52" t="s">
        <v>25</v>
      </c>
      <c r="F8102" s="52" t="s">
        <v>26</v>
      </c>
      <c r="G8102" s="53"/>
    </row>
    <row r="8103">
      <c r="A8103" s="49">
        <v>44779.2771521875</v>
      </c>
      <c r="B8103" s="50">
        <v>44779.4021227199</v>
      </c>
      <c r="C8103" s="51">
        <v>1.004</v>
      </c>
      <c r="D8103" s="51">
        <v>67.0</v>
      </c>
      <c r="E8103" s="52" t="s">
        <v>25</v>
      </c>
      <c r="F8103" s="52" t="s">
        <v>26</v>
      </c>
      <c r="G8103" s="53"/>
    </row>
    <row r="8104">
      <c r="A8104" s="49">
        <v>44779.287567141204</v>
      </c>
      <c r="B8104" s="50">
        <v>44779.4125457291</v>
      </c>
      <c r="C8104" s="51">
        <v>1.004</v>
      </c>
      <c r="D8104" s="51">
        <v>68.0</v>
      </c>
      <c r="E8104" s="52" t="s">
        <v>25</v>
      </c>
      <c r="F8104" s="52" t="s">
        <v>26</v>
      </c>
      <c r="G8104" s="53"/>
    </row>
    <row r="8105">
      <c r="A8105" s="49">
        <v>44779.29799215277</v>
      </c>
      <c r="B8105" s="50">
        <v>44779.4229667361</v>
      </c>
      <c r="C8105" s="51">
        <v>1.004</v>
      </c>
      <c r="D8105" s="51">
        <v>67.0</v>
      </c>
      <c r="E8105" s="52" t="s">
        <v>25</v>
      </c>
      <c r="F8105" s="52" t="s">
        <v>26</v>
      </c>
      <c r="G8105" s="53"/>
    </row>
    <row r="8106">
      <c r="A8106" s="49">
        <v>44779.30840991898</v>
      </c>
      <c r="B8106" s="50">
        <v>44779.4333876041</v>
      </c>
      <c r="C8106" s="51">
        <v>1.004</v>
      </c>
      <c r="D8106" s="51">
        <v>68.0</v>
      </c>
      <c r="E8106" s="52" t="s">
        <v>25</v>
      </c>
      <c r="F8106" s="52" t="s">
        <v>26</v>
      </c>
      <c r="G8106" s="53"/>
    </row>
    <row r="8107">
      <c r="A8107" s="49">
        <v>44779.31884251157</v>
      </c>
      <c r="B8107" s="50">
        <v>44779.4438088541</v>
      </c>
      <c r="C8107" s="51">
        <v>1.004</v>
      </c>
      <c r="D8107" s="51">
        <v>68.0</v>
      </c>
      <c r="E8107" s="52" t="s">
        <v>25</v>
      </c>
      <c r="F8107" s="52" t="s">
        <v>26</v>
      </c>
      <c r="G8107" s="53"/>
    </row>
    <row r="8108">
      <c r="A8108" s="49">
        <v>44779.32926108796</v>
      </c>
      <c r="B8108" s="50">
        <v>44779.4542303819</v>
      </c>
      <c r="C8108" s="51">
        <v>1.004</v>
      </c>
      <c r="D8108" s="51">
        <v>68.0</v>
      </c>
      <c r="E8108" s="52" t="s">
        <v>25</v>
      </c>
      <c r="F8108" s="52" t="s">
        <v>26</v>
      </c>
      <c r="G8108" s="53"/>
    </row>
    <row r="8109">
      <c r="A8109" s="49">
        <v>44779.339688761575</v>
      </c>
      <c r="B8109" s="50">
        <v>44779.4646610532</v>
      </c>
      <c r="C8109" s="51">
        <v>1.004</v>
      </c>
      <c r="D8109" s="51">
        <v>68.0</v>
      </c>
      <c r="E8109" s="52" t="s">
        <v>25</v>
      </c>
      <c r="F8109" s="52" t="s">
        <v>26</v>
      </c>
      <c r="G8109" s="53"/>
    </row>
    <row r="8110">
      <c r="A8110" s="49">
        <v>44779.3501402199</v>
      </c>
      <c r="B8110" s="50">
        <v>44779.4751052314</v>
      </c>
      <c r="C8110" s="51">
        <v>1.004</v>
      </c>
      <c r="D8110" s="51">
        <v>68.0</v>
      </c>
      <c r="E8110" s="52" t="s">
        <v>25</v>
      </c>
      <c r="F8110" s="52" t="s">
        <v>26</v>
      </c>
      <c r="G8110" s="53"/>
    </row>
    <row r="8111">
      <c r="A8111" s="49">
        <v>44779.36056027778</v>
      </c>
      <c r="B8111" s="50">
        <v>44779.4855262152</v>
      </c>
      <c r="C8111" s="51">
        <v>1.004</v>
      </c>
      <c r="D8111" s="51">
        <v>68.0</v>
      </c>
      <c r="E8111" s="52" t="s">
        <v>25</v>
      </c>
      <c r="F8111" s="52" t="s">
        <v>26</v>
      </c>
      <c r="G8111" s="53"/>
    </row>
    <row r="8112">
      <c r="A8112" s="49">
        <v>44779.370995474535</v>
      </c>
      <c r="B8112" s="50">
        <v>44779.4959602662</v>
      </c>
      <c r="C8112" s="51">
        <v>1.004</v>
      </c>
      <c r="D8112" s="51">
        <v>68.0</v>
      </c>
      <c r="E8112" s="52" t="s">
        <v>25</v>
      </c>
      <c r="F8112" s="52" t="s">
        <v>26</v>
      </c>
      <c r="G8112" s="53"/>
    </row>
    <row r="8113">
      <c r="A8113" s="49">
        <v>44779.38141883102</v>
      </c>
      <c r="B8113" s="50">
        <v>44779.5063818981</v>
      </c>
      <c r="C8113" s="51">
        <v>1.004</v>
      </c>
      <c r="D8113" s="51">
        <v>68.0</v>
      </c>
      <c r="E8113" s="52" t="s">
        <v>25</v>
      </c>
      <c r="F8113" s="52" t="s">
        <v>26</v>
      </c>
      <c r="G8113" s="53"/>
    </row>
    <row r="8114">
      <c r="A8114" s="49">
        <v>44779.391846342594</v>
      </c>
      <c r="B8114" s="50">
        <v>44779.5168144675</v>
      </c>
      <c r="C8114" s="51">
        <v>1.004</v>
      </c>
      <c r="D8114" s="51">
        <v>68.0</v>
      </c>
      <c r="E8114" s="52" t="s">
        <v>25</v>
      </c>
      <c r="F8114" s="52" t="s">
        <v>26</v>
      </c>
      <c r="G8114" s="53"/>
    </row>
    <row r="8115">
      <c r="A8115" s="49">
        <v>44779.40225804398</v>
      </c>
      <c r="B8115" s="50">
        <v>44779.52723625</v>
      </c>
      <c r="C8115" s="51">
        <v>1.004</v>
      </c>
      <c r="D8115" s="51">
        <v>68.0</v>
      </c>
      <c r="E8115" s="52" t="s">
        <v>25</v>
      </c>
      <c r="F8115" s="52" t="s">
        <v>26</v>
      </c>
      <c r="G8115" s="53"/>
    </row>
    <row r="8116">
      <c r="A8116" s="49">
        <v>44779.412691087964</v>
      </c>
      <c r="B8116" s="50">
        <v>44779.5376567013</v>
      </c>
      <c r="C8116" s="51">
        <v>1.004</v>
      </c>
      <c r="D8116" s="51">
        <v>68.0</v>
      </c>
      <c r="E8116" s="52" t="s">
        <v>25</v>
      </c>
      <c r="F8116" s="52" t="s">
        <v>26</v>
      </c>
      <c r="G8116" s="53"/>
    </row>
    <row r="8117">
      <c r="A8117" s="49">
        <v>44779.42312532407</v>
      </c>
      <c r="B8117" s="50">
        <v>44779.548090162</v>
      </c>
      <c r="C8117" s="51">
        <v>1.004</v>
      </c>
      <c r="D8117" s="51">
        <v>68.0</v>
      </c>
      <c r="E8117" s="52" t="s">
        <v>25</v>
      </c>
      <c r="F8117" s="52" t="s">
        <v>26</v>
      </c>
      <c r="G8117" s="53"/>
    </row>
    <row r="8118">
      <c r="A8118" s="49">
        <v>44779.433550625</v>
      </c>
      <c r="B8118" s="50">
        <v>44779.5585211111</v>
      </c>
      <c r="C8118" s="51">
        <v>1.004</v>
      </c>
      <c r="D8118" s="51">
        <v>68.0</v>
      </c>
      <c r="E8118" s="52" t="s">
        <v>25</v>
      </c>
      <c r="F8118" s="52" t="s">
        <v>26</v>
      </c>
      <c r="G8118" s="53"/>
    </row>
    <row r="8119">
      <c r="A8119" s="49">
        <v>44779.44397305556</v>
      </c>
      <c r="B8119" s="50">
        <v>44779.5689418634</v>
      </c>
      <c r="C8119" s="51">
        <v>1.004</v>
      </c>
      <c r="D8119" s="51">
        <v>68.0</v>
      </c>
      <c r="E8119" s="52" t="s">
        <v>25</v>
      </c>
      <c r="F8119" s="52" t="s">
        <v>26</v>
      </c>
      <c r="G8119" s="53"/>
    </row>
    <row r="8120">
      <c r="A8120" s="49">
        <v>44779.45438780093</v>
      </c>
      <c r="B8120" s="50">
        <v>44779.5793634259</v>
      </c>
      <c r="C8120" s="51">
        <v>1.004</v>
      </c>
      <c r="D8120" s="51">
        <v>68.0</v>
      </c>
      <c r="E8120" s="52" t="s">
        <v>25</v>
      </c>
      <c r="F8120" s="52" t="s">
        <v>26</v>
      </c>
      <c r="G8120" s="53"/>
    </row>
    <row r="8121">
      <c r="A8121" s="49">
        <v>44779.464817071756</v>
      </c>
      <c r="B8121" s="50">
        <v>44779.5897853588</v>
      </c>
      <c r="C8121" s="51">
        <v>1.004</v>
      </c>
      <c r="D8121" s="51">
        <v>68.0</v>
      </c>
      <c r="E8121" s="52" t="s">
        <v>25</v>
      </c>
      <c r="F8121" s="52" t="s">
        <v>26</v>
      </c>
      <c r="G8121" s="53"/>
    </row>
    <row r="8122">
      <c r="A8122" s="49">
        <v>44779.47524569444</v>
      </c>
      <c r="B8122" s="50">
        <v>44779.6002178703</v>
      </c>
      <c r="C8122" s="51">
        <v>1.004</v>
      </c>
      <c r="D8122" s="51">
        <v>68.0</v>
      </c>
      <c r="E8122" s="52" t="s">
        <v>25</v>
      </c>
      <c r="F8122" s="52" t="s">
        <v>26</v>
      </c>
      <c r="G8122" s="53"/>
    </row>
    <row r="8123">
      <c r="A8123" s="49">
        <v>44779.48567991898</v>
      </c>
      <c r="B8123" s="50">
        <v>44779.6106488078</v>
      </c>
      <c r="C8123" s="51">
        <v>1.004</v>
      </c>
      <c r="D8123" s="51">
        <v>68.0</v>
      </c>
      <c r="E8123" s="52" t="s">
        <v>25</v>
      </c>
      <c r="F8123" s="52" t="s">
        <v>26</v>
      </c>
      <c r="G8123" s="53"/>
    </row>
    <row r="8124">
      <c r="A8124" s="49">
        <v>44779.4961053125</v>
      </c>
      <c r="B8124" s="50">
        <v>44779.621082824</v>
      </c>
      <c r="C8124" s="51">
        <v>1.004</v>
      </c>
      <c r="D8124" s="51">
        <v>68.0</v>
      </c>
      <c r="E8124" s="52" t="s">
        <v>25</v>
      </c>
      <c r="F8124" s="52" t="s">
        <v>26</v>
      </c>
      <c r="G8124" s="53"/>
    </row>
    <row r="8125">
      <c r="A8125" s="49">
        <v>44779.50653775463</v>
      </c>
      <c r="B8125" s="50">
        <v>44779.6315047106</v>
      </c>
      <c r="C8125" s="51">
        <v>1.004</v>
      </c>
      <c r="D8125" s="51">
        <v>68.0</v>
      </c>
      <c r="E8125" s="52" t="s">
        <v>25</v>
      </c>
      <c r="F8125" s="52" t="s">
        <v>26</v>
      </c>
      <c r="G8125" s="53"/>
    </row>
    <row r="8126">
      <c r="A8126" s="49">
        <v>44779.51695722222</v>
      </c>
      <c r="B8126" s="50">
        <v>44779.6419256597</v>
      </c>
      <c r="C8126" s="51">
        <v>1.004</v>
      </c>
      <c r="D8126" s="51">
        <v>68.0</v>
      </c>
      <c r="E8126" s="52" t="s">
        <v>25</v>
      </c>
      <c r="F8126" s="52" t="s">
        <v>26</v>
      </c>
      <c r="G8126" s="53"/>
    </row>
    <row r="8127">
      <c r="A8127" s="49">
        <v>44779.52738784722</v>
      </c>
      <c r="B8127" s="50">
        <v>44779.6523605787</v>
      </c>
      <c r="C8127" s="51">
        <v>1.004</v>
      </c>
      <c r="D8127" s="51">
        <v>68.0</v>
      </c>
      <c r="E8127" s="52" t="s">
        <v>25</v>
      </c>
      <c r="F8127" s="52" t="s">
        <v>26</v>
      </c>
      <c r="G8127" s="53"/>
    </row>
    <row r="8128">
      <c r="A8128" s="49">
        <v>44779.53781677083</v>
      </c>
      <c r="B8128" s="50">
        <v>44779.6627812384</v>
      </c>
      <c r="C8128" s="51">
        <v>1.004</v>
      </c>
      <c r="D8128" s="51">
        <v>68.0</v>
      </c>
      <c r="E8128" s="52" t="s">
        <v>25</v>
      </c>
      <c r="F8128" s="52" t="s">
        <v>26</v>
      </c>
      <c r="G8128" s="53"/>
    </row>
    <row r="8129">
      <c r="A8129" s="49">
        <v>44779.548224212966</v>
      </c>
      <c r="B8129" s="50">
        <v>44779.6732014699</v>
      </c>
      <c r="C8129" s="51">
        <v>1.004</v>
      </c>
      <c r="D8129" s="51">
        <v>68.0</v>
      </c>
      <c r="E8129" s="52" t="s">
        <v>25</v>
      </c>
      <c r="F8129" s="52" t="s">
        <v>26</v>
      </c>
      <c r="G8129" s="53"/>
    </row>
    <row r="8130">
      <c r="A8130" s="49">
        <v>44779.558656203706</v>
      </c>
      <c r="B8130" s="50">
        <v>44779.6836230787</v>
      </c>
      <c r="C8130" s="51">
        <v>1.004</v>
      </c>
      <c r="D8130" s="51">
        <v>68.0</v>
      </c>
      <c r="E8130" s="52" t="s">
        <v>25</v>
      </c>
      <c r="F8130" s="52" t="s">
        <v>26</v>
      </c>
      <c r="G8130" s="53"/>
    </row>
    <row r="8131">
      <c r="A8131" s="49">
        <v>44779.56907708333</v>
      </c>
      <c r="B8131" s="50">
        <v>44779.694042199</v>
      </c>
      <c r="C8131" s="51">
        <v>1.004</v>
      </c>
      <c r="D8131" s="51">
        <v>68.0</v>
      </c>
      <c r="E8131" s="52" t="s">
        <v>25</v>
      </c>
      <c r="F8131" s="52" t="s">
        <v>26</v>
      </c>
      <c r="G8131" s="53"/>
    </row>
    <row r="8132">
      <c r="A8132" s="49">
        <v>44779.57950545139</v>
      </c>
      <c r="B8132" s="50">
        <v>44779.7044747569</v>
      </c>
      <c r="C8132" s="51">
        <v>1.004</v>
      </c>
      <c r="D8132" s="51">
        <v>68.0</v>
      </c>
      <c r="E8132" s="52" t="s">
        <v>25</v>
      </c>
      <c r="F8132" s="52" t="s">
        <v>26</v>
      </c>
      <c r="G8132" s="53"/>
    </row>
    <row r="8133">
      <c r="A8133" s="49">
        <v>44779.58992478009</v>
      </c>
      <c r="B8133" s="50">
        <v>44779.7148951967</v>
      </c>
      <c r="C8133" s="51">
        <v>1.004</v>
      </c>
      <c r="D8133" s="51">
        <v>68.0</v>
      </c>
      <c r="E8133" s="52" t="s">
        <v>25</v>
      </c>
      <c r="F8133" s="52" t="s">
        <v>26</v>
      </c>
      <c r="G8133" s="53"/>
    </row>
    <row r="8134">
      <c r="A8134" s="49">
        <v>44779.60035201389</v>
      </c>
      <c r="B8134" s="50">
        <v>44779.7253279398</v>
      </c>
      <c r="C8134" s="51">
        <v>1.004</v>
      </c>
      <c r="D8134" s="51">
        <v>68.0</v>
      </c>
      <c r="E8134" s="52" t="s">
        <v>25</v>
      </c>
      <c r="F8134" s="52" t="s">
        <v>26</v>
      </c>
      <c r="G8134" s="53"/>
    </row>
    <row r="8135">
      <c r="A8135" s="49">
        <v>44779.61078668982</v>
      </c>
      <c r="B8135" s="50">
        <v>44779.7357595254</v>
      </c>
      <c r="C8135" s="51">
        <v>1.004</v>
      </c>
      <c r="D8135" s="51">
        <v>68.0</v>
      </c>
      <c r="E8135" s="52" t="s">
        <v>25</v>
      </c>
      <c r="F8135" s="52" t="s">
        <v>26</v>
      </c>
      <c r="G8135" s="53"/>
    </row>
    <row r="8136">
      <c r="A8136" s="49">
        <v>44779.621202372684</v>
      </c>
      <c r="B8136" s="50">
        <v>44779.7461805555</v>
      </c>
      <c r="C8136" s="51">
        <v>1.004</v>
      </c>
      <c r="D8136" s="51">
        <v>68.0</v>
      </c>
      <c r="E8136" s="52" t="s">
        <v>25</v>
      </c>
      <c r="F8136" s="52" t="s">
        <v>26</v>
      </c>
      <c r="G8136" s="53"/>
    </row>
    <row r="8137">
      <c r="A8137" s="49">
        <v>44779.63163358797</v>
      </c>
      <c r="B8137" s="50">
        <v>44779.7566024884</v>
      </c>
      <c r="C8137" s="51">
        <v>1.004</v>
      </c>
      <c r="D8137" s="51">
        <v>68.0</v>
      </c>
      <c r="E8137" s="52" t="s">
        <v>25</v>
      </c>
      <c r="F8137" s="52" t="s">
        <v>26</v>
      </c>
      <c r="G8137" s="53"/>
    </row>
    <row r="8138">
      <c r="A8138" s="49">
        <v>44779.642051319446</v>
      </c>
      <c r="B8138" s="50">
        <v>44779.7670237037</v>
      </c>
      <c r="C8138" s="51">
        <v>1.004</v>
      </c>
      <c r="D8138" s="51">
        <v>68.0</v>
      </c>
      <c r="E8138" s="52" t="s">
        <v>25</v>
      </c>
      <c r="F8138" s="52" t="s">
        <v>26</v>
      </c>
      <c r="G8138" s="53"/>
    </row>
    <row r="8139">
      <c r="A8139" s="49">
        <v>44779.65247971065</v>
      </c>
      <c r="B8139" s="50">
        <v>44779.7774580671</v>
      </c>
      <c r="C8139" s="51">
        <v>1.004</v>
      </c>
      <c r="D8139" s="51">
        <v>68.0</v>
      </c>
      <c r="E8139" s="52" t="s">
        <v>25</v>
      </c>
      <c r="F8139" s="52" t="s">
        <v>26</v>
      </c>
      <c r="G8139" s="53"/>
    </row>
    <row r="8140">
      <c r="A8140" s="49">
        <v>44779.662908576385</v>
      </c>
      <c r="B8140" s="50">
        <v>44779.787878206</v>
      </c>
      <c r="C8140" s="51">
        <v>1.004</v>
      </c>
      <c r="D8140" s="51">
        <v>68.0</v>
      </c>
      <c r="E8140" s="52" t="s">
        <v>25</v>
      </c>
      <c r="F8140" s="52" t="s">
        <v>26</v>
      </c>
      <c r="G8140" s="53"/>
    </row>
    <row r="8141">
      <c r="A8141" s="49">
        <v>44779.67333831018</v>
      </c>
      <c r="B8141" s="50">
        <v>44779.7983107176</v>
      </c>
      <c r="C8141" s="51">
        <v>1.004</v>
      </c>
      <c r="D8141" s="51">
        <v>68.0</v>
      </c>
      <c r="E8141" s="52" t="s">
        <v>25</v>
      </c>
      <c r="F8141" s="52" t="s">
        <v>26</v>
      </c>
      <c r="G8141" s="53"/>
    </row>
    <row r="8142">
      <c r="A8142" s="49">
        <v>44779.683757129635</v>
      </c>
      <c r="B8142" s="50">
        <v>44779.8087327662</v>
      </c>
      <c r="C8142" s="51">
        <v>1.004</v>
      </c>
      <c r="D8142" s="51">
        <v>68.0</v>
      </c>
      <c r="E8142" s="52" t="s">
        <v>25</v>
      </c>
      <c r="F8142" s="52" t="s">
        <v>26</v>
      </c>
      <c r="G8142" s="53"/>
    </row>
    <row r="8143">
      <c r="A8143" s="49">
        <v>44779.69417569444</v>
      </c>
      <c r="B8143" s="50">
        <v>44779.8191555324</v>
      </c>
      <c r="C8143" s="51">
        <v>1.004</v>
      </c>
      <c r="D8143" s="51">
        <v>68.0</v>
      </c>
      <c r="E8143" s="52" t="s">
        <v>25</v>
      </c>
      <c r="F8143" s="52" t="s">
        <v>26</v>
      </c>
      <c r="G8143" s="53"/>
    </row>
    <row r="8144">
      <c r="A8144" s="49">
        <v>44779.70460520833</v>
      </c>
      <c r="B8144" s="50">
        <v>44779.8295764467</v>
      </c>
      <c r="C8144" s="51">
        <v>1.004</v>
      </c>
      <c r="D8144" s="51">
        <v>68.0</v>
      </c>
      <c r="E8144" s="52" t="s">
        <v>25</v>
      </c>
      <c r="F8144" s="52" t="s">
        <v>26</v>
      </c>
      <c r="G8144" s="53"/>
    </row>
    <row r="8145">
      <c r="A8145" s="49">
        <v>44779.71502962963</v>
      </c>
      <c r="B8145" s="50">
        <v>44779.8399975463</v>
      </c>
      <c r="C8145" s="51">
        <v>1.004</v>
      </c>
      <c r="D8145" s="51">
        <v>68.0</v>
      </c>
      <c r="E8145" s="52" t="s">
        <v>25</v>
      </c>
      <c r="F8145" s="52" t="s">
        <v>26</v>
      </c>
      <c r="G8145" s="53"/>
    </row>
    <row r="8146">
      <c r="A8146" s="49">
        <v>44779.725444814816</v>
      </c>
      <c r="B8146" s="50">
        <v>44779.850418287</v>
      </c>
      <c r="C8146" s="51">
        <v>1.004</v>
      </c>
      <c r="D8146" s="51">
        <v>68.0</v>
      </c>
      <c r="E8146" s="52" t="s">
        <v>25</v>
      </c>
      <c r="F8146" s="52" t="s">
        <v>26</v>
      </c>
      <c r="G8146" s="53"/>
    </row>
    <row r="8147">
      <c r="A8147" s="49">
        <v>44779.735864849536</v>
      </c>
      <c r="B8147" s="50">
        <v>44779.8608398264</v>
      </c>
      <c r="C8147" s="51">
        <v>1.004</v>
      </c>
      <c r="D8147" s="51">
        <v>68.0</v>
      </c>
      <c r="E8147" s="52" t="s">
        <v>25</v>
      </c>
      <c r="F8147" s="52" t="s">
        <v>26</v>
      </c>
      <c r="G8147" s="53"/>
    </row>
    <row r="8148">
      <c r="A8148" s="49">
        <v>44779.74630413194</v>
      </c>
      <c r="B8148" s="50">
        <v>44779.8712732407</v>
      </c>
      <c r="C8148" s="51">
        <v>1.004</v>
      </c>
      <c r="D8148" s="51">
        <v>68.0</v>
      </c>
      <c r="E8148" s="52" t="s">
        <v>25</v>
      </c>
      <c r="F8148" s="52" t="s">
        <v>26</v>
      </c>
      <c r="G8148" s="53"/>
    </row>
    <row r="8149">
      <c r="A8149" s="49">
        <v>44779.7567583912</v>
      </c>
      <c r="B8149" s="50">
        <v>44779.8817284375</v>
      </c>
      <c r="C8149" s="51">
        <v>1.004</v>
      </c>
      <c r="D8149" s="51">
        <v>68.0</v>
      </c>
      <c r="E8149" s="52" t="s">
        <v>25</v>
      </c>
      <c r="F8149" s="52" t="s">
        <v>26</v>
      </c>
      <c r="G8149" s="53"/>
    </row>
    <row r="8150">
      <c r="A8150" s="49">
        <v>44779.767176284724</v>
      </c>
      <c r="B8150" s="50">
        <v>44779.8921493981</v>
      </c>
      <c r="C8150" s="51">
        <v>1.004</v>
      </c>
      <c r="D8150" s="51">
        <v>68.0</v>
      </c>
      <c r="E8150" s="52" t="s">
        <v>25</v>
      </c>
      <c r="F8150" s="52" t="s">
        <v>26</v>
      </c>
      <c r="G8150" s="53"/>
    </row>
    <row r="8151">
      <c r="A8151" s="49">
        <v>44779.777610694444</v>
      </c>
      <c r="B8151" s="50">
        <v>44779.9025828472</v>
      </c>
      <c r="C8151" s="51">
        <v>1.004</v>
      </c>
      <c r="D8151" s="51">
        <v>68.0</v>
      </c>
      <c r="E8151" s="52" t="s">
        <v>25</v>
      </c>
      <c r="F8151" s="52" t="s">
        <v>26</v>
      </c>
      <c r="G8151" s="53"/>
    </row>
    <row r="8152">
      <c r="A8152" s="49">
        <v>44779.78803034722</v>
      </c>
      <c r="B8152" s="50">
        <v>44779.9130039814</v>
      </c>
      <c r="C8152" s="51">
        <v>1.004</v>
      </c>
      <c r="D8152" s="51">
        <v>68.0</v>
      </c>
      <c r="E8152" s="52" t="s">
        <v>25</v>
      </c>
      <c r="F8152" s="52" t="s">
        <v>26</v>
      </c>
      <c r="G8152" s="53"/>
    </row>
    <row r="8153">
      <c r="A8153" s="49">
        <v>44779.79844646991</v>
      </c>
      <c r="B8153" s="50">
        <v>44779.9234254861</v>
      </c>
      <c r="C8153" s="51">
        <v>1.004</v>
      </c>
      <c r="D8153" s="51">
        <v>68.0</v>
      </c>
      <c r="E8153" s="52" t="s">
        <v>25</v>
      </c>
      <c r="F8153" s="52" t="s">
        <v>26</v>
      </c>
      <c r="G8153" s="53"/>
    </row>
    <row r="8154">
      <c r="A8154" s="49">
        <v>44779.808878090276</v>
      </c>
      <c r="B8154" s="50">
        <v>44779.9338465162</v>
      </c>
      <c r="C8154" s="51">
        <v>1.004</v>
      </c>
      <c r="D8154" s="51">
        <v>68.0</v>
      </c>
      <c r="E8154" s="52" t="s">
        <v>25</v>
      </c>
      <c r="F8154" s="52" t="s">
        <v>26</v>
      </c>
      <c r="G8154" s="53"/>
    </row>
    <row r="8155">
      <c r="A8155" s="49">
        <v>44779.819296284724</v>
      </c>
      <c r="B8155" s="50">
        <v>44779.9442673726</v>
      </c>
      <c r="C8155" s="51">
        <v>1.004</v>
      </c>
      <c r="D8155" s="51">
        <v>68.0</v>
      </c>
      <c r="E8155" s="52" t="s">
        <v>25</v>
      </c>
      <c r="F8155" s="52" t="s">
        <v>26</v>
      </c>
      <c r="G8155" s="53"/>
    </row>
    <row r="8156">
      <c r="A8156" s="49">
        <v>44779.82972446759</v>
      </c>
      <c r="B8156" s="50">
        <v>44779.954699155</v>
      </c>
      <c r="C8156" s="51">
        <v>1.004</v>
      </c>
      <c r="D8156" s="51">
        <v>68.0</v>
      </c>
      <c r="E8156" s="52" t="s">
        <v>25</v>
      </c>
      <c r="F8156" s="52" t="s">
        <v>26</v>
      </c>
      <c r="G8156" s="53"/>
    </row>
    <row r="8157">
      <c r="A8157" s="49">
        <v>44779.84013939815</v>
      </c>
      <c r="B8157" s="50">
        <v>44779.9651214351</v>
      </c>
      <c r="C8157" s="51">
        <v>1.004</v>
      </c>
      <c r="D8157" s="51">
        <v>68.0</v>
      </c>
      <c r="E8157" s="52" t="s">
        <v>25</v>
      </c>
      <c r="F8157" s="52" t="s">
        <v>26</v>
      </c>
      <c r="G8157" s="53"/>
    </row>
    <row r="8158">
      <c r="A8158" s="49">
        <v>44779.85057810185</v>
      </c>
      <c r="B8158" s="50">
        <v>44779.9755437384</v>
      </c>
      <c r="C8158" s="51">
        <v>1.004</v>
      </c>
      <c r="D8158" s="51">
        <v>68.0</v>
      </c>
      <c r="E8158" s="52" t="s">
        <v>25</v>
      </c>
      <c r="F8158" s="52" t="s">
        <v>26</v>
      </c>
      <c r="G8158" s="53"/>
    </row>
    <row r="8159">
      <c r="A8159" s="49">
        <v>44779.86098184028</v>
      </c>
      <c r="B8159" s="50">
        <v>44779.9859628587</v>
      </c>
      <c r="C8159" s="51">
        <v>1.004</v>
      </c>
      <c r="D8159" s="51">
        <v>68.0</v>
      </c>
      <c r="E8159" s="52" t="s">
        <v>25</v>
      </c>
      <c r="F8159" s="52" t="s">
        <v>26</v>
      </c>
      <c r="G8159" s="53"/>
    </row>
    <row r="8160">
      <c r="A8160" s="49">
        <v>44779.87141119213</v>
      </c>
      <c r="B8160" s="50">
        <v>44779.9963837847</v>
      </c>
      <c r="C8160" s="51">
        <v>1.004</v>
      </c>
      <c r="D8160" s="51">
        <v>68.0</v>
      </c>
      <c r="E8160" s="52" t="s">
        <v>25</v>
      </c>
      <c r="F8160" s="52" t="s">
        <v>26</v>
      </c>
      <c r="G8160" s="53"/>
    </row>
    <row r="8161">
      <c r="A8161" s="49">
        <v>44779.881829687496</v>
      </c>
      <c r="B8161" s="50">
        <v>44780.0068049305</v>
      </c>
      <c r="C8161" s="51">
        <v>1.004</v>
      </c>
      <c r="D8161" s="51">
        <v>68.0</v>
      </c>
      <c r="E8161" s="52" t="s">
        <v>25</v>
      </c>
      <c r="F8161" s="52" t="s">
        <v>26</v>
      </c>
      <c r="G8161" s="53"/>
    </row>
    <row r="8162">
      <c r="A8162" s="49">
        <v>44779.89224755787</v>
      </c>
      <c r="B8162" s="50">
        <v>44780.0172249074</v>
      </c>
      <c r="C8162" s="51">
        <v>1.004</v>
      </c>
      <c r="D8162" s="51">
        <v>68.0</v>
      </c>
      <c r="E8162" s="52" t="s">
        <v>25</v>
      </c>
      <c r="F8162" s="52" t="s">
        <v>26</v>
      </c>
      <c r="G8162" s="53"/>
    </row>
    <row r="8163">
      <c r="A8163" s="49">
        <v>44779.90266371528</v>
      </c>
      <c r="B8163" s="50">
        <v>44780.0276452777</v>
      </c>
      <c r="C8163" s="51">
        <v>1.004</v>
      </c>
      <c r="D8163" s="51">
        <v>68.0</v>
      </c>
      <c r="E8163" s="52" t="s">
        <v>25</v>
      </c>
      <c r="F8163" s="52" t="s">
        <v>26</v>
      </c>
      <c r="G8163" s="53"/>
    </row>
    <row r="8164">
      <c r="A8164" s="49">
        <v>44779.913094062504</v>
      </c>
      <c r="B8164" s="50">
        <v>44780.0380668518</v>
      </c>
      <c r="C8164" s="51">
        <v>1.004</v>
      </c>
      <c r="D8164" s="51">
        <v>68.0</v>
      </c>
      <c r="E8164" s="52" t="s">
        <v>25</v>
      </c>
      <c r="F8164" s="52" t="s">
        <v>26</v>
      </c>
      <c r="G8164" s="53"/>
    </row>
    <row r="8165">
      <c r="A8165" s="49">
        <v>44779.923527129635</v>
      </c>
      <c r="B8165" s="50">
        <v>44780.0484972337</v>
      </c>
      <c r="C8165" s="51">
        <v>1.004</v>
      </c>
      <c r="D8165" s="51">
        <v>68.0</v>
      </c>
      <c r="E8165" s="52" t="s">
        <v>25</v>
      </c>
      <c r="F8165" s="52" t="s">
        <v>26</v>
      </c>
      <c r="G8165" s="53"/>
    </row>
    <row r="8166">
      <c r="A8166" s="49">
        <v>44779.93394673611</v>
      </c>
      <c r="B8166" s="50">
        <v>44780.0589175231</v>
      </c>
      <c r="C8166" s="51">
        <v>1.004</v>
      </c>
      <c r="D8166" s="51">
        <v>68.0</v>
      </c>
      <c r="E8166" s="52" t="s">
        <v>25</v>
      </c>
      <c r="F8166" s="52" t="s">
        <v>26</v>
      </c>
      <c r="G8166" s="53"/>
    </row>
    <row r="8167">
      <c r="A8167" s="49">
        <v>44779.944362511575</v>
      </c>
      <c r="B8167" s="50">
        <v>44780.0693378472</v>
      </c>
      <c r="C8167" s="51">
        <v>1.004</v>
      </c>
      <c r="D8167" s="51">
        <v>68.0</v>
      </c>
      <c r="E8167" s="52" t="s">
        <v>25</v>
      </c>
      <c r="F8167" s="52" t="s">
        <v>26</v>
      </c>
      <c r="G8167" s="53"/>
    </row>
    <row r="8168">
      <c r="A8168" s="49">
        <v>44779.95478559028</v>
      </c>
      <c r="B8168" s="50">
        <v>44780.0797577083</v>
      </c>
      <c r="C8168" s="51">
        <v>1.004</v>
      </c>
      <c r="D8168" s="51">
        <v>68.0</v>
      </c>
      <c r="E8168" s="52" t="s">
        <v>25</v>
      </c>
      <c r="F8168" s="52" t="s">
        <v>26</v>
      </c>
      <c r="G8168" s="53"/>
    </row>
    <row r="8169">
      <c r="A8169" s="49">
        <v>44779.96520559028</v>
      </c>
      <c r="B8169" s="50">
        <v>44780.0901794791</v>
      </c>
      <c r="C8169" s="51">
        <v>1.004</v>
      </c>
      <c r="D8169" s="51">
        <v>68.0</v>
      </c>
      <c r="E8169" s="52" t="s">
        <v>25</v>
      </c>
      <c r="F8169" s="52" t="s">
        <v>26</v>
      </c>
      <c r="G8169" s="53"/>
    </row>
    <row r="8170">
      <c r="A8170" s="49">
        <v>44779.975620763886</v>
      </c>
      <c r="B8170" s="50">
        <v>44780.1005994907</v>
      </c>
      <c r="C8170" s="51">
        <v>1.004</v>
      </c>
      <c r="D8170" s="51">
        <v>68.0</v>
      </c>
      <c r="E8170" s="52" t="s">
        <v>25</v>
      </c>
      <c r="F8170" s="52" t="s">
        <v>26</v>
      </c>
      <c r="G8170" s="53"/>
    </row>
    <row r="8171">
      <c r="A8171" s="49">
        <v>44779.98605555556</v>
      </c>
      <c r="B8171" s="50">
        <v>44780.1110216782</v>
      </c>
      <c r="C8171" s="51">
        <v>1.004</v>
      </c>
      <c r="D8171" s="51">
        <v>68.0</v>
      </c>
      <c r="E8171" s="52" t="s">
        <v>25</v>
      </c>
      <c r="F8171" s="52" t="s">
        <v>26</v>
      </c>
      <c r="G8171" s="53"/>
    </row>
    <row r="8172">
      <c r="A8172" s="49">
        <v>44779.99647388889</v>
      </c>
      <c r="B8172" s="50">
        <v>44780.1214433217</v>
      </c>
      <c r="C8172" s="51">
        <v>1.004</v>
      </c>
      <c r="D8172" s="51">
        <v>68.0</v>
      </c>
      <c r="E8172" s="52" t="s">
        <v>25</v>
      </c>
      <c r="F8172" s="52" t="s">
        <v>26</v>
      </c>
      <c r="G8172" s="53"/>
    </row>
    <row r="8173">
      <c r="A8173" s="49">
        <v>44780.00689122685</v>
      </c>
      <c r="B8173" s="50">
        <v>44780.1318622453</v>
      </c>
      <c r="C8173" s="51">
        <v>1.004</v>
      </c>
      <c r="D8173" s="51">
        <v>68.0</v>
      </c>
      <c r="E8173" s="52" t="s">
        <v>25</v>
      </c>
      <c r="F8173" s="52" t="s">
        <v>26</v>
      </c>
      <c r="G8173" s="53"/>
    </row>
    <row r="8174">
      <c r="A8174" s="49">
        <v>44780.0173153588</v>
      </c>
      <c r="B8174" s="50">
        <v>44780.1422837615</v>
      </c>
      <c r="C8174" s="51">
        <v>1.004</v>
      </c>
      <c r="D8174" s="51">
        <v>68.0</v>
      </c>
      <c r="E8174" s="52" t="s">
        <v>25</v>
      </c>
      <c r="F8174" s="52" t="s">
        <v>26</v>
      </c>
      <c r="G8174" s="53"/>
    </row>
    <row r="8175">
      <c r="A8175" s="49">
        <v>44780.027727824076</v>
      </c>
      <c r="B8175" s="50">
        <v>44780.1527053819</v>
      </c>
      <c r="C8175" s="51">
        <v>1.004</v>
      </c>
      <c r="D8175" s="51">
        <v>68.0</v>
      </c>
      <c r="E8175" s="52" t="s">
        <v>25</v>
      </c>
      <c r="F8175" s="52" t="s">
        <v>26</v>
      </c>
      <c r="G8175" s="53"/>
    </row>
    <row r="8176">
      <c r="A8176" s="49">
        <v>44780.03816001157</v>
      </c>
      <c r="B8176" s="50">
        <v>44780.1631282986</v>
      </c>
      <c r="C8176" s="51">
        <v>1.004</v>
      </c>
      <c r="D8176" s="51">
        <v>68.0</v>
      </c>
      <c r="E8176" s="52" t="s">
        <v>25</v>
      </c>
      <c r="F8176" s="52" t="s">
        <v>26</v>
      </c>
      <c r="G8176" s="53"/>
    </row>
    <row r="8177">
      <c r="A8177" s="49">
        <v>44780.04857503472</v>
      </c>
      <c r="B8177" s="50">
        <v>44780.1735513773</v>
      </c>
      <c r="C8177" s="51">
        <v>1.004</v>
      </c>
      <c r="D8177" s="51">
        <v>68.0</v>
      </c>
      <c r="E8177" s="52" t="s">
        <v>25</v>
      </c>
      <c r="F8177" s="52" t="s">
        <v>26</v>
      </c>
      <c r="G8177" s="53"/>
    </row>
    <row r="8178">
      <c r="A8178" s="49">
        <v>44780.05903153935</v>
      </c>
      <c r="B8178" s="50">
        <v>44780.1840061574</v>
      </c>
      <c r="C8178" s="51">
        <v>1.004</v>
      </c>
      <c r="D8178" s="51">
        <v>69.0</v>
      </c>
      <c r="E8178" s="52" t="s">
        <v>25</v>
      </c>
      <c r="F8178" s="52" t="s">
        <v>26</v>
      </c>
      <c r="G8178" s="53"/>
    </row>
    <row r="8179">
      <c r="A8179" s="49">
        <v>44780.069457164354</v>
      </c>
      <c r="B8179" s="50">
        <v>44780.1944373495</v>
      </c>
      <c r="C8179" s="51">
        <v>1.004</v>
      </c>
      <c r="D8179" s="51">
        <v>69.0</v>
      </c>
      <c r="E8179" s="52" t="s">
        <v>25</v>
      </c>
      <c r="F8179" s="52" t="s">
        <v>26</v>
      </c>
      <c r="G8179" s="53"/>
    </row>
    <row r="8180">
      <c r="A8180" s="49">
        <v>44780.079876655094</v>
      </c>
      <c r="B8180" s="50">
        <v>44780.2048581018</v>
      </c>
      <c r="C8180" s="51">
        <v>1.004</v>
      </c>
      <c r="D8180" s="51">
        <v>68.0</v>
      </c>
      <c r="E8180" s="52" t="s">
        <v>25</v>
      </c>
      <c r="F8180" s="52" t="s">
        <v>26</v>
      </c>
      <c r="G8180" s="53"/>
    </row>
    <row r="8181">
      <c r="A8181" s="49">
        <v>44780.0902996875</v>
      </c>
      <c r="B8181" s="50">
        <v>44780.2152778356</v>
      </c>
      <c r="C8181" s="51">
        <v>1.004</v>
      </c>
      <c r="D8181" s="51">
        <v>69.0</v>
      </c>
      <c r="E8181" s="52" t="s">
        <v>25</v>
      </c>
      <c r="F8181" s="52" t="s">
        <v>26</v>
      </c>
      <c r="G8181" s="53"/>
    </row>
    <row r="8182">
      <c r="A8182" s="49">
        <v>44780.10073259259</v>
      </c>
      <c r="B8182" s="50">
        <v>44780.2257002893</v>
      </c>
      <c r="C8182" s="51">
        <v>1.004</v>
      </c>
      <c r="D8182" s="51">
        <v>69.0</v>
      </c>
      <c r="E8182" s="52" t="s">
        <v>25</v>
      </c>
      <c r="F8182" s="52" t="s">
        <v>26</v>
      </c>
      <c r="G8182" s="53"/>
    </row>
    <row r="8183">
      <c r="A8183" s="49">
        <v>44780.1111530787</v>
      </c>
      <c r="B8183" s="50">
        <v>44780.2361199421</v>
      </c>
      <c r="C8183" s="51">
        <v>1.004</v>
      </c>
      <c r="D8183" s="51">
        <v>69.0</v>
      </c>
      <c r="E8183" s="52" t="s">
        <v>25</v>
      </c>
      <c r="F8183" s="52" t="s">
        <v>26</v>
      </c>
      <c r="G8183" s="53"/>
    </row>
    <row r="8184">
      <c r="A8184" s="49">
        <v>44780.12156944444</v>
      </c>
      <c r="B8184" s="50">
        <v>44780.246540243</v>
      </c>
      <c r="C8184" s="51">
        <v>1.004</v>
      </c>
      <c r="D8184" s="51">
        <v>69.0</v>
      </c>
      <c r="E8184" s="52" t="s">
        <v>25</v>
      </c>
      <c r="F8184" s="52" t="s">
        <v>26</v>
      </c>
      <c r="G8184" s="53"/>
    </row>
    <row r="8185">
      <c r="A8185" s="49">
        <v>44780.132000428246</v>
      </c>
      <c r="B8185" s="50">
        <v>44780.2569726504</v>
      </c>
      <c r="C8185" s="51">
        <v>1.004</v>
      </c>
      <c r="D8185" s="51">
        <v>69.0</v>
      </c>
      <c r="E8185" s="52" t="s">
        <v>25</v>
      </c>
      <c r="F8185" s="52" t="s">
        <v>26</v>
      </c>
      <c r="G8185" s="53"/>
    </row>
    <row r="8186">
      <c r="A8186" s="49">
        <v>44780.14241671296</v>
      </c>
      <c r="B8186" s="50">
        <v>44780.2673937963</v>
      </c>
      <c r="C8186" s="51">
        <v>1.004</v>
      </c>
      <c r="D8186" s="51">
        <v>69.0</v>
      </c>
      <c r="E8186" s="52" t="s">
        <v>25</v>
      </c>
      <c r="F8186" s="52" t="s">
        <v>26</v>
      </c>
      <c r="G8186" s="53"/>
    </row>
    <row r="8187">
      <c r="A8187" s="49">
        <v>44780.15284998843</v>
      </c>
      <c r="B8187" s="50">
        <v>44780.2778145949</v>
      </c>
      <c r="C8187" s="51">
        <v>1.004</v>
      </c>
      <c r="D8187" s="51">
        <v>69.0</v>
      </c>
      <c r="E8187" s="52" t="s">
        <v>25</v>
      </c>
      <c r="F8187" s="52" t="s">
        <v>26</v>
      </c>
      <c r="G8187" s="53"/>
    </row>
    <row r="8188">
      <c r="A8188" s="49">
        <v>44780.16326502315</v>
      </c>
      <c r="B8188" s="50">
        <v>44780.2882342476</v>
      </c>
      <c r="C8188" s="51">
        <v>1.004</v>
      </c>
      <c r="D8188" s="51">
        <v>69.0</v>
      </c>
      <c r="E8188" s="52" t="s">
        <v>25</v>
      </c>
      <c r="F8188" s="52" t="s">
        <v>26</v>
      </c>
      <c r="G8188" s="53"/>
    </row>
    <row r="8189">
      <c r="A8189" s="49">
        <v>44780.17368902778</v>
      </c>
      <c r="B8189" s="50">
        <v>44780.2986555671</v>
      </c>
      <c r="C8189" s="51">
        <v>1.004</v>
      </c>
      <c r="D8189" s="51">
        <v>69.0</v>
      </c>
      <c r="E8189" s="52" t="s">
        <v>25</v>
      </c>
      <c r="F8189" s="52" t="s">
        <v>26</v>
      </c>
      <c r="G8189" s="53"/>
    </row>
    <row r="8190">
      <c r="A8190" s="49">
        <v>44780.18411901621</v>
      </c>
      <c r="B8190" s="50">
        <v>44780.3090913078</v>
      </c>
      <c r="C8190" s="51">
        <v>1.004</v>
      </c>
      <c r="D8190" s="51">
        <v>69.0</v>
      </c>
      <c r="E8190" s="52" t="s">
        <v>25</v>
      </c>
      <c r="F8190" s="52" t="s">
        <v>26</v>
      </c>
      <c r="G8190" s="53"/>
    </row>
    <row r="8191">
      <c r="A8191" s="49">
        <v>44780.19454979167</v>
      </c>
      <c r="B8191" s="50">
        <v>44780.31952228</v>
      </c>
      <c r="C8191" s="51">
        <v>1.004</v>
      </c>
      <c r="D8191" s="51">
        <v>69.0</v>
      </c>
      <c r="E8191" s="52" t="s">
        <v>25</v>
      </c>
      <c r="F8191" s="52" t="s">
        <v>26</v>
      </c>
      <c r="G8191" s="53"/>
    </row>
    <row r="8192">
      <c r="A8192" s="49">
        <v>44780.20497855324</v>
      </c>
      <c r="B8192" s="50">
        <v>44780.3299436921</v>
      </c>
      <c r="C8192" s="51">
        <v>1.004</v>
      </c>
      <c r="D8192" s="51">
        <v>69.0</v>
      </c>
      <c r="E8192" s="52" t="s">
        <v>25</v>
      </c>
      <c r="F8192" s="52" t="s">
        <v>26</v>
      </c>
      <c r="G8192" s="53"/>
    </row>
    <row r="8193">
      <c r="A8193" s="49">
        <v>44780.215394363426</v>
      </c>
      <c r="B8193" s="50">
        <v>44780.3403639236</v>
      </c>
      <c r="C8193" s="51">
        <v>1.004</v>
      </c>
      <c r="D8193" s="51">
        <v>69.0</v>
      </c>
      <c r="E8193" s="52" t="s">
        <v>25</v>
      </c>
      <c r="F8193" s="52" t="s">
        <v>26</v>
      </c>
      <c r="G8193" s="53"/>
    </row>
    <row r="8194">
      <c r="A8194" s="49">
        <v>44780.22583787037</v>
      </c>
      <c r="B8194" s="50">
        <v>44780.3508092824</v>
      </c>
      <c r="C8194" s="51">
        <v>1.004</v>
      </c>
      <c r="D8194" s="51">
        <v>69.0</v>
      </c>
      <c r="E8194" s="52" t="s">
        <v>25</v>
      </c>
      <c r="F8194" s="52" t="s">
        <v>26</v>
      </c>
      <c r="G8194" s="53"/>
    </row>
    <row r="8195">
      <c r="A8195" s="49">
        <v>44780.236257638884</v>
      </c>
      <c r="B8195" s="50">
        <v>44780.3612297453</v>
      </c>
      <c r="C8195" s="51">
        <v>1.004</v>
      </c>
      <c r="D8195" s="51">
        <v>69.0</v>
      </c>
      <c r="E8195" s="52" t="s">
        <v>25</v>
      </c>
      <c r="F8195" s="52" t="s">
        <v>26</v>
      </c>
      <c r="G8195" s="53"/>
    </row>
    <row r="8196">
      <c r="A8196" s="49">
        <v>44780.246672650464</v>
      </c>
      <c r="B8196" s="50">
        <v>44780.3716508912</v>
      </c>
      <c r="C8196" s="51">
        <v>1.004</v>
      </c>
      <c r="D8196" s="51">
        <v>69.0</v>
      </c>
      <c r="E8196" s="52" t="s">
        <v>25</v>
      </c>
      <c r="F8196" s="52" t="s">
        <v>26</v>
      </c>
      <c r="G8196" s="53"/>
    </row>
    <row r="8197">
      <c r="A8197" s="49">
        <v>44780.257117870366</v>
      </c>
      <c r="B8197" s="50">
        <v>44780.3820854282</v>
      </c>
      <c r="C8197" s="51">
        <v>1.004</v>
      </c>
      <c r="D8197" s="51">
        <v>69.0</v>
      </c>
      <c r="E8197" s="52" t="s">
        <v>25</v>
      </c>
      <c r="F8197" s="52" t="s">
        <v>26</v>
      </c>
      <c r="G8197" s="53"/>
    </row>
    <row r="8198">
      <c r="A8198" s="49">
        <v>44780.26753599537</v>
      </c>
      <c r="B8198" s="50">
        <v>44780.3925059374</v>
      </c>
      <c r="C8198" s="51">
        <v>1.004</v>
      </c>
      <c r="D8198" s="51">
        <v>69.0</v>
      </c>
      <c r="E8198" s="52" t="s">
        <v>25</v>
      </c>
      <c r="F8198" s="52" t="s">
        <v>26</v>
      </c>
      <c r="G8198" s="53"/>
    </row>
    <row r="8199">
      <c r="A8199" s="49">
        <v>44780.27795753472</v>
      </c>
      <c r="B8199" s="50">
        <v>44780.4029264583</v>
      </c>
      <c r="C8199" s="51">
        <v>1.004</v>
      </c>
      <c r="D8199" s="51">
        <v>69.0</v>
      </c>
      <c r="E8199" s="52" t="s">
        <v>25</v>
      </c>
      <c r="F8199" s="52" t="s">
        <v>26</v>
      </c>
      <c r="G8199" s="53"/>
    </row>
    <row r="8200">
      <c r="A8200" s="49">
        <v>44780.2883887037</v>
      </c>
      <c r="B8200" s="50">
        <v>44780.4133490972</v>
      </c>
      <c r="C8200" s="51">
        <v>1.004</v>
      </c>
      <c r="D8200" s="51">
        <v>69.0</v>
      </c>
      <c r="E8200" s="52" t="s">
        <v>25</v>
      </c>
      <c r="F8200" s="52" t="s">
        <v>26</v>
      </c>
      <c r="G8200" s="53"/>
    </row>
    <row r="8201">
      <c r="A8201" s="49">
        <v>44780.298826956016</v>
      </c>
      <c r="B8201" s="50">
        <v>44780.4237933333</v>
      </c>
      <c r="C8201" s="51">
        <v>1.004</v>
      </c>
      <c r="D8201" s="51">
        <v>69.0</v>
      </c>
      <c r="E8201" s="52" t="s">
        <v>25</v>
      </c>
      <c r="F8201" s="52" t="s">
        <v>26</v>
      </c>
      <c r="G8201" s="53"/>
    </row>
    <row r="8202">
      <c r="A8202" s="49">
        <v>44780.30924515046</v>
      </c>
      <c r="B8202" s="50">
        <v>44780.4342145949</v>
      </c>
      <c r="C8202" s="51">
        <v>1.004</v>
      </c>
      <c r="D8202" s="51">
        <v>69.0</v>
      </c>
      <c r="E8202" s="52" t="s">
        <v>25</v>
      </c>
      <c r="F8202" s="52" t="s">
        <v>26</v>
      </c>
      <c r="G8202" s="53"/>
    </row>
    <row r="8203">
      <c r="A8203" s="49">
        <v>44780.31966392361</v>
      </c>
      <c r="B8203" s="50">
        <v>44780.4446333333</v>
      </c>
      <c r="C8203" s="51">
        <v>1.004</v>
      </c>
      <c r="D8203" s="51">
        <v>69.0</v>
      </c>
      <c r="E8203" s="52" t="s">
        <v>25</v>
      </c>
      <c r="F8203" s="52" t="s">
        <v>26</v>
      </c>
      <c r="G8203" s="53"/>
    </row>
    <row r="8204">
      <c r="A8204" s="49">
        <v>44780.33008622685</v>
      </c>
      <c r="B8204" s="50">
        <v>44780.4550541319</v>
      </c>
      <c r="C8204" s="51">
        <v>1.004</v>
      </c>
      <c r="D8204" s="51">
        <v>69.0</v>
      </c>
      <c r="E8204" s="52" t="s">
        <v>25</v>
      </c>
      <c r="F8204" s="52" t="s">
        <v>26</v>
      </c>
      <c r="G8204" s="53"/>
    </row>
    <row r="8205">
      <c r="A8205" s="49">
        <v>44780.34050532407</v>
      </c>
      <c r="B8205" s="50">
        <v>44780.4654761805</v>
      </c>
      <c r="C8205" s="51">
        <v>1.004</v>
      </c>
      <c r="D8205" s="51">
        <v>69.0</v>
      </c>
      <c r="E8205" s="52" t="s">
        <v>25</v>
      </c>
      <c r="F8205" s="52" t="s">
        <v>26</v>
      </c>
      <c r="G8205" s="53"/>
    </row>
    <row r="8206">
      <c r="A8206" s="49">
        <v>44780.35094290509</v>
      </c>
      <c r="B8206" s="50">
        <v>44780.4758979513</v>
      </c>
      <c r="C8206" s="51">
        <v>1.004</v>
      </c>
      <c r="D8206" s="51">
        <v>69.0</v>
      </c>
      <c r="E8206" s="52" t="s">
        <v>25</v>
      </c>
      <c r="F8206" s="52" t="s">
        <v>26</v>
      </c>
      <c r="G8206" s="53"/>
    </row>
    <row r="8207">
      <c r="A8207" s="49">
        <v>44780.36134693287</v>
      </c>
      <c r="B8207" s="50">
        <v>44780.4863194675</v>
      </c>
      <c r="C8207" s="51">
        <v>1.004</v>
      </c>
      <c r="D8207" s="51">
        <v>69.0</v>
      </c>
      <c r="E8207" s="52" t="s">
        <v>25</v>
      </c>
      <c r="F8207" s="52" t="s">
        <v>26</v>
      </c>
      <c r="G8207" s="53"/>
    </row>
    <row r="8208">
      <c r="A8208" s="49">
        <v>44780.371785868054</v>
      </c>
      <c r="B8208" s="50">
        <v>44780.4967533796</v>
      </c>
      <c r="C8208" s="51">
        <v>1.004</v>
      </c>
      <c r="D8208" s="51">
        <v>69.0</v>
      </c>
      <c r="E8208" s="52" t="s">
        <v>25</v>
      </c>
      <c r="F8208" s="52" t="s">
        <v>26</v>
      </c>
      <c r="G8208" s="53"/>
    </row>
    <row r="8209">
      <c r="A8209" s="49">
        <v>44780.38219788195</v>
      </c>
      <c r="B8209" s="50">
        <v>44780.5071748611</v>
      </c>
      <c r="C8209" s="51">
        <v>1.004</v>
      </c>
      <c r="D8209" s="51">
        <v>69.0</v>
      </c>
      <c r="E8209" s="52" t="s">
        <v>25</v>
      </c>
      <c r="F8209" s="52" t="s">
        <v>26</v>
      </c>
      <c r="G8209" s="53"/>
    </row>
    <row r="8210">
      <c r="A8210" s="49">
        <v>44780.39263802083</v>
      </c>
      <c r="B8210" s="50">
        <v>44780.517607824</v>
      </c>
      <c r="C8210" s="51">
        <v>1.004</v>
      </c>
      <c r="D8210" s="51">
        <v>69.0</v>
      </c>
      <c r="E8210" s="52" t="s">
        <v>25</v>
      </c>
      <c r="F8210" s="52" t="s">
        <v>26</v>
      </c>
      <c r="G8210" s="53"/>
    </row>
    <row r="8211">
      <c r="A8211" s="49">
        <v>44780.403055</v>
      </c>
      <c r="B8211" s="50">
        <v>44780.5280282638</v>
      </c>
      <c r="C8211" s="51">
        <v>1.004</v>
      </c>
      <c r="D8211" s="51">
        <v>69.0</v>
      </c>
      <c r="E8211" s="52" t="s">
        <v>25</v>
      </c>
      <c r="F8211" s="52" t="s">
        <v>26</v>
      </c>
      <c r="G8211" s="53"/>
    </row>
    <row r="8212">
      <c r="A8212" s="49">
        <v>44780.4134833912</v>
      </c>
      <c r="B8212" s="50">
        <v>44780.53846125</v>
      </c>
      <c r="C8212" s="51">
        <v>1.004</v>
      </c>
      <c r="D8212" s="51">
        <v>69.0</v>
      </c>
      <c r="E8212" s="52" t="s">
        <v>25</v>
      </c>
      <c r="F8212" s="52" t="s">
        <v>26</v>
      </c>
      <c r="G8212" s="53"/>
    </row>
    <row r="8213">
      <c r="A8213" s="49">
        <v>44780.423910937505</v>
      </c>
      <c r="B8213" s="50">
        <v>44780.5488812731</v>
      </c>
      <c r="C8213" s="51">
        <v>1.004</v>
      </c>
      <c r="D8213" s="51">
        <v>69.0</v>
      </c>
      <c r="E8213" s="52" t="s">
        <v>25</v>
      </c>
      <c r="F8213" s="52" t="s">
        <v>26</v>
      </c>
      <c r="G8213" s="53"/>
    </row>
    <row r="8214">
      <c r="A8214" s="49">
        <v>44780.43433232639</v>
      </c>
      <c r="B8214" s="50">
        <v>44780.5593011342</v>
      </c>
      <c r="C8214" s="51">
        <v>1.004</v>
      </c>
      <c r="D8214" s="51">
        <v>69.0</v>
      </c>
      <c r="E8214" s="52" t="s">
        <v>25</v>
      </c>
      <c r="F8214" s="52" t="s">
        <v>26</v>
      </c>
      <c r="G8214" s="53"/>
    </row>
    <row r="8215">
      <c r="A8215" s="49">
        <v>44780.44475247685</v>
      </c>
      <c r="B8215" s="50">
        <v>44780.569722662</v>
      </c>
      <c r="C8215" s="51">
        <v>1.004</v>
      </c>
      <c r="D8215" s="51">
        <v>69.0</v>
      </c>
      <c r="E8215" s="52" t="s">
        <v>25</v>
      </c>
      <c r="F8215" s="52" t="s">
        <v>26</v>
      </c>
      <c r="G8215" s="53"/>
    </row>
    <row r="8216">
      <c r="A8216" s="49">
        <v>44780.45517796296</v>
      </c>
      <c r="B8216" s="50">
        <v>44780.5801544328</v>
      </c>
      <c r="C8216" s="51">
        <v>1.004</v>
      </c>
      <c r="D8216" s="51">
        <v>69.0</v>
      </c>
      <c r="E8216" s="52" t="s">
        <v>25</v>
      </c>
      <c r="F8216" s="52" t="s">
        <v>26</v>
      </c>
      <c r="G8216" s="53"/>
    </row>
    <row r="8217">
      <c r="A8217" s="49">
        <v>44780.46560438657</v>
      </c>
      <c r="B8217" s="50">
        <v>44780.5905769675</v>
      </c>
      <c r="C8217" s="51">
        <v>1.004</v>
      </c>
      <c r="D8217" s="51">
        <v>69.0</v>
      </c>
      <c r="E8217" s="52" t="s">
        <v>25</v>
      </c>
      <c r="F8217" s="52" t="s">
        <v>26</v>
      </c>
      <c r="G8217" s="53"/>
    </row>
    <row r="8218">
      <c r="A8218" s="49">
        <v>44780.476024918986</v>
      </c>
      <c r="B8218" s="50">
        <v>44780.6009970949</v>
      </c>
      <c r="C8218" s="51">
        <v>1.004</v>
      </c>
      <c r="D8218" s="51">
        <v>69.0</v>
      </c>
      <c r="E8218" s="52" t="s">
        <v>25</v>
      </c>
      <c r="F8218" s="52" t="s">
        <v>26</v>
      </c>
      <c r="G8218" s="53"/>
    </row>
    <row r="8219">
      <c r="A8219" s="49">
        <v>44780.486456087965</v>
      </c>
      <c r="B8219" s="50">
        <v>44780.6114282638</v>
      </c>
      <c r="C8219" s="51">
        <v>1.004</v>
      </c>
      <c r="D8219" s="51">
        <v>69.0</v>
      </c>
      <c r="E8219" s="52" t="s">
        <v>25</v>
      </c>
      <c r="F8219" s="52" t="s">
        <v>26</v>
      </c>
      <c r="G8219" s="53"/>
    </row>
    <row r="8220">
      <c r="A8220" s="49">
        <v>44780.4968744213</v>
      </c>
      <c r="B8220" s="50">
        <v>44780.6218487963</v>
      </c>
      <c r="C8220" s="51">
        <v>1.004</v>
      </c>
      <c r="D8220" s="51">
        <v>69.0</v>
      </c>
      <c r="E8220" s="52" t="s">
        <v>25</v>
      </c>
      <c r="F8220" s="52" t="s">
        <v>26</v>
      </c>
      <c r="G8220" s="53"/>
    </row>
    <row r="8221">
      <c r="A8221" s="49">
        <v>44780.50729648148</v>
      </c>
      <c r="B8221" s="50">
        <v>44780.632271412</v>
      </c>
      <c r="C8221" s="51">
        <v>1.004</v>
      </c>
      <c r="D8221" s="51">
        <v>69.0</v>
      </c>
      <c r="E8221" s="52" t="s">
        <v>25</v>
      </c>
      <c r="F8221" s="52" t="s">
        <v>26</v>
      </c>
      <c r="G8221" s="53"/>
    </row>
    <row r="8222">
      <c r="A8222" s="49">
        <v>44780.51770815972</v>
      </c>
      <c r="B8222" s="50">
        <v>44780.6426923263</v>
      </c>
      <c r="C8222" s="51">
        <v>1.004</v>
      </c>
      <c r="D8222" s="51">
        <v>69.0</v>
      </c>
      <c r="E8222" s="52" t="s">
        <v>25</v>
      </c>
      <c r="F8222" s="52" t="s">
        <v>26</v>
      </c>
      <c r="G8222" s="53"/>
    </row>
    <row r="8223">
      <c r="A8223" s="49">
        <v>44780.52813957176</v>
      </c>
      <c r="B8223" s="50">
        <v>44780.6531128703</v>
      </c>
      <c r="C8223" s="51">
        <v>1.004</v>
      </c>
      <c r="D8223" s="51">
        <v>69.0</v>
      </c>
      <c r="E8223" s="52" t="s">
        <v>25</v>
      </c>
      <c r="F8223" s="52" t="s">
        <v>26</v>
      </c>
      <c r="G8223" s="53"/>
    </row>
    <row r="8224">
      <c r="A8224" s="49">
        <v>44780.538569641205</v>
      </c>
      <c r="B8224" s="50">
        <v>44780.6635465625</v>
      </c>
      <c r="C8224" s="51">
        <v>1.004</v>
      </c>
      <c r="D8224" s="51">
        <v>69.0</v>
      </c>
      <c r="E8224" s="52" t="s">
        <v>25</v>
      </c>
      <c r="F8224" s="52" t="s">
        <v>26</v>
      </c>
      <c r="G8224" s="53"/>
    </row>
    <row r="8225">
      <c r="A8225" s="49">
        <v>44780.54899045139</v>
      </c>
      <c r="B8225" s="50">
        <v>44780.6739673958</v>
      </c>
      <c r="C8225" s="51">
        <v>1.004</v>
      </c>
      <c r="D8225" s="51">
        <v>69.0</v>
      </c>
      <c r="E8225" s="52" t="s">
        <v>25</v>
      </c>
      <c r="F8225" s="52" t="s">
        <v>26</v>
      </c>
      <c r="G8225" s="53"/>
    </row>
    <row r="8226">
      <c r="A8226" s="49">
        <v>44780.559424756946</v>
      </c>
      <c r="B8226" s="50">
        <v>44780.6843998032</v>
      </c>
      <c r="C8226" s="51">
        <v>1.004</v>
      </c>
      <c r="D8226" s="51">
        <v>69.0</v>
      </c>
      <c r="E8226" s="52" t="s">
        <v>25</v>
      </c>
      <c r="F8226" s="52" t="s">
        <v>26</v>
      </c>
      <c r="G8226" s="53"/>
    </row>
    <row r="8227">
      <c r="A8227" s="49">
        <v>44780.56985053241</v>
      </c>
      <c r="B8227" s="50">
        <v>44780.6948224537</v>
      </c>
      <c r="C8227" s="51">
        <v>1.004</v>
      </c>
      <c r="D8227" s="51">
        <v>69.0</v>
      </c>
      <c r="E8227" s="52" t="s">
        <v>25</v>
      </c>
      <c r="F8227" s="52" t="s">
        <v>26</v>
      </c>
      <c r="G8227" s="53"/>
    </row>
    <row r="8228">
      <c r="A8228" s="49">
        <v>44780.580294189815</v>
      </c>
      <c r="B8228" s="50">
        <v>44780.7052675</v>
      </c>
      <c r="C8228" s="51">
        <v>1.004</v>
      </c>
      <c r="D8228" s="51">
        <v>69.0</v>
      </c>
      <c r="E8228" s="52" t="s">
        <v>25</v>
      </c>
      <c r="F8228" s="52" t="s">
        <v>26</v>
      </c>
      <c r="G8228" s="53"/>
    </row>
    <row r="8229">
      <c r="A8229" s="49">
        <v>44780.59071333334</v>
      </c>
      <c r="B8229" s="50">
        <v>44780.715688125</v>
      </c>
      <c r="C8229" s="51">
        <v>1.004</v>
      </c>
      <c r="D8229" s="51">
        <v>69.0</v>
      </c>
      <c r="E8229" s="52" t="s">
        <v>25</v>
      </c>
      <c r="F8229" s="52" t="s">
        <v>26</v>
      </c>
      <c r="G8229" s="53"/>
    </row>
    <row r="8230">
      <c r="A8230" s="49">
        <v>44780.60114951389</v>
      </c>
      <c r="B8230" s="50">
        <v>44780.7261232291</v>
      </c>
      <c r="C8230" s="51">
        <v>1.004</v>
      </c>
      <c r="D8230" s="51">
        <v>69.0</v>
      </c>
      <c r="E8230" s="52" t="s">
        <v>25</v>
      </c>
      <c r="F8230" s="52" t="s">
        <v>26</v>
      </c>
      <c r="G8230" s="53"/>
    </row>
    <row r="8231">
      <c r="A8231" s="49">
        <v>44780.61157270834</v>
      </c>
      <c r="B8231" s="50">
        <v>44780.7365451504</v>
      </c>
      <c r="C8231" s="51">
        <v>1.004</v>
      </c>
      <c r="D8231" s="51">
        <v>69.0</v>
      </c>
      <c r="E8231" s="52" t="s">
        <v>25</v>
      </c>
      <c r="F8231" s="52" t="s">
        <v>26</v>
      </c>
      <c r="G8231" s="53"/>
    </row>
    <row r="8232">
      <c r="A8232" s="49">
        <v>44780.622004675926</v>
      </c>
      <c r="B8232" s="50">
        <v>44780.7469768171</v>
      </c>
      <c r="C8232" s="51">
        <v>1.004</v>
      </c>
      <c r="D8232" s="51">
        <v>69.0</v>
      </c>
      <c r="E8232" s="52" t="s">
        <v>25</v>
      </c>
      <c r="F8232" s="52" t="s">
        <v>26</v>
      </c>
      <c r="G8232" s="53"/>
    </row>
    <row r="8233">
      <c r="A8233" s="49">
        <v>44780.6324253125</v>
      </c>
      <c r="B8233" s="50">
        <v>44780.7573967013</v>
      </c>
      <c r="C8233" s="51">
        <v>1.004</v>
      </c>
      <c r="D8233" s="51">
        <v>69.0</v>
      </c>
      <c r="E8233" s="52" t="s">
        <v>25</v>
      </c>
      <c r="F8233" s="52" t="s">
        <v>26</v>
      </c>
      <c r="G8233" s="53"/>
    </row>
    <row r="8234">
      <c r="A8234" s="49">
        <v>44780.64283914352</v>
      </c>
      <c r="B8234" s="50">
        <v>44780.7678191319</v>
      </c>
      <c r="C8234" s="51">
        <v>1.004</v>
      </c>
      <c r="D8234" s="51">
        <v>69.0</v>
      </c>
      <c r="E8234" s="52" t="s">
        <v>25</v>
      </c>
      <c r="F8234" s="52" t="s">
        <v>26</v>
      </c>
      <c r="G8234" s="53"/>
    </row>
    <row r="8235">
      <c r="A8235" s="49">
        <v>44780.653268877315</v>
      </c>
      <c r="B8235" s="50">
        <v>44780.7782410764</v>
      </c>
      <c r="C8235" s="51">
        <v>1.004</v>
      </c>
      <c r="D8235" s="51">
        <v>69.0</v>
      </c>
      <c r="E8235" s="52" t="s">
        <v>25</v>
      </c>
      <c r="F8235" s="52" t="s">
        <v>26</v>
      </c>
      <c r="G8235" s="53"/>
    </row>
    <row r="8236">
      <c r="A8236" s="49">
        <v>44780.66367836806</v>
      </c>
      <c r="B8236" s="50">
        <v>44780.7886619791</v>
      </c>
      <c r="C8236" s="51">
        <v>1.004</v>
      </c>
      <c r="D8236" s="51">
        <v>69.0</v>
      </c>
      <c r="E8236" s="52" t="s">
        <v>25</v>
      </c>
      <c r="F8236" s="52" t="s">
        <v>26</v>
      </c>
      <c r="G8236" s="53"/>
    </row>
    <row r="8237">
      <c r="A8237" s="49">
        <v>44780.67411229167</v>
      </c>
      <c r="B8237" s="50">
        <v>44780.7990825925</v>
      </c>
      <c r="C8237" s="51">
        <v>1.004</v>
      </c>
      <c r="D8237" s="51">
        <v>69.0</v>
      </c>
      <c r="E8237" s="52" t="s">
        <v>25</v>
      </c>
      <c r="F8237" s="52" t="s">
        <v>26</v>
      </c>
      <c r="G8237" s="53"/>
    </row>
    <row r="8238">
      <c r="A8238" s="49">
        <v>44780.68452686342</v>
      </c>
      <c r="B8238" s="50">
        <v>44780.8095027777</v>
      </c>
      <c r="C8238" s="51">
        <v>1.004</v>
      </c>
      <c r="D8238" s="51">
        <v>69.0</v>
      </c>
      <c r="E8238" s="52" t="s">
        <v>25</v>
      </c>
      <c r="F8238" s="52" t="s">
        <v>26</v>
      </c>
      <c r="G8238" s="53"/>
    </row>
    <row r="8239">
      <c r="A8239" s="49">
        <v>44780.694948749995</v>
      </c>
      <c r="B8239" s="50">
        <v>44780.8199228935</v>
      </c>
      <c r="C8239" s="51">
        <v>1.004</v>
      </c>
      <c r="D8239" s="51">
        <v>69.0</v>
      </c>
      <c r="E8239" s="52" t="s">
        <v>25</v>
      </c>
      <c r="F8239" s="52" t="s">
        <v>26</v>
      </c>
      <c r="G8239" s="53"/>
    </row>
    <row r="8240">
      <c r="A8240" s="49">
        <v>44780.70537914352</v>
      </c>
      <c r="B8240" s="50">
        <v>44780.830356493</v>
      </c>
      <c r="C8240" s="51">
        <v>1.004</v>
      </c>
      <c r="D8240" s="51">
        <v>69.0</v>
      </c>
      <c r="E8240" s="52" t="s">
        <v>25</v>
      </c>
      <c r="F8240" s="52" t="s">
        <v>26</v>
      </c>
      <c r="G8240" s="53"/>
    </row>
    <row r="8241">
      <c r="A8241" s="49">
        <v>44780.71581193287</v>
      </c>
      <c r="B8241" s="50">
        <v>44780.840789456</v>
      </c>
      <c r="C8241" s="51">
        <v>1.004</v>
      </c>
      <c r="D8241" s="51">
        <v>69.0</v>
      </c>
      <c r="E8241" s="52" t="s">
        <v>25</v>
      </c>
      <c r="F8241" s="52" t="s">
        <v>26</v>
      </c>
      <c r="G8241" s="53"/>
    </row>
    <row r="8242">
      <c r="A8242" s="49">
        <v>44780.726237986106</v>
      </c>
      <c r="B8242" s="50">
        <v>44780.8512102893</v>
      </c>
      <c r="C8242" s="51">
        <v>1.004</v>
      </c>
      <c r="D8242" s="51">
        <v>69.0</v>
      </c>
      <c r="E8242" s="52" t="s">
        <v>25</v>
      </c>
      <c r="F8242" s="52" t="s">
        <v>26</v>
      </c>
      <c r="G8242" s="53"/>
    </row>
    <row r="8243">
      <c r="A8243" s="49">
        <v>44780.73667197917</v>
      </c>
      <c r="B8243" s="50">
        <v>44780.8616430787</v>
      </c>
      <c r="C8243" s="51">
        <v>1.004</v>
      </c>
      <c r="D8243" s="51">
        <v>69.0</v>
      </c>
      <c r="E8243" s="52" t="s">
        <v>25</v>
      </c>
      <c r="F8243" s="52" t="s">
        <v>26</v>
      </c>
      <c r="G8243" s="53"/>
    </row>
    <row r="8244">
      <c r="A8244" s="49">
        <v>44780.74708773148</v>
      </c>
      <c r="B8244" s="50">
        <v>44780.8720624421</v>
      </c>
      <c r="C8244" s="51">
        <v>1.004</v>
      </c>
      <c r="D8244" s="51">
        <v>69.0</v>
      </c>
      <c r="E8244" s="52" t="s">
        <v>25</v>
      </c>
      <c r="F8244" s="52" t="s">
        <v>26</v>
      </c>
      <c r="G8244" s="53"/>
    </row>
    <row r="8245">
      <c r="A8245" s="49">
        <v>44780.757508634255</v>
      </c>
      <c r="B8245" s="50">
        <v>44780.8824830902</v>
      </c>
      <c r="C8245" s="51">
        <v>1.004</v>
      </c>
      <c r="D8245" s="51">
        <v>69.0</v>
      </c>
      <c r="E8245" s="52" t="s">
        <v>25</v>
      </c>
      <c r="F8245" s="52" t="s">
        <v>26</v>
      </c>
      <c r="G8245" s="53"/>
    </row>
    <row r="8246">
      <c r="A8246" s="49">
        <v>44780.76795333333</v>
      </c>
      <c r="B8246" s="50">
        <v>44780.8929268055</v>
      </c>
      <c r="C8246" s="51">
        <v>1.004</v>
      </c>
      <c r="D8246" s="51">
        <v>69.0</v>
      </c>
      <c r="E8246" s="52" t="s">
        <v>25</v>
      </c>
      <c r="F8246" s="52" t="s">
        <v>26</v>
      </c>
      <c r="G8246" s="53"/>
    </row>
    <row r="8247">
      <c r="A8247" s="49">
        <v>44780.778398738425</v>
      </c>
      <c r="B8247" s="50">
        <v>44780.9033697106</v>
      </c>
      <c r="C8247" s="51">
        <v>1.004</v>
      </c>
      <c r="D8247" s="51">
        <v>69.0</v>
      </c>
      <c r="E8247" s="52" t="s">
        <v>25</v>
      </c>
      <c r="F8247" s="52" t="s">
        <v>26</v>
      </c>
      <c r="G8247" s="53"/>
    </row>
    <row r="8248">
      <c r="A8248" s="49">
        <v>44780.78882260417</v>
      </c>
      <c r="B8248" s="50">
        <v>44780.9137908101</v>
      </c>
      <c r="C8248" s="51">
        <v>1.004</v>
      </c>
      <c r="D8248" s="51">
        <v>69.0</v>
      </c>
      <c r="E8248" s="52" t="s">
        <v>25</v>
      </c>
      <c r="F8248" s="52" t="s">
        <v>26</v>
      </c>
      <c r="G8248" s="53"/>
    </row>
    <row r="8249">
      <c r="A8249" s="49">
        <v>44780.79923659722</v>
      </c>
      <c r="B8249" s="50">
        <v>44780.9242110879</v>
      </c>
      <c r="C8249" s="51">
        <v>1.004</v>
      </c>
      <c r="D8249" s="51">
        <v>69.0</v>
      </c>
      <c r="E8249" s="52" t="s">
        <v>25</v>
      </c>
      <c r="F8249" s="52" t="s">
        <v>26</v>
      </c>
      <c r="G8249" s="53"/>
    </row>
    <row r="8250">
      <c r="A8250" s="49">
        <v>44780.80965930555</v>
      </c>
      <c r="B8250" s="50">
        <v>44780.9346311111</v>
      </c>
      <c r="C8250" s="51">
        <v>1.004</v>
      </c>
      <c r="D8250" s="51">
        <v>69.0</v>
      </c>
      <c r="E8250" s="52" t="s">
        <v>25</v>
      </c>
      <c r="F8250" s="52" t="s">
        <v>26</v>
      </c>
      <c r="G8250" s="53"/>
    </row>
    <row r="8251">
      <c r="A8251" s="49">
        <v>44780.82168332176</v>
      </c>
      <c r="B8251" s="50">
        <v>44780.9450519791</v>
      </c>
      <c r="C8251" s="51">
        <v>1.004</v>
      </c>
      <c r="D8251" s="51">
        <v>69.0</v>
      </c>
      <c r="E8251" s="52" t="s">
        <v>25</v>
      </c>
      <c r="F8251" s="52" t="s">
        <v>26</v>
      </c>
      <c r="G8251" s="53"/>
    </row>
    <row r="8252">
      <c r="A8252" s="49">
        <v>44780.83049344907</v>
      </c>
      <c r="B8252" s="50">
        <v>44780.9554725347</v>
      </c>
      <c r="C8252" s="51">
        <v>1.004</v>
      </c>
      <c r="D8252" s="51">
        <v>69.0</v>
      </c>
      <c r="E8252" s="52" t="s">
        <v>25</v>
      </c>
      <c r="F8252" s="52" t="s">
        <v>26</v>
      </c>
      <c r="G8252" s="53"/>
    </row>
    <row r="8253">
      <c r="A8253" s="49">
        <v>44780.84098299769</v>
      </c>
      <c r="B8253" s="50">
        <v>44780.9659520254</v>
      </c>
      <c r="C8253" s="51">
        <v>1.004</v>
      </c>
      <c r="D8253" s="51">
        <v>69.0</v>
      </c>
      <c r="E8253" s="52" t="s">
        <v>25</v>
      </c>
      <c r="F8253" s="52" t="s">
        <v>26</v>
      </c>
      <c r="G8253" s="53"/>
    </row>
    <row r="8254">
      <c r="A8254" s="49">
        <v>44780.851389131945</v>
      </c>
      <c r="B8254" s="50">
        <v>44780.9763713888</v>
      </c>
      <c r="C8254" s="51">
        <v>1.004</v>
      </c>
      <c r="D8254" s="51">
        <v>69.0</v>
      </c>
      <c r="E8254" s="52" t="s">
        <v>25</v>
      </c>
      <c r="F8254" s="52" t="s">
        <v>26</v>
      </c>
      <c r="G8254" s="53"/>
    </row>
    <row r="8255">
      <c r="A8255" s="49">
        <v>44780.861821493054</v>
      </c>
      <c r="B8255" s="50">
        <v>44780.9867928588</v>
      </c>
      <c r="C8255" s="51">
        <v>1.004</v>
      </c>
      <c r="D8255" s="51">
        <v>69.0</v>
      </c>
      <c r="E8255" s="52" t="s">
        <v>25</v>
      </c>
      <c r="F8255" s="52" t="s">
        <v>26</v>
      </c>
      <c r="G8255" s="53"/>
    </row>
    <row r="8256">
      <c r="A8256" s="49">
        <v>44780.872284212965</v>
      </c>
      <c r="B8256" s="50">
        <v>44780.997248449</v>
      </c>
      <c r="C8256" s="51">
        <v>1.004</v>
      </c>
      <c r="D8256" s="51">
        <v>69.0</v>
      </c>
      <c r="E8256" s="52" t="s">
        <v>25</v>
      </c>
      <c r="F8256" s="52" t="s">
        <v>26</v>
      </c>
      <c r="G8256" s="53"/>
    </row>
    <row r="8257">
      <c r="A8257" s="49">
        <v>44780.88271076389</v>
      </c>
      <c r="B8257" s="50">
        <v>44781.0076801851</v>
      </c>
      <c r="C8257" s="51">
        <v>1.004</v>
      </c>
      <c r="D8257" s="51">
        <v>69.0</v>
      </c>
      <c r="E8257" s="52" t="s">
        <v>25</v>
      </c>
      <c r="F8257" s="52" t="s">
        <v>26</v>
      </c>
      <c r="G8257" s="53"/>
    </row>
    <row r="8258">
      <c r="A8258" s="49">
        <v>44780.89312306713</v>
      </c>
      <c r="B8258" s="50">
        <v>44781.0180999768</v>
      </c>
      <c r="C8258" s="51">
        <v>1.004</v>
      </c>
      <c r="D8258" s="51">
        <v>69.0</v>
      </c>
      <c r="E8258" s="52" t="s">
        <v>25</v>
      </c>
      <c r="F8258" s="52" t="s">
        <v>26</v>
      </c>
      <c r="G8258" s="53"/>
    </row>
    <row r="8259">
      <c r="A8259" s="49">
        <v>44780.90354291667</v>
      </c>
      <c r="B8259" s="50">
        <v>44781.0285209722</v>
      </c>
      <c r="C8259" s="51">
        <v>1.004</v>
      </c>
      <c r="D8259" s="51">
        <v>69.0</v>
      </c>
      <c r="E8259" s="52" t="s">
        <v>25</v>
      </c>
      <c r="F8259" s="52" t="s">
        <v>26</v>
      </c>
      <c r="G8259" s="53"/>
    </row>
    <row r="8260">
      <c r="A8260" s="49">
        <v>44780.91396091435</v>
      </c>
      <c r="B8260" s="50">
        <v>44781.03894125</v>
      </c>
      <c r="C8260" s="51">
        <v>1.004</v>
      </c>
      <c r="D8260" s="51">
        <v>69.0</v>
      </c>
      <c r="E8260" s="52" t="s">
        <v>25</v>
      </c>
      <c r="F8260" s="52" t="s">
        <v>26</v>
      </c>
      <c r="G8260" s="53"/>
    </row>
    <row r="8261">
      <c r="A8261" s="49">
        <v>44780.92441384259</v>
      </c>
      <c r="B8261" s="50">
        <v>44781.049385706</v>
      </c>
      <c r="C8261" s="51">
        <v>1.004</v>
      </c>
      <c r="D8261" s="51">
        <v>69.0</v>
      </c>
      <c r="E8261" s="52" t="s">
        <v>25</v>
      </c>
      <c r="F8261" s="52" t="s">
        <v>26</v>
      </c>
      <c r="G8261" s="53"/>
    </row>
    <row r="8262">
      <c r="A8262" s="49">
        <v>44780.93483186343</v>
      </c>
      <c r="B8262" s="50">
        <v>44781.0598072106</v>
      </c>
      <c r="C8262" s="51">
        <v>1.004</v>
      </c>
      <c r="D8262" s="51">
        <v>69.0</v>
      </c>
      <c r="E8262" s="52" t="s">
        <v>25</v>
      </c>
      <c r="F8262" s="52" t="s">
        <v>26</v>
      </c>
      <c r="G8262" s="53"/>
    </row>
    <row r="8263">
      <c r="A8263" s="49">
        <v>44780.945250358796</v>
      </c>
      <c r="B8263" s="50">
        <v>44781.0702286458</v>
      </c>
      <c r="C8263" s="51">
        <v>1.004</v>
      </c>
      <c r="D8263" s="51">
        <v>69.0</v>
      </c>
      <c r="E8263" s="52" t="s">
        <v>25</v>
      </c>
      <c r="F8263" s="52" t="s">
        <v>26</v>
      </c>
      <c r="G8263" s="53"/>
    </row>
    <row r="8264">
      <c r="A8264" s="49">
        <v>44780.95568126158</v>
      </c>
      <c r="B8264" s="50">
        <v>44781.0806521643</v>
      </c>
      <c r="C8264" s="51">
        <v>1.004</v>
      </c>
      <c r="D8264" s="51">
        <v>69.0</v>
      </c>
      <c r="E8264" s="52" t="s">
        <v>25</v>
      </c>
      <c r="F8264" s="52" t="s">
        <v>26</v>
      </c>
      <c r="G8264" s="53"/>
    </row>
    <row r="8265">
      <c r="A8265" s="49">
        <v>44780.96609761574</v>
      </c>
      <c r="B8265" s="50">
        <v>44781.0910720717</v>
      </c>
      <c r="C8265" s="51">
        <v>1.004</v>
      </c>
      <c r="D8265" s="51">
        <v>69.0</v>
      </c>
      <c r="E8265" s="52" t="s">
        <v>25</v>
      </c>
      <c r="F8265" s="52" t="s">
        <v>26</v>
      </c>
      <c r="G8265" s="53"/>
    </row>
    <row r="8266">
      <c r="A8266" s="49">
        <v>44780.976524375</v>
      </c>
      <c r="B8266" s="50">
        <v>44781.1014926851</v>
      </c>
      <c r="C8266" s="51">
        <v>1.004</v>
      </c>
      <c r="D8266" s="51">
        <v>69.0</v>
      </c>
      <c r="E8266" s="52" t="s">
        <v>25</v>
      </c>
      <c r="F8266" s="52" t="s">
        <v>26</v>
      </c>
      <c r="G8266" s="53"/>
    </row>
    <row r="8267">
      <c r="A8267" s="49">
        <v>44780.986938159724</v>
      </c>
      <c r="B8267" s="50">
        <v>44781.1119133333</v>
      </c>
      <c r="C8267" s="51">
        <v>1.004</v>
      </c>
      <c r="D8267" s="51">
        <v>69.0</v>
      </c>
      <c r="E8267" s="52" t="s">
        <v>25</v>
      </c>
      <c r="F8267" s="52" t="s">
        <v>26</v>
      </c>
      <c r="G8267" s="53"/>
    </row>
    <row r="8268">
      <c r="A8268" s="49">
        <v>44780.99735659722</v>
      </c>
      <c r="B8268" s="50">
        <v>44781.1223347222</v>
      </c>
      <c r="C8268" s="51">
        <v>1.004</v>
      </c>
      <c r="D8268" s="51">
        <v>69.0</v>
      </c>
      <c r="E8268" s="52" t="s">
        <v>25</v>
      </c>
      <c r="F8268" s="52" t="s">
        <v>26</v>
      </c>
      <c r="G8268" s="53"/>
    </row>
    <row r="8269">
      <c r="A8269" s="49">
        <v>44781.00777978009</v>
      </c>
      <c r="B8269" s="50">
        <v>44781.1327558796</v>
      </c>
      <c r="C8269" s="51">
        <v>1.004</v>
      </c>
      <c r="D8269" s="51">
        <v>69.0</v>
      </c>
      <c r="E8269" s="52" t="s">
        <v>25</v>
      </c>
      <c r="F8269" s="52" t="s">
        <v>26</v>
      </c>
      <c r="G8269" s="53"/>
    </row>
    <row r="8270">
      <c r="A8270" s="49">
        <v>44781.01820762732</v>
      </c>
      <c r="B8270" s="50">
        <v>44781.1431762731</v>
      </c>
      <c r="C8270" s="51">
        <v>1.004</v>
      </c>
      <c r="D8270" s="51">
        <v>69.0</v>
      </c>
      <c r="E8270" s="52" t="s">
        <v>25</v>
      </c>
      <c r="F8270" s="52" t="s">
        <v>26</v>
      </c>
      <c r="G8270" s="53"/>
    </row>
    <row r="8271">
      <c r="A8271" s="49">
        <v>44781.028623923616</v>
      </c>
      <c r="B8271" s="50">
        <v>44781.1535970254</v>
      </c>
      <c r="C8271" s="51">
        <v>1.004</v>
      </c>
      <c r="D8271" s="51">
        <v>70.0</v>
      </c>
      <c r="E8271" s="52" t="s">
        <v>25</v>
      </c>
      <c r="F8271" s="52" t="s">
        <v>26</v>
      </c>
      <c r="G8271" s="53"/>
    </row>
    <row r="8272">
      <c r="A8272" s="49">
        <v>44781.03904133102</v>
      </c>
      <c r="B8272" s="50">
        <v>44781.1640178819</v>
      </c>
      <c r="C8272" s="51">
        <v>1.004</v>
      </c>
      <c r="D8272" s="51">
        <v>70.0</v>
      </c>
      <c r="E8272" s="52" t="s">
        <v>25</v>
      </c>
      <c r="F8272" s="52" t="s">
        <v>26</v>
      </c>
      <c r="G8272" s="53"/>
    </row>
    <row r="8273">
      <c r="A8273" s="49">
        <v>44781.049462650466</v>
      </c>
      <c r="B8273" s="50">
        <v>44781.1744410416</v>
      </c>
      <c r="C8273" s="51">
        <v>1.004</v>
      </c>
      <c r="D8273" s="51">
        <v>70.0</v>
      </c>
      <c r="E8273" s="52" t="s">
        <v>25</v>
      </c>
      <c r="F8273" s="52" t="s">
        <v>26</v>
      </c>
      <c r="G8273" s="53"/>
    </row>
    <row r="8274">
      <c r="A8274" s="49">
        <v>44781.05989123843</v>
      </c>
      <c r="B8274" s="50">
        <v>44781.1848625578</v>
      </c>
      <c r="C8274" s="51">
        <v>1.004</v>
      </c>
      <c r="D8274" s="51">
        <v>70.0</v>
      </c>
      <c r="E8274" s="52" t="s">
        <v>25</v>
      </c>
      <c r="F8274" s="52" t="s">
        <v>26</v>
      </c>
      <c r="G8274" s="53"/>
    </row>
    <row r="8275">
      <c r="A8275" s="49">
        <v>44781.070297962964</v>
      </c>
      <c r="B8275" s="50">
        <v>44781.1952825347</v>
      </c>
      <c r="C8275" s="51">
        <v>1.004</v>
      </c>
      <c r="D8275" s="51">
        <v>70.0</v>
      </c>
      <c r="E8275" s="52" t="s">
        <v>25</v>
      </c>
      <c r="F8275" s="52" t="s">
        <v>26</v>
      </c>
      <c r="G8275" s="53"/>
    </row>
    <row r="8276">
      <c r="A8276" s="49">
        <v>44781.08073284722</v>
      </c>
      <c r="B8276" s="50">
        <v>44781.2057047569</v>
      </c>
      <c r="C8276" s="51">
        <v>1.004</v>
      </c>
      <c r="D8276" s="51">
        <v>70.0</v>
      </c>
      <c r="E8276" s="52" t="s">
        <v>25</v>
      </c>
      <c r="F8276" s="52" t="s">
        <v>26</v>
      </c>
      <c r="G8276" s="53"/>
    </row>
    <row r="8277">
      <c r="A8277" s="49">
        <v>44781.091177662034</v>
      </c>
      <c r="B8277" s="50">
        <v>44781.2161504282</v>
      </c>
      <c r="C8277" s="51">
        <v>1.004</v>
      </c>
      <c r="D8277" s="51">
        <v>70.0</v>
      </c>
      <c r="E8277" s="52" t="s">
        <v>25</v>
      </c>
      <c r="F8277" s="52" t="s">
        <v>26</v>
      </c>
      <c r="G8277" s="53"/>
    </row>
    <row r="8278">
      <c r="A8278" s="49">
        <v>44781.101607696764</v>
      </c>
      <c r="B8278" s="50">
        <v>44781.2265711805</v>
      </c>
      <c r="C8278" s="51">
        <v>1.004</v>
      </c>
      <c r="D8278" s="51">
        <v>70.0</v>
      </c>
      <c r="E8278" s="52" t="s">
        <v>25</v>
      </c>
      <c r="F8278" s="52" t="s">
        <v>26</v>
      </c>
      <c r="G8278" s="53"/>
    </row>
    <row r="8279">
      <c r="A8279" s="49">
        <v>44781.11201423611</v>
      </c>
      <c r="B8279" s="50">
        <v>44781.2369923842</v>
      </c>
      <c r="C8279" s="51">
        <v>1.004</v>
      </c>
      <c r="D8279" s="51">
        <v>70.0</v>
      </c>
      <c r="E8279" s="52" t="s">
        <v>25</v>
      </c>
      <c r="F8279" s="52" t="s">
        <v>26</v>
      </c>
      <c r="G8279" s="53"/>
    </row>
    <row r="8280">
      <c r="A8280" s="49">
        <v>44781.12244037037</v>
      </c>
      <c r="B8280" s="50">
        <v>44781.2474131944</v>
      </c>
      <c r="C8280" s="51">
        <v>1.004</v>
      </c>
      <c r="D8280" s="51">
        <v>70.0</v>
      </c>
      <c r="E8280" s="52" t="s">
        <v>25</v>
      </c>
      <c r="F8280" s="52" t="s">
        <v>26</v>
      </c>
      <c r="G8280" s="53"/>
    </row>
    <row r="8281">
      <c r="A8281" s="49">
        <v>44781.13286572917</v>
      </c>
      <c r="B8281" s="50">
        <v>44781.2578336111</v>
      </c>
      <c r="C8281" s="51">
        <v>1.004</v>
      </c>
      <c r="D8281" s="51">
        <v>70.0</v>
      </c>
      <c r="E8281" s="52" t="s">
        <v>25</v>
      </c>
      <c r="F8281" s="52" t="s">
        <v>26</v>
      </c>
      <c r="G8281" s="53"/>
    </row>
    <row r="8282">
      <c r="A8282" s="49">
        <v>44781.14329368055</v>
      </c>
      <c r="B8282" s="50">
        <v>44781.2682649768</v>
      </c>
      <c r="C8282" s="51">
        <v>1.004</v>
      </c>
      <c r="D8282" s="51">
        <v>70.0</v>
      </c>
      <c r="E8282" s="52" t="s">
        <v>25</v>
      </c>
      <c r="F8282" s="52" t="s">
        <v>26</v>
      </c>
      <c r="G8282" s="53"/>
    </row>
    <row r="8283">
      <c r="A8283" s="49">
        <v>44781.153710439816</v>
      </c>
      <c r="B8283" s="50">
        <v>44781.2786878009</v>
      </c>
      <c r="C8283" s="51">
        <v>1.004</v>
      </c>
      <c r="D8283" s="51">
        <v>70.0</v>
      </c>
      <c r="E8283" s="52" t="s">
        <v>25</v>
      </c>
      <c r="F8283" s="52" t="s">
        <v>26</v>
      </c>
      <c r="G8283" s="53"/>
    </row>
    <row r="8284">
      <c r="A8284" s="49">
        <v>44781.1641396412</v>
      </c>
      <c r="B8284" s="50">
        <v>44781.2891113773</v>
      </c>
      <c r="C8284" s="51">
        <v>1.004</v>
      </c>
      <c r="D8284" s="51">
        <v>70.0</v>
      </c>
      <c r="E8284" s="52" t="s">
        <v>25</v>
      </c>
      <c r="F8284" s="52" t="s">
        <v>26</v>
      </c>
      <c r="G8284" s="53"/>
    </row>
    <row r="8285">
      <c r="A8285" s="49">
        <v>44781.17457447917</v>
      </c>
      <c r="B8285" s="50">
        <v>44781.2995457407</v>
      </c>
      <c r="C8285" s="51">
        <v>1.004</v>
      </c>
      <c r="D8285" s="51">
        <v>70.0</v>
      </c>
      <c r="E8285" s="52" t="s">
        <v>25</v>
      </c>
      <c r="F8285" s="52" t="s">
        <v>26</v>
      </c>
      <c r="G8285" s="53"/>
    </row>
    <row r="8286">
      <c r="A8286" s="49">
        <v>44781.18503049768</v>
      </c>
      <c r="B8286" s="50">
        <v>44781.3100030787</v>
      </c>
      <c r="C8286" s="51">
        <v>1.004</v>
      </c>
      <c r="D8286" s="51">
        <v>70.0</v>
      </c>
      <c r="E8286" s="52" t="s">
        <v>25</v>
      </c>
      <c r="F8286" s="52" t="s">
        <v>26</v>
      </c>
      <c r="G8286" s="53"/>
    </row>
    <row r="8287">
      <c r="A8287" s="49">
        <v>44781.19545590278</v>
      </c>
      <c r="B8287" s="50">
        <v>44781.3204241435</v>
      </c>
      <c r="C8287" s="51">
        <v>1.004</v>
      </c>
      <c r="D8287" s="51">
        <v>70.0</v>
      </c>
      <c r="E8287" s="52" t="s">
        <v>25</v>
      </c>
      <c r="F8287" s="52" t="s">
        <v>26</v>
      </c>
      <c r="G8287" s="53"/>
    </row>
    <row r="8288">
      <c r="A8288" s="49">
        <v>44781.205878252316</v>
      </c>
      <c r="B8288" s="50">
        <v>44781.3308447916</v>
      </c>
      <c r="C8288" s="51">
        <v>1.004</v>
      </c>
      <c r="D8288" s="51">
        <v>70.0</v>
      </c>
      <c r="E8288" s="52" t="s">
        <v>25</v>
      </c>
      <c r="F8288" s="52" t="s">
        <v>26</v>
      </c>
      <c r="G8288" s="53"/>
    </row>
    <row r="8289">
      <c r="A8289" s="49">
        <v>44781.2162981713</v>
      </c>
      <c r="B8289" s="50">
        <v>44781.3412771527</v>
      </c>
      <c r="C8289" s="51">
        <v>1.004</v>
      </c>
      <c r="D8289" s="51">
        <v>70.0</v>
      </c>
      <c r="E8289" s="52" t="s">
        <v>25</v>
      </c>
      <c r="F8289" s="52" t="s">
        <v>26</v>
      </c>
      <c r="G8289" s="53"/>
    </row>
    <row r="8290">
      <c r="A8290" s="49">
        <v>44781.2267296412</v>
      </c>
      <c r="B8290" s="50">
        <v>44781.3516983217</v>
      </c>
      <c r="C8290" s="51">
        <v>1.004</v>
      </c>
      <c r="D8290" s="51">
        <v>70.0</v>
      </c>
      <c r="E8290" s="52" t="s">
        <v>25</v>
      </c>
      <c r="F8290" s="52" t="s">
        <v>26</v>
      </c>
      <c r="G8290" s="53"/>
    </row>
    <row r="8291">
      <c r="A8291" s="49">
        <v>44781.23716682871</v>
      </c>
      <c r="B8291" s="50">
        <v>44781.3621310185</v>
      </c>
      <c r="C8291" s="51">
        <v>1.004</v>
      </c>
      <c r="D8291" s="51">
        <v>70.0</v>
      </c>
      <c r="E8291" s="52" t="s">
        <v>25</v>
      </c>
      <c r="F8291" s="52" t="s">
        <v>26</v>
      </c>
      <c r="G8291" s="53"/>
    </row>
    <row r="8292">
      <c r="A8292" s="49">
        <v>44781.24758043981</v>
      </c>
      <c r="B8292" s="50">
        <v>44781.3725503819</v>
      </c>
      <c r="C8292" s="51">
        <v>1.004</v>
      </c>
      <c r="D8292" s="51">
        <v>70.0</v>
      </c>
      <c r="E8292" s="52" t="s">
        <v>25</v>
      </c>
      <c r="F8292" s="52" t="s">
        <v>26</v>
      </c>
      <c r="G8292" s="53"/>
    </row>
    <row r="8293">
      <c r="A8293" s="49">
        <v>44781.25801409722</v>
      </c>
      <c r="B8293" s="50">
        <v>44781.3829837731</v>
      </c>
      <c r="C8293" s="51">
        <v>1.004</v>
      </c>
      <c r="D8293" s="51">
        <v>70.0</v>
      </c>
      <c r="E8293" s="52" t="s">
        <v>25</v>
      </c>
      <c r="F8293" s="52" t="s">
        <v>26</v>
      </c>
      <c r="G8293" s="53"/>
    </row>
    <row r="8294">
      <c r="A8294" s="49">
        <v>44781.26844107639</v>
      </c>
      <c r="B8294" s="50">
        <v>44781.3934061805</v>
      </c>
      <c r="C8294" s="51">
        <v>1.004</v>
      </c>
      <c r="D8294" s="51">
        <v>70.0</v>
      </c>
      <c r="E8294" s="52" t="s">
        <v>25</v>
      </c>
      <c r="F8294" s="52" t="s">
        <v>26</v>
      </c>
      <c r="G8294" s="53"/>
    </row>
    <row r="8295">
      <c r="A8295" s="49">
        <v>44781.27885347222</v>
      </c>
      <c r="B8295" s="50">
        <v>44781.4038272338</v>
      </c>
      <c r="C8295" s="51">
        <v>1.004</v>
      </c>
      <c r="D8295" s="51">
        <v>70.0</v>
      </c>
      <c r="E8295" s="52" t="s">
        <v>25</v>
      </c>
      <c r="F8295" s="52" t="s">
        <v>26</v>
      </c>
      <c r="G8295" s="53"/>
    </row>
    <row r="8296">
      <c r="A8296" s="49">
        <v>44781.289306377315</v>
      </c>
      <c r="B8296" s="50">
        <v>44781.414283993</v>
      </c>
      <c r="C8296" s="51">
        <v>1.004</v>
      </c>
      <c r="D8296" s="51">
        <v>70.0</v>
      </c>
      <c r="E8296" s="52" t="s">
        <v>25</v>
      </c>
      <c r="F8296" s="52" t="s">
        <v>26</v>
      </c>
      <c r="G8296" s="53"/>
    </row>
    <row r="8297">
      <c r="A8297" s="49">
        <v>44781.299726805555</v>
      </c>
      <c r="B8297" s="50">
        <v>44781.424704456</v>
      </c>
      <c r="C8297" s="51">
        <v>1.004</v>
      </c>
      <c r="D8297" s="51">
        <v>70.0</v>
      </c>
      <c r="E8297" s="52" t="s">
        <v>25</v>
      </c>
      <c r="F8297" s="52" t="s">
        <v>26</v>
      </c>
      <c r="G8297" s="53"/>
    </row>
    <row r="8298">
      <c r="A8298" s="49">
        <v>44781.31015344907</v>
      </c>
      <c r="B8298" s="50">
        <v>44781.4351251041</v>
      </c>
      <c r="C8298" s="51">
        <v>1.004</v>
      </c>
      <c r="D8298" s="51">
        <v>70.0</v>
      </c>
      <c r="E8298" s="52" t="s">
        <v>25</v>
      </c>
      <c r="F8298" s="52" t="s">
        <v>26</v>
      </c>
      <c r="G8298" s="53"/>
    </row>
    <row r="8299">
      <c r="A8299" s="49">
        <v>44781.32057265047</v>
      </c>
      <c r="B8299" s="50">
        <v>44781.4455460879</v>
      </c>
      <c r="C8299" s="51">
        <v>1.004</v>
      </c>
      <c r="D8299" s="51">
        <v>70.0</v>
      </c>
      <c r="E8299" s="52" t="s">
        <v>25</v>
      </c>
      <c r="F8299" s="52" t="s">
        <v>26</v>
      </c>
      <c r="G8299" s="53"/>
    </row>
    <row r="8300">
      <c r="A8300" s="49">
        <v>44781.330995543976</v>
      </c>
      <c r="B8300" s="50">
        <v>44781.4559668402</v>
      </c>
      <c r="C8300" s="51">
        <v>1.004</v>
      </c>
      <c r="D8300" s="51">
        <v>70.0</v>
      </c>
      <c r="E8300" s="52" t="s">
        <v>25</v>
      </c>
      <c r="F8300" s="52" t="s">
        <v>26</v>
      </c>
      <c r="G8300" s="53"/>
    </row>
    <row r="8301">
      <c r="A8301" s="49">
        <v>44781.34141145833</v>
      </c>
      <c r="B8301" s="50">
        <v>44781.4663870601</v>
      </c>
      <c r="C8301" s="51">
        <v>1.004</v>
      </c>
      <c r="D8301" s="51">
        <v>70.0</v>
      </c>
      <c r="E8301" s="52" t="s">
        <v>25</v>
      </c>
      <c r="F8301" s="52" t="s">
        <v>26</v>
      </c>
      <c r="G8301" s="53"/>
    </row>
    <row r="8302">
      <c r="A8302" s="49">
        <v>44781.351828321756</v>
      </c>
      <c r="B8302" s="50">
        <v>44781.4768086342</v>
      </c>
      <c r="C8302" s="51">
        <v>1.004</v>
      </c>
      <c r="D8302" s="51">
        <v>70.0</v>
      </c>
      <c r="E8302" s="52" t="s">
        <v>25</v>
      </c>
      <c r="F8302" s="52" t="s">
        <v>26</v>
      </c>
      <c r="G8302" s="53"/>
    </row>
    <row r="8303">
      <c r="A8303" s="49">
        <v>44781.362271805556</v>
      </c>
      <c r="B8303" s="50">
        <v>44781.4872420949</v>
      </c>
      <c r="C8303" s="51">
        <v>1.004</v>
      </c>
      <c r="D8303" s="51">
        <v>70.0</v>
      </c>
      <c r="E8303" s="52" t="s">
        <v>25</v>
      </c>
      <c r="F8303" s="52" t="s">
        <v>26</v>
      </c>
      <c r="G8303" s="53"/>
    </row>
    <row r="8304">
      <c r="A8304" s="49">
        <v>44781.372703078705</v>
      </c>
      <c r="B8304" s="50">
        <v>44781.4976754513</v>
      </c>
      <c r="C8304" s="51">
        <v>1.004</v>
      </c>
      <c r="D8304" s="51">
        <v>70.0</v>
      </c>
      <c r="E8304" s="52" t="s">
        <v>25</v>
      </c>
      <c r="F8304" s="52" t="s">
        <v>26</v>
      </c>
      <c r="G8304" s="53"/>
    </row>
    <row r="8305">
      <c r="A8305" s="49">
        <v>44781.3831159375</v>
      </c>
      <c r="B8305" s="50">
        <v>44781.5080960763</v>
      </c>
      <c r="C8305" s="51">
        <v>1.004</v>
      </c>
      <c r="D8305" s="51">
        <v>70.0</v>
      </c>
      <c r="E8305" s="52" t="s">
        <v>25</v>
      </c>
      <c r="F8305" s="52" t="s">
        <v>26</v>
      </c>
      <c r="G8305" s="53"/>
    </row>
    <row r="8306">
      <c r="A8306" s="49">
        <v>44781.393544502316</v>
      </c>
      <c r="B8306" s="50">
        <v>44781.5185161805</v>
      </c>
      <c r="C8306" s="51">
        <v>1.004</v>
      </c>
      <c r="D8306" s="51">
        <v>70.0</v>
      </c>
      <c r="E8306" s="52" t="s">
        <v>25</v>
      </c>
      <c r="F8306" s="52" t="s">
        <v>26</v>
      </c>
      <c r="G8306" s="53"/>
    </row>
    <row r="8307">
      <c r="A8307" s="49">
        <v>44781.40398241898</v>
      </c>
      <c r="B8307" s="50">
        <v>44781.5289502083</v>
      </c>
      <c r="C8307" s="51">
        <v>1.004</v>
      </c>
      <c r="D8307" s="51">
        <v>70.0</v>
      </c>
      <c r="E8307" s="52" t="s">
        <v>25</v>
      </c>
      <c r="F8307" s="52" t="s">
        <v>26</v>
      </c>
      <c r="G8307" s="53"/>
    </row>
    <row r="8308">
      <c r="A8308" s="49">
        <v>44781.41440141204</v>
      </c>
      <c r="B8308" s="50">
        <v>44781.5393705092</v>
      </c>
      <c r="C8308" s="51">
        <v>1.004</v>
      </c>
      <c r="D8308" s="51">
        <v>70.0</v>
      </c>
      <c r="E8308" s="52" t="s">
        <v>25</v>
      </c>
      <c r="F8308" s="52" t="s">
        <v>26</v>
      </c>
      <c r="G8308" s="53"/>
    </row>
    <row r="8309">
      <c r="A8309" s="49">
        <v>44781.424817210645</v>
      </c>
      <c r="B8309" s="50">
        <v>44781.5497908217</v>
      </c>
      <c r="C8309" s="51">
        <v>1.004</v>
      </c>
      <c r="D8309" s="51">
        <v>70.0</v>
      </c>
      <c r="E8309" s="52" t="s">
        <v>25</v>
      </c>
      <c r="F8309" s="52" t="s">
        <v>26</v>
      </c>
      <c r="G8309" s="53"/>
    </row>
    <row r="8310">
      <c r="A8310" s="49">
        <v>44781.43528167824</v>
      </c>
      <c r="B8310" s="50">
        <v>44781.5602342129</v>
      </c>
      <c r="C8310" s="51">
        <v>1.004</v>
      </c>
      <c r="D8310" s="51">
        <v>70.0</v>
      </c>
      <c r="E8310" s="52" t="s">
        <v>25</v>
      </c>
      <c r="F8310" s="52" t="s">
        <v>26</v>
      </c>
      <c r="G8310" s="53"/>
    </row>
    <row r="8311">
      <c r="A8311" s="49">
        <v>44781.44567862268</v>
      </c>
      <c r="B8311" s="50">
        <v>44781.5706553703</v>
      </c>
      <c r="C8311" s="51">
        <v>1.004</v>
      </c>
      <c r="D8311" s="51">
        <v>70.0</v>
      </c>
      <c r="E8311" s="52" t="s">
        <v>25</v>
      </c>
      <c r="F8311" s="52" t="s">
        <v>26</v>
      </c>
      <c r="G8311" s="53"/>
    </row>
    <row r="8312">
      <c r="A8312" s="49">
        <v>44781.45613502315</v>
      </c>
      <c r="B8312" s="50">
        <v>44781.5811122569</v>
      </c>
      <c r="C8312" s="51">
        <v>1.004</v>
      </c>
      <c r="D8312" s="51">
        <v>70.0</v>
      </c>
      <c r="E8312" s="52" t="s">
        <v>25</v>
      </c>
      <c r="F8312" s="52" t="s">
        <v>26</v>
      </c>
      <c r="G8312" s="53"/>
    </row>
    <row r="8313">
      <c r="A8313" s="49">
        <v>44781.46658622685</v>
      </c>
      <c r="B8313" s="50">
        <v>44781.591544537</v>
      </c>
      <c r="C8313" s="51">
        <v>1.004</v>
      </c>
      <c r="D8313" s="51">
        <v>70.0</v>
      </c>
      <c r="E8313" s="52" t="s">
        <v>25</v>
      </c>
      <c r="F8313" s="52" t="s">
        <v>26</v>
      </c>
      <c r="G8313" s="53"/>
    </row>
    <row r="8314">
      <c r="A8314" s="49">
        <v>44781.47698327547</v>
      </c>
      <c r="B8314" s="50">
        <v>44781.6019639236</v>
      </c>
      <c r="C8314" s="51">
        <v>1.004</v>
      </c>
      <c r="D8314" s="51">
        <v>70.0</v>
      </c>
      <c r="E8314" s="52" t="s">
        <v>25</v>
      </c>
      <c r="F8314" s="52" t="s">
        <v>26</v>
      </c>
      <c r="G8314" s="53"/>
    </row>
    <row r="8315">
      <c r="A8315" s="49">
        <v>44781.48741144676</v>
      </c>
      <c r="B8315" s="50">
        <v>44781.6123853588</v>
      </c>
      <c r="C8315" s="51">
        <v>1.004</v>
      </c>
      <c r="D8315" s="51">
        <v>70.0</v>
      </c>
      <c r="E8315" s="52" t="s">
        <v>25</v>
      </c>
      <c r="F8315" s="52" t="s">
        <v>26</v>
      </c>
      <c r="G8315" s="53"/>
    </row>
    <row r="8316">
      <c r="A8316" s="49">
        <v>44781.49785061342</v>
      </c>
      <c r="B8316" s="50">
        <v>44781.6228075347</v>
      </c>
      <c r="C8316" s="51">
        <v>1.003</v>
      </c>
      <c r="D8316" s="51">
        <v>70.0</v>
      </c>
      <c r="E8316" s="52" t="s">
        <v>25</v>
      </c>
      <c r="F8316" s="52" t="s">
        <v>26</v>
      </c>
      <c r="G8316" s="53"/>
    </row>
    <row r="8317">
      <c r="A8317" s="49">
        <v>44781.50825324074</v>
      </c>
      <c r="B8317" s="50">
        <v>44781.6332302546</v>
      </c>
      <c r="C8317" s="51">
        <v>1.004</v>
      </c>
      <c r="D8317" s="51">
        <v>70.0</v>
      </c>
      <c r="E8317" s="52" t="s">
        <v>25</v>
      </c>
      <c r="F8317" s="52" t="s">
        <v>26</v>
      </c>
      <c r="G8317" s="53"/>
    </row>
    <row r="8318">
      <c r="A8318" s="49">
        <v>44781.51868916667</v>
      </c>
      <c r="B8318" s="50">
        <v>44781.6436618402</v>
      </c>
      <c r="C8318" s="51">
        <v>1.004</v>
      </c>
      <c r="D8318" s="51">
        <v>70.0</v>
      </c>
      <c r="E8318" s="52" t="s">
        <v>25</v>
      </c>
      <c r="F8318" s="52" t="s">
        <v>26</v>
      </c>
      <c r="G8318" s="53"/>
    </row>
    <row r="8319">
      <c r="A8319" s="49">
        <v>44781.52911857639</v>
      </c>
      <c r="B8319" s="50">
        <v>44781.6540944213</v>
      </c>
      <c r="C8319" s="51">
        <v>1.004</v>
      </c>
      <c r="D8319" s="51">
        <v>70.0</v>
      </c>
      <c r="E8319" s="52" t="s">
        <v>25</v>
      </c>
      <c r="F8319" s="52" t="s">
        <v>26</v>
      </c>
      <c r="G8319" s="53"/>
    </row>
    <row r="8320">
      <c r="A8320" s="49">
        <v>44781.53954878473</v>
      </c>
      <c r="B8320" s="50">
        <v>44781.6645168171</v>
      </c>
      <c r="C8320" s="51">
        <v>1.004</v>
      </c>
      <c r="D8320" s="51">
        <v>70.0</v>
      </c>
      <c r="E8320" s="52" t="s">
        <v>25</v>
      </c>
      <c r="F8320" s="52" t="s">
        <v>26</v>
      </c>
      <c r="G8320" s="53"/>
    </row>
    <row r="8321">
      <c r="A8321" s="49">
        <v>44781.54998037037</v>
      </c>
      <c r="B8321" s="50">
        <v>44781.6749484259</v>
      </c>
      <c r="C8321" s="51">
        <v>1.004</v>
      </c>
      <c r="D8321" s="51">
        <v>70.0</v>
      </c>
      <c r="E8321" s="52" t="s">
        <v>25</v>
      </c>
      <c r="F8321" s="52" t="s">
        <v>26</v>
      </c>
      <c r="G8321" s="53"/>
    </row>
    <row r="8322">
      <c r="A8322" s="49">
        <v>44781.56039918981</v>
      </c>
      <c r="B8322" s="50">
        <v>44781.6853678935</v>
      </c>
      <c r="C8322" s="51">
        <v>1.004</v>
      </c>
      <c r="D8322" s="51">
        <v>70.0</v>
      </c>
      <c r="E8322" s="52" t="s">
        <v>25</v>
      </c>
      <c r="F8322" s="52" t="s">
        <v>26</v>
      </c>
      <c r="G8322" s="53"/>
    </row>
    <row r="8323">
      <c r="A8323" s="49">
        <v>44781.57084446759</v>
      </c>
      <c r="B8323" s="50">
        <v>44781.6958116782</v>
      </c>
      <c r="C8323" s="51">
        <v>1.004</v>
      </c>
      <c r="D8323" s="51">
        <v>70.0</v>
      </c>
      <c r="E8323" s="52" t="s">
        <v>25</v>
      </c>
      <c r="F8323" s="52" t="s">
        <v>26</v>
      </c>
      <c r="G8323" s="53"/>
    </row>
    <row r="8324">
      <c r="A8324" s="49">
        <v>44781.5812743287</v>
      </c>
      <c r="B8324" s="50">
        <v>44781.7062433449</v>
      </c>
      <c r="C8324" s="51">
        <v>1.004</v>
      </c>
      <c r="D8324" s="51">
        <v>70.0</v>
      </c>
      <c r="E8324" s="52" t="s">
        <v>25</v>
      </c>
      <c r="F8324" s="52" t="s">
        <v>26</v>
      </c>
      <c r="G8324" s="53"/>
    </row>
    <row r="8325">
      <c r="A8325" s="49">
        <v>44781.591694953706</v>
      </c>
      <c r="B8325" s="50">
        <v>44781.7166639004</v>
      </c>
      <c r="C8325" s="51">
        <v>1.004</v>
      </c>
      <c r="D8325" s="51">
        <v>70.0</v>
      </c>
      <c r="E8325" s="52" t="s">
        <v>25</v>
      </c>
      <c r="F8325" s="52" t="s">
        <v>26</v>
      </c>
      <c r="G8325" s="53"/>
    </row>
    <row r="8326">
      <c r="A8326" s="49">
        <v>44781.60211209491</v>
      </c>
      <c r="B8326" s="50">
        <v>44781.7270853588</v>
      </c>
      <c r="C8326" s="51">
        <v>1.004</v>
      </c>
      <c r="D8326" s="51">
        <v>70.0</v>
      </c>
      <c r="E8326" s="52" t="s">
        <v>25</v>
      </c>
      <c r="F8326" s="52" t="s">
        <v>26</v>
      </c>
      <c r="G8326" s="53"/>
    </row>
    <row r="8327">
      <c r="A8327" s="49">
        <v>44781.61252591435</v>
      </c>
      <c r="B8327" s="50">
        <v>44781.7375069328</v>
      </c>
      <c r="C8327" s="51">
        <v>1.004</v>
      </c>
      <c r="D8327" s="51">
        <v>70.0</v>
      </c>
      <c r="E8327" s="52" t="s">
        <v>25</v>
      </c>
      <c r="F8327" s="52" t="s">
        <v>26</v>
      </c>
      <c r="G8327" s="53"/>
    </row>
    <row r="8328">
      <c r="A8328" s="49">
        <v>44781.62297519676</v>
      </c>
      <c r="B8328" s="50">
        <v>44781.7479375578</v>
      </c>
      <c r="C8328" s="51">
        <v>1.004</v>
      </c>
      <c r="D8328" s="51">
        <v>70.0</v>
      </c>
      <c r="E8328" s="52" t="s">
        <v>25</v>
      </c>
      <c r="F8328" s="52" t="s">
        <v>26</v>
      </c>
      <c r="G8328" s="53"/>
    </row>
    <row r="8329">
      <c r="A8329" s="49">
        <v>44781.63338917824</v>
      </c>
      <c r="B8329" s="50">
        <v>44781.7583582986</v>
      </c>
      <c r="C8329" s="51">
        <v>1.004</v>
      </c>
      <c r="D8329" s="51">
        <v>70.0</v>
      </c>
      <c r="E8329" s="52" t="s">
        <v>25</v>
      </c>
      <c r="F8329" s="52" t="s">
        <v>26</v>
      </c>
      <c r="G8329" s="53"/>
    </row>
    <row r="8330">
      <c r="A8330" s="49">
        <v>44781.643822199076</v>
      </c>
      <c r="B8330" s="50">
        <v>44781.7687918287</v>
      </c>
      <c r="C8330" s="51">
        <v>1.004</v>
      </c>
      <c r="D8330" s="51">
        <v>70.0</v>
      </c>
      <c r="E8330" s="52" t="s">
        <v>25</v>
      </c>
      <c r="F8330" s="52" t="s">
        <v>26</v>
      </c>
      <c r="G8330" s="53"/>
    </row>
    <row r="8331">
      <c r="A8331" s="49">
        <v>44781.65424157407</v>
      </c>
      <c r="B8331" s="50">
        <v>44781.7792142592</v>
      </c>
      <c r="C8331" s="51">
        <v>1.004</v>
      </c>
      <c r="D8331" s="51">
        <v>70.0</v>
      </c>
      <c r="E8331" s="52" t="s">
        <v>25</v>
      </c>
      <c r="F8331" s="52" t="s">
        <v>26</v>
      </c>
      <c r="G8331" s="53"/>
    </row>
    <row r="8332">
      <c r="A8332" s="49">
        <v>44781.66465600695</v>
      </c>
      <c r="B8332" s="50">
        <v>44781.7896361226</v>
      </c>
      <c r="C8332" s="51">
        <v>1.004</v>
      </c>
      <c r="D8332" s="51">
        <v>70.0</v>
      </c>
      <c r="E8332" s="52" t="s">
        <v>25</v>
      </c>
      <c r="F8332" s="52" t="s">
        <v>26</v>
      </c>
      <c r="G8332" s="53"/>
    </row>
    <row r="8333">
      <c r="A8333" s="49">
        <v>44781.67508883102</v>
      </c>
      <c r="B8333" s="50">
        <v>44781.8000582754</v>
      </c>
      <c r="C8333" s="51">
        <v>1.004</v>
      </c>
      <c r="D8333" s="51">
        <v>70.0</v>
      </c>
      <c r="E8333" s="52" t="s">
        <v>25</v>
      </c>
      <c r="F8333" s="52" t="s">
        <v>26</v>
      </c>
      <c r="G8333" s="53"/>
    </row>
    <row r="8334">
      <c r="A8334" s="49">
        <v>44781.685510625</v>
      </c>
      <c r="B8334" s="50">
        <v>44781.8104781018</v>
      </c>
      <c r="C8334" s="51">
        <v>1.004</v>
      </c>
      <c r="D8334" s="51">
        <v>70.0</v>
      </c>
      <c r="E8334" s="52" t="s">
        <v>25</v>
      </c>
      <c r="F8334" s="52" t="s">
        <v>26</v>
      </c>
      <c r="G8334" s="53"/>
    </row>
    <row r="8335">
      <c r="A8335" s="49">
        <v>44781.69592863426</v>
      </c>
      <c r="B8335" s="50">
        <v>44781.8208995138</v>
      </c>
      <c r="C8335" s="51">
        <v>1.004</v>
      </c>
      <c r="D8335" s="51">
        <v>70.0</v>
      </c>
      <c r="E8335" s="52" t="s">
        <v>25</v>
      </c>
      <c r="F8335" s="52" t="s">
        <v>26</v>
      </c>
      <c r="G8335" s="53"/>
    </row>
    <row r="8336">
      <c r="A8336" s="49">
        <v>44781.706359351854</v>
      </c>
      <c r="B8336" s="50">
        <v>44781.8313336226</v>
      </c>
      <c r="C8336" s="51">
        <v>1.004</v>
      </c>
      <c r="D8336" s="51">
        <v>70.0</v>
      </c>
      <c r="E8336" s="52" t="s">
        <v>25</v>
      </c>
      <c r="F8336" s="52" t="s">
        <v>26</v>
      </c>
      <c r="G8336" s="53"/>
    </row>
    <row r="8337">
      <c r="A8337" s="49">
        <v>44781.716778622686</v>
      </c>
      <c r="B8337" s="50">
        <v>44781.8417566087</v>
      </c>
      <c r="C8337" s="51">
        <v>1.003</v>
      </c>
      <c r="D8337" s="51">
        <v>70.0</v>
      </c>
      <c r="E8337" s="52" t="s">
        <v>25</v>
      </c>
      <c r="F8337" s="52" t="s">
        <v>26</v>
      </c>
      <c r="G8337" s="53"/>
    </row>
    <row r="8338">
      <c r="A8338" s="49">
        <v>44781.72724378472</v>
      </c>
      <c r="B8338" s="50">
        <v>44781.8522121296</v>
      </c>
      <c r="C8338" s="51">
        <v>1.003</v>
      </c>
      <c r="D8338" s="51">
        <v>69.0</v>
      </c>
      <c r="E8338" s="52" t="s">
        <v>25</v>
      </c>
      <c r="F8338" s="52" t="s">
        <v>26</v>
      </c>
      <c r="G8338" s="53"/>
    </row>
    <row r="8339">
      <c r="A8339" s="49">
        <v>44781.73766570602</v>
      </c>
      <c r="B8339" s="50">
        <v>44781.8626333449</v>
      </c>
      <c r="C8339" s="51">
        <v>1.004</v>
      </c>
      <c r="D8339" s="51">
        <v>69.0</v>
      </c>
      <c r="E8339" s="52" t="s">
        <v>25</v>
      </c>
      <c r="F8339" s="52" t="s">
        <v>26</v>
      </c>
      <c r="G8339" s="53"/>
    </row>
    <row r="8340">
      <c r="A8340" s="49">
        <v>44781.74808525463</v>
      </c>
      <c r="B8340" s="50">
        <v>44781.8730547685</v>
      </c>
      <c r="C8340" s="51">
        <v>1.003</v>
      </c>
      <c r="D8340" s="51">
        <v>68.0</v>
      </c>
      <c r="E8340" s="52" t="s">
        <v>25</v>
      </c>
      <c r="F8340" s="52" t="s">
        <v>26</v>
      </c>
      <c r="G8340" s="53"/>
    </row>
    <row r="8341">
      <c r="A8341" s="49">
        <v>44781.75850438657</v>
      </c>
      <c r="B8341" s="50">
        <v>44781.8834759953</v>
      </c>
      <c r="C8341" s="51">
        <v>1.004</v>
      </c>
      <c r="D8341" s="51">
        <v>67.0</v>
      </c>
      <c r="E8341" s="52" t="s">
        <v>25</v>
      </c>
      <c r="F8341" s="52" t="s">
        <v>26</v>
      </c>
      <c r="G8341" s="53"/>
    </row>
    <row r="8342">
      <c r="A8342" s="49">
        <v>44781.76893547454</v>
      </c>
      <c r="B8342" s="50">
        <v>44781.8939087615</v>
      </c>
      <c r="C8342" s="51">
        <v>1.003</v>
      </c>
      <c r="D8342" s="51">
        <v>66.0</v>
      </c>
      <c r="E8342" s="52" t="s">
        <v>25</v>
      </c>
      <c r="F8342" s="52" t="s">
        <v>26</v>
      </c>
      <c r="G8342" s="53"/>
    </row>
    <row r="8343">
      <c r="A8343" s="49">
        <v>44781.77936177084</v>
      </c>
      <c r="B8343" s="50">
        <v>44781.9043290856</v>
      </c>
      <c r="C8343" s="51">
        <v>1.004</v>
      </c>
      <c r="D8343" s="51">
        <v>66.0</v>
      </c>
      <c r="E8343" s="52" t="s">
        <v>25</v>
      </c>
      <c r="F8343" s="52" t="s">
        <v>26</v>
      </c>
      <c r="G8343" s="53"/>
    </row>
    <row r="8344">
      <c r="A8344" s="49">
        <v>44781.78977256945</v>
      </c>
      <c r="B8344" s="50">
        <v>44781.9147477314</v>
      </c>
      <c r="C8344" s="51">
        <v>1.004</v>
      </c>
      <c r="D8344" s="51">
        <v>66.0</v>
      </c>
      <c r="E8344" s="52" t="s">
        <v>25</v>
      </c>
      <c r="F8344" s="52" t="s">
        <v>26</v>
      </c>
      <c r="G8344" s="53"/>
    </row>
    <row r="8345">
      <c r="A8345" s="49">
        <v>44781.800225011575</v>
      </c>
      <c r="B8345" s="50">
        <v>44781.9251923148</v>
      </c>
      <c r="C8345" s="51">
        <v>1.004</v>
      </c>
      <c r="D8345" s="51">
        <v>66.0</v>
      </c>
      <c r="E8345" s="52" t="s">
        <v>25</v>
      </c>
      <c r="F8345" s="52" t="s">
        <v>26</v>
      </c>
      <c r="G8345" s="53"/>
    </row>
    <row r="8346">
      <c r="A8346" s="49">
        <v>44781.81064321759</v>
      </c>
      <c r="B8346" s="50">
        <v>44781.9356150578</v>
      </c>
      <c r="C8346" s="51">
        <v>1.003</v>
      </c>
      <c r="D8346" s="51">
        <v>66.0</v>
      </c>
      <c r="E8346" s="52" t="s">
        <v>25</v>
      </c>
      <c r="F8346" s="52" t="s">
        <v>26</v>
      </c>
      <c r="G8346" s="53"/>
    </row>
    <row r="8347">
      <c r="A8347" s="49">
        <v>44781.82106200232</v>
      </c>
      <c r="B8347" s="50">
        <v>44781.9460356828</v>
      </c>
      <c r="C8347" s="51">
        <v>1.003</v>
      </c>
      <c r="D8347" s="51">
        <v>66.0</v>
      </c>
      <c r="E8347" s="52" t="s">
        <v>25</v>
      </c>
      <c r="F8347" s="52" t="s">
        <v>26</v>
      </c>
      <c r="G8347" s="53"/>
    </row>
    <row r="8348">
      <c r="A8348" s="49">
        <v>44781.831483807866</v>
      </c>
      <c r="B8348" s="50">
        <v>44781.9564553935</v>
      </c>
      <c r="C8348" s="51">
        <v>1.004</v>
      </c>
      <c r="D8348" s="51">
        <v>66.0</v>
      </c>
      <c r="E8348" s="52" t="s">
        <v>25</v>
      </c>
      <c r="F8348" s="52" t="s">
        <v>26</v>
      </c>
      <c r="G8348" s="53"/>
    </row>
    <row r="8349">
      <c r="A8349" s="49">
        <v>44781.84190458333</v>
      </c>
      <c r="B8349" s="50">
        <v>44781.9668768518</v>
      </c>
      <c r="C8349" s="51">
        <v>1.004</v>
      </c>
      <c r="D8349" s="51">
        <v>66.0</v>
      </c>
      <c r="E8349" s="52" t="s">
        <v>25</v>
      </c>
      <c r="F8349" s="52" t="s">
        <v>26</v>
      </c>
      <c r="G8349" s="53"/>
    </row>
    <row r="8350">
      <c r="A8350" s="49">
        <v>44781.85232070602</v>
      </c>
      <c r="B8350" s="50">
        <v>44781.9772986458</v>
      </c>
      <c r="C8350" s="51">
        <v>1.004</v>
      </c>
      <c r="D8350" s="51">
        <v>66.0</v>
      </c>
      <c r="E8350" s="52" t="s">
        <v>25</v>
      </c>
      <c r="F8350" s="52" t="s">
        <v>26</v>
      </c>
      <c r="G8350" s="53"/>
    </row>
    <row r="8351">
      <c r="A8351" s="49">
        <v>44781.86275467592</v>
      </c>
      <c r="B8351" s="50">
        <v>44781.9877204976</v>
      </c>
      <c r="C8351" s="51">
        <v>1.004</v>
      </c>
      <c r="D8351" s="51">
        <v>66.0</v>
      </c>
      <c r="E8351" s="52" t="s">
        <v>25</v>
      </c>
      <c r="F8351" s="52" t="s">
        <v>26</v>
      </c>
      <c r="G8351" s="53"/>
    </row>
    <row r="8352">
      <c r="A8352" s="49">
        <v>44781.873183449075</v>
      </c>
      <c r="B8352" s="50">
        <v>44781.9981538888</v>
      </c>
      <c r="C8352" s="51">
        <v>1.004</v>
      </c>
      <c r="D8352" s="51">
        <v>66.0</v>
      </c>
      <c r="E8352" s="52" t="s">
        <v>25</v>
      </c>
      <c r="F8352" s="52" t="s">
        <v>26</v>
      </c>
      <c r="G8352" s="53"/>
    </row>
    <row r="8353">
      <c r="A8353" s="49">
        <v>44781.88360537037</v>
      </c>
      <c r="B8353" s="50">
        <v>44782.0085749305</v>
      </c>
      <c r="C8353" s="51">
        <v>1.004</v>
      </c>
      <c r="D8353" s="51">
        <v>66.0</v>
      </c>
      <c r="E8353" s="52" t="s">
        <v>25</v>
      </c>
      <c r="F8353" s="52" t="s">
        <v>26</v>
      </c>
      <c r="G8353" s="53"/>
    </row>
    <row r="8354">
      <c r="A8354" s="49">
        <v>44781.894023553235</v>
      </c>
      <c r="B8354" s="50">
        <v>44782.0189940162</v>
      </c>
      <c r="C8354" s="51">
        <v>1.004</v>
      </c>
      <c r="D8354" s="51">
        <v>66.0</v>
      </c>
      <c r="E8354" s="52" t="s">
        <v>25</v>
      </c>
      <c r="F8354" s="52" t="s">
        <v>26</v>
      </c>
      <c r="G8354" s="53"/>
    </row>
    <row r="8355">
      <c r="A8355" s="49">
        <v>44781.904441238425</v>
      </c>
      <c r="B8355" s="50">
        <v>44782.0294140162</v>
      </c>
      <c r="C8355" s="51">
        <v>1.003</v>
      </c>
      <c r="D8355" s="51">
        <v>66.0</v>
      </c>
      <c r="E8355" s="52" t="s">
        <v>25</v>
      </c>
      <c r="F8355" s="52" t="s">
        <v>26</v>
      </c>
      <c r="G8355" s="53"/>
    </row>
    <row r="8356">
      <c r="A8356" s="49">
        <v>44781.91488466435</v>
      </c>
      <c r="B8356" s="50">
        <v>44782.0398567245</v>
      </c>
      <c r="C8356" s="51">
        <v>1.004</v>
      </c>
      <c r="D8356" s="51">
        <v>66.0</v>
      </c>
      <c r="E8356" s="52" t="s">
        <v>25</v>
      </c>
      <c r="F8356" s="52" t="s">
        <v>26</v>
      </c>
      <c r="G8356" s="53"/>
    </row>
    <row r="8357">
      <c r="A8357" s="49">
        <v>44781.92530429398</v>
      </c>
      <c r="B8357" s="50">
        <v>44782.0502779398</v>
      </c>
      <c r="C8357" s="51">
        <v>1.004</v>
      </c>
      <c r="D8357" s="51">
        <v>66.0</v>
      </c>
      <c r="E8357" s="52" t="s">
        <v>25</v>
      </c>
      <c r="F8357" s="52" t="s">
        <v>26</v>
      </c>
      <c r="G8357" s="53"/>
    </row>
    <row r="8358">
      <c r="A8358" s="49">
        <v>44781.9357237963</v>
      </c>
      <c r="B8358" s="50">
        <v>44782.0606982291</v>
      </c>
      <c r="C8358" s="51">
        <v>1.004</v>
      </c>
      <c r="D8358" s="51">
        <v>66.0</v>
      </c>
      <c r="E8358" s="52" t="s">
        <v>25</v>
      </c>
      <c r="F8358" s="52" t="s">
        <v>26</v>
      </c>
      <c r="G8358" s="53"/>
    </row>
    <row r="8359">
      <c r="A8359" s="49">
        <v>44781.946143333334</v>
      </c>
      <c r="B8359" s="50">
        <v>44782.0711201041</v>
      </c>
      <c r="C8359" s="51">
        <v>1.004</v>
      </c>
      <c r="D8359" s="51">
        <v>66.0</v>
      </c>
      <c r="E8359" s="52" t="s">
        <v>25</v>
      </c>
      <c r="F8359" s="52" t="s">
        <v>26</v>
      </c>
      <c r="G8359" s="53"/>
    </row>
    <row r="8360">
      <c r="A8360" s="49">
        <v>44781.95657354167</v>
      </c>
      <c r="B8360" s="50">
        <v>44782.0815419328</v>
      </c>
      <c r="C8360" s="51">
        <v>1.004</v>
      </c>
      <c r="D8360" s="51">
        <v>66.0</v>
      </c>
      <c r="E8360" s="52" t="s">
        <v>25</v>
      </c>
      <c r="F8360" s="52" t="s">
        <v>26</v>
      </c>
      <c r="G8360" s="53"/>
    </row>
    <row r="8361">
      <c r="A8361" s="49">
        <v>44781.96699</v>
      </c>
      <c r="B8361" s="50">
        <v>44782.091965243</v>
      </c>
      <c r="C8361" s="51">
        <v>1.004</v>
      </c>
      <c r="D8361" s="51">
        <v>66.0</v>
      </c>
      <c r="E8361" s="52" t="s">
        <v>25</v>
      </c>
      <c r="F8361" s="52" t="s">
        <v>26</v>
      </c>
      <c r="G8361" s="53"/>
    </row>
    <row r="8362">
      <c r="A8362" s="49">
        <v>44781.97741949074</v>
      </c>
      <c r="B8362" s="50">
        <v>44782.1023871759</v>
      </c>
      <c r="C8362" s="51">
        <v>1.004</v>
      </c>
      <c r="D8362" s="51">
        <v>66.0</v>
      </c>
      <c r="E8362" s="52" t="s">
        <v>25</v>
      </c>
      <c r="F8362" s="52" t="s">
        <v>26</v>
      </c>
      <c r="G8362" s="53"/>
    </row>
    <row r="8363">
      <c r="A8363" s="49">
        <v>44781.98783857639</v>
      </c>
      <c r="B8363" s="50">
        <v>44782.1128084838</v>
      </c>
      <c r="C8363" s="51">
        <v>1.004</v>
      </c>
      <c r="D8363" s="51">
        <v>66.0</v>
      </c>
      <c r="E8363" s="52" t="s">
        <v>25</v>
      </c>
      <c r="F8363" s="52" t="s">
        <v>26</v>
      </c>
      <c r="G8363" s="53"/>
    </row>
    <row r="8364">
      <c r="A8364" s="49">
        <v>44781.99825633102</v>
      </c>
      <c r="B8364" s="50">
        <v>44782.1232289351</v>
      </c>
      <c r="C8364" s="51">
        <v>1.004</v>
      </c>
      <c r="D8364" s="51">
        <v>66.0</v>
      </c>
      <c r="E8364" s="52" t="s">
        <v>25</v>
      </c>
      <c r="F8364" s="52" t="s">
        <v>26</v>
      </c>
      <c r="G8364" s="53"/>
    </row>
    <row r="8365">
      <c r="A8365" s="49">
        <v>44782.008684375</v>
      </c>
      <c r="B8365" s="50">
        <v>44782.1336495601</v>
      </c>
      <c r="C8365" s="51">
        <v>1.004</v>
      </c>
      <c r="D8365" s="51">
        <v>66.0</v>
      </c>
      <c r="E8365" s="52" t="s">
        <v>25</v>
      </c>
      <c r="F8365" s="52" t="s">
        <v>26</v>
      </c>
      <c r="G8365" s="53"/>
    </row>
    <row r="8366">
      <c r="A8366" s="49">
        <v>44782.019098564815</v>
      </c>
      <c r="B8366" s="50">
        <v>44782.1440693634</v>
      </c>
      <c r="C8366" s="51">
        <v>1.004</v>
      </c>
      <c r="D8366" s="51">
        <v>66.0</v>
      </c>
      <c r="E8366" s="52" t="s">
        <v>25</v>
      </c>
      <c r="F8366" s="52" t="s">
        <v>26</v>
      </c>
      <c r="G8366" s="53"/>
    </row>
    <row r="8367">
      <c r="A8367" s="49">
        <v>44782.02952820602</v>
      </c>
      <c r="B8367" s="50">
        <v>44782.154501655</v>
      </c>
      <c r="C8367" s="51">
        <v>1.004</v>
      </c>
      <c r="D8367" s="51">
        <v>66.0</v>
      </c>
      <c r="E8367" s="52" t="s">
        <v>25</v>
      </c>
      <c r="F8367" s="52" t="s">
        <v>26</v>
      </c>
      <c r="G8367" s="53"/>
    </row>
    <row r="8368">
      <c r="A8368" s="49">
        <v>44782.03996064815</v>
      </c>
      <c r="B8368" s="50">
        <v>44782.1649231713</v>
      </c>
      <c r="C8368" s="51">
        <v>1.004</v>
      </c>
      <c r="D8368" s="51">
        <v>66.0</v>
      </c>
      <c r="E8368" s="52" t="s">
        <v>25</v>
      </c>
      <c r="F8368" s="52" t="s">
        <v>26</v>
      </c>
      <c r="G8368" s="53"/>
    </row>
    <row r="8369">
      <c r="A8369" s="49">
        <v>44782.05038483796</v>
      </c>
      <c r="B8369" s="50">
        <v>44782.1753576041</v>
      </c>
      <c r="C8369" s="51">
        <v>1.004</v>
      </c>
      <c r="D8369" s="51">
        <v>66.0</v>
      </c>
      <c r="E8369" s="52" t="s">
        <v>25</v>
      </c>
      <c r="F8369" s="52" t="s">
        <v>26</v>
      </c>
      <c r="G8369" s="53"/>
    </row>
    <row r="8370">
      <c r="A8370" s="49">
        <v>44782.06079894676</v>
      </c>
      <c r="B8370" s="50">
        <v>44782.1857783217</v>
      </c>
      <c r="C8370" s="51">
        <v>1.004</v>
      </c>
      <c r="D8370" s="51">
        <v>66.0</v>
      </c>
      <c r="E8370" s="52" t="s">
        <v>25</v>
      </c>
      <c r="F8370" s="52" t="s">
        <v>26</v>
      </c>
      <c r="G8370" s="53"/>
    </row>
    <row r="8371">
      <c r="A8371" s="49">
        <v>44782.07124287037</v>
      </c>
      <c r="B8371" s="50">
        <v>44782.1962109606</v>
      </c>
      <c r="C8371" s="51">
        <v>1.004</v>
      </c>
      <c r="D8371" s="51">
        <v>66.0</v>
      </c>
      <c r="E8371" s="52" t="s">
        <v>25</v>
      </c>
      <c r="F8371" s="52" t="s">
        <v>26</v>
      </c>
      <c r="G8371" s="53"/>
    </row>
    <row r="8372">
      <c r="A8372" s="49">
        <v>44782.081663530094</v>
      </c>
      <c r="B8372" s="50">
        <v>44782.206632118</v>
      </c>
      <c r="C8372" s="51">
        <v>1.004</v>
      </c>
      <c r="D8372" s="51">
        <v>66.0</v>
      </c>
      <c r="E8372" s="52" t="s">
        <v>25</v>
      </c>
      <c r="F8372" s="52" t="s">
        <v>26</v>
      </c>
      <c r="G8372" s="53"/>
    </row>
    <row r="8373">
      <c r="A8373" s="49">
        <v>44782.09207861111</v>
      </c>
      <c r="B8373" s="50">
        <v>44782.2170550694</v>
      </c>
      <c r="C8373" s="51">
        <v>1.004</v>
      </c>
      <c r="D8373" s="51">
        <v>66.0</v>
      </c>
      <c r="E8373" s="52" t="s">
        <v>25</v>
      </c>
      <c r="F8373" s="52" t="s">
        <v>26</v>
      </c>
      <c r="G8373" s="53"/>
    </row>
    <row r="8374">
      <c r="A8374" s="49">
        <v>44782.102508854165</v>
      </c>
      <c r="B8374" s="50">
        <v>44782.2274754976</v>
      </c>
      <c r="C8374" s="51">
        <v>1.004</v>
      </c>
      <c r="D8374" s="51">
        <v>66.0</v>
      </c>
      <c r="E8374" s="52" t="s">
        <v>25</v>
      </c>
      <c r="F8374" s="52" t="s">
        <v>26</v>
      </c>
      <c r="G8374" s="53"/>
    </row>
    <row r="8375">
      <c r="A8375" s="49">
        <v>44782.11292915509</v>
      </c>
      <c r="B8375" s="50">
        <v>44782.2378963194</v>
      </c>
      <c r="C8375" s="51">
        <v>1.004</v>
      </c>
      <c r="D8375" s="51">
        <v>66.0</v>
      </c>
      <c r="E8375" s="52" t="s">
        <v>25</v>
      </c>
      <c r="F8375" s="52" t="s">
        <v>26</v>
      </c>
      <c r="G8375" s="53"/>
    </row>
    <row r="8376">
      <c r="A8376" s="49">
        <v>44782.12334381945</v>
      </c>
      <c r="B8376" s="50">
        <v>44782.2483169791</v>
      </c>
      <c r="C8376" s="51">
        <v>1.004</v>
      </c>
      <c r="D8376" s="51">
        <v>66.0</v>
      </c>
      <c r="E8376" s="52" t="s">
        <v>25</v>
      </c>
      <c r="F8376" s="52" t="s">
        <v>26</v>
      </c>
      <c r="G8376" s="53"/>
    </row>
    <row r="8377">
      <c r="A8377" s="49">
        <v>44782.13377152778</v>
      </c>
      <c r="B8377" s="50">
        <v>44782.2587400578</v>
      </c>
      <c r="C8377" s="51">
        <v>1.004</v>
      </c>
      <c r="D8377" s="51">
        <v>67.0</v>
      </c>
      <c r="E8377" s="52" t="s">
        <v>25</v>
      </c>
      <c r="F8377" s="52" t="s">
        <v>26</v>
      </c>
      <c r="G8377" s="53"/>
    </row>
    <row r="8378">
      <c r="A8378" s="49">
        <v>44782.14417958334</v>
      </c>
      <c r="B8378" s="50">
        <v>44782.2691592592</v>
      </c>
      <c r="C8378" s="51">
        <v>1.004</v>
      </c>
      <c r="D8378" s="51">
        <v>67.0</v>
      </c>
      <c r="E8378" s="52" t="s">
        <v>25</v>
      </c>
      <c r="F8378" s="52" t="s">
        <v>26</v>
      </c>
      <c r="G8378" s="53"/>
    </row>
    <row r="8379">
      <c r="A8379" s="49">
        <v>44782.154611736114</v>
      </c>
      <c r="B8379" s="50">
        <v>44782.2795802777</v>
      </c>
      <c r="C8379" s="51">
        <v>1.004</v>
      </c>
      <c r="D8379" s="51">
        <v>66.0</v>
      </c>
      <c r="E8379" s="52" t="s">
        <v>25</v>
      </c>
      <c r="F8379" s="52" t="s">
        <v>26</v>
      </c>
      <c r="G8379" s="53"/>
    </row>
    <row r="8380">
      <c r="A8380" s="49">
        <v>44782.16503715278</v>
      </c>
      <c r="B8380" s="50">
        <v>44782.2900016782</v>
      </c>
      <c r="C8380" s="51">
        <v>1.003</v>
      </c>
      <c r="D8380" s="51">
        <v>67.0</v>
      </c>
      <c r="E8380" s="52" t="s">
        <v>25</v>
      </c>
      <c r="F8380" s="52" t="s">
        <v>26</v>
      </c>
      <c r="G8380" s="53"/>
    </row>
    <row r="8381">
      <c r="A8381" s="49">
        <v>44782.175454641205</v>
      </c>
      <c r="B8381" s="50">
        <v>44782.3004226388</v>
      </c>
      <c r="C8381" s="51">
        <v>1.004</v>
      </c>
      <c r="D8381" s="51">
        <v>67.0</v>
      </c>
      <c r="E8381" s="52" t="s">
        <v>25</v>
      </c>
      <c r="F8381" s="52" t="s">
        <v>26</v>
      </c>
      <c r="G8381" s="53"/>
    </row>
    <row r="8382">
      <c r="A8382" s="49">
        <v>44782.185875173614</v>
      </c>
      <c r="B8382" s="50">
        <v>44782.3108451967</v>
      </c>
      <c r="C8382" s="51">
        <v>1.004</v>
      </c>
      <c r="D8382" s="51">
        <v>67.0</v>
      </c>
      <c r="E8382" s="52" t="s">
        <v>25</v>
      </c>
      <c r="F8382" s="52" t="s">
        <v>26</v>
      </c>
      <c r="G8382" s="53"/>
    </row>
    <row r="8383">
      <c r="A8383" s="49">
        <v>44782.19628513889</v>
      </c>
      <c r="B8383" s="50">
        <v>44782.3212653703</v>
      </c>
      <c r="C8383" s="51">
        <v>1.004</v>
      </c>
      <c r="D8383" s="51">
        <v>67.0</v>
      </c>
      <c r="E8383" s="52" t="s">
        <v>25</v>
      </c>
      <c r="F8383" s="52" t="s">
        <v>26</v>
      </c>
      <c r="G8383" s="53"/>
    </row>
    <row r="8384">
      <c r="A8384" s="49">
        <v>44782.206719050926</v>
      </c>
      <c r="B8384" s="50">
        <v>44782.3316858101</v>
      </c>
      <c r="C8384" s="51">
        <v>1.004</v>
      </c>
      <c r="D8384" s="51">
        <v>67.0</v>
      </c>
      <c r="E8384" s="52" t="s">
        <v>25</v>
      </c>
      <c r="F8384" s="52" t="s">
        <v>26</v>
      </c>
      <c r="G8384" s="53"/>
    </row>
    <row r="8385">
      <c r="A8385" s="49">
        <v>44782.21714171296</v>
      </c>
      <c r="B8385" s="50">
        <v>44782.3421073032</v>
      </c>
      <c r="C8385" s="51">
        <v>1.004</v>
      </c>
      <c r="D8385" s="51">
        <v>67.0</v>
      </c>
      <c r="E8385" s="52" t="s">
        <v>25</v>
      </c>
      <c r="F8385" s="52" t="s">
        <v>26</v>
      </c>
      <c r="G8385" s="53"/>
    </row>
    <row r="8386">
      <c r="A8386" s="49">
        <v>44782.22756210648</v>
      </c>
      <c r="B8386" s="50">
        <v>44782.352527743</v>
      </c>
      <c r="C8386" s="51">
        <v>1.004</v>
      </c>
      <c r="D8386" s="51">
        <v>67.0</v>
      </c>
      <c r="E8386" s="52" t="s">
        <v>25</v>
      </c>
      <c r="F8386" s="52" t="s">
        <v>26</v>
      </c>
      <c r="G8386" s="53"/>
    </row>
    <row r="8387">
      <c r="A8387" s="49">
        <v>44782.23797944444</v>
      </c>
      <c r="B8387" s="50">
        <v>44782.362949456</v>
      </c>
      <c r="C8387" s="51">
        <v>1.004</v>
      </c>
      <c r="D8387" s="51">
        <v>67.0</v>
      </c>
      <c r="E8387" s="52" t="s">
        <v>25</v>
      </c>
      <c r="F8387" s="52" t="s">
        <v>26</v>
      </c>
      <c r="G8387" s="53"/>
    </row>
    <row r="8388">
      <c r="A8388" s="49">
        <v>44782.24839918982</v>
      </c>
      <c r="B8388" s="50">
        <v>44782.3733707754</v>
      </c>
      <c r="C8388" s="51">
        <v>1.004</v>
      </c>
      <c r="D8388" s="51">
        <v>67.0</v>
      </c>
      <c r="E8388" s="52" t="s">
        <v>25</v>
      </c>
      <c r="F8388" s="52" t="s">
        <v>26</v>
      </c>
      <c r="G8388" s="53"/>
    </row>
    <row r="8389">
      <c r="A8389" s="49">
        <v>44782.25882780092</v>
      </c>
      <c r="B8389" s="50">
        <v>44782.3837932291</v>
      </c>
      <c r="C8389" s="51">
        <v>1.004</v>
      </c>
      <c r="D8389" s="51">
        <v>67.0</v>
      </c>
      <c r="E8389" s="52" t="s">
        <v>25</v>
      </c>
      <c r="F8389" s="52" t="s">
        <v>26</v>
      </c>
      <c r="G8389" s="53"/>
    </row>
    <row r="8390">
      <c r="A8390" s="49">
        <v>44782.26925</v>
      </c>
      <c r="B8390" s="50">
        <v>44782.3942155208</v>
      </c>
      <c r="C8390" s="51">
        <v>1.004</v>
      </c>
      <c r="D8390" s="51">
        <v>67.0</v>
      </c>
      <c r="E8390" s="52" t="s">
        <v>25</v>
      </c>
      <c r="F8390" s="52" t="s">
        <v>26</v>
      </c>
      <c r="G8390" s="53"/>
    </row>
    <row r="8391">
      <c r="A8391" s="49">
        <v>44782.27969053241</v>
      </c>
      <c r="B8391" s="50">
        <v>44782.4046603703</v>
      </c>
      <c r="C8391" s="51">
        <v>1.004</v>
      </c>
      <c r="D8391" s="51">
        <v>67.0</v>
      </c>
      <c r="E8391" s="52" t="s">
        <v>25</v>
      </c>
      <c r="F8391" s="52" t="s">
        <v>26</v>
      </c>
      <c r="G8391" s="53"/>
    </row>
    <row r="8392">
      <c r="A8392" s="49">
        <v>44782.29011012732</v>
      </c>
      <c r="B8392" s="50">
        <v>44782.415081331</v>
      </c>
      <c r="C8392" s="51">
        <v>1.004</v>
      </c>
      <c r="D8392" s="51">
        <v>67.0</v>
      </c>
      <c r="E8392" s="52" t="s">
        <v>25</v>
      </c>
      <c r="F8392" s="52" t="s">
        <v>26</v>
      </c>
      <c r="G8392" s="53"/>
    </row>
    <row r="8393">
      <c r="A8393" s="49">
        <v>44782.30053145833</v>
      </c>
      <c r="B8393" s="50">
        <v>44782.4255027314</v>
      </c>
      <c r="C8393" s="51">
        <v>1.004</v>
      </c>
      <c r="D8393" s="51">
        <v>67.0</v>
      </c>
      <c r="E8393" s="52" t="s">
        <v>25</v>
      </c>
      <c r="F8393" s="52" t="s">
        <v>26</v>
      </c>
      <c r="G8393" s="53"/>
    </row>
    <row r="8394">
      <c r="A8394" s="49">
        <v>44782.31094966435</v>
      </c>
      <c r="B8394" s="50">
        <v>44782.4359228472</v>
      </c>
      <c r="C8394" s="51">
        <v>1.004</v>
      </c>
      <c r="D8394" s="51">
        <v>67.0</v>
      </c>
      <c r="E8394" s="52" t="s">
        <v>25</v>
      </c>
      <c r="F8394" s="52" t="s">
        <v>26</v>
      </c>
      <c r="G8394" s="53"/>
    </row>
    <row r="8395">
      <c r="A8395" s="49">
        <v>44782.32138368055</v>
      </c>
      <c r="B8395" s="50">
        <v>44782.4463550231</v>
      </c>
      <c r="C8395" s="51">
        <v>1.004</v>
      </c>
      <c r="D8395" s="51">
        <v>67.0</v>
      </c>
      <c r="E8395" s="52" t="s">
        <v>25</v>
      </c>
      <c r="F8395" s="52" t="s">
        <v>26</v>
      </c>
      <c r="G8395" s="53"/>
    </row>
    <row r="8396">
      <c r="A8396" s="49">
        <v>44782.33179787037</v>
      </c>
      <c r="B8396" s="50">
        <v>44782.4567774652</v>
      </c>
      <c r="C8396" s="51">
        <v>1.004</v>
      </c>
      <c r="D8396" s="51">
        <v>67.0</v>
      </c>
      <c r="E8396" s="52" t="s">
        <v>25</v>
      </c>
      <c r="F8396" s="52" t="s">
        <v>26</v>
      </c>
      <c r="G8396" s="53"/>
    </row>
    <row r="8397">
      <c r="A8397" s="49">
        <v>44782.342243113424</v>
      </c>
      <c r="B8397" s="50">
        <v>44782.4672111805</v>
      </c>
      <c r="C8397" s="51">
        <v>1.003</v>
      </c>
      <c r="D8397" s="51">
        <v>67.0</v>
      </c>
      <c r="E8397" s="52" t="s">
        <v>25</v>
      </c>
      <c r="F8397" s="52" t="s">
        <v>26</v>
      </c>
      <c r="G8397" s="53"/>
    </row>
    <row r="8398">
      <c r="A8398" s="49">
        <v>44782.35266072917</v>
      </c>
      <c r="B8398" s="50">
        <v>44782.4776318402</v>
      </c>
      <c r="C8398" s="51">
        <v>1.004</v>
      </c>
      <c r="D8398" s="51">
        <v>67.0</v>
      </c>
      <c r="E8398" s="52" t="s">
        <v>25</v>
      </c>
      <c r="F8398" s="52" t="s">
        <v>26</v>
      </c>
      <c r="G8398" s="53"/>
    </row>
    <row r="8399">
      <c r="A8399" s="49">
        <v>44782.363074340275</v>
      </c>
      <c r="B8399" s="50">
        <v>44782.4880533796</v>
      </c>
      <c r="C8399" s="51">
        <v>1.004</v>
      </c>
      <c r="D8399" s="51">
        <v>67.0</v>
      </c>
      <c r="E8399" s="52" t="s">
        <v>25</v>
      </c>
      <c r="F8399" s="52" t="s">
        <v>26</v>
      </c>
      <c r="G8399" s="53"/>
    </row>
    <row r="8400">
      <c r="A8400" s="49">
        <v>44782.373492893516</v>
      </c>
      <c r="B8400" s="50">
        <v>44782.4984729976</v>
      </c>
      <c r="C8400" s="51">
        <v>1.004</v>
      </c>
      <c r="D8400" s="51">
        <v>67.0</v>
      </c>
      <c r="E8400" s="52" t="s">
        <v>25</v>
      </c>
      <c r="F8400" s="52" t="s">
        <v>26</v>
      </c>
      <c r="G8400" s="53"/>
    </row>
    <row r="8401">
      <c r="A8401" s="49">
        <v>44782.38392605324</v>
      </c>
      <c r="B8401" s="50">
        <v>44782.508894618</v>
      </c>
      <c r="C8401" s="51">
        <v>1.004</v>
      </c>
      <c r="D8401" s="51">
        <v>67.0</v>
      </c>
      <c r="E8401" s="52" t="s">
        <v>25</v>
      </c>
      <c r="F8401" s="52" t="s">
        <v>26</v>
      </c>
      <c r="G8401" s="53"/>
    </row>
    <row r="8402">
      <c r="A8402" s="49">
        <v>44782.39434673611</v>
      </c>
      <c r="B8402" s="50">
        <v>44782.5193155902</v>
      </c>
      <c r="C8402" s="51">
        <v>1.004</v>
      </c>
      <c r="D8402" s="51">
        <v>67.0</v>
      </c>
      <c r="E8402" s="52" t="s">
        <v>25</v>
      </c>
      <c r="F8402" s="52" t="s">
        <v>26</v>
      </c>
      <c r="G8402" s="53"/>
    </row>
    <row r="8403">
      <c r="A8403" s="49">
        <v>44782.40476795139</v>
      </c>
      <c r="B8403" s="50">
        <v>44782.5297362384</v>
      </c>
      <c r="C8403" s="51">
        <v>1.004</v>
      </c>
      <c r="D8403" s="51">
        <v>67.0</v>
      </c>
      <c r="E8403" s="52" t="s">
        <v>25</v>
      </c>
      <c r="F8403" s="52" t="s">
        <v>26</v>
      </c>
      <c r="G8403" s="53"/>
    </row>
    <row r="8404">
      <c r="A8404" s="49">
        <v>44782.41518678241</v>
      </c>
      <c r="B8404" s="50">
        <v>44782.5401563657</v>
      </c>
      <c r="C8404" s="51">
        <v>1.004</v>
      </c>
      <c r="D8404" s="51">
        <v>67.0</v>
      </c>
      <c r="E8404" s="52" t="s">
        <v>25</v>
      </c>
      <c r="F8404" s="52" t="s">
        <v>26</v>
      </c>
      <c r="G8404" s="53"/>
    </row>
    <row r="8405">
      <c r="A8405" s="49">
        <v>44782.4256030324</v>
      </c>
      <c r="B8405" s="50">
        <v>44782.5505773842</v>
      </c>
      <c r="C8405" s="51">
        <v>1.004</v>
      </c>
      <c r="D8405" s="51">
        <v>67.0</v>
      </c>
      <c r="E8405" s="52" t="s">
        <v>25</v>
      </c>
      <c r="F8405" s="52" t="s">
        <v>26</v>
      </c>
      <c r="G8405" s="53"/>
    </row>
    <row r="8406">
      <c r="A8406" s="49">
        <v>44782.436022118054</v>
      </c>
      <c r="B8406" s="50">
        <v>44782.5609995717</v>
      </c>
      <c r="C8406" s="51">
        <v>1.004</v>
      </c>
      <c r="D8406" s="51">
        <v>67.0</v>
      </c>
      <c r="E8406" s="52" t="s">
        <v>25</v>
      </c>
      <c r="F8406" s="52" t="s">
        <v>26</v>
      </c>
      <c r="G8406" s="53"/>
    </row>
    <row r="8407">
      <c r="A8407" s="49">
        <v>44782.446451875</v>
      </c>
      <c r="B8407" s="50">
        <v>44782.5714210763</v>
      </c>
      <c r="C8407" s="51">
        <v>1.004</v>
      </c>
      <c r="D8407" s="51">
        <v>67.0</v>
      </c>
      <c r="E8407" s="52" t="s">
        <v>25</v>
      </c>
      <c r="F8407" s="52" t="s">
        <v>26</v>
      </c>
      <c r="G8407" s="53"/>
    </row>
    <row r="8408">
      <c r="A8408" s="49">
        <v>44782.45695460648</v>
      </c>
      <c r="B8408" s="50">
        <v>44782.5819237731</v>
      </c>
      <c r="C8408" s="51">
        <v>1.004</v>
      </c>
      <c r="D8408" s="51">
        <v>67.0</v>
      </c>
      <c r="E8408" s="52" t="s">
        <v>25</v>
      </c>
      <c r="F8408" s="52" t="s">
        <v>26</v>
      </c>
      <c r="G8408" s="53"/>
    </row>
    <row r="8409">
      <c r="A8409" s="49">
        <v>44782.4673769213</v>
      </c>
      <c r="B8409" s="50">
        <v>44782.5923445601</v>
      </c>
      <c r="C8409" s="51">
        <v>1.004</v>
      </c>
      <c r="D8409" s="51">
        <v>67.0</v>
      </c>
      <c r="E8409" s="52" t="s">
        <v>25</v>
      </c>
      <c r="F8409" s="52" t="s">
        <v>26</v>
      </c>
      <c r="G8409" s="53"/>
    </row>
    <row r="8410">
      <c r="A8410" s="49">
        <v>44782.47781010417</v>
      </c>
      <c r="B8410" s="50">
        <v>44782.6027758449</v>
      </c>
      <c r="C8410" s="51">
        <v>1.004</v>
      </c>
      <c r="D8410" s="51">
        <v>67.0</v>
      </c>
      <c r="E8410" s="52" t="s">
        <v>25</v>
      </c>
      <c r="F8410" s="52" t="s">
        <v>26</v>
      </c>
      <c r="G8410" s="53"/>
    </row>
    <row r="8411">
      <c r="A8411" s="49">
        <v>44782.48822717593</v>
      </c>
      <c r="B8411" s="50">
        <v>44782.6131960763</v>
      </c>
      <c r="C8411" s="51">
        <v>1.004</v>
      </c>
      <c r="D8411" s="51">
        <v>67.0</v>
      </c>
      <c r="E8411" s="52" t="s">
        <v>25</v>
      </c>
      <c r="F8411" s="52" t="s">
        <v>26</v>
      </c>
      <c r="G8411" s="53"/>
    </row>
    <row r="8412">
      <c r="A8412" s="49">
        <v>44782.498656145835</v>
      </c>
      <c r="B8412" s="50">
        <v>44782.6236285763</v>
      </c>
      <c r="C8412" s="51">
        <v>1.004</v>
      </c>
      <c r="D8412" s="51">
        <v>67.0</v>
      </c>
      <c r="E8412" s="52" t="s">
        <v>25</v>
      </c>
      <c r="F8412" s="52" t="s">
        <v>26</v>
      </c>
      <c r="G8412" s="53"/>
    </row>
    <row r="8413">
      <c r="A8413" s="49">
        <v>44782.50907814815</v>
      </c>
      <c r="B8413" s="50">
        <v>44782.6340497338</v>
      </c>
      <c r="C8413" s="51">
        <v>1.004</v>
      </c>
      <c r="D8413" s="51">
        <v>67.0</v>
      </c>
      <c r="E8413" s="52" t="s">
        <v>25</v>
      </c>
      <c r="F8413" s="52" t="s">
        <v>26</v>
      </c>
      <c r="G8413" s="53"/>
    </row>
    <row r="8414">
      <c r="A8414" s="49">
        <v>44782.519496574074</v>
      </c>
      <c r="B8414" s="50">
        <v>44782.6444708449</v>
      </c>
      <c r="C8414" s="51">
        <v>1.004</v>
      </c>
      <c r="D8414" s="51">
        <v>67.0</v>
      </c>
      <c r="E8414" s="52" t="s">
        <v>25</v>
      </c>
      <c r="F8414" s="52" t="s">
        <v>26</v>
      </c>
      <c r="G8414" s="53"/>
    </row>
    <row r="8415">
      <c r="A8415" s="49">
        <v>44782.529914108796</v>
      </c>
      <c r="B8415" s="50">
        <v>44782.6548925231</v>
      </c>
      <c r="C8415" s="51">
        <v>1.004</v>
      </c>
      <c r="D8415" s="51">
        <v>67.0</v>
      </c>
      <c r="E8415" s="52" t="s">
        <v>25</v>
      </c>
      <c r="F8415" s="52" t="s">
        <v>26</v>
      </c>
      <c r="G8415" s="53"/>
    </row>
    <row r="8416">
      <c r="A8416" s="49">
        <v>44782.54035490741</v>
      </c>
      <c r="B8416" s="50">
        <v>44782.6653245601</v>
      </c>
      <c r="C8416" s="51">
        <v>1.004</v>
      </c>
      <c r="D8416" s="51">
        <v>67.0</v>
      </c>
      <c r="E8416" s="52" t="s">
        <v>25</v>
      </c>
      <c r="F8416" s="52" t="s">
        <v>26</v>
      </c>
      <c r="G8416" s="53"/>
    </row>
    <row r="8417">
      <c r="A8417" s="49">
        <v>44782.550775462965</v>
      </c>
      <c r="B8417" s="50">
        <v>44782.6757466551</v>
      </c>
      <c r="C8417" s="51">
        <v>1.004</v>
      </c>
      <c r="D8417" s="51">
        <v>67.0</v>
      </c>
      <c r="E8417" s="52" t="s">
        <v>25</v>
      </c>
      <c r="F8417" s="52" t="s">
        <v>26</v>
      </c>
      <c r="G8417" s="53"/>
    </row>
    <row r="8418">
      <c r="A8418" s="49">
        <v>44782.56120515046</v>
      </c>
      <c r="B8418" s="50">
        <v>44782.6861799189</v>
      </c>
      <c r="C8418" s="51">
        <v>1.004</v>
      </c>
      <c r="D8418" s="51">
        <v>67.0</v>
      </c>
      <c r="E8418" s="52" t="s">
        <v>25</v>
      </c>
      <c r="F8418" s="52" t="s">
        <v>26</v>
      </c>
      <c r="G8418" s="53"/>
    </row>
    <row r="8419">
      <c r="A8419" s="49">
        <v>44782.571634004635</v>
      </c>
      <c r="B8419" s="50">
        <v>44782.6966011111</v>
      </c>
      <c r="C8419" s="51">
        <v>1.004</v>
      </c>
      <c r="D8419" s="51">
        <v>67.0</v>
      </c>
      <c r="E8419" s="52" t="s">
        <v>25</v>
      </c>
      <c r="F8419" s="52" t="s">
        <v>26</v>
      </c>
      <c r="G8419" s="53"/>
    </row>
    <row r="8420">
      <c r="A8420" s="49">
        <v>44782.58205560185</v>
      </c>
      <c r="B8420" s="50">
        <v>44782.7070217824</v>
      </c>
      <c r="C8420" s="51">
        <v>1.004</v>
      </c>
      <c r="D8420" s="51">
        <v>67.0</v>
      </c>
      <c r="E8420" s="52" t="s">
        <v>25</v>
      </c>
      <c r="F8420" s="52" t="s">
        <v>26</v>
      </c>
      <c r="G8420" s="53"/>
    </row>
    <row r="8421">
      <c r="A8421" s="49">
        <v>44782.59248435185</v>
      </c>
      <c r="B8421" s="50">
        <v>44782.7174539236</v>
      </c>
      <c r="C8421" s="51">
        <v>1.004</v>
      </c>
      <c r="D8421" s="51">
        <v>67.0</v>
      </c>
      <c r="E8421" s="52" t="s">
        <v>25</v>
      </c>
      <c r="F8421" s="52" t="s">
        <v>26</v>
      </c>
      <c r="G8421" s="53"/>
    </row>
    <row r="8422">
      <c r="A8422" s="49">
        <v>44782.60291478009</v>
      </c>
      <c r="B8422" s="50">
        <v>44782.7278858796</v>
      </c>
      <c r="C8422" s="51">
        <v>1.004</v>
      </c>
      <c r="D8422" s="51">
        <v>67.0</v>
      </c>
      <c r="E8422" s="52" t="s">
        <v>25</v>
      </c>
      <c r="F8422" s="52" t="s">
        <v>26</v>
      </c>
      <c r="G8422" s="53"/>
    </row>
    <row r="8423">
      <c r="A8423" s="49">
        <v>44782.61332736111</v>
      </c>
      <c r="B8423" s="50">
        <v>44782.7383079976</v>
      </c>
      <c r="C8423" s="51">
        <v>1.004</v>
      </c>
      <c r="D8423" s="51">
        <v>67.0</v>
      </c>
      <c r="E8423" s="52" t="s">
        <v>25</v>
      </c>
      <c r="F8423" s="52" t="s">
        <v>26</v>
      </c>
      <c r="G8423" s="53"/>
    </row>
    <row r="8424">
      <c r="A8424" s="49">
        <v>44782.62376071759</v>
      </c>
      <c r="B8424" s="50">
        <v>44782.7487275925</v>
      </c>
      <c r="C8424" s="51">
        <v>1.004</v>
      </c>
      <c r="D8424" s="51">
        <v>67.0</v>
      </c>
      <c r="E8424" s="52" t="s">
        <v>25</v>
      </c>
      <c r="F8424" s="52" t="s">
        <v>26</v>
      </c>
      <c r="G8424" s="53"/>
    </row>
    <row r="8425">
      <c r="A8425" s="49">
        <v>44782.63418946759</v>
      </c>
      <c r="B8425" s="50">
        <v>44782.7591617013</v>
      </c>
      <c r="C8425" s="51">
        <v>1.004</v>
      </c>
      <c r="D8425" s="51">
        <v>67.0</v>
      </c>
      <c r="E8425" s="52" t="s">
        <v>25</v>
      </c>
      <c r="F8425" s="52" t="s">
        <v>26</v>
      </c>
      <c r="G8425" s="53"/>
    </row>
    <row r="8426">
      <c r="A8426" s="49">
        <v>44782.644604456014</v>
      </c>
      <c r="B8426" s="50">
        <v>44782.7695834953</v>
      </c>
      <c r="C8426" s="51">
        <v>1.004</v>
      </c>
      <c r="D8426" s="51">
        <v>67.0</v>
      </c>
      <c r="E8426" s="52" t="s">
        <v>25</v>
      </c>
      <c r="F8426" s="52" t="s">
        <v>26</v>
      </c>
      <c r="G8426" s="53"/>
    </row>
    <row r="8427">
      <c r="A8427" s="49">
        <v>44782.65505961806</v>
      </c>
      <c r="B8427" s="50">
        <v>44782.7800280671</v>
      </c>
      <c r="C8427" s="51">
        <v>1.004</v>
      </c>
      <c r="D8427" s="51">
        <v>67.0</v>
      </c>
      <c r="E8427" s="52" t="s">
        <v>25</v>
      </c>
      <c r="F8427" s="52" t="s">
        <v>26</v>
      </c>
      <c r="G8427" s="53"/>
    </row>
    <row r="8428">
      <c r="A8428" s="49">
        <v>44782.66547987268</v>
      </c>
      <c r="B8428" s="50">
        <v>44782.7904503588</v>
      </c>
      <c r="C8428" s="51">
        <v>1.004</v>
      </c>
      <c r="D8428" s="51">
        <v>67.0</v>
      </c>
      <c r="E8428" s="52" t="s">
        <v>25</v>
      </c>
      <c r="F8428" s="52" t="s">
        <v>26</v>
      </c>
      <c r="G8428" s="53"/>
    </row>
    <row r="8429">
      <c r="A8429" s="49">
        <v>44782.675892314815</v>
      </c>
      <c r="B8429" s="50">
        <v>44782.8008716319</v>
      </c>
      <c r="C8429" s="51">
        <v>1.004</v>
      </c>
      <c r="D8429" s="51">
        <v>67.0</v>
      </c>
      <c r="E8429" s="52" t="s">
        <v>25</v>
      </c>
      <c r="F8429" s="52" t="s">
        <v>26</v>
      </c>
      <c r="G8429" s="53"/>
    </row>
    <row r="8430">
      <c r="A8430" s="49">
        <v>44782.68632224537</v>
      </c>
      <c r="B8430" s="50">
        <v>44782.811291956</v>
      </c>
      <c r="C8430" s="51">
        <v>1.004</v>
      </c>
      <c r="D8430" s="51">
        <v>67.0</v>
      </c>
      <c r="E8430" s="52" t="s">
        <v>25</v>
      </c>
      <c r="F8430" s="52" t="s">
        <v>26</v>
      </c>
      <c r="G8430" s="53"/>
    </row>
    <row r="8431">
      <c r="A8431" s="49">
        <v>44782.69674319444</v>
      </c>
      <c r="B8431" s="50">
        <v>44782.8217125694</v>
      </c>
      <c r="C8431" s="51">
        <v>1.004</v>
      </c>
      <c r="D8431" s="51">
        <v>67.0</v>
      </c>
      <c r="E8431" s="52" t="s">
        <v>25</v>
      </c>
      <c r="F8431" s="52" t="s">
        <v>26</v>
      </c>
      <c r="G8431" s="53"/>
    </row>
    <row r="8432">
      <c r="A8432" s="49">
        <v>44782.70716723379</v>
      </c>
      <c r="B8432" s="50">
        <v>44782.8321463657</v>
      </c>
      <c r="C8432" s="51">
        <v>1.004</v>
      </c>
      <c r="D8432" s="51">
        <v>67.0</v>
      </c>
      <c r="E8432" s="52" t="s">
        <v>25</v>
      </c>
      <c r="F8432" s="52" t="s">
        <v>26</v>
      </c>
      <c r="G8432" s="53"/>
    </row>
    <row r="8433">
      <c r="A8433" s="49">
        <v>44782.71758819444</v>
      </c>
      <c r="B8433" s="50">
        <v>44782.8425673726</v>
      </c>
      <c r="C8433" s="51">
        <v>1.004</v>
      </c>
      <c r="D8433" s="51">
        <v>67.0</v>
      </c>
      <c r="E8433" s="52" t="s">
        <v>25</v>
      </c>
      <c r="F8433" s="52" t="s">
        <v>26</v>
      </c>
      <c r="G8433" s="53"/>
    </row>
    <row r="8434">
      <c r="A8434" s="49">
        <v>44782.72801011574</v>
      </c>
      <c r="B8434" s="50">
        <v>44782.8529877314</v>
      </c>
      <c r="C8434" s="51">
        <v>1.004</v>
      </c>
      <c r="D8434" s="51">
        <v>67.0</v>
      </c>
      <c r="E8434" s="52" t="s">
        <v>25</v>
      </c>
      <c r="F8434" s="52" t="s">
        <v>26</v>
      </c>
      <c r="G8434" s="53"/>
    </row>
    <row r="8435">
      <c r="A8435" s="49">
        <v>44782.7384871875</v>
      </c>
      <c r="B8435" s="50">
        <v>44782.8634558217</v>
      </c>
      <c r="C8435" s="51">
        <v>1.004</v>
      </c>
      <c r="D8435" s="51">
        <v>67.0</v>
      </c>
      <c r="E8435" s="52" t="s">
        <v>25</v>
      </c>
      <c r="F8435" s="52" t="s">
        <v>26</v>
      </c>
      <c r="G8435" s="53"/>
    </row>
    <row r="8436">
      <c r="A8436" s="49">
        <v>44782.74890773148</v>
      </c>
      <c r="B8436" s="50">
        <v>44782.8738778472</v>
      </c>
      <c r="C8436" s="51">
        <v>1.004</v>
      </c>
      <c r="D8436" s="51">
        <v>67.0</v>
      </c>
      <c r="E8436" s="52" t="s">
        <v>25</v>
      </c>
      <c r="F8436" s="52" t="s">
        <v>26</v>
      </c>
      <c r="G8436" s="53"/>
    </row>
    <row r="8437">
      <c r="A8437" s="49">
        <v>44782.759354699076</v>
      </c>
      <c r="B8437" s="50">
        <v>44782.8842993634</v>
      </c>
      <c r="C8437" s="51">
        <v>1.004</v>
      </c>
      <c r="D8437" s="51">
        <v>68.0</v>
      </c>
      <c r="E8437" s="52" t="s">
        <v>25</v>
      </c>
      <c r="F8437" s="52" t="s">
        <v>26</v>
      </c>
      <c r="G8437" s="53"/>
    </row>
    <row r="8438">
      <c r="A8438" s="49">
        <v>44782.76975178241</v>
      </c>
      <c r="B8438" s="50">
        <v>44782.8947203356</v>
      </c>
      <c r="C8438" s="51">
        <v>1.004</v>
      </c>
      <c r="D8438" s="51">
        <v>67.0</v>
      </c>
      <c r="E8438" s="52" t="s">
        <v>25</v>
      </c>
      <c r="F8438" s="52" t="s">
        <v>26</v>
      </c>
      <c r="G8438" s="53"/>
    </row>
    <row r="8439">
      <c r="A8439" s="49">
        <v>44782.78017604166</v>
      </c>
      <c r="B8439" s="50">
        <v>44782.9051412731</v>
      </c>
      <c r="C8439" s="51">
        <v>1.004</v>
      </c>
      <c r="D8439" s="51">
        <v>67.0</v>
      </c>
      <c r="E8439" s="52" t="s">
        <v>25</v>
      </c>
      <c r="F8439" s="52" t="s">
        <v>26</v>
      </c>
      <c r="G8439" s="53"/>
    </row>
    <row r="8440">
      <c r="A8440" s="49">
        <v>44782.790596481485</v>
      </c>
      <c r="B8440" s="50">
        <v>44782.9155631481</v>
      </c>
      <c r="C8440" s="51">
        <v>1.004</v>
      </c>
      <c r="D8440" s="51">
        <v>67.0</v>
      </c>
      <c r="E8440" s="52" t="s">
        <v>25</v>
      </c>
      <c r="F8440" s="52" t="s">
        <v>26</v>
      </c>
      <c r="G8440" s="53"/>
    </row>
    <row r="8441">
      <c r="A8441" s="49">
        <v>44782.80101415509</v>
      </c>
      <c r="B8441" s="50">
        <v>44782.9259835069</v>
      </c>
      <c r="C8441" s="51">
        <v>1.004</v>
      </c>
      <c r="D8441" s="51">
        <v>67.0</v>
      </c>
      <c r="E8441" s="52" t="s">
        <v>25</v>
      </c>
      <c r="F8441" s="52" t="s">
        <v>26</v>
      </c>
      <c r="G8441" s="53"/>
    </row>
    <row r="8442">
      <c r="A8442" s="49">
        <v>44782.81143133102</v>
      </c>
      <c r="B8442" s="50">
        <v>44782.9364060648</v>
      </c>
      <c r="C8442" s="51">
        <v>1.004</v>
      </c>
      <c r="D8442" s="51">
        <v>68.0</v>
      </c>
      <c r="E8442" s="52" t="s">
        <v>25</v>
      </c>
      <c r="F8442" s="52" t="s">
        <v>26</v>
      </c>
      <c r="G8442" s="53"/>
    </row>
    <row r="8443">
      <c r="A8443" s="49">
        <v>44782.821848217594</v>
      </c>
      <c r="B8443" s="50">
        <v>44782.9468256597</v>
      </c>
      <c r="C8443" s="51">
        <v>1.004</v>
      </c>
      <c r="D8443" s="51">
        <v>68.0</v>
      </c>
      <c r="E8443" s="52" t="s">
        <v>25</v>
      </c>
      <c r="F8443" s="52" t="s">
        <v>26</v>
      </c>
      <c r="G8443" s="53"/>
    </row>
    <row r="8444">
      <c r="A8444" s="49">
        <v>44782.83228909722</v>
      </c>
      <c r="B8444" s="50">
        <v>44782.9572584606</v>
      </c>
      <c r="C8444" s="51">
        <v>1.004</v>
      </c>
      <c r="D8444" s="51">
        <v>68.0</v>
      </c>
      <c r="E8444" s="52" t="s">
        <v>25</v>
      </c>
      <c r="F8444" s="52" t="s">
        <v>26</v>
      </c>
      <c r="G8444" s="53"/>
    </row>
    <row r="8445">
      <c r="A8445" s="49">
        <v>44782.842698865745</v>
      </c>
      <c r="B8445" s="50">
        <v>44782.9676787963</v>
      </c>
      <c r="C8445" s="51">
        <v>1.004</v>
      </c>
      <c r="D8445" s="51">
        <v>68.0</v>
      </c>
      <c r="E8445" s="52" t="s">
        <v>25</v>
      </c>
      <c r="F8445" s="52" t="s">
        <v>26</v>
      </c>
      <c r="G8445" s="53"/>
    </row>
    <row r="8446">
      <c r="A8446" s="49">
        <v>44782.853129814815</v>
      </c>
      <c r="B8446" s="50">
        <v>44782.9780992245</v>
      </c>
      <c r="C8446" s="51">
        <v>1.004</v>
      </c>
      <c r="D8446" s="51">
        <v>68.0</v>
      </c>
      <c r="E8446" s="52" t="s">
        <v>25</v>
      </c>
      <c r="F8446" s="52" t="s">
        <v>26</v>
      </c>
      <c r="G8446" s="53"/>
    </row>
    <row r="8447">
      <c r="A8447" s="49">
        <v>44782.86354037037</v>
      </c>
      <c r="B8447" s="50">
        <v>44782.9885195949</v>
      </c>
      <c r="C8447" s="51">
        <v>1.004</v>
      </c>
      <c r="D8447" s="51">
        <v>68.0</v>
      </c>
      <c r="E8447" s="52" t="s">
        <v>25</v>
      </c>
      <c r="F8447" s="52" t="s">
        <v>26</v>
      </c>
      <c r="G8447" s="53"/>
    </row>
    <row r="8448">
      <c r="A8448" s="49">
        <v>44782.8739727662</v>
      </c>
      <c r="B8448" s="50">
        <v>44782.9989403703</v>
      </c>
      <c r="C8448" s="51">
        <v>1.004</v>
      </c>
      <c r="D8448" s="51">
        <v>68.0</v>
      </c>
      <c r="E8448" s="52" t="s">
        <v>25</v>
      </c>
      <c r="F8448" s="52" t="s">
        <v>26</v>
      </c>
      <c r="G8448" s="53"/>
    </row>
    <row r="8449">
      <c r="A8449" s="49">
        <v>44782.8843953125</v>
      </c>
      <c r="B8449" s="50">
        <v>44783.0093607754</v>
      </c>
      <c r="C8449" s="51">
        <v>1.004</v>
      </c>
      <c r="D8449" s="51">
        <v>68.0</v>
      </c>
      <c r="E8449" s="52" t="s">
        <v>25</v>
      </c>
      <c r="F8449" s="52" t="s">
        <v>26</v>
      </c>
      <c r="G8449" s="53"/>
    </row>
    <row r="8450">
      <c r="A8450" s="49">
        <v>44782.89482395833</v>
      </c>
      <c r="B8450" s="50">
        <v>44783.0197943981</v>
      </c>
      <c r="C8450" s="51">
        <v>1.004</v>
      </c>
      <c r="D8450" s="51">
        <v>68.0</v>
      </c>
      <c r="E8450" s="52" t="s">
        <v>25</v>
      </c>
      <c r="F8450" s="52" t="s">
        <v>26</v>
      </c>
      <c r="G8450" s="53"/>
    </row>
    <row r="8451">
      <c r="A8451" s="49">
        <v>44782.90524878472</v>
      </c>
      <c r="B8451" s="50">
        <v>44783.0302279166</v>
      </c>
      <c r="C8451" s="51">
        <v>1.004</v>
      </c>
      <c r="D8451" s="51">
        <v>68.0</v>
      </c>
      <c r="E8451" s="52" t="s">
        <v>25</v>
      </c>
      <c r="F8451" s="52" t="s">
        <v>26</v>
      </c>
      <c r="G8451" s="53"/>
    </row>
    <row r="8452">
      <c r="A8452" s="49">
        <v>44782.915667511574</v>
      </c>
      <c r="B8452" s="50">
        <v>44783.0406481481</v>
      </c>
      <c r="C8452" s="51">
        <v>1.004</v>
      </c>
      <c r="D8452" s="51">
        <v>68.0</v>
      </c>
      <c r="E8452" s="52" t="s">
        <v>25</v>
      </c>
      <c r="F8452" s="52" t="s">
        <v>26</v>
      </c>
      <c r="G8452" s="53"/>
    </row>
    <row r="8453">
      <c r="A8453" s="49">
        <v>44782.92610254629</v>
      </c>
      <c r="B8453" s="50">
        <v>44783.0510690509</v>
      </c>
      <c r="C8453" s="51">
        <v>1.004</v>
      </c>
      <c r="D8453" s="51">
        <v>68.0</v>
      </c>
      <c r="E8453" s="52" t="s">
        <v>25</v>
      </c>
      <c r="F8453" s="52" t="s">
        <v>26</v>
      </c>
      <c r="G8453" s="53"/>
    </row>
    <row r="8454">
      <c r="A8454" s="49">
        <v>44782.936568136574</v>
      </c>
      <c r="B8454" s="50">
        <v>44783.0615367824</v>
      </c>
      <c r="C8454" s="51">
        <v>1.004</v>
      </c>
      <c r="D8454" s="51">
        <v>68.0</v>
      </c>
      <c r="E8454" s="52" t="s">
        <v>25</v>
      </c>
      <c r="F8454" s="52" t="s">
        <v>26</v>
      </c>
      <c r="G8454" s="53"/>
    </row>
    <row r="8455">
      <c r="A8455" s="49">
        <v>44782.946990358796</v>
      </c>
      <c r="B8455" s="50">
        <v>44783.0719565856</v>
      </c>
      <c r="C8455" s="51">
        <v>1.004</v>
      </c>
      <c r="D8455" s="51">
        <v>68.0</v>
      </c>
      <c r="E8455" s="52" t="s">
        <v>25</v>
      </c>
      <c r="F8455" s="52" t="s">
        <v>26</v>
      </c>
      <c r="G8455" s="53"/>
    </row>
    <row r="8456">
      <c r="A8456" s="49">
        <v>44782.95741149306</v>
      </c>
      <c r="B8456" s="50">
        <v>44783.0823769791</v>
      </c>
      <c r="C8456" s="51">
        <v>1.004</v>
      </c>
      <c r="D8456" s="51">
        <v>68.0</v>
      </c>
      <c r="E8456" s="52" t="s">
        <v>25</v>
      </c>
      <c r="F8456" s="52" t="s">
        <v>26</v>
      </c>
      <c r="G8456" s="53"/>
    </row>
    <row r="8457">
      <c r="A8457" s="49">
        <v>44782.967823796294</v>
      </c>
      <c r="B8457" s="50">
        <v>44783.092796875</v>
      </c>
      <c r="C8457" s="51">
        <v>1.004</v>
      </c>
      <c r="D8457" s="51">
        <v>68.0</v>
      </c>
      <c r="E8457" s="52" t="s">
        <v>25</v>
      </c>
      <c r="F8457" s="52" t="s">
        <v>26</v>
      </c>
      <c r="G8457" s="53"/>
    </row>
    <row r="8458">
      <c r="A8458" s="49">
        <v>44782.978268101855</v>
      </c>
      <c r="B8458" s="50">
        <v>44783.1032303935</v>
      </c>
      <c r="C8458" s="51">
        <v>1.004</v>
      </c>
      <c r="D8458" s="51">
        <v>68.0</v>
      </c>
      <c r="E8458" s="52" t="s">
        <v>25</v>
      </c>
      <c r="F8458" s="52" t="s">
        <v>26</v>
      </c>
      <c r="G8458" s="53"/>
    </row>
    <row r="8459">
      <c r="A8459" s="49">
        <v>44782.98868145833</v>
      </c>
      <c r="B8459" s="50">
        <v>44783.1136514583</v>
      </c>
      <c r="C8459" s="51">
        <v>1.004</v>
      </c>
      <c r="D8459" s="51">
        <v>68.0</v>
      </c>
      <c r="E8459" s="52" t="s">
        <v>25</v>
      </c>
      <c r="F8459" s="52" t="s">
        <v>26</v>
      </c>
      <c r="G8459" s="53"/>
    </row>
    <row r="8460">
      <c r="A8460" s="49">
        <v>44782.99909894676</v>
      </c>
      <c r="B8460" s="50">
        <v>44783.1240722338</v>
      </c>
      <c r="C8460" s="51">
        <v>1.004</v>
      </c>
      <c r="D8460" s="51">
        <v>68.0</v>
      </c>
      <c r="E8460" s="52" t="s">
        <v>25</v>
      </c>
      <c r="F8460" s="52" t="s">
        <v>26</v>
      </c>
      <c r="G8460" s="53"/>
    </row>
    <row r="8461">
      <c r="A8461" s="49">
        <v>44783.00952008102</v>
      </c>
      <c r="B8461" s="50">
        <v>44783.1344924537</v>
      </c>
      <c r="C8461" s="51">
        <v>1.004</v>
      </c>
      <c r="D8461" s="51">
        <v>68.0</v>
      </c>
      <c r="E8461" s="52" t="s">
        <v>25</v>
      </c>
      <c r="F8461" s="52" t="s">
        <v>26</v>
      </c>
      <c r="G8461" s="53"/>
    </row>
    <row r="8462">
      <c r="A8462" s="49">
        <v>44783.01995077546</v>
      </c>
      <c r="B8462" s="50">
        <v>44783.1449244444</v>
      </c>
      <c r="C8462" s="51">
        <v>1.004</v>
      </c>
      <c r="D8462" s="51">
        <v>68.0</v>
      </c>
      <c r="E8462" s="52" t="s">
        <v>25</v>
      </c>
      <c r="F8462" s="52" t="s">
        <v>26</v>
      </c>
      <c r="G8462" s="53"/>
    </row>
    <row r="8463">
      <c r="A8463" s="49">
        <v>44783.030368437496</v>
      </c>
      <c r="B8463" s="50">
        <v>44783.1553455324</v>
      </c>
      <c r="C8463" s="51">
        <v>1.004</v>
      </c>
      <c r="D8463" s="51">
        <v>68.0</v>
      </c>
      <c r="E8463" s="52" t="s">
        <v>25</v>
      </c>
      <c r="F8463" s="52" t="s">
        <v>26</v>
      </c>
      <c r="G8463" s="53"/>
    </row>
    <row r="8464">
      <c r="A8464" s="49">
        <v>44783.040803993055</v>
      </c>
      <c r="B8464" s="50">
        <v>44783.1657662963</v>
      </c>
      <c r="C8464" s="51">
        <v>1.004</v>
      </c>
      <c r="D8464" s="51">
        <v>68.0</v>
      </c>
      <c r="E8464" s="52" t="s">
        <v>25</v>
      </c>
      <c r="F8464" s="52" t="s">
        <v>26</v>
      </c>
      <c r="G8464" s="53"/>
    </row>
    <row r="8465">
      <c r="A8465" s="49">
        <v>44783.05122313657</v>
      </c>
      <c r="B8465" s="50">
        <v>44783.1761877662</v>
      </c>
      <c r="C8465" s="51">
        <v>1.004</v>
      </c>
      <c r="D8465" s="51">
        <v>68.0</v>
      </c>
      <c r="E8465" s="52" t="s">
        <v>25</v>
      </c>
      <c r="F8465" s="52" t="s">
        <v>26</v>
      </c>
      <c r="G8465" s="53"/>
    </row>
    <row r="8466">
      <c r="A8466" s="49">
        <v>44783.06165001157</v>
      </c>
      <c r="B8466" s="50">
        <v>44783.1866203819</v>
      </c>
      <c r="C8466" s="51">
        <v>1.004</v>
      </c>
      <c r="D8466" s="51">
        <v>68.0</v>
      </c>
      <c r="E8466" s="52" t="s">
        <v>25</v>
      </c>
      <c r="F8466" s="52" t="s">
        <v>26</v>
      </c>
      <c r="G8466" s="53"/>
    </row>
    <row r="8467">
      <c r="A8467" s="49">
        <v>44783.072070532406</v>
      </c>
      <c r="B8467" s="50">
        <v>44783.1970415046</v>
      </c>
      <c r="C8467" s="51">
        <v>1.004</v>
      </c>
      <c r="D8467" s="51">
        <v>68.0</v>
      </c>
      <c r="E8467" s="52" t="s">
        <v>25</v>
      </c>
      <c r="F8467" s="52" t="s">
        <v>26</v>
      </c>
      <c r="G8467" s="53"/>
    </row>
    <row r="8468">
      <c r="A8468" s="49">
        <v>44783.0824905787</v>
      </c>
      <c r="B8468" s="50">
        <v>44783.2074626273</v>
      </c>
      <c r="C8468" s="51">
        <v>1.004</v>
      </c>
      <c r="D8468" s="51">
        <v>68.0</v>
      </c>
      <c r="E8468" s="52" t="s">
        <v>25</v>
      </c>
      <c r="F8468" s="52" t="s">
        <v>26</v>
      </c>
      <c r="G8468" s="53"/>
    </row>
    <row r="8469">
      <c r="A8469" s="49">
        <v>44783.092921076386</v>
      </c>
      <c r="B8469" s="50">
        <v>44783.2178844213</v>
      </c>
      <c r="C8469" s="51">
        <v>1.004</v>
      </c>
      <c r="D8469" s="51">
        <v>68.0</v>
      </c>
      <c r="E8469" s="52" t="s">
        <v>25</v>
      </c>
      <c r="F8469" s="52" t="s">
        <v>26</v>
      </c>
      <c r="G8469" s="53"/>
    </row>
    <row r="8470">
      <c r="A8470" s="49">
        <v>44783.10333637732</v>
      </c>
      <c r="B8470" s="50">
        <v>44783.2283068287</v>
      </c>
      <c r="C8470" s="51">
        <v>1.004</v>
      </c>
      <c r="D8470" s="51">
        <v>68.0</v>
      </c>
      <c r="E8470" s="52" t="s">
        <v>25</v>
      </c>
      <c r="F8470" s="52" t="s">
        <v>26</v>
      </c>
      <c r="G8470" s="53"/>
    </row>
    <row r="8471">
      <c r="A8471" s="49">
        <v>44783.11375929398</v>
      </c>
      <c r="B8471" s="50">
        <v>44783.2387286921</v>
      </c>
      <c r="C8471" s="51">
        <v>1.004</v>
      </c>
      <c r="D8471" s="51">
        <v>68.0</v>
      </c>
      <c r="E8471" s="52" t="s">
        <v>25</v>
      </c>
      <c r="F8471" s="52" t="s">
        <v>26</v>
      </c>
      <c r="G8471" s="53"/>
    </row>
    <row r="8472">
      <c r="A8472" s="49">
        <v>44783.124184016204</v>
      </c>
      <c r="B8472" s="50">
        <v>44783.2491496643</v>
      </c>
      <c r="C8472" s="51">
        <v>1.004</v>
      </c>
      <c r="D8472" s="51">
        <v>68.0</v>
      </c>
      <c r="E8472" s="52" t="s">
        <v>25</v>
      </c>
      <c r="F8472" s="52" t="s">
        <v>26</v>
      </c>
      <c r="G8472" s="53"/>
    </row>
    <row r="8473">
      <c r="A8473" s="49">
        <v>44783.13459851852</v>
      </c>
      <c r="B8473" s="50">
        <v>44783.2595712152</v>
      </c>
      <c r="C8473" s="51">
        <v>1.004</v>
      </c>
      <c r="D8473" s="51">
        <v>68.0</v>
      </c>
      <c r="E8473" s="52" t="s">
        <v>25</v>
      </c>
      <c r="F8473" s="52" t="s">
        <v>26</v>
      </c>
      <c r="G8473" s="53"/>
    </row>
    <row r="8474">
      <c r="A8474" s="49">
        <v>44783.14501414352</v>
      </c>
      <c r="B8474" s="50">
        <v>44783.2699922916</v>
      </c>
      <c r="C8474" s="51">
        <v>1.004</v>
      </c>
      <c r="D8474" s="51">
        <v>68.0</v>
      </c>
      <c r="E8474" s="52" t="s">
        <v>25</v>
      </c>
      <c r="F8474" s="52" t="s">
        <v>26</v>
      </c>
      <c r="G8474" s="53"/>
    </row>
    <row r="8475">
      <c r="A8475" s="49">
        <v>44783.155436932866</v>
      </c>
      <c r="B8475" s="50">
        <v>44783.2804137731</v>
      </c>
      <c r="C8475" s="51">
        <v>1.004</v>
      </c>
      <c r="D8475" s="51">
        <v>68.0</v>
      </c>
      <c r="E8475" s="52" t="s">
        <v>25</v>
      </c>
      <c r="F8475" s="52" t="s">
        <v>26</v>
      </c>
      <c r="G8475" s="53"/>
    </row>
    <row r="8476">
      <c r="A8476" s="49">
        <v>44783.16588003472</v>
      </c>
      <c r="B8476" s="50">
        <v>44783.2908362615</v>
      </c>
      <c r="C8476" s="51">
        <v>1.004</v>
      </c>
      <c r="D8476" s="51">
        <v>68.0</v>
      </c>
      <c r="E8476" s="52" t="s">
        <v>25</v>
      </c>
      <c r="F8476" s="52" t="s">
        <v>26</v>
      </c>
      <c r="G8476" s="53"/>
    </row>
    <row r="8477">
      <c r="A8477" s="49">
        <v>44783.17631915509</v>
      </c>
      <c r="B8477" s="50">
        <v>44783.3012564351</v>
      </c>
      <c r="C8477" s="51">
        <v>1.004</v>
      </c>
      <c r="D8477" s="51">
        <v>68.0</v>
      </c>
      <c r="E8477" s="52" t="s">
        <v>25</v>
      </c>
      <c r="F8477" s="52" t="s">
        <v>26</v>
      </c>
      <c r="G8477" s="53"/>
    </row>
    <row r="8478">
      <c r="A8478" s="49">
        <v>44783.186704618056</v>
      </c>
      <c r="B8478" s="50">
        <v>44783.3116770717</v>
      </c>
      <c r="C8478" s="51">
        <v>1.004</v>
      </c>
      <c r="D8478" s="51">
        <v>68.0</v>
      </c>
      <c r="E8478" s="52" t="s">
        <v>25</v>
      </c>
      <c r="F8478" s="52" t="s">
        <v>26</v>
      </c>
      <c r="G8478" s="53"/>
    </row>
    <row r="8479">
      <c r="A8479" s="49">
        <v>44783.19712564815</v>
      </c>
      <c r="B8479" s="50">
        <v>44783.3220991666</v>
      </c>
      <c r="C8479" s="51">
        <v>1.004</v>
      </c>
      <c r="D8479" s="51">
        <v>68.0</v>
      </c>
      <c r="E8479" s="52" t="s">
        <v>25</v>
      </c>
      <c r="F8479" s="52" t="s">
        <v>26</v>
      </c>
      <c r="G8479" s="53"/>
    </row>
    <row r="8480">
      <c r="A8480" s="49">
        <v>44783.20877144676</v>
      </c>
      <c r="B8480" s="50">
        <v>44783.3325325694</v>
      </c>
      <c r="C8480" s="51">
        <v>1.004</v>
      </c>
      <c r="D8480" s="51">
        <v>68.0</v>
      </c>
      <c r="E8480" s="52" t="s">
        <v>25</v>
      </c>
      <c r="F8480" s="52" t="s">
        <v>26</v>
      </c>
      <c r="G8480" s="53"/>
    </row>
    <row r="8481">
      <c r="A8481" s="49">
        <v>44783.21797241898</v>
      </c>
      <c r="B8481" s="50">
        <v>44783.3429518402</v>
      </c>
      <c r="C8481" s="51">
        <v>1.004</v>
      </c>
      <c r="D8481" s="51">
        <v>68.0</v>
      </c>
      <c r="E8481" s="52" t="s">
        <v>25</v>
      </c>
      <c r="F8481" s="52" t="s">
        <v>26</v>
      </c>
      <c r="G8481" s="53"/>
    </row>
    <row r="8482">
      <c r="A8482" s="49">
        <v>44783.22850643519</v>
      </c>
      <c r="B8482" s="50">
        <v>44783.3533706944</v>
      </c>
      <c r="C8482" s="51">
        <v>1.004</v>
      </c>
      <c r="D8482" s="51">
        <v>68.0</v>
      </c>
      <c r="E8482" s="52" t="s">
        <v>25</v>
      </c>
      <c r="F8482" s="52" t="s">
        <v>26</v>
      </c>
      <c r="G8482" s="53"/>
    </row>
    <row r="8483">
      <c r="A8483" s="49">
        <v>44783.23883336806</v>
      </c>
      <c r="B8483" s="50">
        <v>44783.3637925694</v>
      </c>
      <c r="C8483" s="51">
        <v>1.004</v>
      </c>
      <c r="D8483" s="51">
        <v>68.0</v>
      </c>
      <c r="E8483" s="52" t="s">
        <v>25</v>
      </c>
      <c r="F8483" s="52" t="s">
        <v>26</v>
      </c>
      <c r="G8483" s="53"/>
    </row>
    <row r="8484">
      <c r="A8484" s="49">
        <v>44783.2492453125</v>
      </c>
      <c r="B8484" s="50">
        <v>44783.3742118518</v>
      </c>
      <c r="C8484" s="51">
        <v>1.004</v>
      </c>
      <c r="D8484" s="51">
        <v>68.0</v>
      </c>
      <c r="E8484" s="52" t="s">
        <v>25</v>
      </c>
      <c r="F8484" s="52" t="s">
        <v>26</v>
      </c>
      <c r="G8484" s="53"/>
    </row>
    <row r="8485">
      <c r="A8485" s="49">
        <v>44783.25966240741</v>
      </c>
      <c r="B8485" s="50">
        <v>44783.3846335763</v>
      </c>
      <c r="C8485" s="51">
        <v>1.004</v>
      </c>
      <c r="D8485" s="51">
        <v>68.0</v>
      </c>
      <c r="E8485" s="52" t="s">
        <v>25</v>
      </c>
      <c r="F8485" s="52" t="s">
        <v>26</v>
      </c>
      <c r="G8485" s="53"/>
    </row>
    <row r="8486">
      <c r="A8486" s="49">
        <v>44783.27009760417</v>
      </c>
      <c r="B8486" s="50">
        <v>44783.395066331</v>
      </c>
      <c r="C8486" s="51">
        <v>1.004</v>
      </c>
      <c r="D8486" s="51">
        <v>68.0</v>
      </c>
      <c r="E8486" s="52" t="s">
        <v>25</v>
      </c>
      <c r="F8486" s="52" t="s">
        <v>26</v>
      </c>
      <c r="G8486" s="53"/>
    </row>
    <row r="8487">
      <c r="A8487" s="49">
        <v>44783.280524409725</v>
      </c>
      <c r="B8487" s="50">
        <v>44783.4054875926</v>
      </c>
      <c r="C8487" s="51">
        <v>1.004</v>
      </c>
      <c r="D8487" s="51">
        <v>68.0</v>
      </c>
      <c r="E8487" s="52" t="s">
        <v>25</v>
      </c>
      <c r="F8487" s="52" t="s">
        <v>26</v>
      </c>
      <c r="G8487" s="53"/>
    </row>
    <row r="8488">
      <c r="A8488" s="49">
        <v>44783.2909435301</v>
      </c>
      <c r="B8488" s="50">
        <v>44783.4159103125</v>
      </c>
      <c r="C8488" s="51">
        <v>1.004</v>
      </c>
      <c r="D8488" s="51">
        <v>68.0</v>
      </c>
      <c r="E8488" s="52" t="s">
        <v>25</v>
      </c>
      <c r="F8488" s="52" t="s">
        <v>26</v>
      </c>
      <c r="G8488" s="53"/>
    </row>
    <row r="8489">
      <c r="A8489" s="49">
        <v>44783.301359895835</v>
      </c>
      <c r="B8489" s="50">
        <v>44783.4263300463</v>
      </c>
      <c r="C8489" s="51">
        <v>1.004</v>
      </c>
      <c r="D8489" s="51">
        <v>68.0</v>
      </c>
      <c r="E8489" s="52" t="s">
        <v>25</v>
      </c>
      <c r="F8489" s="52" t="s">
        <v>26</v>
      </c>
      <c r="G8489" s="53"/>
    </row>
    <row r="8490">
      <c r="A8490" s="49">
        <v>44783.31177863426</v>
      </c>
      <c r="B8490" s="50">
        <v>44783.4367519791</v>
      </c>
      <c r="C8490" s="51">
        <v>1.004</v>
      </c>
      <c r="D8490" s="51">
        <v>68.0</v>
      </c>
      <c r="E8490" s="52" t="s">
        <v>25</v>
      </c>
      <c r="F8490" s="52" t="s">
        <v>26</v>
      </c>
      <c r="G8490" s="53"/>
    </row>
    <row r="8491">
      <c r="A8491" s="49">
        <v>44783.32219883102</v>
      </c>
      <c r="B8491" s="50">
        <v>44783.4471728703</v>
      </c>
      <c r="C8491" s="51">
        <v>1.004</v>
      </c>
      <c r="D8491" s="51">
        <v>68.0</v>
      </c>
      <c r="E8491" s="52" t="s">
        <v>25</v>
      </c>
      <c r="F8491" s="52" t="s">
        <v>26</v>
      </c>
      <c r="G8491" s="53"/>
    </row>
    <row r="8492">
      <c r="A8492" s="49">
        <v>44783.33264790509</v>
      </c>
      <c r="B8492" s="50">
        <v>44783.4576170949</v>
      </c>
      <c r="C8492" s="51">
        <v>1.004</v>
      </c>
      <c r="D8492" s="51">
        <v>68.0</v>
      </c>
      <c r="E8492" s="52" t="s">
        <v>25</v>
      </c>
      <c r="F8492" s="52" t="s">
        <v>26</v>
      </c>
      <c r="G8492" s="53"/>
    </row>
    <row r="8493">
      <c r="A8493" s="49">
        <v>44783.34308707176</v>
      </c>
      <c r="B8493" s="50">
        <v>44783.4680608796</v>
      </c>
      <c r="C8493" s="51">
        <v>1.004</v>
      </c>
      <c r="D8493" s="51">
        <v>68.0</v>
      </c>
      <c r="E8493" s="52" t="s">
        <v>25</v>
      </c>
      <c r="F8493" s="52" t="s">
        <v>26</v>
      </c>
      <c r="G8493" s="53"/>
    </row>
    <row r="8494">
      <c r="A8494" s="49">
        <v>44783.35352234954</v>
      </c>
      <c r="B8494" s="50">
        <v>44783.4784928703</v>
      </c>
      <c r="C8494" s="51">
        <v>1.004</v>
      </c>
      <c r="D8494" s="51">
        <v>68.0</v>
      </c>
      <c r="E8494" s="52" t="s">
        <v>25</v>
      </c>
      <c r="F8494" s="52" t="s">
        <v>26</v>
      </c>
      <c r="G8494" s="53"/>
    </row>
    <row r="8495">
      <c r="A8495" s="49">
        <v>44783.36396744213</v>
      </c>
      <c r="B8495" s="50">
        <v>44783.48893728</v>
      </c>
      <c r="C8495" s="51">
        <v>1.004</v>
      </c>
      <c r="D8495" s="51">
        <v>68.0</v>
      </c>
      <c r="E8495" s="52" t="s">
        <v>25</v>
      </c>
      <c r="F8495" s="52" t="s">
        <v>26</v>
      </c>
      <c r="G8495" s="53"/>
    </row>
    <row r="8496">
      <c r="A8496" s="49">
        <v>44783.37438462963</v>
      </c>
      <c r="B8496" s="50">
        <v>44783.4993565625</v>
      </c>
      <c r="C8496" s="51">
        <v>1.004</v>
      </c>
      <c r="D8496" s="51">
        <v>69.0</v>
      </c>
      <c r="E8496" s="52" t="s">
        <v>25</v>
      </c>
      <c r="F8496" s="52" t="s">
        <v>26</v>
      </c>
      <c r="G8496" s="53"/>
    </row>
    <row r="8497">
      <c r="A8497" s="49">
        <v>44783.384818645834</v>
      </c>
      <c r="B8497" s="50">
        <v>44783.5097889699</v>
      </c>
      <c r="C8497" s="51">
        <v>1.004</v>
      </c>
      <c r="D8497" s="51">
        <v>69.0</v>
      </c>
      <c r="E8497" s="52" t="s">
        <v>25</v>
      </c>
      <c r="F8497" s="52" t="s">
        <v>26</v>
      </c>
      <c r="G8497" s="53"/>
    </row>
    <row r="8498">
      <c r="A8498" s="49">
        <v>44783.39523896991</v>
      </c>
      <c r="B8498" s="50">
        <v>44783.5202103356</v>
      </c>
      <c r="C8498" s="51">
        <v>1.004</v>
      </c>
      <c r="D8498" s="51">
        <v>68.0</v>
      </c>
      <c r="E8498" s="52" t="s">
        <v>25</v>
      </c>
      <c r="F8498" s="52" t="s">
        <v>26</v>
      </c>
      <c r="G8498" s="53"/>
    </row>
    <row r="8499">
      <c r="A8499" s="49">
        <v>44783.40565402778</v>
      </c>
      <c r="B8499" s="50">
        <v>44783.5306320138</v>
      </c>
      <c r="C8499" s="51">
        <v>1.004</v>
      </c>
      <c r="D8499" s="51">
        <v>69.0</v>
      </c>
      <c r="E8499" s="52" t="s">
        <v>25</v>
      </c>
      <c r="F8499" s="52" t="s">
        <v>26</v>
      </c>
      <c r="G8499" s="53"/>
    </row>
    <row r="8500">
      <c r="A8500" s="49">
        <v>44783.41607760417</v>
      </c>
      <c r="B8500" s="50">
        <v>44783.5410501504</v>
      </c>
      <c r="C8500" s="51">
        <v>1.004</v>
      </c>
      <c r="D8500" s="51">
        <v>69.0</v>
      </c>
      <c r="E8500" s="52" t="s">
        <v>25</v>
      </c>
      <c r="F8500" s="52" t="s">
        <v>26</v>
      </c>
      <c r="G8500" s="53"/>
    </row>
    <row r="8501">
      <c r="A8501" s="49">
        <v>44783.426509259254</v>
      </c>
      <c r="B8501" s="50">
        <v>44783.5514829513</v>
      </c>
      <c r="C8501" s="51">
        <v>1.004</v>
      </c>
      <c r="D8501" s="51">
        <v>69.0</v>
      </c>
      <c r="E8501" s="52" t="s">
        <v>25</v>
      </c>
      <c r="F8501" s="52" t="s">
        <v>26</v>
      </c>
      <c r="G8501" s="53"/>
    </row>
    <row r="8502">
      <c r="A8502" s="49">
        <v>44783.43694665509</v>
      </c>
      <c r="B8502" s="50">
        <v>44783.5619177777</v>
      </c>
      <c r="C8502" s="51">
        <v>1.004</v>
      </c>
      <c r="D8502" s="51">
        <v>69.0</v>
      </c>
      <c r="E8502" s="52" t="s">
        <v>25</v>
      </c>
      <c r="F8502" s="52" t="s">
        <v>26</v>
      </c>
      <c r="G8502" s="53"/>
    </row>
    <row r="8503">
      <c r="A8503" s="49">
        <v>44783.447369953705</v>
      </c>
      <c r="B8503" s="50">
        <v>44783.5723402777</v>
      </c>
      <c r="C8503" s="51">
        <v>1.004</v>
      </c>
      <c r="D8503" s="51">
        <v>69.0</v>
      </c>
      <c r="E8503" s="52" t="s">
        <v>25</v>
      </c>
      <c r="F8503" s="52" t="s">
        <v>26</v>
      </c>
      <c r="G8503" s="53"/>
    </row>
    <row r="8504">
      <c r="A8504" s="49">
        <v>44783.45778383102</v>
      </c>
      <c r="B8504" s="50">
        <v>44783.5827630439</v>
      </c>
      <c r="C8504" s="51">
        <v>1.004</v>
      </c>
      <c r="D8504" s="51">
        <v>69.0</v>
      </c>
      <c r="E8504" s="52" t="s">
        <v>25</v>
      </c>
      <c r="F8504" s="52" t="s">
        <v>26</v>
      </c>
      <c r="G8504" s="53"/>
    </row>
    <row r="8505">
      <c r="A8505" s="49">
        <v>44783.46822446759</v>
      </c>
      <c r="B8505" s="50">
        <v>44783.5931955671</v>
      </c>
      <c r="C8505" s="51">
        <v>1.004</v>
      </c>
      <c r="D8505" s="51">
        <v>69.0</v>
      </c>
      <c r="E8505" s="52" t="s">
        <v>25</v>
      </c>
      <c r="F8505" s="52" t="s">
        <v>26</v>
      </c>
      <c r="G8505" s="53"/>
    </row>
    <row r="8506">
      <c r="A8506" s="49">
        <v>44783.47864608796</v>
      </c>
      <c r="B8506" s="50">
        <v>44783.6036165972</v>
      </c>
      <c r="C8506" s="51">
        <v>1.004</v>
      </c>
      <c r="D8506" s="51">
        <v>69.0</v>
      </c>
      <c r="E8506" s="52" t="s">
        <v>25</v>
      </c>
      <c r="F8506" s="52" t="s">
        <v>26</v>
      </c>
      <c r="G8506" s="53"/>
    </row>
    <row r="8507">
      <c r="A8507" s="49">
        <v>44783.48906407408</v>
      </c>
      <c r="B8507" s="50">
        <v>44783.6140377662</v>
      </c>
      <c r="C8507" s="51">
        <v>1.004</v>
      </c>
      <c r="D8507" s="51">
        <v>69.0</v>
      </c>
      <c r="E8507" s="52" t="s">
        <v>25</v>
      </c>
      <c r="F8507" s="52" t="s">
        <v>26</v>
      </c>
      <c r="G8507" s="53"/>
    </row>
    <row r="8508">
      <c r="A8508" s="49">
        <v>44783.499495104166</v>
      </c>
      <c r="B8508" s="50">
        <v>44783.6244705208</v>
      </c>
      <c r="C8508" s="51">
        <v>1.004</v>
      </c>
      <c r="D8508" s="51">
        <v>69.0</v>
      </c>
      <c r="E8508" s="52" t="s">
        <v>25</v>
      </c>
      <c r="F8508" s="52" t="s">
        <v>26</v>
      </c>
      <c r="G8508" s="53"/>
    </row>
    <row r="8509">
      <c r="A8509" s="49">
        <v>44783.50991953704</v>
      </c>
      <c r="B8509" s="50">
        <v>44783.6348928009</v>
      </c>
      <c r="C8509" s="51">
        <v>1.004</v>
      </c>
      <c r="D8509" s="51">
        <v>69.0</v>
      </c>
      <c r="E8509" s="52" t="s">
        <v>25</v>
      </c>
      <c r="F8509" s="52" t="s">
        <v>26</v>
      </c>
      <c r="G8509" s="53"/>
    </row>
    <row r="8510">
      <c r="A8510" s="49">
        <v>44783.520337442125</v>
      </c>
      <c r="B8510" s="50">
        <v>44783.6453140393</v>
      </c>
      <c r="C8510" s="51">
        <v>1.004</v>
      </c>
      <c r="D8510" s="51">
        <v>69.0</v>
      </c>
      <c r="E8510" s="52" t="s">
        <v>25</v>
      </c>
      <c r="F8510" s="52" t="s">
        <v>26</v>
      </c>
      <c r="G8510" s="53"/>
    </row>
    <row r="8511">
      <c r="A8511" s="49">
        <v>44783.530753530096</v>
      </c>
      <c r="B8511" s="50">
        <v>44783.6557355787</v>
      </c>
      <c r="C8511" s="51">
        <v>1.004</v>
      </c>
      <c r="D8511" s="51">
        <v>69.0</v>
      </c>
      <c r="E8511" s="52" t="s">
        <v>25</v>
      </c>
      <c r="F8511" s="52" t="s">
        <v>26</v>
      </c>
      <c r="G8511" s="53"/>
    </row>
    <row r="8512">
      <c r="A8512" s="49">
        <v>44783.54119638889</v>
      </c>
      <c r="B8512" s="50">
        <v>44783.6661574537</v>
      </c>
      <c r="C8512" s="51">
        <v>1.004</v>
      </c>
      <c r="D8512" s="51">
        <v>69.0</v>
      </c>
      <c r="E8512" s="52" t="s">
        <v>25</v>
      </c>
      <c r="F8512" s="52" t="s">
        <v>26</v>
      </c>
      <c r="G8512" s="53"/>
    </row>
    <row r="8513">
      <c r="A8513" s="49">
        <v>44783.55160273148</v>
      </c>
      <c r="B8513" s="50">
        <v>44783.676578831</v>
      </c>
      <c r="C8513" s="51">
        <v>1.004</v>
      </c>
      <c r="D8513" s="51">
        <v>69.0</v>
      </c>
      <c r="E8513" s="52" t="s">
        <v>25</v>
      </c>
      <c r="F8513" s="52" t="s">
        <v>26</v>
      </c>
      <c r="G8513" s="53"/>
    </row>
    <row r="8514">
      <c r="A8514" s="49">
        <v>44783.56202302083</v>
      </c>
      <c r="B8514" s="50">
        <v>44783.6869992013</v>
      </c>
      <c r="C8514" s="51">
        <v>1.004</v>
      </c>
      <c r="D8514" s="51">
        <v>69.0</v>
      </c>
      <c r="E8514" s="52" t="s">
        <v>25</v>
      </c>
      <c r="F8514" s="52" t="s">
        <v>26</v>
      </c>
      <c r="G8514" s="53"/>
    </row>
    <row r="8515">
      <c r="A8515" s="49">
        <v>44783.572449942134</v>
      </c>
      <c r="B8515" s="50">
        <v>44783.6974215509</v>
      </c>
      <c r="C8515" s="51">
        <v>1.004</v>
      </c>
      <c r="D8515" s="51">
        <v>69.0</v>
      </c>
      <c r="E8515" s="52" t="s">
        <v>25</v>
      </c>
      <c r="F8515" s="52" t="s">
        <v>26</v>
      </c>
      <c r="G8515" s="53"/>
    </row>
    <row r="8516">
      <c r="A8516" s="49">
        <v>44783.58289938657</v>
      </c>
      <c r="B8516" s="50">
        <v>44783.7078653125</v>
      </c>
      <c r="C8516" s="51">
        <v>1.004</v>
      </c>
      <c r="D8516" s="51">
        <v>69.0</v>
      </c>
      <c r="E8516" s="52" t="s">
        <v>25</v>
      </c>
      <c r="F8516" s="52" t="s">
        <v>26</v>
      </c>
      <c r="G8516" s="53"/>
    </row>
    <row r="8517">
      <c r="A8517" s="49">
        <v>44783.59331804398</v>
      </c>
      <c r="B8517" s="50">
        <v>44783.7182858449</v>
      </c>
      <c r="C8517" s="51">
        <v>1.004</v>
      </c>
      <c r="D8517" s="51">
        <v>69.0</v>
      </c>
      <c r="E8517" s="52" t="s">
        <v>25</v>
      </c>
      <c r="F8517" s="52" t="s">
        <v>26</v>
      </c>
      <c r="G8517" s="53"/>
    </row>
    <row r="8518">
      <c r="A8518" s="49">
        <v>44783.60373444445</v>
      </c>
      <c r="B8518" s="50">
        <v>44783.7287068287</v>
      </c>
      <c r="C8518" s="51">
        <v>1.004</v>
      </c>
      <c r="D8518" s="51">
        <v>69.0</v>
      </c>
      <c r="E8518" s="52" t="s">
        <v>25</v>
      </c>
      <c r="F8518" s="52" t="s">
        <v>26</v>
      </c>
      <c r="G8518" s="53"/>
    </row>
    <row r="8519">
      <c r="A8519" s="49">
        <v>44783.614154490744</v>
      </c>
      <c r="B8519" s="50">
        <v>44783.7391275694</v>
      </c>
      <c r="C8519" s="51">
        <v>1.004</v>
      </c>
      <c r="D8519" s="51">
        <v>69.0</v>
      </c>
      <c r="E8519" s="52" t="s">
        <v>25</v>
      </c>
      <c r="F8519" s="52" t="s">
        <v>26</v>
      </c>
      <c r="G8519" s="53"/>
    </row>
    <row r="8520">
      <c r="A8520" s="49">
        <v>44783.62457451389</v>
      </c>
      <c r="B8520" s="50">
        <v>44783.749549375</v>
      </c>
      <c r="C8520" s="51">
        <v>1.004</v>
      </c>
      <c r="D8520" s="51">
        <v>69.0</v>
      </c>
      <c r="E8520" s="52" t="s">
        <v>25</v>
      </c>
      <c r="F8520" s="52" t="s">
        <v>26</v>
      </c>
      <c r="G8520" s="53"/>
    </row>
    <row r="8521">
      <c r="A8521" s="49">
        <v>44783.635001111106</v>
      </c>
      <c r="B8521" s="50">
        <v>44783.7599812384</v>
      </c>
      <c r="C8521" s="51">
        <v>1.004</v>
      </c>
      <c r="D8521" s="51">
        <v>69.0</v>
      </c>
      <c r="E8521" s="52" t="s">
        <v>25</v>
      </c>
      <c r="F8521" s="52" t="s">
        <v>26</v>
      </c>
      <c r="G8521" s="53"/>
    </row>
    <row r="8522">
      <c r="A8522" s="49">
        <v>44783.64544690972</v>
      </c>
      <c r="B8522" s="50">
        <v>44783.7704150694</v>
      </c>
      <c r="C8522" s="51">
        <v>1.004</v>
      </c>
      <c r="D8522" s="51">
        <v>69.0</v>
      </c>
      <c r="E8522" s="52" t="s">
        <v>25</v>
      </c>
      <c r="F8522" s="52" t="s">
        <v>26</v>
      </c>
      <c r="G8522" s="53"/>
    </row>
    <row r="8523">
      <c r="A8523" s="49">
        <v>44783.65585401621</v>
      </c>
      <c r="B8523" s="50">
        <v>44783.7808329282</v>
      </c>
      <c r="C8523" s="51">
        <v>1.004</v>
      </c>
      <c r="D8523" s="51">
        <v>69.0</v>
      </c>
      <c r="E8523" s="52" t="s">
        <v>25</v>
      </c>
      <c r="F8523" s="52" t="s">
        <v>26</v>
      </c>
      <c r="G8523" s="53"/>
    </row>
    <row r="8524">
      <c r="A8524" s="49">
        <v>44783.66628642361</v>
      </c>
      <c r="B8524" s="50">
        <v>44783.7912538425</v>
      </c>
      <c r="C8524" s="51">
        <v>1.004</v>
      </c>
      <c r="D8524" s="51">
        <v>69.0</v>
      </c>
      <c r="E8524" s="52" t="s">
        <v>25</v>
      </c>
      <c r="F8524" s="52" t="s">
        <v>26</v>
      </c>
      <c r="G8524" s="53"/>
    </row>
    <row r="8525">
      <c r="A8525" s="49">
        <v>44783.67670144676</v>
      </c>
      <c r="B8525" s="50">
        <v>44783.8016752777</v>
      </c>
      <c r="C8525" s="51">
        <v>1.004</v>
      </c>
      <c r="D8525" s="51">
        <v>69.0</v>
      </c>
      <c r="E8525" s="52" t="s">
        <v>25</v>
      </c>
      <c r="F8525" s="52" t="s">
        <v>26</v>
      </c>
      <c r="G8525" s="53"/>
    </row>
    <row r="8526">
      <c r="A8526" s="49">
        <v>44783.687118229165</v>
      </c>
      <c r="B8526" s="50">
        <v>44783.8120984722</v>
      </c>
      <c r="C8526" s="51">
        <v>1.004</v>
      </c>
      <c r="D8526" s="51">
        <v>69.0</v>
      </c>
      <c r="E8526" s="52" t="s">
        <v>25</v>
      </c>
      <c r="F8526" s="52" t="s">
        <v>26</v>
      </c>
      <c r="G8526" s="53"/>
    </row>
    <row r="8527">
      <c r="A8527" s="49">
        <v>44783.69753752315</v>
      </c>
      <c r="B8527" s="50">
        <v>44783.8225190625</v>
      </c>
      <c r="C8527" s="51">
        <v>1.004</v>
      </c>
      <c r="D8527" s="51">
        <v>69.0</v>
      </c>
      <c r="E8527" s="52" t="s">
        <v>25</v>
      </c>
      <c r="F8527" s="52" t="s">
        <v>26</v>
      </c>
      <c r="G8527" s="53"/>
    </row>
    <row r="8528">
      <c r="A8528" s="49">
        <v>44783.70796707176</v>
      </c>
      <c r="B8528" s="50">
        <v>44783.832940081</v>
      </c>
      <c r="C8528" s="51">
        <v>1.004</v>
      </c>
      <c r="D8528" s="51">
        <v>69.0</v>
      </c>
      <c r="E8528" s="52" t="s">
        <v>25</v>
      </c>
      <c r="F8528" s="52" t="s">
        <v>26</v>
      </c>
      <c r="G8528" s="53"/>
    </row>
    <row r="8529">
      <c r="A8529" s="49">
        <v>44783.71840099537</v>
      </c>
      <c r="B8529" s="50">
        <v>44783.8433720486</v>
      </c>
      <c r="C8529" s="51">
        <v>1.004</v>
      </c>
      <c r="D8529" s="51">
        <v>69.0</v>
      </c>
      <c r="E8529" s="52" t="s">
        <v>25</v>
      </c>
      <c r="F8529" s="52" t="s">
        <v>26</v>
      </c>
      <c r="G8529" s="53"/>
    </row>
    <row r="8530">
      <c r="A8530" s="49">
        <v>44783.72882719907</v>
      </c>
      <c r="B8530" s="50">
        <v>44783.8538067824</v>
      </c>
      <c r="C8530" s="51">
        <v>1.004</v>
      </c>
      <c r="D8530" s="51">
        <v>69.0</v>
      </c>
      <c r="E8530" s="52" t="s">
        <v>25</v>
      </c>
      <c r="F8530" s="52" t="s">
        <v>26</v>
      </c>
      <c r="G8530" s="53"/>
    </row>
    <row r="8531">
      <c r="A8531" s="49">
        <v>44783.73925814815</v>
      </c>
      <c r="B8531" s="50">
        <v>44783.8642287384</v>
      </c>
      <c r="C8531" s="51">
        <v>1.004</v>
      </c>
      <c r="D8531" s="51">
        <v>69.0</v>
      </c>
      <c r="E8531" s="52" t="s">
        <v>25</v>
      </c>
      <c r="F8531" s="52" t="s">
        <v>26</v>
      </c>
      <c r="G8531" s="53"/>
    </row>
    <row r="8532">
      <c r="A8532" s="49">
        <v>44783.74968765046</v>
      </c>
      <c r="B8532" s="50">
        <v>44783.8746589814</v>
      </c>
      <c r="C8532" s="51">
        <v>1.004</v>
      </c>
      <c r="D8532" s="51">
        <v>69.0</v>
      </c>
      <c r="E8532" s="52" t="s">
        <v>25</v>
      </c>
      <c r="F8532" s="52" t="s">
        <v>26</v>
      </c>
      <c r="G8532" s="53"/>
    </row>
    <row r="8533">
      <c r="A8533" s="49">
        <v>44783.760119722225</v>
      </c>
      <c r="B8533" s="50">
        <v>44783.8850916319</v>
      </c>
      <c r="C8533" s="51">
        <v>1.004</v>
      </c>
      <c r="D8533" s="51">
        <v>69.0</v>
      </c>
      <c r="E8533" s="52" t="s">
        <v>25</v>
      </c>
      <c r="F8533" s="52" t="s">
        <v>26</v>
      </c>
      <c r="G8533" s="53"/>
    </row>
    <row r="8534">
      <c r="A8534" s="49">
        <v>44783.770540474536</v>
      </c>
      <c r="B8534" s="50">
        <v>44783.8955123032</v>
      </c>
      <c r="C8534" s="51">
        <v>1.004</v>
      </c>
      <c r="D8534" s="51">
        <v>69.0</v>
      </c>
      <c r="E8534" s="52" t="s">
        <v>25</v>
      </c>
      <c r="F8534" s="52" t="s">
        <v>26</v>
      </c>
      <c r="G8534" s="53"/>
    </row>
    <row r="8535">
      <c r="A8535" s="49">
        <v>44783.78095901621</v>
      </c>
      <c r="B8535" s="50">
        <v>44783.9059313888</v>
      </c>
      <c r="C8535" s="51">
        <v>1.004</v>
      </c>
      <c r="D8535" s="51">
        <v>69.0</v>
      </c>
      <c r="E8535" s="52" t="s">
        <v>25</v>
      </c>
      <c r="F8535" s="52" t="s">
        <v>26</v>
      </c>
      <c r="G8535" s="53"/>
    </row>
    <row r="8536">
      <c r="A8536" s="49">
        <v>44783.79139258101</v>
      </c>
      <c r="B8536" s="50">
        <v>44783.9163629513</v>
      </c>
      <c r="C8536" s="51">
        <v>1.004</v>
      </c>
      <c r="D8536" s="51">
        <v>69.0</v>
      </c>
      <c r="E8536" s="52" t="s">
        <v>25</v>
      </c>
      <c r="F8536" s="52" t="s">
        <v>26</v>
      </c>
      <c r="G8536" s="53"/>
    </row>
    <row r="8537">
      <c r="A8537" s="49">
        <v>44783.8018209838</v>
      </c>
      <c r="B8537" s="50">
        <v>44783.9267973148</v>
      </c>
      <c r="C8537" s="51">
        <v>1.004</v>
      </c>
      <c r="D8537" s="51">
        <v>69.0</v>
      </c>
      <c r="E8537" s="52" t="s">
        <v>25</v>
      </c>
      <c r="F8537" s="52" t="s">
        <v>26</v>
      </c>
      <c r="G8537" s="53"/>
    </row>
    <row r="8538">
      <c r="A8538" s="49">
        <v>44783.812251689815</v>
      </c>
      <c r="B8538" s="50">
        <v>44783.9372310185</v>
      </c>
      <c r="C8538" s="51">
        <v>1.004</v>
      </c>
      <c r="D8538" s="51">
        <v>69.0</v>
      </c>
      <c r="E8538" s="52" t="s">
        <v>25</v>
      </c>
      <c r="F8538" s="52" t="s">
        <v>26</v>
      </c>
      <c r="G8538" s="53"/>
    </row>
    <row r="8539">
      <c r="A8539" s="49">
        <v>44783.822680694444</v>
      </c>
      <c r="B8539" s="50">
        <v>44783.9476513078</v>
      </c>
      <c r="C8539" s="51">
        <v>1.004</v>
      </c>
      <c r="D8539" s="51">
        <v>69.0</v>
      </c>
      <c r="E8539" s="52" t="s">
        <v>25</v>
      </c>
      <c r="F8539" s="52" t="s">
        <v>26</v>
      </c>
      <c r="G8539" s="53"/>
    </row>
    <row r="8540">
      <c r="A8540" s="49">
        <v>44783.833113877314</v>
      </c>
      <c r="B8540" s="50">
        <v>44783.9580855555</v>
      </c>
      <c r="C8540" s="51">
        <v>1.004</v>
      </c>
      <c r="D8540" s="51">
        <v>69.0</v>
      </c>
      <c r="E8540" s="52" t="s">
        <v>25</v>
      </c>
      <c r="F8540" s="52" t="s">
        <v>26</v>
      </c>
      <c r="G8540" s="53"/>
    </row>
    <row r="8541">
      <c r="A8541" s="49">
        <v>44783.84354141203</v>
      </c>
      <c r="B8541" s="50">
        <v>44783.9685198495</v>
      </c>
      <c r="C8541" s="51">
        <v>1.004</v>
      </c>
      <c r="D8541" s="51">
        <v>69.0</v>
      </c>
      <c r="E8541" s="52" t="s">
        <v>25</v>
      </c>
      <c r="F8541" s="52" t="s">
        <v>26</v>
      </c>
      <c r="G8541" s="53"/>
    </row>
    <row r="8542">
      <c r="A8542" s="49">
        <v>44783.85397203703</v>
      </c>
      <c r="B8542" s="50">
        <v>44783.9789510879</v>
      </c>
      <c r="C8542" s="51">
        <v>1.004</v>
      </c>
      <c r="D8542" s="51">
        <v>69.0</v>
      </c>
      <c r="E8542" s="52" t="s">
        <v>25</v>
      </c>
      <c r="F8542" s="52" t="s">
        <v>26</v>
      </c>
      <c r="G8542" s="53"/>
    </row>
    <row r="8543">
      <c r="A8543" s="49">
        <v>44783.86439378472</v>
      </c>
      <c r="B8543" s="50">
        <v>44783.989371956</v>
      </c>
      <c r="C8543" s="51">
        <v>1.004</v>
      </c>
      <c r="D8543" s="51">
        <v>69.0</v>
      </c>
      <c r="E8543" s="52" t="s">
        <v>25</v>
      </c>
      <c r="F8543" s="52" t="s">
        <v>26</v>
      </c>
      <c r="G8543" s="53"/>
    </row>
    <row r="8544">
      <c r="A8544" s="49">
        <v>44783.87483342593</v>
      </c>
      <c r="B8544" s="50">
        <v>44783.9998057175</v>
      </c>
      <c r="C8544" s="51">
        <v>1.004</v>
      </c>
      <c r="D8544" s="51">
        <v>69.0</v>
      </c>
      <c r="E8544" s="52" t="s">
        <v>25</v>
      </c>
      <c r="F8544" s="52" t="s">
        <v>26</v>
      </c>
      <c r="G8544" s="53"/>
    </row>
    <row r="8545">
      <c r="A8545" s="49">
        <v>44783.88525103009</v>
      </c>
      <c r="B8545" s="50">
        <v>44784.0102251736</v>
      </c>
      <c r="C8545" s="51">
        <v>1.004</v>
      </c>
      <c r="D8545" s="51">
        <v>69.0</v>
      </c>
      <c r="E8545" s="52" t="s">
        <v>25</v>
      </c>
      <c r="F8545" s="52" t="s">
        <v>26</v>
      </c>
      <c r="G8545" s="53"/>
    </row>
    <row r="8546">
      <c r="A8546" s="49">
        <v>44783.89568459491</v>
      </c>
      <c r="B8546" s="50">
        <v>44784.0206582754</v>
      </c>
      <c r="C8546" s="51">
        <v>1.004</v>
      </c>
      <c r="D8546" s="51">
        <v>69.0</v>
      </c>
      <c r="E8546" s="52" t="s">
        <v>25</v>
      </c>
      <c r="F8546" s="52" t="s">
        <v>26</v>
      </c>
      <c r="G8546" s="53"/>
    </row>
    <row r="8547">
      <c r="A8547" s="49">
        <v>44783.90610824074</v>
      </c>
      <c r="B8547" s="50">
        <v>44784.0310911574</v>
      </c>
      <c r="C8547" s="51">
        <v>1.004</v>
      </c>
      <c r="D8547" s="51">
        <v>69.0</v>
      </c>
      <c r="E8547" s="52" t="s">
        <v>25</v>
      </c>
      <c r="F8547" s="52" t="s">
        <v>26</v>
      </c>
      <c r="G8547" s="53"/>
    </row>
    <row r="8548">
      <c r="A8548" s="49">
        <v>44783.9165533912</v>
      </c>
      <c r="B8548" s="50">
        <v>44784.0415246643</v>
      </c>
      <c r="C8548" s="51">
        <v>1.004</v>
      </c>
      <c r="D8548" s="51">
        <v>69.0</v>
      </c>
      <c r="E8548" s="52" t="s">
        <v>25</v>
      </c>
      <c r="F8548" s="52" t="s">
        <v>26</v>
      </c>
      <c r="G8548" s="53"/>
    </row>
    <row r="8549">
      <c r="A8549" s="49">
        <v>44783.92698444445</v>
      </c>
      <c r="B8549" s="50">
        <v>44784.0519574074</v>
      </c>
      <c r="C8549" s="51">
        <v>1.004</v>
      </c>
      <c r="D8549" s="51">
        <v>69.0</v>
      </c>
      <c r="E8549" s="52" t="s">
        <v>25</v>
      </c>
      <c r="F8549" s="52" t="s">
        <v>26</v>
      </c>
      <c r="G8549" s="53"/>
    </row>
    <row r="8550">
      <c r="A8550" s="49">
        <v>44783.937414305554</v>
      </c>
      <c r="B8550" s="50">
        <v>44784.0623892361</v>
      </c>
      <c r="C8550" s="51">
        <v>1.004</v>
      </c>
      <c r="D8550" s="51">
        <v>69.0</v>
      </c>
      <c r="E8550" s="52" t="s">
        <v>25</v>
      </c>
      <c r="F8550" s="52" t="s">
        <v>26</v>
      </c>
      <c r="G8550" s="53"/>
    </row>
    <row r="8551">
      <c r="A8551" s="49">
        <v>44783.94783583333</v>
      </c>
      <c r="B8551" s="50">
        <v>44784.0728104282</v>
      </c>
      <c r="C8551" s="51">
        <v>1.004</v>
      </c>
      <c r="D8551" s="51">
        <v>69.0</v>
      </c>
      <c r="E8551" s="52" t="s">
        <v>25</v>
      </c>
      <c r="F8551" s="52" t="s">
        <v>26</v>
      </c>
      <c r="G8551" s="53"/>
    </row>
    <row r="8552">
      <c r="A8552" s="49">
        <v>44783.958247222225</v>
      </c>
      <c r="B8552" s="50">
        <v>44784.0832322222</v>
      </c>
      <c r="C8552" s="51">
        <v>1.004</v>
      </c>
      <c r="D8552" s="51">
        <v>69.0</v>
      </c>
      <c r="E8552" s="52" t="s">
        <v>25</v>
      </c>
      <c r="F8552" s="52" t="s">
        <v>26</v>
      </c>
      <c r="G8552" s="53"/>
    </row>
    <row r="8553">
      <c r="A8553" s="49">
        <v>44783.968693622686</v>
      </c>
      <c r="B8553" s="50">
        <v>44784.0936664004</v>
      </c>
      <c r="C8553" s="51">
        <v>1.004</v>
      </c>
      <c r="D8553" s="51">
        <v>69.0</v>
      </c>
      <c r="E8553" s="52" t="s">
        <v>25</v>
      </c>
      <c r="F8553" s="52" t="s">
        <v>26</v>
      </c>
      <c r="G8553" s="53"/>
    </row>
    <row r="8554">
      <c r="A8554" s="49">
        <v>44783.97912445602</v>
      </c>
      <c r="B8554" s="50">
        <v>44784.1040991435</v>
      </c>
      <c r="C8554" s="51">
        <v>1.004</v>
      </c>
      <c r="D8554" s="51">
        <v>69.0</v>
      </c>
      <c r="E8554" s="52" t="s">
        <v>25</v>
      </c>
      <c r="F8554" s="52" t="s">
        <v>26</v>
      </c>
      <c r="G8554" s="53"/>
    </row>
    <row r="8555">
      <c r="A8555" s="49">
        <v>44783.98953847222</v>
      </c>
      <c r="B8555" s="50">
        <v>44784.1145205902</v>
      </c>
      <c r="C8555" s="51">
        <v>1.004</v>
      </c>
      <c r="D8555" s="51">
        <v>69.0</v>
      </c>
      <c r="E8555" s="52" t="s">
        <v>25</v>
      </c>
      <c r="F8555" s="52" t="s">
        <v>26</v>
      </c>
      <c r="G8555" s="53"/>
    </row>
    <row r="8556">
      <c r="A8556" s="49">
        <v>44783.99998112269</v>
      </c>
      <c r="B8556" s="50">
        <v>44784.1249543055</v>
      </c>
      <c r="C8556" s="51">
        <v>1.004</v>
      </c>
      <c r="D8556" s="51">
        <v>69.0</v>
      </c>
      <c r="E8556" s="52" t="s">
        <v>25</v>
      </c>
      <c r="F8556" s="52" t="s">
        <v>26</v>
      </c>
      <c r="G8556" s="53"/>
    </row>
    <row r="8557">
      <c r="A8557" s="49">
        <v>44784.01039776621</v>
      </c>
      <c r="B8557" s="50">
        <v>44784.1353768171</v>
      </c>
      <c r="C8557" s="51">
        <v>1.004</v>
      </c>
      <c r="D8557" s="51">
        <v>69.0</v>
      </c>
      <c r="E8557" s="52" t="s">
        <v>25</v>
      </c>
      <c r="F8557" s="52" t="s">
        <v>26</v>
      </c>
      <c r="G8557" s="53"/>
    </row>
    <row r="8558">
      <c r="A8558" s="49">
        <v>44784.020815254626</v>
      </c>
      <c r="B8558" s="50">
        <v>44784.1457988425</v>
      </c>
      <c r="C8558" s="51">
        <v>1.004</v>
      </c>
      <c r="D8558" s="51">
        <v>69.0</v>
      </c>
      <c r="E8558" s="52" t="s">
        <v>25</v>
      </c>
      <c r="F8558" s="52" t="s">
        <v>26</v>
      </c>
      <c r="G8558" s="53"/>
    </row>
    <row r="8559">
      <c r="A8559" s="49">
        <v>44784.03125048611</v>
      </c>
      <c r="B8559" s="50">
        <v>44784.1562207523</v>
      </c>
      <c r="C8559" s="51">
        <v>1.004</v>
      </c>
      <c r="D8559" s="51">
        <v>69.0</v>
      </c>
      <c r="E8559" s="52" t="s">
        <v>25</v>
      </c>
      <c r="F8559" s="52" t="s">
        <v>26</v>
      </c>
      <c r="G8559" s="53"/>
    </row>
    <row r="8560">
      <c r="A8560" s="49">
        <v>44784.04166884259</v>
      </c>
      <c r="B8560" s="50">
        <v>44784.1666421875</v>
      </c>
      <c r="C8560" s="51">
        <v>1.004</v>
      </c>
      <c r="D8560" s="51">
        <v>69.0</v>
      </c>
      <c r="E8560" s="52" t="s">
        <v>25</v>
      </c>
      <c r="F8560" s="52" t="s">
        <v>26</v>
      </c>
      <c r="G8560" s="53"/>
    </row>
    <row r="8561">
      <c r="A8561" s="49">
        <v>44784.052091192134</v>
      </c>
      <c r="B8561" s="50">
        <v>44784.1770631944</v>
      </c>
      <c r="C8561" s="51">
        <v>1.004</v>
      </c>
      <c r="D8561" s="51">
        <v>69.0</v>
      </c>
      <c r="E8561" s="52" t="s">
        <v>25</v>
      </c>
      <c r="F8561" s="52" t="s">
        <v>26</v>
      </c>
      <c r="G8561" s="53"/>
    </row>
    <row r="8562">
      <c r="A8562" s="49">
        <v>44784.062508483796</v>
      </c>
      <c r="B8562" s="50">
        <v>44784.1874838773</v>
      </c>
      <c r="C8562" s="51">
        <v>1.004</v>
      </c>
      <c r="D8562" s="51">
        <v>69.0</v>
      </c>
      <c r="E8562" s="52" t="s">
        <v>25</v>
      </c>
      <c r="F8562" s="52" t="s">
        <v>26</v>
      </c>
      <c r="G8562" s="53"/>
    </row>
    <row r="8563">
      <c r="A8563" s="49">
        <v>44784.072928379624</v>
      </c>
      <c r="B8563" s="50">
        <v>44784.1979044213</v>
      </c>
      <c r="C8563" s="51">
        <v>1.004</v>
      </c>
      <c r="D8563" s="51">
        <v>69.0</v>
      </c>
      <c r="E8563" s="52" t="s">
        <v>25</v>
      </c>
      <c r="F8563" s="52" t="s">
        <v>26</v>
      </c>
      <c r="G8563" s="53"/>
    </row>
    <row r="8564">
      <c r="A8564" s="49">
        <v>44784.083346886575</v>
      </c>
      <c r="B8564" s="50">
        <v>44784.2083251273</v>
      </c>
      <c r="C8564" s="51">
        <v>1.004</v>
      </c>
      <c r="D8564" s="51">
        <v>69.0</v>
      </c>
      <c r="E8564" s="52" t="s">
        <v>25</v>
      </c>
      <c r="F8564" s="52" t="s">
        <v>26</v>
      </c>
      <c r="G8564" s="53"/>
    </row>
    <row r="8565">
      <c r="A8565" s="49">
        <v>44784.093781435186</v>
      </c>
      <c r="B8565" s="50">
        <v>44784.2187564351</v>
      </c>
      <c r="C8565" s="51">
        <v>1.004</v>
      </c>
      <c r="D8565" s="51">
        <v>69.0</v>
      </c>
      <c r="E8565" s="52" t="s">
        <v>25</v>
      </c>
      <c r="F8565" s="52" t="s">
        <v>26</v>
      </c>
      <c r="G8565" s="53"/>
    </row>
    <row r="8566">
      <c r="A8566" s="49">
        <v>44784.10419881945</v>
      </c>
      <c r="B8566" s="50">
        <v>44784.2291784837</v>
      </c>
      <c r="C8566" s="51">
        <v>1.004</v>
      </c>
      <c r="D8566" s="51">
        <v>69.0</v>
      </c>
      <c r="E8566" s="52" t="s">
        <v>25</v>
      </c>
      <c r="F8566" s="52" t="s">
        <v>26</v>
      </c>
      <c r="G8566" s="53"/>
    </row>
    <row r="8567">
      <c r="A8567" s="49">
        <v>44784.114628842595</v>
      </c>
      <c r="B8567" s="50">
        <v>44784.2395983796</v>
      </c>
      <c r="C8567" s="51">
        <v>1.004</v>
      </c>
      <c r="D8567" s="51">
        <v>69.0</v>
      </c>
      <c r="E8567" s="52" t="s">
        <v>25</v>
      </c>
      <c r="F8567" s="52" t="s">
        <v>26</v>
      </c>
      <c r="G8567" s="53"/>
    </row>
    <row r="8568">
      <c r="A8568" s="49">
        <v>44784.12505108796</v>
      </c>
      <c r="B8568" s="50">
        <v>44784.2500191319</v>
      </c>
      <c r="C8568" s="51">
        <v>1.004</v>
      </c>
      <c r="D8568" s="51">
        <v>69.0</v>
      </c>
      <c r="E8568" s="52" t="s">
        <v>25</v>
      </c>
      <c r="F8568" s="52" t="s">
        <v>26</v>
      </c>
      <c r="G8568" s="53"/>
    </row>
    <row r="8569">
      <c r="A8569" s="49">
        <v>44784.13548474537</v>
      </c>
      <c r="B8569" s="50">
        <v>44784.2604523842</v>
      </c>
      <c r="C8569" s="51">
        <v>1.004</v>
      </c>
      <c r="D8569" s="51">
        <v>69.0</v>
      </c>
      <c r="E8569" s="52" t="s">
        <v>25</v>
      </c>
      <c r="F8569" s="52" t="s">
        <v>26</v>
      </c>
      <c r="G8569" s="53"/>
    </row>
    <row r="8570">
      <c r="A8570" s="49">
        <v>44784.145905972226</v>
      </c>
      <c r="B8570" s="50">
        <v>44784.2708720949</v>
      </c>
      <c r="C8570" s="51">
        <v>1.004</v>
      </c>
      <c r="D8570" s="51">
        <v>69.0</v>
      </c>
      <c r="E8570" s="52" t="s">
        <v>25</v>
      </c>
      <c r="F8570" s="52" t="s">
        <v>26</v>
      </c>
      <c r="G8570" s="53"/>
    </row>
    <row r="8571">
      <c r="A8571" s="49">
        <v>44784.15632351852</v>
      </c>
      <c r="B8571" s="50">
        <v>44784.2812953009</v>
      </c>
      <c r="C8571" s="51">
        <v>1.004</v>
      </c>
      <c r="D8571" s="51">
        <v>70.0</v>
      </c>
      <c r="E8571" s="52" t="s">
        <v>25</v>
      </c>
      <c r="F8571" s="52" t="s">
        <v>26</v>
      </c>
      <c r="G8571" s="53"/>
    </row>
    <row r="8572">
      <c r="A8572" s="49">
        <v>44784.16674871527</v>
      </c>
      <c r="B8572" s="50">
        <v>44784.2917176851</v>
      </c>
      <c r="C8572" s="51">
        <v>1.004</v>
      </c>
      <c r="D8572" s="51">
        <v>69.0</v>
      </c>
      <c r="E8572" s="52" t="s">
        <v>25</v>
      </c>
      <c r="F8572" s="52" t="s">
        <v>26</v>
      </c>
      <c r="G8572" s="53"/>
    </row>
    <row r="8573">
      <c r="A8573" s="49">
        <v>44784.17717831019</v>
      </c>
      <c r="B8573" s="50">
        <v>44784.3021496643</v>
      </c>
      <c r="C8573" s="51">
        <v>1.004</v>
      </c>
      <c r="D8573" s="51">
        <v>69.0</v>
      </c>
      <c r="E8573" s="52" t="s">
        <v>25</v>
      </c>
      <c r="F8573" s="52" t="s">
        <v>26</v>
      </c>
      <c r="G8573" s="53"/>
    </row>
    <row r="8574">
      <c r="A8574" s="49">
        <v>44784.18761412037</v>
      </c>
      <c r="B8574" s="50">
        <v>44784.3125824074</v>
      </c>
      <c r="C8574" s="51">
        <v>1.004</v>
      </c>
      <c r="D8574" s="51">
        <v>70.0</v>
      </c>
      <c r="E8574" s="52" t="s">
        <v>25</v>
      </c>
      <c r="F8574" s="52" t="s">
        <v>26</v>
      </c>
      <c r="G8574" s="53"/>
    </row>
    <row r="8575">
      <c r="A8575" s="49">
        <v>44784.19803086805</v>
      </c>
      <c r="B8575" s="50">
        <v>44784.3230025</v>
      </c>
      <c r="C8575" s="51">
        <v>1.004</v>
      </c>
      <c r="D8575" s="51">
        <v>70.0</v>
      </c>
      <c r="E8575" s="52" t="s">
        <v>25</v>
      </c>
      <c r="F8575" s="52" t="s">
        <v>26</v>
      </c>
      <c r="G8575" s="53"/>
    </row>
    <row r="8576">
      <c r="A8576" s="49">
        <v>44784.208457175926</v>
      </c>
      <c r="B8576" s="50">
        <v>44784.3334237384</v>
      </c>
      <c r="C8576" s="51">
        <v>1.004</v>
      </c>
      <c r="D8576" s="51">
        <v>70.0</v>
      </c>
      <c r="E8576" s="52" t="s">
        <v>25</v>
      </c>
      <c r="F8576" s="52" t="s">
        <v>26</v>
      </c>
      <c r="G8576" s="53"/>
    </row>
    <row r="8577">
      <c r="A8577" s="49">
        <v>44784.218875543986</v>
      </c>
      <c r="B8577" s="50">
        <v>44784.3438456828</v>
      </c>
      <c r="C8577" s="51">
        <v>1.004</v>
      </c>
      <c r="D8577" s="51">
        <v>70.0</v>
      </c>
      <c r="E8577" s="52" t="s">
        <v>25</v>
      </c>
      <c r="F8577" s="52" t="s">
        <v>26</v>
      </c>
      <c r="G8577" s="53"/>
    </row>
    <row r="8578">
      <c r="A8578" s="49">
        <v>44784.229298391205</v>
      </c>
      <c r="B8578" s="50">
        <v>44784.3542680902</v>
      </c>
      <c r="C8578" s="51">
        <v>1.004</v>
      </c>
      <c r="D8578" s="51">
        <v>70.0</v>
      </c>
      <c r="E8578" s="52" t="s">
        <v>25</v>
      </c>
      <c r="F8578" s="52" t="s">
        <v>26</v>
      </c>
      <c r="G8578" s="53"/>
    </row>
    <row r="8579">
      <c r="A8579" s="49">
        <v>44784.23971707176</v>
      </c>
      <c r="B8579" s="50">
        <v>44784.3646899074</v>
      </c>
      <c r="C8579" s="51">
        <v>1.004</v>
      </c>
      <c r="D8579" s="51">
        <v>70.0</v>
      </c>
      <c r="E8579" s="52" t="s">
        <v>25</v>
      </c>
      <c r="F8579" s="52" t="s">
        <v>26</v>
      </c>
      <c r="G8579" s="53"/>
    </row>
    <row r="8580">
      <c r="A8580" s="49">
        <v>44784.250135243055</v>
      </c>
      <c r="B8580" s="50">
        <v>44784.3751110069</v>
      </c>
      <c r="C8580" s="51">
        <v>1.004</v>
      </c>
      <c r="D8580" s="51">
        <v>70.0</v>
      </c>
      <c r="E8580" s="52" t="s">
        <v>25</v>
      </c>
      <c r="F8580" s="52" t="s">
        <v>26</v>
      </c>
      <c r="G8580" s="53"/>
    </row>
    <row r="8581">
      <c r="A8581" s="49">
        <v>44784.26056710648</v>
      </c>
      <c r="B8581" s="50">
        <v>44784.3855328819</v>
      </c>
      <c r="C8581" s="51">
        <v>1.004</v>
      </c>
      <c r="D8581" s="51">
        <v>70.0</v>
      </c>
      <c r="E8581" s="52" t="s">
        <v>25</v>
      </c>
      <c r="F8581" s="52" t="s">
        <v>26</v>
      </c>
      <c r="G8581" s="53"/>
    </row>
    <row r="8582">
      <c r="A8582" s="49">
        <v>44784.27100548611</v>
      </c>
      <c r="B8582" s="50">
        <v>44784.3959768287</v>
      </c>
      <c r="C8582" s="51">
        <v>1.004</v>
      </c>
      <c r="D8582" s="51">
        <v>70.0</v>
      </c>
      <c r="E8582" s="52" t="s">
        <v>25</v>
      </c>
      <c r="F8582" s="52" t="s">
        <v>26</v>
      </c>
      <c r="G8582" s="53"/>
    </row>
    <row r="8583">
      <c r="A8583" s="49">
        <v>44784.28142914352</v>
      </c>
      <c r="B8583" s="50">
        <v>44784.4063975</v>
      </c>
      <c r="C8583" s="51">
        <v>1.004</v>
      </c>
      <c r="D8583" s="51">
        <v>70.0</v>
      </c>
      <c r="E8583" s="52" t="s">
        <v>25</v>
      </c>
      <c r="F8583" s="52" t="s">
        <v>26</v>
      </c>
      <c r="G8583" s="53"/>
    </row>
    <row r="8584">
      <c r="A8584" s="49">
        <v>44784.29183834491</v>
      </c>
      <c r="B8584" s="50">
        <v>44784.4168195023</v>
      </c>
      <c r="C8584" s="51">
        <v>1.004</v>
      </c>
      <c r="D8584" s="51">
        <v>70.0</v>
      </c>
      <c r="E8584" s="52" t="s">
        <v>25</v>
      </c>
      <c r="F8584" s="52" t="s">
        <v>26</v>
      </c>
      <c r="G8584" s="53"/>
    </row>
    <row r="8585">
      <c r="A8585" s="49">
        <v>44784.30227226852</v>
      </c>
      <c r="B8585" s="50">
        <v>44784.4272410995</v>
      </c>
      <c r="C8585" s="51">
        <v>1.004</v>
      </c>
      <c r="D8585" s="51">
        <v>70.0</v>
      </c>
      <c r="E8585" s="52" t="s">
        <v>25</v>
      </c>
      <c r="F8585" s="52" t="s">
        <v>26</v>
      </c>
      <c r="G8585" s="53"/>
    </row>
    <row r="8586">
      <c r="A8586" s="49">
        <v>44784.31272287037</v>
      </c>
      <c r="B8586" s="50">
        <v>44784.4376842939</v>
      </c>
      <c r="C8586" s="51">
        <v>1.004</v>
      </c>
      <c r="D8586" s="51">
        <v>70.0</v>
      </c>
      <c r="E8586" s="52" t="s">
        <v>25</v>
      </c>
      <c r="F8586" s="52" t="s">
        <v>26</v>
      </c>
      <c r="G8586" s="53"/>
    </row>
    <row r="8587">
      <c r="A8587" s="49">
        <v>44784.323157743056</v>
      </c>
      <c r="B8587" s="50">
        <v>44784.4481055092</v>
      </c>
      <c r="C8587" s="51">
        <v>1.004</v>
      </c>
      <c r="D8587" s="51">
        <v>70.0</v>
      </c>
      <c r="E8587" s="52" t="s">
        <v>25</v>
      </c>
      <c r="F8587" s="52" t="s">
        <v>26</v>
      </c>
      <c r="G8587" s="53"/>
    </row>
    <row r="8588">
      <c r="A8588" s="49">
        <v>44784.33355866898</v>
      </c>
      <c r="B8588" s="50">
        <v>44784.4585254398</v>
      </c>
      <c r="C8588" s="51">
        <v>1.004</v>
      </c>
      <c r="D8588" s="51">
        <v>70.0</v>
      </c>
      <c r="E8588" s="52" t="s">
        <v>25</v>
      </c>
      <c r="F8588" s="52" t="s">
        <v>26</v>
      </c>
      <c r="G8588" s="53"/>
    </row>
    <row r="8589">
      <c r="A8589" s="49">
        <v>44784.3439777662</v>
      </c>
      <c r="B8589" s="50">
        <v>44784.4689468287</v>
      </c>
      <c r="C8589" s="51">
        <v>1.003</v>
      </c>
      <c r="D8589" s="51">
        <v>70.0</v>
      </c>
      <c r="E8589" s="52" t="s">
        <v>25</v>
      </c>
      <c r="F8589" s="52" t="s">
        <v>26</v>
      </c>
      <c r="G8589" s="53"/>
    </row>
    <row r="8590">
      <c r="A8590" s="49">
        <v>44784.354417581024</v>
      </c>
      <c r="B8590" s="50">
        <v>44784.4793809837</v>
      </c>
      <c r="C8590" s="51">
        <v>1.004</v>
      </c>
      <c r="D8590" s="51">
        <v>70.0</v>
      </c>
      <c r="E8590" s="52" t="s">
        <v>25</v>
      </c>
      <c r="F8590" s="52" t="s">
        <v>26</v>
      </c>
      <c r="G8590" s="53"/>
    </row>
    <row r="8591">
      <c r="A8591" s="49">
        <v>44784.364832962965</v>
      </c>
      <c r="B8591" s="50">
        <v>44784.4898012268</v>
      </c>
      <c r="C8591" s="51">
        <v>1.004</v>
      </c>
      <c r="D8591" s="51">
        <v>70.0</v>
      </c>
      <c r="E8591" s="52" t="s">
        <v>25</v>
      </c>
      <c r="F8591" s="52" t="s">
        <v>26</v>
      </c>
      <c r="G8591" s="53"/>
    </row>
    <row r="8592">
      <c r="A8592" s="49">
        <v>44784.37525304398</v>
      </c>
      <c r="B8592" s="50">
        <v>44784.500222118</v>
      </c>
      <c r="C8592" s="51">
        <v>1.004</v>
      </c>
      <c r="D8592" s="51">
        <v>70.0</v>
      </c>
      <c r="E8592" s="52" t="s">
        <v>25</v>
      </c>
      <c r="F8592" s="52" t="s">
        <v>26</v>
      </c>
      <c r="G8592" s="53"/>
    </row>
    <row r="8593">
      <c r="A8593" s="49">
        <v>44784.38567857639</v>
      </c>
      <c r="B8593" s="50">
        <v>44784.5106427777</v>
      </c>
      <c r="C8593" s="51">
        <v>1.004</v>
      </c>
      <c r="D8593" s="51">
        <v>70.0</v>
      </c>
      <c r="E8593" s="52" t="s">
        <v>25</v>
      </c>
      <c r="F8593" s="52" t="s">
        <v>26</v>
      </c>
      <c r="G8593" s="53"/>
    </row>
    <row r="8594">
      <c r="A8594" s="49">
        <v>44784.39609616898</v>
      </c>
      <c r="B8594" s="50">
        <v>44784.5210645717</v>
      </c>
      <c r="C8594" s="51">
        <v>1.004</v>
      </c>
      <c r="D8594" s="51">
        <v>70.0</v>
      </c>
      <c r="E8594" s="52" t="s">
        <v>25</v>
      </c>
      <c r="F8594" s="52" t="s">
        <v>26</v>
      </c>
      <c r="G8594" s="53"/>
    </row>
    <row r="8595">
      <c r="A8595" s="49">
        <v>44784.40650996528</v>
      </c>
      <c r="B8595" s="50">
        <v>44784.531485243</v>
      </c>
      <c r="C8595" s="51">
        <v>1.004</v>
      </c>
      <c r="D8595" s="51">
        <v>70.0</v>
      </c>
      <c r="E8595" s="52" t="s">
        <v>25</v>
      </c>
      <c r="F8595" s="52" t="s">
        <v>26</v>
      </c>
      <c r="G8595" s="53"/>
    </row>
    <row r="8596">
      <c r="A8596" s="49">
        <v>44784.41693203704</v>
      </c>
      <c r="B8596" s="50">
        <v>44784.5419060416</v>
      </c>
      <c r="C8596" s="51">
        <v>1.004</v>
      </c>
      <c r="D8596" s="51">
        <v>70.0</v>
      </c>
      <c r="E8596" s="52" t="s">
        <v>25</v>
      </c>
      <c r="F8596" s="52" t="s">
        <v>26</v>
      </c>
      <c r="G8596" s="53"/>
    </row>
    <row r="8597">
      <c r="A8597" s="49">
        <v>44784.42734995371</v>
      </c>
      <c r="B8597" s="50">
        <v>44784.5523246412</v>
      </c>
      <c r="C8597" s="51">
        <v>1.004</v>
      </c>
      <c r="D8597" s="51">
        <v>70.0</v>
      </c>
      <c r="E8597" s="52" t="s">
        <v>25</v>
      </c>
      <c r="F8597" s="52" t="s">
        <v>26</v>
      </c>
      <c r="G8597" s="53"/>
    </row>
    <row r="8598">
      <c r="A8598" s="49">
        <v>44784.43777052083</v>
      </c>
      <c r="B8598" s="50">
        <v>44784.5627456713</v>
      </c>
      <c r="C8598" s="51">
        <v>1.004</v>
      </c>
      <c r="D8598" s="51">
        <v>70.0</v>
      </c>
      <c r="E8598" s="52" t="s">
        <v>25</v>
      </c>
      <c r="F8598" s="52" t="s">
        <v>26</v>
      </c>
      <c r="G8598" s="53"/>
    </row>
    <row r="8599">
      <c r="A8599" s="49">
        <v>44784.44820010416</v>
      </c>
      <c r="B8599" s="50">
        <v>44784.5731674421</v>
      </c>
      <c r="C8599" s="51">
        <v>1.004</v>
      </c>
      <c r="D8599" s="51">
        <v>70.0</v>
      </c>
      <c r="E8599" s="52" t="s">
        <v>25</v>
      </c>
      <c r="F8599" s="52" t="s">
        <v>26</v>
      </c>
      <c r="G8599" s="53"/>
    </row>
    <row r="8600">
      <c r="A8600" s="49">
        <v>44784.45863443287</v>
      </c>
      <c r="B8600" s="50">
        <v>44784.5836004051</v>
      </c>
      <c r="C8600" s="51">
        <v>1.004</v>
      </c>
      <c r="D8600" s="51">
        <v>70.0</v>
      </c>
      <c r="E8600" s="52" t="s">
        <v>25</v>
      </c>
      <c r="F8600" s="52" t="s">
        <v>26</v>
      </c>
      <c r="G8600" s="53"/>
    </row>
    <row r="8601">
      <c r="A8601" s="49">
        <v>44784.46905056713</v>
      </c>
      <c r="B8601" s="50">
        <v>44784.5940214814</v>
      </c>
      <c r="C8601" s="51">
        <v>1.004</v>
      </c>
      <c r="D8601" s="51">
        <v>70.0</v>
      </c>
      <c r="E8601" s="52" t="s">
        <v>25</v>
      </c>
      <c r="F8601" s="52" t="s">
        <v>26</v>
      </c>
      <c r="G8601" s="53"/>
    </row>
    <row r="8602">
      <c r="A8602" s="49">
        <v>44784.47948052084</v>
      </c>
      <c r="B8602" s="50">
        <v>44784.6044542592</v>
      </c>
      <c r="C8602" s="51">
        <v>1.004</v>
      </c>
      <c r="D8602" s="51">
        <v>70.0</v>
      </c>
      <c r="E8602" s="52" t="s">
        <v>25</v>
      </c>
      <c r="F8602" s="52" t="s">
        <v>26</v>
      </c>
      <c r="G8602" s="53"/>
    </row>
    <row r="8603">
      <c r="A8603" s="49">
        <v>44784.48990159722</v>
      </c>
      <c r="B8603" s="50">
        <v>44784.6148766203</v>
      </c>
      <c r="C8603" s="51">
        <v>1.004</v>
      </c>
      <c r="D8603" s="51">
        <v>70.0</v>
      </c>
      <c r="E8603" s="52" t="s">
        <v>25</v>
      </c>
      <c r="F8603" s="52" t="s">
        <v>26</v>
      </c>
      <c r="G8603" s="53"/>
    </row>
    <row r="8604">
      <c r="A8604" s="49">
        <v>44784.50033995371</v>
      </c>
      <c r="B8604" s="50">
        <v>44784.6253102777</v>
      </c>
      <c r="C8604" s="51">
        <v>1.004</v>
      </c>
      <c r="D8604" s="51">
        <v>70.0</v>
      </c>
      <c r="E8604" s="52" t="s">
        <v>25</v>
      </c>
      <c r="F8604" s="52" t="s">
        <v>26</v>
      </c>
      <c r="G8604" s="53"/>
    </row>
    <row r="8605">
      <c r="A8605" s="49">
        <v>44784.51078201389</v>
      </c>
      <c r="B8605" s="50">
        <v>44784.6357526273</v>
      </c>
      <c r="C8605" s="51">
        <v>1.004</v>
      </c>
      <c r="D8605" s="51">
        <v>70.0</v>
      </c>
      <c r="E8605" s="52" t="s">
        <v>25</v>
      </c>
      <c r="F8605" s="52" t="s">
        <v>26</v>
      </c>
      <c r="G8605" s="53"/>
    </row>
    <row r="8606">
      <c r="A8606" s="49">
        <v>44784.52120800926</v>
      </c>
      <c r="B8606" s="50">
        <v>44784.6461741319</v>
      </c>
      <c r="C8606" s="51">
        <v>1.004</v>
      </c>
      <c r="D8606" s="51">
        <v>70.0</v>
      </c>
      <c r="E8606" s="52" t="s">
        <v>25</v>
      </c>
      <c r="F8606" s="52" t="s">
        <v>26</v>
      </c>
      <c r="G8606" s="53"/>
    </row>
    <row r="8607">
      <c r="A8607" s="49">
        <v>44784.53161972223</v>
      </c>
      <c r="B8607" s="50">
        <v>44784.6565953009</v>
      </c>
      <c r="C8607" s="51">
        <v>1.004</v>
      </c>
      <c r="D8607" s="51">
        <v>70.0</v>
      </c>
      <c r="E8607" s="52" t="s">
        <v>25</v>
      </c>
      <c r="F8607" s="52" t="s">
        <v>26</v>
      </c>
      <c r="G8607" s="53"/>
    </row>
    <row r="8608">
      <c r="A8608" s="49">
        <v>44784.54204732639</v>
      </c>
      <c r="B8608" s="50">
        <v>44784.6670162615</v>
      </c>
      <c r="C8608" s="51">
        <v>1.004</v>
      </c>
      <c r="D8608" s="51">
        <v>70.0</v>
      </c>
      <c r="E8608" s="52" t="s">
        <v>25</v>
      </c>
      <c r="F8608" s="52" t="s">
        <v>26</v>
      </c>
      <c r="G8608" s="53"/>
    </row>
    <row r="8609">
      <c r="A8609" s="49">
        <v>44784.55247164352</v>
      </c>
      <c r="B8609" s="50">
        <v>44784.6774360416</v>
      </c>
      <c r="C8609" s="51">
        <v>1.004</v>
      </c>
      <c r="D8609" s="51">
        <v>70.0</v>
      </c>
      <c r="E8609" s="52" t="s">
        <v>25</v>
      </c>
      <c r="F8609" s="52" t="s">
        <v>26</v>
      </c>
      <c r="G8609" s="53"/>
    </row>
    <row r="8610">
      <c r="A8610" s="49">
        <v>44784.562887962966</v>
      </c>
      <c r="B8610" s="50">
        <v>44784.6878579282</v>
      </c>
      <c r="C8610" s="51">
        <v>1.004</v>
      </c>
      <c r="D8610" s="51">
        <v>70.0</v>
      </c>
      <c r="E8610" s="52" t="s">
        <v>25</v>
      </c>
      <c r="F8610" s="52" t="s">
        <v>26</v>
      </c>
      <c r="G8610" s="53"/>
    </row>
    <row r="8611">
      <c r="A8611" s="49">
        <v>44784.57331158565</v>
      </c>
      <c r="B8611" s="50">
        <v>44784.6982787615</v>
      </c>
      <c r="C8611" s="51">
        <v>1.004</v>
      </c>
      <c r="D8611" s="51">
        <v>70.0</v>
      </c>
      <c r="E8611" s="52" t="s">
        <v>25</v>
      </c>
      <c r="F8611" s="52" t="s">
        <v>26</v>
      </c>
      <c r="G8611" s="53"/>
    </row>
    <row r="8612">
      <c r="A8612" s="49">
        <v>44784.58372861111</v>
      </c>
      <c r="B8612" s="50">
        <v>44784.7087008796</v>
      </c>
      <c r="C8612" s="51">
        <v>1.004</v>
      </c>
      <c r="D8612" s="51">
        <v>70.0</v>
      </c>
      <c r="E8612" s="52" t="s">
        <v>25</v>
      </c>
      <c r="F8612" s="52" t="s">
        <v>26</v>
      </c>
      <c r="G8612" s="53"/>
    </row>
    <row r="8613">
      <c r="A8613" s="49">
        <v>44784.59414190972</v>
      </c>
      <c r="B8613" s="50">
        <v>44784.7191219791</v>
      </c>
      <c r="C8613" s="51">
        <v>1.004</v>
      </c>
      <c r="D8613" s="51">
        <v>70.0</v>
      </c>
      <c r="E8613" s="52" t="s">
        <v>25</v>
      </c>
      <c r="F8613" s="52" t="s">
        <v>26</v>
      </c>
      <c r="G8613" s="53"/>
    </row>
    <row r="8614">
      <c r="A8614" s="49">
        <v>44784.60458474537</v>
      </c>
      <c r="B8614" s="50">
        <v>44784.7295550694</v>
      </c>
      <c r="C8614" s="51">
        <v>1.004</v>
      </c>
      <c r="D8614" s="51">
        <v>70.0</v>
      </c>
      <c r="E8614" s="52" t="s">
        <v>25</v>
      </c>
      <c r="F8614" s="52" t="s">
        <v>26</v>
      </c>
      <c r="G8614" s="53"/>
    </row>
    <row r="8615">
      <c r="A8615" s="49">
        <v>44784.61500903935</v>
      </c>
      <c r="B8615" s="50">
        <v>44784.7399760416</v>
      </c>
      <c r="C8615" s="51">
        <v>1.004</v>
      </c>
      <c r="D8615" s="51">
        <v>70.0</v>
      </c>
      <c r="E8615" s="52" t="s">
        <v>25</v>
      </c>
      <c r="F8615" s="52" t="s">
        <v>26</v>
      </c>
      <c r="G8615" s="53"/>
    </row>
    <row r="8616">
      <c r="A8616" s="49">
        <v>44784.62542795139</v>
      </c>
      <c r="B8616" s="50">
        <v>44784.7503968171</v>
      </c>
      <c r="C8616" s="51">
        <v>1.004</v>
      </c>
      <c r="D8616" s="51">
        <v>70.0</v>
      </c>
      <c r="E8616" s="52" t="s">
        <v>25</v>
      </c>
      <c r="F8616" s="52" t="s">
        <v>26</v>
      </c>
      <c r="G8616" s="53"/>
    </row>
    <row r="8617">
      <c r="A8617" s="49">
        <v>44784.63584335648</v>
      </c>
      <c r="B8617" s="50">
        <v>44784.7608183449</v>
      </c>
      <c r="C8617" s="51">
        <v>1.004</v>
      </c>
      <c r="D8617" s="51">
        <v>70.0</v>
      </c>
      <c r="E8617" s="52" t="s">
        <v>25</v>
      </c>
      <c r="F8617" s="52" t="s">
        <v>26</v>
      </c>
      <c r="G8617" s="53"/>
    </row>
    <row r="8618">
      <c r="A8618" s="49">
        <v>44784.64628539352</v>
      </c>
      <c r="B8618" s="50">
        <v>44784.7712515393</v>
      </c>
      <c r="C8618" s="51">
        <v>1.004</v>
      </c>
      <c r="D8618" s="51">
        <v>70.0</v>
      </c>
      <c r="E8618" s="52" t="s">
        <v>25</v>
      </c>
      <c r="F8618" s="52" t="s">
        <v>26</v>
      </c>
      <c r="G8618" s="53"/>
    </row>
    <row r="8619">
      <c r="A8619" s="49">
        <v>44784.6567033912</v>
      </c>
      <c r="B8619" s="50">
        <v>44784.7816731134</v>
      </c>
      <c r="C8619" s="51">
        <v>1.004</v>
      </c>
      <c r="D8619" s="51">
        <v>70.0</v>
      </c>
      <c r="E8619" s="52" t="s">
        <v>25</v>
      </c>
      <c r="F8619" s="52" t="s">
        <v>26</v>
      </c>
      <c r="G8619" s="53"/>
    </row>
    <row r="8620">
      <c r="A8620" s="49">
        <v>44784.6671259375</v>
      </c>
      <c r="B8620" s="50">
        <v>44784.7920949421</v>
      </c>
      <c r="C8620" s="51">
        <v>1.004</v>
      </c>
      <c r="D8620" s="51">
        <v>70.0</v>
      </c>
      <c r="E8620" s="52" t="s">
        <v>25</v>
      </c>
      <c r="F8620" s="52" t="s">
        <v>26</v>
      </c>
      <c r="G8620" s="53"/>
    </row>
    <row r="8621">
      <c r="A8621" s="49">
        <v>44784.67756697917</v>
      </c>
      <c r="B8621" s="50">
        <v>44784.8025396874</v>
      </c>
      <c r="C8621" s="51">
        <v>1.004</v>
      </c>
      <c r="D8621" s="51">
        <v>70.0</v>
      </c>
      <c r="E8621" s="52" t="s">
        <v>25</v>
      </c>
      <c r="F8621" s="52" t="s">
        <v>26</v>
      </c>
      <c r="G8621" s="53"/>
    </row>
    <row r="8622">
      <c r="A8622" s="49">
        <v>44784.687991122686</v>
      </c>
      <c r="B8622" s="50">
        <v>44784.8129604398</v>
      </c>
      <c r="C8622" s="51">
        <v>1.004</v>
      </c>
      <c r="D8622" s="51">
        <v>70.0</v>
      </c>
      <c r="E8622" s="52" t="s">
        <v>25</v>
      </c>
      <c r="F8622" s="52" t="s">
        <v>26</v>
      </c>
      <c r="G8622" s="53"/>
    </row>
    <row r="8623">
      <c r="A8623" s="49">
        <v>44784.69844553241</v>
      </c>
      <c r="B8623" s="50">
        <v>44784.8234152662</v>
      </c>
      <c r="C8623" s="51">
        <v>1.004</v>
      </c>
      <c r="D8623" s="51">
        <v>70.0</v>
      </c>
      <c r="E8623" s="52" t="s">
        <v>25</v>
      </c>
      <c r="F8623" s="52" t="s">
        <v>26</v>
      </c>
      <c r="G8623" s="53"/>
    </row>
    <row r="8624">
      <c r="A8624" s="49">
        <v>44784.708861377316</v>
      </c>
      <c r="B8624" s="50">
        <v>44784.8338375347</v>
      </c>
      <c r="C8624" s="51">
        <v>1.004</v>
      </c>
      <c r="D8624" s="51">
        <v>70.0</v>
      </c>
      <c r="E8624" s="52" t="s">
        <v>25</v>
      </c>
      <c r="F8624" s="52" t="s">
        <v>26</v>
      </c>
      <c r="G8624" s="53"/>
    </row>
    <row r="8625">
      <c r="A8625" s="49">
        <v>44784.71927710648</v>
      </c>
      <c r="B8625" s="50">
        <v>44784.8442577893</v>
      </c>
      <c r="C8625" s="51">
        <v>1.004</v>
      </c>
      <c r="D8625" s="51">
        <v>70.0</v>
      </c>
      <c r="E8625" s="52" t="s">
        <v>25</v>
      </c>
      <c r="F8625" s="52" t="s">
        <v>26</v>
      </c>
      <c r="G8625" s="53"/>
    </row>
    <row r="8626">
      <c r="A8626" s="49">
        <v>44784.72970596065</v>
      </c>
      <c r="B8626" s="50">
        <v>44784.854679074</v>
      </c>
      <c r="C8626" s="51">
        <v>1.004</v>
      </c>
      <c r="D8626" s="51">
        <v>70.0</v>
      </c>
      <c r="E8626" s="52" t="s">
        <v>25</v>
      </c>
      <c r="F8626" s="52" t="s">
        <v>26</v>
      </c>
      <c r="G8626" s="53"/>
    </row>
    <row r="8627">
      <c r="A8627" s="49">
        <v>44784.740132962965</v>
      </c>
      <c r="B8627" s="50">
        <v>44784.8651106481</v>
      </c>
      <c r="C8627" s="51">
        <v>1.004</v>
      </c>
      <c r="D8627" s="51">
        <v>70.0</v>
      </c>
      <c r="E8627" s="52" t="s">
        <v>25</v>
      </c>
      <c r="F8627" s="52" t="s">
        <v>26</v>
      </c>
      <c r="G8627" s="53"/>
    </row>
    <row r="8628">
      <c r="A8628" s="49">
        <v>44784.7505647338</v>
      </c>
      <c r="B8628" s="50">
        <v>44784.8755320601</v>
      </c>
      <c r="C8628" s="51">
        <v>1.004</v>
      </c>
      <c r="D8628" s="51">
        <v>70.0</v>
      </c>
      <c r="E8628" s="52" t="s">
        <v>25</v>
      </c>
      <c r="F8628" s="52" t="s">
        <v>26</v>
      </c>
      <c r="G8628" s="53"/>
    </row>
    <row r="8629">
      <c r="A8629" s="49">
        <v>44784.760987581016</v>
      </c>
      <c r="B8629" s="50">
        <v>44784.8859521759</v>
      </c>
      <c r="C8629" s="51">
        <v>1.004</v>
      </c>
      <c r="D8629" s="51">
        <v>70.0</v>
      </c>
      <c r="E8629" s="52" t="s">
        <v>25</v>
      </c>
      <c r="F8629" s="52" t="s">
        <v>26</v>
      </c>
      <c r="G8629" s="53"/>
    </row>
    <row r="8630">
      <c r="A8630" s="49">
        <v>44784.77140269676</v>
      </c>
      <c r="B8630" s="50">
        <v>44784.8963740162</v>
      </c>
      <c r="C8630" s="51">
        <v>1.004</v>
      </c>
      <c r="D8630" s="51">
        <v>70.0</v>
      </c>
      <c r="E8630" s="52" t="s">
        <v>25</v>
      </c>
      <c r="F8630" s="52" t="s">
        <v>26</v>
      </c>
      <c r="G8630" s="53"/>
    </row>
    <row r="8631">
      <c r="A8631" s="49">
        <v>44784.78182049769</v>
      </c>
      <c r="B8631" s="50">
        <v>44784.9067950347</v>
      </c>
      <c r="C8631" s="51">
        <v>1.004</v>
      </c>
      <c r="D8631" s="51">
        <v>70.0</v>
      </c>
      <c r="E8631" s="52" t="s">
        <v>25</v>
      </c>
      <c r="F8631" s="52" t="s">
        <v>26</v>
      </c>
      <c r="G8631" s="53"/>
    </row>
    <row r="8632">
      <c r="A8632" s="49">
        <v>44784.792243275464</v>
      </c>
      <c r="B8632" s="50">
        <v>44784.9172152199</v>
      </c>
      <c r="C8632" s="51">
        <v>1.004</v>
      </c>
      <c r="D8632" s="51">
        <v>70.0</v>
      </c>
      <c r="E8632" s="52" t="s">
        <v>25</v>
      </c>
      <c r="F8632" s="52" t="s">
        <v>26</v>
      </c>
      <c r="G8632" s="53"/>
    </row>
    <row r="8633">
      <c r="A8633" s="49">
        <v>44784.80266835648</v>
      </c>
      <c r="B8633" s="50">
        <v>44784.9276366782</v>
      </c>
      <c r="C8633" s="51">
        <v>1.004</v>
      </c>
      <c r="D8633" s="51">
        <v>70.0</v>
      </c>
      <c r="E8633" s="52" t="s">
        <v>25</v>
      </c>
      <c r="F8633" s="52" t="s">
        <v>26</v>
      </c>
      <c r="G8633" s="53"/>
    </row>
    <row r="8634">
      <c r="A8634" s="49">
        <v>44784.81309902778</v>
      </c>
      <c r="B8634" s="50">
        <v>44784.9380693171</v>
      </c>
      <c r="C8634" s="51">
        <v>1.004</v>
      </c>
      <c r="D8634" s="51">
        <v>69.0</v>
      </c>
      <c r="E8634" s="52" t="s">
        <v>25</v>
      </c>
      <c r="F8634" s="52" t="s">
        <v>26</v>
      </c>
      <c r="G8634" s="53"/>
    </row>
    <row r="8635">
      <c r="A8635" s="49">
        <v>44784.823532546296</v>
      </c>
      <c r="B8635" s="50">
        <v>44784.948489699</v>
      </c>
      <c r="C8635" s="51">
        <v>1.003</v>
      </c>
      <c r="D8635" s="51">
        <v>68.0</v>
      </c>
      <c r="E8635" s="52" t="s">
        <v>25</v>
      </c>
      <c r="F8635" s="52" t="s">
        <v>26</v>
      </c>
      <c r="G8635" s="53"/>
    </row>
    <row r="8636">
      <c r="A8636" s="49">
        <v>44784.83395252315</v>
      </c>
      <c r="B8636" s="50">
        <v>44784.9589226967</v>
      </c>
      <c r="C8636" s="51">
        <v>1.003</v>
      </c>
      <c r="D8636" s="51">
        <v>68.0</v>
      </c>
      <c r="E8636" s="52" t="s">
        <v>25</v>
      </c>
      <c r="F8636" s="52" t="s">
        <v>26</v>
      </c>
      <c r="G8636" s="53"/>
    </row>
    <row r="8637">
      <c r="A8637" s="49">
        <v>44784.84437090278</v>
      </c>
      <c r="B8637" s="50">
        <v>44784.9693432754</v>
      </c>
      <c r="C8637" s="51">
        <v>1.003</v>
      </c>
      <c r="D8637" s="51">
        <v>67.0</v>
      </c>
      <c r="E8637" s="52" t="s">
        <v>25</v>
      </c>
      <c r="F8637" s="52" t="s">
        <v>26</v>
      </c>
      <c r="G8637" s="53"/>
    </row>
    <row r="8638">
      <c r="A8638" s="49">
        <v>44784.85478533564</v>
      </c>
      <c r="B8638" s="50">
        <v>44784.979761956</v>
      </c>
      <c r="C8638" s="51">
        <v>1.003</v>
      </c>
      <c r="D8638" s="51">
        <v>66.0</v>
      </c>
      <c r="E8638" s="52" t="s">
        <v>25</v>
      </c>
      <c r="F8638" s="52" t="s">
        <v>26</v>
      </c>
      <c r="G8638" s="53"/>
    </row>
    <row r="8639">
      <c r="A8639" s="49">
        <v>44784.86521650463</v>
      </c>
      <c r="B8639" s="50">
        <v>44784.990184456</v>
      </c>
      <c r="C8639" s="51">
        <v>1.004</v>
      </c>
      <c r="D8639" s="51">
        <v>66.0</v>
      </c>
      <c r="E8639" s="52" t="s">
        <v>25</v>
      </c>
      <c r="F8639" s="52" t="s">
        <v>26</v>
      </c>
      <c r="G8639" s="53"/>
    </row>
    <row r="8640">
      <c r="A8640" s="49">
        <v>44784.87564309028</v>
      </c>
      <c r="B8640" s="50">
        <v>44785.0006183217</v>
      </c>
      <c r="C8640" s="51">
        <v>1.004</v>
      </c>
      <c r="D8640" s="51">
        <v>66.0</v>
      </c>
      <c r="E8640" s="52" t="s">
        <v>25</v>
      </c>
      <c r="F8640" s="52" t="s">
        <v>26</v>
      </c>
      <c r="G8640" s="53"/>
    </row>
    <row r="8641">
      <c r="A8641" s="49">
        <v>44784.88608662037</v>
      </c>
      <c r="B8641" s="50">
        <v>44785.0110521527</v>
      </c>
      <c r="C8641" s="51">
        <v>1.004</v>
      </c>
      <c r="D8641" s="51">
        <v>66.0</v>
      </c>
      <c r="E8641" s="52" t="s">
        <v>25</v>
      </c>
      <c r="F8641" s="52" t="s">
        <v>26</v>
      </c>
      <c r="G8641" s="53"/>
    </row>
    <row r="8642">
      <c r="A8642" s="49">
        <v>44784.89650444445</v>
      </c>
      <c r="B8642" s="50">
        <v>44785.0214737384</v>
      </c>
      <c r="C8642" s="51">
        <v>1.004</v>
      </c>
      <c r="D8642" s="51">
        <v>66.0</v>
      </c>
      <c r="E8642" s="52" t="s">
        <v>25</v>
      </c>
      <c r="F8642" s="52" t="s">
        <v>26</v>
      </c>
      <c r="G8642" s="53"/>
    </row>
    <row r="8643">
      <c r="A8643" s="49">
        <v>44784.906923194445</v>
      </c>
      <c r="B8643" s="50">
        <v>44785.0318965625</v>
      </c>
      <c r="C8643" s="51">
        <v>1.004</v>
      </c>
      <c r="D8643" s="51">
        <v>66.0</v>
      </c>
      <c r="E8643" s="52" t="s">
        <v>25</v>
      </c>
      <c r="F8643" s="52" t="s">
        <v>26</v>
      </c>
      <c r="G8643" s="53"/>
    </row>
    <row r="8644">
      <c r="A8644" s="49">
        <v>44784.917366215275</v>
      </c>
      <c r="B8644" s="50">
        <v>44785.0423289351</v>
      </c>
      <c r="C8644" s="51">
        <v>1.004</v>
      </c>
      <c r="D8644" s="51">
        <v>66.0</v>
      </c>
      <c r="E8644" s="52" t="s">
        <v>25</v>
      </c>
      <c r="F8644" s="52" t="s">
        <v>26</v>
      </c>
      <c r="G8644" s="53"/>
    </row>
    <row r="8645">
      <c r="A8645" s="49">
        <v>44784.92779003472</v>
      </c>
      <c r="B8645" s="50">
        <v>44785.0527515162</v>
      </c>
      <c r="C8645" s="51">
        <v>1.004</v>
      </c>
      <c r="D8645" s="51">
        <v>66.0</v>
      </c>
      <c r="E8645" s="52" t="s">
        <v>25</v>
      </c>
      <c r="F8645" s="52" t="s">
        <v>26</v>
      </c>
      <c r="G8645" s="53"/>
    </row>
    <row r="8646">
      <c r="A8646" s="49">
        <v>44784.93822498842</v>
      </c>
      <c r="B8646" s="50">
        <v>44785.0631954629</v>
      </c>
      <c r="C8646" s="51">
        <v>1.004</v>
      </c>
      <c r="D8646" s="51">
        <v>66.0</v>
      </c>
      <c r="E8646" s="52" t="s">
        <v>25</v>
      </c>
      <c r="F8646" s="52" t="s">
        <v>26</v>
      </c>
      <c r="G8646" s="53"/>
    </row>
    <row r="8647">
      <c r="A8647" s="49">
        <v>44784.9486380787</v>
      </c>
      <c r="B8647" s="50">
        <v>44785.0736166551</v>
      </c>
      <c r="C8647" s="51">
        <v>1.004</v>
      </c>
      <c r="D8647" s="51">
        <v>66.0</v>
      </c>
      <c r="E8647" s="52" t="s">
        <v>25</v>
      </c>
      <c r="F8647" s="52" t="s">
        <v>26</v>
      </c>
      <c r="G8647" s="53"/>
    </row>
    <row r="8648">
      <c r="A8648" s="49">
        <v>44784.95907269676</v>
      </c>
      <c r="B8648" s="50">
        <v>44785.0840386921</v>
      </c>
      <c r="C8648" s="51">
        <v>1.004</v>
      </c>
      <c r="D8648" s="51">
        <v>66.0</v>
      </c>
      <c r="E8648" s="52" t="s">
        <v>25</v>
      </c>
      <c r="F8648" s="52" t="s">
        <v>26</v>
      </c>
      <c r="G8648" s="53"/>
    </row>
    <row r="8649">
      <c r="A8649" s="49">
        <v>44784.96952733796</v>
      </c>
      <c r="B8649" s="50">
        <v>44785.094483368</v>
      </c>
      <c r="C8649" s="51">
        <v>1.004</v>
      </c>
      <c r="D8649" s="51">
        <v>66.0</v>
      </c>
      <c r="E8649" s="52" t="s">
        <v>25</v>
      </c>
      <c r="F8649" s="52" t="s">
        <v>26</v>
      </c>
      <c r="G8649" s="53"/>
    </row>
    <row r="8650">
      <c r="A8650" s="49">
        <v>44784.97993390047</v>
      </c>
      <c r="B8650" s="50">
        <v>44785.1049055439</v>
      </c>
      <c r="C8650" s="51">
        <v>1.004</v>
      </c>
      <c r="D8650" s="51">
        <v>66.0</v>
      </c>
      <c r="E8650" s="52" t="s">
        <v>25</v>
      </c>
      <c r="F8650" s="52" t="s">
        <v>26</v>
      </c>
      <c r="G8650" s="53"/>
    </row>
    <row r="8651">
      <c r="A8651" s="49">
        <v>44784.99035862269</v>
      </c>
      <c r="B8651" s="50">
        <v>44785.115327662</v>
      </c>
      <c r="C8651" s="51">
        <v>1.004</v>
      </c>
      <c r="D8651" s="51">
        <v>66.0</v>
      </c>
      <c r="E8651" s="52" t="s">
        <v>25</v>
      </c>
      <c r="F8651" s="52" t="s">
        <v>26</v>
      </c>
      <c r="G8651" s="53"/>
    </row>
    <row r="8652">
      <c r="A8652" s="49">
        <v>44785.00078127315</v>
      </c>
      <c r="B8652" s="50">
        <v>44785.125747662</v>
      </c>
      <c r="C8652" s="51">
        <v>1.004</v>
      </c>
      <c r="D8652" s="51">
        <v>66.0</v>
      </c>
      <c r="E8652" s="52" t="s">
        <v>25</v>
      </c>
      <c r="F8652" s="52" t="s">
        <v>26</v>
      </c>
      <c r="G8652" s="53"/>
    </row>
    <row r="8653">
      <c r="A8653" s="49">
        <v>44785.01120179398</v>
      </c>
      <c r="B8653" s="50">
        <v>44785.1361686111</v>
      </c>
      <c r="C8653" s="51">
        <v>1.004</v>
      </c>
      <c r="D8653" s="51">
        <v>66.0</v>
      </c>
      <c r="E8653" s="52" t="s">
        <v>25</v>
      </c>
      <c r="F8653" s="52" t="s">
        <v>26</v>
      </c>
      <c r="G8653" s="53"/>
    </row>
    <row r="8654">
      <c r="A8654" s="49">
        <v>44785.021625891204</v>
      </c>
      <c r="B8654" s="50">
        <v>44785.1465886574</v>
      </c>
      <c r="C8654" s="51">
        <v>1.004</v>
      </c>
      <c r="D8654" s="51">
        <v>66.0</v>
      </c>
      <c r="E8654" s="52" t="s">
        <v>25</v>
      </c>
      <c r="F8654" s="52" t="s">
        <v>26</v>
      </c>
      <c r="G8654" s="53"/>
    </row>
    <row r="8655">
      <c r="A8655" s="49">
        <v>44785.03203915509</v>
      </c>
      <c r="B8655" s="50">
        <v>44785.1570096064</v>
      </c>
      <c r="C8655" s="51">
        <v>1.004</v>
      </c>
      <c r="D8655" s="51">
        <v>66.0</v>
      </c>
      <c r="E8655" s="52" t="s">
        <v>25</v>
      </c>
      <c r="F8655" s="52" t="s">
        <v>26</v>
      </c>
      <c r="G8655" s="53"/>
    </row>
    <row r="8656">
      <c r="A8656" s="49">
        <v>44785.04246104167</v>
      </c>
      <c r="B8656" s="50">
        <v>44785.1674317939</v>
      </c>
      <c r="C8656" s="51">
        <v>1.004</v>
      </c>
      <c r="D8656" s="51">
        <v>66.0</v>
      </c>
      <c r="E8656" s="52" t="s">
        <v>25</v>
      </c>
      <c r="F8656" s="52" t="s">
        <v>26</v>
      </c>
      <c r="G8656" s="53"/>
    </row>
    <row r="8657">
      <c r="A8657" s="49">
        <v>44785.05288556713</v>
      </c>
      <c r="B8657" s="50">
        <v>44785.1778647453</v>
      </c>
      <c r="C8657" s="51">
        <v>1.004</v>
      </c>
      <c r="D8657" s="51">
        <v>66.0</v>
      </c>
      <c r="E8657" s="52" t="s">
        <v>25</v>
      </c>
      <c r="F8657" s="52" t="s">
        <v>26</v>
      </c>
      <c r="G8657" s="53"/>
    </row>
    <row r="8658">
      <c r="A8658" s="49">
        <v>44785.06331806713</v>
      </c>
      <c r="B8658" s="50">
        <v>44785.1882868981</v>
      </c>
      <c r="C8658" s="51">
        <v>1.004</v>
      </c>
      <c r="D8658" s="51">
        <v>66.0</v>
      </c>
      <c r="E8658" s="52" t="s">
        <v>25</v>
      </c>
      <c r="F8658" s="52" t="s">
        <v>26</v>
      </c>
      <c r="G8658" s="53"/>
    </row>
    <row r="8659">
      <c r="A8659" s="49">
        <v>44785.073741238426</v>
      </c>
      <c r="B8659" s="50">
        <v>44785.1987073148</v>
      </c>
      <c r="C8659" s="51">
        <v>1.004</v>
      </c>
      <c r="D8659" s="51">
        <v>66.0</v>
      </c>
      <c r="E8659" s="52" t="s">
        <v>25</v>
      </c>
      <c r="F8659" s="52" t="s">
        <v>26</v>
      </c>
      <c r="G8659" s="53"/>
    </row>
    <row r="8660">
      <c r="A8660" s="49">
        <v>44785.0841694213</v>
      </c>
      <c r="B8660" s="50">
        <v>44785.2091390277</v>
      </c>
      <c r="C8660" s="51">
        <v>1.004</v>
      </c>
      <c r="D8660" s="51">
        <v>66.0</v>
      </c>
      <c r="E8660" s="52" t="s">
        <v>25</v>
      </c>
      <c r="F8660" s="52" t="s">
        <v>26</v>
      </c>
      <c r="G8660" s="53"/>
    </row>
    <row r="8661">
      <c r="A8661" s="49">
        <v>44785.094584895836</v>
      </c>
      <c r="B8661" s="50">
        <v>44785.2195612384</v>
      </c>
      <c r="C8661" s="51">
        <v>1.004</v>
      </c>
      <c r="D8661" s="51">
        <v>66.0</v>
      </c>
      <c r="E8661" s="52" t="s">
        <v>25</v>
      </c>
      <c r="F8661" s="52" t="s">
        <v>26</v>
      </c>
      <c r="G8661" s="53"/>
    </row>
    <row r="8662">
      <c r="A8662" s="49">
        <v>44785.10500278935</v>
      </c>
      <c r="B8662" s="50">
        <v>44785.2299826736</v>
      </c>
      <c r="C8662" s="51">
        <v>1.004</v>
      </c>
      <c r="D8662" s="51">
        <v>66.0</v>
      </c>
      <c r="E8662" s="52" t="s">
        <v>25</v>
      </c>
      <c r="F8662" s="52" t="s">
        <v>26</v>
      </c>
      <c r="G8662" s="53"/>
    </row>
    <row r="8663">
      <c r="A8663" s="49">
        <v>44785.1154345949</v>
      </c>
      <c r="B8663" s="50">
        <v>44785.2404039814</v>
      </c>
      <c r="C8663" s="51">
        <v>1.004</v>
      </c>
      <c r="D8663" s="51">
        <v>66.0</v>
      </c>
      <c r="E8663" s="52" t="s">
        <v>25</v>
      </c>
      <c r="F8663" s="52" t="s">
        <v>26</v>
      </c>
      <c r="G8663" s="53"/>
    </row>
    <row r="8664">
      <c r="A8664" s="49">
        <v>44785.125923125</v>
      </c>
      <c r="B8664" s="50">
        <v>44785.2508830671</v>
      </c>
      <c r="C8664" s="51">
        <v>1.004</v>
      </c>
      <c r="D8664" s="51">
        <v>66.0</v>
      </c>
      <c r="E8664" s="52" t="s">
        <v>25</v>
      </c>
      <c r="F8664" s="52" t="s">
        <v>26</v>
      </c>
      <c r="G8664" s="53"/>
    </row>
    <row r="8665">
      <c r="A8665" s="49">
        <v>44785.13633555555</v>
      </c>
      <c r="B8665" s="50">
        <v>44785.2613053935</v>
      </c>
      <c r="C8665" s="51">
        <v>1.004</v>
      </c>
      <c r="D8665" s="51">
        <v>66.0</v>
      </c>
      <c r="E8665" s="52" t="s">
        <v>25</v>
      </c>
      <c r="F8665" s="52" t="s">
        <v>26</v>
      </c>
      <c r="G8665" s="53"/>
    </row>
    <row r="8666">
      <c r="A8666" s="49">
        <v>44785.14676166666</v>
      </c>
      <c r="B8666" s="50">
        <v>44785.2717274305</v>
      </c>
      <c r="C8666" s="51">
        <v>1.004</v>
      </c>
      <c r="D8666" s="51">
        <v>66.0</v>
      </c>
      <c r="E8666" s="52" t="s">
        <v>25</v>
      </c>
      <c r="F8666" s="52" t="s">
        <v>26</v>
      </c>
      <c r="G8666" s="53"/>
    </row>
    <row r="8667">
      <c r="A8667" s="49">
        <v>44785.15718070602</v>
      </c>
      <c r="B8667" s="50">
        <v>44785.2821593981</v>
      </c>
      <c r="C8667" s="51">
        <v>1.004</v>
      </c>
      <c r="D8667" s="51">
        <v>66.0</v>
      </c>
      <c r="E8667" s="52" t="s">
        <v>25</v>
      </c>
      <c r="F8667" s="52" t="s">
        <v>26</v>
      </c>
      <c r="G8667" s="53"/>
    </row>
    <row r="8668">
      <c r="A8668" s="49">
        <v>44785.167613020836</v>
      </c>
      <c r="B8668" s="50">
        <v>44785.2925824421</v>
      </c>
      <c r="C8668" s="51">
        <v>1.004</v>
      </c>
      <c r="D8668" s="51">
        <v>66.0</v>
      </c>
      <c r="E8668" s="52" t="s">
        <v>25</v>
      </c>
      <c r="F8668" s="52" t="s">
        <v>26</v>
      </c>
      <c r="G8668" s="53"/>
    </row>
    <row r="8669">
      <c r="A8669" s="49">
        <v>44785.178055428245</v>
      </c>
      <c r="B8669" s="50">
        <v>44785.3030264699</v>
      </c>
      <c r="C8669" s="51">
        <v>1.004</v>
      </c>
      <c r="D8669" s="51">
        <v>67.0</v>
      </c>
      <c r="E8669" s="52" t="s">
        <v>25</v>
      </c>
      <c r="F8669" s="52" t="s">
        <v>26</v>
      </c>
      <c r="G8669" s="53"/>
    </row>
    <row r="8670">
      <c r="A8670" s="49">
        <v>44785.18847736111</v>
      </c>
      <c r="B8670" s="50">
        <v>44785.3134484143</v>
      </c>
      <c r="C8670" s="51">
        <v>1.004</v>
      </c>
      <c r="D8670" s="51">
        <v>67.0</v>
      </c>
      <c r="E8670" s="52" t="s">
        <v>25</v>
      </c>
      <c r="F8670" s="52" t="s">
        <v>26</v>
      </c>
      <c r="G8670" s="53"/>
    </row>
    <row r="8671">
      <c r="A8671" s="49">
        <v>44785.19889752315</v>
      </c>
      <c r="B8671" s="50">
        <v>44785.3238693634</v>
      </c>
      <c r="C8671" s="51">
        <v>1.004</v>
      </c>
      <c r="D8671" s="51">
        <v>67.0</v>
      </c>
      <c r="E8671" s="52" t="s">
        <v>25</v>
      </c>
      <c r="F8671" s="52" t="s">
        <v>26</v>
      </c>
      <c r="G8671" s="53"/>
    </row>
    <row r="8672">
      <c r="A8672" s="49">
        <v>44785.20931959491</v>
      </c>
      <c r="B8672" s="50">
        <v>44785.3342895949</v>
      </c>
      <c r="C8672" s="51">
        <v>1.004</v>
      </c>
      <c r="D8672" s="51">
        <v>67.0</v>
      </c>
      <c r="E8672" s="52" t="s">
        <v>25</v>
      </c>
      <c r="F8672" s="52" t="s">
        <v>26</v>
      </c>
      <c r="G8672" s="53"/>
    </row>
    <row r="8673">
      <c r="A8673" s="49">
        <v>44785.219736886575</v>
      </c>
      <c r="B8673" s="50">
        <v>44785.3447107754</v>
      </c>
      <c r="C8673" s="51">
        <v>1.004</v>
      </c>
      <c r="D8673" s="51">
        <v>67.0</v>
      </c>
      <c r="E8673" s="52" t="s">
        <v>25</v>
      </c>
      <c r="F8673" s="52" t="s">
        <v>26</v>
      </c>
      <c r="G8673" s="53"/>
    </row>
    <row r="8674">
      <c r="A8674" s="49">
        <v>44785.230157060185</v>
      </c>
      <c r="B8674" s="50">
        <v>44785.355130949</v>
      </c>
      <c r="C8674" s="51">
        <v>1.004</v>
      </c>
      <c r="D8674" s="51">
        <v>67.0</v>
      </c>
      <c r="E8674" s="52" t="s">
        <v>25</v>
      </c>
      <c r="F8674" s="52" t="s">
        <v>26</v>
      </c>
      <c r="G8674" s="53"/>
    </row>
    <row r="8675">
      <c r="A8675" s="49">
        <v>44785.240584328705</v>
      </c>
      <c r="B8675" s="50">
        <v>44785.3655525115</v>
      </c>
      <c r="C8675" s="51">
        <v>1.004</v>
      </c>
      <c r="D8675" s="51">
        <v>67.0</v>
      </c>
      <c r="E8675" s="52" t="s">
        <v>25</v>
      </c>
      <c r="F8675" s="52" t="s">
        <v>26</v>
      </c>
      <c r="G8675" s="53"/>
    </row>
    <row r="8676">
      <c r="A8676" s="49">
        <v>44785.25100769676</v>
      </c>
      <c r="B8676" s="50">
        <v>44785.3759749652</v>
      </c>
      <c r="C8676" s="51">
        <v>1.004</v>
      </c>
      <c r="D8676" s="51">
        <v>67.0</v>
      </c>
      <c r="E8676" s="52" t="s">
        <v>25</v>
      </c>
      <c r="F8676" s="52" t="s">
        <v>26</v>
      </c>
      <c r="G8676" s="53"/>
    </row>
    <row r="8677">
      <c r="A8677" s="49">
        <v>44785.26142659722</v>
      </c>
      <c r="B8677" s="50">
        <v>44785.3863959259</v>
      </c>
      <c r="C8677" s="51">
        <v>1.004</v>
      </c>
      <c r="D8677" s="51">
        <v>67.0</v>
      </c>
      <c r="E8677" s="52" t="s">
        <v>25</v>
      </c>
      <c r="F8677" s="52" t="s">
        <v>26</v>
      </c>
      <c r="G8677" s="53"/>
    </row>
    <row r="8678">
      <c r="A8678" s="49">
        <v>44785.271879884254</v>
      </c>
      <c r="B8678" s="50">
        <v>44785.3968530671</v>
      </c>
      <c r="C8678" s="51">
        <v>1.004</v>
      </c>
      <c r="D8678" s="51">
        <v>67.0</v>
      </c>
      <c r="E8678" s="52" t="s">
        <v>25</v>
      </c>
      <c r="F8678" s="52" t="s">
        <v>26</v>
      </c>
      <c r="G8678" s="53"/>
    </row>
    <row r="8679">
      <c r="A8679" s="49">
        <v>44785.28231550926</v>
      </c>
      <c r="B8679" s="50">
        <v>44785.4072857407</v>
      </c>
      <c r="C8679" s="51">
        <v>1.004</v>
      </c>
      <c r="D8679" s="51">
        <v>67.0</v>
      </c>
      <c r="E8679" s="52" t="s">
        <v>25</v>
      </c>
      <c r="F8679" s="52" t="s">
        <v>26</v>
      </c>
      <c r="G8679" s="53"/>
    </row>
    <row r="8680">
      <c r="A8680" s="49">
        <v>44785.292737916665</v>
      </c>
      <c r="B8680" s="50">
        <v>44785.4177062384</v>
      </c>
      <c r="C8680" s="51">
        <v>1.004</v>
      </c>
      <c r="D8680" s="51">
        <v>67.0</v>
      </c>
      <c r="E8680" s="52" t="s">
        <v>25</v>
      </c>
      <c r="F8680" s="52" t="s">
        <v>26</v>
      </c>
      <c r="G8680" s="53"/>
    </row>
    <row r="8681">
      <c r="A8681" s="49">
        <v>44785.30316056713</v>
      </c>
      <c r="B8681" s="50">
        <v>44785.4281272916</v>
      </c>
      <c r="C8681" s="51">
        <v>1.004</v>
      </c>
      <c r="D8681" s="51">
        <v>67.0</v>
      </c>
      <c r="E8681" s="52" t="s">
        <v>25</v>
      </c>
      <c r="F8681" s="52" t="s">
        <v>26</v>
      </c>
      <c r="G8681" s="53"/>
    </row>
    <row r="8682">
      <c r="A8682" s="49">
        <v>44785.313575266206</v>
      </c>
      <c r="B8682" s="50">
        <v>44785.4385496527</v>
      </c>
      <c r="C8682" s="51">
        <v>1.004</v>
      </c>
      <c r="D8682" s="51">
        <v>67.0</v>
      </c>
      <c r="E8682" s="52" t="s">
        <v>25</v>
      </c>
      <c r="F8682" s="52" t="s">
        <v>26</v>
      </c>
      <c r="G8682" s="53"/>
    </row>
    <row r="8683">
      <c r="A8683" s="49">
        <v>44785.32400057871</v>
      </c>
      <c r="B8683" s="50">
        <v>44785.4489676504</v>
      </c>
      <c r="C8683" s="51">
        <v>1.004</v>
      </c>
      <c r="D8683" s="51">
        <v>67.0</v>
      </c>
      <c r="E8683" s="52" t="s">
        <v>25</v>
      </c>
      <c r="F8683" s="52" t="s">
        <v>26</v>
      </c>
      <c r="G8683" s="53"/>
    </row>
    <row r="8684">
      <c r="A8684" s="49">
        <v>44785.33440813658</v>
      </c>
      <c r="B8684" s="50">
        <v>44785.4593883217</v>
      </c>
      <c r="C8684" s="51">
        <v>1.004</v>
      </c>
      <c r="D8684" s="51">
        <v>67.0</v>
      </c>
      <c r="E8684" s="52" t="s">
        <v>25</v>
      </c>
      <c r="F8684" s="52" t="s">
        <v>26</v>
      </c>
      <c r="G8684" s="53"/>
    </row>
    <row r="8685">
      <c r="A8685" s="49">
        <v>44785.3448737037</v>
      </c>
      <c r="B8685" s="50">
        <v>44785.4698329398</v>
      </c>
      <c r="C8685" s="51">
        <v>1.004</v>
      </c>
      <c r="D8685" s="51">
        <v>67.0</v>
      </c>
      <c r="E8685" s="52" t="s">
        <v>25</v>
      </c>
      <c r="F8685" s="52" t="s">
        <v>26</v>
      </c>
      <c r="G8685" s="53"/>
    </row>
    <row r="8686">
      <c r="A8686" s="49">
        <v>44785.3552880787</v>
      </c>
      <c r="B8686" s="50">
        <v>44785.4802531828</v>
      </c>
      <c r="C8686" s="51">
        <v>1.004</v>
      </c>
      <c r="D8686" s="51">
        <v>67.0</v>
      </c>
      <c r="E8686" s="52" t="s">
        <v>25</v>
      </c>
      <c r="F8686" s="52" t="s">
        <v>26</v>
      </c>
      <c r="G8686" s="53"/>
    </row>
    <row r="8687">
      <c r="A8687" s="49">
        <v>44785.36570456019</v>
      </c>
      <c r="B8687" s="50">
        <v>44785.4906759953</v>
      </c>
      <c r="C8687" s="51">
        <v>1.004</v>
      </c>
      <c r="D8687" s="51">
        <v>67.0</v>
      </c>
      <c r="E8687" s="52" t="s">
        <v>25</v>
      </c>
      <c r="F8687" s="52" t="s">
        <v>26</v>
      </c>
      <c r="G8687" s="53"/>
    </row>
    <row r="8688">
      <c r="A8688" s="49">
        <v>44785.3761319676</v>
      </c>
      <c r="B8688" s="50">
        <v>44785.5010969097</v>
      </c>
      <c r="C8688" s="51">
        <v>1.004</v>
      </c>
      <c r="D8688" s="51">
        <v>67.0</v>
      </c>
      <c r="E8688" s="52" t="s">
        <v>25</v>
      </c>
      <c r="F8688" s="52" t="s">
        <v>26</v>
      </c>
      <c r="G8688" s="53"/>
    </row>
    <row r="8689">
      <c r="A8689" s="49">
        <v>44785.38655709491</v>
      </c>
      <c r="B8689" s="50">
        <v>44785.5115182175</v>
      </c>
      <c r="C8689" s="51">
        <v>1.004</v>
      </c>
      <c r="D8689" s="51">
        <v>67.0</v>
      </c>
      <c r="E8689" s="52" t="s">
        <v>25</v>
      </c>
      <c r="F8689" s="52" t="s">
        <v>26</v>
      </c>
      <c r="G8689" s="53"/>
    </row>
    <row r="8690">
      <c r="A8690" s="49">
        <v>44785.39696819444</v>
      </c>
      <c r="B8690" s="50">
        <v>44785.521939074</v>
      </c>
      <c r="C8690" s="51">
        <v>1.004</v>
      </c>
      <c r="D8690" s="51">
        <v>67.0</v>
      </c>
      <c r="E8690" s="52" t="s">
        <v>25</v>
      </c>
      <c r="F8690" s="52" t="s">
        <v>26</v>
      </c>
      <c r="G8690" s="53"/>
    </row>
    <row r="8691">
      <c r="A8691" s="49">
        <v>44785.40739245371</v>
      </c>
      <c r="B8691" s="50">
        <v>44785.5323598611</v>
      </c>
      <c r="C8691" s="51">
        <v>1.004</v>
      </c>
      <c r="D8691" s="51">
        <v>67.0</v>
      </c>
      <c r="E8691" s="52" t="s">
        <v>25</v>
      </c>
      <c r="F8691" s="52" t="s">
        <v>26</v>
      </c>
      <c r="G8691" s="53"/>
    </row>
    <row r="8692">
      <c r="A8692" s="49">
        <v>44785.41781346065</v>
      </c>
      <c r="B8692" s="50">
        <v>44785.542780706</v>
      </c>
      <c r="C8692" s="51">
        <v>1.004</v>
      </c>
      <c r="D8692" s="51">
        <v>67.0</v>
      </c>
      <c r="E8692" s="52" t="s">
        <v>25</v>
      </c>
      <c r="F8692" s="52" t="s">
        <v>26</v>
      </c>
      <c r="G8692" s="53"/>
    </row>
    <row r="8693">
      <c r="A8693" s="49">
        <v>44785.4282322338</v>
      </c>
      <c r="B8693" s="50">
        <v>44785.5532019328</v>
      </c>
      <c r="C8693" s="51">
        <v>1.004</v>
      </c>
      <c r="D8693" s="51">
        <v>67.0</v>
      </c>
      <c r="E8693" s="52" t="s">
        <v>25</v>
      </c>
      <c r="F8693" s="52" t="s">
        <v>26</v>
      </c>
      <c r="G8693" s="53"/>
    </row>
    <row r="8694">
      <c r="A8694" s="49">
        <v>44785.43865146991</v>
      </c>
      <c r="B8694" s="50">
        <v>44785.5636229398</v>
      </c>
      <c r="C8694" s="51">
        <v>1.004</v>
      </c>
      <c r="D8694" s="51">
        <v>67.0</v>
      </c>
      <c r="E8694" s="52" t="s">
        <v>25</v>
      </c>
      <c r="F8694" s="52" t="s">
        <v>26</v>
      </c>
      <c r="G8694" s="53"/>
    </row>
    <row r="8695">
      <c r="A8695" s="49">
        <v>44785.44907163194</v>
      </c>
      <c r="B8695" s="50">
        <v>44785.5740433449</v>
      </c>
      <c r="C8695" s="51">
        <v>1.004</v>
      </c>
      <c r="D8695" s="51">
        <v>67.0</v>
      </c>
      <c r="E8695" s="52" t="s">
        <v>25</v>
      </c>
      <c r="F8695" s="52" t="s">
        <v>26</v>
      </c>
      <c r="G8695" s="53"/>
    </row>
    <row r="8696">
      <c r="A8696" s="49">
        <v>44785.45949145833</v>
      </c>
      <c r="B8696" s="50">
        <v>44785.5844647569</v>
      </c>
      <c r="C8696" s="51">
        <v>1.004</v>
      </c>
      <c r="D8696" s="51">
        <v>67.0</v>
      </c>
      <c r="E8696" s="52" t="s">
        <v>25</v>
      </c>
      <c r="F8696" s="52" t="s">
        <v>26</v>
      </c>
      <c r="G8696" s="53"/>
    </row>
    <row r="8697">
      <c r="A8697" s="49">
        <v>44785.46994447916</v>
      </c>
      <c r="B8697" s="50">
        <v>44785.5949089351</v>
      </c>
      <c r="C8697" s="51">
        <v>1.004</v>
      </c>
      <c r="D8697" s="51">
        <v>67.0</v>
      </c>
      <c r="E8697" s="52" t="s">
        <v>25</v>
      </c>
      <c r="F8697" s="52" t="s">
        <v>26</v>
      </c>
      <c r="G8697" s="53"/>
    </row>
    <row r="8698">
      <c r="A8698" s="49">
        <v>44785.48036180556</v>
      </c>
      <c r="B8698" s="50">
        <v>44785.6053297916</v>
      </c>
      <c r="C8698" s="51">
        <v>1.004</v>
      </c>
      <c r="D8698" s="51">
        <v>67.0</v>
      </c>
      <c r="E8698" s="52" t="s">
        <v>25</v>
      </c>
      <c r="F8698" s="52" t="s">
        <v>26</v>
      </c>
      <c r="G8698" s="53"/>
    </row>
    <row r="8699">
      <c r="A8699" s="49">
        <v>44785.49078299769</v>
      </c>
      <c r="B8699" s="50">
        <v>44785.6157509838</v>
      </c>
      <c r="C8699" s="51">
        <v>1.004</v>
      </c>
      <c r="D8699" s="51">
        <v>67.0</v>
      </c>
      <c r="E8699" s="52" t="s">
        <v>25</v>
      </c>
      <c r="F8699" s="52" t="s">
        <v>26</v>
      </c>
      <c r="G8699" s="53"/>
    </row>
    <row r="8700">
      <c r="A8700" s="49">
        <v>44785.50120109954</v>
      </c>
      <c r="B8700" s="50">
        <v>44785.6261728703</v>
      </c>
      <c r="C8700" s="51">
        <v>1.004</v>
      </c>
      <c r="D8700" s="51">
        <v>67.0</v>
      </c>
      <c r="E8700" s="52" t="s">
        <v>25</v>
      </c>
      <c r="F8700" s="52" t="s">
        <v>26</v>
      </c>
      <c r="G8700" s="53"/>
    </row>
    <row r="8701">
      <c r="A8701" s="49">
        <v>44785.51164008102</v>
      </c>
      <c r="B8701" s="50">
        <v>44785.6366073495</v>
      </c>
      <c r="C8701" s="51">
        <v>1.004</v>
      </c>
      <c r="D8701" s="51">
        <v>67.0</v>
      </c>
      <c r="E8701" s="52" t="s">
        <v>25</v>
      </c>
      <c r="F8701" s="52" t="s">
        <v>26</v>
      </c>
      <c r="G8701" s="53"/>
    </row>
    <row r="8702">
      <c r="A8702" s="49">
        <v>44785.522059641204</v>
      </c>
      <c r="B8702" s="50">
        <v>44785.647030625</v>
      </c>
      <c r="C8702" s="51">
        <v>1.004</v>
      </c>
      <c r="D8702" s="51">
        <v>67.0</v>
      </c>
      <c r="E8702" s="52" t="s">
        <v>25</v>
      </c>
      <c r="F8702" s="52" t="s">
        <v>26</v>
      </c>
      <c r="G8702" s="53"/>
    </row>
    <row r="8703">
      <c r="A8703" s="49">
        <v>44785.53248363426</v>
      </c>
      <c r="B8703" s="50">
        <v>44785.657451574</v>
      </c>
      <c r="C8703" s="51">
        <v>1.004</v>
      </c>
      <c r="D8703" s="51">
        <v>67.0</v>
      </c>
      <c r="E8703" s="52" t="s">
        <v>25</v>
      </c>
      <c r="F8703" s="52" t="s">
        <v>26</v>
      </c>
      <c r="G8703" s="53"/>
    </row>
    <row r="8704">
      <c r="A8704" s="49">
        <v>44785.542905532406</v>
      </c>
      <c r="B8704" s="50">
        <v>44785.6678714236</v>
      </c>
      <c r="C8704" s="51">
        <v>1.004</v>
      </c>
      <c r="D8704" s="51">
        <v>67.0</v>
      </c>
      <c r="E8704" s="52" t="s">
        <v>25</v>
      </c>
      <c r="F8704" s="52" t="s">
        <v>26</v>
      </c>
      <c r="G8704" s="53"/>
    </row>
    <row r="8705">
      <c r="A8705" s="49">
        <v>44785.55332717593</v>
      </c>
      <c r="B8705" s="50">
        <v>44785.6782932523</v>
      </c>
      <c r="C8705" s="51">
        <v>1.004</v>
      </c>
      <c r="D8705" s="51">
        <v>67.0</v>
      </c>
      <c r="E8705" s="52" t="s">
        <v>25</v>
      </c>
      <c r="F8705" s="52" t="s">
        <v>26</v>
      </c>
      <c r="G8705" s="53"/>
    </row>
    <row r="8706">
      <c r="A8706" s="49">
        <v>44785.56375291667</v>
      </c>
      <c r="B8706" s="50">
        <v>44785.6887254745</v>
      </c>
      <c r="C8706" s="51">
        <v>1.004</v>
      </c>
      <c r="D8706" s="51">
        <v>67.0</v>
      </c>
      <c r="E8706" s="52" t="s">
        <v>25</v>
      </c>
      <c r="F8706" s="52" t="s">
        <v>26</v>
      </c>
      <c r="G8706" s="53"/>
    </row>
    <row r="8707">
      <c r="A8707" s="49">
        <v>44785.57417600694</v>
      </c>
      <c r="B8707" s="50">
        <v>44785.6991465972</v>
      </c>
      <c r="C8707" s="51">
        <v>1.004</v>
      </c>
      <c r="D8707" s="51">
        <v>67.0</v>
      </c>
      <c r="E8707" s="52" t="s">
        <v>25</v>
      </c>
      <c r="F8707" s="52" t="s">
        <v>26</v>
      </c>
      <c r="G8707" s="53"/>
    </row>
    <row r="8708">
      <c r="A8708" s="49">
        <v>44785.58460819445</v>
      </c>
      <c r="B8708" s="50">
        <v>44785.7095780324</v>
      </c>
      <c r="C8708" s="51">
        <v>1.004</v>
      </c>
      <c r="D8708" s="51">
        <v>67.0</v>
      </c>
      <c r="E8708" s="52" t="s">
        <v>25</v>
      </c>
      <c r="F8708" s="52" t="s">
        <v>26</v>
      </c>
      <c r="G8708" s="53"/>
    </row>
    <row r="8709">
      <c r="A8709" s="49">
        <v>44785.5950490625</v>
      </c>
      <c r="B8709" s="50">
        <v>44785.7200243171</v>
      </c>
      <c r="C8709" s="51">
        <v>1.004</v>
      </c>
      <c r="D8709" s="51">
        <v>67.0</v>
      </c>
      <c r="E8709" s="52" t="s">
        <v>25</v>
      </c>
      <c r="F8709" s="52" t="s">
        <v>26</v>
      </c>
      <c r="G8709" s="53"/>
    </row>
    <row r="8710">
      <c r="A8710" s="49">
        <v>44785.60546471065</v>
      </c>
      <c r="B8710" s="50">
        <v>44785.7304449189</v>
      </c>
      <c r="C8710" s="51">
        <v>1.004</v>
      </c>
      <c r="D8710" s="51">
        <v>67.0</v>
      </c>
      <c r="E8710" s="52" t="s">
        <v>25</v>
      </c>
      <c r="F8710" s="52" t="s">
        <v>26</v>
      </c>
      <c r="G8710" s="53"/>
    </row>
    <row r="8711">
      <c r="A8711" s="49">
        <v>44785.61588725694</v>
      </c>
      <c r="B8711" s="50">
        <v>44785.7408666319</v>
      </c>
      <c r="C8711" s="51">
        <v>1.004</v>
      </c>
      <c r="D8711" s="51">
        <v>67.0</v>
      </c>
      <c r="E8711" s="52" t="s">
        <v>25</v>
      </c>
      <c r="F8711" s="52" t="s">
        <v>26</v>
      </c>
      <c r="G8711" s="53"/>
    </row>
    <row r="8712">
      <c r="A8712" s="49">
        <v>44785.62633237269</v>
      </c>
      <c r="B8712" s="50">
        <v>44785.7512995254</v>
      </c>
      <c r="C8712" s="51">
        <v>1.004</v>
      </c>
      <c r="D8712" s="51">
        <v>67.0</v>
      </c>
      <c r="E8712" s="52" t="s">
        <v>25</v>
      </c>
      <c r="F8712" s="52" t="s">
        <v>26</v>
      </c>
      <c r="G8712" s="53"/>
    </row>
    <row r="8713">
      <c r="A8713" s="49">
        <v>44785.63675153935</v>
      </c>
      <c r="B8713" s="50">
        <v>44785.7617200347</v>
      </c>
      <c r="C8713" s="51">
        <v>1.004</v>
      </c>
      <c r="D8713" s="51">
        <v>67.0</v>
      </c>
      <c r="E8713" s="52" t="s">
        <v>25</v>
      </c>
      <c r="F8713" s="52" t="s">
        <v>26</v>
      </c>
      <c r="G8713" s="53"/>
    </row>
    <row r="8714">
      <c r="A8714" s="49">
        <v>44785.64719402778</v>
      </c>
      <c r="B8714" s="50">
        <v>44785.7721645486</v>
      </c>
      <c r="C8714" s="51">
        <v>1.004</v>
      </c>
      <c r="D8714" s="51">
        <v>67.0</v>
      </c>
      <c r="E8714" s="52" t="s">
        <v>25</v>
      </c>
      <c r="F8714" s="52" t="s">
        <v>26</v>
      </c>
      <c r="G8714" s="53"/>
    </row>
    <row r="8715">
      <c r="A8715" s="49">
        <v>44785.657610775466</v>
      </c>
      <c r="B8715" s="50">
        <v>44785.7825850925</v>
      </c>
      <c r="C8715" s="51">
        <v>1.004</v>
      </c>
      <c r="D8715" s="51">
        <v>67.0</v>
      </c>
      <c r="E8715" s="52" t="s">
        <v>25</v>
      </c>
      <c r="F8715" s="52" t="s">
        <v>26</v>
      </c>
      <c r="G8715" s="53"/>
    </row>
    <row r="8716">
      <c r="A8716" s="49">
        <v>44785.66802931713</v>
      </c>
      <c r="B8716" s="50">
        <v>44785.7930061458</v>
      </c>
      <c r="C8716" s="51">
        <v>1.004</v>
      </c>
      <c r="D8716" s="51">
        <v>67.0</v>
      </c>
      <c r="E8716" s="52" t="s">
        <v>25</v>
      </c>
      <c r="F8716" s="52" t="s">
        <v>26</v>
      </c>
      <c r="G8716" s="53"/>
    </row>
    <row r="8717">
      <c r="A8717" s="49">
        <v>44785.67844876157</v>
      </c>
      <c r="B8717" s="50">
        <v>44785.803425949</v>
      </c>
      <c r="C8717" s="51">
        <v>1.004</v>
      </c>
      <c r="D8717" s="51">
        <v>67.0</v>
      </c>
      <c r="E8717" s="52" t="s">
        <v>25</v>
      </c>
      <c r="F8717" s="52" t="s">
        <v>26</v>
      </c>
      <c r="G8717" s="53"/>
    </row>
    <row r="8718">
      <c r="A8718" s="49">
        <v>44785.688908854165</v>
      </c>
      <c r="B8718" s="50">
        <v>44785.8138712731</v>
      </c>
      <c r="C8718" s="51">
        <v>1.004</v>
      </c>
      <c r="D8718" s="51">
        <v>67.0</v>
      </c>
      <c r="E8718" s="52" t="s">
        <v>25</v>
      </c>
      <c r="F8718" s="52" t="s">
        <v>26</v>
      </c>
      <c r="G8718" s="53"/>
    </row>
    <row r="8719">
      <c r="A8719" s="49">
        <v>44785.69932128472</v>
      </c>
      <c r="B8719" s="50">
        <v>44785.8242908564</v>
      </c>
      <c r="C8719" s="51">
        <v>1.004</v>
      </c>
      <c r="D8719" s="51">
        <v>67.0</v>
      </c>
      <c r="E8719" s="52" t="s">
        <v>25</v>
      </c>
      <c r="F8719" s="52" t="s">
        <v>26</v>
      </c>
      <c r="G8719" s="53"/>
    </row>
    <row r="8720">
      <c r="A8720" s="49">
        <v>44785.70975042824</v>
      </c>
      <c r="B8720" s="50">
        <v>44785.8347240972</v>
      </c>
      <c r="C8720" s="51">
        <v>1.004</v>
      </c>
      <c r="D8720" s="51">
        <v>67.0</v>
      </c>
      <c r="E8720" s="52" t="s">
        <v>25</v>
      </c>
      <c r="F8720" s="52" t="s">
        <v>26</v>
      </c>
      <c r="G8720" s="53"/>
    </row>
    <row r="8721">
      <c r="A8721" s="49">
        <v>44785.7201753125</v>
      </c>
      <c r="B8721" s="50">
        <v>44785.8451449884</v>
      </c>
      <c r="C8721" s="51">
        <v>1.004</v>
      </c>
      <c r="D8721" s="51">
        <v>67.0</v>
      </c>
      <c r="E8721" s="52" t="s">
        <v>25</v>
      </c>
      <c r="F8721" s="52" t="s">
        <v>26</v>
      </c>
      <c r="G8721" s="53"/>
    </row>
    <row r="8722">
      <c r="A8722" s="49">
        <v>44785.73059556713</v>
      </c>
      <c r="B8722" s="50">
        <v>44785.8555676851</v>
      </c>
      <c r="C8722" s="51">
        <v>1.004</v>
      </c>
      <c r="D8722" s="51">
        <v>67.0</v>
      </c>
      <c r="E8722" s="52" t="s">
        <v>25</v>
      </c>
      <c r="F8722" s="52" t="s">
        <v>26</v>
      </c>
      <c r="G8722" s="53"/>
    </row>
    <row r="8723">
      <c r="A8723" s="49">
        <v>44785.741019849534</v>
      </c>
      <c r="B8723" s="50">
        <v>44785.865988125</v>
      </c>
      <c r="C8723" s="51">
        <v>1.004</v>
      </c>
      <c r="D8723" s="51">
        <v>67.0</v>
      </c>
      <c r="E8723" s="52" t="s">
        <v>25</v>
      </c>
      <c r="F8723" s="52" t="s">
        <v>26</v>
      </c>
      <c r="G8723" s="53"/>
    </row>
    <row r="8724">
      <c r="A8724" s="49">
        <v>44785.75143708334</v>
      </c>
      <c r="B8724" s="50">
        <v>44785.8764103935</v>
      </c>
      <c r="C8724" s="51">
        <v>1.004</v>
      </c>
      <c r="D8724" s="51">
        <v>68.0</v>
      </c>
      <c r="E8724" s="52" t="s">
        <v>25</v>
      </c>
      <c r="F8724" s="52" t="s">
        <v>26</v>
      </c>
      <c r="G8724" s="53"/>
    </row>
    <row r="8725">
      <c r="A8725" s="49">
        <v>44785.76185552083</v>
      </c>
      <c r="B8725" s="50">
        <v>44785.8868308912</v>
      </c>
      <c r="C8725" s="51">
        <v>1.004</v>
      </c>
      <c r="D8725" s="51">
        <v>68.0</v>
      </c>
      <c r="E8725" s="52" t="s">
        <v>25</v>
      </c>
      <c r="F8725" s="52" t="s">
        <v>26</v>
      </c>
      <c r="G8725" s="53"/>
    </row>
    <row r="8726">
      <c r="A8726" s="49">
        <v>44785.772271724534</v>
      </c>
      <c r="B8726" s="50">
        <v>44785.8972519675</v>
      </c>
      <c r="C8726" s="51">
        <v>1.004</v>
      </c>
      <c r="D8726" s="51">
        <v>68.0</v>
      </c>
      <c r="E8726" s="52" t="s">
        <v>25</v>
      </c>
      <c r="F8726" s="52" t="s">
        <v>26</v>
      </c>
      <c r="G8726" s="53"/>
    </row>
    <row r="8727">
      <c r="A8727" s="49">
        <v>44785.782701840275</v>
      </c>
      <c r="B8727" s="50">
        <v>44785.9076745601</v>
      </c>
      <c r="C8727" s="51">
        <v>1.004</v>
      </c>
      <c r="D8727" s="51">
        <v>68.0</v>
      </c>
      <c r="E8727" s="52" t="s">
        <v>25</v>
      </c>
      <c r="F8727" s="52" t="s">
        <v>26</v>
      </c>
      <c r="G8727" s="53"/>
    </row>
    <row r="8728">
      <c r="A8728" s="49">
        <v>44785.79312130787</v>
      </c>
      <c r="B8728" s="50">
        <v>44785.9180954513</v>
      </c>
      <c r="C8728" s="51">
        <v>1.004</v>
      </c>
      <c r="D8728" s="51">
        <v>68.0</v>
      </c>
      <c r="E8728" s="52" t="s">
        <v>25</v>
      </c>
      <c r="F8728" s="52" t="s">
        <v>26</v>
      </c>
      <c r="G8728" s="53"/>
    </row>
    <row r="8729">
      <c r="A8729" s="49">
        <v>44785.80354774305</v>
      </c>
      <c r="B8729" s="50">
        <v>44785.9285168981</v>
      </c>
      <c r="C8729" s="51">
        <v>1.004</v>
      </c>
      <c r="D8729" s="51">
        <v>68.0</v>
      </c>
      <c r="E8729" s="52" t="s">
        <v>25</v>
      </c>
      <c r="F8729" s="52" t="s">
        <v>26</v>
      </c>
      <c r="G8729" s="53"/>
    </row>
    <row r="8730">
      <c r="A8730" s="49">
        <v>44785.813959548614</v>
      </c>
      <c r="B8730" s="50">
        <v>44785.9389393287</v>
      </c>
      <c r="C8730" s="51">
        <v>1.004</v>
      </c>
      <c r="D8730" s="51">
        <v>68.0</v>
      </c>
      <c r="E8730" s="52" t="s">
        <v>25</v>
      </c>
      <c r="F8730" s="52" t="s">
        <v>26</v>
      </c>
      <c r="G8730" s="53"/>
    </row>
    <row r="8731">
      <c r="A8731" s="49">
        <v>44785.82440662037</v>
      </c>
      <c r="B8731" s="50">
        <v>44785.9493720138</v>
      </c>
      <c r="C8731" s="51">
        <v>1.004</v>
      </c>
      <c r="D8731" s="51">
        <v>68.0</v>
      </c>
      <c r="E8731" s="52" t="s">
        <v>25</v>
      </c>
      <c r="F8731" s="52" t="s">
        <v>26</v>
      </c>
      <c r="G8731" s="53"/>
    </row>
    <row r="8732">
      <c r="A8732" s="49">
        <v>44785.83483689815</v>
      </c>
      <c r="B8732" s="50">
        <v>44785.9598044097</v>
      </c>
      <c r="C8732" s="51">
        <v>1.004</v>
      </c>
      <c r="D8732" s="51">
        <v>68.0</v>
      </c>
      <c r="E8732" s="52" t="s">
        <v>25</v>
      </c>
      <c r="F8732" s="52" t="s">
        <v>26</v>
      </c>
      <c r="G8732" s="53"/>
    </row>
    <row r="8733">
      <c r="A8733" s="49">
        <v>44785.84525488426</v>
      </c>
      <c r="B8733" s="50">
        <v>44785.9702246412</v>
      </c>
      <c r="C8733" s="51">
        <v>1.004</v>
      </c>
      <c r="D8733" s="51">
        <v>68.0</v>
      </c>
      <c r="E8733" s="52" t="s">
        <v>25</v>
      </c>
      <c r="F8733" s="52" t="s">
        <v>26</v>
      </c>
      <c r="G8733" s="53"/>
    </row>
    <row r="8734">
      <c r="A8734" s="49">
        <v>44785.85567127315</v>
      </c>
      <c r="B8734" s="50">
        <v>44785.980646574</v>
      </c>
      <c r="C8734" s="51">
        <v>1.004</v>
      </c>
      <c r="D8734" s="51">
        <v>68.0</v>
      </c>
      <c r="E8734" s="52" t="s">
        <v>25</v>
      </c>
      <c r="F8734" s="52" t="s">
        <v>26</v>
      </c>
      <c r="G8734" s="53"/>
    </row>
    <row r="8735">
      <c r="A8735" s="49">
        <v>44785.86608810185</v>
      </c>
      <c r="B8735" s="50">
        <v>44785.9910657176</v>
      </c>
      <c r="C8735" s="51">
        <v>1.004</v>
      </c>
      <c r="D8735" s="51">
        <v>68.0</v>
      </c>
      <c r="E8735" s="52" t="s">
        <v>25</v>
      </c>
      <c r="F8735" s="52" t="s">
        <v>26</v>
      </c>
      <c r="G8735" s="53"/>
    </row>
    <row r="8736">
      <c r="A8736" s="49">
        <v>44785.876526249995</v>
      </c>
      <c r="B8736" s="50">
        <v>44786.0014865046</v>
      </c>
      <c r="C8736" s="51">
        <v>1.004</v>
      </c>
      <c r="D8736" s="51">
        <v>68.0</v>
      </c>
      <c r="E8736" s="52" t="s">
        <v>25</v>
      </c>
      <c r="F8736" s="52" t="s">
        <v>26</v>
      </c>
      <c r="G8736" s="53"/>
    </row>
    <row r="8737">
      <c r="A8737" s="49">
        <v>44785.88693571759</v>
      </c>
      <c r="B8737" s="50">
        <v>44786.0119076041</v>
      </c>
      <c r="C8737" s="51">
        <v>1.004</v>
      </c>
      <c r="D8737" s="51">
        <v>68.0</v>
      </c>
      <c r="E8737" s="52" t="s">
        <v>25</v>
      </c>
      <c r="F8737" s="52" t="s">
        <v>26</v>
      </c>
      <c r="G8737" s="53"/>
    </row>
    <row r="8738">
      <c r="A8738" s="49">
        <v>44785.89736604167</v>
      </c>
      <c r="B8738" s="50">
        <v>44786.0223404282</v>
      </c>
      <c r="C8738" s="51">
        <v>1.004</v>
      </c>
      <c r="D8738" s="51">
        <v>68.0</v>
      </c>
      <c r="E8738" s="52" t="s">
        <v>25</v>
      </c>
      <c r="F8738" s="52" t="s">
        <v>26</v>
      </c>
      <c r="G8738" s="53"/>
    </row>
    <row r="8739">
      <c r="A8739" s="49">
        <v>44785.90780498843</v>
      </c>
      <c r="B8739" s="50">
        <v>44786.0327739467</v>
      </c>
      <c r="C8739" s="51">
        <v>1.004</v>
      </c>
      <c r="D8739" s="51">
        <v>68.0</v>
      </c>
      <c r="E8739" s="52" t="s">
        <v>25</v>
      </c>
      <c r="F8739" s="52" t="s">
        <v>26</v>
      </c>
      <c r="G8739" s="53"/>
    </row>
    <row r="8740">
      <c r="A8740" s="49">
        <v>44785.91822653935</v>
      </c>
      <c r="B8740" s="50">
        <v>44786.0431953356</v>
      </c>
      <c r="C8740" s="51">
        <v>1.004</v>
      </c>
      <c r="D8740" s="51">
        <v>68.0</v>
      </c>
      <c r="E8740" s="52" t="s">
        <v>25</v>
      </c>
      <c r="F8740" s="52" t="s">
        <v>26</v>
      </c>
      <c r="G8740" s="53"/>
    </row>
    <row r="8741">
      <c r="A8741" s="49">
        <v>44785.928647187495</v>
      </c>
      <c r="B8741" s="50">
        <v>44786.0536155208</v>
      </c>
      <c r="C8741" s="51">
        <v>1.004</v>
      </c>
      <c r="D8741" s="51">
        <v>68.0</v>
      </c>
      <c r="E8741" s="52" t="s">
        <v>25</v>
      </c>
      <c r="F8741" s="52" t="s">
        <v>26</v>
      </c>
      <c r="G8741" s="53"/>
    </row>
    <row r="8742">
      <c r="A8742" s="49">
        <v>44785.939066493054</v>
      </c>
      <c r="B8742" s="50">
        <v>44786.0640370023</v>
      </c>
      <c r="C8742" s="51">
        <v>1.004</v>
      </c>
      <c r="D8742" s="51">
        <v>68.0</v>
      </c>
      <c r="E8742" s="52" t="s">
        <v>25</v>
      </c>
      <c r="F8742" s="52" t="s">
        <v>26</v>
      </c>
      <c r="G8742" s="53"/>
    </row>
    <row r="8743">
      <c r="A8743" s="49">
        <v>44785.949483125005</v>
      </c>
      <c r="B8743" s="50">
        <v>44786.0744559838</v>
      </c>
      <c r="C8743" s="51">
        <v>1.004</v>
      </c>
      <c r="D8743" s="51">
        <v>68.0</v>
      </c>
      <c r="E8743" s="52" t="s">
        <v>25</v>
      </c>
      <c r="F8743" s="52" t="s">
        <v>26</v>
      </c>
      <c r="G8743" s="53"/>
    </row>
    <row r="8744">
      <c r="A8744" s="49">
        <v>44785.9599150463</v>
      </c>
      <c r="B8744" s="50">
        <v>44786.0848881481</v>
      </c>
      <c r="C8744" s="51">
        <v>1.004</v>
      </c>
      <c r="D8744" s="51">
        <v>68.0</v>
      </c>
      <c r="E8744" s="52" t="s">
        <v>25</v>
      </c>
      <c r="F8744" s="52" t="s">
        <v>26</v>
      </c>
      <c r="G8744" s="53"/>
    </row>
    <row r="8745">
      <c r="A8745" s="49">
        <v>44785.97033574074</v>
      </c>
      <c r="B8745" s="50">
        <v>44786.0953102546</v>
      </c>
      <c r="C8745" s="51">
        <v>1.004</v>
      </c>
      <c r="D8745" s="51">
        <v>68.0</v>
      </c>
      <c r="E8745" s="52" t="s">
        <v>25</v>
      </c>
      <c r="F8745" s="52" t="s">
        <v>26</v>
      </c>
      <c r="G8745" s="53"/>
    </row>
    <row r="8746">
      <c r="A8746" s="49">
        <v>44785.98077733796</v>
      </c>
      <c r="B8746" s="50">
        <v>44786.1057425347</v>
      </c>
      <c r="C8746" s="51">
        <v>1.004</v>
      </c>
      <c r="D8746" s="51">
        <v>68.0</v>
      </c>
      <c r="E8746" s="52" t="s">
        <v>25</v>
      </c>
      <c r="F8746" s="52" t="s">
        <v>26</v>
      </c>
      <c r="G8746" s="53"/>
    </row>
    <row r="8747">
      <c r="A8747" s="49">
        <v>44785.99119460648</v>
      </c>
      <c r="B8747" s="50">
        <v>44786.1161643518</v>
      </c>
      <c r="C8747" s="51">
        <v>1.004</v>
      </c>
      <c r="D8747" s="51">
        <v>68.0</v>
      </c>
      <c r="E8747" s="52" t="s">
        <v>25</v>
      </c>
      <c r="F8747" s="52" t="s">
        <v>26</v>
      </c>
      <c r="G8747" s="53"/>
    </row>
    <row r="8748">
      <c r="A8748" s="49">
        <v>44786.00163805556</v>
      </c>
      <c r="B8748" s="50">
        <v>44786.12660978</v>
      </c>
      <c r="C8748" s="51">
        <v>1.004</v>
      </c>
      <c r="D8748" s="51">
        <v>68.0</v>
      </c>
      <c r="E8748" s="52" t="s">
        <v>25</v>
      </c>
      <c r="F8748" s="52" t="s">
        <v>26</v>
      </c>
      <c r="G8748" s="53"/>
    </row>
    <row r="8749">
      <c r="A8749" s="49">
        <v>44786.012068020835</v>
      </c>
      <c r="B8749" s="50">
        <v>44786.1370317939</v>
      </c>
      <c r="C8749" s="51">
        <v>1.004</v>
      </c>
      <c r="D8749" s="51">
        <v>68.0</v>
      </c>
      <c r="E8749" s="52" t="s">
        <v>25</v>
      </c>
      <c r="F8749" s="52" t="s">
        <v>26</v>
      </c>
      <c r="G8749" s="53"/>
    </row>
    <row r="8750">
      <c r="A8750" s="49">
        <v>44786.02251081019</v>
      </c>
      <c r="B8750" s="50">
        <v>44786.1474767361</v>
      </c>
      <c r="C8750" s="51">
        <v>1.004</v>
      </c>
      <c r="D8750" s="51">
        <v>68.0</v>
      </c>
      <c r="E8750" s="52" t="s">
        <v>25</v>
      </c>
      <c r="F8750" s="52" t="s">
        <v>26</v>
      </c>
      <c r="G8750" s="53"/>
    </row>
    <row r="8751">
      <c r="A8751" s="49">
        <v>44786.03292696759</v>
      </c>
      <c r="B8751" s="50">
        <v>44786.1578980902</v>
      </c>
      <c r="C8751" s="51">
        <v>1.004</v>
      </c>
      <c r="D8751" s="51">
        <v>68.0</v>
      </c>
      <c r="E8751" s="52" t="s">
        <v>25</v>
      </c>
      <c r="F8751" s="52" t="s">
        <v>26</v>
      </c>
      <c r="G8751" s="53"/>
    </row>
    <row r="8752">
      <c r="A8752" s="49">
        <v>44786.043370625004</v>
      </c>
      <c r="B8752" s="50">
        <v>44786.1683322106</v>
      </c>
      <c r="C8752" s="51">
        <v>1.004</v>
      </c>
      <c r="D8752" s="51">
        <v>68.0</v>
      </c>
      <c r="E8752" s="52" t="s">
        <v>25</v>
      </c>
      <c r="F8752" s="52" t="s">
        <v>26</v>
      </c>
      <c r="G8752" s="53"/>
    </row>
    <row r="8753">
      <c r="A8753" s="49">
        <v>44786.05378778935</v>
      </c>
      <c r="B8753" s="50">
        <v>44786.1787513888</v>
      </c>
      <c r="C8753" s="51">
        <v>1.004</v>
      </c>
      <c r="D8753" s="51">
        <v>68.0</v>
      </c>
      <c r="E8753" s="52" t="s">
        <v>25</v>
      </c>
      <c r="F8753" s="52" t="s">
        <v>26</v>
      </c>
      <c r="G8753" s="53"/>
    </row>
    <row r="8754">
      <c r="A8754" s="49">
        <v>44786.064202696754</v>
      </c>
      <c r="B8754" s="50">
        <v>44786.1891710879</v>
      </c>
      <c r="C8754" s="51">
        <v>1.004</v>
      </c>
      <c r="D8754" s="51">
        <v>68.0</v>
      </c>
      <c r="E8754" s="52" t="s">
        <v>25</v>
      </c>
      <c r="F8754" s="52" t="s">
        <v>26</v>
      </c>
      <c r="G8754" s="53"/>
    </row>
    <row r="8755">
      <c r="A8755" s="49">
        <v>44786.07467538194</v>
      </c>
      <c r="B8755" s="50">
        <v>44786.1996388773</v>
      </c>
      <c r="C8755" s="51">
        <v>1.004</v>
      </c>
      <c r="D8755" s="51">
        <v>68.0</v>
      </c>
      <c r="E8755" s="52" t="s">
        <v>25</v>
      </c>
      <c r="F8755" s="52" t="s">
        <v>26</v>
      </c>
      <c r="G8755" s="53"/>
    </row>
    <row r="8756">
      <c r="A8756" s="49">
        <v>44786.08509445602</v>
      </c>
      <c r="B8756" s="50">
        <v>44786.2100600462</v>
      </c>
      <c r="C8756" s="51">
        <v>1.004</v>
      </c>
      <c r="D8756" s="51">
        <v>68.0</v>
      </c>
      <c r="E8756" s="52" t="s">
        <v>25</v>
      </c>
      <c r="F8756" s="52" t="s">
        <v>26</v>
      </c>
      <c r="G8756" s="53"/>
    </row>
    <row r="8757">
      <c r="A8757" s="49">
        <v>44786.09550429398</v>
      </c>
      <c r="B8757" s="50">
        <v>44786.2204827662</v>
      </c>
      <c r="C8757" s="51">
        <v>1.004</v>
      </c>
      <c r="D8757" s="51">
        <v>68.0</v>
      </c>
      <c r="E8757" s="52" t="s">
        <v>25</v>
      </c>
      <c r="F8757" s="52" t="s">
        <v>26</v>
      </c>
      <c r="G8757" s="53"/>
    </row>
    <row r="8758">
      <c r="A8758" s="49">
        <v>44786.10594359954</v>
      </c>
      <c r="B8758" s="50">
        <v>44786.2309043402</v>
      </c>
      <c r="C8758" s="51">
        <v>1.004</v>
      </c>
      <c r="D8758" s="51">
        <v>68.0</v>
      </c>
      <c r="E8758" s="52" t="s">
        <v>25</v>
      </c>
      <c r="F8758" s="52" t="s">
        <v>26</v>
      </c>
      <c r="G8758" s="53"/>
    </row>
    <row r="8759">
      <c r="A8759" s="49">
        <v>44786.1163590162</v>
      </c>
      <c r="B8759" s="50">
        <v>44786.2413257291</v>
      </c>
      <c r="C8759" s="51">
        <v>1.004</v>
      </c>
      <c r="D8759" s="51">
        <v>68.0</v>
      </c>
      <c r="E8759" s="52" t="s">
        <v>25</v>
      </c>
      <c r="F8759" s="52" t="s">
        <v>26</v>
      </c>
      <c r="G8759" s="53"/>
    </row>
    <row r="8760">
      <c r="A8760" s="49">
        <v>44786.126770648145</v>
      </c>
      <c r="B8760" s="50">
        <v>44786.2517461921</v>
      </c>
      <c r="C8760" s="51">
        <v>1.004</v>
      </c>
      <c r="D8760" s="51">
        <v>68.0</v>
      </c>
      <c r="E8760" s="52" t="s">
        <v>25</v>
      </c>
      <c r="F8760" s="52" t="s">
        <v>26</v>
      </c>
      <c r="G8760" s="53"/>
    </row>
    <row r="8761">
      <c r="A8761" s="49">
        <v>44786.1371913426</v>
      </c>
      <c r="B8761" s="50">
        <v>44786.2621658564</v>
      </c>
      <c r="C8761" s="51">
        <v>1.004</v>
      </c>
      <c r="D8761" s="51">
        <v>68.0</v>
      </c>
      <c r="E8761" s="52" t="s">
        <v>25</v>
      </c>
      <c r="F8761" s="52" t="s">
        <v>26</v>
      </c>
      <c r="G8761" s="53"/>
    </row>
    <row r="8762">
      <c r="A8762" s="49">
        <v>44786.14762081018</v>
      </c>
      <c r="B8762" s="50">
        <v>44786.2725875926</v>
      </c>
      <c r="C8762" s="51">
        <v>1.004</v>
      </c>
      <c r="D8762" s="51">
        <v>68.0</v>
      </c>
      <c r="E8762" s="52" t="s">
        <v>25</v>
      </c>
      <c r="F8762" s="52" t="s">
        <v>26</v>
      </c>
      <c r="G8762" s="53"/>
    </row>
    <row r="8763">
      <c r="A8763" s="49">
        <v>44786.158036423614</v>
      </c>
      <c r="B8763" s="50">
        <v>44786.283008368</v>
      </c>
      <c r="C8763" s="51">
        <v>1.004</v>
      </c>
      <c r="D8763" s="51">
        <v>68.0</v>
      </c>
      <c r="E8763" s="52" t="s">
        <v>25</v>
      </c>
      <c r="F8763" s="52" t="s">
        <v>26</v>
      </c>
      <c r="G8763" s="53"/>
    </row>
    <row r="8764">
      <c r="A8764" s="49">
        <v>44786.168466689815</v>
      </c>
      <c r="B8764" s="50">
        <v>44786.2934420139</v>
      </c>
      <c r="C8764" s="51">
        <v>1.004</v>
      </c>
      <c r="D8764" s="51">
        <v>68.0</v>
      </c>
      <c r="E8764" s="52" t="s">
        <v>25</v>
      </c>
      <c r="F8764" s="52" t="s">
        <v>26</v>
      </c>
      <c r="G8764" s="53"/>
    </row>
    <row r="8765">
      <c r="A8765" s="49">
        <v>44786.17888446759</v>
      </c>
      <c r="B8765" s="50">
        <v>44786.3038641898</v>
      </c>
      <c r="C8765" s="51">
        <v>1.004</v>
      </c>
      <c r="D8765" s="51">
        <v>68.0</v>
      </c>
      <c r="E8765" s="52" t="s">
        <v>25</v>
      </c>
      <c r="F8765" s="52" t="s">
        <v>26</v>
      </c>
      <c r="G8765" s="53"/>
    </row>
    <row r="8766">
      <c r="A8766" s="49">
        <v>44786.18930665509</v>
      </c>
      <c r="B8766" s="50">
        <v>44786.3142846296</v>
      </c>
      <c r="C8766" s="51">
        <v>1.004</v>
      </c>
      <c r="D8766" s="51">
        <v>68.0</v>
      </c>
      <c r="E8766" s="52" t="s">
        <v>25</v>
      </c>
      <c r="F8766" s="52" t="s">
        <v>26</v>
      </c>
      <c r="G8766" s="53"/>
    </row>
    <row r="8767">
      <c r="A8767" s="49">
        <v>44786.19974215278</v>
      </c>
      <c r="B8767" s="50">
        <v>44786.3247169675</v>
      </c>
      <c r="C8767" s="51">
        <v>1.004</v>
      </c>
      <c r="D8767" s="51">
        <v>68.0</v>
      </c>
      <c r="E8767" s="52" t="s">
        <v>25</v>
      </c>
      <c r="F8767" s="52" t="s">
        <v>26</v>
      </c>
      <c r="G8767" s="53"/>
    </row>
    <row r="8768">
      <c r="A8768" s="49">
        <v>44786.21016336806</v>
      </c>
      <c r="B8768" s="50">
        <v>44786.3351373842</v>
      </c>
      <c r="C8768" s="51">
        <v>1.004</v>
      </c>
      <c r="D8768" s="51">
        <v>68.0</v>
      </c>
      <c r="E8768" s="52" t="s">
        <v>25</v>
      </c>
      <c r="F8768" s="52" t="s">
        <v>26</v>
      </c>
      <c r="G8768" s="53"/>
    </row>
    <row r="8769">
      <c r="A8769" s="49">
        <v>44786.22057917824</v>
      </c>
      <c r="B8769" s="50">
        <v>44786.3455577662</v>
      </c>
      <c r="C8769" s="51">
        <v>1.004</v>
      </c>
      <c r="D8769" s="51">
        <v>68.0</v>
      </c>
      <c r="E8769" s="52" t="s">
        <v>25</v>
      </c>
      <c r="F8769" s="52" t="s">
        <v>26</v>
      </c>
      <c r="G8769" s="53"/>
    </row>
    <row r="8770">
      <c r="A8770" s="49">
        <v>44786.23101234954</v>
      </c>
      <c r="B8770" s="50">
        <v>44786.3559787384</v>
      </c>
      <c r="C8770" s="51">
        <v>1.004</v>
      </c>
      <c r="D8770" s="51">
        <v>68.0</v>
      </c>
      <c r="E8770" s="52" t="s">
        <v>25</v>
      </c>
      <c r="F8770" s="52" t="s">
        <v>26</v>
      </c>
      <c r="G8770" s="53"/>
    </row>
    <row r="8771">
      <c r="A8771" s="49">
        <v>44786.24143239584</v>
      </c>
      <c r="B8771" s="50">
        <v>44786.3664005439</v>
      </c>
      <c r="C8771" s="51">
        <v>1.004</v>
      </c>
      <c r="D8771" s="51">
        <v>68.0</v>
      </c>
      <c r="E8771" s="52" t="s">
        <v>25</v>
      </c>
      <c r="F8771" s="52" t="s">
        <v>26</v>
      </c>
      <c r="G8771" s="53"/>
    </row>
    <row r="8772">
      <c r="A8772" s="49">
        <v>44786.25185342593</v>
      </c>
      <c r="B8772" s="50">
        <v>44786.3768219328</v>
      </c>
      <c r="C8772" s="51">
        <v>1.004</v>
      </c>
      <c r="D8772" s="51">
        <v>68.0</v>
      </c>
      <c r="E8772" s="52" t="s">
        <v>25</v>
      </c>
      <c r="F8772" s="52" t="s">
        <v>26</v>
      </c>
      <c r="G8772" s="53"/>
    </row>
    <row r="8773">
      <c r="A8773" s="49">
        <v>44786.26229841435</v>
      </c>
      <c r="B8773" s="50">
        <v>44786.3872672569</v>
      </c>
      <c r="C8773" s="51">
        <v>1.004</v>
      </c>
      <c r="D8773" s="51">
        <v>68.0</v>
      </c>
      <c r="E8773" s="52" t="s">
        <v>25</v>
      </c>
      <c r="F8773" s="52" t="s">
        <v>26</v>
      </c>
      <c r="G8773" s="53"/>
    </row>
    <row r="8774">
      <c r="A8774" s="49">
        <v>44786.27271651621</v>
      </c>
      <c r="B8774" s="50">
        <v>44786.3976891898</v>
      </c>
      <c r="C8774" s="51">
        <v>1.004</v>
      </c>
      <c r="D8774" s="51">
        <v>68.0</v>
      </c>
      <c r="E8774" s="52" t="s">
        <v>25</v>
      </c>
      <c r="F8774" s="52" t="s">
        <v>26</v>
      </c>
      <c r="G8774" s="53"/>
    </row>
    <row r="8775">
      <c r="A8775" s="49">
        <v>44786.28313428241</v>
      </c>
      <c r="B8775" s="50">
        <v>44786.4081098379</v>
      </c>
      <c r="C8775" s="51">
        <v>1.004</v>
      </c>
      <c r="D8775" s="51">
        <v>68.0</v>
      </c>
      <c r="E8775" s="52" t="s">
        <v>25</v>
      </c>
      <c r="F8775" s="52" t="s">
        <v>26</v>
      </c>
      <c r="G8775" s="53"/>
    </row>
    <row r="8776">
      <c r="A8776" s="49">
        <v>44786.293550891205</v>
      </c>
      <c r="B8776" s="50">
        <v>44786.4185302777</v>
      </c>
      <c r="C8776" s="51">
        <v>1.004</v>
      </c>
      <c r="D8776" s="51">
        <v>68.0</v>
      </c>
      <c r="E8776" s="52" t="s">
        <v>25</v>
      </c>
      <c r="F8776" s="52" t="s">
        <v>26</v>
      </c>
      <c r="G8776" s="53"/>
    </row>
    <row r="8777">
      <c r="A8777" s="49">
        <v>44786.30399385416</v>
      </c>
      <c r="B8777" s="50">
        <v>44786.4289629976</v>
      </c>
      <c r="C8777" s="51">
        <v>1.004</v>
      </c>
      <c r="D8777" s="51">
        <v>68.0</v>
      </c>
      <c r="E8777" s="52" t="s">
        <v>25</v>
      </c>
      <c r="F8777" s="52" t="s">
        <v>26</v>
      </c>
      <c r="G8777" s="53"/>
    </row>
    <row r="8778">
      <c r="A8778" s="49">
        <v>44786.31441262731</v>
      </c>
      <c r="B8778" s="50">
        <v>44786.4393847569</v>
      </c>
      <c r="C8778" s="51">
        <v>1.004</v>
      </c>
      <c r="D8778" s="51">
        <v>68.0</v>
      </c>
      <c r="E8778" s="52" t="s">
        <v>25</v>
      </c>
      <c r="F8778" s="52" t="s">
        <v>26</v>
      </c>
      <c r="G8778" s="53"/>
    </row>
    <row r="8779">
      <c r="A8779" s="49">
        <v>44786.32483696759</v>
      </c>
      <c r="B8779" s="50">
        <v>44786.4498055439</v>
      </c>
      <c r="C8779" s="51">
        <v>1.004</v>
      </c>
      <c r="D8779" s="51">
        <v>68.0</v>
      </c>
      <c r="E8779" s="52" t="s">
        <v>25</v>
      </c>
      <c r="F8779" s="52" t="s">
        <v>26</v>
      </c>
      <c r="G8779" s="53"/>
    </row>
    <row r="8780">
      <c r="A8780" s="49">
        <v>44786.335258506944</v>
      </c>
      <c r="B8780" s="50">
        <v>44786.4602384953</v>
      </c>
      <c r="C8780" s="51">
        <v>1.004</v>
      </c>
      <c r="D8780" s="51">
        <v>69.0</v>
      </c>
      <c r="E8780" s="52" t="s">
        <v>25</v>
      </c>
      <c r="F8780" s="52" t="s">
        <v>26</v>
      </c>
      <c r="G8780" s="53"/>
    </row>
    <row r="8781">
      <c r="A8781" s="49">
        <v>44786.34568131945</v>
      </c>
      <c r="B8781" s="50">
        <v>44786.4706596064</v>
      </c>
      <c r="C8781" s="51">
        <v>1.004</v>
      </c>
      <c r="D8781" s="51">
        <v>68.0</v>
      </c>
      <c r="E8781" s="52" t="s">
        <v>25</v>
      </c>
      <c r="F8781" s="52" t="s">
        <v>26</v>
      </c>
      <c r="G8781" s="53"/>
    </row>
    <row r="8782">
      <c r="A8782" s="49">
        <v>44786.356137800925</v>
      </c>
      <c r="B8782" s="50">
        <v>44786.4811144907</v>
      </c>
      <c r="C8782" s="51">
        <v>1.004</v>
      </c>
      <c r="D8782" s="51">
        <v>68.0</v>
      </c>
      <c r="E8782" s="52" t="s">
        <v>25</v>
      </c>
      <c r="F8782" s="52" t="s">
        <v>26</v>
      </c>
      <c r="G8782" s="53"/>
    </row>
    <row r="8783">
      <c r="A8783" s="49">
        <v>44786.366566111115</v>
      </c>
      <c r="B8783" s="50">
        <v>44786.4915363194</v>
      </c>
      <c r="C8783" s="51">
        <v>1.004</v>
      </c>
      <c r="D8783" s="51">
        <v>68.0</v>
      </c>
      <c r="E8783" s="52" t="s">
        <v>25</v>
      </c>
      <c r="F8783" s="52" t="s">
        <v>26</v>
      </c>
      <c r="G8783" s="53"/>
    </row>
    <row r="8784">
      <c r="A8784" s="49">
        <v>44786.376987118056</v>
      </c>
      <c r="B8784" s="50">
        <v>44786.5019576041</v>
      </c>
      <c r="C8784" s="51">
        <v>1.004</v>
      </c>
      <c r="D8784" s="51">
        <v>68.0</v>
      </c>
      <c r="E8784" s="52" t="s">
        <v>25</v>
      </c>
      <c r="F8784" s="52" t="s">
        <v>26</v>
      </c>
      <c r="G8784" s="53"/>
    </row>
    <row r="8785">
      <c r="A8785" s="49">
        <v>44786.38740415509</v>
      </c>
      <c r="B8785" s="50">
        <v>44786.5123784259</v>
      </c>
      <c r="C8785" s="51">
        <v>1.004</v>
      </c>
      <c r="D8785" s="51">
        <v>69.0</v>
      </c>
      <c r="E8785" s="52" t="s">
        <v>25</v>
      </c>
      <c r="F8785" s="52" t="s">
        <v>26</v>
      </c>
      <c r="G8785" s="53"/>
    </row>
    <row r="8786">
      <c r="A8786" s="49">
        <v>44786.397835474534</v>
      </c>
      <c r="B8786" s="50">
        <v>44786.5228107754</v>
      </c>
      <c r="C8786" s="51">
        <v>1.004</v>
      </c>
      <c r="D8786" s="51">
        <v>69.0</v>
      </c>
      <c r="E8786" s="52" t="s">
        <v>25</v>
      </c>
      <c r="F8786" s="52" t="s">
        <v>26</v>
      </c>
      <c r="G8786" s="53"/>
    </row>
    <row r="8787">
      <c r="A8787" s="49">
        <v>44786.40825496528</v>
      </c>
      <c r="B8787" s="50">
        <v>44786.5332307291</v>
      </c>
      <c r="C8787" s="51">
        <v>1.004</v>
      </c>
      <c r="D8787" s="51">
        <v>68.0</v>
      </c>
      <c r="E8787" s="52" t="s">
        <v>25</v>
      </c>
      <c r="F8787" s="52" t="s">
        <v>26</v>
      </c>
      <c r="G8787" s="53"/>
    </row>
    <row r="8788">
      <c r="A8788" s="49">
        <v>44786.41869224537</v>
      </c>
      <c r="B8788" s="50">
        <v>44786.5436511111</v>
      </c>
      <c r="C8788" s="51">
        <v>1.004</v>
      </c>
      <c r="D8788" s="51">
        <v>69.0</v>
      </c>
      <c r="E8788" s="52" t="s">
        <v>25</v>
      </c>
      <c r="F8788" s="52" t="s">
        <v>26</v>
      </c>
      <c r="G8788" s="53"/>
    </row>
    <row r="8789">
      <c r="A8789" s="49">
        <v>44786.42910799768</v>
      </c>
      <c r="B8789" s="50">
        <v>44786.5540720717</v>
      </c>
      <c r="C8789" s="51">
        <v>1.004</v>
      </c>
      <c r="D8789" s="51">
        <v>69.0</v>
      </c>
      <c r="E8789" s="52" t="s">
        <v>25</v>
      </c>
      <c r="F8789" s="52" t="s">
        <v>26</v>
      </c>
      <c r="G8789" s="53"/>
    </row>
    <row r="8790">
      <c r="A8790" s="49">
        <v>44786.43952450232</v>
      </c>
      <c r="B8790" s="50">
        <v>44786.5644925347</v>
      </c>
      <c r="C8790" s="51">
        <v>1.004</v>
      </c>
      <c r="D8790" s="51">
        <v>69.0</v>
      </c>
      <c r="E8790" s="52" t="s">
        <v>25</v>
      </c>
      <c r="F8790" s="52" t="s">
        <v>26</v>
      </c>
      <c r="G8790" s="53"/>
    </row>
    <row r="8791">
      <c r="A8791" s="49">
        <v>44786.44994456018</v>
      </c>
      <c r="B8791" s="50">
        <v>44786.5749135995</v>
      </c>
      <c r="C8791" s="51">
        <v>1.004</v>
      </c>
      <c r="D8791" s="51">
        <v>69.0</v>
      </c>
      <c r="E8791" s="52" t="s">
        <v>25</v>
      </c>
      <c r="F8791" s="52" t="s">
        <v>26</v>
      </c>
      <c r="G8791" s="53"/>
    </row>
    <row r="8792">
      <c r="A8792" s="49">
        <v>44786.460376504634</v>
      </c>
      <c r="B8792" s="50">
        <v>44786.5853472106</v>
      </c>
      <c r="C8792" s="51">
        <v>1.004</v>
      </c>
      <c r="D8792" s="51">
        <v>69.0</v>
      </c>
      <c r="E8792" s="52" t="s">
        <v>25</v>
      </c>
      <c r="F8792" s="52" t="s">
        <v>26</v>
      </c>
      <c r="G8792" s="53"/>
    </row>
    <row r="8793">
      <c r="A8793" s="49">
        <v>44786.470798599534</v>
      </c>
      <c r="B8793" s="50">
        <v>44786.5957699768</v>
      </c>
      <c r="C8793" s="51">
        <v>1.004</v>
      </c>
      <c r="D8793" s="51">
        <v>69.0</v>
      </c>
      <c r="E8793" s="52" t="s">
        <v>25</v>
      </c>
      <c r="F8793" s="52" t="s">
        <v>26</v>
      </c>
      <c r="G8793" s="53"/>
    </row>
    <row r="8794">
      <c r="A8794" s="49">
        <v>44786.48123099537</v>
      </c>
      <c r="B8794" s="50">
        <v>44786.6062020717</v>
      </c>
      <c r="C8794" s="51">
        <v>1.004</v>
      </c>
      <c r="D8794" s="51">
        <v>69.0</v>
      </c>
      <c r="E8794" s="52" t="s">
        <v>25</v>
      </c>
      <c r="F8794" s="52" t="s">
        <v>26</v>
      </c>
      <c r="G8794" s="53"/>
    </row>
    <row r="8795">
      <c r="A8795" s="49">
        <v>44786.4916581713</v>
      </c>
      <c r="B8795" s="50">
        <v>44786.6166248379</v>
      </c>
      <c r="C8795" s="51">
        <v>1.004</v>
      </c>
      <c r="D8795" s="51">
        <v>69.0</v>
      </c>
      <c r="E8795" s="52" t="s">
        <v>25</v>
      </c>
      <c r="F8795" s="52" t="s">
        <v>26</v>
      </c>
      <c r="G8795" s="53"/>
    </row>
    <row r="8796">
      <c r="A8796" s="49">
        <v>44786.5020896412</v>
      </c>
      <c r="B8796" s="50">
        <v>44786.6270571527</v>
      </c>
      <c r="C8796" s="51">
        <v>1.004</v>
      </c>
      <c r="D8796" s="51">
        <v>69.0</v>
      </c>
      <c r="E8796" s="52" t="s">
        <v>25</v>
      </c>
      <c r="F8796" s="52" t="s">
        <v>26</v>
      </c>
      <c r="G8796" s="53"/>
    </row>
    <row r="8797">
      <c r="A8797" s="49">
        <v>44786.51251925926</v>
      </c>
      <c r="B8797" s="50">
        <v>44786.6374881481</v>
      </c>
      <c r="C8797" s="51">
        <v>1.004</v>
      </c>
      <c r="D8797" s="51">
        <v>69.0</v>
      </c>
      <c r="E8797" s="52" t="s">
        <v>25</v>
      </c>
      <c r="F8797" s="52" t="s">
        <v>26</v>
      </c>
      <c r="G8797" s="53"/>
    </row>
    <row r="8798">
      <c r="A8798" s="49">
        <v>44786.52293936342</v>
      </c>
      <c r="B8798" s="50">
        <v>44786.6479107523</v>
      </c>
      <c r="C8798" s="51">
        <v>1.004</v>
      </c>
      <c r="D8798" s="51">
        <v>69.0</v>
      </c>
      <c r="E8798" s="52" t="s">
        <v>25</v>
      </c>
      <c r="F8798" s="52" t="s">
        <v>26</v>
      </c>
      <c r="G8798" s="53"/>
    </row>
    <row r="8799">
      <c r="A8799" s="49">
        <v>44786.53335564815</v>
      </c>
      <c r="B8799" s="50">
        <v>44786.6583305902</v>
      </c>
      <c r="C8799" s="51">
        <v>1.004</v>
      </c>
      <c r="D8799" s="51">
        <v>69.0</v>
      </c>
      <c r="E8799" s="52" t="s">
        <v>25</v>
      </c>
      <c r="F8799" s="52" t="s">
        <v>26</v>
      </c>
      <c r="G8799" s="53"/>
    </row>
    <row r="8800">
      <c r="A8800" s="49">
        <v>44786.54378364583</v>
      </c>
      <c r="B8800" s="50">
        <v>44786.6687521759</v>
      </c>
      <c r="C8800" s="51">
        <v>1.004</v>
      </c>
      <c r="D8800" s="51">
        <v>69.0</v>
      </c>
      <c r="E8800" s="52" t="s">
        <v>25</v>
      </c>
      <c r="F8800" s="52" t="s">
        <v>26</v>
      </c>
      <c r="G8800" s="53"/>
    </row>
    <row r="8801">
      <c r="A8801" s="49">
        <v>44786.55421548611</v>
      </c>
      <c r="B8801" s="50">
        <v>44786.6791852199</v>
      </c>
      <c r="C8801" s="51">
        <v>1.004</v>
      </c>
      <c r="D8801" s="51">
        <v>69.0</v>
      </c>
      <c r="E8801" s="52" t="s">
        <v>25</v>
      </c>
      <c r="F8801" s="52" t="s">
        <v>26</v>
      </c>
      <c r="G8801" s="53"/>
    </row>
    <row r="8802">
      <c r="A8802" s="49">
        <v>44786.56464519676</v>
      </c>
      <c r="B8802" s="50">
        <v>44786.6896189583</v>
      </c>
      <c r="C8802" s="51">
        <v>1.004</v>
      </c>
      <c r="D8802" s="51">
        <v>69.0</v>
      </c>
      <c r="E8802" s="52" t="s">
        <v>25</v>
      </c>
      <c r="F8802" s="52" t="s">
        <v>26</v>
      </c>
      <c r="G8802" s="53"/>
    </row>
    <row r="8803">
      <c r="A8803" s="49">
        <v>44786.575111053244</v>
      </c>
      <c r="B8803" s="50">
        <v>44786.7000637963</v>
      </c>
      <c r="C8803" s="51">
        <v>1.004</v>
      </c>
      <c r="D8803" s="51">
        <v>69.0</v>
      </c>
      <c r="E8803" s="52" t="s">
        <v>25</v>
      </c>
      <c r="F8803" s="52" t="s">
        <v>26</v>
      </c>
      <c r="G8803" s="53"/>
    </row>
    <row r="8804">
      <c r="A8804" s="49">
        <v>44786.58551638889</v>
      </c>
      <c r="B8804" s="50">
        <v>44786.7104858449</v>
      </c>
      <c r="C8804" s="51">
        <v>1.004</v>
      </c>
      <c r="D8804" s="51">
        <v>69.0</v>
      </c>
      <c r="E8804" s="52" t="s">
        <v>25</v>
      </c>
      <c r="F8804" s="52" t="s">
        <v>26</v>
      </c>
      <c r="G8804" s="53"/>
    </row>
    <row r="8805">
      <c r="A8805" s="49">
        <v>44786.59594626157</v>
      </c>
      <c r="B8805" s="50">
        <v>44786.720918449</v>
      </c>
      <c r="C8805" s="51">
        <v>1.004</v>
      </c>
      <c r="D8805" s="51">
        <v>69.0</v>
      </c>
      <c r="E8805" s="52" t="s">
        <v>25</v>
      </c>
      <c r="F8805" s="52" t="s">
        <v>26</v>
      </c>
      <c r="G8805" s="53"/>
    </row>
    <row r="8806">
      <c r="A8806" s="49">
        <v>44786.60638914352</v>
      </c>
      <c r="B8806" s="50">
        <v>44786.7313640393</v>
      </c>
      <c r="C8806" s="51">
        <v>1.004</v>
      </c>
      <c r="D8806" s="51">
        <v>69.0</v>
      </c>
      <c r="E8806" s="52" t="s">
        <v>25</v>
      </c>
      <c r="F8806" s="52" t="s">
        <v>26</v>
      </c>
      <c r="G8806" s="53"/>
    </row>
    <row r="8807">
      <c r="A8807" s="49">
        <v>44786.616817372684</v>
      </c>
      <c r="B8807" s="50">
        <v>44786.7417865509</v>
      </c>
      <c r="C8807" s="51">
        <v>1.004</v>
      </c>
      <c r="D8807" s="51">
        <v>69.0</v>
      </c>
      <c r="E8807" s="52" t="s">
        <v>25</v>
      </c>
      <c r="F8807" s="52" t="s">
        <v>26</v>
      </c>
      <c r="G8807" s="53"/>
    </row>
    <row r="8808">
      <c r="A8808" s="49">
        <v>44786.62724916667</v>
      </c>
      <c r="B8808" s="50">
        <v>44786.7522204166</v>
      </c>
      <c r="C8808" s="51">
        <v>1.004</v>
      </c>
      <c r="D8808" s="51">
        <v>69.0</v>
      </c>
      <c r="E8808" s="52" t="s">
        <v>25</v>
      </c>
      <c r="F8808" s="52" t="s">
        <v>26</v>
      </c>
      <c r="G8808" s="53"/>
    </row>
    <row r="8809">
      <c r="A8809" s="49">
        <v>44786.6376730787</v>
      </c>
      <c r="B8809" s="50">
        <v>44786.7626412152</v>
      </c>
      <c r="C8809" s="51">
        <v>1.003</v>
      </c>
      <c r="D8809" s="51">
        <v>69.0</v>
      </c>
      <c r="E8809" s="52" t="s">
        <v>25</v>
      </c>
      <c r="F8809" s="52" t="s">
        <v>26</v>
      </c>
      <c r="G8809" s="53"/>
    </row>
    <row r="8810">
      <c r="A8810" s="49">
        <v>44786.648104479165</v>
      </c>
      <c r="B8810" s="50">
        <v>44786.7730756828</v>
      </c>
      <c r="C8810" s="51">
        <v>1.004</v>
      </c>
      <c r="D8810" s="51">
        <v>69.0</v>
      </c>
      <c r="E8810" s="52" t="s">
        <v>25</v>
      </c>
      <c r="F8810" s="52" t="s">
        <v>26</v>
      </c>
      <c r="G8810" s="53"/>
    </row>
    <row r="8811">
      <c r="A8811" s="49">
        <v>44786.65852332176</v>
      </c>
      <c r="B8811" s="50">
        <v>44786.7834968287</v>
      </c>
      <c r="C8811" s="51">
        <v>1.004</v>
      </c>
      <c r="D8811" s="51">
        <v>69.0</v>
      </c>
      <c r="E8811" s="52" t="s">
        <v>25</v>
      </c>
      <c r="F8811" s="52" t="s">
        <v>26</v>
      </c>
      <c r="G8811" s="53"/>
    </row>
    <row r="8812">
      <c r="A8812" s="49">
        <v>44786.66894815972</v>
      </c>
      <c r="B8812" s="50">
        <v>44786.7939176504</v>
      </c>
      <c r="C8812" s="51">
        <v>1.004</v>
      </c>
      <c r="D8812" s="51">
        <v>69.0</v>
      </c>
      <c r="E8812" s="52" t="s">
        <v>25</v>
      </c>
      <c r="F8812" s="52" t="s">
        <v>26</v>
      </c>
      <c r="G8812" s="53"/>
    </row>
    <row r="8813">
      <c r="A8813" s="49">
        <v>44786.67937835648</v>
      </c>
      <c r="B8813" s="50">
        <v>44786.8043491898</v>
      </c>
      <c r="C8813" s="51">
        <v>1.004</v>
      </c>
      <c r="D8813" s="51">
        <v>69.0</v>
      </c>
      <c r="E8813" s="52" t="s">
        <v>25</v>
      </c>
      <c r="F8813" s="52" t="s">
        <v>26</v>
      </c>
      <c r="G8813" s="53"/>
    </row>
    <row r="8814">
      <c r="A8814" s="49">
        <v>44786.689800810185</v>
      </c>
      <c r="B8814" s="50">
        <v>44786.8147690856</v>
      </c>
      <c r="C8814" s="51">
        <v>1.004</v>
      </c>
      <c r="D8814" s="51">
        <v>69.0</v>
      </c>
      <c r="E8814" s="52" t="s">
        <v>25</v>
      </c>
      <c r="F8814" s="52" t="s">
        <v>26</v>
      </c>
      <c r="G8814" s="53"/>
    </row>
    <row r="8815">
      <c r="A8815" s="49">
        <v>44786.700220520834</v>
      </c>
      <c r="B8815" s="50">
        <v>44786.8251909837</v>
      </c>
      <c r="C8815" s="51">
        <v>1.004</v>
      </c>
      <c r="D8815" s="51">
        <v>69.0</v>
      </c>
      <c r="E8815" s="52" t="s">
        <v>25</v>
      </c>
      <c r="F8815" s="52" t="s">
        <v>26</v>
      </c>
      <c r="G8815" s="53"/>
    </row>
    <row r="8816">
      <c r="A8816" s="49">
        <v>44786.71065094907</v>
      </c>
      <c r="B8816" s="50">
        <v>44786.8356245949</v>
      </c>
      <c r="C8816" s="51">
        <v>1.004</v>
      </c>
      <c r="D8816" s="51">
        <v>69.0</v>
      </c>
      <c r="E8816" s="52" t="s">
        <v>25</v>
      </c>
      <c r="F8816" s="52" t="s">
        <v>26</v>
      </c>
      <c r="G8816" s="53"/>
    </row>
    <row r="8817">
      <c r="A8817" s="49">
        <v>44786.72108013889</v>
      </c>
      <c r="B8817" s="50">
        <v>44786.8460569328</v>
      </c>
      <c r="C8817" s="51">
        <v>1.004</v>
      </c>
      <c r="D8817" s="51">
        <v>69.0</v>
      </c>
      <c r="E8817" s="52" t="s">
        <v>25</v>
      </c>
      <c r="F8817" s="52" t="s">
        <v>26</v>
      </c>
      <c r="G8817" s="53"/>
    </row>
    <row r="8818">
      <c r="A8818" s="49">
        <v>44786.73151469907</v>
      </c>
      <c r="B8818" s="50">
        <v>44786.8564787731</v>
      </c>
      <c r="C8818" s="51">
        <v>1.004</v>
      </c>
      <c r="D8818" s="51">
        <v>69.0</v>
      </c>
      <c r="E8818" s="52" t="s">
        <v>25</v>
      </c>
      <c r="F8818" s="52" t="s">
        <v>26</v>
      </c>
      <c r="G8818" s="53"/>
    </row>
    <row r="8819">
      <c r="A8819" s="49">
        <v>44786.74192685186</v>
      </c>
      <c r="B8819" s="50">
        <v>44786.8669005555</v>
      </c>
      <c r="C8819" s="51">
        <v>1.004</v>
      </c>
      <c r="D8819" s="51">
        <v>69.0</v>
      </c>
      <c r="E8819" s="52" t="s">
        <v>25</v>
      </c>
      <c r="F8819" s="52" t="s">
        <v>26</v>
      </c>
      <c r="G8819" s="53"/>
    </row>
    <row r="8820">
      <c r="A8820" s="49">
        <v>44786.752356944446</v>
      </c>
      <c r="B8820" s="50">
        <v>44786.8773201736</v>
      </c>
      <c r="C8820" s="51">
        <v>1.004</v>
      </c>
      <c r="D8820" s="51">
        <v>69.0</v>
      </c>
      <c r="E8820" s="52" t="s">
        <v>25</v>
      </c>
      <c r="F8820" s="52" t="s">
        <v>26</v>
      </c>
      <c r="G8820" s="53"/>
    </row>
    <row r="8821">
      <c r="A8821" s="49">
        <v>44786.76277046296</v>
      </c>
      <c r="B8821" s="50">
        <v>44786.8877420023</v>
      </c>
      <c r="C8821" s="51">
        <v>1.004</v>
      </c>
      <c r="D8821" s="51">
        <v>69.0</v>
      </c>
      <c r="E8821" s="52" t="s">
        <v>25</v>
      </c>
      <c r="F8821" s="52" t="s">
        <v>26</v>
      </c>
      <c r="G8821" s="53"/>
    </row>
    <row r="8822">
      <c r="A8822" s="49">
        <v>44786.773200208336</v>
      </c>
      <c r="B8822" s="50">
        <v>44786.8981652777</v>
      </c>
      <c r="C8822" s="51">
        <v>1.004</v>
      </c>
      <c r="D8822" s="51">
        <v>69.0</v>
      </c>
      <c r="E8822" s="52" t="s">
        <v>25</v>
      </c>
      <c r="F8822" s="52" t="s">
        <v>26</v>
      </c>
      <c r="G8822" s="53"/>
    </row>
    <row r="8823">
      <c r="A8823" s="49">
        <v>44786.78361628472</v>
      </c>
      <c r="B8823" s="50">
        <v>44786.9085868402</v>
      </c>
      <c r="C8823" s="51">
        <v>1.004</v>
      </c>
      <c r="D8823" s="51">
        <v>69.0</v>
      </c>
      <c r="E8823" s="52" t="s">
        <v>25</v>
      </c>
      <c r="F8823" s="52" t="s">
        <v>26</v>
      </c>
      <c r="G8823" s="53"/>
    </row>
    <row r="8824">
      <c r="A8824" s="49">
        <v>44786.794035115745</v>
      </c>
      <c r="B8824" s="50">
        <v>44786.9190080671</v>
      </c>
      <c r="C8824" s="51">
        <v>1.004</v>
      </c>
      <c r="D8824" s="51">
        <v>69.0</v>
      </c>
      <c r="E8824" s="52" t="s">
        <v>25</v>
      </c>
      <c r="F8824" s="52" t="s">
        <v>26</v>
      </c>
      <c r="G8824" s="53"/>
    </row>
    <row r="8825">
      <c r="A8825" s="49">
        <v>44786.804455694444</v>
      </c>
      <c r="B8825" s="50">
        <v>44786.9294297222</v>
      </c>
      <c r="C8825" s="51">
        <v>1.004</v>
      </c>
      <c r="D8825" s="51">
        <v>69.0</v>
      </c>
      <c r="E8825" s="52" t="s">
        <v>25</v>
      </c>
      <c r="F8825" s="52" t="s">
        <v>26</v>
      </c>
      <c r="G8825" s="53"/>
    </row>
    <row r="8826">
      <c r="A8826" s="49">
        <v>44786.814870925926</v>
      </c>
      <c r="B8826" s="50">
        <v>44786.9398501041</v>
      </c>
      <c r="C8826" s="51">
        <v>1.004</v>
      </c>
      <c r="D8826" s="51">
        <v>69.0</v>
      </c>
      <c r="E8826" s="52" t="s">
        <v>25</v>
      </c>
      <c r="F8826" s="52" t="s">
        <v>26</v>
      </c>
      <c r="G8826" s="53"/>
    </row>
    <row r="8827">
      <c r="A8827" s="49">
        <v>44786.82530658565</v>
      </c>
      <c r="B8827" s="50">
        <v>44786.9502812152</v>
      </c>
      <c r="C8827" s="51">
        <v>1.003</v>
      </c>
      <c r="D8827" s="51">
        <v>69.0</v>
      </c>
      <c r="E8827" s="52" t="s">
        <v>25</v>
      </c>
      <c r="F8827" s="52" t="s">
        <v>26</v>
      </c>
      <c r="G8827" s="53"/>
    </row>
    <row r="8828">
      <c r="A8828" s="49">
        <v>44786.83572700231</v>
      </c>
      <c r="B8828" s="50">
        <v>44786.9607028472</v>
      </c>
      <c r="C8828" s="51">
        <v>1.004</v>
      </c>
      <c r="D8828" s="51">
        <v>69.0</v>
      </c>
      <c r="E8828" s="52" t="s">
        <v>25</v>
      </c>
      <c r="F8828" s="52" t="s">
        <v>26</v>
      </c>
      <c r="G8828" s="53"/>
    </row>
    <row r="8829">
      <c r="A8829" s="49">
        <v>44786.84614658565</v>
      </c>
      <c r="B8829" s="50">
        <v>44786.9711228009</v>
      </c>
      <c r="C8829" s="51">
        <v>1.004</v>
      </c>
      <c r="D8829" s="51">
        <v>69.0</v>
      </c>
      <c r="E8829" s="52" t="s">
        <v>25</v>
      </c>
      <c r="F8829" s="52" t="s">
        <v>26</v>
      </c>
      <c r="G8829" s="53"/>
    </row>
    <row r="8830">
      <c r="A8830" s="49">
        <v>44786.85656940972</v>
      </c>
      <c r="B8830" s="50">
        <v>44786.9815433333</v>
      </c>
      <c r="C8830" s="51">
        <v>1.004</v>
      </c>
      <c r="D8830" s="51">
        <v>69.0</v>
      </c>
      <c r="E8830" s="52" t="s">
        <v>25</v>
      </c>
      <c r="F8830" s="52" t="s">
        <v>26</v>
      </c>
      <c r="G8830" s="53"/>
    </row>
    <row r="8831">
      <c r="A8831" s="49">
        <v>44786.86699480324</v>
      </c>
      <c r="B8831" s="50">
        <v>44786.9919751388</v>
      </c>
      <c r="C8831" s="51">
        <v>1.004</v>
      </c>
      <c r="D8831" s="51">
        <v>69.0</v>
      </c>
      <c r="E8831" s="52" t="s">
        <v>25</v>
      </c>
      <c r="F8831" s="52" t="s">
        <v>26</v>
      </c>
      <c r="G8831" s="53"/>
    </row>
    <row r="8832">
      <c r="A8832" s="49">
        <v>44786.877419571756</v>
      </c>
      <c r="B8832" s="50">
        <v>44787.0023956597</v>
      </c>
      <c r="C8832" s="51">
        <v>1.004</v>
      </c>
      <c r="D8832" s="51">
        <v>69.0</v>
      </c>
      <c r="E8832" s="52" t="s">
        <v>25</v>
      </c>
      <c r="F8832" s="52" t="s">
        <v>26</v>
      </c>
      <c r="G8832" s="53"/>
    </row>
    <row r="8833">
      <c r="A8833" s="49">
        <v>44786.88783892361</v>
      </c>
      <c r="B8833" s="50">
        <v>44787.0128167708</v>
      </c>
      <c r="C8833" s="51">
        <v>1.004</v>
      </c>
      <c r="D8833" s="51">
        <v>69.0</v>
      </c>
      <c r="E8833" s="52" t="s">
        <v>25</v>
      </c>
      <c r="F8833" s="52" t="s">
        <v>26</v>
      </c>
      <c r="G8833" s="53"/>
    </row>
    <row r="8834">
      <c r="A8834" s="49">
        <v>44786.89828318287</v>
      </c>
      <c r="B8834" s="50">
        <v>44787.0232500578</v>
      </c>
      <c r="C8834" s="51">
        <v>1.004</v>
      </c>
      <c r="D8834" s="51">
        <v>69.0</v>
      </c>
      <c r="E8834" s="52" t="s">
        <v>25</v>
      </c>
      <c r="F8834" s="52" t="s">
        <v>26</v>
      </c>
      <c r="G8834" s="53"/>
    </row>
    <row r="8835">
      <c r="A8835" s="49">
        <v>44786.90870172453</v>
      </c>
      <c r="B8835" s="50">
        <v>44787.0336723379</v>
      </c>
      <c r="C8835" s="51">
        <v>1.004</v>
      </c>
      <c r="D8835" s="51">
        <v>69.0</v>
      </c>
      <c r="E8835" s="52" t="s">
        <v>25</v>
      </c>
      <c r="F8835" s="52" t="s">
        <v>26</v>
      </c>
      <c r="G8835" s="53"/>
    </row>
    <row r="8836">
      <c r="A8836" s="49">
        <v>44786.91912252315</v>
      </c>
      <c r="B8836" s="50">
        <v>44787.0440936574</v>
      </c>
      <c r="C8836" s="51">
        <v>1.004</v>
      </c>
      <c r="D8836" s="51">
        <v>69.0</v>
      </c>
      <c r="E8836" s="52" t="s">
        <v>25</v>
      </c>
      <c r="F8836" s="52" t="s">
        <v>26</v>
      </c>
      <c r="G8836" s="53"/>
    </row>
    <row r="8837">
      <c r="A8837" s="49">
        <v>44786.929538993056</v>
      </c>
      <c r="B8837" s="50">
        <v>44787.0545135763</v>
      </c>
      <c r="C8837" s="51">
        <v>1.004</v>
      </c>
      <c r="D8837" s="51">
        <v>69.0</v>
      </c>
      <c r="E8837" s="52" t="s">
        <v>25</v>
      </c>
      <c r="F8837" s="52" t="s">
        <v>26</v>
      </c>
      <c r="G8837" s="53"/>
    </row>
    <row r="8838">
      <c r="A8838" s="49">
        <v>44786.93995450232</v>
      </c>
      <c r="B8838" s="50">
        <v>44787.0649342129</v>
      </c>
      <c r="C8838" s="51">
        <v>1.004</v>
      </c>
      <c r="D8838" s="51">
        <v>69.0</v>
      </c>
      <c r="E8838" s="52" t="s">
        <v>25</v>
      </c>
      <c r="F8838" s="52" t="s">
        <v>26</v>
      </c>
      <c r="G8838" s="53"/>
    </row>
    <row r="8839">
      <c r="A8839" s="49">
        <v>44786.95039048611</v>
      </c>
      <c r="B8839" s="50">
        <v>44787.0753561342</v>
      </c>
      <c r="C8839" s="51">
        <v>1.004</v>
      </c>
      <c r="D8839" s="51">
        <v>69.0</v>
      </c>
      <c r="E8839" s="52" t="s">
        <v>25</v>
      </c>
      <c r="F8839" s="52" t="s">
        <v>26</v>
      </c>
      <c r="G8839" s="53"/>
    </row>
    <row r="8840">
      <c r="A8840" s="49">
        <v>44786.960805219904</v>
      </c>
      <c r="B8840" s="50">
        <v>44787.0857769791</v>
      </c>
      <c r="C8840" s="51">
        <v>1.004</v>
      </c>
      <c r="D8840" s="51">
        <v>69.0</v>
      </c>
      <c r="E8840" s="52" t="s">
        <v>25</v>
      </c>
      <c r="F8840" s="52" t="s">
        <v>26</v>
      </c>
      <c r="G8840" s="53"/>
    </row>
    <row r="8841">
      <c r="A8841" s="49">
        <v>44786.97122237268</v>
      </c>
      <c r="B8841" s="50">
        <v>44787.0961974074</v>
      </c>
      <c r="C8841" s="51">
        <v>1.004</v>
      </c>
      <c r="D8841" s="51">
        <v>69.0</v>
      </c>
      <c r="E8841" s="52" t="s">
        <v>25</v>
      </c>
      <c r="F8841" s="52" t="s">
        <v>26</v>
      </c>
      <c r="G8841" s="53"/>
    </row>
    <row r="8842">
      <c r="A8842" s="49">
        <v>44786.98165262731</v>
      </c>
      <c r="B8842" s="50">
        <v>44787.1066187615</v>
      </c>
      <c r="C8842" s="51">
        <v>1.004</v>
      </c>
      <c r="D8842" s="51">
        <v>69.0</v>
      </c>
      <c r="E8842" s="52" t="s">
        <v>25</v>
      </c>
      <c r="F8842" s="52" t="s">
        <v>26</v>
      </c>
      <c r="G8842" s="53"/>
    </row>
    <row r="8843">
      <c r="A8843" s="49">
        <v>44786.99206780092</v>
      </c>
      <c r="B8843" s="50">
        <v>44787.1170412731</v>
      </c>
      <c r="C8843" s="51">
        <v>1.004</v>
      </c>
      <c r="D8843" s="51">
        <v>69.0</v>
      </c>
      <c r="E8843" s="52" t="s">
        <v>25</v>
      </c>
      <c r="F8843" s="52" t="s">
        <v>26</v>
      </c>
      <c r="G8843" s="53"/>
    </row>
    <row r="8844">
      <c r="A8844" s="49">
        <v>44787.00249333333</v>
      </c>
      <c r="B8844" s="50">
        <v>44787.1274609027</v>
      </c>
      <c r="C8844" s="51">
        <v>1.004</v>
      </c>
      <c r="D8844" s="51">
        <v>69.0</v>
      </c>
      <c r="E8844" s="52" t="s">
        <v>25</v>
      </c>
      <c r="F8844" s="52" t="s">
        <v>26</v>
      </c>
      <c r="G8844" s="53"/>
    </row>
    <row r="8845">
      <c r="A8845" s="49">
        <v>44787.01292152778</v>
      </c>
      <c r="B8845" s="50">
        <v>44787.1378843865</v>
      </c>
      <c r="C8845" s="51">
        <v>1.004</v>
      </c>
      <c r="D8845" s="51">
        <v>69.0</v>
      </c>
      <c r="E8845" s="52" t="s">
        <v>25</v>
      </c>
      <c r="F8845" s="52" t="s">
        <v>26</v>
      </c>
      <c r="G8845" s="53"/>
    </row>
    <row r="8846">
      <c r="A8846" s="49">
        <v>44787.023336053244</v>
      </c>
      <c r="B8846" s="50">
        <v>44787.1483046875</v>
      </c>
      <c r="C8846" s="51">
        <v>1.004</v>
      </c>
      <c r="D8846" s="51">
        <v>69.0</v>
      </c>
      <c r="E8846" s="52" t="s">
        <v>25</v>
      </c>
      <c r="F8846" s="52" t="s">
        <v>26</v>
      </c>
      <c r="G8846" s="53"/>
    </row>
    <row r="8847">
      <c r="A8847" s="49">
        <v>44787.033759178245</v>
      </c>
      <c r="B8847" s="50">
        <v>44787.1587269213</v>
      </c>
      <c r="C8847" s="51">
        <v>1.004</v>
      </c>
      <c r="D8847" s="51">
        <v>69.0</v>
      </c>
      <c r="E8847" s="52" t="s">
        <v>25</v>
      </c>
      <c r="F8847" s="52" t="s">
        <v>26</v>
      </c>
      <c r="G8847" s="53"/>
    </row>
    <row r="8848">
      <c r="A8848" s="49">
        <v>44787.04418927083</v>
      </c>
      <c r="B8848" s="50">
        <v>44787.1691572685</v>
      </c>
      <c r="C8848" s="51">
        <v>1.004</v>
      </c>
      <c r="D8848" s="51">
        <v>69.0</v>
      </c>
      <c r="E8848" s="52" t="s">
        <v>25</v>
      </c>
      <c r="F8848" s="52" t="s">
        <v>26</v>
      </c>
      <c r="G8848" s="53"/>
    </row>
    <row r="8849">
      <c r="A8849" s="49">
        <v>44787.054617002315</v>
      </c>
      <c r="B8849" s="50">
        <v>44787.1795780787</v>
      </c>
      <c r="C8849" s="51">
        <v>1.004</v>
      </c>
      <c r="D8849" s="51">
        <v>69.0</v>
      </c>
      <c r="E8849" s="52" t="s">
        <v>25</v>
      </c>
      <c r="F8849" s="52" t="s">
        <v>26</v>
      </c>
      <c r="G8849" s="53"/>
    </row>
    <row r="8850">
      <c r="A8850" s="49">
        <v>44787.06504068287</v>
      </c>
      <c r="B8850" s="50">
        <v>44787.1900111574</v>
      </c>
      <c r="C8850" s="51">
        <v>1.004</v>
      </c>
      <c r="D8850" s="51">
        <v>69.0</v>
      </c>
      <c r="E8850" s="52" t="s">
        <v>25</v>
      </c>
      <c r="F8850" s="52" t="s">
        <v>26</v>
      </c>
      <c r="G8850" s="53"/>
    </row>
    <row r="8851">
      <c r="A8851" s="49">
        <v>44787.07546723379</v>
      </c>
      <c r="B8851" s="50">
        <v>44787.2004330208</v>
      </c>
      <c r="C8851" s="51">
        <v>1.004</v>
      </c>
      <c r="D8851" s="51">
        <v>69.0</v>
      </c>
      <c r="E8851" s="52" t="s">
        <v>25</v>
      </c>
      <c r="F8851" s="52" t="s">
        <v>26</v>
      </c>
      <c r="G8851" s="53"/>
    </row>
    <row r="8852">
      <c r="A8852" s="49">
        <v>44787.08587931713</v>
      </c>
      <c r="B8852" s="50">
        <v>44787.2108552893</v>
      </c>
      <c r="C8852" s="51">
        <v>1.004</v>
      </c>
      <c r="D8852" s="51">
        <v>69.0</v>
      </c>
      <c r="E8852" s="52" t="s">
        <v>25</v>
      </c>
      <c r="F8852" s="52" t="s">
        <v>26</v>
      </c>
      <c r="G8852" s="53"/>
    </row>
    <row r="8853">
      <c r="A8853" s="49">
        <v>44787.09631274306</v>
      </c>
      <c r="B8853" s="50">
        <v>44787.2212757986</v>
      </c>
      <c r="C8853" s="51">
        <v>1.004</v>
      </c>
      <c r="D8853" s="51">
        <v>69.0</v>
      </c>
      <c r="E8853" s="52" t="s">
        <v>25</v>
      </c>
      <c r="F8853" s="52" t="s">
        <v>26</v>
      </c>
      <c r="G8853" s="53"/>
    </row>
    <row r="8854">
      <c r="A8854" s="49">
        <v>44787.1067382176</v>
      </c>
      <c r="B8854" s="50">
        <v>44787.2316973032</v>
      </c>
      <c r="C8854" s="51">
        <v>1.004</v>
      </c>
      <c r="D8854" s="51">
        <v>69.0</v>
      </c>
      <c r="E8854" s="52" t="s">
        <v>25</v>
      </c>
      <c r="F8854" s="52" t="s">
        <v>26</v>
      </c>
      <c r="G8854" s="53"/>
    </row>
    <row r="8855">
      <c r="A8855" s="49">
        <v>44787.1171559838</v>
      </c>
      <c r="B8855" s="50">
        <v>44787.2421187268</v>
      </c>
      <c r="C8855" s="51">
        <v>1.004</v>
      </c>
      <c r="D8855" s="51">
        <v>69.0</v>
      </c>
      <c r="E8855" s="52" t="s">
        <v>25</v>
      </c>
      <c r="F8855" s="52" t="s">
        <v>26</v>
      </c>
      <c r="G8855" s="53"/>
    </row>
    <row r="8856">
      <c r="A8856" s="49">
        <v>44787.127570324075</v>
      </c>
      <c r="B8856" s="50">
        <v>44787.2525499884</v>
      </c>
      <c r="C8856" s="51">
        <v>1.004</v>
      </c>
      <c r="D8856" s="51">
        <v>69.0</v>
      </c>
      <c r="E8856" s="52" t="s">
        <v>25</v>
      </c>
      <c r="F8856" s="52" t="s">
        <v>26</v>
      </c>
      <c r="G8856" s="53"/>
    </row>
    <row r="8857">
      <c r="A8857" s="49">
        <v>44787.138007326386</v>
      </c>
      <c r="B8857" s="50">
        <v>44787.2629825463</v>
      </c>
      <c r="C8857" s="51">
        <v>1.004</v>
      </c>
      <c r="D8857" s="51">
        <v>69.0</v>
      </c>
      <c r="E8857" s="52" t="s">
        <v>25</v>
      </c>
      <c r="F8857" s="52" t="s">
        <v>26</v>
      </c>
      <c r="G8857" s="53"/>
    </row>
    <row r="8858">
      <c r="A8858" s="49">
        <v>44787.14843760416</v>
      </c>
      <c r="B8858" s="50">
        <v>44787.2734041203</v>
      </c>
      <c r="C8858" s="51">
        <v>1.004</v>
      </c>
      <c r="D8858" s="51">
        <v>69.0</v>
      </c>
      <c r="E8858" s="52" t="s">
        <v>25</v>
      </c>
      <c r="F8858" s="52" t="s">
        <v>26</v>
      </c>
      <c r="G8858" s="53"/>
    </row>
    <row r="8859">
      <c r="A8859" s="49">
        <v>44787.15885920139</v>
      </c>
      <c r="B8859" s="50">
        <v>44787.2838265162</v>
      </c>
      <c r="C8859" s="51">
        <v>1.004</v>
      </c>
      <c r="D8859" s="51">
        <v>69.0</v>
      </c>
      <c r="E8859" s="52" t="s">
        <v>25</v>
      </c>
      <c r="F8859" s="52" t="s">
        <v>26</v>
      </c>
      <c r="G8859" s="53"/>
    </row>
    <row r="8860">
      <c r="A8860" s="49">
        <v>44787.16927712963</v>
      </c>
      <c r="B8860" s="50">
        <v>44787.2942501041</v>
      </c>
      <c r="C8860" s="51">
        <v>1.004</v>
      </c>
      <c r="D8860" s="51">
        <v>69.0</v>
      </c>
      <c r="E8860" s="52" t="s">
        <v>25</v>
      </c>
      <c r="F8860" s="52" t="s">
        <v>26</v>
      </c>
      <c r="G8860" s="53"/>
    </row>
    <row r="8861">
      <c r="A8861" s="49">
        <v>44787.17970644676</v>
      </c>
      <c r="B8861" s="50">
        <v>44787.3046717361</v>
      </c>
      <c r="C8861" s="51">
        <v>1.004</v>
      </c>
      <c r="D8861" s="51">
        <v>69.0</v>
      </c>
      <c r="E8861" s="52" t="s">
        <v>25</v>
      </c>
      <c r="F8861" s="52" t="s">
        <v>26</v>
      </c>
      <c r="G8861" s="53"/>
    </row>
    <row r="8862">
      <c r="A8862" s="49">
        <v>44787.190137557875</v>
      </c>
      <c r="B8862" s="50">
        <v>44787.3151054282</v>
      </c>
      <c r="C8862" s="51">
        <v>1.004</v>
      </c>
      <c r="D8862" s="51">
        <v>69.0</v>
      </c>
      <c r="E8862" s="52" t="s">
        <v>25</v>
      </c>
      <c r="F8862" s="52" t="s">
        <v>26</v>
      </c>
      <c r="G8862" s="53"/>
    </row>
    <row r="8863">
      <c r="A8863" s="49">
        <v>44787.20055196759</v>
      </c>
      <c r="B8863" s="50">
        <v>44787.3255245949</v>
      </c>
      <c r="C8863" s="51">
        <v>1.004</v>
      </c>
      <c r="D8863" s="51">
        <v>69.0</v>
      </c>
      <c r="E8863" s="52" t="s">
        <v>25</v>
      </c>
      <c r="F8863" s="52" t="s">
        <v>26</v>
      </c>
      <c r="G8863" s="53"/>
    </row>
    <row r="8864">
      <c r="A8864" s="49">
        <v>44787.21097277778</v>
      </c>
      <c r="B8864" s="50">
        <v>44787.3359462847</v>
      </c>
      <c r="C8864" s="51">
        <v>1.004</v>
      </c>
      <c r="D8864" s="51">
        <v>70.0</v>
      </c>
      <c r="E8864" s="52" t="s">
        <v>25</v>
      </c>
      <c r="F8864" s="52" t="s">
        <v>26</v>
      </c>
      <c r="G8864" s="53"/>
    </row>
    <row r="8865">
      <c r="A8865" s="49">
        <v>44787.22138918981</v>
      </c>
      <c r="B8865" s="50">
        <v>44787.3463684143</v>
      </c>
      <c r="C8865" s="51">
        <v>1.004</v>
      </c>
      <c r="D8865" s="51">
        <v>70.0</v>
      </c>
      <c r="E8865" s="52" t="s">
        <v>25</v>
      </c>
      <c r="F8865" s="52" t="s">
        <v>26</v>
      </c>
      <c r="G8865" s="53"/>
    </row>
    <row r="8866">
      <c r="A8866" s="49">
        <v>44787.23183174769</v>
      </c>
      <c r="B8866" s="50">
        <v>44787.3567998264</v>
      </c>
      <c r="C8866" s="51">
        <v>1.004</v>
      </c>
      <c r="D8866" s="51">
        <v>69.0</v>
      </c>
      <c r="E8866" s="52" t="s">
        <v>25</v>
      </c>
      <c r="F8866" s="52" t="s">
        <v>26</v>
      </c>
      <c r="G8866" s="53"/>
    </row>
    <row r="8867">
      <c r="A8867" s="49">
        <v>44787.24227423611</v>
      </c>
      <c r="B8867" s="50">
        <v>44787.367245081</v>
      </c>
      <c r="C8867" s="51">
        <v>1.004</v>
      </c>
      <c r="D8867" s="51">
        <v>70.0</v>
      </c>
      <c r="E8867" s="52" t="s">
        <v>25</v>
      </c>
      <c r="F8867" s="52" t="s">
        <v>26</v>
      </c>
      <c r="G8867" s="53"/>
    </row>
    <row r="8868">
      <c r="A8868" s="49">
        <v>44787.252694131945</v>
      </c>
      <c r="B8868" s="50">
        <v>44787.377665</v>
      </c>
      <c r="C8868" s="51">
        <v>1.004</v>
      </c>
      <c r="D8868" s="51">
        <v>69.0</v>
      </c>
      <c r="E8868" s="52" t="s">
        <v>25</v>
      </c>
      <c r="F8868" s="52" t="s">
        <v>26</v>
      </c>
      <c r="G8868" s="53"/>
    </row>
    <row r="8869">
      <c r="A8869" s="49">
        <v>44787.26311302083</v>
      </c>
      <c r="B8869" s="50">
        <v>44787.3880865162</v>
      </c>
      <c r="C8869" s="51">
        <v>1.004</v>
      </c>
      <c r="D8869" s="51">
        <v>70.0</v>
      </c>
      <c r="E8869" s="52" t="s">
        <v>25</v>
      </c>
      <c r="F8869" s="52" t="s">
        <v>26</v>
      </c>
      <c r="G8869" s="53"/>
    </row>
    <row r="8870">
      <c r="A8870" s="49">
        <v>44787.27352887731</v>
      </c>
      <c r="B8870" s="50">
        <v>44787.3985084027</v>
      </c>
      <c r="C8870" s="51">
        <v>1.004</v>
      </c>
      <c r="D8870" s="51">
        <v>69.0</v>
      </c>
      <c r="E8870" s="52" t="s">
        <v>25</v>
      </c>
      <c r="F8870" s="52" t="s">
        <v>26</v>
      </c>
      <c r="G8870" s="53"/>
    </row>
    <row r="8871">
      <c r="A8871" s="49">
        <v>44787.28395578703</v>
      </c>
      <c r="B8871" s="50">
        <v>44787.4089284722</v>
      </c>
      <c r="C8871" s="51">
        <v>1.004</v>
      </c>
      <c r="D8871" s="51">
        <v>70.0</v>
      </c>
      <c r="E8871" s="52" t="s">
        <v>25</v>
      </c>
      <c r="F8871" s="52" t="s">
        <v>26</v>
      </c>
      <c r="G8871" s="53"/>
    </row>
    <row r="8872">
      <c r="A8872" s="49">
        <v>44787.2943716088</v>
      </c>
      <c r="B8872" s="50">
        <v>44787.4193500694</v>
      </c>
      <c r="C8872" s="51">
        <v>1.004</v>
      </c>
      <c r="D8872" s="51">
        <v>70.0</v>
      </c>
      <c r="E8872" s="52" t="s">
        <v>25</v>
      </c>
      <c r="F8872" s="52" t="s">
        <v>26</v>
      </c>
      <c r="G8872" s="53"/>
    </row>
    <row r="8873">
      <c r="A8873" s="49">
        <v>44787.304790787035</v>
      </c>
      <c r="B8873" s="50">
        <v>44787.4297717361</v>
      </c>
      <c r="C8873" s="51">
        <v>1.004</v>
      </c>
      <c r="D8873" s="51">
        <v>70.0</v>
      </c>
      <c r="E8873" s="52" t="s">
        <v>25</v>
      </c>
      <c r="F8873" s="52" t="s">
        <v>26</v>
      </c>
      <c r="G8873" s="53"/>
    </row>
    <row r="8874">
      <c r="A8874" s="49">
        <v>44787.31524646991</v>
      </c>
      <c r="B8874" s="50">
        <v>44787.4402182986</v>
      </c>
      <c r="C8874" s="51">
        <v>1.004</v>
      </c>
      <c r="D8874" s="51">
        <v>70.0</v>
      </c>
      <c r="E8874" s="52" t="s">
        <v>25</v>
      </c>
      <c r="F8874" s="52" t="s">
        <v>26</v>
      </c>
      <c r="G8874" s="53"/>
    </row>
    <row r="8875">
      <c r="A8875" s="49">
        <v>44787.325684675925</v>
      </c>
      <c r="B8875" s="50">
        <v>44787.4506500347</v>
      </c>
      <c r="C8875" s="51">
        <v>1.004</v>
      </c>
      <c r="D8875" s="51">
        <v>70.0</v>
      </c>
      <c r="E8875" s="52" t="s">
        <v>25</v>
      </c>
      <c r="F8875" s="52" t="s">
        <v>26</v>
      </c>
      <c r="G8875" s="53"/>
    </row>
    <row r="8876">
      <c r="A8876" s="49">
        <v>44787.33610210648</v>
      </c>
      <c r="B8876" s="50">
        <v>44787.4610735185</v>
      </c>
      <c r="C8876" s="51">
        <v>1.004</v>
      </c>
      <c r="D8876" s="51">
        <v>70.0</v>
      </c>
      <c r="E8876" s="52" t="s">
        <v>25</v>
      </c>
      <c r="F8876" s="52" t="s">
        <v>26</v>
      </c>
      <c r="G8876" s="53"/>
    </row>
    <row r="8877">
      <c r="A8877" s="49">
        <v>44787.346530625</v>
      </c>
      <c r="B8877" s="50">
        <v>44787.471493912</v>
      </c>
      <c r="C8877" s="51">
        <v>1.004</v>
      </c>
      <c r="D8877" s="51">
        <v>70.0</v>
      </c>
      <c r="E8877" s="52" t="s">
        <v>25</v>
      </c>
      <c r="F8877" s="52" t="s">
        <v>26</v>
      </c>
      <c r="G8877" s="53"/>
    </row>
    <row r="8878">
      <c r="A8878" s="49">
        <v>44787.35693905092</v>
      </c>
      <c r="B8878" s="50">
        <v>44787.4819171296</v>
      </c>
      <c r="C8878" s="51">
        <v>1.004</v>
      </c>
      <c r="D8878" s="51">
        <v>70.0</v>
      </c>
      <c r="E8878" s="52" t="s">
        <v>25</v>
      </c>
      <c r="F8878" s="52" t="s">
        <v>26</v>
      </c>
      <c r="G8878" s="53"/>
    </row>
    <row r="8879">
      <c r="A8879" s="49">
        <v>44787.367383668985</v>
      </c>
      <c r="B8879" s="50">
        <v>44787.4923520717</v>
      </c>
      <c r="C8879" s="51">
        <v>1.004</v>
      </c>
      <c r="D8879" s="51">
        <v>70.0</v>
      </c>
      <c r="E8879" s="52" t="s">
        <v>25</v>
      </c>
      <c r="F8879" s="52" t="s">
        <v>26</v>
      </c>
      <c r="G8879" s="53"/>
    </row>
    <row r="8880">
      <c r="A8880" s="49">
        <v>44787.37780707176</v>
      </c>
      <c r="B8880" s="50">
        <v>44787.5027732986</v>
      </c>
      <c r="C8880" s="51">
        <v>1.004</v>
      </c>
      <c r="D8880" s="51">
        <v>70.0</v>
      </c>
      <c r="E8880" s="52" t="s">
        <v>25</v>
      </c>
      <c r="F8880" s="52" t="s">
        <v>26</v>
      </c>
      <c r="G8880" s="53"/>
    </row>
    <row r="8881">
      <c r="A8881" s="49">
        <v>44787.388226724535</v>
      </c>
      <c r="B8881" s="50">
        <v>44787.5131940277</v>
      </c>
      <c r="C8881" s="51">
        <v>1.004</v>
      </c>
      <c r="D8881" s="51">
        <v>70.0</v>
      </c>
      <c r="E8881" s="52" t="s">
        <v>25</v>
      </c>
      <c r="F8881" s="52" t="s">
        <v>26</v>
      </c>
      <c r="G8881" s="53"/>
    </row>
    <row r="8882">
      <c r="A8882" s="49">
        <v>44787.39864997685</v>
      </c>
      <c r="B8882" s="50">
        <v>44787.5236248032</v>
      </c>
      <c r="C8882" s="51">
        <v>1.004</v>
      </c>
      <c r="D8882" s="51">
        <v>70.0</v>
      </c>
      <c r="E8882" s="52" t="s">
        <v>25</v>
      </c>
      <c r="F8882" s="52" t="s">
        <v>26</v>
      </c>
      <c r="G8882" s="53"/>
    </row>
    <row r="8883">
      <c r="A8883" s="49">
        <v>44787.40906460649</v>
      </c>
      <c r="B8883" s="50">
        <v>44787.5340467361</v>
      </c>
      <c r="C8883" s="51">
        <v>1.004</v>
      </c>
      <c r="D8883" s="51">
        <v>70.0</v>
      </c>
      <c r="E8883" s="52" t="s">
        <v>25</v>
      </c>
      <c r="F8883" s="52" t="s">
        <v>26</v>
      </c>
      <c r="G8883" s="53"/>
    </row>
    <row r="8884">
      <c r="A8884" s="49">
        <v>44787.419487673615</v>
      </c>
      <c r="B8884" s="50">
        <v>44787.5444681134</v>
      </c>
      <c r="C8884" s="51">
        <v>1.004</v>
      </c>
      <c r="D8884" s="51">
        <v>70.0</v>
      </c>
      <c r="E8884" s="52" t="s">
        <v>25</v>
      </c>
      <c r="F8884" s="52" t="s">
        <v>26</v>
      </c>
      <c r="G8884" s="53"/>
    </row>
    <row r="8885">
      <c r="A8885" s="49">
        <v>44787.42992388889</v>
      </c>
      <c r="B8885" s="50">
        <v>44787.5548988194</v>
      </c>
      <c r="C8885" s="51">
        <v>1.004</v>
      </c>
      <c r="D8885" s="51">
        <v>70.0</v>
      </c>
      <c r="E8885" s="52" t="s">
        <v>25</v>
      </c>
      <c r="F8885" s="52" t="s">
        <v>26</v>
      </c>
      <c r="G8885" s="53"/>
    </row>
    <row r="8886">
      <c r="A8886" s="49">
        <v>44787.440341469905</v>
      </c>
      <c r="B8886" s="50">
        <v>44787.5653190162</v>
      </c>
      <c r="C8886" s="51">
        <v>1.004</v>
      </c>
      <c r="D8886" s="51">
        <v>70.0</v>
      </c>
      <c r="E8886" s="52" t="s">
        <v>25</v>
      </c>
      <c r="F8886" s="52" t="s">
        <v>26</v>
      </c>
      <c r="G8886" s="53"/>
    </row>
    <row r="8887">
      <c r="A8887" s="49">
        <v>44787.45077332176</v>
      </c>
      <c r="B8887" s="50">
        <v>44787.5757516203</v>
      </c>
      <c r="C8887" s="51">
        <v>1.004</v>
      </c>
      <c r="D8887" s="51">
        <v>70.0</v>
      </c>
      <c r="E8887" s="52" t="s">
        <v>25</v>
      </c>
      <c r="F8887" s="52" t="s">
        <v>26</v>
      </c>
      <c r="G8887" s="53"/>
    </row>
    <row r="8888">
      <c r="A8888" s="49">
        <v>44787.461194131945</v>
      </c>
      <c r="B8888" s="50">
        <v>44787.5861721643</v>
      </c>
      <c r="C8888" s="51">
        <v>1.004</v>
      </c>
      <c r="D8888" s="51">
        <v>70.0</v>
      </c>
      <c r="E8888" s="52" t="s">
        <v>25</v>
      </c>
      <c r="F8888" s="52" t="s">
        <v>26</v>
      </c>
      <c r="G8888" s="53"/>
    </row>
    <row r="8889">
      <c r="A8889" s="49">
        <v>44787.47162311342</v>
      </c>
      <c r="B8889" s="50">
        <v>44787.5965939004</v>
      </c>
      <c r="C8889" s="51">
        <v>1.004</v>
      </c>
      <c r="D8889" s="51">
        <v>70.0</v>
      </c>
      <c r="E8889" s="52" t="s">
        <v>25</v>
      </c>
      <c r="F8889" s="52" t="s">
        <v>26</v>
      </c>
      <c r="G8889" s="53"/>
    </row>
    <row r="8890">
      <c r="A8890" s="49">
        <v>44787.48204189815</v>
      </c>
      <c r="B8890" s="50">
        <v>44787.6070147453</v>
      </c>
      <c r="C8890" s="51">
        <v>1.003</v>
      </c>
      <c r="D8890" s="51">
        <v>70.0</v>
      </c>
      <c r="E8890" s="52" t="s">
        <v>25</v>
      </c>
      <c r="F8890" s="52" t="s">
        <v>26</v>
      </c>
      <c r="G8890" s="53"/>
    </row>
    <row r="8891">
      <c r="A8891" s="49">
        <v>44787.49246587963</v>
      </c>
      <c r="B8891" s="50">
        <v>44787.617435706</v>
      </c>
      <c r="C8891" s="51">
        <v>1.004</v>
      </c>
      <c r="D8891" s="51">
        <v>70.0</v>
      </c>
      <c r="E8891" s="52" t="s">
        <v>25</v>
      </c>
      <c r="F8891" s="52" t="s">
        <v>26</v>
      </c>
      <c r="G8891" s="53"/>
    </row>
    <row r="8892">
      <c r="A8892" s="49">
        <v>44787.502884745365</v>
      </c>
      <c r="B8892" s="50">
        <v>44787.6278555902</v>
      </c>
      <c r="C8892" s="51">
        <v>1.004</v>
      </c>
      <c r="D8892" s="51">
        <v>70.0</v>
      </c>
      <c r="E8892" s="52" t="s">
        <v>25</v>
      </c>
      <c r="F8892" s="52" t="s">
        <v>26</v>
      </c>
      <c r="G8892" s="53"/>
    </row>
    <row r="8893">
      <c r="A8893" s="49">
        <v>44787.513313414354</v>
      </c>
      <c r="B8893" s="50">
        <v>44787.6382792476</v>
      </c>
      <c r="C8893" s="51">
        <v>1.004</v>
      </c>
      <c r="D8893" s="51">
        <v>70.0</v>
      </c>
      <c r="E8893" s="52" t="s">
        <v>25</v>
      </c>
      <c r="F8893" s="52" t="s">
        <v>26</v>
      </c>
      <c r="G8893" s="53"/>
    </row>
    <row r="8894">
      <c r="A8894" s="49">
        <v>44787.52374163194</v>
      </c>
      <c r="B8894" s="50">
        <v>44787.6487106365</v>
      </c>
      <c r="C8894" s="51">
        <v>1.004</v>
      </c>
      <c r="D8894" s="51">
        <v>70.0</v>
      </c>
      <c r="E8894" s="52" t="s">
        <v>25</v>
      </c>
      <c r="F8894" s="52" t="s">
        <v>26</v>
      </c>
      <c r="G8894" s="53"/>
    </row>
    <row r="8895">
      <c r="A8895" s="49">
        <v>44787.53415842593</v>
      </c>
      <c r="B8895" s="50">
        <v>44787.6591331828</v>
      </c>
      <c r="C8895" s="51">
        <v>1.004</v>
      </c>
      <c r="D8895" s="51">
        <v>70.0</v>
      </c>
      <c r="E8895" s="52" t="s">
        <v>25</v>
      </c>
      <c r="F8895" s="52" t="s">
        <v>26</v>
      </c>
      <c r="G8895" s="53"/>
    </row>
    <row r="8896">
      <c r="A8896" s="49">
        <v>44787.54460396991</v>
      </c>
      <c r="B8896" s="50">
        <v>44787.6695762152</v>
      </c>
      <c r="C8896" s="51">
        <v>1.004</v>
      </c>
      <c r="D8896" s="51">
        <v>70.0</v>
      </c>
      <c r="E8896" s="52" t="s">
        <v>25</v>
      </c>
      <c r="F8896" s="52" t="s">
        <v>26</v>
      </c>
      <c r="G8896" s="53"/>
    </row>
    <row r="8897">
      <c r="A8897" s="49">
        <v>44787.55501747685</v>
      </c>
      <c r="B8897" s="50">
        <v>44787.6799984375</v>
      </c>
      <c r="C8897" s="51">
        <v>1.004</v>
      </c>
      <c r="D8897" s="51">
        <v>70.0</v>
      </c>
      <c r="E8897" s="52" t="s">
        <v>25</v>
      </c>
      <c r="F8897" s="52" t="s">
        <v>26</v>
      </c>
      <c r="G8897" s="53"/>
    </row>
    <row r="8898">
      <c r="A8898" s="49">
        <v>44787.5654513426</v>
      </c>
      <c r="B8898" s="50">
        <v>44787.6904212963</v>
      </c>
      <c r="C8898" s="51">
        <v>1.003</v>
      </c>
      <c r="D8898" s="51">
        <v>70.0</v>
      </c>
      <c r="E8898" s="52" t="s">
        <v>25</v>
      </c>
      <c r="F8898" s="52" t="s">
        <v>26</v>
      </c>
      <c r="G8898" s="53"/>
    </row>
    <row r="8899">
      <c r="A8899" s="49">
        <v>44787.57587302083</v>
      </c>
      <c r="B8899" s="50">
        <v>44787.7008414236</v>
      </c>
      <c r="C8899" s="51">
        <v>1.004</v>
      </c>
      <c r="D8899" s="51">
        <v>70.0</v>
      </c>
      <c r="E8899" s="52" t="s">
        <v>25</v>
      </c>
      <c r="F8899" s="52" t="s">
        <v>26</v>
      </c>
      <c r="G8899" s="53"/>
    </row>
    <row r="8900">
      <c r="A8900" s="49">
        <v>44787.58629561342</v>
      </c>
      <c r="B8900" s="50">
        <v>44787.7112615509</v>
      </c>
      <c r="C8900" s="51">
        <v>1.004</v>
      </c>
      <c r="D8900" s="51">
        <v>70.0</v>
      </c>
      <c r="E8900" s="52" t="s">
        <v>25</v>
      </c>
      <c r="F8900" s="52" t="s">
        <v>26</v>
      </c>
      <c r="G8900" s="53"/>
    </row>
    <row r="8901">
      <c r="A8901" s="49">
        <v>44787.596721724534</v>
      </c>
      <c r="B8901" s="50">
        <v>44787.7216948495</v>
      </c>
      <c r="C8901" s="51">
        <v>1.004</v>
      </c>
      <c r="D8901" s="51">
        <v>70.0</v>
      </c>
      <c r="E8901" s="52" t="s">
        <v>25</v>
      </c>
      <c r="F8901" s="52" t="s">
        <v>26</v>
      </c>
      <c r="G8901" s="53"/>
    </row>
    <row r="8902">
      <c r="A8902" s="49">
        <v>44787.6071584375</v>
      </c>
      <c r="B8902" s="50">
        <v>44787.7321256481</v>
      </c>
      <c r="C8902" s="51">
        <v>1.003</v>
      </c>
      <c r="D8902" s="51">
        <v>70.0</v>
      </c>
      <c r="E8902" s="52" t="s">
        <v>25</v>
      </c>
      <c r="F8902" s="52" t="s">
        <v>26</v>
      </c>
      <c r="G8902" s="53"/>
    </row>
    <row r="8903">
      <c r="A8903" s="49">
        <v>44787.61757377315</v>
      </c>
      <c r="B8903" s="50">
        <v>44787.7425467361</v>
      </c>
      <c r="C8903" s="51">
        <v>1.003</v>
      </c>
      <c r="D8903" s="51">
        <v>70.0</v>
      </c>
      <c r="E8903" s="52" t="s">
        <v>25</v>
      </c>
      <c r="F8903" s="52" t="s">
        <v>26</v>
      </c>
      <c r="G8903" s="53"/>
    </row>
    <row r="8904">
      <c r="A8904" s="49">
        <v>44787.62799898148</v>
      </c>
      <c r="B8904" s="50">
        <v>44787.7529790625</v>
      </c>
      <c r="C8904" s="51">
        <v>1.004</v>
      </c>
      <c r="D8904" s="51">
        <v>70.0</v>
      </c>
      <c r="E8904" s="52" t="s">
        <v>25</v>
      </c>
      <c r="F8904" s="52" t="s">
        <v>26</v>
      </c>
      <c r="G8904" s="53"/>
    </row>
    <row r="8905">
      <c r="A8905" s="49">
        <v>44787.638426273144</v>
      </c>
      <c r="B8905" s="50">
        <v>44787.7633987963</v>
      </c>
      <c r="C8905" s="51">
        <v>1.004</v>
      </c>
      <c r="D8905" s="51">
        <v>70.0</v>
      </c>
      <c r="E8905" s="52" t="s">
        <v>25</v>
      </c>
      <c r="F8905" s="52" t="s">
        <v>26</v>
      </c>
      <c r="G8905" s="53"/>
    </row>
    <row r="8906">
      <c r="A8906" s="49">
        <v>44787.64884530092</v>
      </c>
      <c r="B8906" s="50">
        <v>44787.7738204166</v>
      </c>
      <c r="C8906" s="51">
        <v>1.004</v>
      </c>
      <c r="D8906" s="51">
        <v>70.0</v>
      </c>
      <c r="E8906" s="52" t="s">
        <v>25</v>
      </c>
      <c r="F8906" s="52" t="s">
        <v>26</v>
      </c>
      <c r="G8906" s="53"/>
    </row>
    <row r="8907">
      <c r="A8907" s="49">
        <v>44787.65927420139</v>
      </c>
      <c r="B8907" s="50">
        <v>44787.7842432291</v>
      </c>
      <c r="C8907" s="51">
        <v>1.004</v>
      </c>
      <c r="D8907" s="51">
        <v>70.0</v>
      </c>
      <c r="E8907" s="52" t="s">
        <v>25</v>
      </c>
      <c r="F8907" s="52" t="s">
        <v>26</v>
      </c>
      <c r="G8907" s="53"/>
    </row>
    <row r="8908">
      <c r="A8908" s="49">
        <v>44787.66969350695</v>
      </c>
      <c r="B8908" s="50">
        <v>44787.7946643287</v>
      </c>
      <c r="C8908" s="51">
        <v>1.003</v>
      </c>
      <c r="D8908" s="51">
        <v>70.0</v>
      </c>
      <c r="E8908" s="52" t="s">
        <v>25</v>
      </c>
      <c r="F8908" s="52" t="s">
        <v>26</v>
      </c>
      <c r="G8908" s="53"/>
    </row>
    <row r="8909">
      <c r="A8909" s="49">
        <v>44787.680122986116</v>
      </c>
      <c r="B8909" s="50">
        <v>44787.8050975347</v>
      </c>
      <c r="C8909" s="51">
        <v>1.003</v>
      </c>
      <c r="D8909" s="51">
        <v>70.0</v>
      </c>
      <c r="E8909" s="52" t="s">
        <v>25</v>
      </c>
      <c r="F8909" s="52" t="s">
        <v>26</v>
      </c>
      <c r="G8909" s="53"/>
    </row>
    <row r="8910">
      <c r="A8910" s="49">
        <v>44787.69054146991</v>
      </c>
      <c r="B8910" s="50">
        <v>44787.8155178819</v>
      </c>
      <c r="C8910" s="51">
        <v>1.003</v>
      </c>
      <c r="D8910" s="51">
        <v>70.0</v>
      </c>
      <c r="E8910" s="52" t="s">
        <v>25</v>
      </c>
      <c r="F8910" s="52" t="s">
        <v>26</v>
      </c>
      <c r="G8910" s="53"/>
    </row>
    <row r="8911">
      <c r="A8911" s="49">
        <v>44787.7009825</v>
      </c>
      <c r="B8911" s="50">
        <v>44787.825950081</v>
      </c>
      <c r="C8911" s="51">
        <v>1.003</v>
      </c>
      <c r="D8911" s="51">
        <v>70.0</v>
      </c>
      <c r="E8911" s="52" t="s">
        <v>25</v>
      </c>
      <c r="F8911" s="52" t="s">
        <v>26</v>
      </c>
      <c r="G8911" s="53"/>
    </row>
    <row r="8912">
      <c r="A8912" s="49">
        <v>44787.711405625</v>
      </c>
      <c r="B8912" s="50">
        <v>44787.836372662</v>
      </c>
      <c r="C8912" s="51">
        <v>1.004</v>
      </c>
      <c r="D8912" s="51">
        <v>70.0</v>
      </c>
      <c r="E8912" s="52" t="s">
        <v>25</v>
      </c>
      <c r="F8912" s="52" t="s">
        <v>26</v>
      </c>
      <c r="G8912" s="53"/>
    </row>
    <row r="8913">
      <c r="A8913" s="49">
        <v>44787.72182604167</v>
      </c>
      <c r="B8913" s="50">
        <v>44787.8467928588</v>
      </c>
      <c r="C8913" s="51">
        <v>1.004</v>
      </c>
      <c r="D8913" s="51">
        <v>70.0</v>
      </c>
      <c r="E8913" s="52" t="s">
        <v>25</v>
      </c>
      <c r="F8913" s="52" t="s">
        <v>26</v>
      </c>
      <c r="G8913" s="53"/>
    </row>
    <row r="8914">
      <c r="A8914" s="49">
        <v>44787.73224193287</v>
      </c>
      <c r="B8914" s="50">
        <v>44787.8572139236</v>
      </c>
      <c r="C8914" s="51">
        <v>1.004</v>
      </c>
      <c r="D8914" s="51">
        <v>70.0</v>
      </c>
      <c r="E8914" s="52" t="s">
        <v>25</v>
      </c>
      <c r="F8914" s="52" t="s">
        <v>26</v>
      </c>
      <c r="G8914" s="53"/>
    </row>
    <row r="8915">
      <c r="A8915" s="49">
        <v>44787.74266525463</v>
      </c>
      <c r="B8915" s="50">
        <v>44787.8676348611</v>
      </c>
      <c r="C8915" s="51">
        <v>1.004</v>
      </c>
      <c r="D8915" s="51">
        <v>70.0</v>
      </c>
      <c r="E8915" s="52" t="s">
        <v>25</v>
      </c>
      <c r="F8915" s="52" t="s">
        <v>26</v>
      </c>
      <c r="G8915" s="53"/>
    </row>
    <row r="8916">
      <c r="A8916" s="49">
        <v>44787.753083993055</v>
      </c>
      <c r="B8916" s="50">
        <v>44787.8780558449</v>
      </c>
      <c r="C8916" s="51">
        <v>1.004</v>
      </c>
      <c r="D8916" s="51">
        <v>70.0</v>
      </c>
      <c r="E8916" s="52" t="s">
        <v>25</v>
      </c>
      <c r="F8916" s="52" t="s">
        <v>26</v>
      </c>
      <c r="G8916" s="53"/>
    </row>
    <row r="8917">
      <c r="A8917" s="49">
        <v>44787.76350563657</v>
      </c>
      <c r="B8917" s="50">
        <v>44787.8884771874</v>
      </c>
      <c r="C8917" s="51">
        <v>1.004</v>
      </c>
      <c r="D8917" s="51">
        <v>70.0</v>
      </c>
      <c r="E8917" s="52" t="s">
        <v>25</v>
      </c>
      <c r="F8917" s="52" t="s">
        <v>26</v>
      </c>
      <c r="G8917" s="53"/>
    </row>
    <row r="8918">
      <c r="A8918" s="49">
        <v>44787.77394950231</v>
      </c>
      <c r="B8918" s="50">
        <v>44787.8989211342</v>
      </c>
      <c r="C8918" s="51">
        <v>1.004</v>
      </c>
      <c r="D8918" s="51">
        <v>70.0</v>
      </c>
      <c r="E8918" s="52" t="s">
        <v>25</v>
      </c>
      <c r="F8918" s="52" t="s">
        <v>26</v>
      </c>
      <c r="G8918" s="53"/>
    </row>
    <row r="8919">
      <c r="A8919" s="49">
        <v>44787.7843737963</v>
      </c>
      <c r="B8919" s="50">
        <v>44787.9093441898</v>
      </c>
      <c r="C8919" s="51">
        <v>1.004</v>
      </c>
      <c r="D8919" s="51">
        <v>70.0</v>
      </c>
      <c r="E8919" s="52" t="s">
        <v>25</v>
      </c>
      <c r="F8919" s="52" t="s">
        <v>26</v>
      </c>
      <c r="G8919" s="53"/>
    </row>
    <row r="8920">
      <c r="A8920" s="49">
        <v>44787.794795891205</v>
      </c>
      <c r="B8920" s="50">
        <v>44787.9197650926</v>
      </c>
      <c r="C8920" s="51">
        <v>1.004</v>
      </c>
      <c r="D8920" s="51">
        <v>70.0</v>
      </c>
      <c r="E8920" s="52" t="s">
        <v>25</v>
      </c>
      <c r="F8920" s="52" t="s">
        <v>26</v>
      </c>
      <c r="G8920" s="53"/>
    </row>
    <row r="8921">
      <c r="A8921" s="49">
        <v>44787.80521335648</v>
      </c>
      <c r="B8921" s="50">
        <v>44787.9301853356</v>
      </c>
      <c r="C8921" s="51">
        <v>1.004</v>
      </c>
      <c r="D8921" s="51">
        <v>70.0</v>
      </c>
      <c r="E8921" s="52" t="s">
        <v>25</v>
      </c>
      <c r="F8921" s="52" t="s">
        <v>26</v>
      </c>
      <c r="G8921" s="53"/>
    </row>
    <row r="8922">
      <c r="A8922" s="49">
        <v>44787.815630613426</v>
      </c>
      <c r="B8922" s="50">
        <v>44787.9406076967</v>
      </c>
      <c r="C8922" s="51">
        <v>1.003</v>
      </c>
      <c r="D8922" s="51">
        <v>70.0</v>
      </c>
      <c r="E8922" s="52" t="s">
        <v>25</v>
      </c>
      <c r="F8922" s="52" t="s">
        <v>26</v>
      </c>
      <c r="G8922" s="53"/>
    </row>
    <row r="8923">
      <c r="A8923" s="49">
        <v>44787.82604934028</v>
      </c>
      <c r="B8923" s="50">
        <v>44787.9510271412</v>
      </c>
      <c r="C8923" s="51">
        <v>1.003</v>
      </c>
      <c r="D8923" s="51">
        <v>70.0</v>
      </c>
      <c r="E8923" s="52" t="s">
        <v>25</v>
      </c>
      <c r="F8923" s="52" t="s">
        <v>26</v>
      </c>
      <c r="G8923" s="53"/>
    </row>
    <row r="8924">
      <c r="A8924" s="49">
        <v>44787.836473993055</v>
      </c>
      <c r="B8924" s="50">
        <v>44787.9614470833</v>
      </c>
      <c r="C8924" s="51">
        <v>1.004</v>
      </c>
      <c r="D8924" s="51">
        <v>70.0</v>
      </c>
      <c r="E8924" s="52" t="s">
        <v>25</v>
      </c>
      <c r="F8924" s="52" t="s">
        <v>26</v>
      </c>
      <c r="G8924" s="53"/>
    </row>
    <row r="8925">
      <c r="A8925" s="49">
        <v>44787.846889733795</v>
      </c>
      <c r="B8925" s="50">
        <v>44787.9718670601</v>
      </c>
      <c r="C8925" s="51">
        <v>1.004</v>
      </c>
      <c r="D8925" s="51">
        <v>70.0</v>
      </c>
      <c r="E8925" s="52" t="s">
        <v>25</v>
      </c>
      <c r="F8925" s="52" t="s">
        <v>26</v>
      </c>
      <c r="G8925" s="53"/>
    </row>
    <row r="8926">
      <c r="A8926" s="49">
        <v>44787.85732251157</v>
      </c>
      <c r="B8926" s="50">
        <v>44787.9822888888</v>
      </c>
      <c r="C8926" s="51">
        <v>1.004</v>
      </c>
      <c r="D8926" s="51">
        <v>70.0</v>
      </c>
      <c r="E8926" s="52" t="s">
        <v>25</v>
      </c>
      <c r="F8926" s="52" t="s">
        <v>26</v>
      </c>
      <c r="G8926" s="53"/>
    </row>
    <row r="8927">
      <c r="A8927" s="49">
        <v>44787.86773886574</v>
      </c>
      <c r="B8927" s="50">
        <v>44787.9927101967</v>
      </c>
      <c r="C8927" s="51">
        <v>1.004</v>
      </c>
      <c r="D8927" s="51">
        <v>70.0</v>
      </c>
      <c r="E8927" s="52" t="s">
        <v>25</v>
      </c>
      <c r="F8927" s="52" t="s">
        <v>26</v>
      </c>
      <c r="G8927" s="53"/>
    </row>
    <row r="8928">
      <c r="A8928" s="49">
        <v>44787.878161099536</v>
      </c>
      <c r="B8928" s="50">
        <v>44788.0031308912</v>
      </c>
      <c r="C8928" s="51">
        <v>1.003</v>
      </c>
      <c r="D8928" s="51">
        <v>70.0</v>
      </c>
      <c r="E8928" s="52" t="s">
        <v>25</v>
      </c>
      <c r="F8928" s="52" t="s">
        <v>26</v>
      </c>
      <c r="G8928" s="53"/>
    </row>
    <row r="8929">
      <c r="A8929" s="49">
        <v>44787.888579375</v>
      </c>
      <c r="B8929" s="50">
        <v>44788.0135516666</v>
      </c>
      <c r="C8929" s="51">
        <v>1.004</v>
      </c>
      <c r="D8929" s="51">
        <v>70.0</v>
      </c>
      <c r="E8929" s="52" t="s">
        <v>25</v>
      </c>
      <c r="F8929" s="52" t="s">
        <v>26</v>
      </c>
      <c r="G8929" s="53"/>
    </row>
    <row r="8930">
      <c r="A8930" s="49">
        <v>44787.898998449076</v>
      </c>
      <c r="B8930" s="50">
        <v>44788.0239720949</v>
      </c>
      <c r="C8930" s="51">
        <v>1.004</v>
      </c>
      <c r="D8930" s="51">
        <v>70.0</v>
      </c>
      <c r="E8930" s="52" t="s">
        <v>25</v>
      </c>
      <c r="F8930" s="52" t="s">
        <v>26</v>
      </c>
      <c r="G8930" s="53"/>
    </row>
    <row r="8931">
      <c r="A8931" s="49">
        <v>44787.909424363424</v>
      </c>
      <c r="B8931" s="50">
        <v>44788.0343937731</v>
      </c>
      <c r="C8931" s="51">
        <v>1.003</v>
      </c>
      <c r="D8931" s="51">
        <v>70.0</v>
      </c>
      <c r="E8931" s="52" t="s">
        <v>25</v>
      </c>
      <c r="F8931" s="52" t="s">
        <v>26</v>
      </c>
      <c r="G8931" s="53"/>
    </row>
    <row r="8932">
      <c r="A8932" s="49">
        <v>44787.91985416667</v>
      </c>
      <c r="B8932" s="50">
        <v>44788.0448278935</v>
      </c>
      <c r="C8932" s="51">
        <v>1.004</v>
      </c>
      <c r="D8932" s="51">
        <v>70.0</v>
      </c>
      <c r="E8932" s="52" t="s">
        <v>25</v>
      </c>
      <c r="F8932" s="52" t="s">
        <v>26</v>
      </c>
      <c r="G8932" s="53"/>
    </row>
    <row r="8933">
      <c r="A8933" s="49">
        <v>44787.930295555554</v>
      </c>
      <c r="B8933" s="50">
        <v>44788.0552601736</v>
      </c>
      <c r="C8933" s="51">
        <v>1.004</v>
      </c>
      <c r="D8933" s="51">
        <v>69.0</v>
      </c>
      <c r="E8933" s="52" t="s">
        <v>25</v>
      </c>
      <c r="F8933" s="52" t="s">
        <v>26</v>
      </c>
      <c r="G8933" s="53"/>
    </row>
    <row r="8934">
      <c r="A8934" s="49">
        <v>44787.940710752315</v>
      </c>
      <c r="B8934" s="50">
        <v>44788.0656822916</v>
      </c>
      <c r="C8934" s="51">
        <v>1.003</v>
      </c>
      <c r="D8934" s="51">
        <v>68.0</v>
      </c>
      <c r="E8934" s="52" t="s">
        <v>25</v>
      </c>
      <c r="F8934" s="52" t="s">
        <v>26</v>
      </c>
      <c r="G8934" s="53"/>
    </row>
    <row r="8935">
      <c r="A8935" s="49">
        <v>44787.95113854167</v>
      </c>
      <c r="B8935" s="50">
        <v>44788.0761045717</v>
      </c>
      <c r="C8935" s="51">
        <v>1.003</v>
      </c>
      <c r="D8935" s="51">
        <v>67.0</v>
      </c>
      <c r="E8935" s="52" t="s">
        <v>25</v>
      </c>
      <c r="F8935" s="52" t="s">
        <v>26</v>
      </c>
      <c r="G8935" s="53"/>
    </row>
    <row r="8936">
      <c r="A8936" s="49">
        <v>44787.96158429398</v>
      </c>
      <c r="B8936" s="50">
        <v>44788.0865498379</v>
      </c>
      <c r="C8936" s="51">
        <v>1.003</v>
      </c>
      <c r="D8936" s="51">
        <v>67.0</v>
      </c>
      <c r="E8936" s="52" t="s">
        <v>25</v>
      </c>
      <c r="F8936" s="52" t="s">
        <v>26</v>
      </c>
      <c r="G8936" s="53"/>
    </row>
    <row r="8937">
      <c r="A8937" s="49">
        <v>44787.97200846065</v>
      </c>
      <c r="B8937" s="50">
        <v>44788.0969811574</v>
      </c>
      <c r="C8937" s="51">
        <v>1.003</v>
      </c>
      <c r="D8937" s="51">
        <v>66.0</v>
      </c>
      <c r="E8937" s="52" t="s">
        <v>25</v>
      </c>
      <c r="F8937" s="52" t="s">
        <v>26</v>
      </c>
      <c r="G8937" s="53"/>
    </row>
    <row r="8938">
      <c r="A8938" s="49">
        <v>44787.98244994213</v>
      </c>
      <c r="B8938" s="50">
        <v>44788.1074147916</v>
      </c>
      <c r="C8938" s="51">
        <v>1.004</v>
      </c>
      <c r="D8938" s="51">
        <v>66.0</v>
      </c>
      <c r="E8938" s="52" t="s">
        <v>25</v>
      </c>
      <c r="F8938" s="52" t="s">
        <v>26</v>
      </c>
      <c r="G8938" s="53"/>
    </row>
    <row r="8939">
      <c r="A8939" s="49">
        <v>44787.99286653935</v>
      </c>
      <c r="B8939" s="50">
        <v>44788.1178352083</v>
      </c>
      <c r="C8939" s="51">
        <v>1.004</v>
      </c>
      <c r="D8939" s="51">
        <v>66.0</v>
      </c>
      <c r="E8939" s="52" t="s">
        <v>25</v>
      </c>
      <c r="F8939" s="52" t="s">
        <v>26</v>
      </c>
      <c r="G8939" s="53"/>
    </row>
    <row r="8940">
      <c r="A8940" s="49">
        <v>44788.003300717595</v>
      </c>
      <c r="B8940" s="50">
        <v>44788.1282679745</v>
      </c>
      <c r="C8940" s="51">
        <v>1.004</v>
      </c>
      <c r="D8940" s="51">
        <v>66.0</v>
      </c>
      <c r="E8940" s="52" t="s">
        <v>25</v>
      </c>
      <c r="F8940" s="52" t="s">
        <v>26</v>
      </c>
      <c r="G8940" s="53"/>
    </row>
    <row r="8941">
      <c r="A8941" s="49">
        <v>44788.01371400463</v>
      </c>
      <c r="B8941" s="50">
        <v>44788.1386891435</v>
      </c>
      <c r="C8941" s="51">
        <v>1.004</v>
      </c>
      <c r="D8941" s="51">
        <v>66.0</v>
      </c>
      <c r="E8941" s="52" t="s">
        <v>25</v>
      </c>
      <c r="F8941" s="52" t="s">
        <v>26</v>
      </c>
      <c r="G8941" s="53"/>
    </row>
    <row r="8942">
      <c r="A8942" s="49">
        <v>44788.024144490744</v>
      </c>
      <c r="B8942" s="50">
        <v>44788.14911125</v>
      </c>
      <c r="C8942" s="51">
        <v>1.003</v>
      </c>
      <c r="D8942" s="51">
        <v>66.0</v>
      </c>
      <c r="E8942" s="52" t="s">
        <v>25</v>
      </c>
      <c r="F8942" s="52" t="s">
        <v>26</v>
      </c>
      <c r="G8942" s="53"/>
    </row>
    <row r="8943">
      <c r="A8943" s="49">
        <v>44788.034560844906</v>
      </c>
      <c r="B8943" s="50">
        <v>44788.1595309375</v>
      </c>
      <c r="C8943" s="51">
        <v>1.003</v>
      </c>
      <c r="D8943" s="51">
        <v>66.0</v>
      </c>
      <c r="E8943" s="52" t="s">
        <v>25</v>
      </c>
      <c r="F8943" s="52" t="s">
        <v>26</v>
      </c>
      <c r="G8943" s="53"/>
    </row>
    <row r="8944">
      <c r="A8944" s="49">
        <v>44788.04498690972</v>
      </c>
      <c r="B8944" s="50">
        <v>44788.1699515972</v>
      </c>
      <c r="C8944" s="51">
        <v>1.004</v>
      </c>
      <c r="D8944" s="51">
        <v>66.0</v>
      </c>
      <c r="E8944" s="52" t="s">
        <v>25</v>
      </c>
      <c r="F8944" s="52" t="s">
        <v>26</v>
      </c>
      <c r="G8944" s="53"/>
    </row>
    <row r="8945">
      <c r="A8945" s="49">
        <v>44788.05540672454</v>
      </c>
      <c r="B8945" s="50">
        <v>44788.1803737152</v>
      </c>
      <c r="C8945" s="51">
        <v>1.004</v>
      </c>
      <c r="D8945" s="51">
        <v>66.0</v>
      </c>
      <c r="E8945" s="52" t="s">
        <v>25</v>
      </c>
      <c r="F8945" s="52" t="s">
        <v>26</v>
      </c>
      <c r="G8945" s="53"/>
    </row>
    <row r="8946">
      <c r="A8946" s="49">
        <v>44788.06582888889</v>
      </c>
      <c r="B8946" s="50">
        <v>44788.1907938888</v>
      </c>
      <c r="C8946" s="51">
        <v>1.004</v>
      </c>
      <c r="D8946" s="51">
        <v>66.0</v>
      </c>
      <c r="E8946" s="52" t="s">
        <v>25</v>
      </c>
      <c r="F8946" s="52" t="s">
        <v>26</v>
      </c>
      <c r="G8946" s="53"/>
    </row>
    <row r="8947">
      <c r="A8947" s="49">
        <v>44788.076244641205</v>
      </c>
      <c r="B8947" s="50">
        <v>44788.2012140509</v>
      </c>
      <c r="C8947" s="51">
        <v>1.004</v>
      </c>
      <c r="D8947" s="51">
        <v>66.0</v>
      </c>
      <c r="E8947" s="52" t="s">
        <v>25</v>
      </c>
      <c r="F8947" s="52" t="s">
        <v>26</v>
      </c>
      <c r="G8947" s="53"/>
    </row>
    <row r="8948">
      <c r="A8948" s="49">
        <v>44788.08667592592</v>
      </c>
      <c r="B8948" s="50">
        <v>44788.2116478009</v>
      </c>
      <c r="C8948" s="51">
        <v>1.004</v>
      </c>
      <c r="D8948" s="51">
        <v>66.0</v>
      </c>
      <c r="E8948" s="52" t="s">
        <v>25</v>
      </c>
      <c r="F8948" s="52" t="s">
        <v>26</v>
      </c>
      <c r="G8948" s="53"/>
    </row>
    <row r="8949">
      <c r="A8949" s="49">
        <v>44788.09709368055</v>
      </c>
      <c r="B8949" s="50">
        <v>44788.2220694791</v>
      </c>
      <c r="C8949" s="51">
        <v>1.004</v>
      </c>
      <c r="D8949" s="51">
        <v>66.0</v>
      </c>
      <c r="E8949" s="52" t="s">
        <v>25</v>
      </c>
      <c r="F8949" s="52" t="s">
        <v>26</v>
      </c>
      <c r="G8949" s="53"/>
    </row>
    <row r="8950">
      <c r="A8950" s="49">
        <v>44788.10752614583</v>
      </c>
      <c r="B8950" s="50">
        <v>44788.2324916088</v>
      </c>
      <c r="C8950" s="51">
        <v>1.004</v>
      </c>
      <c r="D8950" s="51">
        <v>66.0</v>
      </c>
      <c r="E8950" s="52" t="s">
        <v>25</v>
      </c>
      <c r="F8950" s="52" t="s">
        <v>26</v>
      </c>
      <c r="G8950" s="53"/>
    </row>
    <row r="8951">
      <c r="A8951" s="49">
        <v>44788.11795023148</v>
      </c>
      <c r="B8951" s="50">
        <v>44788.2429242361</v>
      </c>
      <c r="C8951" s="51">
        <v>1.004</v>
      </c>
      <c r="D8951" s="51">
        <v>66.0</v>
      </c>
      <c r="E8951" s="52" t="s">
        <v>25</v>
      </c>
      <c r="F8951" s="52" t="s">
        <v>26</v>
      </c>
      <c r="G8951" s="53"/>
    </row>
    <row r="8952">
      <c r="A8952" s="49">
        <v>44788.12837583333</v>
      </c>
      <c r="B8952" s="50">
        <v>44788.2533452546</v>
      </c>
      <c r="C8952" s="51">
        <v>1.004</v>
      </c>
      <c r="D8952" s="51">
        <v>66.0</v>
      </c>
      <c r="E8952" s="52" t="s">
        <v>25</v>
      </c>
      <c r="F8952" s="52" t="s">
        <v>26</v>
      </c>
      <c r="G8952" s="53"/>
    </row>
    <row r="8953">
      <c r="A8953" s="49">
        <v>44788.1387890162</v>
      </c>
      <c r="B8953" s="50">
        <v>44788.2637665277</v>
      </c>
      <c r="C8953" s="51">
        <v>1.004</v>
      </c>
      <c r="D8953" s="51">
        <v>66.0</v>
      </c>
      <c r="E8953" s="52" t="s">
        <v>25</v>
      </c>
      <c r="F8953" s="52" t="s">
        <v>26</v>
      </c>
      <c r="G8953" s="53"/>
    </row>
    <row r="8954">
      <c r="A8954" s="49">
        <v>44788.14920827546</v>
      </c>
      <c r="B8954" s="50">
        <v>44788.2741871875</v>
      </c>
      <c r="C8954" s="51">
        <v>1.004</v>
      </c>
      <c r="D8954" s="51">
        <v>66.0</v>
      </c>
      <c r="E8954" s="52" t="s">
        <v>25</v>
      </c>
      <c r="F8954" s="52" t="s">
        <v>26</v>
      </c>
      <c r="G8954" s="53"/>
    </row>
    <row r="8955">
      <c r="A8955" s="49">
        <v>44788.159651504626</v>
      </c>
      <c r="B8955" s="50">
        <v>44788.2846198611</v>
      </c>
      <c r="C8955" s="51">
        <v>1.004</v>
      </c>
      <c r="D8955" s="51">
        <v>66.0</v>
      </c>
      <c r="E8955" s="52" t="s">
        <v>25</v>
      </c>
      <c r="F8955" s="52" t="s">
        <v>26</v>
      </c>
      <c r="G8955" s="53"/>
    </row>
    <row r="8956">
      <c r="A8956" s="49">
        <v>44788.17007100694</v>
      </c>
      <c r="B8956" s="50">
        <v>44788.2950421527</v>
      </c>
      <c r="C8956" s="51">
        <v>1.004</v>
      </c>
      <c r="D8956" s="51">
        <v>66.0</v>
      </c>
      <c r="E8956" s="52" t="s">
        <v>25</v>
      </c>
      <c r="F8956" s="52" t="s">
        <v>26</v>
      </c>
      <c r="G8956" s="53"/>
    </row>
    <row r="8957">
      <c r="A8957" s="49">
        <v>44788.180504386575</v>
      </c>
      <c r="B8957" s="50">
        <v>44788.3054754282</v>
      </c>
      <c r="C8957" s="51">
        <v>1.004</v>
      </c>
      <c r="D8957" s="51">
        <v>66.0</v>
      </c>
      <c r="E8957" s="52" t="s">
        <v>25</v>
      </c>
      <c r="F8957" s="52" t="s">
        <v>26</v>
      </c>
      <c r="G8957" s="53"/>
    </row>
    <row r="8958">
      <c r="A8958" s="49">
        <v>44788.19095202546</v>
      </c>
      <c r="B8958" s="50">
        <v>44788.3159208449</v>
      </c>
      <c r="C8958" s="51">
        <v>1.004</v>
      </c>
      <c r="D8958" s="51">
        <v>66.0</v>
      </c>
      <c r="E8958" s="52" t="s">
        <v>25</v>
      </c>
      <c r="F8958" s="52" t="s">
        <v>26</v>
      </c>
      <c r="G8958" s="53"/>
    </row>
    <row r="8959">
      <c r="A8959" s="49">
        <v>44788.20137733796</v>
      </c>
      <c r="B8959" s="50">
        <v>44788.3263423611</v>
      </c>
      <c r="C8959" s="51">
        <v>1.004</v>
      </c>
      <c r="D8959" s="51">
        <v>66.0</v>
      </c>
      <c r="E8959" s="52" t="s">
        <v>25</v>
      </c>
      <c r="F8959" s="52" t="s">
        <v>26</v>
      </c>
      <c r="G8959" s="53"/>
    </row>
    <row r="8960">
      <c r="A8960" s="49">
        <v>44788.21179277777</v>
      </c>
      <c r="B8960" s="50">
        <v>44788.3367622222</v>
      </c>
      <c r="C8960" s="51">
        <v>1.004</v>
      </c>
      <c r="D8960" s="51">
        <v>66.0</v>
      </c>
      <c r="E8960" s="52" t="s">
        <v>25</v>
      </c>
      <c r="F8960" s="52" t="s">
        <v>26</v>
      </c>
      <c r="G8960" s="53"/>
    </row>
    <row r="8961">
      <c r="A8961" s="49">
        <v>44788.22221194445</v>
      </c>
      <c r="B8961" s="50">
        <v>44788.3471836458</v>
      </c>
      <c r="C8961" s="51">
        <v>1.004</v>
      </c>
      <c r="D8961" s="51">
        <v>66.0</v>
      </c>
      <c r="E8961" s="52" t="s">
        <v>25</v>
      </c>
      <c r="F8961" s="52" t="s">
        <v>26</v>
      </c>
      <c r="G8961" s="53"/>
    </row>
    <row r="8962">
      <c r="A8962" s="49">
        <v>44788.23263083333</v>
      </c>
      <c r="B8962" s="50">
        <v>44788.3576058333</v>
      </c>
      <c r="C8962" s="51">
        <v>1.004</v>
      </c>
      <c r="D8962" s="51">
        <v>66.0</v>
      </c>
      <c r="E8962" s="52" t="s">
        <v>25</v>
      </c>
      <c r="F8962" s="52" t="s">
        <v>26</v>
      </c>
      <c r="G8962" s="53"/>
    </row>
    <row r="8963">
      <c r="A8963" s="49">
        <v>44788.24306591435</v>
      </c>
      <c r="B8963" s="50">
        <v>44788.3680370833</v>
      </c>
      <c r="C8963" s="51">
        <v>1.004</v>
      </c>
      <c r="D8963" s="51">
        <v>66.0</v>
      </c>
      <c r="E8963" s="52" t="s">
        <v>25</v>
      </c>
      <c r="F8963" s="52" t="s">
        <v>26</v>
      </c>
      <c r="G8963" s="53"/>
    </row>
    <row r="8964">
      <c r="A8964" s="49">
        <v>44788.253483645836</v>
      </c>
      <c r="B8964" s="50">
        <v>44788.3784579861</v>
      </c>
      <c r="C8964" s="51">
        <v>1.004</v>
      </c>
      <c r="D8964" s="51">
        <v>66.0</v>
      </c>
      <c r="E8964" s="52" t="s">
        <v>25</v>
      </c>
      <c r="F8964" s="52" t="s">
        <v>26</v>
      </c>
      <c r="G8964" s="53"/>
    </row>
    <row r="8965">
      <c r="A8965" s="49">
        <v>44788.263911354166</v>
      </c>
      <c r="B8965" s="50">
        <v>44788.3888820601</v>
      </c>
      <c r="C8965" s="51">
        <v>1.004</v>
      </c>
      <c r="D8965" s="51">
        <v>66.0</v>
      </c>
      <c r="E8965" s="52" t="s">
        <v>25</v>
      </c>
      <c r="F8965" s="52" t="s">
        <v>26</v>
      </c>
      <c r="G8965" s="53"/>
    </row>
    <row r="8966">
      <c r="A8966" s="49">
        <v>44788.27433165509</v>
      </c>
      <c r="B8966" s="50">
        <v>44788.3993026157</v>
      </c>
      <c r="C8966" s="51">
        <v>1.004</v>
      </c>
      <c r="D8966" s="51">
        <v>66.0</v>
      </c>
      <c r="E8966" s="52" t="s">
        <v>25</v>
      </c>
      <c r="F8966" s="52" t="s">
        <v>26</v>
      </c>
      <c r="G8966" s="53"/>
    </row>
    <row r="8967">
      <c r="A8967" s="49">
        <v>44788.28478434028</v>
      </c>
      <c r="B8967" s="50">
        <v>44788.4097581134</v>
      </c>
      <c r="C8967" s="51">
        <v>1.004</v>
      </c>
      <c r="D8967" s="51">
        <v>66.0</v>
      </c>
      <c r="E8967" s="52" t="s">
        <v>25</v>
      </c>
      <c r="F8967" s="52" t="s">
        <v>26</v>
      </c>
      <c r="G8967" s="53"/>
    </row>
    <row r="8968">
      <c r="A8968" s="49">
        <v>44788.29520429399</v>
      </c>
      <c r="B8968" s="50">
        <v>44788.4201810648</v>
      </c>
      <c r="C8968" s="51">
        <v>1.004</v>
      </c>
      <c r="D8968" s="51">
        <v>66.0</v>
      </c>
      <c r="E8968" s="52" t="s">
        <v>25</v>
      </c>
      <c r="F8968" s="52" t="s">
        <v>26</v>
      </c>
      <c r="G8968" s="53"/>
    </row>
    <row r="8969">
      <c r="A8969" s="49">
        <v>44788.305634108794</v>
      </c>
      <c r="B8969" s="50">
        <v>44788.4306026273</v>
      </c>
      <c r="C8969" s="51">
        <v>1.004</v>
      </c>
      <c r="D8969" s="51">
        <v>66.0</v>
      </c>
      <c r="E8969" s="52" t="s">
        <v>25</v>
      </c>
      <c r="F8969" s="52" t="s">
        <v>26</v>
      </c>
      <c r="G8969" s="53"/>
    </row>
    <row r="8970">
      <c r="A8970" s="49">
        <v>44788.31605454861</v>
      </c>
      <c r="B8970" s="50">
        <v>44788.44102375</v>
      </c>
      <c r="C8970" s="51">
        <v>1.004</v>
      </c>
      <c r="D8970" s="51">
        <v>67.0</v>
      </c>
      <c r="E8970" s="52" t="s">
        <v>25</v>
      </c>
      <c r="F8970" s="52" t="s">
        <v>26</v>
      </c>
      <c r="G8970" s="53"/>
    </row>
    <row r="8971">
      <c r="A8971" s="49">
        <v>44788.32648927083</v>
      </c>
      <c r="B8971" s="50">
        <v>44788.4514549652</v>
      </c>
      <c r="C8971" s="51">
        <v>1.004</v>
      </c>
      <c r="D8971" s="51">
        <v>67.0</v>
      </c>
      <c r="E8971" s="52" t="s">
        <v>25</v>
      </c>
      <c r="F8971" s="52" t="s">
        <v>26</v>
      </c>
      <c r="G8971" s="53"/>
    </row>
    <row r="8972">
      <c r="A8972" s="49">
        <v>44788.336902800926</v>
      </c>
      <c r="B8972" s="50">
        <v>44788.4618753356</v>
      </c>
      <c r="C8972" s="51">
        <v>1.004</v>
      </c>
      <c r="D8972" s="51">
        <v>67.0</v>
      </c>
      <c r="E8972" s="52" t="s">
        <v>25</v>
      </c>
      <c r="F8972" s="52" t="s">
        <v>26</v>
      </c>
      <c r="G8972" s="53"/>
    </row>
    <row r="8973">
      <c r="A8973" s="49">
        <v>44788.34732259259</v>
      </c>
      <c r="B8973" s="50">
        <v>44788.4722975694</v>
      </c>
      <c r="C8973" s="51">
        <v>1.004</v>
      </c>
      <c r="D8973" s="51">
        <v>67.0</v>
      </c>
      <c r="E8973" s="52" t="s">
        <v>25</v>
      </c>
      <c r="F8973" s="52" t="s">
        <v>26</v>
      </c>
      <c r="G8973" s="53"/>
    </row>
    <row r="8974">
      <c r="A8974" s="49">
        <v>44788.35775247685</v>
      </c>
      <c r="B8974" s="50">
        <v>44788.4827283333</v>
      </c>
      <c r="C8974" s="51">
        <v>1.004</v>
      </c>
      <c r="D8974" s="51">
        <v>67.0</v>
      </c>
      <c r="E8974" s="52" t="s">
        <v>25</v>
      </c>
      <c r="F8974" s="52" t="s">
        <v>26</v>
      </c>
      <c r="G8974" s="53"/>
    </row>
    <row r="8975">
      <c r="A8975" s="49">
        <v>44788.36817678241</v>
      </c>
      <c r="B8975" s="50">
        <v>44788.4931503587</v>
      </c>
      <c r="C8975" s="51">
        <v>1.004</v>
      </c>
      <c r="D8975" s="51">
        <v>67.0</v>
      </c>
      <c r="E8975" s="52" t="s">
        <v>25</v>
      </c>
      <c r="F8975" s="52" t="s">
        <v>26</v>
      </c>
      <c r="G8975" s="53"/>
    </row>
    <row r="8976">
      <c r="A8976" s="49">
        <v>44788.37859648148</v>
      </c>
      <c r="B8976" s="50">
        <v>44788.5035706134</v>
      </c>
      <c r="C8976" s="51">
        <v>1.004</v>
      </c>
      <c r="D8976" s="51">
        <v>67.0</v>
      </c>
      <c r="E8976" s="52" t="s">
        <v>25</v>
      </c>
      <c r="F8976" s="52" t="s">
        <v>26</v>
      </c>
      <c r="G8976" s="53"/>
    </row>
    <row r="8977">
      <c r="A8977" s="49">
        <v>44788.38901265046</v>
      </c>
      <c r="B8977" s="50">
        <v>44788.5139918171</v>
      </c>
      <c r="C8977" s="51">
        <v>1.004</v>
      </c>
      <c r="D8977" s="51">
        <v>67.0</v>
      </c>
      <c r="E8977" s="52" t="s">
        <v>25</v>
      </c>
      <c r="F8977" s="52" t="s">
        <v>26</v>
      </c>
      <c r="G8977" s="53"/>
    </row>
    <row r="8978">
      <c r="A8978" s="49">
        <v>44788.39944383102</v>
      </c>
      <c r="B8978" s="50">
        <v>44788.5244131365</v>
      </c>
      <c r="C8978" s="51">
        <v>1.004</v>
      </c>
      <c r="D8978" s="51">
        <v>67.0</v>
      </c>
      <c r="E8978" s="52" t="s">
        <v>25</v>
      </c>
      <c r="F8978" s="52" t="s">
        <v>26</v>
      </c>
      <c r="G8978" s="53"/>
    </row>
    <row r="8979">
      <c r="A8979" s="49">
        <v>44788.409886064816</v>
      </c>
      <c r="B8979" s="50">
        <v>44788.534856493</v>
      </c>
      <c r="C8979" s="51">
        <v>1.004</v>
      </c>
      <c r="D8979" s="51">
        <v>67.0</v>
      </c>
      <c r="E8979" s="52" t="s">
        <v>25</v>
      </c>
      <c r="F8979" s="52" t="s">
        <v>26</v>
      </c>
      <c r="G8979" s="53"/>
    </row>
    <row r="8980">
      <c r="A8980" s="49">
        <v>44788.420308981484</v>
      </c>
      <c r="B8980" s="50">
        <v>44788.5452792129</v>
      </c>
      <c r="C8980" s="51">
        <v>1.004</v>
      </c>
      <c r="D8980" s="51">
        <v>67.0</v>
      </c>
      <c r="E8980" s="52" t="s">
        <v>25</v>
      </c>
      <c r="F8980" s="52" t="s">
        <v>26</v>
      </c>
      <c r="G8980" s="53"/>
    </row>
    <row r="8981">
      <c r="A8981" s="49">
        <v>44788.430734560185</v>
      </c>
      <c r="B8981" s="50">
        <v>44788.5557124421</v>
      </c>
      <c r="C8981" s="51">
        <v>1.004</v>
      </c>
      <c r="D8981" s="51">
        <v>67.0</v>
      </c>
      <c r="E8981" s="52" t="s">
        <v>25</v>
      </c>
      <c r="F8981" s="52" t="s">
        <v>26</v>
      </c>
      <c r="G8981" s="53"/>
    </row>
    <row r="8982">
      <c r="A8982" s="49">
        <v>44788.44116440973</v>
      </c>
      <c r="B8982" s="50">
        <v>44788.5661351736</v>
      </c>
      <c r="C8982" s="51">
        <v>1.004</v>
      </c>
      <c r="D8982" s="51">
        <v>67.0</v>
      </c>
      <c r="E8982" s="52" t="s">
        <v>25</v>
      </c>
      <c r="F8982" s="52" t="s">
        <v>26</v>
      </c>
      <c r="G8982" s="53"/>
    </row>
    <row r="8983">
      <c r="A8983" s="49">
        <v>44788.45159300926</v>
      </c>
      <c r="B8983" s="50">
        <v>44788.5765566666</v>
      </c>
      <c r="C8983" s="51">
        <v>1.004</v>
      </c>
      <c r="D8983" s="51">
        <v>67.0</v>
      </c>
      <c r="E8983" s="52" t="s">
        <v>25</v>
      </c>
      <c r="F8983" s="52" t="s">
        <v>26</v>
      </c>
      <c r="G8983" s="53"/>
    </row>
    <row r="8984">
      <c r="A8984" s="49">
        <v>44788.46200673611</v>
      </c>
      <c r="B8984" s="50">
        <v>44788.5869780439</v>
      </c>
      <c r="C8984" s="51">
        <v>1.004</v>
      </c>
      <c r="D8984" s="51">
        <v>67.0</v>
      </c>
      <c r="E8984" s="52" t="s">
        <v>25</v>
      </c>
      <c r="F8984" s="52" t="s">
        <v>26</v>
      </c>
      <c r="G8984" s="53"/>
    </row>
    <row r="8985">
      <c r="A8985" s="49">
        <v>44788.47242019676</v>
      </c>
      <c r="B8985" s="50">
        <v>44788.5974002546</v>
      </c>
      <c r="C8985" s="51">
        <v>1.004</v>
      </c>
      <c r="D8985" s="51">
        <v>67.0</v>
      </c>
      <c r="E8985" s="52" t="s">
        <v>25</v>
      </c>
      <c r="F8985" s="52" t="s">
        <v>26</v>
      </c>
      <c r="G8985" s="53"/>
    </row>
    <row r="8986">
      <c r="A8986" s="49">
        <v>44788.482871307875</v>
      </c>
      <c r="B8986" s="50">
        <v>44788.6078457638</v>
      </c>
      <c r="C8986" s="51">
        <v>1.004</v>
      </c>
      <c r="D8986" s="51">
        <v>67.0</v>
      </c>
      <c r="E8986" s="52" t="s">
        <v>25</v>
      </c>
      <c r="F8986" s="52" t="s">
        <v>26</v>
      </c>
      <c r="G8986" s="53"/>
    </row>
    <row r="8987">
      <c r="A8987" s="49">
        <v>44788.49328869213</v>
      </c>
      <c r="B8987" s="50">
        <v>44788.6182676736</v>
      </c>
      <c r="C8987" s="51">
        <v>1.004</v>
      </c>
      <c r="D8987" s="51">
        <v>67.0</v>
      </c>
      <c r="E8987" s="52" t="s">
        <v>25</v>
      </c>
      <c r="F8987" s="52" t="s">
        <v>26</v>
      </c>
      <c r="G8987" s="53"/>
    </row>
    <row r="8988">
      <c r="A8988" s="49">
        <v>44788.50371079861</v>
      </c>
      <c r="B8988" s="50">
        <v>44788.6286885532</v>
      </c>
      <c r="C8988" s="51">
        <v>1.004</v>
      </c>
      <c r="D8988" s="51">
        <v>67.0</v>
      </c>
      <c r="E8988" s="52" t="s">
        <v>25</v>
      </c>
      <c r="F8988" s="52" t="s">
        <v>26</v>
      </c>
      <c r="G8988" s="53"/>
    </row>
    <row r="8989">
      <c r="A8989" s="49">
        <v>44788.51414366898</v>
      </c>
      <c r="B8989" s="50">
        <v>44788.6391195833</v>
      </c>
      <c r="C8989" s="51">
        <v>1.004</v>
      </c>
      <c r="D8989" s="51">
        <v>67.0</v>
      </c>
      <c r="E8989" s="52" t="s">
        <v>25</v>
      </c>
      <c r="F8989" s="52" t="s">
        <v>26</v>
      </c>
      <c r="G8989" s="53"/>
    </row>
    <row r="8990">
      <c r="A8990" s="49">
        <v>44788.5245677662</v>
      </c>
      <c r="B8990" s="50">
        <v>44788.6495387847</v>
      </c>
      <c r="C8990" s="51">
        <v>1.004</v>
      </c>
      <c r="D8990" s="51">
        <v>67.0</v>
      </c>
      <c r="E8990" s="52" t="s">
        <v>25</v>
      </c>
      <c r="F8990" s="52" t="s">
        <v>26</v>
      </c>
      <c r="G8990" s="53"/>
    </row>
    <row r="8991">
      <c r="A8991" s="49">
        <v>44788.534979097225</v>
      </c>
      <c r="B8991" s="50">
        <v>44788.65995875</v>
      </c>
      <c r="C8991" s="51">
        <v>1.004</v>
      </c>
      <c r="D8991" s="51">
        <v>67.0</v>
      </c>
      <c r="E8991" s="52" t="s">
        <v>25</v>
      </c>
      <c r="F8991" s="52" t="s">
        <v>26</v>
      </c>
      <c r="G8991" s="53"/>
    </row>
    <row r="8992">
      <c r="A8992" s="49">
        <v>44788.54540319444</v>
      </c>
      <c r="B8992" s="50">
        <v>44788.6703800115</v>
      </c>
      <c r="C8992" s="51">
        <v>1.004</v>
      </c>
      <c r="D8992" s="51">
        <v>67.0</v>
      </c>
      <c r="E8992" s="52" t="s">
        <v>25</v>
      </c>
      <c r="F8992" s="52" t="s">
        <v>26</v>
      </c>
      <c r="G8992" s="53"/>
    </row>
    <row r="8993">
      <c r="A8993" s="49">
        <v>44788.555832847225</v>
      </c>
      <c r="B8993" s="50">
        <v>44788.6808017592</v>
      </c>
      <c r="C8993" s="51">
        <v>1.004</v>
      </c>
      <c r="D8993" s="51">
        <v>67.0</v>
      </c>
      <c r="E8993" s="52" t="s">
        <v>25</v>
      </c>
      <c r="F8993" s="52" t="s">
        <v>26</v>
      </c>
      <c r="G8993" s="53"/>
    </row>
    <row r="8994">
      <c r="A8994" s="49">
        <v>44788.56625059027</v>
      </c>
      <c r="B8994" s="50">
        <v>44788.6912244328</v>
      </c>
      <c r="C8994" s="51">
        <v>1.004</v>
      </c>
      <c r="D8994" s="51">
        <v>67.0</v>
      </c>
      <c r="E8994" s="52" t="s">
        <v>25</v>
      </c>
      <c r="F8994" s="52" t="s">
        <v>26</v>
      </c>
      <c r="G8994" s="53"/>
    </row>
    <row r="8995">
      <c r="A8995" s="49">
        <v>44788.576681481485</v>
      </c>
      <c r="B8995" s="50">
        <v>44788.7016558449</v>
      </c>
      <c r="C8995" s="51">
        <v>1.004</v>
      </c>
      <c r="D8995" s="51">
        <v>67.0</v>
      </c>
      <c r="E8995" s="52" t="s">
        <v>25</v>
      </c>
      <c r="F8995" s="52" t="s">
        <v>26</v>
      </c>
      <c r="G8995" s="53"/>
    </row>
    <row r="8996">
      <c r="A8996" s="49">
        <v>44788.587117083334</v>
      </c>
      <c r="B8996" s="50">
        <v>44788.7120881597</v>
      </c>
      <c r="C8996" s="51">
        <v>1.004</v>
      </c>
      <c r="D8996" s="51">
        <v>67.0</v>
      </c>
      <c r="E8996" s="52" t="s">
        <v>25</v>
      </c>
      <c r="F8996" s="52" t="s">
        <v>26</v>
      </c>
      <c r="G8996" s="53"/>
    </row>
    <row r="8997">
      <c r="A8997" s="49">
        <v>44788.597556249995</v>
      </c>
      <c r="B8997" s="50">
        <v>44788.7225098842</v>
      </c>
      <c r="C8997" s="51">
        <v>1.004</v>
      </c>
      <c r="D8997" s="51">
        <v>67.0</v>
      </c>
      <c r="E8997" s="52" t="s">
        <v>25</v>
      </c>
      <c r="F8997" s="52" t="s">
        <v>26</v>
      </c>
      <c r="G8997" s="53"/>
    </row>
    <row r="8998">
      <c r="A8998" s="49">
        <v>44788.60796238426</v>
      </c>
      <c r="B8998" s="50">
        <v>44788.7329306365</v>
      </c>
      <c r="C8998" s="51">
        <v>1.004</v>
      </c>
      <c r="D8998" s="51">
        <v>67.0</v>
      </c>
      <c r="E8998" s="52" t="s">
        <v>25</v>
      </c>
      <c r="F8998" s="52" t="s">
        <v>26</v>
      </c>
      <c r="G8998" s="53"/>
    </row>
    <row r="8999">
      <c r="A8999" s="49">
        <v>44788.618378541665</v>
      </c>
      <c r="B8999" s="50">
        <v>44788.7433512384</v>
      </c>
      <c r="C8999" s="51">
        <v>1.003</v>
      </c>
      <c r="D8999" s="51">
        <v>67.0</v>
      </c>
      <c r="E8999" s="52" t="s">
        <v>25</v>
      </c>
      <c r="F8999" s="52" t="s">
        <v>26</v>
      </c>
      <c r="G8999" s="53"/>
    </row>
    <row r="9000">
      <c r="A9000" s="49">
        <v>44788.628805636574</v>
      </c>
      <c r="B9000" s="50">
        <v>44788.7537720949</v>
      </c>
      <c r="C9000" s="51">
        <v>1.004</v>
      </c>
      <c r="D9000" s="51">
        <v>67.0</v>
      </c>
      <c r="E9000" s="52" t="s">
        <v>25</v>
      </c>
      <c r="F9000" s="52" t="s">
        <v>26</v>
      </c>
      <c r="G9000" s="53"/>
    </row>
    <row r="9001">
      <c r="A9001" s="49">
        <v>44788.63922452547</v>
      </c>
      <c r="B9001" s="50">
        <v>44788.7641936111</v>
      </c>
      <c r="C9001" s="51">
        <v>1.004</v>
      </c>
      <c r="D9001" s="51">
        <v>67.0</v>
      </c>
      <c r="E9001" s="52" t="s">
        <v>25</v>
      </c>
      <c r="F9001" s="52" t="s">
        <v>26</v>
      </c>
      <c r="G9001" s="53"/>
    </row>
    <row r="9002">
      <c r="A9002" s="49">
        <v>44788.6496555787</v>
      </c>
      <c r="B9002" s="50">
        <v>44788.7746259837</v>
      </c>
      <c r="C9002" s="51">
        <v>1.004</v>
      </c>
      <c r="D9002" s="51">
        <v>67.0</v>
      </c>
      <c r="E9002" s="52" t="s">
        <v>25</v>
      </c>
      <c r="F9002" s="52" t="s">
        <v>26</v>
      </c>
      <c r="G9002" s="53"/>
    </row>
    <row r="9003">
      <c r="A9003" s="49">
        <v>44788.66008090277</v>
      </c>
      <c r="B9003" s="50">
        <v>44788.7850487268</v>
      </c>
      <c r="C9003" s="51">
        <v>1.004</v>
      </c>
      <c r="D9003" s="51">
        <v>67.0</v>
      </c>
      <c r="E9003" s="52" t="s">
        <v>25</v>
      </c>
      <c r="F9003" s="52" t="s">
        <v>26</v>
      </c>
      <c r="G9003" s="53"/>
    </row>
    <row r="9004">
      <c r="A9004" s="49">
        <v>44788.67051270833</v>
      </c>
      <c r="B9004" s="50">
        <v>44788.7954819444</v>
      </c>
      <c r="C9004" s="51">
        <v>1.004</v>
      </c>
      <c r="D9004" s="51">
        <v>67.0</v>
      </c>
      <c r="E9004" s="52" t="s">
        <v>25</v>
      </c>
      <c r="F9004" s="52" t="s">
        <v>26</v>
      </c>
      <c r="G9004" s="53"/>
    </row>
    <row r="9005">
      <c r="A9005" s="49">
        <v>44788.6809302662</v>
      </c>
      <c r="B9005" s="50">
        <v>44788.8059022569</v>
      </c>
      <c r="C9005" s="51">
        <v>1.004</v>
      </c>
      <c r="D9005" s="51">
        <v>67.0</v>
      </c>
      <c r="E9005" s="52" t="s">
        <v>25</v>
      </c>
      <c r="F9005" s="52" t="s">
        <v>26</v>
      </c>
      <c r="G9005" s="53"/>
    </row>
    <row r="9006">
      <c r="A9006" s="49">
        <v>44788.69135789352</v>
      </c>
      <c r="B9006" s="50">
        <v>44788.8163350926</v>
      </c>
      <c r="C9006" s="51">
        <v>1.004</v>
      </c>
      <c r="D9006" s="51">
        <v>67.0</v>
      </c>
      <c r="E9006" s="52" t="s">
        <v>25</v>
      </c>
      <c r="F9006" s="52" t="s">
        <v>26</v>
      </c>
      <c r="G9006" s="53"/>
    </row>
    <row r="9007">
      <c r="A9007" s="49">
        <v>44788.701789224535</v>
      </c>
      <c r="B9007" s="50">
        <v>44788.8267569791</v>
      </c>
      <c r="C9007" s="51">
        <v>1.003</v>
      </c>
      <c r="D9007" s="51">
        <v>67.0</v>
      </c>
      <c r="E9007" s="52" t="s">
        <v>25</v>
      </c>
      <c r="F9007" s="52" t="s">
        <v>26</v>
      </c>
      <c r="G9007" s="53"/>
    </row>
    <row r="9008">
      <c r="A9008" s="49">
        <v>44788.71222185185</v>
      </c>
      <c r="B9008" s="50">
        <v>44788.8371782407</v>
      </c>
      <c r="C9008" s="51">
        <v>1.003</v>
      </c>
      <c r="D9008" s="51">
        <v>67.0</v>
      </c>
      <c r="E9008" s="52" t="s">
        <v>25</v>
      </c>
      <c r="F9008" s="52" t="s">
        <v>26</v>
      </c>
      <c r="G9008" s="53"/>
    </row>
    <row r="9009">
      <c r="A9009" s="49">
        <v>44788.72263082176</v>
      </c>
      <c r="B9009" s="50">
        <v>44788.8476006944</v>
      </c>
      <c r="C9009" s="51">
        <v>1.004</v>
      </c>
      <c r="D9009" s="51">
        <v>67.0</v>
      </c>
      <c r="E9009" s="52" t="s">
        <v>25</v>
      </c>
      <c r="F9009" s="52" t="s">
        <v>26</v>
      </c>
      <c r="G9009" s="53"/>
    </row>
    <row r="9010">
      <c r="A9010" s="49">
        <v>44788.73304665509</v>
      </c>
      <c r="B9010" s="50">
        <v>44788.8580228703</v>
      </c>
      <c r="C9010" s="51">
        <v>1.004</v>
      </c>
      <c r="D9010" s="51">
        <v>67.0</v>
      </c>
      <c r="E9010" s="52" t="s">
        <v>25</v>
      </c>
      <c r="F9010" s="52" t="s">
        <v>26</v>
      </c>
      <c r="G9010" s="53"/>
    </row>
    <row r="9011">
      <c r="A9011" s="49">
        <v>44788.74349736111</v>
      </c>
      <c r="B9011" s="50">
        <v>44788.8684668171</v>
      </c>
      <c r="C9011" s="51">
        <v>1.003</v>
      </c>
      <c r="D9011" s="51">
        <v>67.0</v>
      </c>
      <c r="E9011" s="52" t="s">
        <v>25</v>
      </c>
      <c r="F9011" s="52" t="s">
        <v>26</v>
      </c>
      <c r="G9011" s="53"/>
    </row>
    <row r="9012">
      <c r="A9012" s="49">
        <v>44788.753910011575</v>
      </c>
      <c r="B9012" s="50">
        <v>44788.8788866551</v>
      </c>
      <c r="C9012" s="51">
        <v>1.004</v>
      </c>
      <c r="D9012" s="51">
        <v>67.0</v>
      </c>
      <c r="E9012" s="52" t="s">
        <v>25</v>
      </c>
      <c r="F9012" s="52" t="s">
        <v>26</v>
      </c>
      <c r="G9012" s="53"/>
    </row>
    <row r="9013">
      <c r="A9013" s="49">
        <v>44788.764334837964</v>
      </c>
      <c r="B9013" s="50">
        <v>44788.8893068287</v>
      </c>
      <c r="C9013" s="51">
        <v>1.003</v>
      </c>
      <c r="D9013" s="51">
        <v>67.0</v>
      </c>
      <c r="E9013" s="52" t="s">
        <v>25</v>
      </c>
      <c r="F9013" s="52" t="s">
        <v>26</v>
      </c>
      <c r="G9013" s="53"/>
    </row>
    <row r="9014">
      <c r="A9014" s="49">
        <v>44788.774760115746</v>
      </c>
      <c r="B9014" s="50">
        <v>44788.8997284259</v>
      </c>
      <c r="C9014" s="51">
        <v>1.004</v>
      </c>
      <c r="D9014" s="51">
        <v>67.0</v>
      </c>
      <c r="E9014" s="52" t="s">
        <v>25</v>
      </c>
      <c r="F9014" s="52" t="s">
        <v>26</v>
      </c>
      <c r="G9014" s="53"/>
    </row>
    <row r="9015">
      <c r="A9015" s="49">
        <v>44788.78517671296</v>
      </c>
      <c r="B9015" s="50">
        <v>44788.9101493055</v>
      </c>
      <c r="C9015" s="51">
        <v>1.004</v>
      </c>
      <c r="D9015" s="51">
        <v>67.0</v>
      </c>
      <c r="E9015" s="52" t="s">
        <v>25</v>
      </c>
      <c r="F9015" s="52" t="s">
        <v>26</v>
      </c>
      <c r="G9015" s="53"/>
    </row>
    <row r="9016">
      <c r="A9016" s="49">
        <v>44788.79560898148</v>
      </c>
      <c r="B9016" s="50">
        <v>44788.9205705324</v>
      </c>
      <c r="C9016" s="51">
        <v>1.004</v>
      </c>
      <c r="D9016" s="51">
        <v>67.0</v>
      </c>
      <c r="E9016" s="52" t="s">
        <v>25</v>
      </c>
      <c r="F9016" s="52" t="s">
        <v>26</v>
      </c>
      <c r="G9016" s="53"/>
    </row>
    <row r="9017">
      <c r="A9017" s="49">
        <v>44788.8060124537</v>
      </c>
      <c r="B9017" s="50">
        <v>44788.9309911689</v>
      </c>
      <c r="C9017" s="51">
        <v>1.004</v>
      </c>
      <c r="D9017" s="51">
        <v>67.0</v>
      </c>
      <c r="E9017" s="52" t="s">
        <v>25</v>
      </c>
      <c r="F9017" s="52" t="s">
        <v>26</v>
      </c>
      <c r="G9017" s="53"/>
    </row>
    <row r="9018">
      <c r="A9018" s="49">
        <v>44788.81644178241</v>
      </c>
      <c r="B9018" s="50">
        <v>44788.9414128009</v>
      </c>
      <c r="C9018" s="51">
        <v>1.003</v>
      </c>
      <c r="D9018" s="51">
        <v>67.0</v>
      </c>
      <c r="E9018" s="52" t="s">
        <v>25</v>
      </c>
      <c r="F9018" s="52" t="s">
        <v>26</v>
      </c>
      <c r="G9018" s="53"/>
    </row>
    <row r="9019">
      <c r="A9019" s="49">
        <v>44788.8268691088</v>
      </c>
      <c r="B9019" s="50">
        <v>44788.9518343981</v>
      </c>
      <c r="C9019" s="51">
        <v>1.004</v>
      </c>
      <c r="D9019" s="51">
        <v>67.0</v>
      </c>
      <c r="E9019" s="52" t="s">
        <v>25</v>
      </c>
      <c r="F9019" s="52" t="s">
        <v>26</v>
      </c>
      <c r="G9019" s="53"/>
    </row>
    <row r="9020">
      <c r="A9020" s="49">
        <v>44788.83729115741</v>
      </c>
      <c r="B9020" s="50">
        <v>44788.9622555671</v>
      </c>
      <c r="C9020" s="51">
        <v>1.003</v>
      </c>
      <c r="D9020" s="51">
        <v>67.0</v>
      </c>
      <c r="E9020" s="52" t="s">
        <v>25</v>
      </c>
      <c r="F9020" s="52" t="s">
        <v>26</v>
      </c>
      <c r="G9020" s="53"/>
    </row>
    <row r="9021">
      <c r="A9021" s="49">
        <v>44788.84815951389</v>
      </c>
      <c r="B9021" s="50">
        <v>44788.9726764467</v>
      </c>
      <c r="C9021" s="51">
        <v>1.004</v>
      </c>
      <c r="D9021" s="51">
        <v>67.0</v>
      </c>
      <c r="E9021" s="52" t="s">
        <v>25</v>
      </c>
      <c r="F9021" s="52" t="s">
        <v>26</v>
      </c>
      <c r="G9021" s="53"/>
    </row>
    <row r="9022">
      <c r="A9022" s="49">
        <v>44788.85815197916</v>
      </c>
      <c r="B9022" s="50">
        <v>44788.9830980208</v>
      </c>
      <c r="C9022" s="51">
        <v>1.004</v>
      </c>
      <c r="D9022" s="51">
        <v>68.0</v>
      </c>
      <c r="E9022" s="52" t="s">
        <v>25</v>
      </c>
      <c r="F9022" s="52" t="s">
        <v>26</v>
      </c>
      <c r="G9022" s="53"/>
    </row>
    <row r="9023">
      <c r="A9023" s="49">
        <v>44788.86854934027</v>
      </c>
      <c r="B9023" s="50">
        <v>44788.9935192824</v>
      </c>
      <c r="C9023" s="51">
        <v>1.004</v>
      </c>
      <c r="D9023" s="51">
        <v>67.0</v>
      </c>
      <c r="E9023" s="52" t="s">
        <v>25</v>
      </c>
      <c r="F9023" s="52" t="s">
        <v>26</v>
      </c>
      <c r="G9023" s="53"/>
    </row>
    <row r="9024">
      <c r="A9024" s="49">
        <v>44788.87896556713</v>
      </c>
      <c r="B9024" s="50">
        <v>44789.0039405439</v>
      </c>
      <c r="C9024" s="51">
        <v>1.004</v>
      </c>
      <c r="D9024" s="51">
        <v>68.0</v>
      </c>
      <c r="E9024" s="52" t="s">
        <v>25</v>
      </c>
      <c r="F9024" s="52" t="s">
        <v>26</v>
      </c>
      <c r="G9024" s="53"/>
    </row>
    <row r="9025">
      <c r="A9025" s="49">
        <v>44788.88938490741</v>
      </c>
      <c r="B9025" s="50">
        <v>44789.0143621064</v>
      </c>
      <c r="C9025" s="51">
        <v>1.004</v>
      </c>
      <c r="D9025" s="51">
        <v>68.0</v>
      </c>
      <c r="E9025" s="52" t="s">
        <v>25</v>
      </c>
      <c r="F9025" s="52" t="s">
        <v>26</v>
      </c>
      <c r="G9025" s="53"/>
    </row>
    <row r="9026">
      <c r="A9026" s="49">
        <v>44788.899953472224</v>
      </c>
      <c r="B9026" s="50">
        <v>44789.0247932638</v>
      </c>
      <c r="C9026" s="51">
        <v>1.004</v>
      </c>
      <c r="D9026" s="51">
        <v>68.0</v>
      </c>
      <c r="E9026" s="52" t="s">
        <v>25</v>
      </c>
      <c r="F9026" s="52" t="s">
        <v>26</v>
      </c>
      <c r="G9026" s="53"/>
    </row>
    <row r="9027">
      <c r="A9027" s="49">
        <v>44788.92066787037</v>
      </c>
      <c r="B9027" s="50">
        <v>44789.0456364004</v>
      </c>
      <c r="C9027" s="51">
        <v>1.004</v>
      </c>
      <c r="D9027" s="51">
        <v>68.0</v>
      </c>
      <c r="E9027" s="52" t="s">
        <v>25</v>
      </c>
      <c r="F9027" s="52" t="s">
        <v>26</v>
      </c>
      <c r="G9027" s="53"/>
    </row>
    <row r="9028">
      <c r="A9028" s="49">
        <v>44788.93112025463</v>
      </c>
      <c r="B9028" s="50">
        <v>44789.0560912384</v>
      </c>
      <c r="C9028" s="51">
        <v>1.004</v>
      </c>
      <c r="D9028" s="51">
        <v>68.0</v>
      </c>
      <c r="E9028" s="52" t="s">
        <v>25</v>
      </c>
      <c r="F9028" s="52" t="s">
        <v>26</v>
      </c>
      <c r="G9028" s="53"/>
    </row>
    <row r="9029">
      <c r="A9029" s="49">
        <v>44788.94153892361</v>
      </c>
      <c r="B9029" s="50">
        <v>44789.0665136805</v>
      </c>
      <c r="C9029" s="51">
        <v>1.003</v>
      </c>
      <c r="D9029" s="51">
        <v>68.0</v>
      </c>
      <c r="E9029" s="52" t="s">
        <v>25</v>
      </c>
      <c r="F9029" s="52" t="s">
        <v>26</v>
      </c>
      <c r="G9029" s="53"/>
    </row>
    <row r="9030">
      <c r="A9030" s="49">
        <v>44788.95197899306</v>
      </c>
      <c r="B9030" s="50">
        <v>44789.0769472569</v>
      </c>
      <c r="C9030" s="51">
        <v>1.004</v>
      </c>
      <c r="D9030" s="51">
        <v>68.0</v>
      </c>
      <c r="E9030" s="52" t="s">
        <v>25</v>
      </c>
      <c r="F9030" s="52" t="s">
        <v>26</v>
      </c>
      <c r="G9030" s="53"/>
    </row>
    <row r="9031">
      <c r="A9031" s="49">
        <v>44788.96239883102</v>
      </c>
      <c r="B9031" s="50">
        <v>44789.0873695254</v>
      </c>
      <c r="C9031" s="51">
        <v>1.004</v>
      </c>
      <c r="D9031" s="51">
        <v>68.0</v>
      </c>
      <c r="E9031" s="52" t="s">
        <v>25</v>
      </c>
      <c r="F9031" s="52" t="s">
        <v>26</v>
      </c>
      <c r="G9031" s="53"/>
    </row>
    <row r="9032">
      <c r="A9032" s="49">
        <v>44788.97281614583</v>
      </c>
      <c r="B9032" s="50">
        <v>44789.0977896527</v>
      </c>
      <c r="C9032" s="51">
        <v>1.004</v>
      </c>
      <c r="D9032" s="51">
        <v>68.0</v>
      </c>
      <c r="E9032" s="52" t="s">
        <v>25</v>
      </c>
      <c r="F9032" s="52" t="s">
        <v>26</v>
      </c>
      <c r="G9032" s="53"/>
    </row>
    <row r="9033">
      <c r="A9033" s="49">
        <v>44788.98323628472</v>
      </c>
      <c r="B9033" s="50">
        <v>44789.1082109375</v>
      </c>
      <c r="C9033" s="51">
        <v>1.003</v>
      </c>
      <c r="D9033" s="51">
        <v>68.0</v>
      </c>
      <c r="E9033" s="52" t="s">
        <v>25</v>
      </c>
      <c r="F9033" s="52" t="s">
        <v>26</v>
      </c>
      <c r="G9033" s="53"/>
    </row>
    <row r="9034">
      <c r="A9034" s="49">
        <v>44788.99366528935</v>
      </c>
      <c r="B9034" s="50">
        <v>44789.1186342013</v>
      </c>
      <c r="C9034" s="51">
        <v>1.004</v>
      </c>
      <c r="D9034" s="51">
        <v>68.0</v>
      </c>
      <c r="E9034" s="52" t="s">
        <v>25</v>
      </c>
      <c r="F9034" s="52" t="s">
        <v>26</v>
      </c>
      <c r="G9034" s="53"/>
    </row>
    <row r="9035">
      <c r="A9035" s="49">
        <v>44789.00408542824</v>
      </c>
      <c r="B9035" s="50">
        <v>44789.1290542129</v>
      </c>
      <c r="C9035" s="51">
        <v>1.004</v>
      </c>
      <c r="D9035" s="51">
        <v>68.0</v>
      </c>
      <c r="E9035" s="52" t="s">
        <v>25</v>
      </c>
      <c r="F9035" s="52" t="s">
        <v>26</v>
      </c>
      <c r="G9035" s="53"/>
    </row>
    <row r="9036">
      <c r="A9036" s="49">
        <v>44789.014520902776</v>
      </c>
      <c r="B9036" s="50">
        <v>44789.139487037</v>
      </c>
      <c r="C9036" s="51">
        <v>1.004</v>
      </c>
      <c r="D9036" s="51">
        <v>68.0</v>
      </c>
      <c r="E9036" s="52" t="s">
        <v>25</v>
      </c>
      <c r="F9036" s="52" t="s">
        <v>26</v>
      </c>
      <c r="G9036" s="53"/>
    </row>
    <row r="9037">
      <c r="A9037" s="49">
        <v>44789.024937002316</v>
      </c>
      <c r="B9037" s="50">
        <v>44789.1499084259</v>
      </c>
      <c r="C9037" s="51">
        <v>1.004</v>
      </c>
      <c r="D9037" s="51">
        <v>68.0</v>
      </c>
      <c r="E9037" s="52" t="s">
        <v>25</v>
      </c>
      <c r="F9037" s="52" t="s">
        <v>26</v>
      </c>
      <c r="G9037" s="53"/>
    </row>
    <row r="9038">
      <c r="A9038" s="49">
        <v>44789.035358506946</v>
      </c>
      <c r="B9038" s="50">
        <v>44789.1603302893</v>
      </c>
      <c r="C9038" s="51">
        <v>1.004</v>
      </c>
      <c r="D9038" s="51">
        <v>68.0</v>
      </c>
      <c r="E9038" s="52" t="s">
        <v>25</v>
      </c>
      <c r="F9038" s="52" t="s">
        <v>26</v>
      </c>
      <c r="G9038" s="53"/>
    </row>
    <row r="9039">
      <c r="A9039" s="49">
        <v>44789.04577975694</v>
      </c>
      <c r="B9039" s="50">
        <v>44789.1707513078</v>
      </c>
      <c r="C9039" s="51">
        <v>1.004</v>
      </c>
      <c r="D9039" s="51">
        <v>68.0</v>
      </c>
      <c r="E9039" s="52" t="s">
        <v>25</v>
      </c>
      <c r="F9039" s="52" t="s">
        <v>26</v>
      </c>
      <c r="G9039" s="53"/>
    </row>
    <row r="9040">
      <c r="A9040" s="49">
        <v>44789.05619803241</v>
      </c>
      <c r="B9040" s="50">
        <v>44789.1811728819</v>
      </c>
      <c r="C9040" s="51">
        <v>1.004</v>
      </c>
      <c r="D9040" s="51">
        <v>68.0</v>
      </c>
      <c r="E9040" s="52" t="s">
        <v>25</v>
      </c>
      <c r="F9040" s="52" t="s">
        <v>26</v>
      </c>
      <c r="G9040" s="53"/>
    </row>
    <row r="9041">
      <c r="A9041" s="49">
        <v>44789.06666548611</v>
      </c>
      <c r="B9041" s="50">
        <v>44789.1916274421</v>
      </c>
      <c r="C9041" s="51">
        <v>1.004</v>
      </c>
      <c r="D9041" s="51">
        <v>68.0</v>
      </c>
      <c r="E9041" s="52" t="s">
        <v>25</v>
      </c>
      <c r="F9041" s="52" t="s">
        <v>26</v>
      </c>
      <c r="G9041" s="53"/>
    </row>
    <row r="9042">
      <c r="A9042" s="49">
        <v>44789.07708872685</v>
      </c>
      <c r="B9042" s="50">
        <v>44789.2020585879</v>
      </c>
      <c r="C9042" s="51">
        <v>1.003</v>
      </c>
      <c r="D9042" s="51">
        <v>68.0</v>
      </c>
      <c r="E9042" s="52" t="s">
        <v>25</v>
      </c>
      <c r="F9042" s="52" t="s">
        <v>26</v>
      </c>
      <c r="G9042" s="53"/>
    </row>
    <row r="9043">
      <c r="A9043" s="49">
        <v>44789.08751585648</v>
      </c>
      <c r="B9043" s="50">
        <v>44789.2124795717</v>
      </c>
      <c r="C9043" s="51">
        <v>1.004</v>
      </c>
      <c r="D9043" s="51">
        <v>68.0</v>
      </c>
      <c r="E9043" s="52" t="s">
        <v>25</v>
      </c>
      <c r="F9043" s="52" t="s">
        <v>26</v>
      </c>
      <c r="G9043" s="53"/>
    </row>
    <row r="9044">
      <c r="A9044" s="49">
        <v>44789.09793528935</v>
      </c>
      <c r="B9044" s="50">
        <v>44789.2229018055</v>
      </c>
      <c r="C9044" s="51">
        <v>1.004</v>
      </c>
      <c r="D9044" s="51">
        <v>68.0</v>
      </c>
      <c r="E9044" s="52" t="s">
        <v>25</v>
      </c>
      <c r="F9044" s="52" t="s">
        <v>26</v>
      </c>
      <c r="G9044" s="53"/>
    </row>
    <row r="9045">
      <c r="A9045" s="49">
        <v>44789.108355868055</v>
      </c>
      <c r="B9045" s="50">
        <v>44789.233320324</v>
      </c>
      <c r="C9045" s="51">
        <v>1.004</v>
      </c>
      <c r="D9045" s="51">
        <v>68.0</v>
      </c>
      <c r="E9045" s="52" t="s">
        <v>25</v>
      </c>
      <c r="F9045" s="52" t="s">
        <v>26</v>
      </c>
      <c r="G9045" s="53"/>
    </row>
    <row r="9046">
      <c r="A9046" s="49">
        <v>44789.11877179398</v>
      </c>
      <c r="B9046" s="50">
        <v>44789.243740949</v>
      </c>
      <c r="C9046" s="51">
        <v>1.004</v>
      </c>
      <c r="D9046" s="51">
        <v>68.0</v>
      </c>
      <c r="E9046" s="52" t="s">
        <v>25</v>
      </c>
      <c r="F9046" s="52" t="s">
        <v>26</v>
      </c>
      <c r="G9046" s="53"/>
    </row>
    <row r="9047">
      <c r="A9047" s="49">
        <v>44789.129191886575</v>
      </c>
      <c r="B9047" s="50">
        <v>44789.2541607291</v>
      </c>
      <c r="C9047" s="51">
        <v>1.004</v>
      </c>
      <c r="D9047" s="51">
        <v>68.0</v>
      </c>
      <c r="E9047" s="52" t="s">
        <v>25</v>
      </c>
      <c r="F9047" s="52" t="s">
        <v>26</v>
      </c>
      <c r="G9047" s="53"/>
    </row>
    <row r="9048">
      <c r="A9048" s="49">
        <v>44789.13962903935</v>
      </c>
      <c r="B9048" s="50">
        <v>44789.2645947801</v>
      </c>
      <c r="C9048" s="51">
        <v>1.004</v>
      </c>
      <c r="D9048" s="51">
        <v>68.0</v>
      </c>
      <c r="E9048" s="52" t="s">
        <v>25</v>
      </c>
      <c r="F9048" s="52" t="s">
        <v>26</v>
      </c>
      <c r="G9048" s="53"/>
    </row>
    <row r="9049">
      <c r="A9049" s="49">
        <v>44789.15005118056</v>
      </c>
      <c r="B9049" s="50">
        <v>44789.2750266319</v>
      </c>
      <c r="C9049" s="51">
        <v>1.004</v>
      </c>
      <c r="D9049" s="51">
        <v>68.0</v>
      </c>
      <c r="E9049" s="52" t="s">
        <v>25</v>
      </c>
      <c r="F9049" s="52" t="s">
        <v>26</v>
      </c>
      <c r="G9049" s="53"/>
    </row>
    <row r="9050">
      <c r="A9050" s="49">
        <v>44789.16047927084</v>
      </c>
      <c r="B9050" s="50">
        <v>44789.2854489699</v>
      </c>
      <c r="C9050" s="51">
        <v>1.004</v>
      </c>
      <c r="D9050" s="51">
        <v>68.0</v>
      </c>
      <c r="E9050" s="52" t="s">
        <v>25</v>
      </c>
      <c r="F9050" s="52" t="s">
        <v>26</v>
      </c>
      <c r="G9050" s="53"/>
    </row>
    <row r="9051">
      <c r="A9051" s="49">
        <v>44789.170901944446</v>
      </c>
      <c r="B9051" s="50">
        <v>44789.2958716087</v>
      </c>
      <c r="C9051" s="51">
        <v>1.004</v>
      </c>
      <c r="D9051" s="51">
        <v>68.0</v>
      </c>
      <c r="E9051" s="52" t="s">
        <v>25</v>
      </c>
      <c r="F9051" s="52" t="s">
        <v>26</v>
      </c>
      <c r="G9051" s="53"/>
    </row>
    <row r="9052">
      <c r="A9052" s="49">
        <v>44789.18132372685</v>
      </c>
      <c r="B9052" s="50">
        <v>44789.3062931365</v>
      </c>
      <c r="C9052" s="51">
        <v>1.004</v>
      </c>
      <c r="D9052" s="51">
        <v>68.0</v>
      </c>
      <c r="E9052" s="52" t="s">
        <v>25</v>
      </c>
      <c r="F9052" s="52" t="s">
        <v>26</v>
      </c>
      <c r="G9052" s="53"/>
    </row>
    <row r="9053">
      <c r="A9053" s="49">
        <v>44789.19174862269</v>
      </c>
      <c r="B9053" s="50">
        <v>44789.31671478</v>
      </c>
      <c r="C9053" s="51">
        <v>1.003</v>
      </c>
      <c r="D9053" s="51">
        <v>68.0</v>
      </c>
      <c r="E9053" s="52" t="s">
        <v>25</v>
      </c>
      <c r="F9053" s="52" t="s">
        <v>26</v>
      </c>
      <c r="G9053" s="53"/>
    </row>
    <row r="9054">
      <c r="A9054" s="49">
        <v>44789.20217578704</v>
      </c>
      <c r="B9054" s="50">
        <v>44789.327135081</v>
      </c>
      <c r="C9054" s="51">
        <v>1.004</v>
      </c>
      <c r="D9054" s="51">
        <v>68.0</v>
      </c>
      <c r="E9054" s="52" t="s">
        <v>25</v>
      </c>
      <c r="F9054" s="52" t="s">
        <v>26</v>
      </c>
      <c r="G9054" s="53"/>
    </row>
    <row r="9055">
      <c r="A9055" s="49">
        <v>44789.21259996528</v>
      </c>
      <c r="B9055" s="50">
        <v>44789.3375680902</v>
      </c>
      <c r="C9055" s="51">
        <v>1.003</v>
      </c>
      <c r="D9055" s="51">
        <v>68.0</v>
      </c>
      <c r="E9055" s="52" t="s">
        <v>25</v>
      </c>
      <c r="F9055" s="52" t="s">
        <v>26</v>
      </c>
      <c r="G9055" s="53"/>
    </row>
    <row r="9056">
      <c r="A9056" s="49">
        <v>44789.22303153935</v>
      </c>
      <c r="B9056" s="50">
        <v>44789.3480018865</v>
      </c>
      <c r="C9056" s="51">
        <v>1.003</v>
      </c>
      <c r="D9056" s="51">
        <v>68.0</v>
      </c>
      <c r="E9056" s="52" t="s">
        <v>25</v>
      </c>
      <c r="F9056" s="52" t="s">
        <v>26</v>
      </c>
      <c r="G9056" s="53"/>
    </row>
    <row r="9057">
      <c r="A9057" s="49">
        <v>44789.23345280092</v>
      </c>
      <c r="B9057" s="50">
        <v>44789.3584225925</v>
      </c>
      <c r="C9057" s="51">
        <v>1.004</v>
      </c>
      <c r="D9057" s="51">
        <v>68.0</v>
      </c>
      <c r="E9057" s="52" t="s">
        <v>25</v>
      </c>
      <c r="F9057" s="52" t="s">
        <v>26</v>
      </c>
      <c r="G9057" s="53"/>
    </row>
    <row r="9058">
      <c r="A9058" s="49">
        <v>44789.243914583334</v>
      </c>
      <c r="B9058" s="50">
        <v>44789.3688762962</v>
      </c>
      <c r="C9058" s="51">
        <v>1.003</v>
      </c>
      <c r="D9058" s="51">
        <v>68.0</v>
      </c>
      <c r="E9058" s="52" t="s">
        <v>25</v>
      </c>
      <c r="F9058" s="52" t="s">
        <v>26</v>
      </c>
      <c r="G9058" s="53"/>
    </row>
    <row r="9059">
      <c r="A9059" s="49">
        <v>44789.254363009255</v>
      </c>
      <c r="B9059" s="50">
        <v>44789.3793324537</v>
      </c>
      <c r="C9059" s="51">
        <v>1.004</v>
      </c>
      <c r="D9059" s="51">
        <v>68.0</v>
      </c>
      <c r="E9059" s="52" t="s">
        <v>25</v>
      </c>
      <c r="F9059" s="52" t="s">
        <v>26</v>
      </c>
      <c r="G9059" s="53"/>
    </row>
    <row r="9060">
      <c r="A9060" s="49">
        <v>44789.26478327546</v>
      </c>
      <c r="B9060" s="50">
        <v>44789.3897534722</v>
      </c>
      <c r="C9060" s="51">
        <v>1.004</v>
      </c>
      <c r="D9060" s="51">
        <v>68.0</v>
      </c>
      <c r="E9060" s="52" t="s">
        <v>25</v>
      </c>
      <c r="F9060" s="52" t="s">
        <v>26</v>
      </c>
      <c r="G9060" s="53"/>
    </row>
    <row r="9061">
      <c r="A9061" s="49">
        <v>44789.275215925925</v>
      </c>
      <c r="B9061" s="50">
        <v>44789.4001874189</v>
      </c>
      <c r="C9061" s="51">
        <v>1.004</v>
      </c>
      <c r="D9061" s="51">
        <v>68.0</v>
      </c>
      <c r="E9061" s="52" t="s">
        <v>25</v>
      </c>
      <c r="F9061" s="52" t="s">
        <v>26</v>
      </c>
      <c r="G9061" s="53"/>
    </row>
    <row r="9062">
      <c r="A9062" s="49">
        <v>44789.285638506946</v>
      </c>
      <c r="B9062" s="50">
        <v>44789.4106095138</v>
      </c>
      <c r="C9062" s="51">
        <v>1.004</v>
      </c>
      <c r="D9062" s="51">
        <v>68.0</v>
      </c>
      <c r="E9062" s="52" t="s">
        <v>25</v>
      </c>
      <c r="F9062" s="52" t="s">
        <v>26</v>
      </c>
      <c r="G9062" s="53"/>
    </row>
    <row r="9063">
      <c r="A9063" s="49">
        <v>44789.29606732639</v>
      </c>
      <c r="B9063" s="50">
        <v>44789.4210313888</v>
      </c>
      <c r="C9063" s="51">
        <v>1.004</v>
      </c>
      <c r="D9063" s="51">
        <v>68.0</v>
      </c>
      <c r="E9063" s="52" t="s">
        <v>25</v>
      </c>
      <c r="F9063" s="52" t="s">
        <v>26</v>
      </c>
      <c r="G9063" s="53"/>
    </row>
    <row r="9064">
      <c r="A9064" s="49">
        <v>44789.30648903935</v>
      </c>
      <c r="B9064" s="50">
        <v>44789.43146375</v>
      </c>
      <c r="C9064" s="51">
        <v>1.004</v>
      </c>
      <c r="D9064" s="51">
        <v>68.0</v>
      </c>
      <c r="E9064" s="52" t="s">
        <v>25</v>
      </c>
      <c r="F9064" s="52" t="s">
        <v>26</v>
      </c>
      <c r="G9064" s="53"/>
    </row>
    <row r="9065">
      <c r="A9065" s="49">
        <v>44789.316916689815</v>
      </c>
      <c r="B9065" s="50">
        <v>44789.4418862152</v>
      </c>
      <c r="C9065" s="51">
        <v>1.003</v>
      </c>
      <c r="D9065" s="51">
        <v>68.0</v>
      </c>
      <c r="E9065" s="52" t="s">
        <v>25</v>
      </c>
      <c r="F9065" s="52" t="s">
        <v>26</v>
      </c>
      <c r="G9065" s="53"/>
    </row>
    <row r="9066">
      <c r="A9066" s="49">
        <v>44789.327342916666</v>
      </c>
      <c r="B9066" s="50">
        <v>44789.4523074652</v>
      </c>
      <c r="C9066" s="51">
        <v>1.004</v>
      </c>
      <c r="D9066" s="51">
        <v>68.0</v>
      </c>
      <c r="E9066" s="52" t="s">
        <v>25</v>
      </c>
      <c r="F9066" s="52" t="s">
        <v>26</v>
      </c>
      <c r="G9066" s="53"/>
    </row>
    <row r="9067">
      <c r="A9067" s="49">
        <v>44789.337759456015</v>
      </c>
      <c r="B9067" s="50">
        <v>44789.4627274884</v>
      </c>
      <c r="C9067" s="51">
        <v>1.004</v>
      </c>
      <c r="D9067" s="51">
        <v>68.0</v>
      </c>
      <c r="E9067" s="52" t="s">
        <v>25</v>
      </c>
      <c r="F9067" s="52" t="s">
        <v>26</v>
      </c>
      <c r="G9067" s="53"/>
    </row>
    <row r="9068">
      <c r="A9068" s="49">
        <v>44789.34818390047</v>
      </c>
      <c r="B9068" s="50">
        <v>44789.4731479629</v>
      </c>
      <c r="C9068" s="51">
        <v>1.004</v>
      </c>
      <c r="D9068" s="51">
        <v>68.0</v>
      </c>
      <c r="E9068" s="52" t="s">
        <v>25</v>
      </c>
      <c r="F9068" s="52" t="s">
        <v>26</v>
      </c>
      <c r="G9068" s="53"/>
    </row>
    <row r="9069">
      <c r="A9069" s="49">
        <v>44789.35859202546</v>
      </c>
      <c r="B9069" s="50">
        <v>44789.4835668402</v>
      </c>
      <c r="C9069" s="51">
        <v>1.004</v>
      </c>
      <c r="D9069" s="51">
        <v>68.0</v>
      </c>
      <c r="E9069" s="52" t="s">
        <v>25</v>
      </c>
      <c r="F9069" s="52" t="s">
        <v>26</v>
      </c>
      <c r="G9069" s="53"/>
    </row>
    <row r="9070">
      <c r="A9070" s="49">
        <v>44789.369044039355</v>
      </c>
      <c r="B9070" s="50">
        <v>44789.4940220717</v>
      </c>
      <c r="C9070" s="51">
        <v>1.004</v>
      </c>
      <c r="D9070" s="51">
        <v>68.0</v>
      </c>
      <c r="E9070" s="52" t="s">
        <v>25</v>
      </c>
      <c r="F9070" s="52" t="s">
        <v>26</v>
      </c>
      <c r="G9070" s="53"/>
    </row>
    <row r="9071">
      <c r="A9071" s="49">
        <v>44789.379469004634</v>
      </c>
      <c r="B9071" s="50">
        <v>44789.5044439699</v>
      </c>
      <c r="C9071" s="51">
        <v>1.004</v>
      </c>
      <c r="D9071" s="51">
        <v>68.0</v>
      </c>
      <c r="E9071" s="52" t="s">
        <v>25</v>
      </c>
      <c r="F9071" s="52" t="s">
        <v>26</v>
      </c>
      <c r="G9071" s="53"/>
    </row>
    <row r="9072">
      <c r="A9072" s="49">
        <v>44789.3899033912</v>
      </c>
      <c r="B9072" s="50">
        <v>44789.5148774305</v>
      </c>
      <c r="C9072" s="51">
        <v>1.004</v>
      </c>
      <c r="D9072" s="51">
        <v>68.0</v>
      </c>
      <c r="E9072" s="52" t="s">
        <v>25</v>
      </c>
      <c r="F9072" s="52" t="s">
        <v>26</v>
      </c>
      <c r="G9072" s="53"/>
    </row>
    <row r="9073">
      <c r="A9073" s="49">
        <v>44789.40032193287</v>
      </c>
      <c r="B9073" s="50">
        <v>44789.5252976388</v>
      </c>
      <c r="C9073" s="51">
        <v>1.004</v>
      </c>
      <c r="D9073" s="51">
        <v>68.0</v>
      </c>
      <c r="E9073" s="52" t="s">
        <v>25</v>
      </c>
      <c r="F9073" s="52" t="s">
        <v>26</v>
      </c>
      <c r="G9073" s="53"/>
    </row>
    <row r="9074">
      <c r="A9074" s="49">
        <v>44789.41074640046</v>
      </c>
      <c r="B9074" s="50">
        <v>44789.5357166435</v>
      </c>
      <c r="C9074" s="51">
        <v>1.003</v>
      </c>
      <c r="D9074" s="51">
        <v>68.0</v>
      </c>
      <c r="E9074" s="52" t="s">
        <v>25</v>
      </c>
      <c r="F9074" s="52" t="s">
        <v>26</v>
      </c>
      <c r="G9074" s="53"/>
    </row>
    <row r="9075">
      <c r="A9075" s="49">
        <v>44789.421171967595</v>
      </c>
      <c r="B9075" s="50">
        <v>44789.5461394675</v>
      </c>
      <c r="C9075" s="51">
        <v>1.004</v>
      </c>
      <c r="D9075" s="51">
        <v>68.0</v>
      </c>
      <c r="E9075" s="52" t="s">
        <v>25</v>
      </c>
      <c r="F9075" s="52" t="s">
        <v>26</v>
      </c>
      <c r="G9075" s="53"/>
    </row>
    <row r="9076">
      <c r="A9076" s="49">
        <v>44789.43160048611</v>
      </c>
      <c r="B9076" s="50">
        <v>44789.5565617824</v>
      </c>
      <c r="C9076" s="51">
        <v>1.004</v>
      </c>
      <c r="D9076" s="51">
        <v>68.0</v>
      </c>
      <c r="E9076" s="52" t="s">
        <v>25</v>
      </c>
      <c r="F9076" s="52" t="s">
        <v>26</v>
      </c>
      <c r="G9076" s="53"/>
    </row>
    <row r="9077">
      <c r="A9077" s="49">
        <v>44789.44200863426</v>
      </c>
      <c r="B9077" s="50">
        <v>44789.5669838773</v>
      </c>
      <c r="C9077" s="51">
        <v>1.004</v>
      </c>
      <c r="D9077" s="51">
        <v>68.0</v>
      </c>
      <c r="E9077" s="52" t="s">
        <v>25</v>
      </c>
      <c r="F9077" s="52" t="s">
        <v>26</v>
      </c>
      <c r="G9077" s="53"/>
    </row>
    <row r="9078">
      <c r="A9078" s="49">
        <v>44789.452436736115</v>
      </c>
      <c r="B9078" s="50">
        <v>44789.5774040162</v>
      </c>
      <c r="C9078" s="51">
        <v>1.003</v>
      </c>
      <c r="D9078" s="51">
        <v>68.0</v>
      </c>
      <c r="E9078" s="52" t="s">
        <v>25</v>
      </c>
      <c r="F9078" s="52" t="s">
        <v>26</v>
      </c>
      <c r="G9078" s="53"/>
    </row>
    <row r="9079">
      <c r="A9079" s="49">
        <v>44789.462846215276</v>
      </c>
      <c r="B9079" s="50">
        <v>44789.5878241203</v>
      </c>
      <c r="C9079" s="51">
        <v>1.004</v>
      </c>
      <c r="D9079" s="51">
        <v>68.0</v>
      </c>
      <c r="E9079" s="52" t="s">
        <v>25</v>
      </c>
      <c r="F9079" s="52" t="s">
        <v>26</v>
      </c>
      <c r="G9079" s="53"/>
    </row>
    <row r="9080">
      <c r="A9080" s="49">
        <v>44789.47327135417</v>
      </c>
      <c r="B9080" s="50">
        <v>44789.5982448148</v>
      </c>
      <c r="C9080" s="51">
        <v>1.004</v>
      </c>
      <c r="D9080" s="51">
        <v>68.0</v>
      </c>
      <c r="E9080" s="52" t="s">
        <v>25</v>
      </c>
      <c r="F9080" s="52" t="s">
        <v>26</v>
      </c>
      <c r="G9080" s="53"/>
    </row>
    <row r="9081">
      <c r="A9081" s="49">
        <v>44789.48369327546</v>
      </c>
      <c r="B9081" s="50">
        <v>44789.6086652083</v>
      </c>
      <c r="C9081" s="51">
        <v>1.004</v>
      </c>
      <c r="D9081" s="51">
        <v>68.0</v>
      </c>
      <c r="E9081" s="52" t="s">
        <v>25</v>
      </c>
      <c r="F9081" s="52" t="s">
        <v>26</v>
      </c>
      <c r="G9081" s="53"/>
    </row>
    <row r="9082">
      <c r="A9082" s="49">
        <v>44789.49412267361</v>
      </c>
      <c r="B9082" s="50">
        <v>44789.6190969791</v>
      </c>
      <c r="C9082" s="51">
        <v>1.004</v>
      </c>
      <c r="D9082" s="51">
        <v>68.0</v>
      </c>
      <c r="E9082" s="52" t="s">
        <v>25</v>
      </c>
      <c r="F9082" s="52" t="s">
        <v>26</v>
      </c>
      <c r="G9082" s="53"/>
    </row>
    <row r="9083">
      <c r="A9083" s="49">
        <v>44789.5045628588</v>
      </c>
      <c r="B9083" s="50">
        <v>44789.6295306944</v>
      </c>
      <c r="C9083" s="51">
        <v>1.003</v>
      </c>
      <c r="D9083" s="51">
        <v>68.0</v>
      </c>
      <c r="E9083" s="52" t="s">
        <v>25</v>
      </c>
      <c r="F9083" s="52" t="s">
        <v>26</v>
      </c>
      <c r="G9083" s="53"/>
    </row>
    <row r="9084">
      <c r="A9084" s="49">
        <v>44789.51499795139</v>
      </c>
      <c r="B9084" s="50">
        <v>44789.6399625347</v>
      </c>
      <c r="C9084" s="51">
        <v>1.004</v>
      </c>
      <c r="D9084" s="51">
        <v>68.0</v>
      </c>
      <c r="E9084" s="52" t="s">
        <v>25</v>
      </c>
      <c r="F9084" s="52" t="s">
        <v>26</v>
      </c>
      <c r="G9084" s="53"/>
    </row>
    <row r="9085">
      <c r="A9085" s="49">
        <v>44789.52542806713</v>
      </c>
      <c r="B9085" s="50">
        <v>44789.6503947685</v>
      </c>
      <c r="C9085" s="51">
        <v>1.004</v>
      </c>
      <c r="D9085" s="51">
        <v>68.0</v>
      </c>
      <c r="E9085" s="52" t="s">
        <v>25</v>
      </c>
      <c r="F9085" s="52" t="s">
        <v>26</v>
      </c>
      <c r="G9085" s="53"/>
    </row>
    <row r="9086">
      <c r="A9086" s="49">
        <v>44789.535845</v>
      </c>
      <c r="B9086" s="50">
        <v>44789.6608165625</v>
      </c>
      <c r="C9086" s="51">
        <v>1.004</v>
      </c>
      <c r="D9086" s="51">
        <v>69.0</v>
      </c>
      <c r="E9086" s="52" t="s">
        <v>25</v>
      </c>
      <c r="F9086" s="52" t="s">
        <v>26</v>
      </c>
      <c r="G9086" s="53"/>
    </row>
    <row r="9087">
      <c r="A9087" s="49">
        <v>44789.54628347223</v>
      </c>
      <c r="B9087" s="50">
        <v>44789.6712515509</v>
      </c>
      <c r="C9087" s="51">
        <v>1.004</v>
      </c>
      <c r="D9087" s="51">
        <v>69.0</v>
      </c>
      <c r="E9087" s="52" t="s">
        <v>25</v>
      </c>
      <c r="F9087" s="52" t="s">
        <v>26</v>
      </c>
      <c r="G9087" s="53"/>
    </row>
    <row r="9088">
      <c r="A9088" s="49">
        <v>44789.55671469907</v>
      </c>
      <c r="B9088" s="50">
        <v>44789.6816841782</v>
      </c>
      <c r="C9088" s="51">
        <v>1.004</v>
      </c>
      <c r="D9088" s="51">
        <v>68.0</v>
      </c>
      <c r="E9088" s="52" t="s">
        <v>25</v>
      </c>
      <c r="F9088" s="52" t="s">
        <v>26</v>
      </c>
      <c r="G9088" s="53"/>
    </row>
    <row r="9089">
      <c r="A9089" s="49">
        <v>44789.56713953704</v>
      </c>
      <c r="B9089" s="50">
        <v>44789.6921054166</v>
      </c>
      <c r="C9089" s="51">
        <v>1.004</v>
      </c>
      <c r="D9089" s="51">
        <v>68.0</v>
      </c>
      <c r="E9089" s="52" t="s">
        <v>25</v>
      </c>
      <c r="F9089" s="52" t="s">
        <v>26</v>
      </c>
      <c r="G9089" s="53"/>
    </row>
    <row r="9090">
      <c r="A9090" s="49">
        <v>44789.57755787037</v>
      </c>
      <c r="B9090" s="50">
        <v>44789.7025280555</v>
      </c>
      <c r="C9090" s="51">
        <v>1.004</v>
      </c>
      <c r="D9090" s="51">
        <v>68.0</v>
      </c>
      <c r="E9090" s="52" t="s">
        <v>25</v>
      </c>
      <c r="F9090" s="52" t="s">
        <v>26</v>
      </c>
      <c r="G9090" s="53"/>
    </row>
    <row r="9091">
      <c r="A9091" s="49">
        <v>44789.58798401621</v>
      </c>
      <c r="B9091" s="50">
        <v>44789.7129613078</v>
      </c>
      <c r="C9091" s="51">
        <v>1.003</v>
      </c>
      <c r="D9091" s="51">
        <v>69.0</v>
      </c>
      <c r="E9091" s="52" t="s">
        <v>25</v>
      </c>
      <c r="F9091" s="52" t="s">
        <v>26</v>
      </c>
      <c r="G9091" s="53"/>
    </row>
    <row r="9092">
      <c r="A9092" s="49">
        <v>44789.598414513894</v>
      </c>
      <c r="B9092" s="50">
        <v>44789.7233824074</v>
      </c>
      <c r="C9092" s="51">
        <v>1.004</v>
      </c>
      <c r="D9092" s="51">
        <v>69.0</v>
      </c>
      <c r="E9092" s="52" t="s">
        <v>25</v>
      </c>
      <c r="F9092" s="52" t="s">
        <v>26</v>
      </c>
      <c r="G9092" s="53"/>
    </row>
    <row r="9093">
      <c r="A9093" s="49">
        <v>44789.608834074075</v>
      </c>
      <c r="B9093" s="50">
        <v>44789.7338007291</v>
      </c>
      <c r="C9093" s="51">
        <v>1.004</v>
      </c>
      <c r="D9093" s="51">
        <v>69.0</v>
      </c>
      <c r="E9093" s="52" t="s">
        <v>25</v>
      </c>
      <c r="F9093" s="52" t="s">
        <v>26</v>
      </c>
      <c r="G9093" s="53"/>
    </row>
    <row r="9094">
      <c r="A9094" s="49">
        <v>44789.619253310186</v>
      </c>
      <c r="B9094" s="50">
        <v>44789.7442204166</v>
      </c>
      <c r="C9094" s="51">
        <v>1.004</v>
      </c>
      <c r="D9094" s="51">
        <v>69.0</v>
      </c>
      <c r="E9094" s="52" t="s">
        <v>25</v>
      </c>
      <c r="F9094" s="52" t="s">
        <v>26</v>
      </c>
      <c r="G9094" s="53"/>
    </row>
    <row r="9095">
      <c r="A9095" s="49">
        <v>44789.629682858795</v>
      </c>
      <c r="B9095" s="50">
        <v>44789.754653912</v>
      </c>
      <c r="C9095" s="51">
        <v>1.004</v>
      </c>
      <c r="D9095" s="51">
        <v>69.0</v>
      </c>
      <c r="E9095" s="52" t="s">
        <v>25</v>
      </c>
      <c r="F9095" s="52" t="s">
        <v>26</v>
      </c>
      <c r="G9095" s="53"/>
    </row>
    <row r="9096">
      <c r="A9096" s="49">
        <v>44789.640101620374</v>
      </c>
      <c r="B9096" s="50">
        <v>44789.7650756365</v>
      </c>
      <c r="C9096" s="51">
        <v>1.004</v>
      </c>
      <c r="D9096" s="51">
        <v>69.0</v>
      </c>
      <c r="E9096" s="52" t="s">
        <v>25</v>
      </c>
      <c r="F9096" s="52" t="s">
        <v>26</v>
      </c>
      <c r="G9096" s="53"/>
    </row>
    <row r="9097">
      <c r="A9097" s="49">
        <v>44789.65051905093</v>
      </c>
      <c r="B9097" s="50">
        <v>44789.775496655</v>
      </c>
      <c r="C9097" s="51">
        <v>1.004</v>
      </c>
      <c r="D9097" s="51">
        <v>69.0</v>
      </c>
      <c r="E9097" s="52" t="s">
        <v>25</v>
      </c>
      <c r="F9097" s="52" t="s">
        <v>26</v>
      </c>
      <c r="G9097" s="53"/>
    </row>
    <row r="9098">
      <c r="A9098" s="49">
        <v>44789.660951805556</v>
      </c>
      <c r="B9098" s="50">
        <v>44789.7859161458</v>
      </c>
      <c r="C9098" s="51">
        <v>1.004</v>
      </c>
      <c r="D9098" s="51">
        <v>69.0</v>
      </c>
      <c r="E9098" s="52" t="s">
        <v>25</v>
      </c>
      <c r="F9098" s="52" t="s">
        <v>26</v>
      </c>
      <c r="G9098" s="53"/>
    </row>
    <row r="9099">
      <c r="A9099" s="49">
        <v>44789.67137380787</v>
      </c>
      <c r="B9099" s="50">
        <v>44789.7963365972</v>
      </c>
      <c r="C9099" s="51">
        <v>1.004</v>
      </c>
      <c r="D9099" s="51">
        <v>69.0</v>
      </c>
      <c r="E9099" s="52" t="s">
        <v>25</v>
      </c>
      <c r="F9099" s="52" t="s">
        <v>26</v>
      </c>
      <c r="G9099" s="53"/>
    </row>
    <row r="9100">
      <c r="A9100" s="49">
        <v>44789.68183296296</v>
      </c>
      <c r="B9100" s="50">
        <v>44789.8068034953</v>
      </c>
      <c r="C9100" s="51">
        <v>1.004</v>
      </c>
      <c r="D9100" s="51">
        <v>69.0</v>
      </c>
      <c r="E9100" s="52" t="s">
        <v>25</v>
      </c>
      <c r="F9100" s="52" t="s">
        <v>26</v>
      </c>
      <c r="G9100" s="53"/>
    </row>
    <row r="9101">
      <c r="A9101" s="49">
        <v>44789.69226534722</v>
      </c>
      <c r="B9101" s="50">
        <v>44789.8172349421</v>
      </c>
      <c r="C9101" s="51">
        <v>1.004</v>
      </c>
      <c r="D9101" s="51">
        <v>69.0</v>
      </c>
      <c r="E9101" s="52" t="s">
        <v>25</v>
      </c>
      <c r="F9101" s="52" t="s">
        <v>26</v>
      </c>
      <c r="G9101" s="53"/>
    </row>
    <row r="9102">
      <c r="A9102" s="49">
        <v>44789.70268269676</v>
      </c>
      <c r="B9102" s="50">
        <v>44789.8276564004</v>
      </c>
      <c r="C9102" s="51">
        <v>1.004</v>
      </c>
      <c r="D9102" s="51">
        <v>69.0</v>
      </c>
      <c r="E9102" s="52" t="s">
        <v>25</v>
      </c>
      <c r="F9102" s="52" t="s">
        <v>26</v>
      </c>
      <c r="G9102" s="53"/>
    </row>
    <row r="9103">
      <c r="A9103" s="49">
        <v>44789.71311244213</v>
      </c>
      <c r="B9103" s="50">
        <v>44789.8380769791</v>
      </c>
      <c r="C9103" s="51">
        <v>1.003</v>
      </c>
      <c r="D9103" s="51">
        <v>69.0</v>
      </c>
      <c r="E9103" s="52" t="s">
        <v>25</v>
      </c>
      <c r="F9103" s="52" t="s">
        <v>26</v>
      </c>
      <c r="G9103" s="53"/>
    </row>
    <row r="9104">
      <c r="A9104" s="49">
        <v>44789.72352728009</v>
      </c>
      <c r="B9104" s="50">
        <v>44789.8484993518</v>
      </c>
      <c r="C9104" s="51">
        <v>1.004</v>
      </c>
      <c r="D9104" s="51">
        <v>69.0</v>
      </c>
      <c r="E9104" s="52" t="s">
        <v>25</v>
      </c>
      <c r="F9104" s="52" t="s">
        <v>26</v>
      </c>
      <c r="G9104" s="53"/>
    </row>
    <row r="9105">
      <c r="A9105" s="49">
        <v>44789.733956689815</v>
      </c>
      <c r="B9105" s="50">
        <v>44789.8589311574</v>
      </c>
      <c r="C9105" s="51">
        <v>1.003</v>
      </c>
      <c r="D9105" s="51">
        <v>69.0</v>
      </c>
      <c r="E9105" s="52" t="s">
        <v>25</v>
      </c>
      <c r="F9105" s="52" t="s">
        <v>26</v>
      </c>
      <c r="G9105" s="53"/>
    </row>
    <row r="9106">
      <c r="A9106" s="49">
        <v>44789.744379421296</v>
      </c>
      <c r="B9106" s="50">
        <v>44789.8693537847</v>
      </c>
      <c r="C9106" s="51">
        <v>1.004</v>
      </c>
      <c r="D9106" s="51">
        <v>69.0</v>
      </c>
      <c r="E9106" s="52" t="s">
        <v>25</v>
      </c>
      <c r="F9106" s="52" t="s">
        <v>26</v>
      </c>
      <c r="G9106" s="53"/>
    </row>
    <row r="9107">
      <c r="A9107" s="49">
        <v>44789.75480545139</v>
      </c>
      <c r="B9107" s="50">
        <v>44789.8797755324</v>
      </c>
      <c r="C9107" s="51">
        <v>1.004</v>
      </c>
      <c r="D9107" s="51">
        <v>69.0</v>
      </c>
      <c r="E9107" s="52" t="s">
        <v>25</v>
      </c>
      <c r="F9107" s="52" t="s">
        <v>26</v>
      </c>
      <c r="G9107" s="53"/>
    </row>
    <row r="9108">
      <c r="A9108" s="49">
        <v>44789.765235300925</v>
      </c>
      <c r="B9108" s="50">
        <v>44789.8902059722</v>
      </c>
      <c r="C9108" s="51">
        <v>1.004</v>
      </c>
      <c r="D9108" s="51">
        <v>69.0</v>
      </c>
      <c r="E9108" s="52" t="s">
        <v>25</v>
      </c>
      <c r="F9108" s="52" t="s">
        <v>26</v>
      </c>
      <c r="G9108" s="53"/>
    </row>
    <row r="9109">
      <c r="A9109" s="49">
        <v>44789.775660694446</v>
      </c>
      <c r="B9109" s="50">
        <v>44789.9006253703</v>
      </c>
      <c r="C9109" s="51">
        <v>1.003</v>
      </c>
      <c r="D9109" s="51">
        <v>69.0</v>
      </c>
      <c r="E9109" s="52" t="s">
        <v>25</v>
      </c>
      <c r="F9109" s="52" t="s">
        <v>26</v>
      </c>
      <c r="G9109" s="53"/>
    </row>
    <row r="9110">
      <c r="A9110" s="49">
        <v>44789.786078136574</v>
      </c>
      <c r="B9110" s="50">
        <v>44789.9110446412</v>
      </c>
      <c r="C9110" s="51">
        <v>1.003</v>
      </c>
      <c r="D9110" s="51">
        <v>69.0</v>
      </c>
      <c r="E9110" s="52" t="s">
        <v>25</v>
      </c>
      <c r="F9110" s="52" t="s">
        <v>26</v>
      </c>
      <c r="G9110" s="53"/>
    </row>
    <row r="9111">
      <c r="A9111" s="49">
        <v>44789.79649424768</v>
      </c>
      <c r="B9111" s="50">
        <v>44789.9214639467</v>
      </c>
      <c r="C9111" s="51">
        <v>1.004</v>
      </c>
      <c r="D9111" s="51">
        <v>69.0</v>
      </c>
      <c r="E9111" s="52" t="s">
        <v>25</v>
      </c>
      <c r="F9111" s="52" t="s">
        <v>26</v>
      </c>
      <c r="G9111" s="53"/>
    </row>
    <row r="9112">
      <c r="A9112" s="49">
        <v>44789.806918912036</v>
      </c>
      <c r="B9112" s="50">
        <v>44789.9318966203</v>
      </c>
      <c r="C9112" s="51">
        <v>1.004</v>
      </c>
      <c r="D9112" s="51">
        <v>69.0</v>
      </c>
      <c r="E9112" s="52" t="s">
        <v>25</v>
      </c>
      <c r="F9112" s="52" t="s">
        <v>26</v>
      </c>
      <c r="G9112" s="53"/>
    </row>
    <row r="9113">
      <c r="A9113" s="49">
        <v>44789.81735489583</v>
      </c>
      <c r="B9113" s="50">
        <v>44789.9423177314</v>
      </c>
      <c r="C9113" s="51">
        <v>1.004</v>
      </c>
      <c r="D9113" s="51">
        <v>69.0</v>
      </c>
      <c r="E9113" s="52" t="s">
        <v>25</v>
      </c>
      <c r="F9113" s="52" t="s">
        <v>26</v>
      </c>
      <c r="G9113" s="53"/>
    </row>
    <row r="9114">
      <c r="A9114" s="49">
        <v>44789.82776862269</v>
      </c>
      <c r="B9114" s="50">
        <v>44789.9527393865</v>
      </c>
      <c r="C9114" s="51">
        <v>1.004</v>
      </c>
      <c r="D9114" s="51">
        <v>69.0</v>
      </c>
      <c r="E9114" s="52" t="s">
        <v>25</v>
      </c>
      <c r="F9114" s="52" t="s">
        <v>26</v>
      </c>
      <c r="G9114" s="53"/>
    </row>
    <row r="9115">
      <c r="A9115" s="49">
        <v>44789.838186469904</v>
      </c>
      <c r="B9115" s="50">
        <v>44789.9631618981</v>
      </c>
      <c r="C9115" s="51">
        <v>1.004</v>
      </c>
      <c r="D9115" s="51">
        <v>69.0</v>
      </c>
      <c r="E9115" s="52" t="s">
        <v>25</v>
      </c>
      <c r="F9115" s="52" t="s">
        <v>26</v>
      </c>
      <c r="G9115" s="53"/>
    </row>
    <row r="9116">
      <c r="A9116" s="49">
        <v>44789.84860329861</v>
      </c>
      <c r="B9116" s="50">
        <v>44789.9735826736</v>
      </c>
      <c r="C9116" s="51">
        <v>1.004</v>
      </c>
      <c r="D9116" s="51">
        <v>69.0</v>
      </c>
      <c r="E9116" s="52" t="s">
        <v>25</v>
      </c>
      <c r="F9116" s="52" t="s">
        <v>26</v>
      </c>
      <c r="G9116" s="53"/>
    </row>
    <row r="9117">
      <c r="A9117" s="49">
        <v>44789.85903651621</v>
      </c>
      <c r="B9117" s="50">
        <v>44789.9840147569</v>
      </c>
      <c r="C9117" s="51">
        <v>1.004</v>
      </c>
      <c r="D9117" s="51">
        <v>69.0</v>
      </c>
      <c r="E9117" s="52" t="s">
        <v>25</v>
      </c>
      <c r="F9117" s="52" t="s">
        <v>26</v>
      </c>
      <c r="G9117" s="53"/>
    </row>
    <row r="9118">
      <c r="A9118" s="49">
        <v>44789.86945608797</v>
      </c>
      <c r="B9118" s="50">
        <v>44789.9944365856</v>
      </c>
      <c r="C9118" s="51">
        <v>1.004</v>
      </c>
      <c r="D9118" s="51">
        <v>69.0</v>
      </c>
      <c r="E9118" s="52" t="s">
        <v>25</v>
      </c>
      <c r="F9118" s="52" t="s">
        <v>26</v>
      </c>
      <c r="G9118" s="53"/>
    </row>
    <row r="9119">
      <c r="A9119" s="49">
        <v>44789.87987990741</v>
      </c>
      <c r="B9119" s="50">
        <v>44790.0048568518</v>
      </c>
      <c r="C9119" s="51">
        <v>1.004</v>
      </c>
      <c r="D9119" s="51">
        <v>69.0</v>
      </c>
      <c r="E9119" s="52" t="s">
        <v>25</v>
      </c>
      <c r="F9119" s="52" t="s">
        <v>26</v>
      </c>
      <c r="G9119" s="53"/>
    </row>
    <row r="9120">
      <c r="A9120" s="49">
        <v>44789.890314421296</v>
      </c>
      <c r="B9120" s="50">
        <v>44790.0152787731</v>
      </c>
      <c r="C9120" s="51">
        <v>1.004</v>
      </c>
      <c r="D9120" s="51">
        <v>69.0</v>
      </c>
      <c r="E9120" s="52" t="s">
        <v>25</v>
      </c>
      <c r="F9120" s="52" t="s">
        <v>26</v>
      </c>
      <c r="G9120" s="53"/>
    </row>
    <row r="9121">
      <c r="A9121" s="49">
        <v>44789.90073364583</v>
      </c>
      <c r="B9121" s="50">
        <v>44790.025700324</v>
      </c>
      <c r="C9121" s="51">
        <v>1.004</v>
      </c>
      <c r="D9121" s="51">
        <v>69.0</v>
      </c>
      <c r="E9121" s="52" t="s">
        <v>25</v>
      </c>
      <c r="F9121" s="52" t="s">
        <v>26</v>
      </c>
      <c r="G9121" s="53"/>
    </row>
    <row r="9122">
      <c r="A9122" s="49">
        <v>44789.911154988426</v>
      </c>
      <c r="B9122" s="50">
        <v>44790.0361223611</v>
      </c>
      <c r="C9122" s="51">
        <v>1.004</v>
      </c>
      <c r="D9122" s="51">
        <v>69.0</v>
      </c>
      <c r="E9122" s="52" t="s">
        <v>25</v>
      </c>
      <c r="F9122" s="52" t="s">
        <v>26</v>
      </c>
      <c r="G9122" s="53"/>
    </row>
    <row r="9123">
      <c r="A9123" s="49">
        <v>44789.92156991898</v>
      </c>
      <c r="B9123" s="50">
        <v>44790.0465440162</v>
      </c>
      <c r="C9123" s="51">
        <v>1.004</v>
      </c>
      <c r="D9123" s="51">
        <v>69.0</v>
      </c>
      <c r="E9123" s="52" t="s">
        <v>25</v>
      </c>
      <c r="F9123" s="52" t="s">
        <v>26</v>
      </c>
      <c r="G9123" s="53"/>
    </row>
    <row r="9124">
      <c r="A9124" s="49">
        <v>44789.93199482639</v>
      </c>
      <c r="B9124" s="50">
        <v>44790.0569633101</v>
      </c>
      <c r="C9124" s="51">
        <v>1.004</v>
      </c>
      <c r="D9124" s="51">
        <v>69.0</v>
      </c>
      <c r="E9124" s="52" t="s">
        <v>25</v>
      </c>
      <c r="F9124" s="52" t="s">
        <v>26</v>
      </c>
      <c r="G9124" s="53"/>
    </row>
    <row r="9125">
      <c r="A9125" s="49">
        <v>44789.94242133102</v>
      </c>
      <c r="B9125" s="50">
        <v>44790.0673858564</v>
      </c>
      <c r="C9125" s="51">
        <v>1.004</v>
      </c>
      <c r="D9125" s="51">
        <v>69.0</v>
      </c>
      <c r="E9125" s="52" t="s">
        <v>25</v>
      </c>
      <c r="F9125" s="52" t="s">
        <v>26</v>
      </c>
      <c r="G9125" s="53"/>
    </row>
    <row r="9126">
      <c r="A9126" s="49">
        <v>44789.952844733794</v>
      </c>
      <c r="B9126" s="50">
        <v>44790.0778075462</v>
      </c>
      <c r="C9126" s="51">
        <v>1.004</v>
      </c>
      <c r="D9126" s="51">
        <v>69.0</v>
      </c>
      <c r="E9126" s="52" t="s">
        <v>25</v>
      </c>
      <c r="F9126" s="52" t="s">
        <v>26</v>
      </c>
      <c r="G9126" s="53"/>
    </row>
    <row r="9127">
      <c r="A9127" s="49">
        <v>44789.963259421296</v>
      </c>
      <c r="B9127" s="50">
        <v>44790.0882298842</v>
      </c>
      <c r="C9127" s="51">
        <v>1.004</v>
      </c>
      <c r="D9127" s="51">
        <v>69.0</v>
      </c>
      <c r="E9127" s="52" t="s">
        <v>25</v>
      </c>
      <c r="F9127" s="52" t="s">
        <v>26</v>
      </c>
      <c r="G9127" s="53"/>
    </row>
    <row r="9128">
      <c r="A9128" s="49">
        <v>44789.9736796875</v>
      </c>
      <c r="B9128" s="50">
        <v>44790.0986505324</v>
      </c>
      <c r="C9128" s="51">
        <v>1.003</v>
      </c>
      <c r="D9128" s="51">
        <v>69.0</v>
      </c>
      <c r="E9128" s="52" t="s">
        <v>25</v>
      </c>
      <c r="F9128" s="52" t="s">
        <v>26</v>
      </c>
      <c r="G9128" s="53"/>
    </row>
    <row r="9129">
      <c r="A9129" s="49">
        <v>44789.98409972222</v>
      </c>
      <c r="B9129" s="50">
        <v>44790.1090717245</v>
      </c>
      <c r="C9129" s="51">
        <v>1.003</v>
      </c>
      <c r="D9129" s="51">
        <v>69.0</v>
      </c>
      <c r="E9129" s="52" t="s">
        <v>25</v>
      </c>
      <c r="F9129" s="52" t="s">
        <v>26</v>
      </c>
      <c r="G9129" s="53"/>
    </row>
    <row r="9130">
      <c r="A9130" s="49">
        <v>44789.994523229165</v>
      </c>
      <c r="B9130" s="50">
        <v>44790.1194930324</v>
      </c>
      <c r="C9130" s="51">
        <v>1.003</v>
      </c>
      <c r="D9130" s="51">
        <v>69.0</v>
      </c>
      <c r="E9130" s="52" t="s">
        <v>25</v>
      </c>
      <c r="F9130" s="52" t="s">
        <v>26</v>
      </c>
      <c r="G9130" s="53"/>
    </row>
    <row r="9131">
      <c r="A9131" s="49">
        <v>44790.004947187495</v>
      </c>
      <c r="B9131" s="50">
        <v>44790.1299132407</v>
      </c>
      <c r="C9131" s="51">
        <v>1.003</v>
      </c>
      <c r="D9131" s="51">
        <v>69.0</v>
      </c>
      <c r="E9131" s="52" t="s">
        <v>25</v>
      </c>
      <c r="F9131" s="52" t="s">
        <v>26</v>
      </c>
      <c r="G9131" s="53"/>
    </row>
    <row r="9132">
      <c r="A9132" s="49">
        <v>44790.01538074074</v>
      </c>
      <c r="B9132" s="50">
        <v>44790.1403475231</v>
      </c>
      <c r="C9132" s="51">
        <v>1.004</v>
      </c>
      <c r="D9132" s="51">
        <v>69.0</v>
      </c>
      <c r="E9132" s="52" t="s">
        <v>25</v>
      </c>
      <c r="F9132" s="52" t="s">
        <v>26</v>
      </c>
      <c r="G9132" s="53"/>
    </row>
    <row r="9133">
      <c r="A9133" s="49">
        <v>44790.02582710648</v>
      </c>
      <c r="B9133" s="50">
        <v>44790.1507919444</v>
      </c>
      <c r="C9133" s="51">
        <v>1.004</v>
      </c>
      <c r="D9133" s="51">
        <v>69.0</v>
      </c>
      <c r="E9133" s="52" t="s">
        <v>25</v>
      </c>
      <c r="F9133" s="52" t="s">
        <v>26</v>
      </c>
      <c r="G9133" s="53"/>
    </row>
    <row r="9134">
      <c r="A9134" s="49">
        <v>44790.03623987269</v>
      </c>
      <c r="B9134" s="50">
        <v>44790.1612123842</v>
      </c>
      <c r="C9134" s="51">
        <v>1.004</v>
      </c>
      <c r="D9134" s="51">
        <v>69.0</v>
      </c>
      <c r="E9134" s="52" t="s">
        <v>25</v>
      </c>
      <c r="F9134" s="52" t="s">
        <v>26</v>
      </c>
      <c r="G9134" s="53"/>
    </row>
    <row r="9135">
      <c r="A9135" s="49">
        <v>44790.0466706713</v>
      </c>
      <c r="B9135" s="50">
        <v>44790.171644618</v>
      </c>
      <c r="C9135" s="51">
        <v>1.003</v>
      </c>
      <c r="D9135" s="51">
        <v>69.0</v>
      </c>
      <c r="E9135" s="52" t="s">
        <v>25</v>
      </c>
      <c r="F9135" s="52" t="s">
        <v>26</v>
      </c>
      <c r="G9135" s="53"/>
    </row>
    <row r="9136">
      <c r="A9136" s="49">
        <v>44790.05710638889</v>
      </c>
      <c r="B9136" s="50">
        <v>44790.182065162</v>
      </c>
      <c r="C9136" s="51">
        <v>1.004</v>
      </c>
      <c r="D9136" s="51">
        <v>69.0</v>
      </c>
      <c r="E9136" s="52" t="s">
        <v>25</v>
      </c>
      <c r="F9136" s="52" t="s">
        <v>26</v>
      </c>
      <c r="G9136" s="53"/>
    </row>
    <row r="9137">
      <c r="A9137" s="49">
        <v>44790.06753068287</v>
      </c>
      <c r="B9137" s="50">
        <v>44790.1924969097</v>
      </c>
      <c r="C9137" s="51">
        <v>1.003</v>
      </c>
      <c r="D9137" s="51">
        <v>69.0</v>
      </c>
      <c r="E9137" s="52" t="s">
        <v>25</v>
      </c>
      <c r="F9137" s="52" t="s">
        <v>26</v>
      </c>
      <c r="G9137" s="53"/>
    </row>
    <row r="9138">
      <c r="A9138" s="49">
        <v>44790.0779714699</v>
      </c>
      <c r="B9138" s="50">
        <v>44790.2029401736</v>
      </c>
      <c r="C9138" s="51">
        <v>1.003</v>
      </c>
      <c r="D9138" s="51">
        <v>69.0</v>
      </c>
      <c r="E9138" s="52" t="s">
        <v>25</v>
      </c>
      <c r="F9138" s="52" t="s">
        <v>26</v>
      </c>
      <c r="G9138" s="53"/>
    </row>
    <row r="9139">
      <c r="A9139" s="49">
        <v>44790.088390590274</v>
      </c>
      <c r="B9139" s="50">
        <v>44790.2133609259</v>
      </c>
      <c r="C9139" s="51">
        <v>1.004</v>
      </c>
      <c r="D9139" s="51">
        <v>69.0</v>
      </c>
      <c r="E9139" s="52" t="s">
        <v>25</v>
      </c>
      <c r="F9139" s="52" t="s">
        <v>26</v>
      </c>
      <c r="G9139" s="53"/>
    </row>
    <row r="9140">
      <c r="A9140" s="49">
        <v>44790.09880796296</v>
      </c>
      <c r="B9140" s="50">
        <v>44790.2237805439</v>
      </c>
      <c r="C9140" s="51">
        <v>1.004</v>
      </c>
      <c r="D9140" s="51">
        <v>69.0</v>
      </c>
      <c r="E9140" s="52" t="s">
        <v>25</v>
      </c>
      <c r="F9140" s="52" t="s">
        <v>26</v>
      </c>
      <c r="G9140" s="53"/>
    </row>
    <row r="9141">
      <c r="A9141" s="49">
        <v>44790.10922559028</v>
      </c>
      <c r="B9141" s="50">
        <v>44790.2342013194</v>
      </c>
      <c r="C9141" s="51">
        <v>1.003</v>
      </c>
      <c r="D9141" s="51">
        <v>69.0</v>
      </c>
      <c r="E9141" s="52" t="s">
        <v>25</v>
      </c>
      <c r="F9141" s="52" t="s">
        <v>26</v>
      </c>
      <c r="G9141" s="53"/>
    </row>
    <row r="9142">
      <c r="A9142" s="49">
        <v>44790.11964209491</v>
      </c>
      <c r="B9142" s="50">
        <v>44790.2446218981</v>
      </c>
      <c r="C9142" s="51">
        <v>1.004</v>
      </c>
      <c r="D9142" s="51">
        <v>69.0</v>
      </c>
      <c r="E9142" s="52" t="s">
        <v>25</v>
      </c>
      <c r="F9142" s="52" t="s">
        <v>26</v>
      </c>
      <c r="G9142" s="53"/>
    </row>
    <row r="9143">
      <c r="A9143" s="49">
        <v>44790.13007623843</v>
      </c>
      <c r="B9143" s="50">
        <v>44790.2550432638</v>
      </c>
      <c r="C9143" s="51">
        <v>1.004</v>
      </c>
      <c r="D9143" s="51">
        <v>69.0</v>
      </c>
      <c r="E9143" s="52" t="s">
        <v>25</v>
      </c>
      <c r="F9143" s="52" t="s">
        <v>26</v>
      </c>
      <c r="G9143" s="53"/>
    </row>
    <row r="9144">
      <c r="A9144" s="49">
        <v>44790.14050623843</v>
      </c>
      <c r="B9144" s="50">
        <v>44790.2654753703</v>
      </c>
      <c r="C9144" s="51">
        <v>1.004</v>
      </c>
      <c r="D9144" s="51">
        <v>69.0</v>
      </c>
      <c r="E9144" s="52" t="s">
        <v>25</v>
      </c>
      <c r="F9144" s="52" t="s">
        <v>26</v>
      </c>
      <c r="G9144" s="53"/>
    </row>
    <row r="9145">
      <c r="A9145" s="49">
        <v>44790.15094064815</v>
      </c>
      <c r="B9145" s="50">
        <v>44790.2759069328</v>
      </c>
      <c r="C9145" s="51">
        <v>1.004</v>
      </c>
      <c r="D9145" s="51">
        <v>69.0</v>
      </c>
      <c r="E9145" s="52" t="s">
        <v>25</v>
      </c>
      <c r="F9145" s="52" t="s">
        <v>26</v>
      </c>
      <c r="G9145" s="53"/>
    </row>
    <row r="9146">
      <c r="A9146" s="49">
        <v>44790.16136474537</v>
      </c>
      <c r="B9146" s="50">
        <v>44790.286328831</v>
      </c>
      <c r="C9146" s="51">
        <v>1.003</v>
      </c>
      <c r="D9146" s="51">
        <v>69.0</v>
      </c>
      <c r="E9146" s="52" t="s">
        <v>25</v>
      </c>
      <c r="F9146" s="52" t="s">
        <v>26</v>
      </c>
      <c r="G9146" s="53"/>
    </row>
    <row r="9147">
      <c r="A9147" s="49">
        <v>44790.17178398148</v>
      </c>
      <c r="B9147" s="50">
        <v>44790.2967502777</v>
      </c>
      <c r="C9147" s="51">
        <v>1.004</v>
      </c>
      <c r="D9147" s="51">
        <v>69.0</v>
      </c>
      <c r="E9147" s="52" t="s">
        <v>25</v>
      </c>
      <c r="F9147" s="52" t="s">
        <v>26</v>
      </c>
      <c r="G9147" s="53"/>
    </row>
    <row r="9148">
      <c r="A9148" s="49">
        <v>44790.18220519676</v>
      </c>
      <c r="B9148" s="50">
        <v>44790.3071742592</v>
      </c>
      <c r="C9148" s="51">
        <v>1.004</v>
      </c>
      <c r="D9148" s="51">
        <v>69.0</v>
      </c>
      <c r="E9148" s="52" t="s">
        <v>25</v>
      </c>
      <c r="F9148" s="52" t="s">
        <v>26</v>
      </c>
      <c r="G9148" s="53"/>
    </row>
    <row r="9149">
      <c r="A9149" s="49">
        <v>44790.19265055556</v>
      </c>
      <c r="B9149" s="50">
        <v>44790.3176069097</v>
      </c>
      <c r="C9149" s="51">
        <v>1.004</v>
      </c>
      <c r="D9149" s="51">
        <v>69.0</v>
      </c>
      <c r="E9149" s="52" t="s">
        <v>25</v>
      </c>
      <c r="F9149" s="52" t="s">
        <v>26</v>
      </c>
      <c r="G9149" s="53"/>
    </row>
    <row r="9150">
      <c r="A9150" s="49">
        <v>44790.20305872685</v>
      </c>
      <c r="B9150" s="50">
        <v>44790.3280290972</v>
      </c>
      <c r="C9150" s="51">
        <v>1.004</v>
      </c>
      <c r="D9150" s="51">
        <v>69.0</v>
      </c>
      <c r="E9150" s="52" t="s">
        <v>25</v>
      </c>
      <c r="F9150" s="52" t="s">
        <v>26</v>
      </c>
      <c r="G9150" s="53"/>
    </row>
    <row r="9151">
      <c r="A9151" s="49">
        <v>44790.213486168985</v>
      </c>
      <c r="B9151" s="50">
        <v>44790.3384493287</v>
      </c>
      <c r="C9151" s="51">
        <v>1.004</v>
      </c>
      <c r="D9151" s="51">
        <v>69.0</v>
      </c>
      <c r="E9151" s="52" t="s">
        <v>25</v>
      </c>
      <c r="F9151" s="52" t="s">
        <v>26</v>
      </c>
      <c r="G9151" s="53"/>
    </row>
    <row r="9152">
      <c r="A9152" s="49">
        <v>44790.22389688657</v>
      </c>
      <c r="B9152" s="50">
        <v>44790.3488723032</v>
      </c>
      <c r="C9152" s="51">
        <v>1.004</v>
      </c>
      <c r="D9152" s="51">
        <v>69.0</v>
      </c>
      <c r="E9152" s="52" t="s">
        <v>25</v>
      </c>
      <c r="F9152" s="52" t="s">
        <v>26</v>
      </c>
      <c r="G9152" s="53"/>
    </row>
    <row r="9153">
      <c r="A9153" s="49">
        <v>44790.23432737269</v>
      </c>
      <c r="B9153" s="50">
        <v>44790.3593061111</v>
      </c>
      <c r="C9153" s="51">
        <v>1.003</v>
      </c>
      <c r="D9153" s="51">
        <v>69.0</v>
      </c>
      <c r="E9153" s="52" t="s">
        <v>25</v>
      </c>
      <c r="F9153" s="52" t="s">
        <v>26</v>
      </c>
      <c r="G9153" s="53"/>
    </row>
    <row r="9154">
      <c r="A9154" s="49">
        <v>44790.24476119213</v>
      </c>
      <c r="B9154" s="50">
        <v>44790.3697286921</v>
      </c>
      <c r="C9154" s="51">
        <v>1.004</v>
      </c>
      <c r="D9154" s="51">
        <v>69.0</v>
      </c>
      <c r="E9154" s="52" t="s">
        <v>25</v>
      </c>
      <c r="F9154" s="52" t="s">
        <v>26</v>
      </c>
      <c r="G9154" s="53"/>
    </row>
    <row r="9155">
      <c r="A9155" s="49">
        <v>44790.25517795139</v>
      </c>
      <c r="B9155" s="50">
        <v>44790.3801494213</v>
      </c>
      <c r="C9155" s="51">
        <v>1.003</v>
      </c>
      <c r="D9155" s="51">
        <v>69.0</v>
      </c>
      <c r="E9155" s="52" t="s">
        <v>25</v>
      </c>
      <c r="F9155" s="52" t="s">
        <v>26</v>
      </c>
      <c r="G9155" s="53"/>
    </row>
    <row r="9156">
      <c r="A9156" s="49">
        <v>44790.26561239583</v>
      </c>
      <c r="B9156" s="50">
        <v>44790.3905832176</v>
      </c>
      <c r="C9156" s="51">
        <v>1.003</v>
      </c>
      <c r="D9156" s="51">
        <v>69.0</v>
      </c>
      <c r="E9156" s="52" t="s">
        <v>25</v>
      </c>
      <c r="F9156" s="52" t="s">
        <v>26</v>
      </c>
      <c r="G9156" s="53"/>
    </row>
    <row r="9157">
      <c r="A9157" s="49">
        <v>44790.27603167824</v>
      </c>
      <c r="B9157" s="50">
        <v>44790.4010032638</v>
      </c>
      <c r="C9157" s="51">
        <v>1.003</v>
      </c>
      <c r="D9157" s="51">
        <v>69.0</v>
      </c>
      <c r="E9157" s="52" t="s">
        <v>25</v>
      </c>
      <c r="F9157" s="52" t="s">
        <v>26</v>
      </c>
      <c r="G9157" s="53"/>
    </row>
    <row r="9158">
      <c r="A9158" s="49">
        <v>44790.28645326389</v>
      </c>
      <c r="B9158" s="50">
        <v>44790.4114238888</v>
      </c>
      <c r="C9158" s="51">
        <v>1.004</v>
      </c>
      <c r="D9158" s="51">
        <v>69.0</v>
      </c>
      <c r="E9158" s="52" t="s">
        <v>25</v>
      </c>
      <c r="F9158" s="52" t="s">
        <v>26</v>
      </c>
      <c r="G9158" s="53"/>
    </row>
    <row r="9159">
      <c r="A9159" s="49">
        <v>44790.296884375</v>
      </c>
      <c r="B9159" s="50">
        <v>44790.4218582523</v>
      </c>
      <c r="C9159" s="51">
        <v>1.003</v>
      </c>
      <c r="D9159" s="51">
        <v>69.0</v>
      </c>
      <c r="E9159" s="52" t="s">
        <v>25</v>
      </c>
      <c r="F9159" s="52" t="s">
        <v>26</v>
      </c>
      <c r="G9159" s="53"/>
    </row>
    <row r="9160">
      <c r="A9160" s="49">
        <v>44790.307304953705</v>
      </c>
      <c r="B9160" s="50">
        <v>44790.4322788194</v>
      </c>
      <c r="C9160" s="51">
        <v>1.004</v>
      </c>
      <c r="D9160" s="51">
        <v>69.0</v>
      </c>
      <c r="E9160" s="52" t="s">
        <v>25</v>
      </c>
      <c r="F9160" s="52" t="s">
        <v>26</v>
      </c>
      <c r="G9160" s="53"/>
    </row>
    <row r="9161">
      <c r="A9161" s="49">
        <v>44790.317729305556</v>
      </c>
      <c r="B9161" s="50">
        <v>44790.4426982638</v>
      </c>
      <c r="C9161" s="51">
        <v>1.004</v>
      </c>
      <c r="D9161" s="51">
        <v>69.0</v>
      </c>
      <c r="E9161" s="52" t="s">
        <v>25</v>
      </c>
      <c r="F9161" s="52" t="s">
        <v>26</v>
      </c>
      <c r="G9161" s="53"/>
    </row>
    <row r="9162">
      <c r="A9162" s="49">
        <v>44790.32814827547</v>
      </c>
      <c r="B9162" s="50">
        <v>44790.4531199537</v>
      </c>
      <c r="C9162" s="51">
        <v>1.004</v>
      </c>
      <c r="D9162" s="51">
        <v>69.0</v>
      </c>
      <c r="E9162" s="52" t="s">
        <v>25</v>
      </c>
      <c r="F9162" s="52" t="s">
        <v>26</v>
      </c>
      <c r="G9162" s="53"/>
    </row>
    <row r="9163">
      <c r="A9163" s="49">
        <v>44790.33856953704</v>
      </c>
      <c r="B9163" s="50">
        <v>44790.4635375578</v>
      </c>
      <c r="C9163" s="51">
        <v>1.004</v>
      </c>
      <c r="D9163" s="51">
        <v>69.0</v>
      </c>
      <c r="E9163" s="52" t="s">
        <v>25</v>
      </c>
      <c r="F9163" s="52" t="s">
        <v>26</v>
      </c>
      <c r="G9163" s="53"/>
    </row>
    <row r="9164">
      <c r="A9164" s="49">
        <v>44790.34899053241</v>
      </c>
      <c r="B9164" s="50">
        <v>44790.4739597685</v>
      </c>
      <c r="C9164" s="51">
        <v>1.004</v>
      </c>
      <c r="D9164" s="51">
        <v>69.0</v>
      </c>
      <c r="E9164" s="52" t="s">
        <v>25</v>
      </c>
      <c r="F9164" s="52" t="s">
        <v>26</v>
      </c>
      <c r="G9164" s="53"/>
    </row>
    <row r="9165">
      <c r="A9165" s="49">
        <v>44790.35940780093</v>
      </c>
      <c r="B9165" s="50">
        <v>44790.4843817592</v>
      </c>
      <c r="C9165" s="51">
        <v>1.004</v>
      </c>
      <c r="D9165" s="51">
        <v>69.0</v>
      </c>
      <c r="E9165" s="52" t="s">
        <v>25</v>
      </c>
      <c r="F9165" s="52" t="s">
        <v>26</v>
      </c>
      <c r="G9165" s="53"/>
    </row>
    <row r="9166">
      <c r="A9166" s="49">
        <v>44790.36982765046</v>
      </c>
      <c r="B9166" s="50">
        <v>44790.4948023495</v>
      </c>
      <c r="C9166" s="51">
        <v>1.004</v>
      </c>
      <c r="D9166" s="51">
        <v>69.0</v>
      </c>
      <c r="E9166" s="52" t="s">
        <v>25</v>
      </c>
      <c r="F9166" s="52" t="s">
        <v>26</v>
      </c>
      <c r="G9166" s="53"/>
    </row>
    <row r="9167">
      <c r="A9167" s="49">
        <v>44790.38026366898</v>
      </c>
      <c r="B9167" s="50">
        <v>44790.5052347338</v>
      </c>
      <c r="C9167" s="51">
        <v>1.004</v>
      </c>
      <c r="D9167" s="51">
        <v>69.0</v>
      </c>
      <c r="E9167" s="52" t="s">
        <v>25</v>
      </c>
      <c r="F9167" s="52" t="s">
        <v>26</v>
      </c>
      <c r="G9167" s="53"/>
    </row>
    <row r="9168">
      <c r="A9168" s="49">
        <v>44790.39069431713</v>
      </c>
      <c r="B9168" s="50">
        <v>44790.515667037</v>
      </c>
      <c r="C9168" s="51">
        <v>1.004</v>
      </c>
      <c r="D9168" s="51">
        <v>69.0</v>
      </c>
      <c r="E9168" s="52" t="s">
        <v>25</v>
      </c>
      <c r="F9168" s="52" t="s">
        <v>26</v>
      </c>
      <c r="G9168" s="53"/>
    </row>
    <row r="9169">
      <c r="A9169" s="49">
        <v>44790.40112462963</v>
      </c>
      <c r="B9169" s="50">
        <v>44790.5260888657</v>
      </c>
      <c r="C9169" s="51">
        <v>1.004</v>
      </c>
      <c r="D9169" s="51">
        <v>69.0</v>
      </c>
      <c r="E9169" s="52" t="s">
        <v>25</v>
      </c>
      <c r="F9169" s="52" t="s">
        <v>26</v>
      </c>
      <c r="G9169" s="53"/>
    </row>
    <row r="9170">
      <c r="A9170" s="49">
        <v>44790.41157140046</v>
      </c>
      <c r="B9170" s="50">
        <v>44790.5365328125</v>
      </c>
      <c r="C9170" s="51">
        <v>1.004</v>
      </c>
      <c r="D9170" s="51">
        <v>69.0</v>
      </c>
      <c r="E9170" s="52" t="s">
        <v>25</v>
      </c>
      <c r="F9170" s="52" t="s">
        <v>26</v>
      </c>
      <c r="G9170" s="53"/>
    </row>
    <row r="9171">
      <c r="A9171" s="49">
        <v>44790.421980300925</v>
      </c>
      <c r="B9171" s="50">
        <v>44790.5469565509</v>
      </c>
      <c r="C9171" s="51">
        <v>1.003</v>
      </c>
      <c r="D9171" s="51">
        <v>69.0</v>
      </c>
      <c r="E9171" s="52" t="s">
        <v>25</v>
      </c>
      <c r="F9171" s="52" t="s">
        <v>26</v>
      </c>
      <c r="G9171" s="53"/>
    </row>
    <row r="9172">
      <c r="A9172" s="49">
        <v>44790.43240844907</v>
      </c>
      <c r="B9172" s="50">
        <v>44790.5573776273</v>
      </c>
      <c r="C9172" s="51">
        <v>1.003</v>
      </c>
      <c r="D9172" s="51">
        <v>69.0</v>
      </c>
      <c r="E9172" s="52" t="s">
        <v>25</v>
      </c>
      <c r="F9172" s="52" t="s">
        <v>26</v>
      </c>
      <c r="G9172" s="53"/>
    </row>
    <row r="9173">
      <c r="A9173" s="49">
        <v>44790.44282936343</v>
      </c>
      <c r="B9173" s="50">
        <v>44790.5678099652</v>
      </c>
      <c r="C9173" s="51">
        <v>1.004</v>
      </c>
      <c r="D9173" s="51">
        <v>70.0</v>
      </c>
      <c r="E9173" s="52" t="s">
        <v>25</v>
      </c>
      <c r="F9173" s="52" t="s">
        <v>26</v>
      </c>
      <c r="G9173" s="53"/>
    </row>
    <row r="9174">
      <c r="A9174" s="49">
        <v>44790.45325746528</v>
      </c>
      <c r="B9174" s="50">
        <v>44790.5782307176</v>
      </c>
      <c r="C9174" s="51">
        <v>1.004</v>
      </c>
      <c r="D9174" s="51">
        <v>69.0</v>
      </c>
      <c r="E9174" s="52" t="s">
        <v>25</v>
      </c>
      <c r="F9174" s="52" t="s">
        <v>26</v>
      </c>
      <c r="G9174" s="53"/>
    </row>
    <row r="9175">
      <c r="A9175" s="49">
        <v>44790.463682430556</v>
      </c>
      <c r="B9175" s="50">
        <v>44790.5886513773</v>
      </c>
      <c r="C9175" s="51">
        <v>1.004</v>
      </c>
      <c r="D9175" s="51">
        <v>70.0</v>
      </c>
      <c r="E9175" s="52" t="s">
        <v>25</v>
      </c>
      <c r="F9175" s="52" t="s">
        <v>26</v>
      </c>
      <c r="G9175" s="53"/>
    </row>
    <row r="9176">
      <c r="A9176" s="49">
        <v>44790.47410431713</v>
      </c>
      <c r="B9176" s="50">
        <v>44790.5990714583</v>
      </c>
      <c r="C9176" s="51">
        <v>1.004</v>
      </c>
      <c r="D9176" s="51">
        <v>69.0</v>
      </c>
      <c r="E9176" s="52" t="s">
        <v>25</v>
      </c>
      <c r="F9176" s="52" t="s">
        <v>26</v>
      </c>
      <c r="G9176" s="53"/>
    </row>
    <row r="9177">
      <c r="A9177" s="49">
        <v>44790.4845399537</v>
      </c>
      <c r="B9177" s="50">
        <v>44790.6095048958</v>
      </c>
      <c r="C9177" s="51">
        <v>1.003</v>
      </c>
      <c r="D9177" s="51">
        <v>70.0</v>
      </c>
      <c r="E9177" s="52" t="s">
        <v>25</v>
      </c>
      <c r="F9177" s="52" t="s">
        <v>26</v>
      </c>
      <c r="G9177" s="53"/>
    </row>
    <row r="9178">
      <c r="A9178" s="49">
        <v>44790.49496489583</v>
      </c>
      <c r="B9178" s="50">
        <v>44790.6199383217</v>
      </c>
      <c r="C9178" s="51">
        <v>1.004</v>
      </c>
      <c r="D9178" s="51">
        <v>69.0</v>
      </c>
      <c r="E9178" s="52" t="s">
        <v>25</v>
      </c>
      <c r="F9178" s="52" t="s">
        <v>26</v>
      </c>
      <c r="G9178" s="53"/>
    </row>
    <row r="9179">
      <c r="A9179" s="49">
        <v>44790.505379131944</v>
      </c>
      <c r="B9179" s="50">
        <v>44790.6303592592</v>
      </c>
      <c r="C9179" s="51">
        <v>1.004</v>
      </c>
      <c r="D9179" s="51">
        <v>69.0</v>
      </c>
      <c r="E9179" s="52" t="s">
        <v>25</v>
      </c>
      <c r="F9179" s="52" t="s">
        <v>26</v>
      </c>
      <c r="G9179" s="53"/>
    </row>
    <row r="9180">
      <c r="A9180" s="49">
        <v>44790.51581059028</v>
      </c>
      <c r="B9180" s="50">
        <v>44790.6407773726</v>
      </c>
      <c r="C9180" s="51">
        <v>1.004</v>
      </c>
      <c r="D9180" s="51">
        <v>70.0</v>
      </c>
      <c r="E9180" s="52" t="s">
        <v>25</v>
      </c>
      <c r="F9180" s="52" t="s">
        <v>26</v>
      </c>
      <c r="G9180" s="53"/>
    </row>
    <row r="9181">
      <c r="A9181" s="49">
        <v>44790.5262350463</v>
      </c>
      <c r="B9181" s="50">
        <v>44790.6511988773</v>
      </c>
      <c r="C9181" s="51">
        <v>1.004</v>
      </c>
      <c r="D9181" s="51">
        <v>70.0</v>
      </c>
      <c r="E9181" s="52" t="s">
        <v>25</v>
      </c>
      <c r="F9181" s="52" t="s">
        <v>26</v>
      </c>
      <c r="G9181" s="53"/>
    </row>
    <row r="9182">
      <c r="A9182" s="49">
        <v>44790.536660682876</v>
      </c>
      <c r="B9182" s="50">
        <v>44790.661632581</v>
      </c>
      <c r="C9182" s="51">
        <v>1.003</v>
      </c>
      <c r="D9182" s="51">
        <v>70.0</v>
      </c>
      <c r="E9182" s="52" t="s">
        <v>25</v>
      </c>
      <c r="F9182" s="52" t="s">
        <v>26</v>
      </c>
      <c r="G9182" s="53"/>
    </row>
    <row r="9183">
      <c r="A9183" s="49">
        <v>44790.547107245366</v>
      </c>
      <c r="B9183" s="50">
        <v>44790.6720768171</v>
      </c>
      <c r="C9183" s="51">
        <v>1.004</v>
      </c>
      <c r="D9183" s="51">
        <v>70.0</v>
      </c>
      <c r="E9183" s="52" t="s">
        <v>25</v>
      </c>
      <c r="F9183" s="52" t="s">
        <v>26</v>
      </c>
      <c r="G9183" s="53"/>
    </row>
    <row r="9184">
      <c r="A9184" s="49">
        <v>44790.557544201394</v>
      </c>
      <c r="B9184" s="50">
        <v>44790.6824994097</v>
      </c>
      <c r="C9184" s="51">
        <v>1.003</v>
      </c>
      <c r="D9184" s="51">
        <v>70.0</v>
      </c>
      <c r="E9184" s="52" t="s">
        <v>25</v>
      </c>
      <c r="F9184" s="52" t="s">
        <v>26</v>
      </c>
      <c r="G9184" s="53"/>
    </row>
    <row r="9185">
      <c r="A9185" s="49">
        <v>44790.567954293976</v>
      </c>
      <c r="B9185" s="50">
        <v>44790.6929206713</v>
      </c>
      <c r="C9185" s="51">
        <v>1.004</v>
      </c>
      <c r="D9185" s="51">
        <v>70.0</v>
      </c>
      <c r="E9185" s="52" t="s">
        <v>25</v>
      </c>
      <c r="F9185" s="52" t="s">
        <v>26</v>
      </c>
      <c r="G9185" s="53"/>
    </row>
    <row r="9186">
      <c r="A9186" s="49">
        <v>44790.57839060185</v>
      </c>
      <c r="B9186" s="50">
        <v>44790.7033526157</v>
      </c>
      <c r="C9186" s="51">
        <v>1.004</v>
      </c>
      <c r="D9186" s="51">
        <v>70.0</v>
      </c>
      <c r="E9186" s="52" t="s">
        <v>25</v>
      </c>
      <c r="F9186" s="52" t="s">
        <v>26</v>
      </c>
      <c r="G9186" s="53"/>
    </row>
    <row r="9187">
      <c r="A9187" s="49">
        <v>44790.58881047454</v>
      </c>
      <c r="B9187" s="50">
        <v>44790.7137744907</v>
      </c>
      <c r="C9187" s="51">
        <v>1.004</v>
      </c>
      <c r="D9187" s="51">
        <v>70.0</v>
      </c>
      <c r="E9187" s="52" t="s">
        <v>25</v>
      </c>
      <c r="F9187" s="52" t="s">
        <v>26</v>
      </c>
      <c r="G9187" s="53"/>
    </row>
    <row r="9188">
      <c r="A9188" s="49">
        <v>44790.59923137732</v>
      </c>
      <c r="B9188" s="50">
        <v>44790.7241967824</v>
      </c>
      <c r="C9188" s="51">
        <v>1.004</v>
      </c>
      <c r="D9188" s="51">
        <v>70.0</v>
      </c>
      <c r="E9188" s="52" t="s">
        <v>25</v>
      </c>
      <c r="F9188" s="52" t="s">
        <v>26</v>
      </c>
      <c r="G9188" s="53"/>
    </row>
    <row r="9189">
      <c r="A9189" s="49">
        <v>44790.60966282408</v>
      </c>
      <c r="B9189" s="50">
        <v>44790.734628912</v>
      </c>
      <c r="C9189" s="51">
        <v>1.004</v>
      </c>
      <c r="D9189" s="51">
        <v>70.0</v>
      </c>
      <c r="E9189" s="52" t="s">
        <v>25</v>
      </c>
      <c r="F9189" s="52" t="s">
        <v>26</v>
      </c>
      <c r="G9189" s="53"/>
    </row>
    <row r="9190">
      <c r="A9190" s="49">
        <v>44790.62009831019</v>
      </c>
      <c r="B9190" s="50">
        <v>44790.7450606365</v>
      </c>
      <c r="C9190" s="51">
        <v>1.004</v>
      </c>
      <c r="D9190" s="51">
        <v>70.0</v>
      </c>
      <c r="E9190" s="52" t="s">
        <v>25</v>
      </c>
      <c r="F9190" s="52" t="s">
        <v>26</v>
      </c>
      <c r="G9190" s="53"/>
    </row>
    <row r="9191">
      <c r="A9191" s="49">
        <v>44790.630514097225</v>
      </c>
      <c r="B9191" s="50">
        <v>44790.7554808912</v>
      </c>
      <c r="C9191" s="51">
        <v>1.003</v>
      </c>
      <c r="D9191" s="51">
        <v>70.0</v>
      </c>
      <c r="E9191" s="52" t="s">
        <v>25</v>
      </c>
      <c r="F9191" s="52" t="s">
        <v>26</v>
      </c>
      <c r="G9191" s="53"/>
    </row>
    <row r="9192">
      <c r="A9192" s="49">
        <v>44790.64095265046</v>
      </c>
      <c r="B9192" s="50">
        <v>44790.7659249305</v>
      </c>
      <c r="C9192" s="51">
        <v>1.004</v>
      </c>
      <c r="D9192" s="51">
        <v>70.0</v>
      </c>
      <c r="E9192" s="52" t="s">
        <v>25</v>
      </c>
      <c r="F9192" s="52" t="s">
        <v>26</v>
      </c>
      <c r="G9192" s="53"/>
    </row>
    <row r="9193">
      <c r="A9193" s="49">
        <v>44790.65136809028</v>
      </c>
      <c r="B9193" s="50">
        <v>44790.7763461689</v>
      </c>
      <c r="C9193" s="51">
        <v>1.004</v>
      </c>
      <c r="D9193" s="51">
        <v>70.0</v>
      </c>
      <c r="E9193" s="52" t="s">
        <v>25</v>
      </c>
      <c r="F9193" s="52" t="s">
        <v>26</v>
      </c>
      <c r="G9193" s="53"/>
    </row>
    <row r="9194">
      <c r="A9194" s="49">
        <v>44790.66179209491</v>
      </c>
      <c r="B9194" s="50">
        <v>44790.7867691782</v>
      </c>
      <c r="C9194" s="51">
        <v>1.003</v>
      </c>
      <c r="D9194" s="51">
        <v>70.0</v>
      </c>
      <c r="E9194" s="52" t="s">
        <v>25</v>
      </c>
      <c r="F9194" s="52" t="s">
        <v>26</v>
      </c>
      <c r="G9194" s="53"/>
    </row>
    <row r="9195">
      <c r="A9195" s="49">
        <v>44790.67222414352</v>
      </c>
      <c r="B9195" s="50">
        <v>44790.7971909259</v>
      </c>
      <c r="C9195" s="51">
        <v>1.003</v>
      </c>
      <c r="D9195" s="51">
        <v>70.0</v>
      </c>
      <c r="E9195" s="52" t="s">
        <v>25</v>
      </c>
      <c r="F9195" s="52" t="s">
        <v>26</v>
      </c>
      <c r="G9195" s="53"/>
    </row>
    <row r="9196">
      <c r="A9196" s="49">
        <v>44790.68265091435</v>
      </c>
      <c r="B9196" s="50">
        <v>44790.8076233101</v>
      </c>
      <c r="C9196" s="51">
        <v>1.004</v>
      </c>
      <c r="D9196" s="51">
        <v>70.0</v>
      </c>
      <c r="E9196" s="52" t="s">
        <v>25</v>
      </c>
      <c r="F9196" s="52" t="s">
        <v>26</v>
      </c>
      <c r="G9196" s="53"/>
    </row>
    <row r="9197">
      <c r="A9197" s="49">
        <v>44790.69307378472</v>
      </c>
      <c r="B9197" s="50">
        <v>44790.8180443634</v>
      </c>
      <c r="C9197" s="51">
        <v>1.003</v>
      </c>
      <c r="D9197" s="51">
        <v>70.0</v>
      </c>
      <c r="E9197" s="52" t="s">
        <v>25</v>
      </c>
      <c r="F9197" s="52" t="s">
        <v>26</v>
      </c>
      <c r="G9197" s="53"/>
    </row>
    <row r="9198">
      <c r="A9198" s="49">
        <v>44790.70349100695</v>
      </c>
      <c r="B9198" s="50">
        <v>44790.828465243</v>
      </c>
      <c r="C9198" s="51">
        <v>1.004</v>
      </c>
      <c r="D9198" s="51">
        <v>70.0</v>
      </c>
      <c r="E9198" s="52" t="s">
        <v>25</v>
      </c>
      <c r="F9198" s="52" t="s">
        <v>26</v>
      </c>
      <c r="G9198" s="53"/>
    </row>
    <row r="9199">
      <c r="A9199" s="49">
        <v>44790.71391439815</v>
      </c>
      <c r="B9199" s="50">
        <v>44790.8388864467</v>
      </c>
      <c r="C9199" s="51">
        <v>1.004</v>
      </c>
      <c r="D9199" s="51">
        <v>70.0</v>
      </c>
      <c r="E9199" s="52" t="s">
        <v>25</v>
      </c>
      <c r="F9199" s="52" t="s">
        <v>26</v>
      </c>
      <c r="G9199" s="53"/>
    </row>
    <row r="9200">
      <c r="A9200" s="49">
        <v>44790.72433203703</v>
      </c>
      <c r="B9200" s="50">
        <v>44790.8493075926</v>
      </c>
      <c r="C9200" s="51">
        <v>1.003</v>
      </c>
      <c r="D9200" s="51">
        <v>70.0</v>
      </c>
      <c r="E9200" s="52" t="s">
        <v>25</v>
      </c>
      <c r="F9200" s="52" t="s">
        <v>26</v>
      </c>
      <c r="G9200" s="53"/>
    </row>
    <row r="9201">
      <c r="A9201" s="49">
        <v>44790.73476765046</v>
      </c>
      <c r="B9201" s="50">
        <v>44790.8597397222</v>
      </c>
      <c r="C9201" s="51">
        <v>1.004</v>
      </c>
      <c r="D9201" s="51">
        <v>70.0</v>
      </c>
      <c r="E9201" s="52" t="s">
        <v>25</v>
      </c>
      <c r="F9201" s="52" t="s">
        <v>26</v>
      </c>
      <c r="G9201" s="53"/>
    </row>
    <row r="9202">
      <c r="A9202" s="49">
        <v>44790.74520056713</v>
      </c>
      <c r="B9202" s="50">
        <v>44790.8701718287</v>
      </c>
      <c r="C9202" s="51">
        <v>1.004</v>
      </c>
      <c r="D9202" s="51">
        <v>70.0</v>
      </c>
      <c r="E9202" s="52" t="s">
        <v>25</v>
      </c>
      <c r="F9202" s="52" t="s">
        <v>26</v>
      </c>
      <c r="G9202" s="53"/>
    </row>
    <row r="9203">
      <c r="A9203" s="49">
        <v>44790.75564471065</v>
      </c>
      <c r="B9203" s="50">
        <v>44790.8806147685</v>
      </c>
      <c r="C9203" s="51">
        <v>1.004</v>
      </c>
      <c r="D9203" s="51">
        <v>70.0</v>
      </c>
      <c r="E9203" s="52" t="s">
        <v>25</v>
      </c>
      <c r="F9203" s="52" t="s">
        <v>26</v>
      </c>
      <c r="G9203" s="53"/>
    </row>
    <row r="9204">
      <c r="A9204" s="49">
        <v>44790.766066122684</v>
      </c>
      <c r="B9204" s="50">
        <v>44790.8910349652</v>
      </c>
      <c r="C9204" s="51">
        <v>1.004</v>
      </c>
      <c r="D9204" s="51">
        <v>70.0</v>
      </c>
      <c r="E9204" s="52" t="s">
        <v>25</v>
      </c>
      <c r="F9204" s="52" t="s">
        <v>26</v>
      </c>
      <c r="G9204" s="53"/>
    </row>
    <row r="9205">
      <c r="A9205" s="49">
        <v>44790.77650304398</v>
      </c>
      <c r="B9205" s="50">
        <v>44790.9014678125</v>
      </c>
      <c r="C9205" s="51">
        <v>1.003</v>
      </c>
      <c r="D9205" s="51">
        <v>70.0</v>
      </c>
      <c r="E9205" s="52" t="s">
        <v>25</v>
      </c>
      <c r="F9205" s="52" t="s">
        <v>26</v>
      </c>
      <c r="G9205" s="53"/>
    </row>
    <row r="9206">
      <c r="A9206" s="49">
        <v>44790.78691809028</v>
      </c>
      <c r="B9206" s="50">
        <v>44790.9118870717</v>
      </c>
      <c r="C9206" s="51">
        <v>1.003</v>
      </c>
      <c r="D9206" s="51">
        <v>70.0</v>
      </c>
      <c r="E9206" s="52" t="s">
        <v>25</v>
      </c>
      <c r="F9206" s="52" t="s">
        <v>26</v>
      </c>
      <c r="G9206" s="53"/>
    </row>
    <row r="9207">
      <c r="A9207" s="49">
        <v>44790.79733162037</v>
      </c>
      <c r="B9207" s="50">
        <v>44790.9223088657</v>
      </c>
      <c r="C9207" s="51">
        <v>1.004</v>
      </c>
      <c r="D9207" s="51">
        <v>70.0</v>
      </c>
      <c r="E9207" s="52" t="s">
        <v>25</v>
      </c>
      <c r="F9207" s="52" t="s">
        <v>26</v>
      </c>
      <c r="G9207" s="53"/>
    </row>
    <row r="9208">
      <c r="A9208" s="49">
        <v>44790.807766921294</v>
      </c>
      <c r="B9208" s="50">
        <v>44790.9327415393</v>
      </c>
      <c r="C9208" s="51">
        <v>1.003</v>
      </c>
      <c r="D9208" s="51">
        <v>70.0</v>
      </c>
      <c r="E9208" s="52" t="s">
        <v>25</v>
      </c>
      <c r="F9208" s="52" t="s">
        <v>26</v>
      </c>
      <c r="G9208" s="53"/>
    </row>
    <row r="9209">
      <c r="A9209" s="49">
        <v>44790.81819302084</v>
      </c>
      <c r="B9209" s="50">
        <v>44790.9431630671</v>
      </c>
      <c r="C9209" s="51">
        <v>1.004</v>
      </c>
      <c r="D9209" s="51">
        <v>70.0</v>
      </c>
      <c r="E9209" s="52" t="s">
        <v>25</v>
      </c>
      <c r="F9209" s="52" t="s">
        <v>26</v>
      </c>
      <c r="G9209" s="53"/>
    </row>
    <row r="9210">
      <c r="A9210" s="49">
        <v>44790.8286165625</v>
      </c>
      <c r="B9210" s="50">
        <v>44790.9535840856</v>
      </c>
      <c r="C9210" s="51">
        <v>1.004</v>
      </c>
      <c r="D9210" s="51">
        <v>70.0</v>
      </c>
      <c r="E9210" s="52" t="s">
        <v>25</v>
      </c>
      <c r="F9210" s="52" t="s">
        <v>26</v>
      </c>
      <c r="G9210" s="53"/>
    </row>
    <row r="9211">
      <c r="A9211" s="49">
        <v>44790.83904607639</v>
      </c>
      <c r="B9211" s="50">
        <v>44790.9640174537</v>
      </c>
      <c r="C9211" s="51">
        <v>1.003</v>
      </c>
      <c r="D9211" s="51">
        <v>70.0</v>
      </c>
      <c r="E9211" s="52" t="s">
        <v>25</v>
      </c>
      <c r="F9211" s="52" t="s">
        <v>26</v>
      </c>
      <c r="G9211" s="53"/>
    </row>
    <row r="9212">
      <c r="A9212" s="49">
        <v>44790.84949170139</v>
      </c>
      <c r="B9212" s="50">
        <v>44790.9744622338</v>
      </c>
      <c r="C9212" s="51">
        <v>1.003</v>
      </c>
      <c r="D9212" s="51">
        <v>70.0</v>
      </c>
      <c r="E9212" s="52" t="s">
        <v>25</v>
      </c>
      <c r="F9212" s="52" t="s">
        <v>26</v>
      </c>
      <c r="G9212" s="53"/>
    </row>
    <row r="9213">
      <c r="A9213" s="49">
        <v>44790.859914166664</v>
      </c>
      <c r="B9213" s="50">
        <v>44790.9848837037</v>
      </c>
      <c r="C9213" s="51">
        <v>1.004</v>
      </c>
      <c r="D9213" s="51">
        <v>70.0</v>
      </c>
      <c r="E9213" s="52" t="s">
        <v>25</v>
      </c>
      <c r="F9213" s="52" t="s">
        <v>26</v>
      </c>
      <c r="G9213" s="53"/>
    </row>
    <row r="9214">
      <c r="A9214" s="49">
        <v>44790.87033787037</v>
      </c>
      <c r="B9214" s="50">
        <v>44790.9953055208</v>
      </c>
      <c r="C9214" s="51">
        <v>1.003</v>
      </c>
      <c r="D9214" s="51">
        <v>70.0</v>
      </c>
      <c r="E9214" s="52" t="s">
        <v>25</v>
      </c>
      <c r="F9214" s="52" t="s">
        <v>26</v>
      </c>
      <c r="G9214" s="53"/>
    </row>
    <row r="9215">
      <c r="A9215" s="49">
        <v>44790.88075768518</v>
      </c>
      <c r="B9215" s="50">
        <v>44791.0057248379</v>
      </c>
      <c r="C9215" s="51">
        <v>1.003</v>
      </c>
      <c r="D9215" s="51">
        <v>70.0</v>
      </c>
      <c r="E9215" s="52" t="s">
        <v>25</v>
      </c>
      <c r="F9215" s="52" t="s">
        <v>26</v>
      </c>
      <c r="G9215" s="53"/>
    </row>
    <row r="9216">
      <c r="A9216" s="49">
        <v>44790.89117592592</v>
      </c>
      <c r="B9216" s="50">
        <v>44791.0161452662</v>
      </c>
      <c r="C9216" s="51">
        <v>1.003</v>
      </c>
      <c r="D9216" s="51">
        <v>70.0</v>
      </c>
      <c r="E9216" s="52" t="s">
        <v>25</v>
      </c>
      <c r="F9216" s="52" t="s">
        <v>26</v>
      </c>
      <c r="G9216" s="53"/>
    </row>
    <row r="9217">
      <c r="A9217" s="49">
        <v>44790.90159415509</v>
      </c>
      <c r="B9217" s="50">
        <v>44791.0265654282</v>
      </c>
      <c r="C9217" s="51">
        <v>1.004</v>
      </c>
      <c r="D9217" s="51">
        <v>70.0</v>
      </c>
      <c r="E9217" s="52" t="s">
        <v>25</v>
      </c>
      <c r="F9217" s="52" t="s">
        <v>26</v>
      </c>
      <c r="G9217" s="53"/>
    </row>
    <row r="9218">
      <c r="A9218" s="49">
        <v>44790.91201583333</v>
      </c>
      <c r="B9218" s="50">
        <v>44791.0369850115</v>
      </c>
      <c r="C9218" s="51">
        <v>1.003</v>
      </c>
      <c r="D9218" s="51">
        <v>70.0</v>
      </c>
      <c r="E9218" s="52" t="s">
        <v>25</v>
      </c>
      <c r="F9218" s="52" t="s">
        <v>26</v>
      </c>
      <c r="G9218" s="53"/>
    </row>
    <row r="9219">
      <c r="A9219" s="49">
        <v>44790.92244591435</v>
      </c>
      <c r="B9219" s="50">
        <v>44791.0474076967</v>
      </c>
      <c r="C9219" s="51">
        <v>1.004</v>
      </c>
      <c r="D9219" s="51">
        <v>70.0</v>
      </c>
      <c r="E9219" s="52" t="s">
        <v>25</v>
      </c>
      <c r="F9219" s="52" t="s">
        <v>26</v>
      </c>
      <c r="G9219" s="53"/>
    </row>
    <row r="9220">
      <c r="A9220" s="49">
        <v>44790.93287619213</v>
      </c>
      <c r="B9220" s="50">
        <v>44791.0578287962</v>
      </c>
      <c r="C9220" s="51">
        <v>1.004</v>
      </c>
      <c r="D9220" s="51">
        <v>70.0</v>
      </c>
      <c r="E9220" s="52" t="s">
        <v>25</v>
      </c>
      <c r="F9220" s="52" t="s">
        <v>26</v>
      </c>
      <c r="G9220" s="53"/>
    </row>
    <row r="9221">
      <c r="A9221" s="49">
        <v>44790.943294745375</v>
      </c>
      <c r="B9221" s="50">
        <v>44791.0682482986</v>
      </c>
      <c r="C9221" s="51">
        <v>1.004</v>
      </c>
      <c r="D9221" s="51">
        <v>70.0</v>
      </c>
      <c r="E9221" s="52" t="s">
        <v>25</v>
      </c>
      <c r="F9221" s="52" t="s">
        <v>26</v>
      </c>
      <c r="G9221" s="53"/>
    </row>
    <row r="9222">
      <c r="A9222" s="49">
        <v>44790.9537096875</v>
      </c>
      <c r="B9222" s="50">
        <v>44791.0786697338</v>
      </c>
      <c r="C9222" s="51">
        <v>1.003</v>
      </c>
      <c r="D9222" s="51">
        <v>70.0</v>
      </c>
      <c r="E9222" s="52" t="s">
        <v>25</v>
      </c>
      <c r="F9222" s="52" t="s">
        <v>26</v>
      </c>
      <c r="G9222" s="53"/>
    </row>
    <row r="9223">
      <c r="A9223" s="49">
        <v>44790.96412315972</v>
      </c>
      <c r="B9223" s="50">
        <v>44791.0890913194</v>
      </c>
      <c r="C9223" s="51">
        <v>1.004</v>
      </c>
      <c r="D9223" s="51">
        <v>70.0</v>
      </c>
      <c r="E9223" s="52" t="s">
        <v>25</v>
      </c>
      <c r="F9223" s="52" t="s">
        <v>26</v>
      </c>
      <c r="G9223" s="53"/>
    </row>
    <row r="9224">
      <c r="A9224" s="49">
        <v>44790.974547986116</v>
      </c>
      <c r="B9224" s="50">
        <v>44791.0995129745</v>
      </c>
      <c r="C9224" s="51">
        <v>1.004</v>
      </c>
      <c r="D9224" s="51">
        <v>70.0</v>
      </c>
      <c r="E9224" s="52" t="s">
        <v>25</v>
      </c>
      <c r="F9224" s="52" t="s">
        <v>26</v>
      </c>
      <c r="G9224" s="53"/>
    </row>
    <row r="9225">
      <c r="A9225" s="49">
        <v>44790.98497572917</v>
      </c>
      <c r="B9225" s="50">
        <v>44791.1099343865</v>
      </c>
      <c r="C9225" s="51">
        <v>1.003</v>
      </c>
      <c r="D9225" s="51">
        <v>70.0</v>
      </c>
      <c r="E9225" s="52" t="s">
        <v>25</v>
      </c>
      <c r="F9225" s="52" t="s">
        <v>26</v>
      </c>
      <c r="G9225" s="53"/>
    </row>
    <row r="9226">
      <c r="A9226" s="49">
        <v>44790.995530740736</v>
      </c>
      <c r="B9226" s="50">
        <v>44791.1203571759</v>
      </c>
      <c r="C9226" s="51">
        <v>1.003</v>
      </c>
      <c r="D9226" s="51">
        <v>69.0</v>
      </c>
      <c r="E9226" s="52" t="s">
        <v>25</v>
      </c>
      <c r="F9226" s="52" t="s">
        <v>26</v>
      </c>
      <c r="G9226" s="53"/>
    </row>
    <row r="9227">
      <c r="A9227" s="49">
        <v>44791.00582520833</v>
      </c>
      <c r="B9227" s="50">
        <v>44791.1307777199</v>
      </c>
      <c r="C9227" s="51">
        <v>1.003</v>
      </c>
      <c r="D9227" s="51">
        <v>68.0</v>
      </c>
      <c r="E9227" s="52" t="s">
        <v>25</v>
      </c>
      <c r="F9227" s="52" t="s">
        <v>26</v>
      </c>
      <c r="G9227" s="53"/>
    </row>
    <row r="9228">
      <c r="A9228" s="49">
        <v>44791.01622961806</v>
      </c>
      <c r="B9228" s="50">
        <v>44791.1411992476</v>
      </c>
      <c r="C9228" s="51">
        <v>1.003</v>
      </c>
      <c r="D9228" s="51">
        <v>68.0</v>
      </c>
      <c r="E9228" s="52" t="s">
        <v>25</v>
      </c>
      <c r="F9228" s="52" t="s">
        <v>26</v>
      </c>
      <c r="G9228" s="53"/>
    </row>
    <row r="9229">
      <c r="A9229" s="49">
        <v>44791.026646620376</v>
      </c>
      <c r="B9229" s="50">
        <v>44791.1516206597</v>
      </c>
      <c r="C9229" s="51">
        <v>1.003</v>
      </c>
      <c r="D9229" s="51">
        <v>67.0</v>
      </c>
      <c r="E9229" s="52" t="s">
        <v>25</v>
      </c>
      <c r="F9229" s="52" t="s">
        <v>26</v>
      </c>
      <c r="G9229" s="53"/>
    </row>
    <row r="9230">
      <c r="A9230" s="49">
        <v>44791.03707539351</v>
      </c>
      <c r="B9230" s="50">
        <v>44791.1620527662</v>
      </c>
      <c r="C9230" s="51">
        <v>1.003</v>
      </c>
      <c r="D9230" s="51">
        <v>66.0</v>
      </c>
      <c r="E9230" s="52" t="s">
        <v>25</v>
      </c>
      <c r="F9230" s="52" t="s">
        <v>26</v>
      </c>
      <c r="G9230" s="53"/>
    </row>
    <row r="9231">
      <c r="A9231" s="49">
        <v>44791.04750538194</v>
      </c>
      <c r="B9231" s="50">
        <v>44791.1724741782</v>
      </c>
      <c r="C9231" s="51">
        <v>1.003</v>
      </c>
      <c r="D9231" s="51">
        <v>66.0</v>
      </c>
      <c r="E9231" s="52" t="s">
        <v>25</v>
      </c>
      <c r="F9231" s="52" t="s">
        <v>26</v>
      </c>
      <c r="G9231" s="53"/>
    </row>
    <row r="9232">
      <c r="A9232" s="49">
        <v>44791.05792979167</v>
      </c>
      <c r="B9232" s="50">
        <v>44791.1828950578</v>
      </c>
      <c r="C9232" s="51">
        <v>1.004</v>
      </c>
      <c r="D9232" s="51">
        <v>66.0</v>
      </c>
      <c r="E9232" s="52" t="s">
        <v>25</v>
      </c>
      <c r="F9232" s="52" t="s">
        <v>26</v>
      </c>
      <c r="G9232" s="53"/>
    </row>
    <row r="9233">
      <c r="A9233" s="49">
        <v>44791.06835328703</v>
      </c>
      <c r="B9233" s="50">
        <v>44791.1933181713</v>
      </c>
      <c r="C9233" s="51">
        <v>1.003</v>
      </c>
      <c r="D9233" s="51">
        <v>66.0</v>
      </c>
      <c r="E9233" s="52" t="s">
        <v>25</v>
      </c>
      <c r="F9233" s="52" t="s">
        <v>26</v>
      </c>
      <c r="G9233" s="53"/>
    </row>
    <row r="9234">
      <c r="A9234" s="49">
        <v>44791.07876513889</v>
      </c>
      <c r="B9234" s="50">
        <v>44791.2037393171</v>
      </c>
      <c r="C9234" s="51">
        <v>1.004</v>
      </c>
      <c r="D9234" s="51">
        <v>66.0</v>
      </c>
      <c r="E9234" s="52" t="s">
        <v>25</v>
      </c>
      <c r="F9234" s="52" t="s">
        <v>26</v>
      </c>
      <c r="G9234" s="53"/>
    </row>
    <row r="9235">
      <c r="A9235" s="49">
        <v>44791.08919990741</v>
      </c>
      <c r="B9235" s="50">
        <v>44791.2141717824</v>
      </c>
      <c r="C9235" s="51">
        <v>1.004</v>
      </c>
      <c r="D9235" s="51">
        <v>66.0</v>
      </c>
      <c r="E9235" s="52" t="s">
        <v>25</v>
      </c>
      <c r="F9235" s="52" t="s">
        <v>26</v>
      </c>
      <c r="G9235" s="53"/>
    </row>
    <row r="9236">
      <c r="A9236" s="49">
        <v>44791.09961738426</v>
      </c>
      <c r="B9236" s="50">
        <v>44791.224591574</v>
      </c>
      <c r="C9236" s="51">
        <v>1.003</v>
      </c>
      <c r="D9236" s="51">
        <v>66.0</v>
      </c>
      <c r="E9236" s="52" t="s">
        <v>25</v>
      </c>
      <c r="F9236" s="52" t="s">
        <v>26</v>
      </c>
      <c r="G9236" s="53"/>
    </row>
    <row r="9237">
      <c r="A9237" s="49">
        <v>44791.1100487963</v>
      </c>
      <c r="B9237" s="50">
        <v>44791.2350128356</v>
      </c>
      <c r="C9237" s="51">
        <v>1.004</v>
      </c>
      <c r="D9237" s="51">
        <v>66.0</v>
      </c>
      <c r="E9237" s="52" t="s">
        <v>25</v>
      </c>
      <c r="F9237" s="52" t="s">
        <v>26</v>
      </c>
      <c r="G9237" s="53"/>
    </row>
    <row r="9238">
      <c r="A9238" s="49">
        <v>44791.120462245366</v>
      </c>
      <c r="B9238" s="50">
        <v>44791.2454336689</v>
      </c>
      <c r="C9238" s="51">
        <v>1.004</v>
      </c>
      <c r="D9238" s="51">
        <v>66.0</v>
      </c>
      <c r="E9238" s="52" t="s">
        <v>25</v>
      </c>
      <c r="F9238" s="52" t="s">
        <v>26</v>
      </c>
      <c r="G9238" s="53"/>
    </row>
    <row r="9239">
      <c r="A9239" s="49">
        <v>44791.13088440972</v>
      </c>
      <c r="B9239" s="50">
        <v>44791.2558528588</v>
      </c>
      <c r="C9239" s="51">
        <v>1.003</v>
      </c>
      <c r="D9239" s="51">
        <v>66.0</v>
      </c>
      <c r="E9239" s="52" t="s">
        <v>25</v>
      </c>
      <c r="F9239" s="52" t="s">
        <v>26</v>
      </c>
      <c r="G9239" s="53"/>
    </row>
    <row r="9240">
      <c r="A9240" s="49">
        <v>44791.141309259256</v>
      </c>
      <c r="B9240" s="50">
        <v>44791.2662749421</v>
      </c>
      <c r="C9240" s="51">
        <v>1.003</v>
      </c>
      <c r="D9240" s="51">
        <v>66.0</v>
      </c>
      <c r="E9240" s="52" t="s">
        <v>25</v>
      </c>
      <c r="F9240" s="52" t="s">
        <v>26</v>
      </c>
      <c r="G9240" s="53"/>
    </row>
    <row r="9241">
      <c r="A9241" s="49">
        <v>44791.151729652775</v>
      </c>
      <c r="B9241" s="50">
        <v>44791.2766959027</v>
      </c>
      <c r="C9241" s="51">
        <v>1.003</v>
      </c>
      <c r="D9241" s="51">
        <v>66.0</v>
      </c>
      <c r="E9241" s="52" t="s">
        <v>25</v>
      </c>
      <c r="F9241" s="52" t="s">
        <v>26</v>
      </c>
      <c r="G9241" s="53"/>
    </row>
    <row r="9242">
      <c r="A9242" s="49">
        <v>44791.16214247685</v>
      </c>
      <c r="B9242" s="50">
        <v>44791.2871184027</v>
      </c>
      <c r="C9242" s="51">
        <v>1.003</v>
      </c>
      <c r="D9242" s="51">
        <v>66.0</v>
      </c>
      <c r="E9242" s="52" t="s">
        <v>25</v>
      </c>
      <c r="F9242" s="52" t="s">
        <v>26</v>
      </c>
      <c r="G9242" s="53"/>
    </row>
    <row r="9243">
      <c r="A9243" s="49">
        <v>44791.17259440973</v>
      </c>
      <c r="B9243" s="50">
        <v>44791.2975387847</v>
      </c>
      <c r="C9243" s="51">
        <v>1.003</v>
      </c>
      <c r="D9243" s="51">
        <v>66.0</v>
      </c>
      <c r="E9243" s="52" t="s">
        <v>25</v>
      </c>
      <c r="F9243" s="52" t="s">
        <v>26</v>
      </c>
      <c r="G9243" s="53"/>
    </row>
    <row r="9244">
      <c r="A9244" s="49">
        <v>44791.18300104167</v>
      </c>
      <c r="B9244" s="50">
        <v>44791.3079605902</v>
      </c>
      <c r="C9244" s="51">
        <v>1.003</v>
      </c>
      <c r="D9244" s="51">
        <v>66.0</v>
      </c>
      <c r="E9244" s="52" t="s">
        <v>25</v>
      </c>
      <c r="F9244" s="52" t="s">
        <v>26</v>
      </c>
      <c r="G9244" s="53"/>
    </row>
    <row r="9245">
      <c r="A9245" s="49">
        <v>44791.193412175926</v>
      </c>
      <c r="B9245" s="50">
        <v>44791.3183817129</v>
      </c>
      <c r="C9245" s="51">
        <v>1.004</v>
      </c>
      <c r="D9245" s="51">
        <v>66.0</v>
      </c>
      <c r="E9245" s="52" t="s">
        <v>25</v>
      </c>
      <c r="F9245" s="52" t="s">
        <v>26</v>
      </c>
      <c r="G9245" s="53"/>
    </row>
    <row r="9246">
      <c r="A9246" s="49">
        <v>44791.20384753472</v>
      </c>
      <c r="B9246" s="50">
        <v>44791.3288145601</v>
      </c>
      <c r="C9246" s="51">
        <v>1.004</v>
      </c>
      <c r="D9246" s="51">
        <v>66.0</v>
      </c>
      <c r="E9246" s="52" t="s">
        <v>25</v>
      </c>
      <c r="F9246" s="52" t="s">
        <v>26</v>
      </c>
      <c r="G9246" s="53"/>
    </row>
    <row r="9247">
      <c r="A9247" s="49">
        <v>44791.214269178236</v>
      </c>
      <c r="B9247" s="50">
        <v>44791.3392361458</v>
      </c>
      <c r="C9247" s="51">
        <v>1.004</v>
      </c>
      <c r="D9247" s="51">
        <v>66.0</v>
      </c>
      <c r="E9247" s="52" t="s">
        <v>25</v>
      </c>
      <c r="F9247" s="52" t="s">
        <v>26</v>
      </c>
      <c r="G9247" s="53"/>
    </row>
    <row r="9248">
      <c r="A9248" s="49">
        <v>44791.22468591435</v>
      </c>
      <c r="B9248" s="50">
        <v>44791.3496562615</v>
      </c>
      <c r="C9248" s="51">
        <v>1.003</v>
      </c>
      <c r="D9248" s="51">
        <v>66.0</v>
      </c>
      <c r="E9248" s="52" t="s">
        <v>25</v>
      </c>
      <c r="F9248" s="52" t="s">
        <v>26</v>
      </c>
      <c r="G9248" s="53"/>
    </row>
    <row r="9249">
      <c r="A9249" s="49">
        <v>44791.23510978009</v>
      </c>
      <c r="B9249" s="50">
        <v>44791.3600774421</v>
      </c>
      <c r="C9249" s="51">
        <v>1.003</v>
      </c>
      <c r="D9249" s="51">
        <v>66.0</v>
      </c>
      <c r="E9249" s="52" t="s">
        <v>25</v>
      </c>
      <c r="F9249" s="52" t="s">
        <v>26</v>
      </c>
      <c r="G9249" s="53"/>
    </row>
    <row r="9250">
      <c r="A9250" s="49">
        <v>44791.24553118055</v>
      </c>
      <c r="B9250" s="50">
        <v>44791.3705007638</v>
      </c>
      <c r="C9250" s="51">
        <v>1.004</v>
      </c>
      <c r="D9250" s="51">
        <v>66.0</v>
      </c>
      <c r="E9250" s="52" t="s">
        <v>25</v>
      </c>
      <c r="F9250" s="52" t="s">
        <v>26</v>
      </c>
      <c r="G9250" s="53"/>
    </row>
    <row r="9251">
      <c r="A9251" s="49">
        <v>44791.25598865741</v>
      </c>
      <c r="B9251" s="50">
        <v>44791.3809229976</v>
      </c>
      <c r="C9251" s="51">
        <v>1.003</v>
      </c>
      <c r="D9251" s="51">
        <v>66.0</v>
      </c>
      <c r="E9251" s="52" t="s">
        <v>25</v>
      </c>
      <c r="F9251" s="52" t="s">
        <v>26</v>
      </c>
      <c r="G9251" s="53"/>
    </row>
    <row r="9252">
      <c r="A9252" s="49">
        <v>44791.26638700231</v>
      </c>
      <c r="B9252" s="50">
        <v>44791.3913436458</v>
      </c>
      <c r="C9252" s="51">
        <v>1.003</v>
      </c>
      <c r="D9252" s="51">
        <v>66.0</v>
      </c>
      <c r="E9252" s="52" t="s">
        <v>25</v>
      </c>
      <c r="F9252" s="52" t="s">
        <v>26</v>
      </c>
      <c r="G9252" s="53"/>
    </row>
    <row r="9253">
      <c r="A9253" s="49">
        <v>44791.27680016204</v>
      </c>
      <c r="B9253" s="50">
        <v>44791.4017654282</v>
      </c>
      <c r="C9253" s="51">
        <v>1.003</v>
      </c>
      <c r="D9253" s="51">
        <v>66.0</v>
      </c>
      <c r="E9253" s="52" t="s">
        <v>25</v>
      </c>
      <c r="F9253" s="52" t="s">
        <v>26</v>
      </c>
      <c r="G9253" s="53"/>
    </row>
    <row r="9254">
      <c r="A9254" s="49">
        <v>44791.28723325231</v>
      </c>
      <c r="B9254" s="50">
        <v>44791.4121977546</v>
      </c>
      <c r="C9254" s="51">
        <v>1.004</v>
      </c>
      <c r="D9254" s="51">
        <v>66.0</v>
      </c>
      <c r="E9254" s="52" t="s">
        <v>25</v>
      </c>
      <c r="F9254" s="52" t="s">
        <v>26</v>
      </c>
      <c r="G9254" s="53"/>
    </row>
    <row r="9255">
      <c r="A9255" s="49">
        <v>44791.29765241898</v>
      </c>
      <c r="B9255" s="50">
        <v>44791.4226181018</v>
      </c>
      <c r="C9255" s="51">
        <v>1.003</v>
      </c>
      <c r="D9255" s="51">
        <v>66.0</v>
      </c>
      <c r="E9255" s="52" t="s">
        <v>25</v>
      </c>
      <c r="F9255" s="52" t="s">
        <v>26</v>
      </c>
      <c r="G9255" s="53"/>
    </row>
    <row r="9256">
      <c r="A9256" s="49">
        <v>44791.308072858796</v>
      </c>
      <c r="B9256" s="50">
        <v>44791.433038449</v>
      </c>
      <c r="C9256" s="51">
        <v>1.003</v>
      </c>
      <c r="D9256" s="51">
        <v>66.0</v>
      </c>
      <c r="E9256" s="52" t="s">
        <v>25</v>
      </c>
      <c r="F9256" s="52" t="s">
        <v>26</v>
      </c>
      <c r="G9256" s="53"/>
    </row>
    <row r="9257">
      <c r="A9257" s="49">
        <v>44791.318493009254</v>
      </c>
      <c r="B9257" s="50">
        <v>44791.4434589004</v>
      </c>
      <c r="C9257" s="51">
        <v>1.003</v>
      </c>
      <c r="D9257" s="51">
        <v>66.0</v>
      </c>
      <c r="E9257" s="52" t="s">
        <v>25</v>
      </c>
      <c r="F9257" s="52" t="s">
        <v>26</v>
      </c>
      <c r="G9257" s="53"/>
    </row>
    <row r="9258">
      <c r="A9258" s="49">
        <v>44791.328915983795</v>
      </c>
      <c r="B9258" s="50">
        <v>44791.4538806944</v>
      </c>
      <c r="C9258" s="51">
        <v>1.004</v>
      </c>
      <c r="D9258" s="51">
        <v>66.0</v>
      </c>
      <c r="E9258" s="52" t="s">
        <v>25</v>
      </c>
      <c r="F9258" s="52" t="s">
        <v>26</v>
      </c>
      <c r="G9258" s="53"/>
    </row>
    <row r="9259">
      <c r="A9259" s="49">
        <v>44791.33933556713</v>
      </c>
      <c r="B9259" s="50">
        <v>44791.4643013657</v>
      </c>
      <c r="C9259" s="51">
        <v>1.004</v>
      </c>
      <c r="D9259" s="51">
        <v>66.0</v>
      </c>
      <c r="E9259" s="52" t="s">
        <v>25</v>
      </c>
      <c r="F9259" s="52" t="s">
        <v>26</v>
      </c>
      <c r="G9259" s="53"/>
    </row>
    <row r="9260">
      <c r="A9260" s="49">
        <v>44791.34975633102</v>
      </c>
      <c r="B9260" s="50">
        <v>44791.4747332176</v>
      </c>
      <c r="C9260" s="51">
        <v>1.004</v>
      </c>
      <c r="D9260" s="51">
        <v>66.0</v>
      </c>
      <c r="E9260" s="52" t="s">
        <v>25</v>
      </c>
      <c r="F9260" s="52" t="s">
        <v>26</v>
      </c>
      <c r="G9260" s="53"/>
    </row>
    <row r="9261">
      <c r="A9261" s="49">
        <v>44791.36017917824</v>
      </c>
      <c r="B9261" s="50">
        <v>44791.4851539699</v>
      </c>
      <c r="C9261" s="51">
        <v>1.003</v>
      </c>
      <c r="D9261" s="51">
        <v>66.0</v>
      </c>
      <c r="E9261" s="52" t="s">
        <v>25</v>
      </c>
      <c r="F9261" s="52" t="s">
        <v>26</v>
      </c>
      <c r="G9261" s="53"/>
    </row>
    <row r="9262">
      <c r="A9262" s="49">
        <v>44791.3706056713</v>
      </c>
      <c r="B9262" s="50">
        <v>44791.4955737268</v>
      </c>
      <c r="C9262" s="51">
        <v>1.004</v>
      </c>
      <c r="D9262" s="51">
        <v>66.0</v>
      </c>
      <c r="E9262" s="52" t="s">
        <v>25</v>
      </c>
      <c r="F9262" s="52" t="s">
        <v>26</v>
      </c>
      <c r="G9262" s="53"/>
    </row>
    <row r="9263">
      <c r="A9263" s="49">
        <v>44791.38143829862</v>
      </c>
      <c r="B9263" s="50">
        <v>44791.5059933217</v>
      </c>
      <c r="C9263" s="51">
        <v>1.004</v>
      </c>
      <c r="D9263" s="51">
        <v>66.0</v>
      </c>
      <c r="E9263" s="52" t="s">
        <v>25</v>
      </c>
      <c r="F9263" s="52" t="s">
        <v>26</v>
      </c>
      <c r="G9263" s="53"/>
    </row>
    <row r="9264">
      <c r="A9264" s="49">
        <v>44791.39144273148</v>
      </c>
      <c r="B9264" s="50">
        <v>44791.5164125926</v>
      </c>
      <c r="C9264" s="51">
        <v>1.003</v>
      </c>
      <c r="D9264" s="51">
        <v>66.0</v>
      </c>
      <c r="E9264" s="52" t="s">
        <v>25</v>
      </c>
      <c r="F9264" s="52" t="s">
        <v>26</v>
      </c>
      <c r="G9264" s="53"/>
    </row>
    <row r="9265">
      <c r="A9265" s="49">
        <v>44791.401863935185</v>
      </c>
      <c r="B9265" s="50">
        <v>44791.5268345717</v>
      </c>
      <c r="C9265" s="51">
        <v>1.004</v>
      </c>
      <c r="D9265" s="51">
        <v>66.0</v>
      </c>
      <c r="E9265" s="52" t="s">
        <v>25</v>
      </c>
      <c r="F9265" s="52" t="s">
        <v>26</v>
      </c>
      <c r="G9265" s="53"/>
    </row>
    <row r="9266">
      <c r="A9266" s="49">
        <v>44791.41228979167</v>
      </c>
      <c r="B9266" s="50">
        <v>44791.5372550231</v>
      </c>
      <c r="C9266" s="51">
        <v>1.003</v>
      </c>
      <c r="D9266" s="51">
        <v>66.0</v>
      </c>
      <c r="E9266" s="52" t="s">
        <v>25</v>
      </c>
      <c r="F9266" s="52" t="s">
        <v>26</v>
      </c>
      <c r="G9266" s="53"/>
    </row>
    <row r="9267">
      <c r="A9267" s="49">
        <v>44791.42274314815</v>
      </c>
      <c r="B9267" s="50">
        <v>44791.5476763773</v>
      </c>
      <c r="C9267" s="51">
        <v>1.004</v>
      </c>
      <c r="D9267" s="51">
        <v>67.0</v>
      </c>
      <c r="E9267" s="52" t="s">
        <v>25</v>
      </c>
      <c r="F9267" s="52" t="s">
        <v>26</v>
      </c>
      <c r="G9267" s="53"/>
    </row>
    <row r="9268">
      <c r="A9268" s="49">
        <v>44791.433124918985</v>
      </c>
      <c r="B9268" s="50">
        <v>44791.5580958101</v>
      </c>
      <c r="C9268" s="51">
        <v>1.004</v>
      </c>
      <c r="D9268" s="51">
        <v>67.0</v>
      </c>
      <c r="E9268" s="52" t="s">
        <v>25</v>
      </c>
      <c r="F9268" s="52" t="s">
        <v>26</v>
      </c>
      <c r="G9268" s="53"/>
    </row>
    <row r="9269">
      <c r="A9269" s="49">
        <v>44791.44354644676</v>
      </c>
      <c r="B9269" s="50">
        <v>44791.5685156134</v>
      </c>
      <c r="C9269" s="51">
        <v>1.004</v>
      </c>
      <c r="D9269" s="51">
        <v>66.0</v>
      </c>
      <c r="E9269" s="52" t="s">
        <v>25</v>
      </c>
      <c r="F9269" s="52" t="s">
        <v>26</v>
      </c>
      <c r="G9269" s="53"/>
    </row>
    <row r="9270">
      <c r="A9270" s="49">
        <v>44791.453973310185</v>
      </c>
      <c r="B9270" s="50">
        <v>44791.578937118</v>
      </c>
      <c r="C9270" s="51">
        <v>1.003</v>
      </c>
      <c r="D9270" s="51">
        <v>66.0</v>
      </c>
      <c r="E9270" s="52" t="s">
        <v>25</v>
      </c>
      <c r="F9270" s="52" t="s">
        <v>26</v>
      </c>
      <c r="G9270" s="53"/>
    </row>
    <row r="9271">
      <c r="A9271" s="49">
        <v>44791.46439158564</v>
      </c>
      <c r="B9271" s="50">
        <v>44791.5893585532</v>
      </c>
      <c r="C9271" s="51">
        <v>1.003</v>
      </c>
      <c r="D9271" s="51">
        <v>67.0</v>
      </c>
      <c r="E9271" s="52" t="s">
        <v>25</v>
      </c>
      <c r="F9271" s="52" t="s">
        <v>26</v>
      </c>
      <c r="G9271" s="53"/>
    </row>
    <row r="9272">
      <c r="A9272" s="49">
        <v>44791.47480909722</v>
      </c>
      <c r="B9272" s="50">
        <v>44791.5997802314</v>
      </c>
      <c r="C9272" s="51">
        <v>1.004</v>
      </c>
      <c r="D9272" s="51">
        <v>67.0</v>
      </c>
      <c r="E9272" s="52" t="s">
        <v>25</v>
      </c>
      <c r="F9272" s="52" t="s">
        <v>26</v>
      </c>
      <c r="G9272" s="53"/>
    </row>
    <row r="9273">
      <c r="A9273" s="49">
        <v>44791.48522880787</v>
      </c>
      <c r="B9273" s="50">
        <v>44791.6102032291</v>
      </c>
      <c r="C9273" s="51">
        <v>1.004</v>
      </c>
      <c r="D9273" s="51">
        <v>67.0</v>
      </c>
      <c r="E9273" s="52" t="s">
        <v>25</v>
      </c>
      <c r="F9273" s="52" t="s">
        <v>26</v>
      </c>
      <c r="G9273" s="53"/>
    </row>
    <row r="9274">
      <c r="A9274" s="49">
        <v>44791.49565899305</v>
      </c>
      <c r="B9274" s="50">
        <v>44791.620623993</v>
      </c>
      <c r="C9274" s="51">
        <v>1.004</v>
      </c>
      <c r="D9274" s="51">
        <v>67.0</v>
      </c>
      <c r="E9274" s="52" t="s">
        <v>25</v>
      </c>
      <c r="F9274" s="52" t="s">
        <v>26</v>
      </c>
      <c r="G9274" s="53"/>
    </row>
    <row r="9275">
      <c r="A9275" s="49">
        <v>44791.50608005787</v>
      </c>
      <c r="B9275" s="50">
        <v>44791.6310454861</v>
      </c>
      <c r="C9275" s="51">
        <v>1.004</v>
      </c>
      <c r="D9275" s="51">
        <v>67.0</v>
      </c>
      <c r="E9275" s="52" t="s">
        <v>25</v>
      </c>
      <c r="F9275" s="52" t="s">
        <v>26</v>
      </c>
      <c r="G9275" s="53"/>
    </row>
    <row r="9276">
      <c r="A9276" s="49">
        <v>44791.51649608796</v>
      </c>
      <c r="B9276" s="50">
        <v>44791.6414666898</v>
      </c>
      <c r="C9276" s="51">
        <v>1.004</v>
      </c>
      <c r="D9276" s="51">
        <v>67.0</v>
      </c>
      <c r="E9276" s="52" t="s">
        <v>25</v>
      </c>
      <c r="F9276" s="52" t="s">
        <v>26</v>
      </c>
      <c r="G9276" s="53"/>
    </row>
    <row r="9277">
      <c r="A9277" s="49">
        <v>44791.52691399306</v>
      </c>
      <c r="B9277" s="50">
        <v>44791.6518881828</v>
      </c>
      <c r="C9277" s="51">
        <v>1.004</v>
      </c>
      <c r="D9277" s="51">
        <v>67.0</v>
      </c>
      <c r="E9277" s="52" t="s">
        <v>25</v>
      </c>
      <c r="F9277" s="52" t="s">
        <v>26</v>
      </c>
      <c r="G9277" s="53"/>
    </row>
    <row r="9278">
      <c r="A9278" s="49">
        <v>44791.53733989583</v>
      </c>
      <c r="B9278" s="50">
        <v>44791.6623082986</v>
      </c>
      <c r="C9278" s="51">
        <v>1.004</v>
      </c>
      <c r="D9278" s="51">
        <v>67.0</v>
      </c>
      <c r="E9278" s="52" t="s">
        <v>25</v>
      </c>
      <c r="F9278" s="52" t="s">
        <v>26</v>
      </c>
      <c r="G9278" s="53"/>
    </row>
    <row r="9279">
      <c r="A9279" s="49">
        <v>44791.54777295139</v>
      </c>
      <c r="B9279" s="50">
        <v>44791.6727405555</v>
      </c>
      <c r="C9279" s="51">
        <v>1.003</v>
      </c>
      <c r="D9279" s="51">
        <v>67.0</v>
      </c>
      <c r="E9279" s="52" t="s">
        <v>25</v>
      </c>
      <c r="F9279" s="52" t="s">
        <v>26</v>
      </c>
      <c r="G9279" s="53"/>
    </row>
    <row r="9280">
      <c r="A9280" s="49">
        <v>44791.55818943287</v>
      </c>
      <c r="B9280" s="50">
        <v>44791.6831615856</v>
      </c>
      <c r="C9280" s="51">
        <v>1.003</v>
      </c>
      <c r="D9280" s="51">
        <v>67.0</v>
      </c>
      <c r="E9280" s="52" t="s">
        <v>25</v>
      </c>
      <c r="F9280" s="52" t="s">
        <v>26</v>
      </c>
      <c r="G9280" s="53"/>
    </row>
    <row r="9281">
      <c r="A9281" s="49">
        <v>44791.568606562505</v>
      </c>
      <c r="B9281" s="50">
        <v>44791.6935819097</v>
      </c>
      <c r="C9281" s="51">
        <v>1.004</v>
      </c>
      <c r="D9281" s="51">
        <v>67.0</v>
      </c>
      <c r="E9281" s="52" t="s">
        <v>25</v>
      </c>
      <c r="F9281" s="52" t="s">
        <v>26</v>
      </c>
      <c r="G9281" s="53"/>
    </row>
    <row r="9282">
      <c r="A9282" s="49">
        <v>44791.579035636576</v>
      </c>
      <c r="B9282" s="50">
        <v>44791.7040015856</v>
      </c>
      <c r="C9282" s="51">
        <v>1.003</v>
      </c>
      <c r="D9282" s="51">
        <v>67.0</v>
      </c>
      <c r="E9282" s="52" t="s">
        <v>25</v>
      </c>
      <c r="F9282" s="52" t="s">
        <v>26</v>
      </c>
      <c r="G9282" s="53"/>
    </row>
    <row r="9283">
      <c r="A9283" s="49">
        <v>44791.58945063657</v>
      </c>
      <c r="B9283" s="50">
        <v>44791.7144212962</v>
      </c>
      <c r="C9283" s="51">
        <v>1.004</v>
      </c>
      <c r="D9283" s="51">
        <v>67.0</v>
      </c>
      <c r="E9283" s="52" t="s">
        <v>25</v>
      </c>
      <c r="F9283" s="52" t="s">
        <v>26</v>
      </c>
      <c r="G9283" s="53"/>
    </row>
    <row r="9284">
      <c r="A9284" s="49">
        <v>44791.59987451389</v>
      </c>
      <c r="B9284" s="50">
        <v>44791.7248430324</v>
      </c>
      <c r="C9284" s="51">
        <v>1.004</v>
      </c>
      <c r="D9284" s="51">
        <v>67.0</v>
      </c>
      <c r="E9284" s="52" t="s">
        <v>25</v>
      </c>
      <c r="F9284" s="52" t="s">
        <v>26</v>
      </c>
      <c r="G9284" s="53"/>
    </row>
    <row r="9285">
      <c r="A9285" s="49">
        <v>44791.610308738425</v>
      </c>
      <c r="B9285" s="50">
        <v>44791.7352763194</v>
      </c>
      <c r="C9285" s="51">
        <v>1.003</v>
      </c>
      <c r="D9285" s="51">
        <v>67.0</v>
      </c>
      <c r="E9285" s="52" t="s">
        <v>25</v>
      </c>
      <c r="F9285" s="52" t="s">
        <v>26</v>
      </c>
      <c r="G9285" s="53"/>
    </row>
    <row r="9286">
      <c r="A9286" s="49">
        <v>44791.62072655093</v>
      </c>
      <c r="B9286" s="50">
        <v>44791.7456964814</v>
      </c>
      <c r="C9286" s="51">
        <v>1.004</v>
      </c>
      <c r="D9286" s="51">
        <v>67.0</v>
      </c>
      <c r="E9286" s="52" t="s">
        <v>25</v>
      </c>
      <c r="F9286" s="52" t="s">
        <v>26</v>
      </c>
      <c r="G9286" s="53"/>
    </row>
    <row r="9287">
      <c r="A9287" s="49">
        <v>44791.63114450232</v>
      </c>
      <c r="B9287" s="50">
        <v>44791.7561168634</v>
      </c>
      <c r="C9287" s="51">
        <v>1.004</v>
      </c>
      <c r="D9287" s="51">
        <v>67.0</v>
      </c>
      <c r="E9287" s="52" t="s">
        <v>25</v>
      </c>
      <c r="F9287" s="52" t="s">
        <v>26</v>
      </c>
      <c r="G9287" s="53"/>
    </row>
    <row r="9288">
      <c r="A9288" s="49">
        <v>44791.6415671412</v>
      </c>
      <c r="B9288" s="50">
        <v>44791.7665388078</v>
      </c>
      <c r="C9288" s="51">
        <v>1.004</v>
      </c>
      <c r="D9288" s="51">
        <v>67.0</v>
      </c>
      <c r="E9288" s="52" t="s">
        <v>25</v>
      </c>
      <c r="F9288" s="52" t="s">
        <v>26</v>
      </c>
      <c r="G9288" s="53"/>
    </row>
    <row r="9289">
      <c r="A9289" s="49">
        <v>44791.65201851852</v>
      </c>
      <c r="B9289" s="50">
        <v>44791.7769609722</v>
      </c>
      <c r="C9289" s="51">
        <v>1.004</v>
      </c>
      <c r="D9289" s="51">
        <v>67.0</v>
      </c>
      <c r="E9289" s="52" t="s">
        <v>25</v>
      </c>
      <c r="F9289" s="52" t="s">
        <v>26</v>
      </c>
      <c r="G9289" s="53"/>
    </row>
    <row r="9290">
      <c r="A9290" s="49">
        <v>44791.66242826389</v>
      </c>
      <c r="B9290" s="50">
        <v>44791.7873826736</v>
      </c>
      <c r="C9290" s="51">
        <v>1.003</v>
      </c>
      <c r="D9290" s="51">
        <v>67.0</v>
      </c>
      <c r="E9290" s="52" t="s">
        <v>25</v>
      </c>
      <c r="F9290" s="52" t="s">
        <v>26</v>
      </c>
      <c r="G9290" s="53"/>
    </row>
    <row r="9291">
      <c r="A9291" s="49">
        <v>44791.672839039355</v>
      </c>
      <c r="B9291" s="50">
        <v>44791.7978039467</v>
      </c>
      <c r="C9291" s="51">
        <v>1.004</v>
      </c>
      <c r="D9291" s="51">
        <v>67.0</v>
      </c>
      <c r="E9291" s="52" t="s">
        <v>25</v>
      </c>
      <c r="F9291" s="52" t="s">
        <v>26</v>
      </c>
      <c r="G9291" s="53"/>
    </row>
    <row r="9292">
      <c r="A9292" s="49">
        <v>44791.683255752316</v>
      </c>
      <c r="B9292" s="50">
        <v>44791.8082256365</v>
      </c>
      <c r="C9292" s="51">
        <v>1.004</v>
      </c>
      <c r="D9292" s="51">
        <v>67.0</v>
      </c>
      <c r="E9292" s="52" t="s">
        <v>25</v>
      </c>
      <c r="F9292" s="52" t="s">
        <v>26</v>
      </c>
      <c r="G9292" s="53"/>
    </row>
    <row r="9293">
      <c r="A9293" s="49">
        <v>44791.69367256944</v>
      </c>
      <c r="B9293" s="50">
        <v>44791.8186473726</v>
      </c>
      <c r="C9293" s="51">
        <v>1.004</v>
      </c>
      <c r="D9293" s="51">
        <v>67.0</v>
      </c>
      <c r="E9293" s="52" t="s">
        <v>25</v>
      </c>
      <c r="F9293" s="52" t="s">
        <v>26</v>
      </c>
      <c r="G9293" s="53"/>
    </row>
    <row r="9294">
      <c r="A9294" s="49">
        <v>44791.70410853009</v>
      </c>
      <c r="B9294" s="50">
        <v>44791.8290699884</v>
      </c>
      <c r="C9294" s="51">
        <v>1.004</v>
      </c>
      <c r="D9294" s="51">
        <v>67.0</v>
      </c>
      <c r="E9294" s="52" t="s">
        <v>25</v>
      </c>
      <c r="F9294" s="52" t="s">
        <v>26</v>
      </c>
      <c r="G9294" s="53"/>
    </row>
    <row r="9295">
      <c r="A9295" s="49">
        <v>44791.714514629624</v>
      </c>
      <c r="B9295" s="50">
        <v>44791.8394917592</v>
      </c>
      <c r="C9295" s="51">
        <v>1.004</v>
      </c>
      <c r="D9295" s="51">
        <v>67.0</v>
      </c>
      <c r="E9295" s="52" t="s">
        <v>25</v>
      </c>
      <c r="F9295" s="52" t="s">
        <v>26</v>
      </c>
      <c r="G9295" s="53"/>
    </row>
    <row r="9296">
      <c r="A9296" s="49">
        <v>44791.724954108795</v>
      </c>
      <c r="B9296" s="50">
        <v>44791.8499238773</v>
      </c>
      <c r="C9296" s="51">
        <v>1.003</v>
      </c>
      <c r="D9296" s="51">
        <v>67.0</v>
      </c>
      <c r="E9296" s="52" t="s">
        <v>25</v>
      </c>
      <c r="F9296" s="52" t="s">
        <v>26</v>
      </c>
      <c r="G9296" s="53"/>
    </row>
    <row r="9297">
      <c r="A9297" s="49">
        <v>44791.73587209491</v>
      </c>
      <c r="B9297" s="50">
        <v>44791.8603564583</v>
      </c>
      <c r="C9297" s="51">
        <v>1.004</v>
      </c>
      <c r="D9297" s="51">
        <v>67.0</v>
      </c>
      <c r="E9297" s="52" t="s">
        <v>25</v>
      </c>
      <c r="F9297" s="52" t="s">
        <v>26</v>
      </c>
      <c r="G9297" s="53"/>
    </row>
    <row r="9298">
      <c r="A9298" s="49">
        <v>44791.74580175926</v>
      </c>
      <c r="B9298" s="50">
        <v>44791.8707771064</v>
      </c>
      <c r="C9298" s="51">
        <v>1.004</v>
      </c>
      <c r="D9298" s="51">
        <v>67.0</v>
      </c>
      <c r="E9298" s="52" t="s">
        <v>25</v>
      </c>
      <c r="F9298" s="52" t="s">
        <v>26</v>
      </c>
      <c r="G9298" s="53"/>
    </row>
    <row r="9299">
      <c r="A9299" s="49">
        <v>44791.75677561342</v>
      </c>
      <c r="B9299" s="50">
        <v>44791.8812094097</v>
      </c>
      <c r="C9299" s="51">
        <v>1.003</v>
      </c>
      <c r="D9299" s="51">
        <v>67.0</v>
      </c>
      <c r="E9299" s="52" t="s">
        <v>25</v>
      </c>
      <c r="F9299" s="52" t="s">
        <v>26</v>
      </c>
      <c r="G9299" s="53"/>
    </row>
    <row r="9300">
      <c r="A9300" s="49">
        <v>44791.76666146991</v>
      </c>
      <c r="B9300" s="50">
        <v>44791.8916304166</v>
      </c>
      <c r="C9300" s="51">
        <v>1.004</v>
      </c>
      <c r="D9300" s="51">
        <v>67.0</v>
      </c>
      <c r="E9300" s="52" t="s">
        <v>25</v>
      </c>
      <c r="F9300" s="52" t="s">
        <v>26</v>
      </c>
      <c r="G9300" s="53"/>
    </row>
    <row r="9301">
      <c r="A9301" s="49">
        <v>44791.77709695602</v>
      </c>
      <c r="B9301" s="50">
        <v>44791.9020528472</v>
      </c>
      <c r="C9301" s="51">
        <v>1.004</v>
      </c>
      <c r="D9301" s="51">
        <v>67.0</v>
      </c>
      <c r="E9301" s="52" t="s">
        <v>25</v>
      </c>
      <c r="F9301" s="52" t="s">
        <v>26</v>
      </c>
      <c r="G9301" s="53"/>
    </row>
    <row r="9302">
      <c r="A9302" s="49">
        <v>44791.78754502315</v>
      </c>
      <c r="B9302" s="50">
        <v>44791.9124733333</v>
      </c>
      <c r="C9302" s="51">
        <v>1.004</v>
      </c>
      <c r="D9302" s="51">
        <v>67.0</v>
      </c>
      <c r="E9302" s="52" t="s">
        <v>25</v>
      </c>
      <c r="F9302" s="52" t="s">
        <v>26</v>
      </c>
      <c r="G9302" s="53"/>
    </row>
    <row r="9303">
      <c r="A9303" s="49">
        <v>44791.797975636575</v>
      </c>
      <c r="B9303" s="50">
        <v>44791.9228945254</v>
      </c>
      <c r="C9303" s="51">
        <v>1.004</v>
      </c>
      <c r="D9303" s="51">
        <v>67.0</v>
      </c>
      <c r="E9303" s="52" t="s">
        <v>25</v>
      </c>
      <c r="F9303" s="52" t="s">
        <v>26</v>
      </c>
      <c r="G9303" s="53"/>
    </row>
    <row r="9304">
      <c r="A9304" s="49">
        <v>44791.80907074074</v>
      </c>
      <c r="B9304" s="50">
        <v>44791.9333291435</v>
      </c>
      <c r="C9304" s="51">
        <v>1.004</v>
      </c>
      <c r="D9304" s="51">
        <v>67.0</v>
      </c>
      <c r="E9304" s="52" t="s">
        <v>25</v>
      </c>
      <c r="F9304" s="52" t="s">
        <v>26</v>
      </c>
      <c r="G9304" s="53"/>
    </row>
    <row r="9305">
      <c r="A9305" s="49">
        <v>44791.81901224537</v>
      </c>
      <c r="B9305" s="50">
        <v>44791.9437501157</v>
      </c>
      <c r="C9305" s="51">
        <v>1.004</v>
      </c>
      <c r="D9305" s="51">
        <v>67.0</v>
      </c>
      <c r="E9305" s="52" t="s">
        <v>25</v>
      </c>
      <c r="F9305" s="52" t="s">
        <v>26</v>
      </c>
      <c r="G9305" s="53"/>
    </row>
    <row r="9306">
      <c r="A9306" s="49">
        <v>44791.82957986111</v>
      </c>
      <c r="B9306" s="50">
        <v>44791.9541704861</v>
      </c>
      <c r="C9306" s="51">
        <v>1.004</v>
      </c>
      <c r="D9306" s="51">
        <v>67.0</v>
      </c>
      <c r="E9306" s="52" t="s">
        <v>25</v>
      </c>
      <c r="F9306" s="52" t="s">
        <v>26</v>
      </c>
      <c r="G9306" s="53"/>
    </row>
    <row r="9307">
      <c r="A9307" s="49">
        <v>44791.83964225695</v>
      </c>
      <c r="B9307" s="50">
        <v>44791.9646137037</v>
      </c>
      <c r="C9307" s="51">
        <v>1.004</v>
      </c>
      <c r="D9307" s="51">
        <v>67.0</v>
      </c>
      <c r="E9307" s="52" t="s">
        <v>25</v>
      </c>
      <c r="F9307" s="52" t="s">
        <v>26</v>
      </c>
      <c r="G9307" s="53"/>
    </row>
    <row r="9308">
      <c r="A9308" s="49">
        <v>44791.850059131946</v>
      </c>
      <c r="B9308" s="50">
        <v>44791.9750360648</v>
      </c>
      <c r="C9308" s="51">
        <v>1.004</v>
      </c>
      <c r="D9308" s="51">
        <v>67.0</v>
      </c>
      <c r="E9308" s="52" t="s">
        <v>25</v>
      </c>
      <c r="F9308" s="52" t="s">
        <v>26</v>
      </c>
      <c r="G9308" s="53"/>
    </row>
    <row r="9309">
      <c r="A9309" s="49">
        <v>44791.860477002316</v>
      </c>
      <c r="B9309" s="50">
        <v>44791.9854551273</v>
      </c>
      <c r="C9309" s="51">
        <v>1.004</v>
      </c>
      <c r="D9309" s="51">
        <v>67.0</v>
      </c>
      <c r="E9309" s="52" t="s">
        <v>25</v>
      </c>
      <c r="F9309" s="52" t="s">
        <v>26</v>
      </c>
      <c r="G9309" s="53"/>
    </row>
    <row r="9310">
      <c r="A9310" s="49">
        <v>44791.87090105324</v>
      </c>
      <c r="B9310" s="50">
        <v>44791.9958751157</v>
      </c>
      <c r="C9310" s="51">
        <v>1.004</v>
      </c>
      <c r="D9310" s="51">
        <v>67.0</v>
      </c>
      <c r="E9310" s="52" t="s">
        <v>25</v>
      </c>
      <c r="F9310" s="52" t="s">
        <v>26</v>
      </c>
      <c r="G9310" s="53"/>
    </row>
    <row r="9311">
      <c r="A9311" s="49">
        <v>44791.88133204861</v>
      </c>
      <c r="B9311" s="50">
        <v>44792.0062974768</v>
      </c>
      <c r="C9311" s="51">
        <v>1.004</v>
      </c>
      <c r="D9311" s="51">
        <v>67.0</v>
      </c>
      <c r="E9311" s="52" t="s">
        <v>25</v>
      </c>
      <c r="F9311" s="52" t="s">
        <v>26</v>
      </c>
      <c r="G9311" s="53"/>
    </row>
    <row r="9312">
      <c r="A9312" s="49">
        <v>44791.891757523146</v>
      </c>
      <c r="B9312" s="50">
        <v>44792.0167183912</v>
      </c>
      <c r="C9312" s="51">
        <v>1.004</v>
      </c>
      <c r="D9312" s="51">
        <v>67.0</v>
      </c>
      <c r="E9312" s="52" t="s">
        <v>25</v>
      </c>
      <c r="F9312" s="52" t="s">
        <v>26</v>
      </c>
      <c r="G9312" s="53"/>
    </row>
    <row r="9313">
      <c r="A9313" s="49">
        <v>44791.9021759375</v>
      </c>
      <c r="B9313" s="50">
        <v>44792.027139375</v>
      </c>
      <c r="C9313" s="51">
        <v>1.004</v>
      </c>
      <c r="D9313" s="51">
        <v>67.0</v>
      </c>
      <c r="E9313" s="52" t="s">
        <v>25</v>
      </c>
      <c r="F9313" s="52" t="s">
        <v>26</v>
      </c>
      <c r="G9313" s="53"/>
    </row>
    <row r="9314">
      <c r="A9314" s="49">
        <v>44791.91259821759</v>
      </c>
      <c r="B9314" s="50">
        <v>44792.0375605092</v>
      </c>
      <c r="C9314" s="51">
        <v>1.004</v>
      </c>
      <c r="D9314" s="51">
        <v>67.0</v>
      </c>
      <c r="E9314" s="52" t="s">
        <v>25</v>
      </c>
      <c r="F9314" s="52" t="s">
        <v>26</v>
      </c>
      <c r="G9314" s="53"/>
    </row>
    <row r="9315">
      <c r="A9315" s="49">
        <v>44791.92302702546</v>
      </c>
      <c r="B9315" s="50">
        <v>44792.0479941435</v>
      </c>
      <c r="C9315" s="51">
        <v>1.004</v>
      </c>
      <c r="D9315" s="51">
        <v>67.0</v>
      </c>
      <c r="E9315" s="52" t="s">
        <v>25</v>
      </c>
      <c r="F9315" s="52" t="s">
        <v>26</v>
      </c>
      <c r="G9315" s="53"/>
    </row>
    <row r="9316">
      <c r="A9316" s="49">
        <v>44791.933457210645</v>
      </c>
      <c r="B9316" s="50">
        <v>44792.0584154398</v>
      </c>
      <c r="C9316" s="51">
        <v>1.004</v>
      </c>
      <c r="D9316" s="51">
        <v>67.0</v>
      </c>
      <c r="E9316" s="52" t="s">
        <v>25</v>
      </c>
      <c r="F9316" s="52" t="s">
        <v>26</v>
      </c>
      <c r="G9316" s="53"/>
    </row>
    <row r="9317">
      <c r="A9317" s="49">
        <v>44791.943881597224</v>
      </c>
      <c r="B9317" s="50">
        <v>44792.0688389583</v>
      </c>
      <c r="C9317" s="51">
        <v>1.003</v>
      </c>
      <c r="D9317" s="51">
        <v>67.0</v>
      </c>
      <c r="E9317" s="52" t="s">
        <v>25</v>
      </c>
      <c r="F9317" s="52" t="s">
        <v>26</v>
      </c>
      <c r="G9317" s="53"/>
    </row>
    <row r="9318">
      <c r="A9318" s="49">
        <v>44791.95428449074</v>
      </c>
      <c r="B9318" s="50">
        <v>44792.0792591319</v>
      </c>
      <c r="C9318" s="51">
        <v>1.004</v>
      </c>
      <c r="D9318" s="51">
        <v>67.0</v>
      </c>
      <c r="E9318" s="52" t="s">
        <v>25</v>
      </c>
      <c r="F9318" s="52" t="s">
        <v>26</v>
      </c>
      <c r="G9318" s="53"/>
    </row>
    <row r="9319">
      <c r="A9319" s="49">
        <v>44791.96474070602</v>
      </c>
      <c r="B9319" s="50">
        <v>44792.0897047685</v>
      </c>
      <c r="C9319" s="51">
        <v>1.004</v>
      </c>
      <c r="D9319" s="51">
        <v>67.0</v>
      </c>
      <c r="E9319" s="52" t="s">
        <v>25</v>
      </c>
      <c r="F9319" s="52" t="s">
        <v>26</v>
      </c>
      <c r="G9319" s="53"/>
    </row>
    <row r="9320">
      <c r="A9320" s="49">
        <v>44791.97515908565</v>
      </c>
      <c r="B9320" s="50">
        <v>44792.1001258333</v>
      </c>
      <c r="C9320" s="51">
        <v>1.004</v>
      </c>
      <c r="D9320" s="51">
        <v>67.0</v>
      </c>
      <c r="E9320" s="52" t="s">
        <v>25</v>
      </c>
      <c r="F9320" s="52" t="s">
        <v>26</v>
      </c>
      <c r="G9320" s="53"/>
    </row>
    <row r="9321">
      <c r="A9321" s="49">
        <v>44791.98558163195</v>
      </c>
      <c r="B9321" s="50">
        <v>44792.1105448726</v>
      </c>
      <c r="C9321" s="51">
        <v>1.003</v>
      </c>
      <c r="D9321" s="51">
        <v>67.0</v>
      </c>
      <c r="E9321" s="52" t="s">
        <v>25</v>
      </c>
      <c r="F9321" s="52" t="s">
        <v>26</v>
      </c>
      <c r="G9321" s="53"/>
    </row>
    <row r="9322">
      <c r="A9322" s="49">
        <v>44791.996011678246</v>
      </c>
      <c r="B9322" s="50">
        <v>44792.1209766435</v>
      </c>
      <c r="C9322" s="51">
        <v>1.004</v>
      </c>
      <c r="D9322" s="51">
        <v>67.0</v>
      </c>
      <c r="E9322" s="52" t="s">
        <v>25</v>
      </c>
      <c r="F9322" s="52" t="s">
        <v>26</v>
      </c>
      <c r="G9322" s="53"/>
    </row>
    <row r="9323">
      <c r="A9323" s="49">
        <v>44792.00642543982</v>
      </c>
      <c r="B9323" s="50">
        <v>44792.1313966203</v>
      </c>
      <c r="C9323" s="51">
        <v>1.004</v>
      </c>
      <c r="D9323" s="51">
        <v>68.0</v>
      </c>
      <c r="E9323" s="52" t="s">
        <v>25</v>
      </c>
      <c r="F9323" s="52" t="s">
        <v>26</v>
      </c>
      <c r="G9323" s="53"/>
    </row>
    <row r="9324">
      <c r="A9324" s="49">
        <v>44792.01718912037</v>
      </c>
      <c r="B9324" s="50">
        <v>44792.1418285185</v>
      </c>
      <c r="C9324" s="51">
        <v>1.004</v>
      </c>
      <c r="D9324" s="51">
        <v>68.0</v>
      </c>
      <c r="E9324" s="52" t="s">
        <v>25</v>
      </c>
      <c r="F9324" s="52" t="s">
        <v>26</v>
      </c>
      <c r="G9324" s="53"/>
    </row>
    <row r="9325">
      <c r="A9325" s="49">
        <v>44792.02728541667</v>
      </c>
      <c r="B9325" s="50">
        <v>44792.1522510995</v>
      </c>
      <c r="C9325" s="51">
        <v>1.004</v>
      </c>
      <c r="D9325" s="51">
        <v>68.0</v>
      </c>
      <c r="E9325" s="52" t="s">
        <v>25</v>
      </c>
      <c r="F9325" s="52" t="s">
        <v>26</v>
      </c>
      <c r="G9325" s="53"/>
    </row>
    <row r="9326">
      <c r="A9326" s="49">
        <v>44792.03770744213</v>
      </c>
      <c r="B9326" s="50">
        <v>44792.1626713888</v>
      </c>
      <c r="C9326" s="51">
        <v>1.004</v>
      </c>
      <c r="D9326" s="51">
        <v>68.0</v>
      </c>
      <c r="E9326" s="52" t="s">
        <v>25</v>
      </c>
      <c r="F9326" s="52" t="s">
        <v>26</v>
      </c>
      <c r="G9326" s="53"/>
    </row>
    <row r="9327">
      <c r="A9327" s="49">
        <v>44792.04812881944</v>
      </c>
      <c r="B9327" s="50">
        <v>44792.1730926157</v>
      </c>
      <c r="C9327" s="51">
        <v>1.003</v>
      </c>
      <c r="D9327" s="51">
        <v>68.0</v>
      </c>
      <c r="E9327" s="52" t="s">
        <v>25</v>
      </c>
      <c r="F9327" s="52" t="s">
        <v>26</v>
      </c>
      <c r="G9327" s="53"/>
    </row>
    <row r="9328">
      <c r="A9328" s="49">
        <v>44792.068974016205</v>
      </c>
      <c r="B9328" s="50">
        <v>44792.1939353935</v>
      </c>
      <c r="C9328" s="51">
        <v>1.003</v>
      </c>
      <c r="D9328" s="51">
        <v>68.0</v>
      </c>
      <c r="E9328" s="52" t="s">
        <v>25</v>
      </c>
      <c r="F9328" s="52" t="s">
        <v>26</v>
      </c>
      <c r="G9328" s="53"/>
    </row>
    <row r="9329">
      <c r="A9329" s="49">
        <v>44792.0793815162</v>
      </c>
      <c r="B9329" s="50">
        <v>44792.2043568402</v>
      </c>
      <c r="C9329" s="51">
        <v>1.004</v>
      </c>
      <c r="D9329" s="51">
        <v>68.0</v>
      </c>
      <c r="E9329" s="52" t="s">
        <v>25</v>
      </c>
      <c r="F9329" s="52" t="s">
        <v>26</v>
      </c>
      <c r="G9329" s="53"/>
    </row>
    <row r="9330">
      <c r="A9330" s="49">
        <v>44792.08982247685</v>
      </c>
      <c r="B9330" s="50">
        <v>44792.214778125</v>
      </c>
      <c r="C9330" s="51">
        <v>1.003</v>
      </c>
      <c r="D9330" s="51">
        <v>68.0</v>
      </c>
      <c r="E9330" s="52" t="s">
        <v>25</v>
      </c>
      <c r="F9330" s="52" t="s">
        <v>26</v>
      </c>
      <c r="G9330" s="53"/>
    </row>
    <row r="9331">
      <c r="A9331" s="49">
        <v>44792.10023427084</v>
      </c>
      <c r="B9331" s="50">
        <v>44792.2251996759</v>
      </c>
      <c r="C9331" s="51">
        <v>1.004</v>
      </c>
      <c r="D9331" s="51">
        <v>68.0</v>
      </c>
      <c r="E9331" s="52" t="s">
        <v>25</v>
      </c>
      <c r="F9331" s="52" t="s">
        <v>26</v>
      </c>
      <c r="G9331" s="53"/>
    </row>
    <row r="9332">
      <c r="A9332" s="49">
        <v>44792.110650787035</v>
      </c>
      <c r="B9332" s="50">
        <v>44792.2356182291</v>
      </c>
      <c r="C9332" s="51">
        <v>1.004</v>
      </c>
      <c r="D9332" s="51">
        <v>68.0</v>
      </c>
      <c r="E9332" s="52" t="s">
        <v>25</v>
      </c>
      <c r="F9332" s="52" t="s">
        <v>26</v>
      </c>
      <c r="G9332" s="53"/>
    </row>
    <row r="9333">
      <c r="A9333" s="49">
        <v>44792.12108672454</v>
      </c>
      <c r="B9333" s="50">
        <v>44792.2460421643</v>
      </c>
      <c r="C9333" s="51">
        <v>1.004</v>
      </c>
      <c r="D9333" s="51">
        <v>68.0</v>
      </c>
      <c r="E9333" s="52" t="s">
        <v>25</v>
      </c>
      <c r="F9333" s="52" t="s">
        <v>26</v>
      </c>
      <c r="G9333" s="53"/>
    </row>
    <row r="9334">
      <c r="A9334" s="49">
        <v>44792.13153211806</v>
      </c>
      <c r="B9334" s="50">
        <v>44792.2564619791</v>
      </c>
      <c r="C9334" s="51">
        <v>1.004</v>
      </c>
      <c r="D9334" s="51">
        <v>68.0</v>
      </c>
      <c r="E9334" s="52" t="s">
        <v>25</v>
      </c>
      <c r="F9334" s="52" t="s">
        <v>26</v>
      </c>
      <c r="G9334" s="53"/>
    </row>
    <row r="9335">
      <c r="A9335" s="49">
        <v>44792.14191693287</v>
      </c>
      <c r="B9335" s="50">
        <v>44792.2668820486</v>
      </c>
      <c r="C9335" s="51">
        <v>1.003</v>
      </c>
      <c r="D9335" s="51">
        <v>68.0</v>
      </c>
      <c r="E9335" s="52" t="s">
        <v>25</v>
      </c>
      <c r="F9335" s="52" t="s">
        <v>26</v>
      </c>
      <c r="G9335" s="53"/>
    </row>
    <row r="9336">
      <c r="A9336" s="49">
        <v>44792.152334363425</v>
      </c>
      <c r="B9336" s="50">
        <v>44792.2773035185</v>
      </c>
      <c r="C9336" s="51">
        <v>1.003</v>
      </c>
      <c r="D9336" s="51">
        <v>68.0</v>
      </c>
      <c r="E9336" s="52" t="s">
        <v>25</v>
      </c>
      <c r="F9336" s="52" t="s">
        <v>26</v>
      </c>
      <c r="G9336" s="53"/>
    </row>
    <row r="9337">
      <c r="A9337" s="49">
        <v>44792.16276898148</v>
      </c>
      <c r="B9337" s="50">
        <v>44792.2877368171</v>
      </c>
      <c r="C9337" s="51">
        <v>1.004</v>
      </c>
      <c r="D9337" s="51">
        <v>68.0</v>
      </c>
      <c r="E9337" s="52" t="s">
        <v>25</v>
      </c>
      <c r="F9337" s="52" t="s">
        <v>26</v>
      </c>
      <c r="G9337" s="53"/>
    </row>
    <row r="9338">
      <c r="A9338" s="49">
        <v>44792.17321908565</v>
      </c>
      <c r="B9338" s="50">
        <v>44792.2981820601</v>
      </c>
      <c r="C9338" s="51">
        <v>1.004</v>
      </c>
      <c r="D9338" s="51">
        <v>68.0</v>
      </c>
      <c r="E9338" s="52" t="s">
        <v>25</v>
      </c>
      <c r="F9338" s="52" t="s">
        <v>26</v>
      </c>
      <c r="G9338" s="53"/>
    </row>
    <row r="9339">
      <c r="A9339" s="49">
        <v>44792.18363748843</v>
      </c>
      <c r="B9339" s="50">
        <v>44792.3086027314</v>
      </c>
      <c r="C9339" s="51">
        <v>1.004</v>
      </c>
      <c r="D9339" s="51">
        <v>68.0</v>
      </c>
      <c r="E9339" s="52" t="s">
        <v>25</v>
      </c>
      <c r="F9339" s="52" t="s">
        <v>26</v>
      </c>
      <c r="G9339" s="53"/>
    </row>
    <row r="9340">
      <c r="A9340" s="49">
        <v>44792.19405708333</v>
      </c>
      <c r="B9340" s="50">
        <v>44792.3190215046</v>
      </c>
      <c r="C9340" s="51">
        <v>1.003</v>
      </c>
      <c r="D9340" s="51">
        <v>68.0</v>
      </c>
      <c r="E9340" s="52" t="s">
        <v>25</v>
      </c>
      <c r="F9340" s="52" t="s">
        <v>26</v>
      </c>
      <c r="G9340" s="53"/>
    </row>
    <row r="9341">
      <c r="A9341" s="49">
        <v>44792.2044765625</v>
      </c>
      <c r="B9341" s="50">
        <v>44792.3294415856</v>
      </c>
      <c r="C9341" s="51">
        <v>1.004</v>
      </c>
      <c r="D9341" s="51">
        <v>68.0</v>
      </c>
      <c r="E9341" s="52" t="s">
        <v>25</v>
      </c>
      <c r="F9341" s="52" t="s">
        <v>26</v>
      </c>
      <c r="G9341" s="53"/>
    </row>
    <row r="9342">
      <c r="A9342" s="49">
        <v>44792.214897060185</v>
      </c>
      <c r="B9342" s="50">
        <v>44792.3398623958</v>
      </c>
      <c r="C9342" s="51">
        <v>1.003</v>
      </c>
      <c r="D9342" s="51">
        <v>68.0</v>
      </c>
      <c r="E9342" s="52" t="s">
        <v>25</v>
      </c>
      <c r="F9342" s="52" t="s">
        <v>26</v>
      </c>
      <c r="G9342" s="53"/>
    </row>
    <row r="9343">
      <c r="A9343" s="49">
        <v>44792.225332789356</v>
      </c>
      <c r="B9343" s="50">
        <v>44792.3502944213</v>
      </c>
      <c r="C9343" s="51">
        <v>1.003</v>
      </c>
      <c r="D9343" s="51">
        <v>68.0</v>
      </c>
      <c r="E9343" s="52" t="s">
        <v>25</v>
      </c>
      <c r="F9343" s="52" t="s">
        <v>26</v>
      </c>
      <c r="G9343" s="53"/>
    </row>
    <row r="9344">
      <c r="A9344" s="49">
        <v>44792.23576376158</v>
      </c>
      <c r="B9344" s="50">
        <v>44792.3607279513</v>
      </c>
      <c r="C9344" s="51">
        <v>1.004</v>
      </c>
      <c r="D9344" s="51">
        <v>68.0</v>
      </c>
      <c r="E9344" s="52" t="s">
        <v>25</v>
      </c>
      <c r="F9344" s="52" t="s">
        <v>26</v>
      </c>
      <c r="G9344" s="53"/>
    </row>
    <row r="9345">
      <c r="A9345" s="49">
        <v>44792.246174050924</v>
      </c>
      <c r="B9345" s="50">
        <v>44792.3711486921</v>
      </c>
      <c r="C9345" s="51">
        <v>1.004</v>
      </c>
      <c r="D9345" s="51">
        <v>68.0</v>
      </c>
      <c r="E9345" s="52" t="s">
        <v>25</v>
      </c>
      <c r="F9345" s="52" t="s">
        <v>26</v>
      </c>
      <c r="G9345" s="53"/>
    </row>
    <row r="9346">
      <c r="A9346" s="49">
        <v>44792.25659820602</v>
      </c>
      <c r="B9346" s="50">
        <v>44792.3815699884</v>
      </c>
      <c r="C9346" s="51">
        <v>1.004</v>
      </c>
      <c r="D9346" s="51">
        <v>68.0</v>
      </c>
      <c r="E9346" s="52" t="s">
        <v>25</v>
      </c>
      <c r="F9346" s="52" t="s">
        <v>26</v>
      </c>
      <c r="G9346" s="53"/>
    </row>
    <row r="9347">
      <c r="A9347" s="49">
        <v>44792.26703295139</v>
      </c>
      <c r="B9347" s="50">
        <v>44792.391991875</v>
      </c>
      <c r="C9347" s="51">
        <v>1.004</v>
      </c>
      <c r="D9347" s="51">
        <v>68.0</v>
      </c>
      <c r="E9347" s="52" t="s">
        <v>25</v>
      </c>
      <c r="F9347" s="52" t="s">
        <v>26</v>
      </c>
      <c r="G9347" s="53"/>
    </row>
    <row r="9348">
      <c r="A9348" s="49">
        <v>44792.27744363426</v>
      </c>
      <c r="B9348" s="50">
        <v>44792.4024141666</v>
      </c>
      <c r="C9348" s="51">
        <v>1.003</v>
      </c>
      <c r="D9348" s="51">
        <v>68.0</v>
      </c>
      <c r="E9348" s="52" t="s">
        <v>25</v>
      </c>
      <c r="F9348" s="52" t="s">
        <v>26</v>
      </c>
      <c r="G9348" s="53"/>
    </row>
    <row r="9349">
      <c r="A9349" s="49">
        <v>44792.28785766204</v>
      </c>
      <c r="B9349" s="50">
        <v>44792.4128352893</v>
      </c>
      <c r="C9349" s="51">
        <v>1.004</v>
      </c>
      <c r="D9349" s="51">
        <v>68.0</v>
      </c>
      <c r="E9349" s="52" t="s">
        <v>25</v>
      </c>
      <c r="F9349" s="52" t="s">
        <v>26</v>
      </c>
      <c r="G9349" s="53"/>
    </row>
    <row r="9350">
      <c r="A9350" s="49">
        <v>44792.29829016204</v>
      </c>
      <c r="B9350" s="50">
        <v>44792.4232560763</v>
      </c>
      <c r="C9350" s="51">
        <v>1.004</v>
      </c>
      <c r="D9350" s="51">
        <v>68.0</v>
      </c>
      <c r="E9350" s="52" t="s">
        <v>25</v>
      </c>
      <c r="F9350" s="52" t="s">
        <v>26</v>
      </c>
      <c r="G9350" s="53"/>
    </row>
    <row r="9351">
      <c r="A9351" s="49">
        <v>44792.30871144676</v>
      </c>
      <c r="B9351" s="50">
        <v>44792.4336768287</v>
      </c>
      <c r="C9351" s="51">
        <v>1.004</v>
      </c>
      <c r="D9351" s="51">
        <v>68.0</v>
      </c>
      <c r="E9351" s="52" t="s">
        <v>25</v>
      </c>
      <c r="F9351" s="52" t="s">
        <v>26</v>
      </c>
      <c r="G9351" s="53"/>
    </row>
    <row r="9352">
      <c r="A9352" s="49">
        <v>44792.31928631944</v>
      </c>
      <c r="B9352" s="50">
        <v>44792.4441106134</v>
      </c>
      <c r="C9352" s="51">
        <v>1.004</v>
      </c>
      <c r="D9352" s="51">
        <v>68.0</v>
      </c>
      <c r="E9352" s="52" t="s">
        <v>25</v>
      </c>
      <c r="F9352" s="52" t="s">
        <v>26</v>
      </c>
      <c r="G9352" s="53"/>
    </row>
    <row r="9353">
      <c r="A9353" s="49">
        <v>44792.32957811342</v>
      </c>
      <c r="B9353" s="50">
        <v>44792.4545437268</v>
      </c>
      <c r="C9353" s="51">
        <v>1.004</v>
      </c>
      <c r="D9353" s="51">
        <v>68.0</v>
      </c>
      <c r="E9353" s="52" t="s">
        <v>25</v>
      </c>
      <c r="F9353" s="52" t="s">
        <v>26</v>
      </c>
      <c r="G9353" s="53"/>
    </row>
    <row r="9354">
      <c r="A9354" s="49">
        <v>44792.340010115746</v>
      </c>
      <c r="B9354" s="50">
        <v>44792.4649741088</v>
      </c>
      <c r="C9354" s="51">
        <v>1.004</v>
      </c>
      <c r="D9354" s="51">
        <v>68.0</v>
      </c>
      <c r="E9354" s="52" t="s">
        <v>25</v>
      </c>
      <c r="F9354" s="52" t="s">
        <v>26</v>
      </c>
      <c r="G9354" s="53"/>
    </row>
    <row r="9355">
      <c r="A9355" s="49">
        <v>44792.35044113426</v>
      </c>
      <c r="B9355" s="50">
        <v>44792.4754072569</v>
      </c>
      <c r="C9355" s="51">
        <v>1.003</v>
      </c>
      <c r="D9355" s="51">
        <v>68.0</v>
      </c>
      <c r="E9355" s="52" t="s">
        <v>25</v>
      </c>
      <c r="F9355" s="52" t="s">
        <v>26</v>
      </c>
      <c r="G9355" s="53"/>
    </row>
    <row r="9356">
      <c r="A9356" s="49">
        <v>44792.36086158565</v>
      </c>
      <c r="B9356" s="50">
        <v>44792.4858282986</v>
      </c>
      <c r="C9356" s="51">
        <v>1.003</v>
      </c>
      <c r="D9356" s="51">
        <v>68.0</v>
      </c>
      <c r="E9356" s="52" t="s">
        <v>25</v>
      </c>
      <c r="F9356" s="52" t="s">
        <v>26</v>
      </c>
      <c r="G9356" s="53"/>
    </row>
    <row r="9357">
      <c r="A9357" s="49">
        <v>44792.371290069445</v>
      </c>
      <c r="B9357" s="50">
        <v>44792.496262662</v>
      </c>
      <c r="C9357" s="51">
        <v>1.004</v>
      </c>
      <c r="D9357" s="51">
        <v>68.0</v>
      </c>
      <c r="E9357" s="52" t="s">
        <v>25</v>
      </c>
      <c r="F9357" s="52" t="s">
        <v>26</v>
      </c>
      <c r="G9357" s="53"/>
    </row>
    <row r="9358">
      <c r="A9358" s="49">
        <v>44792.381717488424</v>
      </c>
      <c r="B9358" s="50">
        <v>44792.5066845486</v>
      </c>
      <c r="C9358" s="51">
        <v>1.004</v>
      </c>
      <c r="D9358" s="51">
        <v>68.0</v>
      </c>
      <c r="E9358" s="52" t="s">
        <v>25</v>
      </c>
      <c r="F9358" s="52" t="s">
        <v>26</v>
      </c>
      <c r="G9358" s="53"/>
    </row>
    <row r="9359">
      <c r="A9359" s="49">
        <v>44792.392147604165</v>
      </c>
      <c r="B9359" s="50">
        <v>44792.517116655</v>
      </c>
      <c r="C9359" s="51">
        <v>1.004</v>
      </c>
      <c r="D9359" s="51">
        <v>68.0</v>
      </c>
      <c r="E9359" s="52" t="s">
        <v>25</v>
      </c>
      <c r="F9359" s="52" t="s">
        <v>26</v>
      </c>
      <c r="G9359" s="53"/>
    </row>
    <row r="9360">
      <c r="A9360" s="49">
        <v>44792.40256988426</v>
      </c>
      <c r="B9360" s="50">
        <v>44792.5275369097</v>
      </c>
      <c r="C9360" s="51">
        <v>1.003</v>
      </c>
      <c r="D9360" s="51">
        <v>68.0</v>
      </c>
      <c r="E9360" s="52" t="s">
        <v>25</v>
      </c>
      <c r="F9360" s="52" t="s">
        <v>26</v>
      </c>
      <c r="G9360" s="53"/>
    </row>
    <row r="9361">
      <c r="A9361" s="49">
        <v>44792.41299003472</v>
      </c>
      <c r="B9361" s="50">
        <v>44792.5379605671</v>
      </c>
      <c r="C9361" s="51">
        <v>1.004</v>
      </c>
      <c r="D9361" s="51">
        <v>68.0</v>
      </c>
      <c r="E9361" s="52" t="s">
        <v>25</v>
      </c>
      <c r="F9361" s="52" t="s">
        <v>26</v>
      </c>
      <c r="G9361" s="53"/>
    </row>
    <row r="9362">
      <c r="A9362" s="49">
        <v>44792.42340636574</v>
      </c>
      <c r="B9362" s="50">
        <v>44792.5483827546</v>
      </c>
      <c r="C9362" s="51">
        <v>1.004</v>
      </c>
      <c r="D9362" s="51">
        <v>68.0</v>
      </c>
      <c r="E9362" s="52" t="s">
        <v>25</v>
      </c>
      <c r="F9362" s="52" t="s">
        <v>26</v>
      </c>
      <c r="G9362" s="53"/>
    </row>
    <row r="9363">
      <c r="A9363" s="49">
        <v>44792.4338346875</v>
      </c>
      <c r="B9363" s="50">
        <v>44792.5588061805</v>
      </c>
      <c r="C9363" s="51">
        <v>1.004</v>
      </c>
      <c r="D9363" s="51">
        <v>68.0</v>
      </c>
      <c r="E9363" s="52" t="s">
        <v>25</v>
      </c>
      <c r="F9363" s="52" t="s">
        <v>26</v>
      </c>
      <c r="G9363" s="53"/>
    </row>
    <row r="9364">
      <c r="A9364" s="49">
        <v>44792.44427017361</v>
      </c>
      <c r="B9364" s="50">
        <v>44792.5692390277</v>
      </c>
      <c r="C9364" s="51">
        <v>1.004</v>
      </c>
      <c r="D9364" s="51">
        <v>68.0</v>
      </c>
      <c r="E9364" s="52" t="s">
        <v>25</v>
      </c>
      <c r="F9364" s="52" t="s">
        <v>26</v>
      </c>
      <c r="G9364" s="53"/>
    </row>
    <row r="9365">
      <c r="A9365" s="49">
        <v>44792.45470469908</v>
      </c>
      <c r="B9365" s="50">
        <v>44792.5796846412</v>
      </c>
      <c r="C9365" s="51">
        <v>1.004</v>
      </c>
      <c r="D9365" s="51">
        <v>68.0</v>
      </c>
      <c r="E9365" s="52" t="s">
        <v>25</v>
      </c>
      <c r="F9365" s="52" t="s">
        <v>26</v>
      </c>
      <c r="G9365" s="53"/>
    </row>
    <row r="9366">
      <c r="A9366" s="49">
        <v>44792.46513719908</v>
      </c>
      <c r="B9366" s="50">
        <v>44792.5901167476</v>
      </c>
      <c r="C9366" s="51">
        <v>1.004</v>
      </c>
      <c r="D9366" s="51">
        <v>68.0</v>
      </c>
      <c r="E9366" s="52" t="s">
        <v>25</v>
      </c>
      <c r="F9366" s="52" t="s">
        <v>26</v>
      </c>
      <c r="G9366" s="53"/>
    </row>
    <row r="9367">
      <c r="A9367" s="49">
        <v>44792.47556905093</v>
      </c>
      <c r="B9367" s="50">
        <v>44792.6005376041</v>
      </c>
      <c r="C9367" s="51">
        <v>1.004</v>
      </c>
      <c r="D9367" s="51">
        <v>68.0</v>
      </c>
      <c r="E9367" s="52" t="s">
        <v>25</v>
      </c>
      <c r="F9367" s="52" t="s">
        <v>26</v>
      </c>
      <c r="G9367" s="53"/>
    </row>
    <row r="9368">
      <c r="A9368" s="49">
        <v>44792.4859941551</v>
      </c>
      <c r="B9368" s="50">
        <v>44792.6109595601</v>
      </c>
      <c r="C9368" s="51">
        <v>1.004</v>
      </c>
      <c r="D9368" s="51">
        <v>68.0</v>
      </c>
      <c r="E9368" s="52" t="s">
        <v>25</v>
      </c>
      <c r="F9368" s="52" t="s">
        <v>26</v>
      </c>
      <c r="G9368" s="53"/>
    </row>
    <row r="9369">
      <c r="A9369" s="49">
        <v>44792.496442407406</v>
      </c>
      <c r="B9369" s="50">
        <v>44792.6214162847</v>
      </c>
      <c r="C9369" s="51">
        <v>1.003</v>
      </c>
      <c r="D9369" s="51">
        <v>68.0</v>
      </c>
      <c r="E9369" s="52" t="s">
        <v>25</v>
      </c>
      <c r="F9369" s="52" t="s">
        <v>26</v>
      </c>
      <c r="G9369" s="53"/>
    </row>
    <row r="9370">
      <c r="A9370" s="49">
        <v>44792.5068594676</v>
      </c>
      <c r="B9370" s="50">
        <v>44792.6318374768</v>
      </c>
      <c r="C9370" s="51">
        <v>1.004</v>
      </c>
      <c r="D9370" s="51">
        <v>68.0</v>
      </c>
      <c r="E9370" s="52" t="s">
        <v>25</v>
      </c>
      <c r="F9370" s="52" t="s">
        <v>26</v>
      </c>
      <c r="G9370" s="53"/>
    </row>
    <row r="9371">
      <c r="A9371" s="49">
        <v>44792.51728550926</v>
      </c>
      <c r="B9371" s="50">
        <v>44792.6422571296</v>
      </c>
      <c r="C9371" s="51">
        <v>1.004</v>
      </c>
      <c r="D9371" s="51">
        <v>68.0</v>
      </c>
      <c r="E9371" s="52" t="s">
        <v>25</v>
      </c>
      <c r="F9371" s="52" t="s">
        <v>26</v>
      </c>
      <c r="G9371" s="53"/>
    </row>
    <row r="9372">
      <c r="A9372" s="49">
        <v>44792.52772052083</v>
      </c>
      <c r="B9372" s="50">
        <v>44792.6526909143</v>
      </c>
      <c r="C9372" s="51">
        <v>1.004</v>
      </c>
      <c r="D9372" s="51">
        <v>68.0</v>
      </c>
      <c r="E9372" s="52" t="s">
        <v>25</v>
      </c>
      <c r="F9372" s="52" t="s">
        <v>26</v>
      </c>
      <c r="G9372" s="53"/>
    </row>
    <row r="9373">
      <c r="A9373" s="49">
        <v>44792.53814875</v>
      </c>
      <c r="B9373" s="50">
        <v>44792.6631248263</v>
      </c>
      <c r="C9373" s="51">
        <v>1.004</v>
      </c>
      <c r="D9373" s="51">
        <v>68.0</v>
      </c>
      <c r="E9373" s="52" t="s">
        <v>25</v>
      </c>
      <c r="F9373" s="52" t="s">
        <v>26</v>
      </c>
      <c r="G9373" s="53"/>
    </row>
    <row r="9374">
      <c r="A9374" s="49">
        <v>44792.54860017361</v>
      </c>
      <c r="B9374" s="50">
        <v>44792.6735693518</v>
      </c>
      <c r="C9374" s="51">
        <v>1.004</v>
      </c>
      <c r="D9374" s="51">
        <v>68.0</v>
      </c>
      <c r="E9374" s="52" t="s">
        <v>25</v>
      </c>
      <c r="F9374" s="52" t="s">
        <v>26</v>
      </c>
      <c r="G9374" s="53"/>
    </row>
    <row r="9375">
      <c r="A9375" s="49">
        <v>44792.5590221412</v>
      </c>
      <c r="B9375" s="50">
        <v>44792.6839909143</v>
      </c>
      <c r="C9375" s="51">
        <v>1.004</v>
      </c>
      <c r="D9375" s="51">
        <v>68.0</v>
      </c>
      <c r="E9375" s="52" t="s">
        <v>25</v>
      </c>
      <c r="F9375" s="52" t="s">
        <v>26</v>
      </c>
      <c r="G9375" s="53"/>
    </row>
    <row r="9376">
      <c r="A9376" s="49">
        <v>44792.569436562495</v>
      </c>
      <c r="B9376" s="50">
        <v>44792.6944106828</v>
      </c>
      <c r="C9376" s="51">
        <v>1.004</v>
      </c>
      <c r="D9376" s="51">
        <v>68.0</v>
      </c>
      <c r="E9376" s="52" t="s">
        <v>25</v>
      </c>
      <c r="F9376" s="52" t="s">
        <v>26</v>
      </c>
      <c r="G9376" s="53"/>
    </row>
    <row r="9377">
      <c r="A9377" s="49">
        <v>44792.57986331018</v>
      </c>
      <c r="B9377" s="50">
        <v>44792.7048306365</v>
      </c>
      <c r="C9377" s="51">
        <v>1.003</v>
      </c>
      <c r="D9377" s="51">
        <v>68.0</v>
      </c>
      <c r="E9377" s="52" t="s">
        <v>25</v>
      </c>
      <c r="F9377" s="52" t="s">
        <v>26</v>
      </c>
      <c r="G9377" s="53"/>
    </row>
    <row r="9378">
      <c r="A9378" s="49">
        <v>44792.59027572916</v>
      </c>
      <c r="B9378" s="50">
        <v>44792.7152515162</v>
      </c>
      <c r="C9378" s="51">
        <v>1.004</v>
      </c>
      <c r="D9378" s="51">
        <v>68.0</v>
      </c>
      <c r="E9378" s="52" t="s">
        <v>25</v>
      </c>
      <c r="F9378" s="52" t="s">
        <v>26</v>
      </c>
      <c r="G9378" s="53"/>
    </row>
    <row r="9379">
      <c r="A9379" s="49">
        <v>44792.60069572917</v>
      </c>
      <c r="B9379" s="50">
        <v>44792.7256717129</v>
      </c>
      <c r="C9379" s="51">
        <v>1.004</v>
      </c>
      <c r="D9379" s="51">
        <v>68.0</v>
      </c>
      <c r="E9379" s="52" t="s">
        <v>25</v>
      </c>
      <c r="F9379" s="52" t="s">
        <v>26</v>
      </c>
      <c r="G9379" s="53"/>
    </row>
    <row r="9380">
      <c r="A9380" s="49">
        <v>44792.611116898144</v>
      </c>
      <c r="B9380" s="50">
        <v>44792.7360930208</v>
      </c>
      <c r="C9380" s="51">
        <v>1.004</v>
      </c>
      <c r="D9380" s="51">
        <v>68.0</v>
      </c>
      <c r="E9380" s="52" t="s">
        <v>25</v>
      </c>
      <c r="F9380" s="52" t="s">
        <v>26</v>
      </c>
      <c r="G9380" s="53"/>
    </row>
    <row r="9381">
      <c r="A9381" s="49">
        <v>44792.621538217594</v>
      </c>
      <c r="B9381" s="50">
        <v>44792.746514375</v>
      </c>
      <c r="C9381" s="51">
        <v>1.003</v>
      </c>
      <c r="D9381" s="51">
        <v>68.0</v>
      </c>
      <c r="E9381" s="52" t="s">
        <v>25</v>
      </c>
      <c r="F9381" s="52" t="s">
        <v>26</v>
      </c>
      <c r="G9381" s="53"/>
    </row>
    <row r="9382">
      <c r="A9382" s="49">
        <v>44792.63196974537</v>
      </c>
      <c r="B9382" s="50">
        <v>44792.7569347453</v>
      </c>
      <c r="C9382" s="51">
        <v>1.004</v>
      </c>
      <c r="D9382" s="51">
        <v>68.0</v>
      </c>
      <c r="E9382" s="52" t="s">
        <v>25</v>
      </c>
      <c r="F9382" s="52" t="s">
        <v>26</v>
      </c>
      <c r="G9382" s="53"/>
    </row>
    <row r="9383">
      <c r="A9383" s="49">
        <v>44792.64238612269</v>
      </c>
      <c r="B9383" s="50">
        <v>44792.7673537152</v>
      </c>
      <c r="C9383" s="51">
        <v>1.004</v>
      </c>
      <c r="D9383" s="51">
        <v>68.0</v>
      </c>
      <c r="E9383" s="52" t="s">
        <v>25</v>
      </c>
      <c r="F9383" s="52" t="s">
        <v>26</v>
      </c>
      <c r="G9383" s="53"/>
    </row>
    <row r="9384">
      <c r="A9384" s="49">
        <v>44792.65280589121</v>
      </c>
      <c r="B9384" s="50">
        <v>44792.7777755671</v>
      </c>
      <c r="C9384" s="51">
        <v>1.004</v>
      </c>
      <c r="D9384" s="51">
        <v>68.0</v>
      </c>
      <c r="E9384" s="52" t="s">
        <v>25</v>
      </c>
      <c r="F9384" s="52" t="s">
        <v>26</v>
      </c>
      <c r="G9384" s="53"/>
    </row>
    <row r="9385">
      <c r="A9385" s="49">
        <v>44792.663228680554</v>
      </c>
      <c r="B9385" s="50">
        <v>44792.7881961805</v>
      </c>
      <c r="C9385" s="51">
        <v>1.004</v>
      </c>
      <c r="D9385" s="51">
        <v>68.0</v>
      </c>
      <c r="E9385" s="52" t="s">
        <v>25</v>
      </c>
      <c r="F9385" s="52" t="s">
        <v>26</v>
      </c>
      <c r="G9385" s="53"/>
    </row>
    <row r="9386">
      <c r="A9386" s="49">
        <v>44792.673645648145</v>
      </c>
      <c r="B9386" s="50">
        <v>44792.7986151273</v>
      </c>
      <c r="C9386" s="51">
        <v>1.004</v>
      </c>
      <c r="D9386" s="51">
        <v>68.0</v>
      </c>
      <c r="E9386" s="52" t="s">
        <v>25</v>
      </c>
      <c r="F9386" s="52" t="s">
        <v>26</v>
      </c>
      <c r="G9386" s="53"/>
    </row>
    <row r="9387">
      <c r="A9387" s="49">
        <v>44792.684076226855</v>
      </c>
      <c r="B9387" s="50">
        <v>44792.8090478588</v>
      </c>
      <c r="C9387" s="51">
        <v>1.004</v>
      </c>
      <c r="D9387" s="51">
        <v>68.0</v>
      </c>
      <c r="E9387" s="52" t="s">
        <v>25</v>
      </c>
      <c r="F9387" s="52" t="s">
        <v>26</v>
      </c>
      <c r="G9387" s="53"/>
    </row>
    <row r="9388">
      <c r="A9388" s="49">
        <v>44792.694498564815</v>
      </c>
      <c r="B9388" s="50">
        <v>44792.8194685648</v>
      </c>
      <c r="C9388" s="51">
        <v>1.004</v>
      </c>
      <c r="D9388" s="51">
        <v>68.0</v>
      </c>
      <c r="E9388" s="52" t="s">
        <v>25</v>
      </c>
      <c r="F9388" s="52" t="s">
        <v>26</v>
      </c>
      <c r="G9388" s="53"/>
    </row>
    <row r="9389">
      <c r="A9389" s="49">
        <v>44792.70491806713</v>
      </c>
      <c r="B9389" s="50">
        <v>44792.8298895717</v>
      </c>
      <c r="C9389" s="51">
        <v>1.004</v>
      </c>
      <c r="D9389" s="51">
        <v>68.0</v>
      </c>
      <c r="E9389" s="52" t="s">
        <v>25</v>
      </c>
      <c r="F9389" s="52" t="s">
        <v>26</v>
      </c>
      <c r="G9389" s="53"/>
    </row>
    <row r="9390">
      <c r="A9390" s="49">
        <v>44792.71533523148</v>
      </c>
      <c r="B9390" s="50">
        <v>44792.8403110185</v>
      </c>
      <c r="C9390" s="51">
        <v>1.004</v>
      </c>
      <c r="D9390" s="51">
        <v>68.0</v>
      </c>
      <c r="E9390" s="52" t="s">
        <v>25</v>
      </c>
      <c r="F9390" s="52" t="s">
        <v>26</v>
      </c>
      <c r="G9390" s="53"/>
    </row>
    <row r="9391">
      <c r="A9391" s="49">
        <v>44792.72576321759</v>
      </c>
      <c r="B9391" s="50">
        <v>44792.8507320833</v>
      </c>
      <c r="C9391" s="51">
        <v>1.003</v>
      </c>
      <c r="D9391" s="51">
        <v>68.0</v>
      </c>
      <c r="E9391" s="52" t="s">
        <v>25</v>
      </c>
      <c r="F9391" s="52" t="s">
        <v>26</v>
      </c>
      <c r="G9391" s="53"/>
    </row>
    <row r="9392">
      <c r="A9392" s="49">
        <v>44792.73618407408</v>
      </c>
      <c r="B9392" s="50">
        <v>44792.8611530439</v>
      </c>
      <c r="C9392" s="51">
        <v>1.004</v>
      </c>
      <c r="D9392" s="51">
        <v>68.0</v>
      </c>
      <c r="E9392" s="52" t="s">
        <v>25</v>
      </c>
      <c r="F9392" s="52" t="s">
        <v>26</v>
      </c>
      <c r="G9392" s="53"/>
    </row>
    <row r="9393">
      <c r="A9393" s="49">
        <v>44792.74660587963</v>
      </c>
      <c r="B9393" s="50">
        <v>44792.871574074</v>
      </c>
      <c r="C9393" s="51">
        <v>1.003</v>
      </c>
      <c r="D9393" s="51">
        <v>68.0</v>
      </c>
      <c r="E9393" s="52" t="s">
        <v>25</v>
      </c>
      <c r="F9393" s="52" t="s">
        <v>26</v>
      </c>
      <c r="G9393" s="53"/>
    </row>
    <row r="9394">
      <c r="A9394" s="49">
        <v>44792.757056331015</v>
      </c>
      <c r="B9394" s="50">
        <v>44792.8820311574</v>
      </c>
      <c r="C9394" s="51">
        <v>1.004</v>
      </c>
      <c r="D9394" s="51">
        <v>68.0</v>
      </c>
      <c r="E9394" s="52" t="s">
        <v>25</v>
      </c>
      <c r="F9394" s="52" t="s">
        <v>26</v>
      </c>
      <c r="G9394" s="53"/>
    </row>
    <row r="9395">
      <c r="A9395" s="49">
        <v>44792.767479780094</v>
      </c>
      <c r="B9395" s="50">
        <v>44792.8924531018</v>
      </c>
      <c r="C9395" s="51">
        <v>1.004</v>
      </c>
      <c r="D9395" s="51">
        <v>68.0</v>
      </c>
      <c r="E9395" s="52" t="s">
        <v>25</v>
      </c>
      <c r="F9395" s="52" t="s">
        <v>26</v>
      </c>
      <c r="G9395" s="53"/>
    </row>
    <row r="9396">
      <c r="A9396" s="49">
        <v>44792.77789848379</v>
      </c>
      <c r="B9396" s="50">
        <v>44792.9028741319</v>
      </c>
      <c r="C9396" s="51">
        <v>1.004</v>
      </c>
      <c r="D9396" s="51">
        <v>69.0</v>
      </c>
      <c r="E9396" s="52" t="s">
        <v>25</v>
      </c>
      <c r="F9396" s="52" t="s">
        <v>26</v>
      </c>
      <c r="G9396" s="53"/>
    </row>
    <row r="9397">
      <c r="A9397" s="49">
        <v>44792.78832591436</v>
      </c>
      <c r="B9397" s="50">
        <v>44792.9132964699</v>
      </c>
      <c r="C9397" s="51">
        <v>1.004</v>
      </c>
      <c r="D9397" s="51">
        <v>69.0</v>
      </c>
      <c r="E9397" s="52" t="s">
        <v>25</v>
      </c>
      <c r="F9397" s="52" t="s">
        <v>26</v>
      </c>
      <c r="G9397" s="53"/>
    </row>
    <row r="9398">
      <c r="A9398" s="49">
        <v>44792.79874563657</v>
      </c>
      <c r="B9398" s="50">
        <v>44792.9237185185</v>
      </c>
      <c r="C9398" s="51">
        <v>1.004</v>
      </c>
      <c r="D9398" s="51">
        <v>68.0</v>
      </c>
      <c r="E9398" s="52" t="s">
        <v>25</v>
      </c>
      <c r="F9398" s="52" t="s">
        <v>26</v>
      </c>
      <c r="G9398" s="53"/>
    </row>
    <row r="9399">
      <c r="A9399" s="49">
        <v>44792.80917288194</v>
      </c>
      <c r="B9399" s="50">
        <v>44792.9341409027</v>
      </c>
      <c r="C9399" s="51">
        <v>1.003</v>
      </c>
      <c r="D9399" s="51">
        <v>68.0</v>
      </c>
      <c r="E9399" s="52" t="s">
        <v>25</v>
      </c>
      <c r="F9399" s="52" t="s">
        <v>26</v>
      </c>
      <c r="G9399" s="53"/>
    </row>
    <row r="9400">
      <c r="A9400" s="49">
        <v>44792.81960383102</v>
      </c>
      <c r="B9400" s="50">
        <v>44792.9445737384</v>
      </c>
      <c r="C9400" s="51">
        <v>1.003</v>
      </c>
      <c r="D9400" s="51">
        <v>69.0</v>
      </c>
      <c r="E9400" s="52" t="s">
        <v>25</v>
      </c>
      <c r="F9400" s="52" t="s">
        <v>26</v>
      </c>
      <c r="G9400" s="53"/>
    </row>
    <row r="9401">
      <c r="A9401" s="49">
        <v>44792.83002354167</v>
      </c>
      <c r="B9401" s="50">
        <v>44792.9549926851</v>
      </c>
      <c r="C9401" s="51">
        <v>1.003</v>
      </c>
      <c r="D9401" s="51">
        <v>69.0</v>
      </c>
      <c r="E9401" s="52" t="s">
        <v>25</v>
      </c>
      <c r="F9401" s="52" t="s">
        <v>26</v>
      </c>
      <c r="G9401" s="53"/>
    </row>
    <row r="9402">
      <c r="A9402" s="49">
        <v>44792.84044418982</v>
      </c>
      <c r="B9402" s="50">
        <v>44792.9654136921</v>
      </c>
      <c r="C9402" s="51">
        <v>1.003</v>
      </c>
      <c r="D9402" s="51">
        <v>69.0</v>
      </c>
      <c r="E9402" s="52" t="s">
        <v>25</v>
      </c>
      <c r="F9402" s="52" t="s">
        <v>26</v>
      </c>
      <c r="G9402" s="53"/>
    </row>
    <row r="9403">
      <c r="A9403" s="49">
        <v>44792.85086574074</v>
      </c>
      <c r="B9403" s="50">
        <v>44792.9758353009</v>
      </c>
      <c r="C9403" s="51">
        <v>1.004</v>
      </c>
      <c r="D9403" s="51">
        <v>69.0</v>
      </c>
      <c r="E9403" s="52" t="s">
        <v>25</v>
      </c>
      <c r="F9403" s="52" t="s">
        <v>26</v>
      </c>
      <c r="G9403" s="53"/>
    </row>
    <row r="9404">
      <c r="A9404" s="49">
        <v>44792.86129090277</v>
      </c>
      <c r="B9404" s="50">
        <v>44792.9862568981</v>
      </c>
      <c r="C9404" s="51">
        <v>1.003</v>
      </c>
      <c r="D9404" s="51">
        <v>69.0</v>
      </c>
      <c r="E9404" s="52" t="s">
        <v>25</v>
      </c>
      <c r="F9404" s="52" t="s">
        <v>26</v>
      </c>
      <c r="G9404" s="53"/>
    </row>
    <row r="9405">
      <c r="A9405" s="49">
        <v>44792.871711064814</v>
      </c>
      <c r="B9405" s="50">
        <v>44792.9966782176</v>
      </c>
      <c r="C9405" s="51">
        <v>1.004</v>
      </c>
      <c r="D9405" s="51">
        <v>69.0</v>
      </c>
      <c r="E9405" s="52" t="s">
        <v>25</v>
      </c>
      <c r="F9405" s="52" t="s">
        <v>26</v>
      </c>
      <c r="G9405" s="53"/>
    </row>
    <row r="9406">
      <c r="A9406" s="49">
        <v>44792.882136203705</v>
      </c>
      <c r="B9406" s="50">
        <v>44793.007110081</v>
      </c>
      <c r="C9406" s="51">
        <v>1.004</v>
      </c>
      <c r="D9406" s="51">
        <v>69.0</v>
      </c>
      <c r="E9406" s="52" t="s">
        <v>25</v>
      </c>
      <c r="F9406" s="52" t="s">
        <v>26</v>
      </c>
      <c r="G9406" s="53"/>
    </row>
    <row r="9407">
      <c r="A9407" s="49">
        <v>44792.89255696759</v>
      </c>
      <c r="B9407" s="50">
        <v>44793.0175312731</v>
      </c>
      <c r="C9407" s="51">
        <v>1.003</v>
      </c>
      <c r="D9407" s="51">
        <v>69.0</v>
      </c>
      <c r="E9407" s="52" t="s">
        <v>25</v>
      </c>
      <c r="F9407" s="52" t="s">
        <v>26</v>
      </c>
      <c r="G9407" s="53"/>
    </row>
    <row r="9408">
      <c r="A9408" s="49">
        <v>44792.9029846412</v>
      </c>
      <c r="B9408" s="50">
        <v>44793.0279525347</v>
      </c>
      <c r="C9408" s="51">
        <v>1.003</v>
      </c>
      <c r="D9408" s="51">
        <v>69.0</v>
      </c>
      <c r="E9408" s="52" t="s">
        <v>25</v>
      </c>
      <c r="F9408" s="52" t="s">
        <v>26</v>
      </c>
      <c r="G9408" s="53"/>
    </row>
    <row r="9409">
      <c r="A9409" s="49">
        <v>44792.913408946755</v>
      </c>
      <c r="B9409" s="50">
        <v>44793.0383713194</v>
      </c>
      <c r="C9409" s="51">
        <v>1.003</v>
      </c>
      <c r="D9409" s="51">
        <v>69.0</v>
      </c>
      <c r="E9409" s="52" t="s">
        <v>25</v>
      </c>
      <c r="F9409" s="52" t="s">
        <v>26</v>
      </c>
      <c r="G9409" s="53"/>
    </row>
    <row r="9410">
      <c r="A9410" s="49">
        <v>44792.9238246875</v>
      </c>
      <c r="B9410" s="50">
        <v>44793.0487933796</v>
      </c>
      <c r="C9410" s="51">
        <v>1.003</v>
      </c>
      <c r="D9410" s="51">
        <v>69.0</v>
      </c>
      <c r="E9410" s="52" t="s">
        <v>25</v>
      </c>
      <c r="F9410" s="52" t="s">
        <v>26</v>
      </c>
      <c r="G9410" s="53"/>
    </row>
    <row r="9411">
      <c r="A9411" s="49">
        <v>44792.93423554398</v>
      </c>
      <c r="B9411" s="50">
        <v>44793.0592152777</v>
      </c>
      <c r="C9411" s="51">
        <v>1.004</v>
      </c>
      <c r="D9411" s="51">
        <v>69.0</v>
      </c>
      <c r="E9411" s="52" t="s">
        <v>25</v>
      </c>
      <c r="F9411" s="52" t="s">
        <v>26</v>
      </c>
      <c r="G9411" s="53"/>
    </row>
    <row r="9412">
      <c r="A9412" s="49">
        <v>44792.94467788194</v>
      </c>
      <c r="B9412" s="50">
        <v>44793.0696468865</v>
      </c>
      <c r="C9412" s="51">
        <v>1.004</v>
      </c>
      <c r="D9412" s="51">
        <v>69.0</v>
      </c>
      <c r="E9412" s="52" t="s">
        <v>25</v>
      </c>
      <c r="F9412" s="52" t="s">
        <v>26</v>
      </c>
      <c r="G9412" s="53"/>
    </row>
    <row r="9413">
      <c r="A9413" s="49">
        <v>44792.95509981482</v>
      </c>
      <c r="B9413" s="50">
        <v>44793.0800670601</v>
      </c>
      <c r="C9413" s="51">
        <v>1.004</v>
      </c>
      <c r="D9413" s="51">
        <v>69.0</v>
      </c>
      <c r="E9413" s="52" t="s">
        <v>25</v>
      </c>
      <c r="F9413" s="52" t="s">
        <v>26</v>
      </c>
      <c r="G9413" s="53"/>
    </row>
    <row r="9414">
      <c r="A9414" s="49">
        <v>44792.96553623842</v>
      </c>
      <c r="B9414" s="50">
        <v>44793.0904996759</v>
      </c>
      <c r="C9414" s="51">
        <v>1.003</v>
      </c>
      <c r="D9414" s="51">
        <v>69.0</v>
      </c>
      <c r="E9414" s="52" t="s">
        <v>25</v>
      </c>
      <c r="F9414" s="52" t="s">
        <v>26</v>
      </c>
      <c r="G9414" s="53"/>
    </row>
    <row r="9415">
      <c r="A9415" s="49">
        <v>44792.97595331019</v>
      </c>
      <c r="B9415" s="50">
        <v>44793.1009211342</v>
      </c>
      <c r="C9415" s="51">
        <v>1.004</v>
      </c>
      <c r="D9415" s="51">
        <v>69.0</v>
      </c>
      <c r="E9415" s="52" t="s">
        <v>25</v>
      </c>
      <c r="F9415" s="52" t="s">
        <v>26</v>
      </c>
      <c r="G9415" s="53"/>
    </row>
    <row r="9416">
      <c r="A9416" s="49">
        <v>44792.98637050926</v>
      </c>
      <c r="B9416" s="50">
        <v>44793.1113418287</v>
      </c>
      <c r="C9416" s="51">
        <v>1.003</v>
      </c>
      <c r="D9416" s="51">
        <v>69.0</v>
      </c>
      <c r="E9416" s="52" t="s">
        <v>25</v>
      </c>
      <c r="F9416" s="52" t="s">
        <v>26</v>
      </c>
      <c r="G9416" s="53"/>
    </row>
    <row r="9417">
      <c r="A9417" s="49">
        <v>44792.99678670139</v>
      </c>
      <c r="B9417" s="50">
        <v>44793.1217637384</v>
      </c>
      <c r="C9417" s="51">
        <v>1.003</v>
      </c>
      <c r="D9417" s="51">
        <v>69.0</v>
      </c>
      <c r="E9417" s="52" t="s">
        <v>25</v>
      </c>
      <c r="F9417" s="52" t="s">
        <v>26</v>
      </c>
      <c r="G9417" s="53"/>
    </row>
    <row r="9418">
      <c r="A9418" s="49">
        <v>44793.007219548614</v>
      </c>
      <c r="B9418" s="50">
        <v>44793.1321852314</v>
      </c>
      <c r="C9418" s="51">
        <v>1.004</v>
      </c>
      <c r="D9418" s="51">
        <v>69.0</v>
      </c>
      <c r="E9418" s="52" t="s">
        <v>25</v>
      </c>
      <c r="F9418" s="52" t="s">
        <v>26</v>
      </c>
      <c r="G9418" s="53"/>
    </row>
    <row r="9419">
      <c r="A9419" s="49">
        <v>44793.01763903935</v>
      </c>
      <c r="B9419" s="50">
        <v>44793.1426082176</v>
      </c>
      <c r="C9419" s="51">
        <v>1.004</v>
      </c>
      <c r="D9419" s="51">
        <v>69.0</v>
      </c>
      <c r="E9419" s="52" t="s">
        <v>25</v>
      </c>
      <c r="F9419" s="52" t="s">
        <v>26</v>
      </c>
      <c r="G9419" s="53"/>
    </row>
    <row r="9420">
      <c r="A9420" s="49">
        <v>44793.02807032407</v>
      </c>
      <c r="B9420" s="50">
        <v>44793.153039618</v>
      </c>
      <c r="C9420" s="51">
        <v>1.003</v>
      </c>
      <c r="D9420" s="51">
        <v>69.0</v>
      </c>
      <c r="E9420" s="52" t="s">
        <v>25</v>
      </c>
      <c r="F9420" s="52" t="s">
        <v>26</v>
      </c>
      <c r="G9420" s="53"/>
    </row>
    <row r="9421">
      <c r="A9421" s="49">
        <v>44793.03848689815</v>
      </c>
      <c r="B9421" s="50">
        <v>44793.1634599537</v>
      </c>
      <c r="C9421" s="51">
        <v>1.004</v>
      </c>
      <c r="D9421" s="51">
        <v>69.0</v>
      </c>
      <c r="E9421" s="52" t="s">
        <v>25</v>
      </c>
      <c r="F9421" s="52" t="s">
        <v>26</v>
      </c>
      <c r="G9421" s="53"/>
    </row>
    <row r="9422">
      <c r="A9422" s="49">
        <v>44793.04890543981</v>
      </c>
      <c r="B9422" s="50">
        <v>44793.1738815972</v>
      </c>
      <c r="C9422" s="51">
        <v>1.004</v>
      </c>
      <c r="D9422" s="51">
        <v>69.0</v>
      </c>
      <c r="E9422" s="52" t="s">
        <v>25</v>
      </c>
      <c r="F9422" s="52" t="s">
        <v>26</v>
      </c>
      <c r="G9422" s="53"/>
    </row>
    <row r="9423">
      <c r="A9423" s="49">
        <v>44793.05933417824</v>
      </c>
      <c r="B9423" s="50">
        <v>44793.1843020949</v>
      </c>
      <c r="C9423" s="51">
        <v>1.003</v>
      </c>
      <c r="D9423" s="51">
        <v>69.0</v>
      </c>
      <c r="E9423" s="52" t="s">
        <v>25</v>
      </c>
      <c r="F9423" s="52" t="s">
        <v>26</v>
      </c>
      <c r="G9423" s="53"/>
    </row>
    <row r="9424">
      <c r="A9424" s="49">
        <v>44793.069760046295</v>
      </c>
      <c r="B9424" s="50">
        <v>44793.1947223379</v>
      </c>
      <c r="C9424" s="51">
        <v>1.003</v>
      </c>
      <c r="D9424" s="51">
        <v>69.0</v>
      </c>
      <c r="E9424" s="52" t="s">
        <v>25</v>
      </c>
      <c r="F9424" s="52" t="s">
        <v>26</v>
      </c>
      <c r="G9424" s="53"/>
    </row>
    <row r="9425">
      <c r="A9425" s="49">
        <v>44793.08018118056</v>
      </c>
      <c r="B9425" s="50">
        <v>44793.2051428356</v>
      </c>
      <c r="C9425" s="51">
        <v>1.003</v>
      </c>
      <c r="D9425" s="51">
        <v>69.0</v>
      </c>
      <c r="E9425" s="52" t="s">
        <v>25</v>
      </c>
      <c r="F9425" s="52" t="s">
        <v>26</v>
      </c>
      <c r="G9425" s="53"/>
    </row>
    <row r="9426">
      <c r="A9426" s="49">
        <v>44793.0905927662</v>
      </c>
      <c r="B9426" s="50">
        <v>44793.2155671412</v>
      </c>
      <c r="C9426" s="51">
        <v>1.003</v>
      </c>
      <c r="D9426" s="51">
        <v>69.0</v>
      </c>
      <c r="E9426" s="52" t="s">
        <v>25</v>
      </c>
      <c r="F9426" s="52" t="s">
        <v>26</v>
      </c>
      <c r="G9426" s="53"/>
    </row>
    <row r="9427">
      <c r="A9427" s="49">
        <v>44793.101008530095</v>
      </c>
      <c r="B9427" s="50">
        <v>44793.2259880787</v>
      </c>
      <c r="C9427" s="51">
        <v>1.003</v>
      </c>
      <c r="D9427" s="51">
        <v>69.0</v>
      </c>
      <c r="E9427" s="52" t="s">
        <v>25</v>
      </c>
      <c r="F9427" s="52" t="s">
        <v>26</v>
      </c>
      <c r="G9427" s="53"/>
    </row>
    <row r="9428">
      <c r="A9428" s="49">
        <v>44793.111442650465</v>
      </c>
      <c r="B9428" s="50">
        <v>44793.2364090046</v>
      </c>
      <c r="C9428" s="51">
        <v>1.004</v>
      </c>
      <c r="D9428" s="51">
        <v>69.0</v>
      </c>
      <c r="E9428" s="52" t="s">
        <v>25</v>
      </c>
      <c r="F9428" s="52" t="s">
        <v>26</v>
      </c>
      <c r="G9428" s="53"/>
    </row>
    <row r="9429">
      <c r="A9429" s="49">
        <v>44793.12186170139</v>
      </c>
      <c r="B9429" s="50">
        <v>44793.2468306365</v>
      </c>
      <c r="C9429" s="51">
        <v>1.004</v>
      </c>
      <c r="D9429" s="51">
        <v>69.0</v>
      </c>
      <c r="E9429" s="52" t="s">
        <v>25</v>
      </c>
      <c r="F9429" s="52" t="s">
        <v>26</v>
      </c>
      <c r="G9429" s="53"/>
    </row>
    <row r="9430">
      <c r="A9430" s="49">
        <v>44793.132281886574</v>
      </c>
      <c r="B9430" s="50">
        <v>44793.2572509722</v>
      </c>
      <c r="C9430" s="51">
        <v>1.003</v>
      </c>
      <c r="D9430" s="51">
        <v>69.0</v>
      </c>
      <c r="E9430" s="52" t="s">
        <v>25</v>
      </c>
      <c r="F9430" s="52" t="s">
        <v>26</v>
      </c>
      <c r="G9430" s="53"/>
    </row>
    <row r="9431">
      <c r="A9431" s="49">
        <v>44793.14270332176</v>
      </c>
      <c r="B9431" s="50">
        <v>44793.2676713426</v>
      </c>
      <c r="C9431" s="51">
        <v>1.003</v>
      </c>
      <c r="D9431" s="51">
        <v>69.0</v>
      </c>
      <c r="E9431" s="52" t="s">
        <v>25</v>
      </c>
      <c r="F9431" s="52" t="s">
        <v>26</v>
      </c>
      <c r="G9431" s="53"/>
    </row>
    <row r="9432">
      <c r="A9432" s="49">
        <v>44793.15311953703</v>
      </c>
      <c r="B9432" s="50">
        <v>44793.2780922453</v>
      </c>
      <c r="C9432" s="51">
        <v>1.004</v>
      </c>
      <c r="D9432" s="51">
        <v>69.0</v>
      </c>
      <c r="E9432" s="52" t="s">
        <v>25</v>
      </c>
      <c r="F9432" s="52" t="s">
        <v>26</v>
      </c>
      <c r="G9432" s="53"/>
    </row>
    <row r="9433">
      <c r="A9433" s="49">
        <v>44793.163543229166</v>
      </c>
      <c r="B9433" s="50">
        <v>44793.2885137731</v>
      </c>
      <c r="C9433" s="51">
        <v>1.003</v>
      </c>
      <c r="D9433" s="51">
        <v>69.0</v>
      </c>
      <c r="E9433" s="52" t="s">
        <v>25</v>
      </c>
      <c r="F9433" s="52" t="s">
        <v>26</v>
      </c>
      <c r="G9433" s="53"/>
    </row>
    <row r="9434">
      <c r="A9434" s="49">
        <v>44793.17396859954</v>
      </c>
      <c r="B9434" s="50">
        <v>44793.2989357407</v>
      </c>
      <c r="C9434" s="51">
        <v>1.004</v>
      </c>
      <c r="D9434" s="51">
        <v>69.0</v>
      </c>
      <c r="E9434" s="52" t="s">
        <v>25</v>
      </c>
      <c r="F9434" s="52" t="s">
        <v>26</v>
      </c>
      <c r="G9434" s="53"/>
    </row>
    <row r="9435">
      <c r="A9435" s="49">
        <v>44793.18441408565</v>
      </c>
      <c r="B9435" s="50">
        <v>44793.3093796759</v>
      </c>
      <c r="C9435" s="51">
        <v>1.004</v>
      </c>
      <c r="D9435" s="51">
        <v>69.0</v>
      </c>
      <c r="E9435" s="52" t="s">
        <v>25</v>
      </c>
      <c r="F9435" s="52" t="s">
        <v>26</v>
      </c>
      <c r="G9435" s="53"/>
    </row>
    <row r="9436">
      <c r="A9436" s="49">
        <v>44793.19484012731</v>
      </c>
      <c r="B9436" s="50">
        <v>44793.3198009027</v>
      </c>
      <c r="C9436" s="51">
        <v>1.004</v>
      </c>
      <c r="D9436" s="51">
        <v>69.0</v>
      </c>
      <c r="E9436" s="52" t="s">
        <v>25</v>
      </c>
      <c r="F9436" s="52" t="s">
        <v>26</v>
      </c>
      <c r="G9436" s="53"/>
    </row>
    <row r="9437">
      <c r="A9437" s="49">
        <v>44793.205253657405</v>
      </c>
      <c r="B9437" s="50">
        <v>44793.3302209953</v>
      </c>
      <c r="C9437" s="51">
        <v>1.004</v>
      </c>
      <c r="D9437" s="51">
        <v>69.0</v>
      </c>
      <c r="E9437" s="52" t="s">
        <v>25</v>
      </c>
      <c r="F9437" s="52" t="s">
        <v>26</v>
      </c>
      <c r="G9437" s="53"/>
    </row>
    <row r="9438">
      <c r="A9438" s="49">
        <v>44793.21567554398</v>
      </c>
      <c r="B9438" s="50">
        <v>44793.340639618</v>
      </c>
      <c r="C9438" s="51">
        <v>1.003</v>
      </c>
      <c r="D9438" s="51">
        <v>69.0</v>
      </c>
      <c r="E9438" s="52" t="s">
        <v>25</v>
      </c>
      <c r="F9438" s="52" t="s">
        <v>26</v>
      </c>
      <c r="G9438" s="53"/>
    </row>
    <row r="9439">
      <c r="A9439" s="49">
        <v>44793.22609440972</v>
      </c>
      <c r="B9439" s="50">
        <v>44793.3510601967</v>
      </c>
      <c r="C9439" s="51">
        <v>1.004</v>
      </c>
      <c r="D9439" s="51">
        <v>69.0</v>
      </c>
      <c r="E9439" s="52" t="s">
        <v>25</v>
      </c>
      <c r="F9439" s="52" t="s">
        <v>26</v>
      </c>
      <c r="G9439" s="53"/>
    </row>
    <row r="9440">
      <c r="A9440" s="49">
        <v>44793.23652342593</v>
      </c>
      <c r="B9440" s="50">
        <v>44793.3614935532</v>
      </c>
      <c r="C9440" s="51">
        <v>1.003</v>
      </c>
      <c r="D9440" s="51">
        <v>69.0</v>
      </c>
      <c r="E9440" s="52" t="s">
        <v>25</v>
      </c>
      <c r="F9440" s="52" t="s">
        <v>26</v>
      </c>
      <c r="G9440" s="53"/>
    </row>
    <row r="9441">
      <c r="A9441" s="49">
        <v>44793.24694680556</v>
      </c>
      <c r="B9441" s="50">
        <v>44793.3719149189</v>
      </c>
      <c r="C9441" s="51">
        <v>1.003</v>
      </c>
      <c r="D9441" s="51">
        <v>69.0</v>
      </c>
      <c r="E9441" s="52" t="s">
        <v>25</v>
      </c>
      <c r="F9441" s="52" t="s">
        <v>26</v>
      </c>
      <c r="G9441" s="53"/>
    </row>
    <row r="9442">
      <c r="A9442" s="49">
        <v>44793.25736425926</v>
      </c>
      <c r="B9442" s="50">
        <v>44793.3823367476</v>
      </c>
      <c r="C9442" s="51">
        <v>1.004</v>
      </c>
      <c r="D9442" s="51">
        <v>69.0</v>
      </c>
      <c r="E9442" s="52" t="s">
        <v>25</v>
      </c>
      <c r="F9442" s="52" t="s">
        <v>26</v>
      </c>
      <c r="G9442" s="53"/>
    </row>
    <row r="9443">
      <c r="A9443" s="49">
        <v>44793.267779375004</v>
      </c>
      <c r="B9443" s="50">
        <v>44793.3927581481</v>
      </c>
      <c r="C9443" s="51">
        <v>1.004</v>
      </c>
      <c r="D9443" s="51">
        <v>69.0</v>
      </c>
      <c r="E9443" s="52" t="s">
        <v>25</v>
      </c>
      <c r="F9443" s="52" t="s">
        <v>26</v>
      </c>
      <c r="G9443" s="53"/>
    </row>
    <row r="9444">
      <c r="A9444" s="49">
        <v>44793.27821063658</v>
      </c>
      <c r="B9444" s="50">
        <v>44793.4031781018</v>
      </c>
      <c r="C9444" s="51">
        <v>1.003</v>
      </c>
      <c r="D9444" s="51">
        <v>69.0</v>
      </c>
      <c r="E9444" s="52" t="s">
        <v>25</v>
      </c>
      <c r="F9444" s="52" t="s">
        <v>26</v>
      </c>
      <c r="G9444" s="53"/>
    </row>
    <row r="9445">
      <c r="A9445" s="49">
        <v>44793.288649236114</v>
      </c>
      <c r="B9445" s="50">
        <v>44793.4136223032</v>
      </c>
      <c r="C9445" s="51">
        <v>1.004</v>
      </c>
      <c r="D9445" s="51">
        <v>69.0</v>
      </c>
      <c r="E9445" s="52" t="s">
        <v>25</v>
      </c>
      <c r="F9445" s="52" t="s">
        <v>26</v>
      </c>
      <c r="G9445" s="53"/>
    </row>
    <row r="9446">
      <c r="A9446" s="49">
        <v>44793.29908318287</v>
      </c>
      <c r="B9446" s="50">
        <v>44793.4240443287</v>
      </c>
      <c r="C9446" s="51">
        <v>1.003</v>
      </c>
      <c r="D9446" s="51">
        <v>69.0</v>
      </c>
      <c r="E9446" s="52" t="s">
        <v>25</v>
      </c>
      <c r="F9446" s="52" t="s">
        <v>26</v>
      </c>
      <c r="G9446" s="53"/>
    </row>
    <row r="9447">
      <c r="A9447" s="49">
        <v>44793.30949576389</v>
      </c>
      <c r="B9447" s="50">
        <v>44793.4344658217</v>
      </c>
      <c r="C9447" s="51">
        <v>1.004</v>
      </c>
      <c r="D9447" s="51">
        <v>69.0</v>
      </c>
      <c r="E9447" s="52" t="s">
        <v>25</v>
      </c>
      <c r="F9447" s="52" t="s">
        <v>26</v>
      </c>
      <c r="G9447" s="53"/>
    </row>
    <row r="9448">
      <c r="A9448" s="49">
        <v>44793.319916712964</v>
      </c>
      <c r="B9448" s="50">
        <v>44793.4448874768</v>
      </c>
      <c r="C9448" s="51">
        <v>1.003</v>
      </c>
      <c r="D9448" s="51">
        <v>69.0</v>
      </c>
      <c r="E9448" s="52" t="s">
        <v>25</v>
      </c>
      <c r="F9448" s="52" t="s">
        <v>26</v>
      </c>
      <c r="G9448" s="53"/>
    </row>
    <row r="9449">
      <c r="A9449" s="49">
        <v>44793.3303310301</v>
      </c>
      <c r="B9449" s="50">
        <v>44793.455308993</v>
      </c>
      <c r="C9449" s="51">
        <v>1.003</v>
      </c>
      <c r="D9449" s="51">
        <v>69.0</v>
      </c>
      <c r="E9449" s="52" t="s">
        <v>25</v>
      </c>
      <c r="F9449" s="52" t="s">
        <v>26</v>
      </c>
      <c r="G9449" s="53"/>
    </row>
    <row r="9450">
      <c r="A9450" s="49">
        <v>44793.34075724537</v>
      </c>
      <c r="B9450" s="50">
        <v>44793.465729375</v>
      </c>
      <c r="C9450" s="51">
        <v>1.004</v>
      </c>
      <c r="D9450" s="51">
        <v>69.0</v>
      </c>
      <c r="E9450" s="52" t="s">
        <v>25</v>
      </c>
      <c r="F9450" s="52" t="s">
        <v>26</v>
      </c>
      <c r="G9450" s="53"/>
    </row>
    <row r="9451">
      <c r="A9451" s="49">
        <v>44793.351174791664</v>
      </c>
      <c r="B9451" s="50">
        <v>44793.4761499537</v>
      </c>
      <c r="C9451" s="51">
        <v>1.003</v>
      </c>
      <c r="D9451" s="51">
        <v>69.0</v>
      </c>
      <c r="E9451" s="52" t="s">
        <v>25</v>
      </c>
      <c r="F9451" s="52" t="s">
        <v>26</v>
      </c>
      <c r="G9451" s="53"/>
    </row>
    <row r="9452">
      <c r="A9452" s="49">
        <v>44793.36159829861</v>
      </c>
      <c r="B9452" s="50">
        <v>44793.4865695254</v>
      </c>
      <c r="C9452" s="51">
        <v>1.004</v>
      </c>
      <c r="D9452" s="51">
        <v>69.0</v>
      </c>
      <c r="E9452" s="52" t="s">
        <v>25</v>
      </c>
      <c r="F9452" s="52" t="s">
        <v>26</v>
      </c>
      <c r="G9452" s="53"/>
    </row>
    <row r="9453">
      <c r="A9453" s="49">
        <v>44793.37201280093</v>
      </c>
      <c r="B9453" s="50">
        <v>44793.4969922338</v>
      </c>
      <c r="C9453" s="51">
        <v>1.003</v>
      </c>
      <c r="D9453" s="51">
        <v>69.0</v>
      </c>
      <c r="E9453" s="52" t="s">
        <v>25</v>
      </c>
      <c r="F9453" s="52" t="s">
        <v>26</v>
      </c>
      <c r="G9453" s="53"/>
    </row>
    <row r="9454">
      <c r="A9454" s="49">
        <v>44793.38244751157</v>
      </c>
      <c r="B9454" s="50">
        <v>44793.507415706</v>
      </c>
      <c r="C9454" s="51">
        <v>1.004</v>
      </c>
      <c r="D9454" s="51">
        <v>69.0</v>
      </c>
      <c r="E9454" s="52" t="s">
        <v>25</v>
      </c>
      <c r="F9454" s="52" t="s">
        <v>26</v>
      </c>
      <c r="G9454" s="53"/>
    </row>
    <row r="9455">
      <c r="A9455" s="49">
        <v>44793.392861493056</v>
      </c>
      <c r="B9455" s="50">
        <v>44793.5178385069</v>
      </c>
      <c r="C9455" s="51">
        <v>1.004</v>
      </c>
      <c r="D9455" s="51">
        <v>69.0</v>
      </c>
      <c r="E9455" s="52" t="s">
        <v>25</v>
      </c>
      <c r="F9455" s="52" t="s">
        <v>26</v>
      </c>
      <c r="G9455" s="53"/>
    </row>
    <row r="9456">
      <c r="A9456" s="49">
        <v>44793.40330420139</v>
      </c>
      <c r="B9456" s="50">
        <v>44793.528272037</v>
      </c>
      <c r="C9456" s="51">
        <v>1.003</v>
      </c>
      <c r="D9456" s="51">
        <v>69.0</v>
      </c>
      <c r="E9456" s="52" t="s">
        <v>25</v>
      </c>
      <c r="F9456" s="52" t="s">
        <v>26</v>
      </c>
      <c r="G9456" s="53"/>
    </row>
    <row r="9457">
      <c r="A9457" s="49">
        <v>44793.41372445602</v>
      </c>
      <c r="B9457" s="50">
        <v>44793.5386928009</v>
      </c>
      <c r="C9457" s="51">
        <v>1.003</v>
      </c>
      <c r="D9457" s="51">
        <v>69.0</v>
      </c>
      <c r="E9457" s="52" t="s">
        <v>25</v>
      </c>
      <c r="F9457" s="52" t="s">
        <v>26</v>
      </c>
      <c r="G9457" s="53"/>
    </row>
    <row r="9458">
      <c r="A9458" s="49">
        <v>44793.42421773148</v>
      </c>
      <c r="B9458" s="50">
        <v>44793.5491716319</v>
      </c>
      <c r="C9458" s="51">
        <v>1.004</v>
      </c>
      <c r="D9458" s="51">
        <v>69.0</v>
      </c>
      <c r="E9458" s="52" t="s">
        <v>25</v>
      </c>
      <c r="F9458" s="52" t="s">
        <v>26</v>
      </c>
      <c r="G9458" s="53"/>
    </row>
    <row r="9459">
      <c r="A9459" s="49">
        <v>44793.434620740736</v>
      </c>
      <c r="B9459" s="50">
        <v>44793.5595904398</v>
      </c>
      <c r="C9459" s="51">
        <v>1.003</v>
      </c>
      <c r="D9459" s="51">
        <v>69.0</v>
      </c>
      <c r="E9459" s="52" t="s">
        <v>25</v>
      </c>
      <c r="F9459" s="52" t="s">
        <v>26</v>
      </c>
      <c r="G9459" s="53"/>
    </row>
    <row r="9460">
      <c r="A9460" s="49">
        <v>44793.44506748843</v>
      </c>
      <c r="B9460" s="50">
        <v>44793.5700362847</v>
      </c>
      <c r="C9460" s="51">
        <v>1.003</v>
      </c>
      <c r="D9460" s="51">
        <v>69.0</v>
      </c>
      <c r="E9460" s="52" t="s">
        <v>25</v>
      </c>
      <c r="F9460" s="52" t="s">
        <v>26</v>
      </c>
      <c r="G9460" s="53"/>
    </row>
    <row r="9461">
      <c r="A9461" s="49">
        <v>44793.45548276621</v>
      </c>
      <c r="B9461" s="50">
        <v>44793.5804584259</v>
      </c>
      <c r="C9461" s="51">
        <v>1.003</v>
      </c>
      <c r="D9461" s="51">
        <v>69.0</v>
      </c>
      <c r="E9461" s="52" t="s">
        <v>25</v>
      </c>
      <c r="F9461" s="52" t="s">
        <v>26</v>
      </c>
      <c r="G9461" s="53"/>
    </row>
    <row r="9462">
      <c r="A9462" s="49">
        <v>44793.46589961805</v>
      </c>
      <c r="B9462" s="50">
        <v>44793.5908792708</v>
      </c>
      <c r="C9462" s="51">
        <v>1.004</v>
      </c>
      <c r="D9462" s="51">
        <v>69.0</v>
      </c>
      <c r="E9462" s="52" t="s">
        <v>25</v>
      </c>
      <c r="F9462" s="52" t="s">
        <v>26</v>
      </c>
      <c r="G9462" s="53"/>
    </row>
    <row r="9463">
      <c r="A9463" s="49">
        <v>44793.476338113425</v>
      </c>
      <c r="B9463" s="50">
        <v>44793.6013114699</v>
      </c>
      <c r="C9463" s="51">
        <v>1.003</v>
      </c>
      <c r="D9463" s="51">
        <v>69.0</v>
      </c>
      <c r="E9463" s="52" t="s">
        <v>25</v>
      </c>
      <c r="F9463" s="52" t="s">
        <v>26</v>
      </c>
      <c r="G9463" s="53"/>
    </row>
    <row r="9464">
      <c r="A9464" s="49">
        <v>44793.48677736111</v>
      </c>
      <c r="B9464" s="50">
        <v>44793.6117448263</v>
      </c>
      <c r="C9464" s="51">
        <v>1.003</v>
      </c>
      <c r="D9464" s="51">
        <v>69.0</v>
      </c>
      <c r="E9464" s="52" t="s">
        <v>25</v>
      </c>
      <c r="F9464" s="52" t="s">
        <v>26</v>
      </c>
      <c r="G9464" s="53"/>
    </row>
    <row r="9465">
      <c r="A9465" s="49">
        <v>44793.49725590278</v>
      </c>
      <c r="B9465" s="50">
        <v>44793.6222229629</v>
      </c>
      <c r="C9465" s="51">
        <v>1.003</v>
      </c>
      <c r="D9465" s="51">
        <v>69.0</v>
      </c>
      <c r="E9465" s="52" t="s">
        <v>25</v>
      </c>
      <c r="F9465" s="52" t="s">
        <v>26</v>
      </c>
      <c r="G9465" s="53"/>
    </row>
    <row r="9466">
      <c r="A9466" s="49">
        <v>44793.50767466435</v>
      </c>
      <c r="B9466" s="50">
        <v>44793.6326448611</v>
      </c>
      <c r="C9466" s="51">
        <v>1.004</v>
      </c>
      <c r="D9466" s="51">
        <v>69.0</v>
      </c>
      <c r="E9466" s="52" t="s">
        <v>25</v>
      </c>
      <c r="F9466" s="52" t="s">
        <v>26</v>
      </c>
      <c r="G9466" s="53"/>
    </row>
    <row r="9467">
      <c r="A9467" s="49">
        <v>44793.51810800926</v>
      </c>
      <c r="B9467" s="50">
        <v>44793.6430768055</v>
      </c>
      <c r="C9467" s="51">
        <v>1.004</v>
      </c>
      <c r="D9467" s="51">
        <v>69.0</v>
      </c>
      <c r="E9467" s="52" t="s">
        <v>25</v>
      </c>
      <c r="F9467" s="52" t="s">
        <v>26</v>
      </c>
      <c r="G9467" s="53"/>
    </row>
    <row r="9468">
      <c r="A9468" s="49">
        <v>44793.52853210648</v>
      </c>
      <c r="B9468" s="50">
        <v>44793.6534984375</v>
      </c>
      <c r="C9468" s="51">
        <v>1.004</v>
      </c>
      <c r="D9468" s="51">
        <v>69.0</v>
      </c>
      <c r="E9468" s="52" t="s">
        <v>25</v>
      </c>
      <c r="F9468" s="52" t="s">
        <v>26</v>
      </c>
      <c r="G9468" s="53"/>
    </row>
    <row r="9469">
      <c r="A9469" s="49">
        <v>44793.53895065973</v>
      </c>
      <c r="B9469" s="50">
        <v>44793.6639199652</v>
      </c>
      <c r="C9469" s="51">
        <v>1.004</v>
      </c>
      <c r="D9469" s="51">
        <v>69.0</v>
      </c>
      <c r="E9469" s="52" t="s">
        <v>25</v>
      </c>
      <c r="F9469" s="52" t="s">
        <v>26</v>
      </c>
      <c r="G9469" s="53"/>
    </row>
    <row r="9470">
      <c r="A9470" s="49">
        <v>44793.54938060185</v>
      </c>
      <c r="B9470" s="50">
        <v>44793.6743509143</v>
      </c>
      <c r="C9470" s="51">
        <v>1.003</v>
      </c>
      <c r="D9470" s="51">
        <v>69.0</v>
      </c>
      <c r="E9470" s="52" t="s">
        <v>25</v>
      </c>
      <c r="F9470" s="52" t="s">
        <v>26</v>
      </c>
      <c r="G9470" s="53"/>
    </row>
    <row r="9471">
      <c r="A9471" s="49">
        <v>44793.55981283565</v>
      </c>
      <c r="B9471" s="50">
        <v>44793.6847830555</v>
      </c>
      <c r="C9471" s="51">
        <v>1.004</v>
      </c>
      <c r="D9471" s="51">
        <v>69.0</v>
      </c>
      <c r="E9471" s="52" t="s">
        <v>25</v>
      </c>
      <c r="F9471" s="52" t="s">
        <v>26</v>
      </c>
      <c r="G9471" s="53"/>
    </row>
    <row r="9472">
      <c r="A9472" s="49">
        <v>44793.57023519676</v>
      </c>
      <c r="B9472" s="50">
        <v>44793.6952039814</v>
      </c>
      <c r="C9472" s="51">
        <v>1.003</v>
      </c>
      <c r="D9472" s="51">
        <v>69.0</v>
      </c>
      <c r="E9472" s="52" t="s">
        <v>25</v>
      </c>
      <c r="F9472" s="52" t="s">
        <v>26</v>
      </c>
      <c r="G9472" s="53"/>
    </row>
    <row r="9473">
      <c r="A9473" s="49">
        <v>44793.58065423611</v>
      </c>
      <c r="B9473" s="50">
        <v>44793.7056246296</v>
      </c>
      <c r="C9473" s="51">
        <v>1.004</v>
      </c>
      <c r="D9473" s="51">
        <v>69.0</v>
      </c>
      <c r="E9473" s="52" t="s">
        <v>25</v>
      </c>
      <c r="F9473" s="52" t="s">
        <v>26</v>
      </c>
      <c r="G9473" s="53"/>
    </row>
    <row r="9474">
      <c r="A9474" s="49">
        <v>44793.591075069446</v>
      </c>
      <c r="B9474" s="50">
        <v>44793.7160450463</v>
      </c>
      <c r="C9474" s="51">
        <v>1.003</v>
      </c>
      <c r="D9474" s="51">
        <v>69.0</v>
      </c>
      <c r="E9474" s="52" t="s">
        <v>25</v>
      </c>
      <c r="F9474" s="52" t="s">
        <v>26</v>
      </c>
      <c r="G9474" s="53"/>
    </row>
    <row r="9475">
      <c r="A9475" s="49">
        <v>44793.60149189815</v>
      </c>
      <c r="B9475" s="50">
        <v>44793.7264648263</v>
      </c>
      <c r="C9475" s="51">
        <v>1.003</v>
      </c>
      <c r="D9475" s="51">
        <v>69.0</v>
      </c>
      <c r="E9475" s="52" t="s">
        <v>25</v>
      </c>
      <c r="F9475" s="52" t="s">
        <v>26</v>
      </c>
      <c r="G9475" s="53"/>
    </row>
    <row r="9476">
      <c r="A9476" s="49">
        <v>44793.61192462963</v>
      </c>
      <c r="B9476" s="50">
        <v>44793.736897824</v>
      </c>
      <c r="C9476" s="51">
        <v>1.004</v>
      </c>
      <c r="D9476" s="51">
        <v>69.0</v>
      </c>
      <c r="E9476" s="52" t="s">
        <v>25</v>
      </c>
      <c r="F9476" s="52" t="s">
        <v>26</v>
      </c>
      <c r="G9476" s="53"/>
    </row>
    <row r="9477">
      <c r="A9477" s="49">
        <v>44793.6223574537</v>
      </c>
      <c r="B9477" s="50">
        <v>44793.7473300347</v>
      </c>
      <c r="C9477" s="51">
        <v>1.004</v>
      </c>
      <c r="D9477" s="51">
        <v>69.0</v>
      </c>
      <c r="E9477" s="52" t="s">
        <v>25</v>
      </c>
      <c r="F9477" s="52" t="s">
        <v>26</v>
      </c>
      <c r="G9477" s="53"/>
    </row>
    <row r="9478">
      <c r="A9478" s="49">
        <v>44793.63279905093</v>
      </c>
      <c r="B9478" s="50">
        <v>44793.7577752199</v>
      </c>
      <c r="C9478" s="51">
        <v>1.003</v>
      </c>
      <c r="D9478" s="51">
        <v>69.0</v>
      </c>
      <c r="E9478" s="52" t="s">
        <v>25</v>
      </c>
      <c r="F9478" s="52" t="s">
        <v>26</v>
      </c>
      <c r="G9478" s="53"/>
    </row>
    <row r="9479">
      <c r="A9479" s="49">
        <v>44793.64322049769</v>
      </c>
      <c r="B9479" s="50">
        <v>44793.7681959143</v>
      </c>
      <c r="C9479" s="51">
        <v>1.004</v>
      </c>
      <c r="D9479" s="51">
        <v>69.0</v>
      </c>
      <c r="E9479" s="52" t="s">
        <v>25</v>
      </c>
      <c r="F9479" s="52" t="s">
        <v>26</v>
      </c>
      <c r="G9479" s="53"/>
    </row>
    <row r="9480">
      <c r="A9480" s="49">
        <v>44793.65364089121</v>
      </c>
      <c r="B9480" s="50">
        <v>44793.7786174189</v>
      </c>
      <c r="C9480" s="51">
        <v>1.003</v>
      </c>
      <c r="D9480" s="51">
        <v>69.0</v>
      </c>
      <c r="E9480" s="52" t="s">
        <v>25</v>
      </c>
      <c r="F9480" s="52" t="s">
        <v>26</v>
      </c>
      <c r="G9480" s="53"/>
    </row>
    <row r="9481">
      <c r="A9481" s="49">
        <v>44793.66407248843</v>
      </c>
      <c r="B9481" s="50">
        <v>44793.7890495833</v>
      </c>
      <c r="C9481" s="51">
        <v>1.004</v>
      </c>
      <c r="D9481" s="51">
        <v>69.0</v>
      </c>
      <c r="E9481" s="52" t="s">
        <v>25</v>
      </c>
      <c r="F9481" s="52" t="s">
        <v>26</v>
      </c>
      <c r="G9481" s="53"/>
    </row>
    <row r="9482">
      <c r="A9482" s="49">
        <v>44793.67452068287</v>
      </c>
      <c r="B9482" s="50">
        <v>44793.7994934143</v>
      </c>
      <c r="C9482" s="51">
        <v>1.004</v>
      </c>
      <c r="D9482" s="51">
        <v>69.0</v>
      </c>
      <c r="E9482" s="52" t="s">
        <v>25</v>
      </c>
      <c r="F9482" s="52" t="s">
        <v>26</v>
      </c>
      <c r="G9482" s="53"/>
    </row>
    <row r="9483">
      <c r="A9483" s="49">
        <v>44793.6849541088</v>
      </c>
      <c r="B9483" s="50">
        <v>44793.8099256134</v>
      </c>
      <c r="C9483" s="51">
        <v>1.003</v>
      </c>
      <c r="D9483" s="51">
        <v>69.0</v>
      </c>
      <c r="E9483" s="52" t="s">
        <v>25</v>
      </c>
      <c r="F9483" s="52" t="s">
        <v>26</v>
      </c>
      <c r="G9483" s="53"/>
    </row>
    <row r="9484">
      <c r="A9484" s="49">
        <v>44793.69538608796</v>
      </c>
      <c r="B9484" s="50">
        <v>44793.8203582176</v>
      </c>
      <c r="C9484" s="51">
        <v>1.004</v>
      </c>
      <c r="D9484" s="51">
        <v>69.0</v>
      </c>
      <c r="E9484" s="52" t="s">
        <v>25</v>
      </c>
      <c r="F9484" s="52" t="s">
        <v>26</v>
      </c>
      <c r="G9484" s="53"/>
    </row>
    <row r="9485">
      <c r="A9485" s="49">
        <v>44793.705809444444</v>
      </c>
      <c r="B9485" s="50">
        <v>44793.8307797453</v>
      </c>
      <c r="C9485" s="51">
        <v>1.004</v>
      </c>
      <c r="D9485" s="51">
        <v>69.0</v>
      </c>
      <c r="E9485" s="52" t="s">
        <v>25</v>
      </c>
      <c r="F9485" s="52" t="s">
        <v>26</v>
      </c>
      <c r="G9485" s="53"/>
    </row>
    <row r="9486">
      <c r="A9486" s="49">
        <v>44793.71622829861</v>
      </c>
      <c r="B9486" s="50">
        <v>44793.8411991551</v>
      </c>
      <c r="C9486" s="51">
        <v>1.004</v>
      </c>
      <c r="D9486" s="51">
        <v>69.0</v>
      </c>
      <c r="E9486" s="52" t="s">
        <v>25</v>
      </c>
      <c r="F9486" s="52" t="s">
        <v>26</v>
      </c>
      <c r="G9486" s="53"/>
    </row>
    <row r="9487">
      <c r="A9487" s="49">
        <v>44793.72664653935</v>
      </c>
      <c r="B9487" s="50">
        <v>44793.8516215625</v>
      </c>
      <c r="C9487" s="51">
        <v>1.003</v>
      </c>
      <c r="D9487" s="51">
        <v>69.0</v>
      </c>
      <c r="E9487" s="52" t="s">
        <v>25</v>
      </c>
      <c r="F9487" s="52" t="s">
        <v>26</v>
      </c>
      <c r="G9487" s="53"/>
    </row>
    <row r="9488">
      <c r="A9488" s="49">
        <v>44793.73707811342</v>
      </c>
      <c r="B9488" s="50">
        <v>44793.8620543402</v>
      </c>
      <c r="C9488" s="51">
        <v>1.003</v>
      </c>
      <c r="D9488" s="51">
        <v>69.0</v>
      </c>
      <c r="E9488" s="52" t="s">
        <v>25</v>
      </c>
      <c r="F9488" s="52" t="s">
        <v>26</v>
      </c>
      <c r="G9488" s="53"/>
    </row>
    <row r="9489">
      <c r="A9489" s="49">
        <v>44793.74750012731</v>
      </c>
      <c r="B9489" s="50">
        <v>44793.8724737384</v>
      </c>
      <c r="C9489" s="51">
        <v>1.003</v>
      </c>
      <c r="D9489" s="51">
        <v>69.0</v>
      </c>
      <c r="E9489" s="52" t="s">
        <v>25</v>
      </c>
      <c r="F9489" s="52" t="s">
        <v>26</v>
      </c>
      <c r="G9489" s="53"/>
    </row>
    <row r="9490">
      <c r="A9490" s="49">
        <v>44793.757916296294</v>
      </c>
      <c r="B9490" s="50">
        <v>44793.882894375</v>
      </c>
      <c r="C9490" s="51">
        <v>1.003</v>
      </c>
      <c r="D9490" s="51">
        <v>69.0</v>
      </c>
      <c r="E9490" s="52" t="s">
        <v>25</v>
      </c>
      <c r="F9490" s="52" t="s">
        <v>26</v>
      </c>
      <c r="G9490" s="53"/>
    </row>
    <row r="9491">
      <c r="A9491" s="49">
        <v>44793.76834863426</v>
      </c>
      <c r="B9491" s="50">
        <v>44793.8933162384</v>
      </c>
      <c r="C9491" s="51">
        <v>1.003</v>
      </c>
      <c r="D9491" s="51">
        <v>69.0</v>
      </c>
      <c r="E9491" s="52" t="s">
        <v>25</v>
      </c>
      <c r="F9491" s="52" t="s">
        <v>26</v>
      </c>
      <c r="G9491" s="53"/>
    </row>
    <row r="9492">
      <c r="A9492" s="49">
        <v>44793.77876534722</v>
      </c>
      <c r="B9492" s="50">
        <v>44793.903738206</v>
      </c>
      <c r="C9492" s="51">
        <v>1.003</v>
      </c>
      <c r="D9492" s="51">
        <v>69.0</v>
      </c>
      <c r="E9492" s="52" t="s">
        <v>25</v>
      </c>
      <c r="F9492" s="52" t="s">
        <v>26</v>
      </c>
      <c r="G9492" s="53"/>
    </row>
    <row r="9493">
      <c r="A9493" s="49">
        <v>44793.789185104164</v>
      </c>
      <c r="B9493" s="50">
        <v>44793.9141611574</v>
      </c>
      <c r="C9493" s="51">
        <v>1.003</v>
      </c>
      <c r="D9493" s="51">
        <v>69.0</v>
      </c>
      <c r="E9493" s="52" t="s">
        <v>25</v>
      </c>
      <c r="F9493" s="52" t="s">
        <v>26</v>
      </c>
      <c r="G9493" s="53"/>
    </row>
    <row r="9494">
      <c r="A9494" s="49">
        <v>44793.799604837965</v>
      </c>
      <c r="B9494" s="50">
        <v>44793.9245837963</v>
      </c>
      <c r="C9494" s="51">
        <v>1.003</v>
      </c>
      <c r="D9494" s="51">
        <v>69.0</v>
      </c>
      <c r="E9494" s="52" t="s">
        <v>25</v>
      </c>
      <c r="F9494" s="52" t="s">
        <v>26</v>
      </c>
      <c r="G9494" s="53"/>
    </row>
    <row r="9495">
      <c r="A9495" s="49">
        <v>44793.81002172454</v>
      </c>
      <c r="B9495" s="50">
        <v>44793.9350070486</v>
      </c>
      <c r="C9495" s="51">
        <v>1.003</v>
      </c>
      <c r="D9495" s="51">
        <v>69.0</v>
      </c>
      <c r="E9495" s="52" t="s">
        <v>25</v>
      </c>
      <c r="F9495" s="52" t="s">
        <v>26</v>
      </c>
      <c r="G9495" s="53"/>
    </row>
    <row r="9496">
      <c r="A9496" s="49">
        <v>44793.82046002315</v>
      </c>
      <c r="B9496" s="50">
        <v>44793.9454290046</v>
      </c>
      <c r="C9496" s="51">
        <v>1.004</v>
      </c>
      <c r="D9496" s="51">
        <v>69.0</v>
      </c>
      <c r="E9496" s="52" t="s">
        <v>25</v>
      </c>
      <c r="F9496" s="52" t="s">
        <v>26</v>
      </c>
      <c r="G9496" s="53"/>
    </row>
    <row r="9497">
      <c r="A9497" s="49">
        <v>44793.83087614583</v>
      </c>
      <c r="B9497" s="50">
        <v>44793.9558500347</v>
      </c>
      <c r="C9497" s="51">
        <v>1.003</v>
      </c>
      <c r="D9497" s="51">
        <v>69.0</v>
      </c>
      <c r="E9497" s="52" t="s">
        <v>25</v>
      </c>
      <c r="F9497" s="52" t="s">
        <v>26</v>
      </c>
      <c r="G9497" s="53"/>
    </row>
    <row r="9498">
      <c r="A9498" s="49">
        <v>44793.84129902778</v>
      </c>
      <c r="B9498" s="50">
        <v>44793.9662719097</v>
      </c>
      <c r="C9498" s="51">
        <v>1.004</v>
      </c>
      <c r="D9498" s="51">
        <v>69.0</v>
      </c>
      <c r="E9498" s="52" t="s">
        <v>25</v>
      </c>
      <c r="F9498" s="52" t="s">
        <v>26</v>
      </c>
      <c r="G9498" s="53"/>
    </row>
    <row r="9499">
      <c r="A9499" s="49">
        <v>44793.8517328125</v>
      </c>
      <c r="B9499" s="50">
        <v>44793.9767041319</v>
      </c>
      <c r="C9499" s="51">
        <v>1.003</v>
      </c>
      <c r="D9499" s="51">
        <v>69.0</v>
      </c>
      <c r="E9499" s="52" t="s">
        <v>25</v>
      </c>
      <c r="F9499" s="52" t="s">
        <v>26</v>
      </c>
      <c r="G9499" s="53"/>
    </row>
    <row r="9500">
      <c r="A9500" s="49">
        <v>44793.86215424769</v>
      </c>
      <c r="B9500" s="50">
        <v>44793.9871254398</v>
      </c>
      <c r="C9500" s="51">
        <v>1.004</v>
      </c>
      <c r="D9500" s="51">
        <v>69.0</v>
      </c>
      <c r="E9500" s="52" t="s">
        <v>25</v>
      </c>
      <c r="F9500" s="52" t="s">
        <v>26</v>
      </c>
      <c r="G9500" s="53"/>
    </row>
    <row r="9501">
      <c r="A9501" s="49">
        <v>44793.87257277778</v>
      </c>
      <c r="B9501" s="50">
        <v>44793.9975454629</v>
      </c>
      <c r="C9501" s="51">
        <v>1.004</v>
      </c>
      <c r="D9501" s="51">
        <v>69.0</v>
      </c>
      <c r="E9501" s="52" t="s">
        <v>25</v>
      </c>
      <c r="F9501" s="52" t="s">
        <v>26</v>
      </c>
      <c r="G9501" s="53"/>
    </row>
    <row r="9502">
      <c r="A9502" s="49">
        <v>44793.882992326384</v>
      </c>
      <c r="B9502" s="50">
        <v>44794.0079664467</v>
      </c>
      <c r="C9502" s="51">
        <v>1.003</v>
      </c>
      <c r="D9502" s="51">
        <v>69.0</v>
      </c>
      <c r="E9502" s="52" t="s">
        <v>25</v>
      </c>
      <c r="F9502" s="52" t="s">
        <v>26</v>
      </c>
      <c r="G9502" s="53"/>
    </row>
    <row r="9503">
      <c r="A9503" s="49">
        <v>44793.89342576389</v>
      </c>
      <c r="B9503" s="50">
        <v>44794.0183989583</v>
      </c>
      <c r="C9503" s="51">
        <v>1.003</v>
      </c>
      <c r="D9503" s="51">
        <v>70.0</v>
      </c>
      <c r="E9503" s="52" t="s">
        <v>25</v>
      </c>
      <c r="F9503" s="52" t="s">
        <v>26</v>
      </c>
      <c r="G9503" s="53"/>
    </row>
    <row r="9504">
      <c r="A9504" s="49">
        <v>44793.903847974536</v>
      </c>
      <c r="B9504" s="50">
        <v>44794.0288195717</v>
      </c>
      <c r="C9504" s="51">
        <v>1.004</v>
      </c>
      <c r="D9504" s="51">
        <v>69.0</v>
      </c>
      <c r="E9504" s="52" t="s">
        <v>25</v>
      </c>
      <c r="F9504" s="52" t="s">
        <v>26</v>
      </c>
      <c r="G9504" s="53"/>
    </row>
    <row r="9505">
      <c r="A9505" s="49">
        <v>44793.91427979167</v>
      </c>
      <c r="B9505" s="50">
        <v>44794.0392522453</v>
      </c>
      <c r="C9505" s="51">
        <v>1.003</v>
      </c>
      <c r="D9505" s="51">
        <v>69.0</v>
      </c>
      <c r="E9505" s="52" t="s">
        <v>25</v>
      </c>
      <c r="F9505" s="52" t="s">
        <v>26</v>
      </c>
      <c r="G9505" s="53"/>
    </row>
    <row r="9506">
      <c r="A9506" s="49">
        <v>44793.924720497685</v>
      </c>
      <c r="B9506" s="50">
        <v>44794.0496985069</v>
      </c>
      <c r="C9506" s="51">
        <v>1.004</v>
      </c>
      <c r="D9506" s="51">
        <v>70.0</v>
      </c>
      <c r="E9506" s="52" t="s">
        <v>25</v>
      </c>
      <c r="F9506" s="52" t="s">
        <v>26</v>
      </c>
      <c r="G9506" s="53"/>
    </row>
    <row r="9507">
      <c r="A9507" s="49">
        <v>44793.9351462037</v>
      </c>
      <c r="B9507" s="50">
        <v>44794.0601180555</v>
      </c>
      <c r="C9507" s="51">
        <v>1.004</v>
      </c>
      <c r="D9507" s="51">
        <v>70.0</v>
      </c>
      <c r="E9507" s="52" t="s">
        <v>25</v>
      </c>
      <c r="F9507" s="52" t="s">
        <v>26</v>
      </c>
      <c r="G9507" s="53"/>
    </row>
    <row r="9508">
      <c r="A9508" s="49">
        <v>44793.94558105324</v>
      </c>
      <c r="B9508" s="50">
        <v>44794.0705516782</v>
      </c>
      <c r="C9508" s="51">
        <v>1.004</v>
      </c>
      <c r="D9508" s="51">
        <v>70.0</v>
      </c>
      <c r="E9508" s="52" t="s">
        <v>25</v>
      </c>
      <c r="F9508" s="52" t="s">
        <v>26</v>
      </c>
      <c r="G9508" s="53"/>
    </row>
    <row r="9509">
      <c r="A9509" s="49">
        <v>44793.95599690972</v>
      </c>
      <c r="B9509" s="50">
        <v>44794.0809721759</v>
      </c>
      <c r="C9509" s="51">
        <v>1.003</v>
      </c>
      <c r="D9509" s="51">
        <v>70.0</v>
      </c>
      <c r="E9509" s="52" t="s">
        <v>25</v>
      </c>
      <c r="F9509" s="52" t="s">
        <v>26</v>
      </c>
      <c r="G9509" s="53"/>
    </row>
    <row r="9510">
      <c r="A9510" s="49">
        <v>44793.966422881946</v>
      </c>
      <c r="B9510" s="50">
        <v>44794.0914039583</v>
      </c>
      <c r="C9510" s="51">
        <v>1.004</v>
      </c>
      <c r="D9510" s="51">
        <v>70.0</v>
      </c>
      <c r="E9510" s="52" t="s">
        <v>25</v>
      </c>
      <c r="F9510" s="52" t="s">
        <v>26</v>
      </c>
      <c r="G9510" s="53"/>
    </row>
    <row r="9511">
      <c r="A9511" s="49">
        <v>44793.97687564815</v>
      </c>
      <c r="B9511" s="50">
        <v>44794.1018593402</v>
      </c>
      <c r="C9511" s="51">
        <v>1.003</v>
      </c>
      <c r="D9511" s="51">
        <v>70.0</v>
      </c>
      <c r="E9511" s="52" t="s">
        <v>25</v>
      </c>
      <c r="F9511" s="52" t="s">
        <v>26</v>
      </c>
      <c r="G9511" s="53"/>
    </row>
    <row r="9512">
      <c r="A9512" s="49">
        <v>44793.98730403935</v>
      </c>
      <c r="B9512" s="50">
        <v>44794.1122790046</v>
      </c>
      <c r="C9512" s="51">
        <v>1.003</v>
      </c>
      <c r="D9512" s="51">
        <v>70.0</v>
      </c>
      <c r="E9512" s="52" t="s">
        <v>25</v>
      </c>
      <c r="F9512" s="52" t="s">
        <v>26</v>
      </c>
      <c r="G9512" s="53"/>
    </row>
    <row r="9513">
      <c r="A9513" s="49">
        <v>44793.997716909726</v>
      </c>
      <c r="B9513" s="50">
        <v>44794.1227005439</v>
      </c>
      <c r="C9513" s="51">
        <v>1.003</v>
      </c>
      <c r="D9513" s="51">
        <v>70.0</v>
      </c>
      <c r="E9513" s="52" t="s">
        <v>25</v>
      </c>
      <c r="F9513" s="52" t="s">
        <v>26</v>
      </c>
      <c r="G9513" s="53"/>
    </row>
    <row r="9514">
      <c r="A9514" s="49">
        <v>44794.008195243056</v>
      </c>
      <c r="B9514" s="50">
        <v>44794.133121574</v>
      </c>
      <c r="C9514" s="51">
        <v>1.003</v>
      </c>
      <c r="D9514" s="51">
        <v>70.0</v>
      </c>
      <c r="E9514" s="52" t="s">
        <v>25</v>
      </c>
      <c r="F9514" s="52" t="s">
        <v>26</v>
      </c>
      <c r="G9514" s="53"/>
    </row>
    <row r="9515">
      <c r="A9515" s="49">
        <v>44794.01857085648</v>
      </c>
      <c r="B9515" s="50">
        <v>44794.1435431134</v>
      </c>
      <c r="C9515" s="51">
        <v>1.003</v>
      </c>
      <c r="D9515" s="51">
        <v>70.0</v>
      </c>
      <c r="E9515" s="52" t="s">
        <v>25</v>
      </c>
      <c r="F9515" s="52" t="s">
        <v>26</v>
      </c>
      <c r="G9515" s="53"/>
    </row>
    <row r="9516">
      <c r="A9516" s="49">
        <v>44794.02898804398</v>
      </c>
      <c r="B9516" s="50">
        <v>44794.1539645138</v>
      </c>
      <c r="C9516" s="51">
        <v>1.003</v>
      </c>
      <c r="D9516" s="51">
        <v>70.0</v>
      </c>
      <c r="E9516" s="52" t="s">
        <v>25</v>
      </c>
      <c r="F9516" s="52" t="s">
        <v>26</v>
      </c>
      <c r="G9516" s="53"/>
    </row>
    <row r="9517">
      <c r="A9517" s="49">
        <v>44794.03940434028</v>
      </c>
      <c r="B9517" s="50">
        <v>44794.1643863773</v>
      </c>
      <c r="C9517" s="51">
        <v>1.004</v>
      </c>
      <c r="D9517" s="51">
        <v>70.0</v>
      </c>
      <c r="E9517" s="52" t="s">
        <v>25</v>
      </c>
      <c r="F9517" s="52" t="s">
        <v>26</v>
      </c>
      <c r="G9517" s="53"/>
    </row>
    <row r="9518">
      <c r="A9518" s="49">
        <v>44794.04984083334</v>
      </c>
      <c r="B9518" s="50">
        <v>44794.1748087615</v>
      </c>
      <c r="C9518" s="51">
        <v>1.004</v>
      </c>
      <c r="D9518" s="51">
        <v>70.0</v>
      </c>
      <c r="E9518" s="52" t="s">
        <v>25</v>
      </c>
      <c r="F9518" s="52" t="s">
        <v>26</v>
      </c>
      <c r="G9518" s="53"/>
    </row>
    <row r="9519">
      <c r="A9519" s="49">
        <v>44794.06026618056</v>
      </c>
      <c r="B9519" s="50">
        <v>44794.1852408101</v>
      </c>
      <c r="C9519" s="51">
        <v>1.004</v>
      </c>
      <c r="D9519" s="51">
        <v>70.0</v>
      </c>
      <c r="E9519" s="52" t="s">
        <v>25</v>
      </c>
      <c r="F9519" s="52" t="s">
        <v>26</v>
      </c>
      <c r="G9519" s="53"/>
    </row>
    <row r="9520">
      <c r="A9520" s="49">
        <v>44794.07068738426</v>
      </c>
      <c r="B9520" s="50">
        <v>44794.1956622569</v>
      </c>
      <c r="C9520" s="51">
        <v>1.003</v>
      </c>
      <c r="D9520" s="51">
        <v>70.0</v>
      </c>
      <c r="E9520" s="52" t="s">
        <v>25</v>
      </c>
      <c r="F9520" s="52" t="s">
        <v>26</v>
      </c>
      <c r="G9520" s="53"/>
    </row>
    <row r="9521">
      <c r="A9521" s="49">
        <v>44794.08110206018</v>
      </c>
      <c r="B9521" s="50">
        <v>44794.2060846759</v>
      </c>
      <c r="C9521" s="51">
        <v>1.003</v>
      </c>
      <c r="D9521" s="51">
        <v>70.0</v>
      </c>
      <c r="E9521" s="52" t="s">
        <v>25</v>
      </c>
      <c r="F9521" s="52" t="s">
        <v>26</v>
      </c>
      <c r="G9521" s="53"/>
    </row>
    <row r="9522">
      <c r="A9522" s="49">
        <v>44794.09152715278</v>
      </c>
      <c r="B9522" s="50">
        <v>44794.2165038888</v>
      </c>
      <c r="C9522" s="51">
        <v>1.003</v>
      </c>
      <c r="D9522" s="51">
        <v>70.0</v>
      </c>
      <c r="E9522" s="52" t="s">
        <v>25</v>
      </c>
      <c r="F9522" s="52" t="s">
        <v>26</v>
      </c>
      <c r="G9522" s="53"/>
    </row>
    <row r="9523">
      <c r="A9523" s="49">
        <v>44794.10194620371</v>
      </c>
      <c r="B9523" s="50">
        <v>44794.2269251388</v>
      </c>
      <c r="C9523" s="51">
        <v>1.004</v>
      </c>
      <c r="D9523" s="51">
        <v>70.0</v>
      </c>
      <c r="E9523" s="52" t="s">
        <v>25</v>
      </c>
      <c r="F9523" s="52" t="s">
        <v>26</v>
      </c>
      <c r="G9523" s="53"/>
    </row>
    <row r="9524">
      <c r="A9524" s="49">
        <v>44794.11236591435</v>
      </c>
      <c r="B9524" s="50">
        <v>44794.2373458449</v>
      </c>
      <c r="C9524" s="51">
        <v>1.004</v>
      </c>
      <c r="D9524" s="51">
        <v>70.0</v>
      </c>
      <c r="E9524" s="52" t="s">
        <v>25</v>
      </c>
      <c r="F9524" s="52" t="s">
        <v>26</v>
      </c>
      <c r="G9524" s="53"/>
    </row>
    <row r="9525">
      <c r="A9525" s="49">
        <v>44794.12279258102</v>
      </c>
      <c r="B9525" s="50">
        <v>44794.2477663078</v>
      </c>
      <c r="C9525" s="51">
        <v>1.003</v>
      </c>
      <c r="D9525" s="51">
        <v>70.0</v>
      </c>
      <c r="E9525" s="52" t="s">
        <v>25</v>
      </c>
      <c r="F9525" s="52" t="s">
        <v>26</v>
      </c>
      <c r="G9525" s="53"/>
    </row>
    <row r="9526">
      <c r="A9526" s="49">
        <v>44794.1332477199</v>
      </c>
      <c r="B9526" s="50">
        <v>44794.2582217245</v>
      </c>
      <c r="C9526" s="51">
        <v>1.003</v>
      </c>
      <c r="D9526" s="51">
        <v>70.0</v>
      </c>
      <c r="E9526" s="52" t="s">
        <v>25</v>
      </c>
      <c r="F9526" s="52" t="s">
        <v>26</v>
      </c>
      <c r="G9526" s="53"/>
    </row>
    <row r="9527">
      <c r="A9527" s="49">
        <v>44794.14366880787</v>
      </c>
      <c r="B9527" s="50">
        <v>44794.2686422916</v>
      </c>
      <c r="C9527" s="51">
        <v>1.004</v>
      </c>
      <c r="D9527" s="51">
        <v>70.0</v>
      </c>
      <c r="E9527" s="52" t="s">
        <v>25</v>
      </c>
      <c r="F9527" s="52" t="s">
        <v>26</v>
      </c>
      <c r="G9527" s="53"/>
    </row>
    <row r="9528">
      <c r="A9528" s="49">
        <v>44794.15408847222</v>
      </c>
      <c r="B9528" s="50">
        <v>44794.2790619675</v>
      </c>
      <c r="C9528" s="51">
        <v>1.003</v>
      </c>
      <c r="D9528" s="51">
        <v>70.0</v>
      </c>
      <c r="E9528" s="52" t="s">
        <v>25</v>
      </c>
      <c r="F9528" s="52" t="s">
        <v>26</v>
      </c>
      <c r="G9528" s="53"/>
    </row>
    <row r="9529">
      <c r="A9529" s="49">
        <v>44794.16450796297</v>
      </c>
      <c r="B9529" s="50">
        <v>44794.28948478</v>
      </c>
      <c r="C9529" s="51">
        <v>1.004</v>
      </c>
      <c r="D9529" s="51">
        <v>70.0</v>
      </c>
      <c r="E9529" s="52" t="s">
        <v>25</v>
      </c>
      <c r="F9529" s="52" t="s">
        <v>26</v>
      </c>
      <c r="G9529" s="53"/>
    </row>
    <row r="9530">
      <c r="A9530" s="49">
        <v>44794.17494652778</v>
      </c>
      <c r="B9530" s="50">
        <v>44794.2999195717</v>
      </c>
      <c r="C9530" s="51">
        <v>1.003</v>
      </c>
      <c r="D9530" s="51">
        <v>70.0</v>
      </c>
      <c r="E9530" s="52" t="s">
        <v>25</v>
      </c>
      <c r="F9530" s="52" t="s">
        <v>26</v>
      </c>
      <c r="G9530" s="53"/>
    </row>
    <row r="9531">
      <c r="A9531" s="49">
        <v>44794.185371597225</v>
      </c>
      <c r="B9531" s="50">
        <v>44794.310340868</v>
      </c>
      <c r="C9531" s="51">
        <v>1.004</v>
      </c>
      <c r="D9531" s="51">
        <v>70.0</v>
      </c>
      <c r="E9531" s="52" t="s">
        <v>25</v>
      </c>
      <c r="F9531" s="52" t="s">
        <v>26</v>
      </c>
      <c r="G9531" s="53"/>
    </row>
    <row r="9532">
      <c r="A9532" s="49">
        <v>44794.19578649306</v>
      </c>
      <c r="B9532" s="50">
        <v>44794.3207643634</v>
      </c>
      <c r="C9532" s="51">
        <v>1.003</v>
      </c>
      <c r="D9532" s="51">
        <v>70.0</v>
      </c>
      <c r="E9532" s="52" t="s">
        <v>25</v>
      </c>
      <c r="F9532" s="52" t="s">
        <v>26</v>
      </c>
      <c r="G9532" s="53"/>
    </row>
    <row r="9533">
      <c r="A9533" s="49">
        <v>44794.20622896991</v>
      </c>
      <c r="B9533" s="50">
        <v>44794.3311956018</v>
      </c>
      <c r="C9533" s="51">
        <v>1.003</v>
      </c>
      <c r="D9533" s="51">
        <v>70.0</v>
      </c>
      <c r="E9533" s="52" t="s">
        <v>25</v>
      </c>
      <c r="F9533" s="52" t="s">
        <v>26</v>
      </c>
      <c r="G9533" s="53"/>
    </row>
    <row r="9534">
      <c r="A9534" s="49">
        <v>44794.21664856482</v>
      </c>
      <c r="B9534" s="50">
        <v>44794.341617118</v>
      </c>
      <c r="C9534" s="51">
        <v>1.004</v>
      </c>
      <c r="D9534" s="51">
        <v>70.0</v>
      </c>
      <c r="E9534" s="52" t="s">
        <v>25</v>
      </c>
      <c r="F9534" s="52" t="s">
        <v>26</v>
      </c>
      <c r="G9534" s="53"/>
    </row>
    <row r="9535">
      <c r="A9535" s="49">
        <v>44794.22707273148</v>
      </c>
      <c r="B9535" s="50">
        <v>44794.3520366666</v>
      </c>
      <c r="C9535" s="51">
        <v>1.003</v>
      </c>
      <c r="D9535" s="51">
        <v>70.0</v>
      </c>
      <c r="E9535" s="52" t="s">
        <v>25</v>
      </c>
      <c r="F9535" s="52" t="s">
        <v>26</v>
      </c>
      <c r="G9535" s="53"/>
    </row>
    <row r="9536">
      <c r="A9536" s="49">
        <v>44794.237518483795</v>
      </c>
      <c r="B9536" s="50">
        <v>44794.3624701157</v>
      </c>
      <c r="C9536" s="51">
        <v>1.003</v>
      </c>
      <c r="D9536" s="51">
        <v>70.0</v>
      </c>
      <c r="E9536" s="52" t="s">
        <v>25</v>
      </c>
      <c r="F9536" s="52" t="s">
        <v>26</v>
      </c>
      <c r="G9536" s="53"/>
    </row>
    <row r="9537">
      <c r="A9537" s="49">
        <v>44794.24792327546</v>
      </c>
      <c r="B9537" s="50">
        <v>44794.372890787</v>
      </c>
      <c r="C9537" s="51">
        <v>1.003</v>
      </c>
      <c r="D9537" s="51">
        <v>70.0</v>
      </c>
      <c r="E9537" s="52" t="s">
        <v>25</v>
      </c>
      <c r="F9537" s="52" t="s">
        <v>26</v>
      </c>
      <c r="G9537" s="53"/>
    </row>
    <row r="9538">
      <c r="A9538" s="49">
        <v>44794.258344664355</v>
      </c>
      <c r="B9538" s="50">
        <v>44794.3833124421</v>
      </c>
      <c r="C9538" s="51">
        <v>1.003</v>
      </c>
      <c r="D9538" s="51">
        <v>70.0</v>
      </c>
      <c r="E9538" s="52" t="s">
        <v>25</v>
      </c>
      <c r="F9538" s="52" t="s">
        <v>26</v>
      </c>
      <c r="G9538" s="53"/>
    </row>
    <row r="9539">
      <c r="A9539" s="49">
        <v>44794.268767835645</v>
      </c>
      <c r="B9539" s="50">
        <v>44794.39373375</v>
      </c>
      <c r="C9539" s="51">
        <v>1.003</v>
      </c>
      <c r="D9539" s="51">
        <v>70.0</v>
      </c>
      <c r="E9539" s="52" t="s">
        <v>25</v>
      </c>
      <c r="F9539" s="52" t="s">
        <v>26</v>
      </c>
      <c r="G9539" s="53"/>
    </row>
    <row r="9540">
      <c r="A9540" s="49">
        <v>44794.27917903935</v>
      </c>
      <c r="B9540" s="50">
        <v>44794.4041537615</v>
      </c>
      <c r="C9540" s="51">
        <v>1.003</v>
      </c>
      <c r="D9540" s="51">
        <v>70.0</v>
      </c>
      <c r="E9540" s="52" t="s">
        <v>25</v>
      </c>
      <c r="F9540" s="52" t="s">
        <v>26</v>
      </c>
      <c r="G9540" s="53"/>
    </row>
    <row r="9541">
      <c r="A9541" s="49">
        <v>44794.28960939815</v>
      </c>
      <c r="B9541" s="50">
        <v>44794.4145761458</v>
      </c>
      <c r="C9541" s="51">
        <v>1.003</v>
      </c>
      <c r="D9541" s="51">
        <v>70.0</v>
      </c>
      <c r="E9541" s="52" t="s">
        <v>25</v>
      </c>
      <c r="F9541" s="52" t="s">
        <v>26</v>
      </c>
      <c r="G9541" s="53"/>
    </row>
    <row r="9542">
      <c r="A9542" s="49">
        <v>44794.300047638884</v>
      </c>
      <c r="B9542" s="50">
        <v>44794.4250086111</v>
      </c>
      <c r="C9542" s="51">
        <v>1.003</v>
      </c>
      <c r="D9542" s="51">
        <v>70.0</v>
      </c>
      <c r="E9542" s="52" t="s">
        <v>25</v>
      </c>
      <c r="F9542" s="52" t="s">
        <v>26</v>
      </c>
      <c r="G9542" s="53"/>
    </row>
    <row r="9543">
      <c r="A9543" s="49">
        <v>44794.3104833449</v>
      </c>
      <c r="B9543" s="50">
        <v>44794.4354542014</v>
      </c>
      <c r="C9543" s="51">
        <v>1.003</v>
      </c>
      <c r="D9543" s="51">
        <v>70.0</v>
      </c>
      <c r="E9543" s="52" t="s">
        <v>25</v>
      </c>
      <c r="F9543" s="52" t="s">
        <v>26</v>
      </c>
      <c r="G9543" s="53"/>
    </row>
    <row r="9544">
      <c r="A9544" s="49">
        <v>44794.32091137732</v>
      </c>
      <c r="B9544" s="50">
        <v>44794.4458768171</v>
      </c>
      <c r="C9544" s="51">
        <v>1.003</v>
      </c>
      <c r="D9544" s="51">
        <v>70.0</v>
      </c>
      <c r="E9544" s="52" t="s">
        <v>25</v>
      </c>
      <c r="F9544" s="52" t="s">
        <v>26</v>
      </c>
      <c r="G9544" s="53"/>
    </row>
    <row r="9545">
      <c r="A9545" s="49">
        <v>44794.33132978009</v>
      </c>
      <c r="B9545" s="50">
        <v>44794.4562977893</v>
      </c>
      <c r="C9545" s="51">
        <v>1.003</v>
      </c>
      <c r="D9545" s="51">
        <v>70.0</v>
      </c>
      <c r="E9545" s="52" t="s">
        <v>25</v>
      </c>
      <c r="F9545" s="52" t="s">
        <v>26</v>
      </c>
      <c r="G9545" s="53"/>
    </row>
    <row r="9546">
      <c r="A9546" s="49">
        <v>44794.34176084491</v>
      </c>
      <c r="B9546" s="50">
        <v>44794.4667293171</v>
      </c>
      <c r="C9546" s="51">
        <v>1.004</v>
      </c>
      <c r="D9546" s="51">
        <v>70.0</v>
      </c>
      <c r="E9546" s="52" t="s">
        <v>25</v>
      </c>
      <c r="F9546" s="52" t="s">
        <v>26</v>
      </c>
      <c r="G9546" s="53"/>
    </row>
    <row r="9547">
      <c r="A9547" s="49">
        <v>44794.352189212965</v>
      </c>
      <c r="B9547" s="50">
        <v>44794.4771625694</v>
      </c>
      <c r="C9547" s="51">
        <v>1.004</v>
      </c>
      <c r="D9547" s="51">
        <v>70.0</v>
      </c>
      <c r="E9547" s="52" t="s">
        <v>25</v>
      </c>
      <c r="F9547" s="52" t="s">
        <v>26</v>
      </c>
      <c r="G9547" s="53"/>
    </row>
    <row r="9548">
      <c r="A9548" s="49">
        <v>44794.36261650463</v>
      </c>
      <c r="B9548" s="50">
        <v>44794.4875843981</v>
      </c>
      <c r="C9548" s="51">
        <v>1.003</v>
      </c>
      <c r="D9548" s="51">
        <v>70.0</v>
      </c>
      <c r="E9548" s="52" t="s">
        <v>25</v>
      </c>
      <c r="F9548" s="52" t="s">
        <v>26</v>
      </c>
      <c r="G9548" s="53"/>
    </row>
    <row r="9549">
      <c r="A9549" s="49">
        <v>44794.37304622685</v>
      </c>
      <c r="B9549" s="50">
        <v>44794.4980175694</v>
      </c>
      <c r="C9549" s="51">
        <v>1.003</v>
      </c>
      <c r="D9549" s="51">
        <v>70.0</v>
      </c>
      <c r="E9549" s="52" t="s">
        <v>25</v>
      </c>
      <c r="F9549" s="52" t="s">
        <v>26</v>
      </c>
      <c r="G9549" s="53"/>
    </row>
    <row r="9550">
      <c r="A9550" s="49">
        <v>44794.38347277778</v>
      </c>
      <c r="B9550" s="50">
        <v>44794.5084385185</v>
      </c>
      <c r="C9550" s="51">
        <v>1.004</v>
      </c>
      <c r="D9550" s="51">
        <v>70.0</v>
      </c>
      <c r="E9550" s="52" t="s">
        <v>25</v>
      </c>
      <c r="F9550" s="52" t="s">
        <v>26</v>
      </c>
      <c r="G9550" s="53"/>
    </row>
    <row r="9551">
      <c r="A9551" s="49">
        <v>44794.39388717593</v>
      </c>
      <c r="B9551" s="50">
        <v>44794.5188595486</v>
      </c>
      <c r="C9551" s="51">
        <v>1.003</v>
      </c>
      <c r="D9551" s="51">
        <v>70.0</v>
      </c>
      <c r="E9551" s="52" t="s">
        <v>25</v>
      </c>
      <c r="F9551" s="52" t="s">
        <v>26</v>
      </c>
      <c r="G9551" s="53"/>
    </row>
    <row r="9552">
      <c r="A9552" s="49">
        <v>44794.40431561343</v>
      </c>
      <c r="B9552" s="50">
        <v>44794.5292820138</v>
      </c>
      <c r="C9552" s="51">
        <v>1.003</v>
      </c>
      <c r="D9552" s="51">
        <v>70.0</v>
      </c>
      <c r="E9552" s="52" t="s">
        <v>25</v>
      </c>
      <c r="F9552" s="52" t="s">
        <v>26</v>
      </c>
      <c r="G9552" s="53"/>
    </row>
    <row r="9553">
      <c r="A9553" s="49">
        <v>44794.41474565973</v>
      </c>
      <c r="B9553" s="50">
        <v>44794.5397137384</v>
      </c>
      <c r="C9553" s="51">
        <v>1.004</v>
      </c>
      <c r="D9553" s="51">
        <v>70.0</v>
      </c>
      <c r="E9553" s="52" t="s">
        <v>25</v>
      </c>
      <c r="F9553" s="52" t="s">
        <v>26</v>
      </c>
      <c r="G9553" s="53"/>
    </row>
    <row r="9554">
      <c r="A9554" s="49">
        <v>44794.42516969907</v>
      </c>
      <c r="B9554" s="50">
        <v>44794.5501360185</v>
      </c>
      <c r="C9554" s="51">
        <v>1.003</v>
      </c>
      <c r="D9554" s="51">
        <v>70.0</v>
      </c>
      <c r="E9554" s="52" t="s">
        <v>25</v>
      </c>
      <c r="F9554" s="52" t="s">
        <v>26</v>
      </c>
      <c r="G9554" s="53"/>
    </row>
    <row r="9555">
      <c r="A9555" s="49">
        <v>44794.435586493055</v>
      </c>
      <c r="B9555" s="50">
        <v>44794.5605589004</v>
      </c>
      <c r="C9555" s="51">
        <v>1.003</v>
      </c>
      <c r="D9555" s="51">
        <v>70.0</v>
      </c>
      <c r="E9555" s="52" t="s">
        <v>25</v>
      </c>
      <c r="F9555" s="52" t="s">
        <v>26</v>
      </c>
      <c r="G9555" s="53"/>
    </row>
    <row r="9556">
      <c r="A9556" s="49">
        <v>44794.44600418981</v>
      </c>
      <c r="B9556" s="50">
        <v>44794.5709792245</v>
      </c>
      <c r="C9556" s="51">
        <v>1.003</v>
      </c>
      <c r="D9556" s="51">
        <v>70.0</v>
      </c>
      <c r="E9556" s="52" t="s">
        <v>25</v>
      </c>
      <c r="F9556" s="52" t="s">
        <v>26</v>
      </c>
      <c r="G9556" s="53"/>
    </row>
    <row r="9557">
      <c r="A9557" s="49">
        <v>44794.45641752315</v>
      </c>
      <c r="B9557" s="50">
        <v>44794.5814005555</v>
      </c>
      <c r="C9557" s="51">
        <v>1.003</v>
      </c>
      <c r="D9557" s="51">
        <v>69.0</v>
      </c>
      <c r="E9557" s="52" t="s">
        <v>25</v>
      </c>
      <c r="F9557" s="52" t="s">
        <v>26</v>
      </c>
      <c r="G9557" s="53"/>
    </row>
    <row r="9558">
      <c r="A9558" s="49">
        <v>44794.466857962965</v>
      </c>
      <c r="B9558" s="50">
        <v>44794.5918213541</v>
      </c>
      <c r="C9558" s="51">
        <v>1.003</v>
      </c>
      <c r="D9558" s="51">
        <v>68.0</v>
      </c>
      <c r="E9558" s="52" t="s">
        <v>25</v>
      </c>
      <c r="F9558" s="52" t="s">
        <v>26</v>
      </c>
      <c r="G9558" s="53"/>
    </row>
    <row r="9559">
      <c r="A9559" s="49">
        <v>44794.47727342593</v>
      </c>
      <c r="B9559" s="50">
        <v>44794.6022429861</v>
      </c>
      <c r="C9559" s="51">
        <v>1.003</v>
      </c>
      <c r="D9559" s="51">
        <v>67.0</v>
      </c>
      <c r="E9559" s="52" t="s">
        <v>25</v>
      </c>
      <c r="F9559" s="52" t="s">
        <v>26</v>
      </c>
      <c r="G9559" s="53"/>
    </row>
    <row r="9560">
      <c r="A9560" s="49">
        <v>44794.48769232639</v>
      </c>
      <c r="B9560" s="50">
        <v>44794.6126636342</v>
      </c>
      <c r="C9560" s="51">
        <v>1.003</v>
      </c>
      <c r="D9560" s="51">
        <v>67.0</v>
      </c>
      <c r="E9560" s="52" t="s">
        <v>25</v>
      </c>
      <c r="F9560" s="52" t="s">
        <v>26</v>
      </c>
      <c r="G9560" s="53"/>
    </row>
    <row r="9561">
      <c r="A9561" s="49">
        <v>44794.49811078704</v>
      </c>
      <c r="B9561" s="50">
        <v>44794.6230840393</v>
      </c>
      <c r="C9561" s="51">
        <v>1.004</v>
      </c>
      <c r="D9561" s="51">
        <v>66.0</v>
      </c>
      <c r="E9561" s="52" t="s">
        <v>25</v>
      </c>
      <c r="F9561" s="52" t="s">
        <v>26</v>
      </c>
      <c r="G9561" s="53"/>
    </row>
    <row r="9562">
      <c r="A9562" s="49">
        <v>44794.50853590277</v>
      </c>
      <c r="B9562" s="50">
        <v>44794.633516655</v>
      </c>
      <c r="C9562" s="51">
        <v>1.003</v>
      </c>
      <c r="D9562" s="51">
        <v>66.0</v>
      </c>
      <c r="E9562" s="52" t="s">
        <v>25</v>
      </c>
      <c r="F9562" s="52" t="s">
        <v>26</v>
      </c>
      <c r="G9562" s="53"/>
    </row>
    <row r="9563">
      <c r="A9563" s="49">
        <v>44794.51895883102</v>
      </c>
      <c r="B9563" s="50">
        <v>44794.6439373611</v>
      </c>
      <c r="C9563" s="51">
        <v>1.003</v>
      </c>
      <c r="D9563" s="51">
        <v>66.0</v>
      </c>
      <c r="E9563" s="52" t="s">
        <v>25</v>
      </c>
      <c r="F9563" s="52" t="s">
        <v>26</v>
      </c>
      <c r="G9563" s="53"/>
    </row>
    <row r="9564">
      <c r="A9564" s="49">
        <v>44794.52937721065</v>
      </c>
      <c r="B9564" s="50">
        <v>44794.6543581944</v>
      </c>
      <c r="C9564" s="51">
        <v>1.003</v>
      </c>
      <c r="D9564" s="51">
        <v>66.0</v>
      </c>
      <c r="E9564" s="52" t="s">
        <v>25</v>
      </c>
      <c r="F9564" s="52" t="s">
        <v>26</v>
      </c>
      <c r="G9564" s="53"/>
    </row>
    <row r="9565">
      <c r="A9565" s="49">
        <v>44794.53980438657</v>
      </c>
      <c r="B9565" s="50">
        <v>44794.6647793402</v>
      </c>
      <c r="C9565" s="51">
        <v>1.003</v>
      </c>
      <c r="D9565" s="51">
        <v>66.0</v>
      </c>
      <c r="E9565" s="52" t="s">
        <v>25</v>
      </c>
      <c r="F9565" s="52" t="s">
        <v>26</v>
      </c>
      <c r="G9565" s="53"/>
    </row>
    <row r="9566">
      <c r="A9566" s="49">
        <v>44794.55022871528</v>
      </c>
      <c r="B9566" s="50">
        <v>44794.6752011458</v>
      </c>
      <c r="C9566" s="51">
        <v>1.004</v>
      </c>
      <c r="D9566" s="51">
        <v>66.0</v>
      </c>
      <c r="E9566" s="52" t="s">
        <v>25</v>
      </c>
      <c r="F9566" s="52" t="s">
        <v>26</v>
      </c>
      <c r="G9566" s="53"/>
    </row>
    <row r="9567">
      <c r="A9567" s="49">
        <v>44794.56065451389</v>
      </c>
      <c r="B9567" s="50">
        <v>44794.6856345601</v>
      </c>
      <c r="C9567" s="51">
        <v>1.003</v>
      </c>
      <c r="D9567" s="51">
        <v>66.0</v>
      </c>
      <c r="E9567" s="52" t="s">
        <v>25</v>
      </c>
      <c r="F9567" s="52" t="s">
        <v>26</v>
      </c>
      <c r="G9567" s="53"/>
    </row>
    <row r="9568">
      <c r="A9568" s="49">
        <v>44794.57107828704</v>
      </c>
      <c r="B9568" s="50">
        <v>44794.6960554629</v>
      </c>
      <c r="C9568" s="51">
        <v>1.004</v>
      </c>
      <c r="D9568" s="51">
        <v>66.0</v>
      </c>
      <c r="E9568" s="52" t="s">
        <v>25</v>
      </c>
      <c r="F9568" s="52" t="s">
        <v>26</v>
      </c>
      <c r="G9568" s="53"/>
    </row>
    <row r="9569">
      <c r="A9569" s="49">
        <v>44794.58150690972</v>
      </c>
      <c r="B9569" s="50">
        <v>44794.7064779745</v>
      </c>
      <c r="C9569" s="51">
        <v>1.004</v>
      </c>
      <c r="D9569" s="51">
        <v>66.0</v>
      </c>
      <c r="E9569" s="52" t="s">
        <v>25</v>
      </c>
      <c r="F9569" s="52" t="s">
        <v>26</v>
      </c>
      <c r="G9569" s="53"/>
    </row>
    <row r="9570">
      <c r="A9570" s="49">
        <v>44794.59193041667</v>
      </c>
      <c r="B9570" s="50">
        <v>44794.716898449</v>
      </c>
      <c r="C9570" s="51">
        <v>1.004</v>
      </c>
      <c r="D9570" s="51">
        <v>66.0</v>
      </c>
      <c r="E9570" s="52" t="s">
        <v>25</v>
      </c>
      <c r="F9570" s="52" t="s">
        <v>26</v>
      </c>
      <c r="G9570" s="53"/>
    </row>
    <row r="9571">
      <c r="A9571" s="49">
        <v>44794.60234788194</v>
      </c>
      <c r="B9571" s="50">
        <v>44794.7273195023</v>
      </c>
      <c r="C9571" s="51">
        <v>1.004</v>
      </c>
      <c r="D9571" s="51">
        <v>66.0</v>
      </c>
      <c r="E9571" s="52" t="s">
        <v>25</v>
      </c>
      <c r="F9571" s="52" t="s">
        <v>26</v>
      </c>
      <c r="G9571" s="53"/>
    </row>
    <row r="9572">
      <c r="A9572" s="49">
        <v>44794.61276685185</v>
      </c>
      <c r="B9572" s="50">
        <v>44794.7377378125</v>
      </c>
      <c r="C9572" s="51">
        <v>1.003</v>
      </c>
      <c r="D9572" s="51">
        <v>66.0</v>
      </c>
      <c r="E9572" s="52" t="s">
        <v>25</v>
      </c>
      <c r="F9572" s="52" t="s">
        <v>26</v>
      </c>
      <c r="G9572" s="53"/>
    </row>
    <row r="9573">
      <c r="A9573" s="49">
        <v>44794.623185613425</v>
      </c>
      <c r="B9573" s="50">
        <v>44794.7481588657</v>
      </c>
      <c r="C9573" s="51">
        <v>1.004</v>
      </c>
      <c r="D9573" s="51">
        <v>66.0</v>
      </c>
      <c r="E9573" s="52" t="s">
        <v>25</v>
      </c>
      <c r="F9573" s="52" t="s">
        <v>26</v>
      </c>
      <c r="G9573" s="53"/>
    </row>
    <row r="9574">
      <c r="A9574" s="49">
        <v>44794.6336094213</v>
      </c>
      <c r="B9574" s="50">
        <v>44794.7585800694</v>
      </c>
      <c r="C9574" s="51">
        <v>1.004</v>
      </c>
      <c r="D9574" s="51">
        <v>66.0</v>
      </c>
      <c r="E9574" s="52" t="s">
        <v>25</v>
      </c>
      <c r="F9574" s="52" t="s">
        <v>26</v>
      </c>
      <c r="G9574" s="53"/>
    </row>
    <row r="9575">
      <c r="A9575" s="49">
        <v>44794.64403079861</v>
      </c>
      <c r="B9575" s="50">
        <v>44794.769002199</v>
      </c>
      <c r="C9575" s="51">
        <v>1.003</v>
      </c>
      <c r="D9575" s="51">
        <v>66.0</v>
      </c>
      <c r="E9575" s="52" t="s">
        <v>25</v>
      </c>
      <c r="F9575" s="52" t="s">
        <v>26</v>
      </c>
      <c r="G9575" s="53"/>
    </row>
    <row r="9576">
      <c r="A9576" s="49">
        <v>44794.65444480324</v>
      </c>
      <c r="B9576" s="50">
        <v>44794.7794219212</v>
      </c>
      <c r="C9576" s="51">
        <v>1.004</v>
      </c>
      <c r="D9576" s="51">
        <v>66.0</v>
      </c>
      <c r="E9576" s="52" t="s">
        <v>25</v>
      </c>
      <c r="F9576" s="52" t="s">
        <v>26</v>
      </c>
      <c r="G9576" s="53"/>
    </row>
    <row r="9577">
      <c r="A9577" s="49">
        <v>44794.664863576385</v>
      </c>
      <c r="B9577" s="50">
        <v>44794.7898429861</v>
      </c>
      <c r="C9577" s="51">
        <v>1.004</v>
      </c>
      <c r="D9577" s="51">
        <v>66.0</v>
      </c>
      <c r="E9577" s="52" t="s">
        <v>25</v>
      </c>
      <c r="F9577" s="52" t="s">
        <v>26</v>
      </c>
      <c r="G9577" s="53"/>
    </row>
    <row r="9578">
      <c r="A9578" s="49">
        <v>44794.675292500004</v>
      </c>
      <c r="B9578" s="50">
        <v>44794.8002647222</v>
      </c>
      <c r="C9578" s="51">
        <v>1.003</v>
      </c>
      <c r="D9578" s="51">
        <v>66.0</v>
      </c>
      <c r="E9578" s="52" t="s">
        <v>25</v>
      </c>
      <c r="F9578" s="52" t="s">
        <v>26</v>
      </c>
      <c r="G9578" s="53"/>
    </row>
    <row r="9579">
      <c r="A9579" s="49">
        <v>44794.68571041667</v>
      </c>
      <c r="B9579" s="50">
        <v>44794.8106854166</v>
      </c>
      <c r="C9579" s="51">
        <v>1.004</v>
      </c>
      <c r="D9579" s="51">
        <v>66.0</v>
      </c>
      <c r="E9579" s="52" t="s">
        <v>25</v>
      </c>
      <c r="F9579" s="52" t="s">
        <v>26</v>
      </c>
      <c r="G9579" s="53"/>
    </row>
    <row r="9580">
      <c r="A9580" s="49">
        <v>44794.69615525463</v>
      </c>
      <c r="B9580" s="50">
        <v>44794.8211288078</v>
      </c>
      <c r="C9580" s="51">
        <v>1.004</v>
      </c>
      <c r="D9580" s="51">
        <v>66.0</v>
      </c>
      <c r="E9580" s="52" t="s">
        <v>25</v>
      </c>
      <c r="F9580" s="52" t="s">
        <v>26</v>
      </c>
      <c r="G9580" s="53"/>
    </row>
    <row r="9581">
      <c r="A9581" s="49">
        <v>44794.70657693287</v>
      </c>
      <c r="B9581" s="50">
        <v>44794.8315496527</v>
      </c>
      <c r="C9581" s="51">
        <v>1.004</v>
      </c>
      <c r="D9581" s="51">
        <v>66.0</v>
      </c>
      <c r="E9581" s="52" t="s">
        <v>25</v>
      </c>
      <c r="F9581" s="52" t="s">
        <v>26</v>
      </c>
      <c r="G9581" s="53"/>
    </row>
    <row r="9582">
      <c r="A9582" s="49">
        <v>44794.71699641204</v>
      </c>
      <c r="B9582" s="50">
        <v>44794.8419731018</v>
      </c>
      <c r="C9582" s="51">
        <v>1.004</v>
      </c>
      <c r="D9582" s="51">
        <v>66.0</v>
      </c>
      <c r="E9582" s="52" t="s">
        <v>25</v>
      </c>
      <c r="F9582" s="52" t="s">
        <v>26</v>
      </c>
      <c r="G9582" s="53"/>
    </row>
    <row r="9583">
      <c r="A9583" s="49">
        <v>44794.72742576389</v>
      </c>
      <c r="B9583" s="50">
        <v>44794.8523950694</v>
      </c>
      <c r="C9583" s="51">
        <v>1.004</v>
      </c>
      <c r="D9583" s="51">
        <v>66.0</v>
      </c>
      <c r="E9583" s="52" t="s">
        <v>25</v>
      </c>
      <c r="F9583" s="52" t="s">
        <v>26</v>
      </c>
      <c r="G9583" s="53"/>
    </row>
    <row r="9584">
      <c r="A9584" s="49">
        <v>44794.73784314815</v>
      </c>
      <c r="B9584" s="50">
        <v>44794.8628162963</v>
      </c>
      <c r="C9584" s="51">
        <v>1.003</v>
      </c>
      <c r="D9584" s="51">
        <v>66.0</v>
      </c>
      <c r="E9584" s="52" t="s">
        <v>25</v>
      </c>
      <c r="F9584" s="52" t="s">
        <v>26</v>
      </c>
      <c r="G9584" s="53"/>
    </row>
    <row r="9585">
      <c r="A9585" s="49">
        <v>44794.74826017361</v>
      </c>
      <c r="B9585" s="50">
        <v>44794.8732367939</v>
      </c>
      <c r="C9585" s="51">
        <v>1.004</v>
      </c>
      <c r="D9585" s="51">
        <v>66.0</v>
      </c>
      <c r="E9585" s="52" t="s">
        <v>25</v>
      </c>
      <c r="F9585" s="52" t="s">
        <v>26</v>
      </c>
      <c r="G9585" s="53"/>
    </row>
    <row r="9586">
      <c r="A9586" s="49">
        <v>44794.75870168982</v>
      </c>
      <c r="B9586" s="50">
        <v>44794.8836703009</v>
      </c>
      <c r="C9586" s="51">
        <v>1.004</v>
      </c>
      <c r="D9586" s="51">
        <v>66.0</v>
      </c>
      <c r="E9586" s="52" t="s">
        <v>25</v>
      </c>
      <c r="F9586" s="52" t="s">
        <v>26</v>
      </c>
      <c r="G9586" s="53"/>
    </row>
    <row r="9587">
      <c r="A9587" s="49">
        <v>44794.76912203703</v>
      </c>
      <c r="B9587" s="50">
        <v>44794.8940917939</v>
      </c>
      <c r="C9587" s="51">
        <v>1.004</v>
      </c>
      <c r="D9587" s="51">
        <v>66.0</v>
      </c>
      <c r="E9587" s="52" t="s">
        <v>25</v>
      </c>
      <c r="F9587" s="52" t="s">
        <v>26</v>
      </c>
      <c r="G9587" s="53"/>
    </row>
    <row r="9588">
      <c r="A9588" s="49">
        <v>44794.77954258102</v>
      </c>
      <c r="B9588" s="50">
        <v>44794.9045127662</v>
      </c>
      <c r="C9588" s="51">
        <v>1.003</v>
      </c>
      <c r="D9588" s="51">
        <v>66.0</v>
      </c>
      <c r="E9588" s="52" t="s">
        <v>25</v>
      </c>
      <c r="F9588" s="52" t="s">
        <v>26</v>
      </c>
      <c r="G9588" s="53"/>
    </row>
    <row r="9589">
      <c r="A9589" s="49">
        <v>44794.789964930555</v>
      </c>
      <c r="B9589" s="50">
        <v>44794.9149310764</v>
      </c>
      <c r="C9589" s="51">
        <v>1.004</v>
      </c>
      <c r="D9589" s="51">
        <v>66.0</v>
      </c>
      <c r="E9589" s="52" t="s">
        <v>25</v>
      </c>
      <c r="F9589" s="52" t="s">
        <v>26</v>
      </c>
      <c r="G9589" s="53"/>
    </row>
    <row r="9590">
      <c r="A9590" s="49">
        <v>44794.800380127315</v>
      </c>
      <c r="B9590" s="50">
        <v>44794.925352037</v>
      </c>
      <c r="C9590" s="51">
        <v>1.004</v>
      </c>
      <c r="D9590" s="51">
        <v>66.0</v>
      </c>
      <c r="E9590" s="52" t="s">
        <v>25</v>
      </c>
      <c r="F9590" s="52" t="s">
        <v>26</v>
      </c>
      <c r="G9590" s="53"/>
    </row>
    <row r="9591">
      <c r="A9591" s="49">
        <v>44794.810799363426</v>
      </c>
      <c r="B9591" s="50">
        <v>44794.9357730208</v>
      </c>
      <c r="C9591" s="51">
        <v>1.003</v>
      </c>
      <c r="D9591" s="51">
        <v>66.0</v>
      </c>
      <c r="E9591" s="52" t="s">
        <v>25</v>
      </c>
      <c r="F9591" s="52" t="s">
        <v>26</v>
      </c>
      <c r="G9591" s="53"/>
    </row>
    <row r="9592">
      <c r="A9592" s="49">
        <v>44794.82129177083</v>
      </c>
      <c r="B9592" s="50">
        <v>44794.9462051736</v>
      </c>
      <c r="C9592" s="51">
        <v>1.003</v>
      </c>
      <c r="D9592" s="51">
        <v>66.0</v>
      </c>
      <c r="E9592" s="52" t="s">
        <v>25</v>
      </c>
      <c r="F9592" s="52" t="s">
        <v>26</v>
      </c>
      <c r="G9592" s="53"/>
    </row>
    <row r="9593">
      <c r="A9593" s="49">
        <v>44794.831663969904</v>
      </c>
      <c r="B9593" s="50">
        <v>44794.9566388657</v>
      </c>
      <c r="C9593" s="51">
        <v>1.004</v>
      </c>
      <c r="D9593" s="51">
        <v>66.0</v>
      </c>
      <c r="E9593" s="52" t="s">
        <v>25</v>
      </c>
      <c r="F9593" s="52" t="s">
        <v>26</v>
      </c>
      <c r="G9593" s="53"/>
    </row>
    <row r="9594">
      <c r="A9594" s="49">
        <v>44794.842095706015</v>
      </c>
      <c r="B9594" s="50">
        <v>44794.9670701504</v>
      </c>
      <c r="C9594" s="51">
        <v>1.004</v>
      </c>
      <c r="D9594" s="51">
        <v>66.0</v>
      </c>
      <c r="E9594" s="52" t="s">
        <v>25</v>
      </c>
      <c r="F9594" s="52" t="s">
        <v>26</v>
      </c>
      <c r="G9594" s="53"/>
    </row>
    <row r="9595">
      <c r="A9595" s="49">
        <v>44794.85253263889</v>
      </c>
      <c r="B9595" s="50">
        <v>44794.9775022106</v>
      </c>
      <c r="C9595" s="51">
        <v>1.004</v>
      </c>
      <c r="D9595" s="51">
        <v>66.0</v>
      </c>
      <c r="E9595" s="52" t="s">
        <v>25</v>
      </c>
      <c r="F9595" s="52" t="s">
        <v>26</v>
      </c>
      <c r="G9595" s="53"/>
    </row>
    <row r="9596">
      <c r="A9596" s="49">
        <v>44794.86295890046</v>
      </c>
      <c r="B9596" s="50">
        <v>44794.9879339814</v>
      </c>
      <c r="C9596" s="51">
        <v>1.004</v>
      </c>
      <c r="D9596" s="51">
        <v>66.0</v>
      </c>
      <c r="E9596" s="52" t="s">
        <v>25</v>
      </c>
      <c r="F9596" s="52" t="s">
        <v>26</v>
      </c>
      <c r="G9596" s="53"/>
    </row>
    <row r="9597">
      <c r="A9597" s="49">
        <v>44794.873404178245</v>
      </c>
      <c r="B9597" s="50">
        <v>44794.9983660763</v>
      </c>
      <c r="C9597" s="51">
        <v>1.004</v>
      </c>
      <c r="D9597" s="51">
        <v>66.0</v>
      </c>
      <c r="E9597" s="52" t="s">
        <v>25</v>
      </c>
      <c r="F9597" s="52" t="s">
        <v>26</v>
      </c>
      <c r="G9597" s="53"/>
    </row>
    <row r="9598">
      <c r="A9598" s="49">
        <v>44794.88383414352</v>
      </c>
      <c r="B9598" s="50">
        <v>44795.0088109722</v>
      </c>
      <c r="C9598" s="51">
        <v>1.004</v>
      </c>
      <c r="D9598" s="51">
        <v>66.0</v>
      </c>
      <c r="E9598" s="52" t="s">
        <v>25</v>
      </c>
      <c r="F9598" s="52" t="s">
        <v>26</v>
      </c>
      <c r="G9598" s="53"/>
    </row>
    <row r="9599">
      <c r="A9599" s="49">
        <v>44794.89424967593</v>
      </c>
      <c r="B9599" s="50">
        <v>44795.0192323263</v>
      </c>
      <c r="C9599" s="51">
        <v>1.004</v>
      </c>
      <c r="D9599" s="51">
        <v>67.0</v>
      </c>
      <c r="E9599" s="52" t="s">
        <v>25</v>
      </c>
      <c r="F9599" s="52" t="s">
        <v>26</v>
      </c>
      <c r="G9599" s="53"/>
    </row>
    <row r="9600">
      <c r="A9600" s="49">
        <v>44794.90469332176</v>
      </c>
      <c r="B9600" s="50">
        <v>44795.0296646527</v>
      </c>
      <c r="C9600" s="51">
        <v>1.004</v>
      </c>
      <c r="D9600" s="51">
        <v>66.0</v>
      </c>
      <c r="E9600" s="52" t="s">
        <v>25</v>
      </c>
      <c r="F9600" s="52" t="s">
        <v>26</v>
      </c>
      <c r="G9600" s="53"/>
    </row>
    <row r="9601">
      <c r="A9601" s="49">
        <v>44794.91511425926</v>
      </c>
      <c r="B9601" s="50">
        <v>44795.0400966319</v>
      </c>
      <c r="C9601" s="51">
        <v>1.004</v>
      </c>
      <c r="D9601" s="51">
        <v>67.0</v>
      </c>
      <c r="E9601" s="52" t="s">
        <v>25</v>
      </c>
      <c r="F9601" s="52" t="s">
        <v>26</v>
      </c>
      <c r="G9601" s="53"/>
    </row>
    <row r="9602">
      <c r="A9602" s="49">
        <v>44794.925546053244</v>
      </c>
      <c r="B9602" s="50">
        <v>44795.0505165277</v>
      </c>
      <c r="C9602" s="51">
        <v>1.003</v>
      </c>
      <c r="D9602" s="51">
        <v>67.0</v>
      </c>
      <c r="E9602" s="52" t="s">
        <v>25</v>
      </c>
      <c r="F9602" s="52" t="s">
        <v>26</v>
      </c>
      <c r="G9602" s="53"/>
    </row>
    <row r="9603">
      <c r="A9603" s="49">
        <v>44794.93595555556</v>
      </c>
      <c r="B9603" s="50">
        <v>44795.0609395138</v>
      </c>
      <c r="C9603" s="51">
        <v>1.004</v>
      </c>
      <c r="D9603" s="51">
        <v>67.0</v>
      </c>
      <c r="E9603" s="52" t="s">
        <v>25</v>
      </c>
      <c r="F9603" s="52" t="s">
        <v>26</v>
      </c>
      <c r="G9603" s="53"/>
    </row>
    <row r="9604">
      <c r="A9604" s="49">
        <v>44794.94638851852</v>
      </c>
      <c r="B9604" s="50">
        <v>44795.0713609722</v>
      </c>
      <c r="C9604" s="51">
        <v>1.004</v>
      </c>
      <c r="D9604" s="51">
        <v>67.0</v>
      </c>
      <c r="E9604" s="52" t="s">
        <v>25</v>
      </c>
      <c r="F9604" s="52" t="s">
        <v>26</v>
      </c>
      <c r="G9604" s="53"/>
    </row>
    <row r="9605">
      <c r="A9605" s="49">
        <v>44794.956809201394</v>
      </c>
      <c r="B9605" s="50">
        <v>44795.0817824652</v>
      </c>
      <c r="C9605" s="51">
        <v>1.003</v>
      </c>
      <c r="D9605" s="51">
        <v>67.0</v>
      </c>
      <c r="E9605" s="52" t="s">
        <v>25</v>
      </c>
      <c r="F9605" s="52" t="s">
        <v>26</v>
      </c>
      <c r="G9605" s="53"/>
    </row>
    <row r="9606">
      <c r="A9606" s="49">
        <v>44794.96723401621</v>
      </c>
      <c r="B9606" s="50">
        <v>44795.0922159375</v>
      </c>
      <c r="C9606" s="51">
        <v>1.004</v>
      </c>
      <c r="D9606" s="51">
        <v>67.0</v>
      </c>
      <c r="E9606" s="52" t="s">
        <v>25</v>
      </c>
      <c r="F9606" s="52" t="s">
        <v>26</v>
      </c>
      <c r="G9606" s="53"/>
    </row>
    <row r="9607">
      <c r="A9607" s="49">
        <v>44794.97767607639</v>
      </c>
      <c r="B9607" s="50">
        <v>44795.1026387731</v>
      </c>
      <c r="C9607" s="51">
        <v>1.004</v>
      </c>
      <c r="D9607" s="51">
        <v>67.0</v>
      </c>
      <c r="E9607" s="52" t="s">
        <v>25</v>
      </c>
      <c r="F9607" s="52" t="s">
        <v>26</v>
      </c>
      <c r="G9607" s="53"/>
    </row>
    <row r="9608">
      <c r="A9608" s="49">
        <v>44794.98812805556</v>
      </c>
      <c r="B9608" s="50">
        <v>44795.1130726504</v>
      </c>
      <c r="C9608" s="51">
        <v>1.004</v>
      </c>
      <c r="D9608" s="51">
        <v>67.0</v>
      </c>
      <c r="E9608" s="52" t="s">
        <v>25</v>
      </c>
      <c r="F9608" s="52" t="s">
        <v>26</v>
      </c>
      <c r="G9608" s="53"/>
    </row>
    <row r="9609">
      <c r="A9609" s="49">
        <v>44794.998517175925</v>
      </c>
      <c r="B9609" s="50">
        <v>44795.1234923148</v>
      </c>
      <c r="C9609" s="51">
        <v>1.003</v>
      </c>
      <c r="D9609" s="51">
        <v>67.0</v>
      </c>
      <c r="E9609" s="52" t="s">
        <v>25</v>
      </c>
      <c r="F9609" s="52" t="s">
        <v>26</v>
      </c>
      <c r="G9609" s="53"/>
    </row>
    <row r="9610">
      <c r="A9610" s="49">
        <v>44795.008937708335</v>
      </c>
      <c r="B9610" s="50">
        <v>44795.1339137499</v>
      </c>
      <c r="C9610" s="51">
        <v>1.003</v>
      </c>
      <c r="D9610" s="51">
        <v>67.0</v>
      </c>
      <c r="E9610" s="52" t="s">
        <v>25</v>
      </c>
      <c r="F9610" s="52" t="s">
        <v>26</v>
      </c>
      <c r="G9610" s="53"/>
    </row>
    <row r="9611">
      <c r="A9611" s="49">
        <v>44795.019362465275</v>
      </c>
      <c r="B9611" s="50">
        <v>44795.1443354861</v>
      </c>
      <c r="C9611" s="51">
        <v>1.004</v>
      </c>
      <c r="D9611" s="51">
        <v>67.0</v>
      </c>
      <c r="E9611" s="52" t="s">
        <v>25</v>
      </c>
      <c r="F9611" s="52" t="s">
        <v>26</v>
      </c>
      <c r="G9611" s="53"/>
    </row>
    <row r="9612">
      <c r="A9612" s="49">
        <v>44795.02978513889</v>
      </c>
      <c r="B9612" s="50">
        <v>44795.1547550926</v>
      </c>
      <c r="C9612" s="51">
        <v>1.004</v>
      </c>
      <c r="D9612" s="51">
        <v>67.0</v>
      </c>
      <c r="E9612" s="52" t="s">
        <v>25</v>
      </c>
      <c r="F9612" s="52" t="s">
        <v>26</v>
      </c>
      <c r="G9612" s="53"/>
    </row>
    <row r="9613">
      <c r="A9613" s="49">
        <v>44795.040207488426</v>
      </c>
      <c r="B9613" s="50">
        <v>44795.1651771064</v>
      </c>
      <c r="C9613" s="51">
        <v>1.004</v>
      </c>
      <c r="D9613" s="51">
        <v>67.0</v>
      </c>
      <c r="E9613" s="52" t="s">
        <v>25</v>
      </c>
      <c r="F9613" s="52" t="s">
        <v>26</v>
      </c>
      <c r="G9613" s="53"/>
    </row>
    <row r="9614">
      <c r="A9614" s="49">
        <v>44795.05062570602</v>
      </c>
      <c r="B9614" s="50">
        <v>44795.1755984606</v>
      </c>
      <c r="C9614" s="51">
        <v>1.004</v>
      </c>
      <c r="D9614" s="51">
        <v>67.0</v>
      </c>
      <c r="E9614" s="52" t="s">
        <v>25</v>
      </c>
      <c r="F9614" s="52" t="s">
        <v>26</v>
      </c>
      <c r="G9614" s="53"/>
    </row>
    <row r="9615">
      <c r="A9615" s="49">
        <v>44795.06104431713</v>
      </c>
      <c r="B9615" s="50">
        <v>44795.1860208449</v>
      </c>
      <c r="C9615" s="51">
        <v>1.004</v>
      </c>
      <c r="D9615" s="51">
        <v>67.0</v>
      </c>
      <c r="E9615" s="52" t="s">
        <v>25</v>
      </c>
      <c r="F9615" s="52" t="s">
        <v>26</v>
      </c>
      <c r="G9615" s="53"/>
    </row>
    <row r="9616">
      <c r="A9616" s="49">
        <v>44795.071467511574</v>
      </c>
      <c r="B9616" s="50">
        <v>44795.1964415856</v>
      </c>
      <c r="C9616" s="51">
        <v>1.004</v>
      </c>
      <c r="D9616" s="51">
        <v>67.0</v>
      </c>
      <c r="E9616" s="52" t="s">
        <v>25</v>
      </c>
      <c r="F9616" s="52" t="s">
        <v>26</v>
      </c>
      <c r="G9616" s="53"/>
    </row>
    <row r="9617">
      <c r="A9617" s="49">
        <v>44795.081894629635</v>
      </c>
      <c r="B9617" s="50">
        <v>44795.2068749884</v>
      </c>
      <c r="C9617" s="51">
        <v>1.004</v>
      </c>
      <c r="D9617" s="51">
        <v>67.0</v>
      </c>
      <c r="E9617" s="52" t="s">
        <v>25</v>
      </c>
      <c r="F9617" s="52" t="s">
        <v>26</v>
      </c>
      <c r="G9617" s="53"/>
    </row>
    <row r="9618">
      <c r="A9618" s="49">
        <v>44795.09232231481</v>
      </c>
      <c r="B9618" s="50">
        <v>44795.2172958333</v>
      </c>
      <c r="C9618" s="51">
        <v>1.003</v>
      </c>
      <c r="D9618" s="51">
        <v>67.0</v>
      </c>
      <c r="E9618" s="52" t="s">
        <v>25</v>
      </c>
      <c r="F9618" s="52" t="s">
        <v>26</v>
      </c>
      <c r="G9618" s="53"/>
    </row>
    <row r="9619">
      <c r="A9619" s="49">
        <v>44795.10273925926</v>
      </c>
      <c r="B9619" s="50">
        <v>44795.2277171296</v>
      </c>
      <c r="C9619" s="51">
        <v>1.004</v>
      </c>
      <c r="D9619" s="51">
        <v>67.0</v>
      </c>
      <c r="E9619" s="52" t="s">
        <v>25</v>
      </c>
      <c r="F9619" s="52" t="s">
        <v>26</v>
      </c>
      <c r="G9619" s="53"/>
    </row>
    <row r="9620">
      <c r="A9620" s="49">
        <v>44795.113168194446</v>
      </c>
      <c r="B9620" s="50">
        <v>44795.2381376736</v>
      </c>
      <c r="C9620" s="51">
        <v>1.004</v>
      </c>
      <c r="D9620" s="51">
        <v>67.0</v>
      </c>
      <c r="E9620" s="52" t="s">
        <v>25</v>
      </c>
      <c r="F9620" s="52" t="s">
        <v>26</v>
      </c>
      <c r="G9620" s="53"/>
    </row>
    <row r="9621">
      <c r="A9621" s="49">
        <v>44795.12357888889</v>
      </c>
      <c r="B9621" s="50">
        <v>44795.2485590625</v>
      </c>
      <c r="C9621" s="51">
        <v>1.004</v>
      </c>
      <c r="D9621" s="51">
        <v>67.0</v>
      </c>
      <c r="E9621" s="52" t="s">
        <v>25</v>
      </c>
      <c r="F9621" s="52" t="s">
        <v>26</v>
      </c>
      <c r="G9621" s="53"/>
    </row>
    <row r="9622">
      <c r="A9622" s="49">
        <v>44795.1340068287</v>
      </c>
      <c r="B9622" s="50">
        <v>44795.258981574</v>
      </c>
      <c r="C9622" s="51">
        <v>1.004</v>
      </c>
      <c r="D9622" s="51">
        <v>67.0</v>
      </c>
      <c r="E9622" s="52" t="s">
        <v>25</v>
      </c>
      <c r="F9622" s="52" t="s">
        <v>26</v>
      </c>
      <c r="G9622" s="53"/>
    </row>
    <row r="9623">
      <c r="A9623" s="49">
        <v>44795.144432256944</v>
      </c>
      <c r="B9623" s="50">
        <v>44795.2694026504</v>
      </c>
      <c r="C9623" s="51">
        <v>1.003</v>
      </c>
      <c r="D9623" s="51">
        <v>67.0</v>
      </c>
      <c r="E9623" s="52" t="s">
        <v>25</v>
      </c>
      <c r="F9623" s="52" t="s">
        <v>26</v>
      </c>
      <c r="G9623" s="53"/>
    </row>
    <row r="9624">
      <c r="A9624" s="49">
        <v>44795.154846307865</v>
      </c>
      <c r="B9624" s="50">
        <v>44795.2798252777</v>
      </c>
      <c r="C9624" s="51">
        <v>1.003</v>
      </c>
      <c r="D9624" s="51">
        <v>67.0</v>
      </c>
      <c r="E9624" s="52" t="s">
        <v>25</v>
      </c>
      <c r="F9624" s="52" t="s">
        <v>26</v>
      </c>
      <c r="G9624" s="53"/>
    </row>
    <row r="9625">
      <c r="A9625" s="49">
        <v>44795.16528878472</v>
      </c>
      <c r="B9625" s="50">
        <v>44795.2902468865</v>
      </c>
      <c r="C9625" s="51">
        <v>1.003</v>
      </c>
      <c r="D9625" s="51">
        <v>67.0</v>
      </c>
      <c r="E9625" s="52" t="s">
        <v>25</v>
      </c>
      <c r="F9625" s="52" t="s">
        <v>26</v>
      </c>
      <c r="G9625" s="53"/>
    </row>
    <row r="9626">
      <c r="A9626" s="49">
        <v>44795.17569550926</v>
      </c>
      <c r="B9626" s="50">
        <v>44795.3006683217</v>
      </c>
      <c r="C9626" s="51">
        <v>1.004</v>
      </c>
      <c r="D9626" s="51">
        <v>67.0</v>
      </c>
      <c r="E9626" s="52" t="s">
        <v>25</v>
      </c>
      <c r="F9626" s="52" t="s">
        <v>26</v>
      </c>
      <c r="G9626" s="53"/>
    </row>
    <row r="9627">
      <c r="A9627" s="49">
        <v>44795.18611623843</v>
      </c>
      <c r="B9627" s="50">
        <v>44795.3110896296</v>
      </c>
      <c r="C9627" s="51">
        <v>1.004</v>
      </c>
      <c r="D9627" s="51">
        <v>67.0</v>
      </c>
      <c r="E9627" s="52" t="s">
        <v>25</v>
      </c>
      <c r="F9627" s="52" t="s">
        <v>26</v>
      </c>
      <c r="G9627" s="53"/>
    </row>
    <row r="9628">
      <c r="A9628" s="49">
        <v>44795.19652938657</v>
      </c>
      <c r="B9628" s="50">
        <v>44795.3215105439</v>
      </c>
      <c r="C9628" s="51">
        <v>1.004</v>
      </c>
      <c r="D9628" s="51">
        <v>67.0</v>
      </c>
      <c r="E9628" s="52" t="s">
        <v>25</v>
      </c>
      <c r="F9628" s="52" t="s">
        <v>26</v>
      </c>
      <c r="G9628" s="53"/>
    </row>
    <row r="9629">
      <c r="A9629" s="49">
        <v>44795.20696944444</v>
      </c>
      <c r="B9629" s="50">
        <v>44795.3319329861</v>
      </c>
      <c r="C9629" s="51">
        <v>1.004</v>
      </c>
      <c r="D9629" s="51">
        <v>67.0</v>
      </c>
      <c r="E9629" s="52" t="s">
        <v>25</v>
      </c>
      <c r="F9629" s="52" t="s">
        <v>26</v>
      </c>
      <c r="G9629" s="53"/>
    </row>
    <row r="9630">
      <c r="A9630" s="49">
        <v>44795.21739155093</v>
      </c>
      <c r="B9630" s="50">
        <v>44795.342353993</v>
      </c>
      <c r="C9630" s="51">
        <v>1.004</v>
      </c>
      <c r="D9630" s="51">
        <v>67.0</v>
      </c>
      <c r="E9630" s="52" t="s">
        <v>25</v>
      </c>
      <c r="F9630" s="52" t="s">
        <v>26</v>
      </c>
      <c r="G9630" s="53"/>
    </row>
    <row r="9631">
      <c r="A9631" s="49">
        <v>44795.22785497685</v>
      </c>
      <c r="B9631" s="50">
        <v>44795.3527753703</v>
      </c>
      <c r="C9631" s="51">
        <v>1.004</v>
      </c>
      <c r="D9631" s="51">
        <v>67.0</v>
      </c>
      <c r="E9631" s="52" t="s">
        <v>25</v>
      </c>
      <c r="F9631" s="52" t="s">
        <v>26</v>
      </c>
      <c r="G9631" s="53"/>
    </row>
    <row r="9632">
      <c r="A9632" s="49">
        <v>44795.23822267361</v>
      </c>
      <c r="B9632" s="50">
        <v>44795.3631947569</v>
      </c>
      <c r="C9632" s="51">
        <v>1.003</v>
      </c>
      <c r="D9632" s="51">
        <v>67.0</v>
      </c>
      <c r="E9632" s="52" t="s">
        <v>25</v>
      </c>
      <c r="F9632" s="52" t="s">
        <v>26</v>
      </c>
      <c r="G9632" s="53"/>
    </row>
    <row r="9633">
      <c r="A9633" s="49">
        <v>44795.248662893515</v>
      </c>
      <c r="B9633" s="50">
        <v>44795.3736280092</v>
      </c>
      <c r="C9633" s="51">
        <v>1.004</v>
      </c>
      <c r="D9633" s="51">
        <v>67.0</v>
      </c>
      <c r="E9633" s="52" t="s">
        <v>25</v>
      </c>
      <c r="F9633" s="52" t="s">
        <v>26</v>
      </c>
      <c r="G9633" s="53"/>
    </row>
    <row r="9634">
      <c r="A9634" s="49">
        <v>44795.2590969213</v>
      </c>
      <c r="B9634" s="50">
        <v>44795.3840722222</v>
      </c>
      <c r="C9634" s="51">
        <v>1.004</v>
      </c>
      <c r="D9634" s="51">
        <v>67.0</v>
      </c>
      <c r="E9634" s="52" t="s">
        <v>25</v>
      </c>
      <c r="F9634" s="52" t="s">
        <v>26</v>
      </c>
      <c r="G9634" s="53"/>
    </row>
    <row r="9635">
      <c r="A9635" s="49">
        <v>44795.269514178246</v>
      </c>
      <c r="B9635" s="50">
        <v>44795.3944937268</v>
      </c>
      <c r="C9635" s="51">
        <v>1.004</v>
      </c>
      <c r="D9635" s="51">
        <v>67.0</v>
      </c>
      <c r="E9635" s="52" t="s">
        <v>25</v>
      </c>
      <c r="F9635" s="52" t="s">
        <v>26</v>
      </c>
      <c r="G9635" s="53"/>
    </row>
    <row r="9636">
      <c r="A9636" s="49">
        <v>44795.279936493054</v>
      </c>
      <c r="B9636" s="50">
        <v>44795.4049151967</v>
      </c>
      <c r="C9636" s="51">
        <v>1.004</v>
      </c>
      <c r="D9636" s="51">
        <v>67.0</v>
      </c>
      <c r="E9636" s="52" t="s">
        <v>25</v>
      </c>
      <c r="F9636" s="52" t="s">
        <v>26</v>
      </c>
      <c r="G9636" s="53"/>
    </row>
    <row r="9637">
      <c r="A9637" s="49">
        <v>44795.29037820602</v>
      </c>
      <c r="B9637" s="50">
        <v>44795.4153471412</v>
      </c>
      <c r="C9637" s="51">
        <v>1.004</v>
      </c>
      <c r="D9637" s="51">
        <v>67.0</v>
      </c>
      <c r="E9637" s="52" t="s">
        <v>25</v>
      </c>
      <c r="F9637" s="52" t="s">
        <v>26</v>
      </c>
      <c r="G9637" s="53"/>
    </row>
    <row r="9638">
      <c r="A9638" s="49">
        <v>44795.301035972225</v>
      </c>
      <c r="B9638" s="50">
        <v>44795.4257675347</v>
      </c>
      <c r="C9638" s="51">
        <v>1.004</v>
      </c>
      <c r="D9638" s="51">
        <v>67.0</v>
      </c>
      <c r="E9638" s="52" t="s">
        <v>25</v>
      </c>
      <c r="F9638" s="52" t="s">
        <v>26</v>
      </c>
      <c r="G9638" s="53"/>
    </row>
    <row r="9639">
      <c r="A9639" s="49">
        <v>44795.31122645833</v>
      </c>
      <c r="B9639" s="50">
        <v>44795.4361886574</v>
      </c>
      <c r="C9639" s="51">
        <v>1.004</v>
      </c>
      <c r="D9639" s="51">
        <v>67.0</v>
      </c>
      <c r="E9639" s="52" t="s">
        <v>25</v>
      </c>
      <c r="F9639" s="52" t="s">
        <v>26</v>
      </c>
      <c r="G9639" s="53"/>
    </row>
    <row r="9640">
      <c r="A9640" s="49">
        <v>44795.32163318287</v>
      </c>
      <c r="B9640" s="50">
        <v>44795.4466099884</v>
      </c>
      <c r="C9640" s="51">
        <v>1.004</v>
      </c>
      <c r="D9640" s="51">
        <v>67.0</v>
      </c>
      <c r="E9640" s="52" t="s">
        <v>25</v>
      </c>
      <c r="F9640" s="52" t="s">
        <v>26</v>
      </c>
      <c r="G9640" s="53"/>
    </row>
    <row r="9641">
      <c r="A9641" s="49">
        <v>44795.332141527775</v>
      </c>
      <c r="B9641" s="50">
        <v>44795.457030706</v>
      </c>
      <c r="C9641" s="51">
        <v>1.004</v>
      </c>
      <c r="D9641" s="51">
        <v>67.0</v>
      </c>
      <c r="E9641" s="52" t="s">
        <v>25</v>
      </c>
      <c r="F9641" s="52" t="s">
        <v>26</v>
      </c>
      <c r="G9641" s="53"/>
    </row>
    <row r="9642">
      <c r="A9642" s="49">
        <v>44795.34260971065</v>
      </c>
      <c r="B9642" s="50">
        <v>44795.4674506713</v>
      </c>
      <c r="C9642" s="51">
        <v>1.004</v>
      </c>
      <c r="D9642" s="51">
        <v>67.0</v>
      </c>
      <c r="E9642" s="52" t="s">
        <v>25</v>
      </c>
      <c r="F9642" s="52" t="s">
        <v>26</v>
      </c>
      <c r="G9642" s="53"/>
    </row>
    <row r="9643">
      <c r="A9643" s="49">
        <v>44795.352913263894</v>
      </c>
      <c r="B9643" s="50">
        <v>44795.477869699</v>
      </c>
      <c r="C9643" s="51">
        <v>1.004</v>
      </c>
      <c r="D9643" s="51">
        <v>67.0</v>
      </c>
      <c r="E9643" s="52" t="s">
        <v>25</v>
      </c>
      <c r="F9643" s="52" t="s">
        <v>26</v>
      </c>
      <c r="G9643" s="53"/>
    </row>
    <row r="9644">
      <c r="A9644" s="49">
        <v>44795.36331659722</v>
      </c>
      <c r="B9644" s="50">
        <v>44795.4882893518</v>
      </c>
      <c r="C9644" s="51">
        <v>1.004</v>
      </c>
      <c r="D9644" s="51">
        <v>67.0</v>
      </c>
      <c r="E9644" s="52" t="s">
        <v>25</v>
      </c>
      <c r="F9644" s="52" t="s">
        <v>26</v>
      </c>
      <c r="G9644" s="53"/>
    </row>
    <row r="9645">
      <c r="A9645" s="49">
        <v>44795.374041145835</v>
      </c>
      <c r="B9645" s="50">
        <v>44795.4987232986</v>
      </c>
      <c r="C9645" s="51">
        <v>1.003</v>
      </c>
      <c r="D9645" s="51">
        <v>67.0</v>
      </c>
      <c r="E9645" s="52" t="s">
        <v>25</v>
      </c>
      <c r="F9645" s="52" t="s">
        <v>26</v>
      </c>
      <c r="G9645" s="53"/>
    </row>
    <row r="9646">
      <c r="A9646" s="49">
        <v>44795.38416854167</v>
      </c>
      <c r="B9646" s="50">
        <v>44795.5091428819</v>
      </c>
      <c r="C9646" s="51">
        <v>1.004</v>
      </c>
      <c r="D9646" s="51">
        <v>67.0</v>
      </c>
      <c r="E9646" s="52" t="s">
        <v>25</v>
      </c>
      <c r="F9646" s="52" t="s">
        <v>26</v>
      </c>
      <c r="G9646" s="53"/>
    </row>
    <row r="9647">
      <c r="A9647" s="49">
        <v>44795.39468149305</v>
      </c>
      <c r="B9647" s="50">
        <v>44795.5195648263</v>
      </c>
      <c r="C9647" s="51">
        <v>1.004</v>
      </c>
      <c r="D9647" s="51">
        <v>67.0</v>
      </c>
      <c r="E9647" s="52" t="s">
        <v>25</v>
      </c>
      <c r="F9647" s="52" t="s">
        <v>26</v>
      </c>
      <c r="G9647" s="53"/>
    </row>
    <row r="9648">
      <c r="A9648" s="49">
        <v>44795.40501390046</v>
      </c>
      <c r="B9648" s="50">
        <v>44795.5299859953</v>
      </c>
      <c r="C9648" s="51">
        <v>1.004</v>
      </c>
      <c r="D9648" s="51">
        <v>67.0</v>
      </c>
      <c r="E9648" s="52" t="s">
        <v>25</v>
      </c>
      <c r="F9648" s="52" t="s">
        <v>26</v>
      </c>
      <c r="G9648" s="53"/>
    </row>
    <row r="9649">
      <c r="A9649" s="49">
        <v>44795.41543849537</v>
      </c>
      <c r="B9649" s="50">
        <v>44795.5404072338</v>
      </c>
      <c r="C9649" s="51">
        <v>1.004</v>
      </c>
      <c r="D9649" s="51">
        <v>67.0</v>
      </c>
      <c r="E9649" s="52" t="s">
        <v>25</v>
      </c>
      <c r="F9649" s="52" t="s">
        <v>26</v>
      </c>
      <c r="G9649" s="53"/>
    </row>
    <row r="9650">
      <c r="A9650" s="49">
        <v>44795.42585515046</v>
      </c>
      <c r="B9650" s="50">
        <v>44795.5508282175</v>
      </c>
      <c r="C9650" s="51">
        <v>1.004</v>
      </c>
      <c r="D9650" s="51">
        <v>67.0</v>
      </c>
      <c r="E9650" s="52" t="s">
        <v>25</v>
      </c>
      <c r="F9650" s="52" t="s">
        <v>26</v>
      </c>
      <c r="G9650" s="53"/>
    </row>
    <row r="9651">
      <c r="A9651" s="49">
        <v>44795.43627653935</v>
      </c>
      <c r="B9651" s="50">
        <v>44795.5612501041</v>
      </c>
      <c r="C9651" s="51">
        <v>1.004</v>
      </c>
      <c r="D9651" s="51">
        <v>67.0</v>
      </c>
      <c r="E9651" s="52" t="s">
        <v>25</v>
      </c>
      <c r="F9651" s="52" t="s">
        <v>26</v>
      </c>
      <c r="G9651" s="53"/>
    </row>
    <row r="9652">
      <c r="A9652" s="49">
        <v>44795.44669466435</v>
      </c>
      <c r="B9652" s="50">
        <v>44795.5716714236</v>
      </c>
      <c r="C9652" s="51">
        <v>1.004</v>
      </c>
      <c r="D9652" s="51">
        <v>67.0</v>
      </c>
      <c r="E9652" s="52" t="s">
        <v>25</v>
      </c>
      <c r="F9652" s="52" t="s">
        <v>26</v>
      </c>
      <c r="G9652" s="53"/>
    </row>
    <row r="9653">
      <c r="A9653" s="49">
        <v>44795.45714254629</v>
      </c>
      <c r="B9653" s="50">
        <v>44795.5821146296</v>
      </c>
      <c r="C9653" s="51">
        <v>1.004</v>
      </c>
      <c r="D9653" s="51">
        <v>67.0</v>
      </c>
      <c r="E9653" s="52" t="s">
        <v>25</v>
      </c>
      <c r="F9653" s="52" t="s">
        <v>26</v>
      </c>
      <c r="G9653" s="53"/>
    </row>
    <row r="9654">
      <c r="A9654" s="49">
        <v>44795.46757949074</v>
      </c>
      <c r="B9654" s="50">
        <v>44795.5925574652</v>
      </c>
      <c r="C9654" s="51">
        <v>1.004</v>
      </c>
      <c r="D9654" s="51">
        <v>67.0</v>
      </c>
      <c r="E9654" s="52" t="s">
        <v>25</v>
      </c>
      <c r="F9654" s="52" t="s">
        <v>26</v>
      </c>
      <c r="G9654" s="53"/>
    </row>
    <row r="9655">
      <c r="A9655" s="49">
        <v>44795.47799701389</v>
      </c>
      <c r="B9655" s="50">
        <v>44795.6029770949</v>
      </c>
      <c r="C9655" s="51">
        <v>1.004</v>
      </c>
      <c r="D9655" s="51">
        <v>68.0</v>
      </c>
      <c r="E9655" s="52" t="s">
        <v>25</v>
      </c>
      <c r="F9655" s="52" t="s">
        <v>26</v>
      </c>
      <c r="G9655" s="53"/>
    </row>
    <row r="9656">
      <c r="A9656" s="49">
        <v>44795.48843331018</v>
      </c>
      <c r="B9656" s="50">
        <v>44795.6134095486</v>
      </c>
      <c r="C9656" s="51">
        <v>1.004</v>
      </c>
      <c r="D9656" s="51">
        <v>68.0</v>
      </c>
      <c r="E9656" s="52" t="s">
        <v>25</v>
      </c>
      <c r="F9656" s="52" t="s">
        <v>26</v>
      </c>
      <c r="G9656" s="53"/>
    </row>
    <row r="9657">
      <c r="A9657" s="49">
        <v>44795.49886020833</v>
      </c>
      <c r="B9657" s="50">
        <v>44795.6238314583</v>
      </c>
      <c r="C9657" s="51">
        <v>1.004</v>
      </c>
      <c r="D9657" s="51">
        <v>67.0</v>
      </c>
      <c r="E9657" s="52" t="s">
        <v>25</v>
      </c>
      <c r="F9657" s="52" t="s">
        <v>26</v>
      </c>
      <c r="G9657" s="53"/>
    </row>
    <row r="9658">
      <c r="A9658" s="49">
        <v>44795.50951978009</v>
      </c>
      <c r="B9658" s="50">
        <v>44795.6342648379</v>
      </c>
      <c r="C9658" s="51">
        <v>1.004</v>
      </c>
      <c r="D9658" s="51">
        <v>68.0</v>
      </c>
      <c r="E9658" s="52" t="s">
        <v>25</v>
      </c>
      <c r="F9658" s="52" t="s">
        <v>26</v>
      </c>
      <c r="G9658" s="53"/>
    </row>
    <row r="9659">
      <c r="A9659" s="49">
        <v>44795.51970396991</v>
      </c>
      <c r="B9659" s="50">
        <v>44795.6446874884</v>
      </c>
      <c r="C9659" s="51">
        <v>1.003</v>
      </c>
      <c r="D9659" s="51">
        <v>68.0</v>
      </c>
      <c r="E9659" s="52" t="s">
        <v>25</v>
      </c>
      <c r="F9659" s="52" t="s">
        <v>26</v>
      </c>
      <c r="G9659" s="53"/>
    </row>
    <row r="9660">
      <c r="A9660" s="49">
        <v>44795.53014041667</v>
      </c>
      <c r="B9660" s="50">
        <v>44795.6551111111</v>
      </c>
      <c r="C9660" s="51">
        <v>1.004</v>
      </c>
      <c r="D9660" s="51">
        <v>68.0</v>
      </c>
      <c r="E9660" s="52" t="s">
        <v>25</v>
      </c>
      <c r="F9660" s="52" t="s">
        <v>26</v>
      </c>
      <c r="G9660" s="53"/>
    </row>
    <row r="9661">
      <c r="A9661" s="49">
        <v>44795.54055711806</v>
      </c>
      <c r="B9661" s="50">
        <v>44795.6655335301</v>
      </c>
      <c r="C9661" s="51">
        <v>1.004</v>
      </c>
      <c r="D9661" s="51">
        <v>68.0</v>
      </c>
      <c r="E9661" s="52" t="s">
        <v>25</v>
      </c>
      <c r="F9661" s="52" t="s">
        <v>26</v>
      </c>
      <c r="G9661" s="53"/>
    </row>
    <row r="9662">
      <c r="A9662" s="49">
        <v>44795.5509785301</v>
      </c>
      <c r="B9662" s="50">
        <v>44795.6759546759</v>
      </c>
      <c r="C9662" s="51">
        <v>1.004</v>
      </c>
      <c r="D9662" s="51">
        <v>68.0</v>
      </c>
      <c r="E9662" s="52" t="s">
        <v>25</v>
      </c>
      <c r="F9662" s="52" t="s">
        <v>26</v>
      </c>
      <c r="G9662" s="53"/>
    </row>
    <row r="9663">
      <c r="A9663" s="49">
        <v>44795.56140428241</v>
      </c>
      <c r="B9663" s="50">
        <v>44795.6863867013</v>
      </c>
      <c r="C9663" s="51">
        <v>1.004</v>
      </c>
      <c r="D9663" s="51">
        <v>68.0</v>
      </c>
      <c r="E9663" s="52" t="s">
        <v>25</v>
      </c>
      <c r="F9663" s="52" t="s">
        <v>26</v>
      </c>
      <c r="G9663" s="53"/>
    </row>
    <row r="9664">
      <c r="A9664" s="49">
        <v>44795.57183734953</v>
      </c>
      <c r="B9664" s="50">
        <v>44795.696819155</v>
      </c>
      <c r="C9664" s="51">
        <v>1.004</v>
      </c>
      <c r="D9664" s="51">
        <v>68.0</v>
      </c>
      <c r="E9664" s="52" t="s">
        <v>25</v>
      </c>
      <c r="F9664" s="52" t="s">
        <v>26</v>
      </c>
      <c r="G9664" s="53"/>
    </row>
    <row r="9665">
      <c r="A9665" s="49">
        <v>44795.5822597338</v>
      </c>
      <c r="B9665" s="50">
        <v>44795.707240243</v>
      </c>
      <c r="C9665" s="51">
        <v>1.004</v>
      </c>
      <c r="D9665" s="51">
        <v>68.0</v>
      </c>
      <c r="E9665" s="52" t="s">
        <v>25</v>
      </c>
      <c r="F9665" s="52" t="s">
        <v>26</v>
      </c>
      <c r="G9665" s="53"/>
    </row>
    <row r="9666">
      <c r="A9666" s="49">
        <v>44795.59268988426</v>
      </c>
      <c r="B9666" s="50">
        <v>44795.7176612268</v>
      </c>
      <c r="C9666" s="51">
        <v>1.004</v>
      </c>
      <c r="D9666" s="51">
        <v>68.0</v>
      </c>
      <c r="E9666" s="52" t="s">
        <v>25</v>
      </c>
      <c r="F9666" s="52" t="s">
        <v>26</v>
      </c>
      <c r="G9666" s="53"/>
    </row>
    <row r="9667">
      <c r="A9667" s="49">
        <v>44795.60310949074</v>
      </c>
      <c r="B9667" s="50">
        <v>44795.7280828125</v>
      </c>
      <c r="C9667" s="51">
        <v>1.003</v>
      </c>
      <c r="D9667" s="51">
        <v>68.0</v>
      </c>
      <c r="E9667" s="52" t="s">
        <v>25</v>
      </c>
      <c r="F9667" s="52" t="s">
        <v>26</v>
      </c>
      <c r="G9667" s="53"/>
    </row>
    <row r="9668">
      <c r="A9668" s="49">
        <v>44795.613538958336</v>
      </c>
      <c r="B9668" s="50">
        <v>44795.73851478</v>
      </c>
      <c r="C9668" s="51">
        <v>1.004</v>
      </c>
      <c r="D9668" s="51">
        <v>68.0</v>
      </c>
      <c r="E9668" s="52" t="s">
        <v>25</v>
      </c>
      <c r="F9668" s="52" t="s">
        <v>26</v>
      </c>
      <c r="G9668" s="53"/>
    </row>
    <row r="9669">
      <c r="A9669" s="49">
        <v>44795.623973043985</v>
      </c>
      <c r="B9669" s="50">
        <v>44795.7489502777</v>
      </c>
      <c r="C9669" s="51">
        <v>1.004</v>
      </c>
      <c r="D9669" s="51">
        <v>68.0</v>
      </c>
      <c r="E9669" s="52" t="s">
        <v>25</v>
      </c>
      <c r="F9669" s="52" t="s">
        <v>26</v>
      </c>
      <c r="G9669" s="53"/>
    </row>
    <row r="9670">
      <c r="A9670" s="49">
        <v>44795.634399710645</v>
      </c>
      <c r="B9670" s="50">
        <v>44795.7593820138</v>
      </c>
      <c r="C9670" s="51">
        <v>1.003</v>
      </c>
      <c r="D9670" s="51">
        <v>68.0</v>
      </c>
      <c r="E9670" s="52" t="s">
        <v>25</v>
      </c>
      <c r="F9670" s="52" t="s">
        <v>26</v>
      </c>
      <c r="G9670" s="53"/>
    </row>
    <row r="9671">
      <c r="A9671" s="49">
        <v>44795.64482634259</v>
      </c>
      <c r="B9671" s="50">
        <v>44795.7698043634</v>
      </c>
      <c r="C9671" s="51">
        <v>1.004</v>
      </c>
      <c r="D9671" s="51">
        <v>68.0</v>
      </c>
      <c r="E9671" s="52" t="s">
        <v>25</v>
      </c>
      <c r="F9671" s="52" t="s">
        <v>26</v>
      </c>
      <c r="G9671" s="53"/>
    </row>
    <row r="9672">
      <c r="A9672" s="49">
        <v>44795.655269560186</v>
      </c>
      <c r="B9672" s="50">
        <v>44795.7802492245</v>
      </c>
      <c r="C9672" s="51">
        <v>1.004</v>
      </c>
      <c r="D9672" s="51">
        <v>68.0</v>
      </c>
      <c r="E9672" s="52" t="s">
        <v>25</v>
      </c>
      <c r="F9672" s="52" t="s">
        <v>26</v>
      </c>
      <c r="G9672" s="53"/>
    </row>
    <row r="9673">
      <c r="A9673" s="49">
        <v>44795.66568685185</v>
      </c>
      <c r="B9673" s="50">
        <v>44795.7906693171</v>
      </c>
      <c r="C9673" s="51">
        <v>1.003</v>
      </c>
      <c r="D9673" s="51">
        <v>68.0</v>
      </c>
      <c r="E9673" s="52" t="s">
        <v>25</v>
      </c>
      <c r="F9673" s="52" t="s">
        <v>26</v>
      </c>
      <c r="G9673" s="53"/>
    </row>
    <row r="9674">
      <c r="A9674" s="49">
        <v>44795.676117407405</v>
      </c>
      <c r="B9674" s="50">
        <v>44795.8010907176</v>
      </c>
      <c r="C9674" s="51">
        <v>1.004</v>
      </c>
      <c r="D9674" s="51">
        <v>68.0</v>
      </c>
      <c r="E9674" s="52" t="s">
        <v>25</v>
      </c>
      <c r="F9674" s="52" t="s">
        <v>26</v>
      </c>
      <c r="G9674" s="53"/>
    </row>
    <row r="9675">
      <c r="A9675" s="49">
        <v>44795.68653465278</v>
      </c>
      <c r="B9675" s="50">
        <v>44795.8115112152</v>
      </c>
      <c r="C9675" s="51">
        <v>1.004</v>
      </c>
      <c r="D9675" s="51">
        <v>68.0</v>
      </c>
      <c r="E9675" s="52" t="s">
        <v>25</v>
      </c>
      <c r="F9675" s="52" t="s">
        <v>26</v>
      </c>
      <c r="G9675" s="53"/>
    </row>
    <row r="9676">
      <c r="A9676" s="49">
        <v>44795.69695655092</v>
      </c>
      <c r="B9676" s="50">
        <v>44795.8219320717</v>
      </c>
      <c r="C9676" s="51">
        <v>1.003</v>
      </c>
      <c r="D9676" s="51">
        <v>68.0</v>
      </c>
      <c r="E9676" s="52" t="s">
        <v>25</v>
      </c>
      <c r="F9676" s="52" t="s">
        <v>26</v>
      </c>
      <c r="G9676" s="53"/>
    </row>
    <row r="9677">
      <c r="A9677" s="49">
        <v>44795.70738744213</v>
      </c>
      <c r="B9677" s="50">
        <v>44795.8323635069</v>
      </c>
      <c r="C9677" s="51">
        <v>1.004</v>
      </c>
      <c r="D9677" s="51">
        <v>68.0</v>
      </c>
      <c r="E9677" s="52" t="s">
        <v>25</v>
      </c>
      <c r="F9677" s="52" t="s">
        <v>26</v>
      </c>
      <c r="G9677" s="53"/>
    </row>
    <row r="9678">
      <c r="A9678" s="49">
        <v>44795.71782913194</v>
      </c>
      <c r="B9678" s="50">
        <v>44795.8427958217</v>
      </c>
      <c r="C9678" s="51">
        <v>1.004</v>
      </c>
      <c r="D9678" s="51">
        <v>68.0</v>
      </c>
      <c r="E9678" s="52" t="s">
        <v>25</v>
      </c>
      <c r="F9678" s="52" t="s">
        <v>26</v>
      </c>
      <c r="G9678" s="53"/>
    </row>
    <row r="9679">
      <c r="A9679" s="49">
        <v>44795.72825457176</v>
      </c>
      <c r="B9679" s="50">
        <v>44795.8532270949</v>
      </c>
      <c r="C9679" s="51">
        <v>1.004</v>
      </c>
      <c r="D9679" s="51">
        <v>68.0</v>
      </c>
      <c r="E9679" s="52" t="s">
        <v>25</v>
      </c>
      <c r="F9679" s="52" t="s">
        <v>26</v>
      </c>
      <c r="G9679" s="53"/>
    </row>
    <row r="9680">
      <c r="A9680" s="49">
        <v>44795.73869896991</v>
      </c>
      <c r="B9680" s="50">
        <v>44795.8636720254</v>
      </c>
      <c r="C9680" s="51">
        <v>1.004</v>
      </c>
      <c r="D9680" s="51">
        <v>68.0</v>
      </c>
      <c r="E9680" s="52" t="s">
        <v>25</v>
      </c>
      <c r="F9680" s="52" t="s">
        <v>26</v>
      </c>
      <c r="G9680" s="53"/>
    </row>
    <row r="9681">
      <c r="A9681" s="49">
        <v>44795.749130613425</v>
      </c>
      <c r="B9681" s="50">
        <v>44795.8741049884</v>
      </c>
      <c r="C9681" s="51">
        <v>1.003</v>
      </c>
      <c r="D9681" s="51">
        <v>68.0</v>
      </c>
      <c r="E9681" s="52" t="s">
        <v>25</v>
      </c>
      <c r="F9681" s="52" t="s">
        <v>26</v>
      </c>
      <c r="G9681" s="53"/>
    </row>
    <row r="9682">
      <c r="A9682" s="49">
        <v>44795.7595606713</v>
      </c>
      <c r="B9682" s="50">
        <v>44795.884526493</v>
      </c>
      <c r="C9682" s="51">
        <v>1.004</v>
      </c>
      <c r="D9682" s="51">
        <v>68.0</v>
      </c>
      <c r="E9682" s="52" t="s">
        <v>25</v>
      </c>
      <c r="F9682" s="52" t="s">
        <v>26</v>
      </c>
      <c r="G9682" s="53"/>
    </row>
    <row r="9683">
      <c r="A9683" s="49">
        <v>44795.76997171296</v>
      </c>
      <c r="B9683" s="50">
        <v>44795.8949465277</v>
      </c>
      <c r="C9683" s="51">
        <v>1.004</v>
      </c>
      <c r="D9683" s="51">
        <v>68.0</v>
      </c>
      <c r="E9683" s="52" t="s">
        <v>25</v>
      </c>
      <c r="F9683" s="52" t="s">
        <v>26</v>
      </c>
      <c r="G9683" s="53"/>
    </row>
    <row r="9684">
      <c r="A9684" s="49">
        <v>44795.78039571759</v>
      </c>
      <c r="B9684" s="50">
        <v>44795.9053675925</v>
      </c>
      <c r="C9684" s="51">
        <v>1.004</v>
      </c>
      <c r="D9684" s="51">
        <v>68.0</v>
      </c>
      <c r="E9684" s="52" t="s">
        <v>25</v>
      </c>
      <c r="F9684" s="52" t="s">
        <v>26</v>
      </c>
      <c r="G9684" s="53"/>
    </row>
    <row r="9685">
      <c r="A9685" s="49">
        <v>44795.79081506944</v>
      </c>
      <c r="B9685" s="50">
        <v>44795.915789375</v>
      </c>
      <c r="C9685" s="51">
        <v>1.004</v>
      </c>
      <c r="D9685" s="51">
        <v>68.0</v>
      </c>
      <c r="E9685" s="52" t="s">
        <v>25</v>
      </c>
      <c r="F9685" s="52" t="s">
        <v>26</v>
      </c>
      <c r="G9685" s="53"/>
    </row>
    <row r="9686">
      <c r="A9686" s="49">
        <v>44795.801245625</v>
      </c>
      <c r="B9686" s="50">
        <v>44795.9262210069</v>
      </c>
      <c r="C9686" s="51">
        <v>1.004</v>
      </c>
      <c r="D9686" s="51">
        <v>68.0</v>
      </c>
      <c r="E9686" s="52" t="s">
        <v>25</v>
      </c>
      <c r="F9686" s="52" t="s">
        <v>26</v>
      </c>
      <c r="G9686" s="53"/>
    </row>
    <row r="9687">
      <c r="A9687" s="49">
        <v>44795.81166371528</v>
      </c>
      <c r="B9687" s="50">
        <v>44795.9366432638</v>
      </c>
      <c r="C9687" s="51">
        <v>1.004</v>
      </c>
      <c r="D9687" s="51">
        <v>68.0</v>
      </c>
      <c r="E9687" s="52" t="s">
        <v>25</v>
      </c>
      <c r="F9687" s="52" t="s">
        <v>26</v>
      </c>
      <c r="G9687" s="53"/>
    </row>
    <row r="9688">
      <c r="A9688" s="49">
        <v>44795.82208295139</v>
      </c>
      <c r="B9688" s="50">
        <v>44795.9470638773</v>
      </c>
      <c r="C9688" s="51">
        <v>1.003</v>
      </c>
      <c r="D9688" s="51">
        <v>68.0</v>
      </c>
      <c r="E9688" s="52" t="s">
        <v>25</v>
      </c>
      <c r="F9688" s="52" t="s">
        <v>26</v>
      </c>
      <c r="G9688" s="53"/>
    </row>
    <row r="9689">
      <c r="A9689" s="49">
        <v>44795.83249916667</v>
      </c>
      <c r="B9689" s="50">
        <v>44795.95748478</v>
      </c>
      <c r="C9689" s="51">
        <v>1.003</v>
      </c>
      <c r="D9689" s="51">
        <v>68.0</v>
      </c>
      <c r="E9689" s="52" t="s">
        <v>25</v>
      </c>
      <c r="F9689" s="52" t="s">
        <v>26</v>
      </c>
      <c r="G9689" s="53"/>
    </row>
    <row r="9690">
      <c r="A9690" s="49">
        <v>44795.842935520835</v>
      </c>
      <c r="B9690" s="50">
        <v>44795.9679069212</v>
      </c>
      <c r="C9690" s="51">
        <v>1.004</v>
      </c>
      <c r="D9690" s="51">
        <v>68.0</v>
      </c>
      <c r="E9690" s="52" t="s">
        <v>25</v>
      </c>
      <c r="F9690" s="52" t="s">
        <v>26</v>
      </c>
      <c r="G9690" s="53"/>
    </row>
    <row r="9691">
      <c r="A9691" s="49">
        <v>44795.85335444444</v>
      </c>
      <c r="B9691" s="50">
        <v>44795.9783292476</v>
      </c>
      <c r="C9691" s="51">
        <v>1.004</v>
      </c>
      <c r="D9691" s="51">
        <v>68.0</v>
      </c>
      <c r="E9691" s="52" t="s">
        <v>25</v>
      </c>
      <c r="F9691" s="52" t="s">
        <v>26</v>
      </c>
      <c r="G9691" s="53"/>
    </row>
    <row r="9692">
      <c r="A9692" s="49">
        <v>44795.863775578706</v>
      </c>
      <c r="B9692" s="50">
        <v>44795.9887498958</v>
      </c>
      <c r="C9692" s="51">
        <v>1.004</v>
      </c>
      <c r="D9692" s="51">
        <v>68.0</v>
      </c>
      <c r="E9692" s="52" t="s">
        <v>25</v>
      </c>
      <c r="F9692" s="52" t="s">
        <v>26</v>
      </c>
      <c r="G9692" s="53"/>
    </row>
    <row r="9693">
      <c r="A9693" s="49">
        <v>44795.874195185184</v>
      </c>
      <c r="B9693" s="50">
        <v>44795.9991709722</v>
      </c>
      <c r="C9693" s="51">
        <v>1.004</v>
      </c>
      <c r="D9693" s="51">
        <v>68.0</v>
      </c>
      <c r="E9693" s="52" t="s">
        <v>25</v>
      </c>
      <c r="F9693" s="52" t="s">
        <v>26</v>
      </c>
      <c r="G9693" s="53"/>
    </row>
    <row r="9694">
      <c r="A9694" s="49">
        <v>44795.88461519676</v>
      </c>
      <c r="B9694" s="50">
        <v>44796.0095944328</v>
      </c>
      <c r="C9694" s="51">
        <v>1.004</v>
      </c>
      <c r="D9694" s="51">
        <v>68.0</v>
      </c>
      <c r="E9694" s="52" t="s">
        <v>25</v>
      </c>
      <c r="F9694" s="52" t="s">
        <v>26</v>
      </c>
      <c r="G9694" s="53"/>
    </row>
    <row r="9695">
      <c r="A9695" s="49">
        <v>44795.8950346875</v>
      </c>
      <c r="B9695" s="50">
        <v>44796.0200163426</v>
      </c>
      <c r="C9695" s="51">
        <v>1.003</v>
      </c>
      <c r="D9695" s="51">
        <v>68.0</v>
      </c>
      <c r="E9695" s="52" t="s">
        <v>25</v>
      </c>
      <c r="F9695" s="52" t="s">
        <v>26</v>
      </c>
      <c r="G9695" s="53"/>
    </row>
    <row r="9696">
      <c r="A9696" s="49">
        <v>44795.90546414352</v>
      </c>
      <c r="B9696" s="50">
        <v>44796.0304376851</v>
      </c>
      <c r="C9696" s="51">
        <v>1.004</v>
      </c>
      <c r="D9696" s="51">
        <v>68.0</v>
      </c>
      <c r="E9696" s="52" t="s">
        <v>25</v>
      </c>
      <c r="F9696" s="52" t="s">
        <v>26</v>
      </c>
      <c r="G9696" s="53"/>
    </row>
    <row r="9697">
      <c r="A9697" s="49">
        <v>44795.915901458335</v>
      </c>
      <c r="B9697" s="50">
        <v>44796.0408692361</v>
      </c>
      <c r="C9697" s="51">
        <v>1.004</v>
      </c>
      <c r="D9697" s="51">
        <v>68.0</v>
      </c>
      <c r="E9697" s="52" t="s">
        <v>25</v>
      </c>
      <c r="F9697" s="52" t="s">
        <v>26</v>
      </c>
      <c r="G9697" s="53"/>
    </row>
    <row r="9698">
      <c r="A9698" s="49">
        <v>44795.92632265046</v>
      </c>
      <c r="B9698" s="50">
        <v>44796.0512906713</v>
      </c>
      <c r="C9698" s="51">
        <v>1.003</v>
      </c>
      <c r="D9698" s="51">
        <v>68.0</v>
      </c>
      <c r="E9698" s="52" t="s">
        <v>25</v>
      </c>
      <c r="F9698" s="52" t="s">
        <v>26</v>
      </c>
      <c r="G9698" s="53"/>
    </row>
    <row r="9699">
      <c r="A9699" s="49">
        <v>44795.936752118054</v>
      </c>
      <c r="B9699" s="50">
        <v>44796.0617236226</v>
      </c>
      <c r="C9699" s="51">
        <v>1.004</v>
      </c>
      <c r="D9699" s="51">
        <v>68.0</v>
      </c>
      <c r="E9699" s="52" t="s">
        <v>25</v>
      </c>
      <c r="F9699" s="52" t="s">
        <v>26</v>
      </c>
      <c r="G9699" s="53"/>
    </row>
    <row r="9700">
      <c r="A9700" s="49">
        <v>44795.947173078705</v>
      </c>
      <c r="B9700" s="50">
        <v>44796.0721430439</v>
      </c>
      <c r="C9700" s="51">
        <v>1.004</v>
      </c>
      <c r="D9700" s="51">
        <v>68.0</v>
      </c>
      <c r="E9700" s="52" t="s">
        <v>25</v>
      </c>
      <c r="F9700" s="52" t="s">
        <v>26</v>
      </c>
      <c r="G9700" s="53"/>
    </row>
    <row r="9701">
      <c r="A9701" s="49">
        <v>44795.957592453706</v>
      </c>
      <c r="B9701" s="50">
        <v>44796.0825654629</v>
      </c>
      <c r="C9701" s="51">
        <v>1.004</v>
      </c>
      <c r="D9701" s="51">
        <v>68.0</v>
      </c>
      <c r="E9701" s="52" t="s">
        <v>25</v>
      </c>
      <c r="F9701" s="52" t="s">
        <v>26</v>
      </c>
      <c r="G9701" s="53"/>
    </row>
    <row r="9702">
      <c r="A9702" s="49">
        <v>44795.968008958334</v>
      </c>
      <c r="B9702" s="50">
        <v>44796.0929881713</v>
      </c>
      <c r="C9702" s="51">
        <v>1.004</v>
      </c>
      <c r="D9702" s="51">
        <v>68.0</v>
      </c>
      <c r="E9702" s="52" t="s">
        <v>25</v>
      </c>
      <c r="F9702" s="52" t="s">
        <v>26</v>
      </c>
      <c r="G9702" s="53"/>
    </row>
    <row r="9703">
      <c r="A9703" s="49">
        <v>44795.978443831016</v>
      </c>
      <c r="B9703" s="50">
        <v>44796.1034078356</v>
      </c>
      <c r="C9703" s="51">
        <v>1.004</v>
      </c>
      <c r="D9703" s="51">
        <v>68.0</v>
      </c>
      <c r="E9703" s="52" t="s">
        <v>25</v>
      </c>
      <c r="F9703" s="52" t="s">
        <v>26</v>
      </c>
      <c r="G9703" s="53"/>
    </row>
    <row r="9704">
      <c r="A9704" s="49">
        <v>44795.988864652776</v>
      </c>
      <c r="B9704" s="50">
        <v>44796.1138288889</v>
      </c>
      <c r="C9704" s="51">
        <v>1.004</v>
      </c>
      <c r="D9704" s="51">
        <v>68.0</v>
      </c>
      <c r="E9704" s="52" t="s">
        <v>25</v>
      </c>
      <c r="F9704" s="52" t="s">
        <v>26</v>
      </c>
      <c r="G9704" s="53"/>
    </row>
    <row r="9705">
      <c r="A9705" s="49">
        <v>44795.999278877316</v>
      </c>
      <c r="B9705" s="50">
        <v>44796.1242513541</v>
      </c>
      <c r="C9705" s="51">
        <v>1.004</v>
      </c>
      <c r="D9705" s="51">
        <v>68.0</v>
      </c>
      <c r="E9705" s="52" t="s">
        <v>25</v>
      </c>
      <c r="F9705" s="52" t="s">
        <v>26</v>
      </c>
      <c r="G9705" s="53"/>
    </row>
    <row r="9706">
      <c r="A9706" s="49">
        <v>44796.009702951385</v>
      </c>
      <c r="B9706" s="50">
        <v>44796.1346723726</v>
      </c>
      <c r="C9706" s="51">
        <v>1.003</v>
      </c>
      <c r="D9706" s="51">
        <v>68.0</v>
      </c>
      <c r="E9706" s="52" t="s">
        <v>25</v>
      </c>
      <c r="F9706" s="52" t="s">
        <v>26</v>
      </c>
      <c r="G9706" s="53"/>
    </row>
    <row r="9707">
      <c r="A9707" s="49">
        <v>44796.02011788194</v>
      </c>
      <c r="B9707" s="50">
        <v>44796.1450931481</v>
      </c>
      <c r="C9707" s="51">
        <v>1.004</v>
      </c>
      <c r="D9707" s="51">
        <v>68.0</v>
      </c>
      <c r="E9707" s="52" t="s">
        <v>25</v>
      </c>
      <c r="F9707" s="52" t="s">
        <v>26</v>
      </c>
      <c r="G9707" s="53"/>
    </row>
    <row r="9708">
      <c r="A9708" s="49">
        <v>44796.0305372338</v>
      </c>
      <c r="B9708" s="50">
        <v>44796.1555148958</v>
      </c>
      <c r="C9708" s="51">
        <v>1.003</v>
      </c>
      <c r="D9708" s="51">
        <v>68.0</v>
      </c>
      <c r="E9708" s="52" t="s">
        <v>25</v>
      </c>
      <c r="F9708" s="52" t="s">
        <v>26</v>
      </c>
      <c r="G9708" s="53"/>
    </row>
    <row r="9709">
      <c r="A9709" s="49">
        <v>44796.04096596065</v>
      </c>
      <c r="B9709" s="50">
        <v>44796.1659362152</v>
      </c>
      <c r="C9709" s="51">
        <v>1.003</v>
      </c>
      <c r="D9709" s="51">
        <v>68.0</v>
      </c>
      <c r="E9709" s="52" t="s">
        <v>25</v>
      </c>
      <c r="F9709" s="52" t="s">
        <v>26</v>
      </c>
      <c r="G9709" s="53"/>
    </row>
    <row r="9710">
      <c r="A9710" s="49">
        <v>44796.05138792824</v>
      </c>
      <c r="B9710" s="50">
        <v>44796.1763557407</v>
      </c>
      <c r="C9710" s="51">
        <v>1.004</v>
      </c>
      <c r="D9710" s="51">
        <v>68.0</v>
      </c>
      <c r="E9710" s="52" t="s">
        <v>25</v>
      </c>
      <c r="F9710" s="52" t="s">
        <v>26</v>
      </c>
      <c r="G9710" s="53"/>
    </row>
    <row r="9711">
      <c r="A9711" s="49">
        <v>44796.0618078125</v>
      </c>
      <c r="B9711" s="50">
        <v>44796.1867881713</v>
      </c>
      <c r="C9711" s="51">
        <v>1.004</v>
      </c>
      <c r="D9711" s="51">
        <v>68.0</v>
      </c>
      <c r="E9711" s="52" t="s">
        <v>25</v>
      </c>
      <c r="F9711" s="52" t="s">
        <v>26</v>
      </c>
      <c r="G9711" s="53"/>
    </row>
    <row r="9712">
      <c r="A9712" s="49">
        <v>44796.07225453704</v>
      </c>
      <c r="B9712" s="50">
        <v>44796.1972209027</v>
      </c>
      <c r="C9712" s="51">
        <v>1.004</v>
      </c>
      <c r="D9712" s="51">
        <v>68.0</v>
      </c>
      <c r="E9712" s="52" t="s">
        <v>25</v>
      </c>
      <c r="F9712" s="52" t="s">
        <v>26</v>
      </c>
      <c r="G9712" s="53"/>
    </row>
    <row r="9713">
      <c r="A9713" s="49">
        <v>44796.08267087963</v>
      </c>
      <c r="B9713" s="50">
        <v>44796.2076407407</v>
      </c>
      <c r="C9713" s="51">
        <v>1.004</v>
      </c>
      <c r="D9713" s="51">
        <v>68.0</v>
      </c>
      <c r="E9713" s="52" t="s">
        <v>25</v>
      </c>
      <c r="F9713" s="52" t="s">
        <v>26</v>
      </c>
      <c r="G9713" s="53"/>
    </row>
    <row r="9714">
      <c r="A9714" s="49">
        <v>44796.09311123843</v>
      </c>
      <c r="B9714" s="50">
        <v>44796.2180745138</v>
      </c>
      <c r="C9714" s="51">
        <v>1.004</v>
      </c>
      <c r="D9714" s="51">
        <v>68.0</v>
      </c>
      <c r="E9714" s="52" t="s">
        <v>25</v>
      </c>
      <c r="F9714" s="52" t="s">
        <v>26</v>
      </c>
      <c r="G9714" s="53"/>
    </row>
    <row r="9715">
      <c r="A9715" s="49">
        <v>44796.103521770834</v>
      </c>
      <c r="B9715" s="50">
        <v>44796.2284951157</v>
      </c>
      <c r="C9715" s="51">
        <v>1.003</v>
      </c>
      <c r="D9715" s="51">
        <v>68.0</v>
      </c>
      <c r="E9715" s="52" t="s">
        <v>25</v>
      </c>
      <c r="F9715" s="52" t="s">
        <v>26</v>
      </c>
      <c r="G9715" s="53"/>
    </row>
    <row r="9716">
      <c r="A9716" s="49">
        <v>44796.11394555555</v>
      </c>
      <c r="B9716" s="50">
        <v>44796.2389158564</v>
      </c>
      <c r="C9716" s="51">
        <v>1.004</v>
      </c>
      <c r="D9716" s="51">
        <v>68.0</v>
      </c>
      <c r="E9716" s="52" t="s">
        <v>25</v>
      </c>
      <c r="F9716" s="52" t="s">
        <v>26</v>
      </c>
      <c r="G9716" s="53"/>
    </row>
    <row r="9717">
      <c r="A9717" s="49">
        <v>44796.12437445602</v>
      </c>
      <c r="B9717" s="50">
        <v>44796.2493363426</v>
      </c>
      <c r="C9717" s="51">
        <v>1.004</v>
      </c>
      <c r="D9717" s="51">
        <v>68.0</v>
      </c>
      <c r="E9717" s="52" t="s">
        <v>25</v>
      </c>
      <c r="F9717" s="52" t="s">
        <v>26</v>
      </c>
      <c r="G9717" s="53"/>
    </row>
    <row r="9718">
      <c r="A9718" s="49">
        <v>44796.13480355324</v>
      </c>
      <c r="B9718" s="50">
        <v>44796.2597690046</v>
      </c>
      <c r="C9718" s="51">
        <v>1.003</v>
      </c>
      <c r="D9718" s="51">
        <v>68.0</v>
      </c>
      <c r="E9718" s="52" t="s">
        <v>25</v>
      </c>
      <c r="F9718" s="52" t="s">
        <v>26</v>
      </c>
      <c r="G9718" s="53"/>
    </row>
    <row r="9719">
      <c r="A9719" s="49">
        <v>44796.145310057866</v>
      </c>
      <c r="B9719" s="50">
        <v>44796.2702011458</v>
      </c>
      <c r="C9719" s="51">
        <v>1.004</v>
      </c>
      <c r="D9719" s="51">
        <v>68.0</v>
      </c>
      <c r="E9719" s="52" t="s">
        <v>25</v>
      </c>
      <c r="F9719" s="52" t="s">
        <v>26</v>
      </c>
      <c r="G9719" s="53"/>
    </row>
    <row r="9720">
      <c r="A9720" s="49">
        <v>44796.15569460648</v>
      </c>
      <c r="B9720" s="50">
        <v>44796.2806223611</v>
      </c>
      <c r="C9720" s="51">
        <v>1.004</v>
      </c>
      <c r="D9720" s="51">
        <v>68.0</v>
      </c>
      <c r="E9720" s="52" t="s">
        <v>25</v>
      </c>
      <c r="F9720" s="52" t="s">
        <v>26</v>
      </c>
      <c r="G9720" s="53"/>
    </row>
    <row r="9721">
      <c r="A9721" s="49">
        <v>44796.16606299768</v>
      </c>
      <c r="B9721" s="50">
        <v>44796.2910419444</v>
      </c>
      <c r="C9721" s="51">
        <v>1.004</v>
      </c>
      <c r="D9721" s="51">
        <v>68.0</v>
      </c>
      <c r="E9721" s="52" t="s">
        <v>25</v>
      </c>
      <c r="F9721" s="52" t="s">
        <v>26</v>
      </c>
      <c r="G9721" s="53"/>
    </row>
    <row r="9722">
      <c r="A9722" s="49">
        <v>44796.176483206014</v>
      </c>
      <c r="B9722" s="50">
        <v>44796.3014649074</v>
      </c>
      <c r="C9722" s="51">
        <v>1.004</v>
      </c>
      <c r="D9722" s="51">
        <v>68.0</v>
      </c>
      <c r="E9722" s="52" t="s">
        <v>25</v>
      </c>
      <c r="F9722" s="52" t="s">
        <v>26</v>
      </c>
      <c r="G9722" s="53"/>
    </row>
    <row r="9723">
      <c r="A9723" s="49">
        <v>44796.1869140625</v>
      </c>
      <c r="B9723" s="50">
        <v>44796.3118855208</v>
      </c>
      <c r="C9723" s="51">
        <v>1.004</v>
      </c>
      <c r="D9723" s="51">
        <v>68.0</v>
      </c>
      <c r="E9723" s="52" t="s">
        <v>25</v>
      </c>
      <c r="F9723" s="52" t="s">
        <v>26</v>
      </c>
      <c r="G9723" s="53"/>
    </row>
    <row r="9724">
      <c r="A9724" s="49">
        <v>44796.19733171296</v>
      </c>
      <c r="B9724" s="50">
        <v>44796.3223078356</v>
      </c>
      <c r="C9724" s="51">
        <v>1.003</v>
      </c>
      <c r="D9724" s="51">
        <v>68.0</v>
      </c>
      <c r="E9724" s="52" t="s">
        <v>25</v>
      </c>
      <c r="F9724" s="52" t="s">
        <v>26</v>
      </c>
      <c r="G9724" s="53"/>
    </row>
    <row r="9725">
      <c r="A9725" s="49">
        <v>44796.20776435186</v>
      </c>
      <c r="B9725" s="50">
        <v>44796.3327408333</v>
      </c>
      <c r="C9725" s="51">
        <v>1.003</v>
      </c>
      <c r="D9725" s="51">
        <v>69.0</v>
      </c>
      <c r="E9725" s="52" t="s">
        <v>25</v>
      </c>
      <c r="F9725" s="52" t="s">
        <v>26</v>
      </c>
      <c r="G9725" s="53"/>
    </row>
    <row r="9726">
      <c r="A9726" s="49">
        <v>44796.21818181713</v>
      </c>
      <c r="B9726" s="50">
        <v>44796.3431624074</v>
      </c>
      <c r="C9726" s="51">
        <v>1.004</v>
      </c>
      <c r="D9726" s="51">
        <v>68.0</v>
      </c>
      <c r="E9726" s="52" t="s">
        <v>25</v>
      </c>
      <c r="F9726" s="52" t="s">
        <v>26</v>
      </c>
      <c r="G9726" s="53"/>
    </row>
    <row r="9727">
      <c r="A9727" s="49">
        <v>44796.228603587966</v>
      </c>
      <c r="B9727" s="50">
        <v>44796.3535828588</v>
      </c>
      <c r="C9727" s="51">
        <v>1.004</v>
      </c>
      <c r="D9727" s="51">
        <v>69.0</v>
      </c>
      <c r="E9727" s="52" t="s">
        <v>25</v>
      </c>
      <c r="F9727" s="52" t="s">
        <v>26</v>
      </c>
      <c r="G9727" s="53"/>
    </row>
    <row r="9728">
      <c r="A9728" s="49">
        <v>44796.2390275463</v>
      </c>
      <c r="B9728" s="50">
        <v>44796.3640042361</v>
      </c>
      <c r="C9728" s="51">
        <v>1.004</v>
      </c>
      <c r="D9728" s="51">
        <v>69.0</v>
      </c>
      <c r="E9728" s="52" t="s">
        <v>25</v>
      </c>
      <c r="F9728" s="52" t="s">
        <v>26</v>
      </c>
      <c r="G9728" s="53"/>
    </row>
    <row r="9729">
      <c r="A9729" s="49">
        <v>44796.24943993056</v>
      </c>
      <c r="B9729" s="50">
        <v>44796.3744242245</v>
      </c>
      <c r="C9729" s="51">
        <v>1.003</v>
      </c>
      <c r="D9729" s="51">
        <v>69.0</v>
      </c>
      <c r="E9729" s="52" t="s">
        <v>25</v>
      </c>
      <c r="F9729" s="52" t="s">
        <v>26</v>
      </c>
      <c r="G9729" s="53"/>
    </row>
    <row r="9730">
      <c r="A9730" s="49">
        <v>44796.259882592596</v>
      </c>
      <c r="B9730" s="50">
        <v>44796.3848447338</v>
      </c>
      <c r="C9730" s="51">
        <v>1.003</v>
      </c>
      <c r="D9730" s="51">
        <v>69.0</v>
      </c>
      <c r="E9730" s="52" t="s">
        <v>25</v>
      </c>
      <c r="F9730" s="52" t="s">
        <v>26</v>
      </c>
      <c r="G9730" s="53"/>
    </row>
    <row r="9731">
      <c r="A9731" s="49">
        <v>44796.270294999995</v>
      </c>
      <c r="B9731" s="50">
        <v>44796.3952671527</v>
      </c>
      <c r="C9731" s="51">
        <v>1.004</v>
      </c>
      <c r="D9731" s="51">
        <v>69.0</v>
      </c>
      <c r="E9731" s="52" t="s">
        <v>25</v>
      </c>
      <c r="F9731" s="52" t="s">
        <v>26</v>
      </c>
      <c r="G9731" s="53"/>
    </row>
    <row r="9732">
      <c r="A9732" s="49">
        <v>44796.28070625</v>
      </c>
      <c r="B9732" s="50">
        <v>44796.4056876041</v>
      </c>
      <c r="C9732" s="51">
        <v>1.003</v>
      </c>
      <c r="D9732" s="51">
        <v>69.0</v>
      </c>
      <c r="E9732" s="52" t="s">
        <v>25</v>
      </c>
      <c r="F9732" s="52" t="s">
        <v>26</v>
      </c>
      <c r="G9732" s="53"/>
    </row>
    <row r="9733">
      <c r="A9733" s="49">
        <v>44796.29114290509</v>
      </c>
      <c r="B9733" s="50">
        <v>44796.4161204513</v>
      </c>
      <c r="C9733" s="51">
        <v>1.003</v>
      </c>
      <c r="D9733" s="51">
        <v>69.0</v>
      </c>
      <c r="E9733" s="52" t="s">
        <v>25</v>
      </c>
      <c r="F9733" s="52" t="s">
        <v>26</v>
      </c>
      <c r="G9733" s="53"/>
    </row>
    <row r="9734">
      <c r="A9734" s="49">
        <v>44796.30156457176</v>
      </c>
      <c r="B9734" s="50">
        <v>44796.426542824</v>
      </c>
      <c r="C9734" s="51">
        <v>1.003</v>
      </c>
      <c r="D9734" s="51">
        <v>69.0</v>
      </c>
      <c r="E9734" s="52" t="s">
        <v>25</v>
      </c>
      <c r="F9734" s="52" t="s">
        <v>26</v>
      </c>
      <c r="G9734" s="53"/>
    </row>
    <row r="9735">
      <c r="A9735" s="49">
        <v>44796.3119840625</v>
      </c>
      <c r="B9735" s="50">
        <v>44796.4369648032</v>
      </c>
      <c r="C9735" s="51">
        <v>1.003</v>
      </c>
      <c r="D9735" s="51">
        <v>69.0</v>
      </c>
      <c r="E9735" s="52" t="s">
        <v>25</v>
      </c>
      <c r="F9735" s="52" t="s">
        <v>26</v>
      </c>
      <c r="G9735" s="53"/>
    </row>
    <row r="9736">
      <c r="A9736" s="49">
        <v>44796.32240189815</v>
      </c>
      <c r="B9736" s="50">
        <v>44796.4473854745</v>
      </c>
      <c r="C9736" s="51">
        <v>1.004</v>
      </c>
      <c r="D9736" s="51">
        <v>69.0</v>
      </c>
      <c r="E9736" s="52" t="s">
        <v>25</v>
      </c>
      <c r="F9736" s="52" t="s">
        <v>26</v>
      </c>
      <c r="G9736" s="53"/>
    </row>
    <row r="9737">
      <c r="A9737" s="49">
        <v>44796.3328396412</v>
      </c>
      <c r="B9737" s="50">
        <v>44796.4578075</v>
      </c>
      <c r="C9737" s="51">
        <v>1.003</v>
      </c>
      <c r="D9737" s="51">
        <v>69.0</v>
      </c>
      <c r="E9737" s="52" t="s">
        <v>25</v>
      </c>
      <c r="F9737" s="52" t="s">
        <v>26</v>
      </c>
      <c r="G9737" s="53"/>
    </row>
    <row r="9738">
      <c r="A9738" s="49">
        <v>44796.34327540509</v>
      </c>
      <c r="B9738" s="50">
        <v>44796.4682396064</v>
      </c>
      <c r="C9738" s="51">
        <v>1.004</v>
      </c>
      <c r="D9738" s="51">
        <v>69.0</v>
      </c>
      <c r="E9738" s="52" t="s">
        <v>25</v>
      </c>
      <c r="F9738" s="52" t="s">
        <v>26</v>
      </c>
      <c r="G9738" s="53"/>
    </row>
    <row r="9739">
      <c r="A9739" s="49">
        <v>44796.35369491898</v>
      </c>
      <c r="B9739" s="50">
        <v>44796.4786602083</v>
      </c>
      <c r="C9739" s="51">
        <v>1.003</v>
      </c>
      <c r="D9739" s="51">
        <v>69.0</v>
      </c>
      <c r="E9739" s="52" t="s">
        <v>25</v>
      </c>
      <c r="F9739" s="52" t="s">
        <v>26</v>
      </c>
      <c r="G9739" s="53"/>
    </row>
    <row r="9740">
      <c r="A9740" s="49">
        <v>44796.36413440973</v>
      </c>
      <c r="B9740" s="50">
        <v>44796.4891057638</v>
      </c>
      <c r="C9740" s="51">
        <v>1.003</v>
      </c>
      <c r="D9740" s="51">
        <v>69.0</v>
      </c>
      <c r="E9740" s="52" t="s">
        <v>25</v>
      </c>
      <c r="F9740" s="52" t="s">
        <v>26</v>
      </c>
      <c r="G9740" s="53"/>
    </row>
    <row r="9741">
      <c r="A9741" s="49">
        <v>44796.37456049769</v>
      </c>
      <c r="B9741" s="50">
        <v>44796.4995271064</v>
      </c>
      <c r="C9741" s="51">
        <v>1.003</v>
      </c>
      <c r="D9741" s="51">
        <v>69.0</v>
      </c>
      <c r="E9741" s="52" t="s">
        <v>25</v>
      </c>
      <c r="F9741" s="52" t="s">
        <v>26</v>
      </c>
      <c r="G9741" s="53"/>
    </row>
    <row r="9742">
      <c r="A9742" s="49">
        <v>44796.384973356486</v>
      </c>
      <c r="B9742" s="50">
        <v>44796.5099476041</v>
      </c>
      <c r="C9742" s="51">
        <v>1.003</v>
      </c>
      <c r="D9742" s="51">
        <v>69.0</v>
      </c>
      <c r="E9742" s="52" t="s">
        <v>25</v>
      </c>
      <c r="F9742" s="52" t="s">
        <v>26</v>
      </c>
      <c r="G9742" s="53"/>
    </row>
    <row r="9743">
      <c r="A9743" s="49">
        <v>44796.39540865741</v>
      </c>
      <c r="B9743" s="50">
        <v>44796.5203805092</v>
      </c>
      <c r="C9743" s="51">
        <v>1.003</v>
      </c>
      <c r="D9743" s="51">
        <v>69.0</v>
      </c>
      <c r="E9743" s="52" t="s">
        <v>25</v>
      </c>
      <c r="F9743" s="52" t="s">
        <v>26</v>
      </c>
      <c r="G9743" s="53"/>
    </row>
    <row r="9744">
      <c r="A9744" s="49">
        <v>44796.4058321412</v>
      </c>
      <c r="B9744" s="50">
        <v>44796.5308040277</v>
      </c>
      <c r="C9744" s="51">
        <v>1.004</v>
      </c>
      <c r="D9744" s="51">
        <v>69.0</v>
      </c>
      <c r="E9744" s="52" t="s">
        <v>25</v>
      </c>
      <c r="F9744" s="52" t="s">
        <v>26</v>
      </c>
      <c r="G9744" s="53"/>
    </row>
    <row r="9745">
      <c r="A9745" s="49">
        <v>44796.416249456015</v>
      </c>
      <c r="B9745" s="50">
        <v>44796.5412246296</v>
      </c>
      <c r="C9745" s="51">
        <v>1.003</v>
      </c>
      <c r="D9745" s="51">
        <v>69.0</v>
      </c>
      <c r="E9745" s="52" t="s">
        <v>25</v>
      </c>
      <c r="F9745" s="52" t="s">
        <v>26</v>
      </c>
      <c r="G9745" s="53"/>
    </row>
    <row r="9746">
      <c r="A9746" s="49">
        <v>44796.426672222224</v>
      </c>
      <c r="B9746" s="50">
        <v>44796.5516472453</v>
      </c>
      <c r="C9746" s="51">
        <v>1.003</v>
      </c>
      <c r="D9746" s="51">
        <v>69.0</v>
      </c>
      <c r="E9746" s="52" t="s">
        <v>25</v>
      </c>
      <c r="F9746" s="52" t="s">
        <v>26</v>
      </c>
      <c r="G9746" s="53"/>
    </row>
    <row r="9747">
      <c r="A9747" s="49">
        <v>44796.437096064816</v>
      </c>
      <c r="B9747" s="50">
        <v>44796.5620669328</v>
      </c>
      <c r="C9747" s="51">
        <v>1.004</v>
      </c>
      <c r="D9747" s="51">
        <v>69.0</v>
      </c>
      <c r="E9747" s="52" t="s">
        <v>25</v>
      </c>
      <c r="F9747" s="52" t="s">
        <v>26</v>
      </c>
      <c r="G9747" s="53"/>
    </row>
    <row r="9748">
      <c r="A9748" s="49">
        <v>44796.44751357639</v>
      </c>
      <c r="B9748" s="50">
        <v>44796.5724881828</v>
      </c>
      <c r="C9748" s="51">
        <v>1.004</v>
      </c>
      <c r="D9748" s="51">
        <v>69.0</v>
      </c>
      <c r="E9748" s="52" t="s">
        <v>25</v>
      </c>
      <c r="F9748" s="52" t="s">
        <v>26</v>
      </c>
      <c r="G9748" s="53"/>
    </row>
    <row r="9749">
      <c r="A9749" s="49">
        <v>44796.45794262731</v>
      </c>
      <c r="B9749" s="50">
        <v>44796.582920787</v>
      </c>
      <c r="C9749" s="51">
        <v>1.004</v>
      </c>
      <c r="D9749" s="51">
        <v>69.0</v>
      </c>
      <c r="E9749" s="52" t="s">
        <v>25</v>
      </c>
      <c r="F9749" s="52" t="s">
        <v>26</v>
      </c>
      <c r="G9749" s="53"/>
    </row>
    <row r="9750">
      <c r="A9750" s="49">
        <v>44796.46836568287</v>
      </c>
      <c r="B9750" s="50">
        <v>44796.5933416435</v>
      </c>
      <c r="C9750" s="51">
        <v>1.003</v>
      </c>
      <c r="D9750" s="51">
        <v>69.0</v>
      </c>
      <c r="E9750" s="52" t="s">
        <v>25</v>
      </c>
      <c r="F9750" s="52" t="s">
        <v>26</v>
      </c>
      <c r="G9750" s="53"/>
    </row>
    <row r="9751">
      <c r="A9751" s="49">
        <v>44796.478797557866</v>
      </c>
      <c r="B9751" s="50">
        <v>44796.6037645833</v>
      </c>
      <c r="C9751" s="51">
        <v>1.003</v>
      </c>
      <c r="D9751" s="51">
        <v>69.0</v>
      </c>
      <c r="E9751" s="52" t="s">
        <v>25</v>
      </c>
      <c r="F9751" s="52" t="s">
        <v>26</v>
      </c>
      <c r="G9751" s="53"/>
    </row>
    <row r="9752">
      <c r="A9752" s="49">
        <v>44796.48923678241</v>
      </c>
      <c r="B9752" s="50">
        <v>44796.6142101388</v>
      </c>
      <c r="C9752" s="51">
        <v>1.004</v>
      </c>
      <c r="D9752" s="51">
        <v>69.0</v>
      </c>
      <c r="E9752" s="52" t="s">
        <v>25</v>
      </c>
      <c r="F9752" s="52" t="s">
        <v>26</v>
      </c>
      <c r="G9752" s="53"/>
    </row>
    <row r="9753">
      <c r="A9753" s="49">
        <v>44796.49965568287</v>
      </c>
      <c r="B9753" s="50">
        <v>44796.6246322569</v>
      </c>
      <c r="C9753" s="51">
        <v>1.003</v>
      </c>
      <c r="D9753" s="51">
        <v>69.0</v>
      </c>
      <c r="E9753" s="52" t="s">
        <v>25</v>
      </c>
      <c r="F9753" s="52" t="s">
        <v>26</v>
      </c>
      <c r="G9753" s="53"/>
    </row>
  </sheetData>
  <customSheetViews>
    <customSheetView guid="{7EE89F9E-515B-4962-B7F1-2B625E15BF80}" filter="1" showAutoFilter="1">
      <autoFilter ref="$B$1:$E$9753"/>
    </customSheetView>
    <customSheetView guid="{52E37259-BC7B-43AC-B1DB-8F52E8FD0C46}" filter="1" showAutoFilter="1">
      <autoFilter ref="$B$1:$E$2">
        <filterColumn colId="3">
          <filters>
            <filter val="BLACK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6.63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